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omments4.xml" ContentType="application/vnd.openxmlformats-officedocument.spreadsheetml.comments+xml"/>
  <Override PartName="/xl/drawings/drawing3.xml" ContentType="application/vnd.openxmlformats-officedocument.drawing+xml"/>
  <Override PartName="/xl/charts/chart5.xml" ContentType="application/vnd.openxmlformats-officedocument.drawingml.chart+xml"/>
  <Override PartName="/xl/drawings/drawing4.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comments5.xml" ContentType="application/vnd.openxmlformats-officedocument.spreadsheetml.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5.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comments6.xml" ContentType="application/vnd.openxmlformats-officedocument.spreadsheetml.comments+xml"/>
  <Override PartName="/xl/drawings/drawing6.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drawing7.xml" ContentType="application/vnd.openxmlformats-officedocument.drawing+xml"/>
  <Override PartName="/xl/charts/chart14.xml" ContentType="application/vnd.openxmlformats-officedocument.drawingml.chart+xml"/>
  <Override PartName="/xl/drawings/drawing8.xml" ContentType="application/vnd.openxmlformats-officedocument.drawing+xml"/>
  <Override PartName="/xl/charts/chart1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1721"/>
  <workbookPr codeName="ThisWorkbook" autoCompressPictures="0"/>
  <bookViews>
    <workbookView xWindow="14400" yWindow="0" windowWidth="14400" windowHeight="17480" tabRatio="712" firstSheet="14" activeTab="14"/>
    <workbookView xWindow="0" yWindow="0" windowWidth="28800" windowHeight="17480" tabRatio="500" firstSheet="6" activeTab="8"/>
  </bookViews>
  <sheets>
    <sheet name="Control" sheetId="60" r:id="rId1"/>
    <sheet name="Preferences" sheetId="24" r:id="rId2"/>
    <sheet name="Structure of the model" sheetId="23" r:id="rId3"/>
    <sheet name="Growth Paths " sheetId="323" r:id="rId4"/>
    <sheet name="Assumptions.Global" sheetId="201" r:id="rId5"/>
    <sheet name="Assumptions.Growth" sheetId="344" r:id="rId6"/>
    <sheet name="Assumptions.Refineries" sheetId="252" r:id="rId7"/>
    <sheet name="Conversions" sheetId="6" r:id="rId8"/>
    <sheet name="Constants" sheetId="203" r:id="rId9"/>
    <sheet name="Power plant data" sheetId="303" r:id="rId10"/>
    <sheet name="COM.Tech" sheetId="189" r:id="rId11"/>
    <sheet name="IND.Tech" sheetId="259" r:id="rId12"/>
    <sheet name="IND.a" sheetId="260" r:id="rId13"/>
    <sheet name="References" sheetId="353" r:id="rId14"/>
    <sheet name="HouseholdIncome - CGE" sheetId="324" r:id="rId15"/>
    <sheet name="HouseholdIncomeExo" sheetId="325" r:id="rId16"/>
    <sheet name="Sheet1" sheetId="350" r:id="rId17"/>
  </sheet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L.Biofuels.Scenario">Control!$E$24</definedName>
    <definedName name="AGL.LandUse.Scenario">Control!$E$26</definedName>
    <definedName name="AGL.Livestock.Scenario">Control!$E$25</definedName>
    <definedName name="Base_Year">Assumptions.Global!$C$3</definedName>
    <definedName name="BIO.SUP.Scenario">Control!$E$28</definedName>
    <definedName name="CCGT.Scenario">Control!$E$10</definedName>
    <definedName name="CentPV.Scenario">Control!$E$18</definedName>
    <definedName name="Coal.Scenario">Control!$E$9</definedName>
    <definedName name="COM.Building.Code.Scenario">Control!$E$64</definedName>
    <definedName name="COM.ExistBuilding.Retrofits.Scenario">Control!$E$62</definedName>
    <definedName name="COM.ExistBuilding.Tech.Mix.Scenario">Control!$E$63</definedName>
    <definedName name="COM.PV.Scenario">Control!$E$15</definedName>
    <definedName name="ComTechs" localSheetId="10">COM.Tech!#REF!</definedName>
    <definedName name="ComTechs">#REF!</definedName>
    <definedName name="Constants.Density.Diesel" localSheetId="8">Constants!$C$344</definedName>
    <definedName name="Constants.Density.Ethanol" localSheetId="8">Constants!$C$342</definedName>
    <definedName name="Constants.Density.JetFuel" localSheetId="8">Constants!$C$343</definedName>
    <definedName name="Constants.Density.MotorSpirit" localSheetId="8">Constants!$C$50</definedName>
    <definedName name="Constants.GCV.ATF" localSheetId="8">Constants!$C$144</definedName>
    <definedName name="Constants.GCV.Coal" localSheetId="8">Constants!$C$12</definedName>
    <definedName name="Constants.GCV.Coke" localSheetId="8">Constants!$C$13</definedName>
    <definedName name="Constants.GCV.Diesel">Constants!$C$17</definedName>
    <definedName name="Constants.GCV.MotorSpirit" localSheetId="8">Constants!$C$142</definedName>
    <definedName name="Constants.GCV.PetroleumProducts" localSheetId="8">Constants!$C$19</definedName>
    <definedName name="Conversion.to.annual.energy">Conversions!$E$60</definedName>
    <definedName name="Conversion.to.average.power">Conversions!$E$59</definedName>
    <definedName name="Conversion.to.energy.per.second">Conversions!$E$61</definedName>
    <definedName name="Conversion.UKgallons.to.litres">Conversions!$E$66</definedName>
    <definedName name="Conversion.USgallons.to.litres">Conversions!$E$67</definedName>
    <definedName name="Conversions.Area.m2">Conversions!$E$49:$E$54</definedName>
    <definedName name="Conversions.Area.Units">Conversions!$B$49:$B$54</definedName>
    <definedName name="Conversions.Energy.Joules">Conversions!$E$5:$E$23</definedName>
    <definedName name="Conversions.Energy.Units">Conversions!$B$5:$B$23</definedName>
    <definedName name="Conversions.Money.GBP">Conversions!$F$72:$F$79</definedName>
    <definedName name="Conversions.Money.Units">Conversions!$B$72:$B$79</definedName>
    <definedName name="Conversions.Power.Units">Conversions!$B$31:$B$36</definedName>
    <definedName name="Conversions.Power.Watts">Conversions!$E$31:$E$36</definedName>
    <definedName name="Cost.FinanceCostTable" localSheetId="4">Assumptions.Global!$B$40:$L$90</definedName>
    <definedName name="Cost.FinanceCostTable" localSheetId="8">Assumptions.Global!$B$40:$L$814</definedName>
    <definedName name="CSP.Scenario">Control!$E$16</definedName>
    <definedName name="CSP.Storage.Scenario">Control!$E$17</definedName>
    <definedName name="Demand_BRT">#REF!</definedName>
    <definedName name="Demand_Buses">#REF!</definedName>
    <definedName name="Demand_Car">#REF!</definedName>
    <definedName name="Demand_Cars">#REF!</definedName>
    <definedName name="Demand_MBT">#REF!</definedName>
    <definedName name="Demand_Minibuses">#REF!</definedName>
    <definedName name="Demand_Motorcycles">#REF!</definedName>
    <definedName name="Demand_SUVs">#REF!</definedName>
    <definedName name="Demand_Year">#REF!</definedName>
    <definedName name="Diesel_calorific_value">#REF!</definedName>
    <definedName name="discount_factors" localSheetId="4">Assumptions.Global!$G$32:$N$32</definedName>
    <definedName name="discount_factors" localSheetId="8">Assumptions.Global!$G$32:$N$216</definedName>
    <definedName name="Discount_rate" localSheetId="4">Assumptions.Global!$C$31</definedName>
    <definedName name="Discount_rate" localSheetId="8">Assumptions.Global!$C$215</definedName>
    <definedName name="EF.BlastFurnaceGas.CO2">Constants!$F$16</definedName>
    <definedName name="EF.CokingCoal.CH4">Constants!$G$9</definedName>
    <definedName name="EF.CokingCoal.CO2">Constants!$F$9</definedName>
    <definedName name="EF.CokingCoal.N2O">Constants!$H$9</definedName>
    <definedName name="EF.Diesel.CH4">Constants!$G$12</definedName>
    <definedName name="EF.Diesel.CO2">Constants!$F$12</definedName>
    <definedName name="EF.Diesel.N2O">Constants!$H$12</definedName>
    <definedName name="EF.Gasoline.CH4">Constants!$G$19</definedName>
    <definedName name="EF.Gasoline.CO2">Constants!$F$19</definedName>
    <definedName name="EF.Gasoline.N2O">Constants!$H$19</definedName>
    <definedName name="EF.HFO.CH4">Constants!$G$13</definedName>
    <definedName name="EF.HFO.CO2">Constants!$F$13</definedName>
    <definedName name="EF.HFO.N2O">Constants!$H$13</definedName>
    <definedName name="EF.IndustrialCoal.CH4">Constants!$G$8</definedName>
    <definedName name="EF.IndustrialCoal.CO2">Constants!$F$8</definedName>
    <definedName name="EF.IndustrialCoal.N2O">Constants!$H$8</definedName>
    <definedName name="EF.JET.CO2">Constants!$F$12</definedName>
    <definedName name="EF.LPG.CH4">Constants!$G$14</definedName>
    <definedName name="EF.LPG.CO2">Constants!$F$14</definedName>
    <definedName name="EF.LPG.N2O">Constants!$H$14</definedName>
    <definedName name="EF.NaturalGas.CH4">Constants!$G$10</definedName>
    <definedName name="EF.NaturalGas.CO2">Constants!$F$10</definedName>
    <definedName name="EF.NaturalGas.N2O">Constants!$H$10</definedName>
    <definedName name="EF.OAG.CH4">Constants!$G$18</definedName>
    <definedName name="EF.OAG.CO2">Constants!$F$18</definedName>
    <definedName name="EF.OAG.N2O">Constants!$H$18</definedName>
    <definedName name="EF.WASTE.IND.CH4">Constants!$G$17</definedName>
    <definedName name="EF.WASTE.IND.CO2">Constants!$F$17</definedName>
    <definedName name="EF.WASTE.IND.N2O">Constants!$H$17</definedName>
    <definedName name="Efficiency_Improvement">Control!$E$40</definedName>
    <definedName name="ELEC.Imports.Scenario">Control!$E$23</definedName>
    <definedName name="Electric_Vehicles">Control!$E$39</definedName>
    <definedName name="eps">Constants!$C$142</definedName>
    <definedName name="Euro2002_">Conversions!$E$76</definedName>
    <definedName name="Gas.Extraction">Control!$E$30</definedName>
    <definedName name="Gas.Scenario">Control!$E$29</definedName>
    <definedName name="GBP">Conversions!$E$79</definedName>
    <definedName name="GCV.NGp">Constants!$C$21</definedName>
    <definedName name="GDP_2010">'Growth Paths '!$H$60:$K$60</definedName>
    <definedName name="GDP_2015">'Growth Paths '!$L$60:$P$60</definedName>
    <definedName name="GDP_2020">'Growth Paths '!$Q$60:$V$60</definedName>
    <definedName name="GDP_2025">'Growth Paths '!$V$60:$Z$60</definedName>
    <definedName name="GDP_2030">'Growth Paths '!$AA$60:$AF$60</definedName>
    <definedName name="GDP_growth">'Growth Paths '!$G$60:$AI$60</definedName>
    <definedName name="GDP_growth_scenario">Control!$E$6</definedName>
    <definedName name="GGBP">Conversions!$E$73</definedName>
    <definedName name="GWP.CH4" localSheetId="8">Constants!$O$9</definedName>
    <definedName name="GWP.N2O">Constants!$O$10</definedName>
    <definedName name="GWP.NOX">Constants!$O$14</definedName>
    <definedName name="GWP.SOX">Constants!$O$13</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Hydro.Scenario">Control!$E$21</definedName>
    <definedName name="III.a.2.Scenario">Control!$E$12</definedName>
    <definedName name="IND" localSheetId="6">IND_Sectors[]</definedName>
    <definedName name="IND" localSheetId="3">IND_Sectors[]</definedName>
    <definedName name="IND" localSheetId="12">IND_Sectors[]</definedName>
    <definedName name="IND" localSheetId="11">IND_Sectors[]</definedName>
    <definedName name="IND_Demand" localSheetId="6">IND_EndUse[]</definedName>
    <definedName name="IND_Demand" localSheetId="3">IND_EndUse[]</definedName>
    <definedName name="IND_Demand" localSheetId="12">IND_EndUse[]</definedName>
    <definedName name="IND_Demand" localSheetId="11">IND_EndUse[]</definedName>
    <definedName name="IND_Sector" localSheetId="6">IND_Sectors[]</definedName>
    <definedName name="IND_Sector" localSheetId="3">IND_Sectors[]</definedName>
    <definedName name="IND_Sector" localSheetId="12">IND_Sectors[]</definedName>
    <definedName name="IND_Sector" localSheetId="11">IND_Sectors[]</definedName>
    <definedName name="IND.Sector_ID" comment="Industrial Sectors" localSheetId="6">IND_Sectors[Sector_Code]</definedName>
    <definedName name="IND.Sector_ID" comment="Industrial Sectors" localSheetId="3">IND_Sectors[Sector_Code]</definedName>
    <definedName name="IND.Sector_ID" localSheetId="12">IND_Sectors[Sector_Code]</definedName>
    <definedName name="IND.Sector_ID" comment="Industrial Sectors" localSheetId="11">IND_Sectors[Sector_Code]</definedName>
    <definedName name="IND.Sectors_Demand" comment="Industrial sectorial end use demands" localSheetId="6">IND_EndUse[Demand_Name]</definedName>
    <definedName name="IND.Sectors_Demand" comment="Industrial sectorial end use demands" localSheetId="3">IND_EndUse[Demand_Name]</definedName>
    <definedName name="IND.Sectors_Demand" localSheetId="12">IND_EndUse[Demand_Name]</definedName>
    <definedName name="IND.Sectors_Demand" comment="Industrial sectorial end use demands" localSheetId="11">IND_EndUse[Demand_Name]</definedName>
    <definedName name="IND.Sectors_Demand_ID" localSheetId="6">IND_EndUse[Demand_Code]</definedName>
    <definedName name="IND.Sectors_Demand_ID" localSheetId="3">IND_EndUse[Demand_Code]</definedName>
    <definedName name="IND.Sectors_Demand_ID" localSheetId="12">IND_EndUse[Demand_Code]</definedName>
    <definedName name="IND.Sectors_Demand_ID" localSheetId="11">IND_EndUse[Demand_Code]</definedName>
    <definedName name="INDD" localSheetId="6">IND_Sectors[]</definedName>
    <definedName name="INDD" localSheetId="3">IND_Sectors[]</definedName>
    <definedName name="INDD" localSheetId="12">IND_Sectors[]</definedName>
    <definedName name="INDD" localSheetId="11">IND_Sectors[]</definedName>
    <definedName name="IV.c.Scenario">Control!$E$22</definedName>
    <definedName name="kGBP">Conversions!$E$75</definedName>
    <definedName name="MGBP">Conversions!$E$74</definedName>
    <definedName name="Mode_share">Control!$E$37</definedName>
    <definedName name="Money.Unit">Conversions!$D$72:$D$79</definedName>
    <definedName name="Nuclear.Scenario">Control!$E$8</definedName>
    <definedName name="Occupancy">Control!$E$41</definedName>
    <definedName name="Pal_Workbook_GUID" localSheetId="6" hidden="1">"E2D7SR7Q3BDXUD24G1M1SK63"</definedName>
    <definedName name="Pal_Workbook_GUID" localSheetId="10" hidden="1">"E2D7SR7Q3BDXUD24G1M1SK63"</definedName>
    <definedName name="Pal_Workbook_GUID" hidden="1">"JGWG76XASHMY4J7EVNW4KA69"</definedName>
    <definedName name="Peak_Electricity_Generation_Capacity">#REF!</definedName>
    <definedName name="petrol_calorific_value">#REF!</definedName>
    <definedName name="plantsize.IV.a">#REF!</definedName>
    <definedName name="plantsize.VI.b.Capturing_landfill_gas">#REF!</definedName>
    <definedName name="plantsize.VI.b.Recovering_landfill_gas">#REF!</definedName>
    <definedName name="Pop.Elec.Rate">Control!$E$46</definedName>
    <definedName name="Preferences.AreaUnits">Preferences!$C$7</definedName>
    <definedName name="Preferences.EnergyUnits">Preferences!$C$3</definedName>
    <definedName name="Preferences.moneyunits">Preferences!$C$9</definedName>
    <definedName name="Preferences.PowerUnits">Preferences!$C$5</definedName>
    <definedName name="Preferences.Unit.Energy">Preferences!$F$3</definedName>
    <definedName name="Preferences.Unit.Power">Preferences!$F$5</definedName>
    <definedName name="Price1990">Conversions!$D$85</definedName>
    <definedName name="Price1991">Conversions!$D$86</definedName>
    <definedName name="Price1992">Conversions!$D$87</definedName>
    <definedName name="Price1993">Conversions!$D$88</definedName>
    <definedName name="Price1994">Conversions!$D$89</definedName>
    <definedName name="Price1995">Conversions!$D$90</definedName>
    <definedName name="Price1996">Conversions!$D$91</definedName>
    <definedName name="Price1997">Conversions!$D$92</definedName>
    <definedName name="Price1998">Conversions!$D$93</definedName>
    <definedName name="Price1999">Conversions!$D$94</definedName>
    <definedName name="Price2000">Conversions!$D$95</definedName>
    <definedName name="Price2001">Conversions!$D$96</definedName>
    <definedName name="Price2002">Conversions!$D$97</definedName>
    <definedName name="Price2003">Conversions!$D$98</definedName>
    <definedName name="Price2004">Conversions!$D$99</definedName>
    <definedName name="Price2005">Conversions!$D$100</definedName>
    <definedName name="Price2006">Conversions!$D$101</definedName>
    <definedName name="Price2007">Conversions!$D$102</definedName>
    <definedName name="Price2008">Conversions!$D$103</definedName>
    <definedName name="Price2009">Conversions!$D$104</definedName>
    <definedName name="Price2010">Conversions!$D$105</definedName>
    <definedName name="Price2011">Conversions!$D$106</definedName>
    <definedName name="Public.Services.Scenario">Control!$E$61</definedName>
    <definedName name="Reduced_travel_demand">Control!$E$38</definedName>
    <definedName name="Res.H.Scenario.Mix">Control!$E$48</definedName>
    <definedName name="RES.HRK.Mix">Control!$E$51</definedName>
    <definedName name="RES.LWO.Mix">Control!$E$50</definedName>
    <definedName name="RES.N.Scenario.Mix">Control!$F$52</definedName>
    <definedName name="RES.PV.Scenario">Control!$E$14</definedName>
    <definedName name="RES.R.Scenario.Mix">Control!$E$47</definedName>
    <definedName name="RES.Scenario.Mix">Control!$E$49</definedName>
    <definedName name="RES.Scenario.Technology">Control!$E$54</definedName>
    <definedName name="RES.SWH.Scenario">Control!$E$52</definedName>
    <definedName name="RES.TechEfficiency.Scenario">Control!$E$53</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crap_1st4_BRTs">#REF!</definedName>
    <definedName name="Scrap_1st4_Buses">#REF!</definedName>
    <definedName name="Scrap_1st4_cars">#REF!</definedName>
    <definedName name="Scrap_1st4_minibuses">#REF!</definedName>
    <definedName name="Scrap_1st4_Motorcycle">#REF!</definedName>
    <definedName name="Scrap_1st4_SUVs">#REF!</definedName>
    <definedName name="Scrap_1st5_BRTs">#REF!</definedName>
    <definedName name="Scrap_1st5_Buses">#REF!</definedName>
    <definedName name="Scrap_1st5_cars">#REF!</definedName>
    <definedName name="Scrap_1st5_minibuses">#REF!</definedName>
    <definedName name="scrap_1st5_Motorcycle">#REF!</definedName>
    <definedName name="Scrap_1st5_SUVs">#REF!</definedName>
    <definedName name="Scrap_BRTs">#REF!</definedName>
    <definedName name="Scrap_buses">#REF!</definedName>
    <definedName name="Scrap_Cars">#REF!</definedName>
    <definedName name="Scrap_minibus">#REF!</definedName>
    <definedName name="Scrap_motorcycle">#REF!</definedName>
    <definedName name="Scrap_SUVs">#REF!</definedName>
    <definedName name="Scrapping_year">#REF!</definedName>
    <definedName name="sector_prefix" localSheetId="3">#REF!</definedName>
    <definedName name="sector_prefix" localSheetId="12">#REF!</definedName>
    <definedName name="sector_prefix" localSheetId="11">#REF!</definedName>
    <definedName name="TGBP">Conversions!$E$72</definedName>
    <definedName name="TGDP1">'Growth Paths '!$G$18:$K$18</definedName>
    <definedName name="TGDP2">'Growth Paths '!$L$18:$P$18</definedName>
    <definedName name="TGDP3">'Growth Paths '!$Q$18:$U$18</definedName>
    <definedName name="TRA.a.More_Public">Control!$E$39</definedName>
    <definedName name="TRA.a.Private_car_share">Control!$E$40</definedName>
    <definedName name="TRA.a.Private_Travel_behaviour">Control!$E$38</definedName>
    <definedName name="TRA.b.Efficiency_Improvement_Freight">Control!$E$43</definedName>
    <definedName name="TRA.b.GDP_Growth">Control!$E$44</definedName>
    <definedName name="TRA.b.Mode_Shift">Control!$E$42</definedName>
    <definedName name="Unit.acre">Conversions!$F$51</definedName>
    <definedName name="Unit.bcf">Conversions!$F$24</definedName>
    <definedName name="unit.bcm">Conversions!$F$25</definedName>
    <definedName name="Unit.boe">Conversions!$F$15</definedName>
    <definedName name="Unit.Btu">Conversions!$F$21</definedName>
    <definedName name="Unit.calorie">Conversions!$F$22</definedName>
    <definedName name="Unit.day">Conversions!$F$42</definedName>
    <definedName name="Unit.GJ">Conversions!$F$7</definedName>
    <definedName name="Unit.GW">Conversions!$F$31</definedName>
    <definedName name="Unit.GWh">Conversions!$F$13</definedName>
    <definedName name="Unit.GWyear">Conversions!$F$23</definedName>
    <definedName name="Unit.ha">Conversions!$F$49</definedName>
    <definedName name="Unit.hour">Conversions!$F$43</definedName>
    <definedName name="Unit.J">Conversions!$F$8</definedName>
    <definedName name="Unit.km2">Conversions!$F$52</definedName>
    <definedName name="Unit.ktoe">Conversions!$F$18</definedName>
    <definedName name="Unit.kW">Conversions!$F$33</definedName>
    <definedName name="Unit.kWh">Conversions!$F$10</definedName>
    <definedName name="Unit.kWh.p.d">Conversions!$F$11</definedName>
    <definedName name="Unit.m2">Conversions!$F$53</definedName>
    <definedName name="Unit.Mboe">Conversions!$F$16</definedName>
    <definedName name="Unit.mcm.d">Conversions!$F$35</definedName>
    <definedName name="Unit.Mha">Conversions!$F$50</definedName>
    <definedName name="Unit.minute">Conversions!$F$44</definedName>
    <definedName name="Unit.MJ">Conversions!$F$9</definedName>
    <definedName name="Unit.Mtoe">Conversions!$F$19</definedName>
    <definedName name="Unit.Mtoe.y">Conversions!$F$36</definedName>
    <definedName name="Unit.MW">Conversions!$F$32</definedName>
    <definedName name="Unit.MWh">Conversions!$F$14</definedName>
    <definedName name="Unit.PJ">Conversions!$F$5</definedName>
    <definedName name="Unit.therm">Conversions!$F$20</definedName>
    <definedName name="Unit.TJ">Conversions!$F$6</definedName>
    <definedName name="Unit.toe">Conversions!$F$17</definedName>
    <definedName name="Unit.TWh">Conversions!$F$12</definedName>
    <definedName name="Unit.W">Conversions!$F$34</definedName>
    <definedName name="Unit.Wales">Conversions!$F$54</definedName>
    <definedName name="Unit.year">Conversions!$F$41</definedName>
    <definedName name="USD2009_">Conversions!$E$77</definedName>
    <definedName name="USD2010_">Conversions!$E$78</definedName>
    <definedName name="VKT_1st4_BRTs">#REF!</definedName>
    <definedName name="VKT_1st4_Buses">#REF!</definedName>
    <definedName name="VKT_1st4_Cars">#REF!</definedName>
    <definedName name="VKT_1st4_Minibuses">#REF!</definedName>
    <definedName name="VKT_1st4_Motorcycle">#REF!</definedName>
    <definedName name="VKT_1st4_SUVs">#REF!</definedName>
    <definedName name="VKT_1st5_BRTs">#REF!</definedName>
    <definedName name="VKT_1st5_Buses">#REF!</definedName>
    <definedName name="VKT_1st5_Cars">#REF!</definedName>
    <definedName name="VKT_1st5_Minibuses">#REF!</definedName>
    <definedName name="VKT_1st5_Motocycle">#REF!</definedName>
    <definedName name="VKT_1st5_SUVs">#REF!</definedName>
    <definedName name="VKT_BRT">#REF!</definedName>
    <definedName name="VKT_BRTs">#REF!</definedName>
    <definedName name="VKT_Buses">#REF!</definedName>
    <definedName name="VKT_Cars">#REF!</definedName>
    <definedName name="VKT_Motorcycle">#REF!</definedName>
    <definedName name="VKT_MRTs">#REF!</definedName>
    <definedName name="VKT_SUVs">#REF!</definedName>
    <definedName name="Wind.Scenario">Control!$E$13</definedName>
    <definedName name="WST.Scenario">Control!$E$27</definedName>
    <definedName name="X.a.Scenario.Demand">Control!$E$56</definedName>
    <definedName name="X.a.Scenario.Technology">Control!$E$57</definedName>
    <definedName name="X.b.Scenario.Demand">Control!#REF!</definedName>
    <definedName name="X.b.Scenario.Technology">Control!#REF!</definedName>
    <definedName name="XI.a.Scenario.Efficiency">Control!$E$60</definedName>
    <definedName name="XI.a.Scenario.Output">Control!$E$58</definedName>
    <definedName name="XIV.a.Scenario">Control!$E$66</definedName>
    <definedName name="XLSIMSIM" localSheetId="4" hidden="1">{"Sim",3,"Output 1","'Reworked data'!$AI$84","Output 2","'Reworked data'!$AJ$84","Output 3","'Reworked data'!$AK$84","1","2","100","0"}</definedName>
    <definedName name="XLSIMSIM" localSheetId="8" hidden="1">{"Sim",3,"Output 1","'Reworked data'!$AI$84","Output 2","'Reworked data'!$AJ$84","Output 3","'Reworked data'!$AK$84","1","2","100","0"}</definedName>
    <definedName name="XLSIMSIM" hidden="1">{"Sim",3,"Output 1","'Reworked data'!$AI$84","Output 2","'Reworked data'!$AJ$84","Output 3","'Reworked data'!$AK$84","1","2","100","0"}</definedName>
    <definedName name="XV.b.Scenario">Control!$E$68</definedName>
  </definedNames>
  <calcPr calcId="140001" calcMode="manual" concurrentCalc="0"/>
  <extLst>
    <ext xmlns:mx="http://schemas.microsoft.com/office/mac/excel/2008/main" uri="{7523E5D3-25F3-A5E0-1632-64F254C22452}">
      <mx:ArchID Flags="2"/>
    </ext>
  </extLst>
</workbook>
</file>

<file path=xl/calcChain.xml><?xml version="1.0" encoding="utf-8"?>
<calcChain xmlns="http://schemas.openxmlformats.org/spreadsheetml/2006/main">
  <c r="C5" i="203" l="1"/>
  <c r="C142" i="203"/>
  <c r="D84" i="189"/>
  <c r="D31" i="60"/>
  <c r="AC30" i="350"/>
  <c r="U30" i="350"/>
  <c r="U32" i="350"/>
  <c r="X52" i="350"/>
  <c r="X70" i="350"/>
  <c r="X69" i="350"/>
  <c r="X68" i="350"/>
  <c r="X67" i="350"/>
  <c r="X66" i="350"/>
  <c r="X59" i="350"/>
  <c r="X51" i="350"/>
  <c r="X58" i="350"/>
  <c r="X50" i="350"/>
  <c r="X65" i="350"/>
  <c r="X57" i="350"/>
  <c r="X49" i="350"/>
  <c r="X64" i="350"/>
  <c r="X56" i="350"/>
  <c r="X48" i="350"/>
  <c r="X63" i="350"/>
  <c r="X55" i="350"/>
  <c r="X47" i="350"/>
  <c r="X62" i="350"/>
  <c r="X54" i="350"/>
  <c r="X46" i="350"/>
  <c r="X61" i="350"/>
  <c r="X53" i="350"/>
  <c r="X60" i="350"/>
  <c r="X43" i="350"/>
  <c r="X42" i="350"/>
  <c r="X41" i="350"/>
  <c r="X45" i="350"/>
  <c r="X44" i="350"/>
  <c r="X40" i="350"/>
  <c r="Z40" i="350"/>
  <c r="D15" i="201"/>
  <c r="N15" i="201"/>
  <c r="O15" i="201"/>
  <c r="P15" i="201"/>
  <c r="Q15" i="201"/>
  <c r="R15" i="201"/>
  <c r="S15" i="201"/>
  <c r="X15" i="201"/>
  <c r="Y15" i="201"/>
  <c r="Z15" i="201"/>
  <c r="AA15" i="201"/>
  <c r="AH15" i="201"/>
  <c r="AI15" i="201"/>
  <c r="AJ15" i="201"/>
  <c r="D16" i="201"/>
  <c r="E16" i="201"/>
  <c r="F16" i="201"/>
  <c r="G16" i="201"/>
  <c r="H16" i="201"/>
  <c r="I16" i="201"/>
  <c r="J16" i="201"/>
  <c r="K16" i="201"/>
  <c r="N16" i="201"/>
  <c r="O16" i="201"/>
  <c r="P16" i="201"/>
  <c r="Q16" i="201"/>
  <c r="R16" i="201"/>
  <c r="S16" i="201"/>
  <c r="X16" i="201"/>
  <c r="Y16" i="201"/>
  <c r="Z16" i="201"/>
  <c r="AA16" i="201"/>
  <c r="AH16" i="201"/>
  <c r="AI16" i="201"/>
  <c r="AJ16" i="201"/>
  <c r="E15" i="201"/>
  <c r="F15" i="201"/>
  <c r="G15" i="201"/>
  <c r="H15" i="201"/>
  <c r="I15" i="201"/>
  <c r="J15" i="201"/>
  <c r="K15" i="201"/>
  <c r="E10" i="260"/>
  <c r="E11" i="260"/>
  <c r="F1025" i="260"/>
  <c r="F539" i="260"/>
  <c r="C539" i="260"/>
  <c r="D539" i="260"/>
  <c r="F538" i="260"/>
  <c r="C538" i="260"/>
  <c r="D538" i="260"/>
  <c r="F537" i="260"/>
  <c r="C537" i="260"/>
  <c r="D537" i="260"/>
  <c r="F536" i="260"/>
  <c r="C536" i="260"/>
  <c r="D536" i="260"/>
  <c r="F535" i="260"/>
  <c r="C535" i="260"/>
  <c r="D535" i="260"/>
  <c r="F534" i="260"/>
  <c r="C534" i="260"/>
  <c r="D534" i="260"/>
  <c r="F533" i="260"/>
  <c r="C533" i="260"/>
  <c r="D533" i="260"/>
  <c r="F532" i="260"/>
  <c r="C532" i="260"/>
  <c r="D532" i="260"/>
  <c r="H530" i="260" a="1"/>
  <c r="I530" i="260"/>
  <c r="F192" i="260"/>
  <c r="H264" i="259"/>
  <c r="G264" i="259"/>
  <c r="H263" i="259"/>
  <c r="G263" i="259"/>
  <c r="F258" i="259"/>
  <c r="F259" i="259"/>
  <c r="F260" i="259"/>
  <c r="F261" i="259"/>
  <c r="F262" i="259"/>
  <c r="F263" i="259"/>
  <c r="F264" i="259"/>
  <c r="F265" i="259"/>
  <c r="J530" i="260"/>
  <c r="L530" i="260"/>
  <c r="M530" i="260"/>
  <c r="K530" i="260"/>
  <c r="O530" i="260"/>
  <c r="N530" i="260"/>
  <c r="H530" i="260"/>
  <c r="J263" i="259"/>
  <c r="M211" i="260"/>
  <c r="M538" i="260"/>
  <c r="J264" i="259"/>
  <c r="F212" i="260"/>
  <c r="C212" i="260"/>
  <c r="D212" i="260"/>
  <c r="F211" i="260"/>
  <c r="C211" i="260"/>
  <c r="D211" i="260"/>
  <c r="F210" i="260"/>
  <c r="C210" i="260"/>
  <c r="D210" i="260"/>
  <c r="F209" i="260"/>
  <c r="C209" i="260"/>
  <c r="D209" i="260"/>
  <c r="F208" i="260"/>
  <c r="C208" i="260"/>
  <c r="D208" i="260"/>
  <c r="F207" i="260"/>
  <c r="C207" i="260"/>
  <c r="D207" i="260"/>
  <c r="F206" i="260"/>
  <c r="C206" i="260"/>
  <c r="D206" i="260"/>
  <c r="F205" i="260"/>
  <c r="C205" i="260"/>
  <c r="D205" i="260"/>
  <c r="H203" i="260" a="1"/>
  <c r="O203" i="260"/>
  <c r="C215" i="260"/>
  <c r="C218" i="260"/>
  <c r="N210" i="260"/>
  <c r="N537" i="260"/>
  <c r="H203" i="260"/>
  <c r="J203" i="260"/>
  <c r="K203" i="260"/>
  <c r="L203" i="260"/>
  <c r="I203" i="260"/>
  <c r="M203" i="260"/>
  <c r="N203" i="260"/>
  <c r="N205" i="260"/>
  <c r="C110" i="203"/>
  <c r="C116" i="203"/>
  <c r="I116" i="203"/>
  <c r="AM183" i="344"/>
  <c r="AL183" i="344"/>
  <c r="AK183" i="344"/>
  <c r="AJ183" i="344"/>
  <c r="AI183" i="344"/>
  <c r="AH183" i="344"/>
  <c r="AM182" i="344"/>
  <c r="AL182" i="344"/>
  <c r="AK182" i="344"/>
  <c r="AJ182" i="344"/>
  <c r="AI182" i="344"/>
  <c r="AH182" i="344"/>
  <c r="AM181" i="344"/>
  <c r="AL181" i="344"/>
  <c r="AK181" i="344"/>
  <c r="AJ181" i="344"/>
  <c r="AI181" i="344"/>
  <c r="AH181" i="344"/>
  <c r="AM180" i="344"/>
  <c r="AL180" i="344"/>
  <c r="AK180" i="344"/>
  <c r="AJ180" i="344"/>
  <c r="AI180" i="344"/>
  <c r="AH180" i="344"/>
  <c r="AM179" i="344"/>
  <c r="AL179" i="344"/>
  <c r="AK179" i="344"/>
  <c r="AJ179" i="344"/>
  <c r="AI179" i="344"/>
  <c r="AH179" i="344"/>
  <c r="AM178" i="344"/>
  <c r="AL178" i="344"/>
  <c r="AK178" i="344"/>
  <c r="AJ178" i="344"/>
  <c r="AI178" i="344"/>
  <c r="AH178" i="344"/>
  <c r="AM177" i="344"/>
  <c r="AL177" i="344"/>
  <c r="AK177" i="344"/>
  <c r="AJ177" i="344"/>
  <c r="AI177" i="344"/>
  <c r="AH177" i="344"/>
  <c r="AM176" i="344"/>
  <c r="AL176" i="344"/>
  <c r="AK176" i="344"/>
  <c r="AJ176" i="344"/>
  <c r="AI176" i="344"/>
  <c r="AH176" i="344"/>
  <c r="AM175" i="344"/>
  <c r="AL175" i="344"/>
  <c r="AK175" i="344"/>
  <c r="AJ175" i="344"/>
  <c r="AI175" i="344"/>
  <c r="AH175" i="344"/>
  <c r="AM174" i="344"/>
  <c r="AL174" i="344"/>
  <c r="AK174" i="344"/>
  <c r="AJ174" i="344"/>
  <c r="AI174" i="344"/>
  <c r="AH174" i="344"/>
  <c r="AM173" i="344"/>
  <c r="AL173" i="344"/>
  <c r="AK173" i="344"/>
  <c r="AJ173" i="344"/>
  <c r="AI173" i="344"/>
  <c r="AH173" i="344"/>
  <c r="J172" i="344"/>
  <c r="K172" i="344"/>
  <c r="L172" i="344"/>
  <c r="M172" i="344"/>
  <c r="N172" i="344"/>
  <c r="O172" i="344"/>
  <c r="P172" i="344"/>
  <c r="Q172" i="344"/>
  <c r="R172" i="344"/>
  <c r="S172" i="344"/>
  <c r="T172" i="344"/>
  <c r="U172" i="344"/>
  <c r="V172" i="344"/>
  <c r="W172" i="344"/>
  <c r="X172" i="344"/>
  <c r="Y172" i="344"/>
  <c r="Z172" i="344"/>
  <c r="AA172" i="344"/>
  <c r="AB172" i="344"/>
  <c r="AC172" i="344"/>
  <c r="AD172" i="344"/>
  <c r="AE172" i="344"/>
  <c r="AF172" i="344"/>
  <c r="AG172" i="344"/>
  <c r="I172" i="344"/>
  <c r="AO69" i="189"/>
  <c r="AP69" i="189"/>
  <c r="AO70" i="189"/>
  <c r="AP70" i="189"/>
  <c r="AO74" i="189"/>
  <c r="AP74" i="189"/>
  <c r="AO71" i="189"/>
  <c r="AP71" i="189"/>
  <c r="AO72" i="189"/>
  <c r="AP72" i="189"/>
  <c r="AO73" i="189"/>
  <c r="AP73" i="189"/>
  <c r="F53" i="260" a="1"/>
  <c r="J53" i="260"/>
  <c r="H161" i="260" a="1"/>
  <c r="H99" i="260" a="1"/>
  <c r="H99" i="260"/>
  <c r="F163" i="260"/>
  <c r="F164" i="260"/>
  <c r="F165" i="260"/>
  <c r="F166" i="260"/>
  <c r="F167" i="260"/>
  <c r="F168" i="260"/>
  <c r="F169" i="260"/>
  <c r="F170" i="260"/>
  <c r="E5" i="6"/>
  <c r="F4" i="6"/>
  <c r="R156" i="252"/>
  <c r="F30" i="6"/>
  <c r="F33" i="6"/>
  <c r="F43" i="6"/>
  <c r="F42" i="6"/>
  <c r="F41" i="6"/>
  <c r="E17" i="6"/>
  <c r="E23" i="6"/>
  <c r="E10" i="6"/>
  <c r="E13" i="6"/>
  <c r="E8" i="260"/>
  <c r="F17" i="260"/>
  <c r="D66" i="189"/>
  <c r="D72" i="189"/>
  <c r="D81" i="189"/>
  <c r="D96" i="189"/>
  <c r="D105" i="189"/>
  <c r="C36" i="189"/>
  <c r="E36" i="189"/>
  <c r="E38" i="189"/>
  <c r="E39" i="189"/>
  <c r="E40" i="189"/>
  <c r="C40" i="189"/>
  <c r="J40" i="189"/>
  <c r="E42" i="189"/>
  <c r="G43" i="189"/>
  <c r="H43" i="189"/>
  <c r="AP66" i="189"/>
  <c r="AZ66" i="189"/>
  <c r="AX66" i="189"/>
  <c r="AO77" i="189"/>
  <c r="AP77" i="189"/>
  <c r="AW77" i="189"/>
  <c r="AX77" i="189"/>
  <c r="AY77" i="189"/>
  <c r="AZ77" i="189"/>
  <c r="AO78" i="189"/>
  <c r="AP78" i="189"/>
  <c r="AW78" i="189"/>
  <c r="AX78" i="189"/>
  <c r="AY78" i="189"/>
  <c r="AZ78" i="189"/>
  <c r="AO96" i="189"/>
  <c r="AP96" i="189"/>
  <c r="AW96" i="189"/>
  <c r="AX96" i="189"/>
  <c r="AY96" i="189"/>
  <c r="AZ96" i="189"/>
  <c r="E7" i="6"/>
  <c r="BS58" i="303"/>
  <c r="AE58" i="303"/>
  <c r="AE53" i="303"/>
  <c r="AJ58" i="303"/>
  <c r="AJ53" i="303"/>
  <c r="AO58" i="303"/>
  <c r="AO53" i="303"/>
  <c r="AT58" i="303"/>
  <c r="AT53" i="303"/>
  <c r="AY58" i="303"/>
  <c r="AY53" i="303"/>
  <c r="BD58" i="303"/>
  <c r="BD53" i="303"/>
  <c r="BI58" i="303"/>
  <c r="BI53" i="303"/>
  <c r="BN58" i="303"/>
  <c r="BN53" i="303"/>
  <c r="BS53" i="303"/>
  <c r="I46" i="303"/>
  <c r="I45" i="303"/>
  <c r="I47" i="303"/>
  <c r="I48" i="303"/>
  <c r="E9" i="6"/>
  <c r="F48" i="6"/>
  <c r="E49" i="6"/>
  <c r="E52" i="6"/>
  <c r="E20" i="6"/>
  <c r="G191" i="260" a="1"/>
  <c r="N191" i="260"/>
  <c r="CI262" i="259"/>
  <c r="E12" i="6"/>
  <c r="F681" i="260"/>
  <c r="F1749" i="260"/>
  <c r="F1753" i="260"/>
  <c r="C428" i="260"/>
  <c r="C438" i="260"/>
  <c r="C427" i="260"/>
  <c r="C437" i="260"/>
  <c r="C426" i="260"/>
  <c r="C436" i="260"/>
  <c r="C425" i="260"/>
  <c r="C435" i="260"/>
  <c r="C424" i="260"/>
  <c r="C434" i="260"/>
  <c r="C423" i="260"/>
  <c r="C433" i="260"/>
  <c r="C422" i="260"/>
  <c r="C432" i="260"/>
  <c r="C421" i="260"/>
  <c r="C431" i="260"/>
  <c r="C33" i="260"/>
  <c r="C34" i="260"/>
  <c r="D20" i="260"/>
  <c r="D21" i="260"/>
  <c r="C777" i="260"/>
  <c r="D22" i="260"/>
  <c r="C787" i="260"/>
  <c r="D23" i="260"/>
  <c r="C797" i="260"/>
  <c r="D24" i="260"/>
  <c r="C807" i="260"/>
  <c r="D25" i="260"/>
  <c r="D26" i="260"/>
  <c r="D27" i="260"/>
  <c r="C35" i="260"/>
  <c r="C36" i="260"/>
  <c r="C37" i="260"/>
  <c r="C38" i="260"/>
  <c r="C39" i="260"/>
  <c r="C40" i="260"/>
  <c r="B845" i="260"/>
  <c r="C845" i="260"/>
  <c r="B844" i="260"/>
  <c r="C844" i="260"/>
  <c r="B843" i="260"/>
  <c r="C843" i="260"/>
  <c r="B842" i="260"/>
  <c r="C842" i="260"/>
  <c r="B841" i="260"/>
  <c r="C841" i="260"/>
  <c r="B840" i="260"/>
  <c r="C840" i="260"/>
  <c r="B839" i="260"/>
  <c r="C839" i="260"/>
  <c r="B838" i="260"/>
  <c r="C838" i="260"/>
  <c r="B835" i="260"/>
  <c r="C835" i="260"/>
  <c r="B834" i="260"/>
  <c r="C834" i="260"/>
  <c r="B833" i="260"/>
  <c r="C833" i="260"/>
  <c r="B832" i="260"/>
  <c r="C832" i="260"/>
  <c r="B831" i="260"/>
  <c r="C831" i="260"/>
  <c r="B830" i="260"/>
  <c r="C830" i="260"/>
  <c r="B829" i="260"/>
  <c r="C829" i="260"/>
  <c r="B828" i="260"/>
  <c r="C828" i="260"/>
  <c r="B825" i="260"/>
  <c r="C825" i="260"/>
  <c r="B824" i="260"/>
  <c r="C824" i="260"/>
  <c r="B823" i="260"/>
  <c r="C823" i="260"/>
  <c r="B822" i="260"/>
  <c r="C822" i="260"/>
  <c r="B821" i="260"/>
  <c r="C821" i="260"/>
  <c r="B820" i="260"/>
  <c r="C820" i="260"/>
  <c r="B819" i="260"/>
  <c r="C819" i="260"/>
  <c r="B818" i="260"/>
  <c r="C818" i="260"/>
  <c r="B815" i="260"/>
  <c r="C815" i="260"/>
  <c r="B814" i="260"/>
  <c r="C814" i="260"/>
  <c r="B813" i="260"/>
  <c r="C813" i="260"/>
  <c r="B812" i="260"/>
  <c r="C812" i="260"/>
  <c r="B811" i="260"/>
  <c r="C811" i="260"/>
  <c r="B810" i="260"/>
  <c r="C810" i="260"/>
  <c r="B809" i="260"/>
  <c r="C809" i="260"/>
  <c r="B808" i="260"/>
  <c r="C808" i="260"/>
  <c r="B805" i="260"/>
  <c r="C805" i="260"/>
  <c r="B804" i="260"/>
  <c r="C804" i="260"/>
  <c r="B803" i="260"/>
  <c r="C803" i="260"/>
  <c r="B802" i="260"/>
  <c r="C802" i="260"/>
  <c r="B801" i="260"/>
  <c r="C801" i="260"/>
  <c r="B800" i="260"/>
  <c r="C800" i="260"/>
  <c r="B799" i="260"/>
  <c r="C799" i="260"/>
  <c r="B798" i="260"/>
  <c r="C798" i="260"/>
  <c r="B795" i="260"/>
  <c r="C795" i="260"/>
  <c r="B794" i="260"/>
  <c r="C794" i="260"/>
  <c r="B793" i="260"/>
  <c r="C793" i="260"/>
  <c r="B792" i="260"/>
  <c r="C792" i="260"/>
  <c r="B791" i="260"/>
  <c r="C791" i="260"/>
  <c r="B790" i="260"/>
  <c r="C790" i="260"/>
  <c r="B789" i="260"/>
  <c r="C789" i="260"/>
  <c r="B788" i="260"/>
  <c r="C788" i="260"/>
  <c r="B785" i="260"/>
  <c r="C785" i="260"/>
  <c r="B784" i="260"/>
  <c r="C784" i="260"/>
  <c r="B783" i="260"/>
  <c r="C783" i="260"/>
  <c r="B782" i="260"/>
  <c r="C782" i="260"/>
  <c r="B781" i="260"/>
  <c r="C781" i="260"/>
  <c r="B780" i="260"/>
  <c r="C780" i="260"/>
  <c r="B779" i="260"/>
  <c r="C779" i="260"/>
  <c r="B778" i="260"/>
  <c r="C778" i="260"/>
  <c r="B769" i="260"/>
  <c r="C769" i="260"/>
  <c r="B770" i="260"/>
  <c r="C770" i="260"/>
  <c r="B771" i="260"/>
  <c r="C771" i="260"/>
  <c r="B772" i="260"/>
  <c r="C772" i="260"/>
  <c r="B773" i="260"/>
  <c r="C773" i="260"/>
  <c r="B774" i="260"/>
  <c r="C774" i="260"/>
  <c r="B775" i="260"/>
  <c r="C775" i="260"/>
  <c r="B768" i="260"/>
  <c r="C768" i="260"/>
  <c r="B744" i="260"/>
  <c r="B745" i="260"/>
  <c r="B746" i="260"/>
  <c r="B747" i="260"/>
  <c r="B748" i="260"/>
  <c r="B749" i="260"/>
  <c r="B750" i="260"/>
  <c r="B743" i="260"/>
  <c r="A1703" i="260"/>
  <c r="A1704" i="260"/>
  <c r="A1705" i="260"/>
  <c r="A1706" i="260"/>
  <c r="A1707" i="260"/>
  <c r="A1708" i="260"/>
  <c r="A1709" i="260"/>
  <c r="A1702" i="260"/>
  <c r="A1609" i="260"/>
  <c r="A1610" i="260"/>
  <c r="A1611" i="260"/>
  <c r="A1612" i="260"/>
  <c r="A1613" i="260"/>
  <c r="A1614" i="260"/>
  <c r="A1615" i="260"/>
  <c r="A1608" i="260"/>
  <c r="A1514" i="260"/>
  <c r="A1515" i="260"/>
  <c r="A1516" i="260"/>
  <c r="A1517" i="260"/>
  <c r="A1518" i="260"/>
  <c r="A1519" i="260"/>
  <c r="A1520" i="260"/>
  <c r="A1513" i="260"/>
  <c r="A1381" i="260"/>
  <c r="A1382" i="260"/>
  <c r="A1383" i="260"/>
  <c r="A1384" i="260"/>
  <c r="A1385" i="260"/>
  <c r="A1386" i="260"/>
  <c r="A1387" i="260"/>
  <c r="A1380" i="260"/>
  <c r="A1287" i="260"/>
  <c r="A1288" i="260"/>
  <c r="A1289" i="260"/>
  <c r="A1290" i="260"/>
  <c r="A1291" i="260"/>
  <c r="A1292" i="260"/>
  <c r="A1293" i="260"/>
  <c r="A1286" i="260"/>
  <c r="A1193" i="260"/>
  <c r="A1194" i="260"/>
  <c r="A1195" i="260"/>
  <c r="A1196" i="260"/>
  <c r="A1197" i="260"/>
  <c r="A1198" i="260"/>
  <c r="A1199" i="260"/>
  <c r="A1192" i="260"/>
  <c r="A757" i="260"/>
  <c r="A758" i="260"/>
  <c r="A759" i="260"/>
  <c r="A760" i="260"/>
  <c r="A761" i="260"/>
  <c r="A762" i="260"/>
  <c r="A763" i="260"/>
  <c r="A734" i="260"/>
  <c r="A744" i="260"/>
  <c r="A735" i="260"/>
  <c r="A745" i="260"/>
  <c r="A736" i="260"/>
  <c r="A746" i="260"/>
  <c r="A737" i="260"/>
  <c r="A747" i="260"/>
  <c r="A738" i="260"/>
  <c r="A748" i="260"/>
  <c r="A739" i="260"/>
  <c r="A749" i="260"/>
  <c r="A740" i="260"/>
  <c r="A750" i="260"/>
  <c r="A733" i="260"/>
  <c r="A743" i="260"/>
  <c r="A756" i="260"/>
  <c r="C709" i="260"/>
  <c r="C710" i="260"/>
  <c r="C711" i="260"/>
  <c r="C712" i="260"/>
  <c r="C713" i="260"/>
  <c r="C714" i="260"/>
  <c r="C715" i="260"/>
  <c r="C708" i="260"/>
  <c r="C696" i="260"/>
  <c r="C697" i="260"/>
  <c r="C698" i="260"/>
  <c r="C699" i="260"/>
  <c r="C700" i="260"/>
  <c r="C701" i="260"/>
  <c r="C702" i="260"/>
  <c r="C695" i="260"/>
  <c r="C683" i="260"/>
  <c r="C684" i="260"/>
  <c r="C685" i="260"/>
  <c r="C686" i="260"/>
  <c r="C687" i="260"/>
  <c r="C688" i="260"/>
  <c r="C689" i="260"/>
  <c r="C682" i="260"/>
  <c r="C670" i="260"/>
  <c r="C671" i="260"/>
  <c r="C672" i="260"/>
  <c r="C673" i="260"/>
  <c r="C674" i="260"/>
  <c r="C675" i="260"/>
  <c r="C676" i="260"/>
  <c r="C669" i="260"/>
  <c r="C622" i="260"/>
  <c r="C641" i="260"/>
  <c r="C623" i="260"/>
  <c r="C624" i="260"/>
  <c r="C643" i="260"/>
  <c r="C625" i="260"/>
  <c r="C644" i="260"/>
  <c r="C626" i="260"/>
  <c r="C627" i="260"/>
  <c r="C628" i="260"/>
  <c r="C665" i="260"/>
  <c r="C621" i="260"/>
  <c r="C606" i="260"/>
  <c r="C607" i="260"/>
  <c r="C608" i="260"/>
  <c r="C609" i="260"/>
  <c r="C610" i="260"/>
  <c r="C611" i="260"/>
  <c r="C612" i="260"/>
  <c r="C605" i="260"/>
  <c r="C596" i="260"/>
  <c r="C597" i="260"/>
  <c r="C598" i="260"/>
  <c r="C599" i="260"/>
  <c r="C600" i="260"/>
  <c r="C601" i="260"/>
  <c r="C602" i="260"/>
  <c r="C595" i="260"/>
  <c r="C548" i="260"/>
  <c r="C575" i="260"/>
  <c r="F178" i="260"/>
  <c r="C549" i="260"/>
  <c r="C585" i="260"/>
  <c r="C550" i="260"/>
  <c r="C551" i="260"/>
  <c r="C552" i="260"/>
  <c r="C579" i="260"/>
  <c r="C553" i="260"/>
  <c r="C562" i="260"/>
  <c r="C554" i="260"/>
  <c r="C555" i="260"/>
  <c r="C591" i="260"/>
  <c r="C471" i="260"/>
  <c r="C481" i="260"/>
  <c r="F113" i="260"/>
  <c r="F114" i="260"/>
  <c r="F115" i="260"/>
  <c r="F116" i="260"/>
  <c r="F117" i="260"/>
  <c r="F118" i="260"/>
  <c r="F119" i="260"/>
  <c r="F144" i="260"/>
  <c r="F145" i="260"/>
  <c r="F146" i="260"/>
  <c r="F147" i="260"/>
  <c r="F148" i="260"/>
  <c r="F149" i="260"/>
  <c r="F150" i="260"/>
  <c r="C517" i="260"/>
  <c r="C470" i="260"/>
  <c r="C480" i="260"/>
  <c r="C516" i="260"/>
  <c r="C469" i="260"/>
  <c r="C479" i="260"/>
  <c r="C515" i="260"/>
  <c r="C468" i="260"/>
  <c r="C478" i="260"/>
  <c r="C514" i="260"/>
  <c r="C467" i="260"/>
  <c r="C477" i="260"/>
  <c r="C513" i="260"/>
  <c r="C466" i="260"/>
  <c r="C476" i="260"/>
  <c r="C512" i="260"/>
  <c r="C465" i="260"/>
  <c r="C475" i="260"/>
  <c r="F123" i="260"/>
  <c r="F154" i="260"/>
  <c r="C511" i="260"/>
  <c r="C464" i="260"/>
  <c r="C474" i="260"/>
  <c r="C510" i="260"/>
  <c r="C502" i="260"/>
  <c r="C503" i="260"/>
  <c r="C504" i="260"/>
  <c r="C505" i="260"/>
  <c r="C506" i="260"/>
  <c r="C507" i="260"/>
  <c r="C508" i="260"/>
  <c r="C501" i="260"/>
  <c r="C493" i="260"/>
  <c r="C494" i="260"/>
  <c r="C495" i="260"/>
  <c r="C496" i="260"/>
  <c r="C497" i="260"/>
  <c r="C498" i="260"/>
  <c r="C499" i="260"/>
  <c r="C492" i="260"/>
  <c r="C484" i="260"/>
  <c r="C485" i="260"/>
  <c r="C486" i="260"/>
  <c r="C487" i="260"/>
  <c r="C488" i="260"/>
  <c r="C489" i="260"/>
  <c r="C490" i="260"/>
  <c r="C483" i="260"/>
  <c r="C520" i="260"/>
  <c r="C521" i="260"/>
  <c r="C522" i="260"/>
  <c r="C523" i="260"/>
  <c r="C524" i="260"/>
  <c r="C525" i="260"/>
  <c r="C526" i="260"/>
  <c r="C519" i="260"/>
  <c r="E264" i="259"/>
  <c r="K264" i="259"/>
  <c r="M264" i="259"/>
  <c r="N264" i="259"/>
  <c r="H174" i="260" a="1"/>
  <c r="M174" i="260"/>
  <c r="H130" i="260" a="1"/>
  <c r="O130" i="260"/>
  <c r="C451" i="260"/>
  <c r="C452" i="260"/>
  <c r="C453" i="260"/>
  <c r="C454" i="260"/>
  <c r="C455" i="260"/>
  <c r="C456" i="260"/>
  <c r="C457" i="260"/>
  <c r="C450" i="260"/>
  <c r="C316" i="260"/>
  <c r="C317" i="260"/>
  <c r="C318" i="260"/>
  <c r="C319" i="260"/>
  <c r="C320" i="260"/>
  <c r="C321" i="260"/>
  <c r="C322" i="260"/>
  <c r="C315" i="260"/>
  <c r="C290" i="260"/>
  <c r="C280" i="260"/>
  <c r="C270" i="260"/>
  <c r="C260" i="260"/>
  <c r="C250" i="260"/>
  <c r="C240" i="260"/>
  <c r="C229" i="260"/>
  <c r="C303" i="260"/>
  <c r="C304" i="260"/>
  <c r="C305" i="260"/>
  <c r="C306" i="260"/>
  <c r="C307" i="260"/>
  <c r="C308" i="260"/>
  <c r="C309" i="260"/>
  <c r="C302" i="260"/>
  <c r="C81" i="260"/>
  <c r="C82" i="260"/>
  <c r="C83" i="260"/>
  <c r="C84" i="260"/>
  <c r="C85" i="260"/>
  <c r="C86" i="260"/>
  <c r="C87" i="260"/>
  <c r="C80" i="260"/>
  <c r="C68" i="260"/>
  <c r="C69" i="260"/>
  <c r="C70" i="260"/>
  <c r="C71" i="260"/>
  <c r="C72" i="260"/>
  <c r="C73" i="260"/>
  <c r="C74" i="260"/>
  <c r="C67" i="260"/>
  <c r="BJ258" i="259"/>
  <c r="BQ258" i="259"/>
  <c r="BJ259" i="259"/>
  <c r="BH259" i="259"/>
  <c r="BQ259" i="259"/>
  <c r="BJ260" i="259"/>
  <c r="BQ260" i="259"/>
  <c r="BJ261" i="259"/>
  <c r="BH261" i="259"/>
  <c r="BQ261" i="259"/>
  <c r="BJ262" i="259"/>
  <c r="BQ262" i="259"/>
  <c r="BJ263" i="259"/>
  <c r="BH263" i="259"/>
  <c r="BQ263" i="259"/>
  <c r="BJ264" i="259"/>
  <c r="BH264" i="259"/>
  <c r="BQ264" i="259"/>
  <c r="BJ265" i="259"/>
  <c r="BH265" i="259"/>
  <c r="BQ265" i="259"/>
  <c r="I30" i="23"/>
  <c r="AF53" i="303"/>
  <c r="AG53" i="303"/>
  <c r="AH53" i="303"/>
  <c r="AI53" i="303"/>
  <c r="AK53" i="303"/>
  <c r="AL53" i="303"/>
  <c r="AM53" i="303"/>
  <c r="AN53" i="303"/>
  <c r="AP53" i="303"/>
  <c r="AQ53" i="303"/>
  <c r="AR53" i="303"/>
  <c r="AS53" i="303"/>
  <c r="AU53" i="303"/>
  <c r="AV53" i="303"/>
  <c r="AW53" i="303"/>
  <c r="AX53" i="303"/>
  <c r="AZ53" i="303"/>
  <c r="BA53" i="303"/>
  <c r="BB53" i="303"/>
  <c r="BC53" i="303"/>
  <c r="BE53" i="303"/>
  <c r="BF53" i="303"/>
  <c r="BG53" i="303"/>
  <c r="BH53" i="303"/>
  <c r="BJ53" i="303"/>
  <c r="BK53" i="303"/>
  <c r="BL53" i="303"/>
  <c r="BM53" i="303"/>
  <c r="BO53" i="303"/>
  <c r="BP53" i="303"/>
  <c r="BQ53" i="303"/>
  <c r="BR53" i="303"/>
  <c r="CA51" i="259"/>
  <c r="CA52" i="259"/>
  <c r="CA53" i="259"/>
  <c r="CA54" i="259"/>
  <c r="CA55" i="259"/>
  <c r="CA56" i="259"/>
  <c r="CA57" i="259"/>
  <c r="CA58" i="259"/>
  <c r="CA59" i="259"/>
  <c r="E9" i="260"/>
  <c r="E616" i="260"/>
  <c r="BY51" i="259"/>
  <c r="BZ51" i="259"/>
  <c r="BY52" i="259"/>
  <c r="BZ52" i="259"/>
  <c r="BY53" i="259"/>
  <c r="BZ53" i="259"/>
  <c r="BY54" i="259"/>
  <c r="BZ54" i="259"/>
  <c r="BY55" i="259"/>
  <c r="BZ55" i="259"/>
  <c r="BY56" i="259"/>
  <c r="BZ56" i="259"/>
  <c r="BY57" i="259"/>
  <c r="BZ57" i="259"/>
  <c r="BY58" i="259"/>
  <c r="BZ58" i="259"/>
  <c r="BY59" i="259"/>
  <c r="BZ59" i="259"/>
  <c r="BQ60" i="259"/>
  <c r="E460" i="260"/>
  <c r="F176" i="260"/>
  <c r="F177" i="260"/>
  <c r="F179" i="260"/>
  <c r="F180" i="260"/>
  <c r="F181" i="260"/>
  <c r="F182" i="260"/>
  <c r="F183" i="260"/>
  <c r="D518" i="260"/>
  <c r="D509" i="260"/>
  <c r="BG31" i="259"/>
  <c r="BP31" i="259"/>
  <c r="BP32" i="259"/>
  <c r="BP34" i="259"/>
  <c r="BH31" i="259"/>
  <c r="BI31" i="259"/>
  <c r="BJ31" i="259"/>
  <c r="BK31" i="259"/>
  <c r="BL31" i="259"/>
  <c r="BM31" i="259"/>
  <c r="BN31" i="259"/>
  <c r="BO31" i="259"/>
  <c r="E263" i="259"/>
  <c r="K263" i="259"/>
  <c r="L263" i="259"/>
  <c r="BQ61" i="259"/>
  <c r="BQ62" i="259"/>
  <c r="BQ63" i="259"/>
  <c r="BQ64" i="259"/>
  <c r="BQ65" i="259"/>
  <c r="BQ66" i="259"/>
  <c r="BQ67" i="259"/>
  <c r="BQ52" i="259"/>
  <c r="BQ53" i="259"/>
  <c r="BQ54" i="259"/>
  <c r="BQ55" i="259"/>
  <c r="BQ56" i="259"/>
  <c r="BQ57" i="259"/>
  <c r="BQ58" i="259"/>
  <c r="BQ51" i="259"/>
  <c r="BQ43" i="259"/>
  <c r="BQ44" i="259"/>
  <c r="BQ45" i="259"/>
  <c r="BQ46" i="259"/>
  <c r="BQ47" i="259"/>
  <c r="BQ48" i="259"/>
  <c r="BQ49" i="259"/>
  <c r="BQ42" i="259"/>
  <c r="BQ76" i="259"/>
  <c r="BQ75" i="259"/>
  <c r="BQ74" i="259"/>
  <c r="BQ73" i="259"/>
  <c r="BQ72" i="259"/>
  <c r="BQ71" i="259"/>
  <c r="BQ70" i="259"/>
  <c r="BQ69" i="259"/>
  <c r="AJ54" i="303"/>
  <c r="AO54" i="303"/>
  <c r="AT54" i="303"/>
  <c r="AY54" i="303"/>
  <c r="BD54" i="303"/>
  <c r="BI54" i="303"/>
  <c r="BN54" i="303"/>
  <c r="BS54" i="303"/>
  <c r="AJ55" i="303"/>
  <c r="AO55" i="303"/>
  <c r="AT55" i="303"/>
  <c r="AY55" i="303"/>
  <c r="BD55" i="303"/>
  <c r="BI55" i="303"/>
  <c r="BN55" i="303"/>
  <c r="BS55" i="303"/>
  <c r="AJ56" i="303"/>
  <c r="AO56" i="303"/>
  <c r="AT56" i="303"/>
  <c r="AY56" i="303"/>
  <c r="BD56" i="303"/>
  <c r="BI56" i="303"/>
  <c r="BN56" i="303"/>
  <c r="BS56" i="303"/>
  <c r="AJ57" i="303"/>
  <c r="AO57" i="303"/>
  <c r="AT57" i="303"/>
  <c r="AY57" i="303"/>
  <c r="BD57" i="303"/>
  <c r="BI57" i="303"/>
  <c r="BN57" i="303"/>
  <c r="BS57" i="303"/>
  <c r="AE54" i="303"/>
  <c r="AE55" i="303"/>
  <c r="AE56" i="303"/>
  <c r="AE57" i="303"/>
  <c r="I37" i="303"/>
  <c r="I54" i="303"/>
  <c r="I63" i="303"/>
  <c r="U54" i="303"/>
  <c r="U63" i="303"/>
  <c r="V54" i="303"/>
  <c r="V63" i="303"/>
  <c r="AF54" i="303"/>
  <c r="AG54" i="303"/>
  <c r="AH54" i="303"/>
  <c r="AI54" i="303"/>
  <c r="AK54" i="303"/>
  <c r="AL54" i="303"/>
  <c r="AM54" i="303"/>
  <c r="AN54" i="303"/>
  <c r="AP54" i="303"/>
  <c r="AQ54" i="303"/>
  <c r="AR54" i="303"/>
  <c r="AS54" i="303"/>
  <c r="AU54" i="303"/>
  <c r="AV54" i="303"/>
  <c r="AW54" i="303"/>
  <c r="AX54" i="303"/>
  <c r="AZ54" i="303"/>
  <c r="BA54" i="303"/>
  <c r="BB54" i="303"/>
  <c r="BC54" i="303"/>
  <c r="BE54" i="303"/>
  <c r="BF54" i="303"/>
  <c r="BG54" i="303"/>
  <c r="BH54" i="303"/>
  <c r="BJ54" i="303"/>
  <c r="BK54" i="303"/>
  <c r="BL54" i="303"/>
  <c r="BM54" i="303"/>
  <c r="BO54" i="303"/>
  <c r="BP54" i="303"/>
  <c r="BQ54" i="303"/>
  <c r="BR54" i="303"/>
  <c r="I55" i="303"/>
  <c r="I64" i="303"/>
  <c r="AF55" i="303"/>
  <c r="AG55" i="303"/>
  <c r="AH55" i="303"/>
  <c r="AI55" i="303"/>
  <c r="AK55" i="303"/>
  <c r="AL55" i="303"/>
  <c r="AM55" i="303"/>
  <c r="AN55" i="303"/>
  <c r="AP55" i="303"/>
  <c r="AQ55" i="303"/>
  <c r="AR55" i="303"/>
  <c r="AS55" i="303"/>
  <c r="AU55" i="303"/>
  <c r="AV55" i="303"/>
  <c r="AW55" i="303"/>
  <c r="AX55" i="303"/>
  <c r="AZ55" i="303"/>
  <c r="BA55" i="303"/>
  <c r="BB55" i="303"/>
  <c r="BC55" i="303"/>
  <c r="BE55" i="303"/>
  <c r="BF55" i="303"/>
  <c r="BG55" i="303"/>
  <c r="BH55" i="303"/>
  <c r="BJ55" i="303"/>
  <c r="BK55" i="303"/>
  <c r="BL55" i="303"/>
  <c r="BM55" i="303"/>
  <c r="BO55" i="303"/>
  <c r="BP55" i="303"/>
  <c r="BQ55" i="303"/>
  <c r="BR55" i="303"/>
  <c r="I56" i="303"/>
  <c r="I65" i="303"/>
  <c r="U56" i="303"/>
  <c r="U65" i="303"/>
  <c r="V56" i="303"/>
  <c r="V65" i="303"/>
  <c r="AF56" i="303"/>
  <c r="AG56" i="303"/>
  <c r="AH56" i="303"/>
  <c r="AI56" i="303"/>
  <c r="AK56" i="303"/>
  <c r="AL56" i="303"/>
  <c r="AM56" i="303"/>
  <c r="AN56" i="303"/>
  <c r="AP56" i="303"/>
  <c r="AQ56" i="303"/>
  <c r="AR56" i="303"/>
  <c r="AS56" i="303"/>
  <c r="AU56" i="303"/>
  <c r="AV56" i="303"/>
  <c r="AW56" i="303"/>
  <c r="AX56" i="303"/>
  <c r="AZ56" i="303"/>
  <c r="BA56" i="303"/>
  <c r="BB56" i="303"/>
  <c r="BC56" i="303"/>
  <c r="BE56" i="303"/>
  <c r="BF56" i="303"/>
  <c r="BG56" i="303"/>
  <c r="BH56" i="303"/>
  <c r="BJ56" i="303"/>
  <c r="BK56" i="303"/>
  <c r="BL56" i="303"/>
  <c r="BM56" i="303"/>
  <c r="BO56" i="303"/>
  <c r="BP56" i="303"/>
  <c r="BQ56" i="303"/>
  <c r="BR56" i="303"/>
  <c r="I57" i="303"/>
  <c r="I66" i="303"/>
  <c r="AF57" i="303"/>
  <c r="AG57" i="303"/>
  <c r="AH57" i="303"/>
  <c r="AI57" i="303"/>
  <c r="AK57" i="303"/>
  <c r="AL57" i="303"/>
  <c r="AM57" i="303"/>
  <c r="AN57" i="303"/>
  <c r="AP57" i="303"/>
  <c r="AQ57" i="303"/>
  <c r="AR57" i="303"/>
  <c r="AS57" i="303"/>
  <c r="AU57" i="303"/>
  <c r="AV57" i="303"/>
  <c r="AW57" i="303"/>
  <c r="AX57" i="303"/>
  <c r="AZ57" i="303"/>
  <c r="BA57" i="303"/>
  <c r="BB57" i="303"/>
  <c r="BC57" i="303"/>
  <c r="BE57" i="303"/>
  <c r="BF57" i="303"/>
  <c r="BG57" i="303"/>
  <c r="BH57" i="303"/>
  <c r="BJ57" i="303"/>
  <c r="BK57" i="303"/>
  <c r="BL57" i="303"/>
  <c r="BM57" i="303"/>
  <c r="BO57" i="303"/>
  <c r="BP57" i="303"/>
  <c r="BQ57" i="303"/>
  <c r="BR57" i="303"/>
  <c r="I58" i="303"/>
  <c r="I67" i="303"/>
  <c r="E54" i="303"/>
  <c r="E63" i="303"/>
  <c r="E64" i="303"/>
  <c r="E65" i="303"/>
  <c r="AF58" i="303"/>
  <c r="AG58" i="303"/>
  <c r="AH58" i="303"/>
  <c r="AI58" i="303"/>
  <c r="AK58" i="303"/>
  <c r="AL58" i="303"/>
  <c r="AM58" i="303"/>
  <c r="AN58" i="303"/>
  <c r="AP58" i="303"/>
  <c r="AQ58" i="303"/>
  <c r="AR58" i="303"/>
  <c r="AS58" i="303"/>
  <c r="AU58" i="303"/>
  <c r="AV58" i="303"/>
  <c r="AW58" i="303"/>
  <c r="AX58" i="303"/>
  <c r="AZ58" i="303"/>
  <c r="BA58" i="303"/>
  <c r="BB58" i="303"/>
  <c r="BC58" i="303"/>
  <c r="BE58" i="303"/>
  <c r="BF58" i="303"/>
  <c r="BG58" i="303"/>
  <c r="BH58" i="303"/>
  <c r="BJ58" i="303"/>
  <c r="BK58" i="303"/>
  <c r="BL58" i="303"/>
  <c r="BM58" i="303"/>
  <c r="BO58" i="303"/>
  <c r="BP58" i="303"/>
  <c r="BQ58" i="303"/>
  <c r="BR58" i="303"/>
  <c r="M25" i="303"/>
  <c r="M24" i="303"/>
  <c r="L27" i="303"/>
  <c r="L26" i="303"/>
  <c r="L28" i="303"/>
  <c r="L29" i="303"/>
  <c r="K32" i="303"/>
  <c r="K33" i="303"/>
  <c r="K31" i="303"/>
  <c r="I36" i="303"/>
  <c r="AI236" i="259"/>
  <c r="AI216" i="259"/>
  <c r="AI196" i="259"/>
  <c r="AI177" i="259"/>
  <c r="AI158" i="259"/>
  <c r="AI139" i="259"/>
  <c r="AI117" i="259"/>
  <c r="AI96" i="259"/>
  <c r="F41" i="324"/>
  <c r="G41" i="324"/>
  <c r="G36" i="324"/>
  <c r="H41" i="324"/>
  <c r="H27" i="324"/>
  <c r="I41" i="324"/>
  <c r="I39" i="324"/>
  <c r="J41" i="324"/>
  <c r="K41" i="324"/>
  <c r="K38" i="324"/>
  <c r="L41" i="324"/>
  <c r="M41" i="324"/>
  <c r="M33" i="324"/>
  <c r="N41" i="324"/>
  <c r="O41" i="324"/>
  <c r="P41" i="324"/>
  <c r="P35" i="324"/>
  <c r="Q41" i="324"/>
  <c r="Q27" i="324"/>
  <c r="R41" i="324"/>
  <c r="S41" i="324"/>
  <c r="S30" i="324"/>
  <c r="T41" i="324"/>
  <c r="U41" i="324"/>
  <c r="U33" i="324"/>
  <c r="V41" i="324"/>
  <c r="W41" i="324"/>
  <c r="W27" i="324"/>
  <c r="X41" i="324"/>
  <c r="X37" i="324"/>
  <c r="Y41" i="324"/>
  <c r="Z41" i="324"/>
  <c r="AA41" i="324"/>
  <c r="AB41" i="324"/>
  <c r="AC41" i="324"/>
  <c r="AC33" i="324"/>
  <c r="AD41" i="324"/>
  <c r="AE41" i="324"/>
  <c r="AF41" i="324"/>
  <c r="AF32" i="324"/>
  <c r="AG41" i="324"/>
  <c r="AG35" i="324"/>
  <c r="AH41" i="324"/>
  <c r="AH29" i="324"/>
  <c r="AI41" i="324"/>
  <c r="AI30" i="324"/>
  <c r="E41" i="324"/>
  <c r="E29" i="324"/>
  <c r="D41" i="324"/>
  <c r="D59" i="324"/>
  <c r="D22" i="325"/>
  <c r="E22" i="325"/>
  <c r="D65" i="325"/>
  <c r="D64" i="325"/>
  <c r="D55" i="325"/>
  <c r="D47" i="325"/>
  <c r="H45" i="325"/>
  <c r="J22" i="325"/>
  <c r="I22" i="325"/>
  <c r="H22" i="325"/>
  <c r="G22" i="325"/>
  <c r="F22" i="325"/>
  <c r="J8" i="325"/>
  <c r="J4" i="325"/>
  <c r="J10" i="325"/>
  <c r="I8" i="325"/>
  <c r="I4" i="325"/>
  <c r="I9" i="325"/>
  <c r="I10" i="325"/>
  <c r="H8" i="325"/>
  <c r="H4" i="325"/>
  <c r="H10" i="325"/>
  <c r="G8" i="325"/>
  <c r="G4" i="325"/>
  <c r="G9" i="325"/>
  <c r="G10" i="325"/>
  <c r="F8" i="325"/>
  <c r="F4" i="325"/>
  <c r="F9" i="325"/>
  <c r="F10" i="325"/>
  <c r="E8" i="325"/>
  <c r="E4" i="325"/>
  <c r="E10" i="325"/>
  <c r="D9" i="325"/>
  <c r="J16" i="325"/>
  <c r="I16" i="325"/>
  <c r="H16" i="325"/>
  <c r="G16" i="325"/>
  <c r="F16" i="325"/>
  <c r="E16" i="325"/>
  <c r="J14" i="325"/>
  <c r="I14" i="325"/>
  <c r="H14" i="325"/>
  <c r="G14" i="325"/>
  <c r="F14" i="325"/>
  <c r="E14" i="325"/>
  <c r="J12" i="325"/>
  <c r="I12" i="325"/>
  <c r="H12" i="325"/>
  <c r="G12" i="325"/>
  <c r="F12" i="325"/>
  <c r="E12" i="325"/>
  <c r="C86" i="324"/>
  <c r="B7" i="324"/>
  <c r="B8" i="324"/>
  <c r="B9" i="324"/>
  <c r="B10" i="324"/>
  <c r="B11" i="324"/>
  <c r="B12" i="324"/>
  <c r="B13" i="324"/>
  <c r="B14" i="324"/>
  <c r="B15" i="324"/>
  <c r="B16" i="324"/>
  <c r="B17" i="324"/>
  <c r="C81" i="324"/>
  <c r="C93" i="324"/>
  <c r="D69" i="324"/>
  <c r="B69" i="324"/>
  <c r="C82" i="324"/>
  <c r="C94" i="324"/>
  <c r="D70" i="324"/>
  <c r="B70" i="324"/>
  <c r="C84" i="324"/>
  <c r="C96" i="324"/>
  <c r="D72" i="324"/>
  <c r="B72" i="324"/>
  <c r="C85" i="324"/>
  <c r="C97" i="324"/>
  <c r="D73" i="324"/>
  <c r="B73" i="324"/>
  <c r="D74" i="324"/>
  <c r="B74" i="324"/>
  <c r="C83" i="324"/>
  <c r="C95" i="324"/>
  <c r="D71" i="324"/>
  <c r="C80" i="324"/>
  <c r="C92" i="324"/>
  <c r="D68" i="324"/>
  <c r="B68" i="324"/>
  <c r="C79" i="324"/>
  <c r="C91" i="324"/>
  <c r="D67" i="324"/>
  <c r="B67" i="324"/>
  <c r="C78" i="324"/>
  <c r="C90" i="324"/>
  <c r="D66" i="324"/>
  <c r="B66" i="324"/>
  <c r="C77" i="324"/>
  <c r="C89" i="324"/>
  <c r="D65" i="324"/>
  <c r="B65" i="324"/>
  <c r="AI26" i="324"/>
  <c r="AI64" i="324"/>
  <c r="AH26" i="324"/>
  <c r="AH64" i="324"/>
  <c r="AG26" i="324"/>
  <c r="AG64" i="324"/>
  <c r="AF26" i="324"/>
  <c r="AF64" i="324"/>
  <c r="AE26" i="324"/>
  <c r="AE64" i="324"/>
  <c r="AD26" i="324"/>
  <c r="AD64" i="324"/>
  <c r="E59" i="324"/>
  <c r="G58" i="324"/>
  <c r="G57" i="324"/>
  <c r="G56" i="324"/>
  <c r="G55" i="324"/>
  <c r="G54" i="324"/>
  <c r="G53" i="324"/>
  <c r="G52" i="324"/>
  <c r="G51" i="324"/>
  <c r="G50" i="324"/>
  <c r="G49" i="324"/>
  <c r="G48" i="324"/>
  <c r="G47" i="324"/>
  <c r="G46" i="324"/>
  <c r="G45" i="324"/>
  <c r="AD22" i="324"/>
  <c r="AD21" i="324"/>
  <c r="AD20" i="324"/>
  <c r="AE20" i="324"/>
  <c r="AF20" i="324"/>
  <c r="AD19" i="324"/>
  <c r="AD18" i="324"/>
  <c r="AD17" i="324"/>
  <c r="AE17" i="324"/>
  <c r="AF17" i="324"/>
  <c r="AD16" i="324"/>
  <c r="AD15" i="324"/>
  <c r="AE15" i="324"/>
  <c r="AD14" i="324"/>
  <c r="AE14" i="324"/>
  <c r="AD13" i="324"/>
  <c r="AE13" i="324"/>
  <c r="AF13" i="324"/>
  <c r="AD12" i="324"/>
  <c r="AD11" i="324"/>
  <c r="AD10" i="324"/>
  <c r="AE10" i="324"/>
  <c r="AD9" i="324"/>
  <c r="AE9" i="324"/>
  <c r="AD8" i="324"/>
  <c r="AE8" i="324"/>
  <c r="AF8" i="324"/>
  <c r="AD7" i="324"/>
  <c r="AE7" i="324"/>
  <c r="AF7" i="324"/>
  <c r="AD6" i="324"/>
  <c r="AD5" i="324"/>
  <c r="D202" i="252"/>
  <c r="E24" i="6"/>
  <c r="C312" i="260"/>
  <c r="F1784" i="260"/>
  <c r="F1777" i="260"/>
  <c r="F1770" i="260"/>
  <c r="F1762" i="260"/>
  <c r="F1755" i="260"/>
  <c r="F1748" i="260"/>
  <c r="F1736" i="260"/>
  <c r="D499" i="260"/>
  <c r="D508" i="260"/>
  <c r="D498" i="260"/>
  <c r="D507" i="260"/>
  <c r="D497" i="260"/>
  <c r="D506" i="260"/>
  <c r="D496" i="260"/>
  <c r="D505" i="260"/>
  <c r="D495" i="260"/>
  <c r="D504" i="260"/>
  <c r="D494" i="260"/>
  <c r="D503" i="260"/>
  <c r="D493" i="260"/>
  <c r="D502" i="260"/>
  <c r="D492" i="260"/>
  <c r="D501" i="260"/>
  <c r="D481" i="260"/>
  <c r="D490" i="260"/>
  <c r="D480" i="260"/>
  <c r="D489" i="260"/>
  <c r="D479" i="260"/>
  <c r="D488" i="260"/>
  <c r="D478" i="260"/>
  <c r="D487" i="260"/>
  <c r="D477" i="260"/>
  <c r="D486" i="260"/>
  <c r="D476" i="260"/>
  <c r="D485" i="260"/>
  <c r="D475" i="260"/>
  <c r="D484" i="260"/>
  <c r="D474" i="260"/>
  <c r="D483" i="260"/>
  <c r="D35" i="60"/>
  <c r="D34" i="60"/>
  <c r="D33" i="60"/>
  <c r="D32" i="60"/>
  <c r="D58" i="60"/>
  <c r="D59" i="60"/>
  <c r="D60" i="60"/>
  <c r="B35" i="60"/>
  <c r="B34" i="60"/>
  <c r="B32" i="60"/>
  <c r="C120" i="203"/>
  <c r="C119" i="203"/>
  <c r="C105" i="203"/>
  <c r="C106" i="203"/>
  <c r="C107" i="203"/>
  <c r="C108" i="203"/>
  <c r="C109" i="203"/>
  <c r="C111" i="203"/>
  <c r="C112" i="203"/>
  <c r="C113" i="203"/>
  <c r="C114" i="203"/>
  <c r="C115" i="203"/>
  <c r="C117" i="203"/>
  <c r="C118" i="203"/>
  <c r="C121" i="203"/>
  <c r="C122" i="203"/>
  <c r="C123" i="203"/>
  <c r="C124" i="203"/>
  <c r="C125" i="203"/>
  <c r="C126" i="203"/>
  <c r="C127" i="203"/>
  <c r="C128" i="203"/>
  <c r="C129" i="203"/>
  <c r="C130" i="203"/>
  <c r="C131" i="203"/>
  <c r="C132" i="203"/>
  <c r="C133" i="203"/>
  <c r="C1836" i="260"/>
  <c r="C1835" i="260"/>
  <c r="C1834" i="260"/>
  <c r="C1833" i="260"/>
  <c r="C1828" i="260"/>
  <c r="C1827" i="260"/>
  <c r="C1826" i="260"/>
  <c r="C1825" i="260"/>
  <c r="E1819" i="260"/>
  <c r="E1818" i="260"/>
  <c r="E1817" i="260"/>
  <c r="E1816" i="260"/>
  <c r="E1815" i="260"/>
  <c r="E1814" i="260"/>
  <c r="E1813" i="260"/>
  <c r="E1812" i="260"/>
  <c r="D1802" i="260"/>
  <c r="D1801" i="260"/>
  <c r="D1800" i="260"/>
  <c r="D1799" i="260"/>
  <c r="D1798" i="260"/>
  <c r="D1797" i="260"/>
  <c r="D1796" i="260"/>
  <c r="B1717" i="260"/>
  <c r="B1716" i="260"/>
  <c r="B1715" i="260"/>
  <c r="B1714" i="260"/>
  <c r="B1699" i="260"/>
  <c r="C1699" i="260"/>
  <c r="B1698" i="260"/>
  <c r="C1698" i="260"/>
  <c r="B1697" i="260"/>
  <c r="C1697" i="260"/>
  <c r="B1696" i="260"/>
  <c r="C1696" i="260"/>
  <c r="B1695" i="260"/>
  <c r="C1695" i="260"/>
  <c r="B1694" i="260"/>
  <c r="C1694" i="260"/>
  <c r="B1693" i="260"/>
  <c r="C1693" i="260"/>
  <c r="B1692" i="260"/>
  <c r="C1692" i="260"/>
  <c r="B1691" i="260"/>
  <c r="C1691" i="260"/>
  <c r="B1689" i="260"/>
  <c r="C1689" i="260"/>
  <c r="B1688" i="260"/>
  <c r="C1688" i="260"/>
  <c r="B1687" i="260"/>
  <c r="C1687" i="260"/>
  <c r="B1686" i="260"/>
  <c r="C1686" i="260"/>
  <c r="B1685" i="260"/>
  <c r="C1685" i="260"/>
  <c r="B1684" i="260"/>
  <c r="C1684" i="260"/>
  <c r="B1683" i="260"/>
  <c r="C1683" i="260"/>
  <c r="B1682" i="260"/>
  <c r="C1682" i="260"/>
  <c r="B1681" i="260"/>
  <c r="C1681" i="260"/>
  <c r="B1679" i="260"/>
  <c r="C1679" i="260"/>
  <c r="B1678" i="260"/>
  <c r="C1678" i="260"/>
  <c r="B1677" i="260"/>
  <c r="C1677" i="260"/>
  <c r="B1676" i="260"/>
  <c r="C1676" i="260"/>
  <c r="B1675" i="260"/>
  <c r="C1675" i="260"/>
  <c r="B1674" i="260"/>
  <c r="C1674" i="260"/>
  <c r="B1673" i="260"/>
  <c r="C1673" i="260"/>
  <c r="B1672" i="260"/>
  <c r="C1672" i="260"/>
  <c r="B1671" i="260"/>
  <c r="C1671" i="260"/>
  <c r="B1669" i="260"/>
  <c r="C1669" i="260"/>
  <c r="B1668" i="260"/>
  <c r="C1668" i="260"/>
  <c r="B1667" i="260"/>
  <c r="C1667" i="260"/>
  <c r="B1666" i="260"/>
  <c r="C1666" i="260"/>
  <c r="B1665" i="260"/>
  <c r="C1665" i="260"/>
  <c r="B1664" i="260"/>
  <c r="C1664" i="260"/>
  <c r="B1663" i="260"/>
  <c r="C1663" i="260"/>
  <c r="B1662" i="260"/>
  <c r="C1662" i="260"/>
  <c r="B1661" i="260"/>
  <c r="C1661" i="260"/>
  <c r="B1659" i="260"/>
  <c r="C1659" i="260"/>
  <c r="B1658" i="260"/>
  <c r="C1658" i="260"/>
  <c r="B1657" i="260"/>
  <c r="C1657" i="260"/>
  <c r="B1656" i="260"/>
  <c r="C1656" i="260"/>
  <c r="B1655" i="260"/>
  <c r="C1655" i="260"/>
  <c r="B1654" i="260"/>
  <c r="C1654" i="260"/>
  <c r="B1653" i="260"/>
  <c r="C1653" i="260"/>
  <c r="B1652" i="260"/>
  <c r="C1652" i="260"/>
  <c r="B1651" i="260"/>
  <c r="C1651" i="260"/>
  <c r="B1649" i="260"/>
  <c r="C1649" i="260"/>
  <c r="B1648" i="260"/>
  <c r="C1648" i="260"/>
  <c r="B1647" i="260"/>
  <c r="C1647" i="260"/>
  <c r="B1646" i="260"/>
  <c r="C1646" i="260"/>
  <c r="B1645" i="260"/>
  <c r="C1645" i="260"/>
  <c r="B1644" i="260"/>
  <c r="C1644" i="260"/>
  <c r="B1643" i="260"/>
  <c r="C1643" i="260"/>
  <c r="B1642" i="260"/>
  <c r="C1642" i="260"/>
  <c r="B1641" i="260"/>
  <c r="C1641" i="260"/>
  <c r="B1639" i="260"/>
  <c r="C1639" i="260"/>
  <c r="B1638" i="260"/>
  <c r="C1638" i="260"/>
  <c r="B1637" i="260"/>
  <c r="C1637" i="260"/>
  <c r="B1636" i="260"/>
  <c r="C1636" i="260"/>
  <c r="B1635" i="260"/>
  <c r="C1635" i="260"/>
  <c r="B1634" i="260"/>
  <c r="C1634" i="260"/>
  <c r="B1633" i="260"/>
  <c r="C1633" i="260"/>
  <c r="B1632" i="260"/>
  <c r="C1632" i="260"/>
  <c r="B1631" i="260"/>
  <c r="C1631" i="260"/>
  <c r="B1629" i="260"/>
  <c r="C1629" i="260"/>
  <c r="B1628" i="260"/>
  <c r="C1628" i="260"/>
  <c r="B1627" i="260"/>
  <c r="C1627" i="260"/>
  <c r="B1626" i="260"/>
  <c r="C1626" i="260"/>
  <c r="B1625" i="260"/>
  <c r="C1625" i="260"/>
  <c r="B1624" i="260"/>
  <c r="C1624" i="260"/>
  <c r="B1623" i="260"/>
  <c r="C1623" i="260"/>
  <c r="B1622" i="260"/>
  <c r="C1622" i="260"/>
  <c r="B1621" i="260"/>
  <c r="C1621" i="260"/>
  <c r="B1605" i="260"/>
  <c r="C1605" i="260"/>
  <c r="B1604" i="260"/>
  <c r="C1604" i="260"/>
  <c r="B1603" i="260"/>
  <c r="C1603" i="260"/>
  <c r="B1602" i="260"/>
  <c r="C1602" i="260"/>
  <c r="B1601" i="260"/>
  <c r="C1601" i="260"/>
  <c r="B1600" i="260"/>
  <c r="C1600" i="260"/>
  <c r="B1599" i="260"/>
  <c r="C1599" i="260"/>
  <c r="B1598" i="260"/>
  <c r="C1598" i="260"/>
  <c r="B1597" i="260"/>
  <c r="C1597" i="260"/>
  <c r="B1595" i="260"/>
  <c r="C1595" i="260"/>
  <c r="B1594" i="260"/>
  <c r="C1594" i="260"/>
  <c r="B1593" i="260"/>
  <c r="C1593" i="260"/>
  <c r="B1592" i="260"/>
  <c r="C1592" i="260"/>
  <c r="B1591" i="260"/>
  <c r="C1591" i="260"/>
  <c r="B1590" i="260"/>
  <c r="C1590" i="260"/>
  <c r="B1589" i="260"/>
  <c r="C1589" i="260"/>
  <c r="B1588" i="260"/>
  <c r="C1588" i="260"/>
  <c r="B1587" i="260"/>
  <c r="C1587" i="260"/>
  <c r="B1585" i="260"/>
  <c r="C1585" i="260"/>
  <c r="B1584" i="260"/>
  <c r="C1584" i="260"/>
  <c r="B1583" i="260"/>
  <c r="C1583" i="260"/>
  <c r="B1582" i="260"/>
  <c r="C1582" i="260"/>
  <c r="B1581" i="260"/>
  <c r="C1581" i="260"/>
  <c r="B1580" i="260"/>
  <c r="C1580" i="260"/>
  <c r="B1579" i="260"/>
  <c r="C1579" i="260"/>
  <c r="B1578" i="260"/>
  <c r="C1578" i="260"/>
  <c r="B1577" i="260"/>
  <c r="C1577" i="260"/>
  <c r="B1575" i="260"/>
  <c r="C1575" i="260"/>
  <c r="B1574" i="260"/>
  <c r="C1574" i="260"/>
  <c r="B1573" i="260"/>
  <c r="C1573" i="260"/>
  <c r="B1572" i="260"/>
  <c r="C1572" i="260"/>
  <c r="B1571" i="260"/>
  <c r="C1571" i="260"/>
  <c r="B1570" i="260"/>
  <c r="C1570" i="260"/>
  <c r="B1569" i="260"/>
  <c r="C1569" i="260"/>
  <c r="B1568" i="260"/>
  <c r="C1568" i="260"/>
  <c r="B1567" i="260"/>
  <c r="C1567" i="260"/>
  <c r="B1565" i="260"/>
  <c r="C1565" i="260"/>
  <c r="B1564" i="260"/>
  <c r="C1564" i="260"/>
  <c r="B1563" i="260"/>
  <c r="C1563" i="260"/>
  <c r="B1562" i="260"/>
  <c r="C1562" i="260"/>
  <c r="B1561" i="260"/>
  <c r="C1561" i="260"/>
  <c r="B1560" i="260"/>
  <c r="C1560" i="260"/>
  <c r="B1559" i="260"/>
  <c r="C1559" i="260"/>
  <c r="B1558" i="260"/>
  <c r="C1558" i="260"/>
  <c r="B1557" i="260"/>
  <c r="C1557" i="260"/>
  <c r="B1555" i="260"/>
  <c r="C1555" i="260"/>
  <c r="B1554" i="260"/>
  <c r="C1554" i="260"/>
  <c r="B1553" i="260"/>
  <c r="C1553" i="260"/>
  <c r="B1552" i="260"/>
  <c r="C1552" i="260"/>
  <c r="B1551" i="260"/>
  <c r="C1551" i="260"/>
  <c r="B1550" i="260"/>
  <c r="C1550" i="260"/>
  <c r="B1549" i="260"/>
  <c r="C1549" i="260"/>
  <c r="B1548" i="260"/>
  <c r="C1548" i="260"/>
  <c r="B1547" i="260"/>
  <c r="C1547" i="260"/>
  <c r="B1545" i="260"/>
  <c r="C1545" i="260"/>
  <c r="B1544" i="260"/>
  <c r="C1544" i="260"/>
  <c r="B1543" i="260"/>
  <c r="C1543" i="260"/>
  <c r="B1542" i="260"/>
  <c r="C1542" i="260"/>
  <c r="B1541" i="260"/>
  <c r="C1541" i="260"/>
  <c r="B1540" i="260"/>
  <c r="C1540" i="260"/>
  <c r="B1539" i="260"/>
  <c r="C1539" i="260"/>
  <c r="B1538" i="260"/>
  <c r="C1538" i="260"/>
  <c r="B1537" i="260"/>
  <c r="C1537" i="260"/>
  <c r="B1535" i="260"/>
  <c r="C1535" i="260"/>
  <c r="B1534" i="260"/>
  <c r="C1534" i="260"/>
  <c r="B1533" i="260"/>
  <c r="C1533" i="260"/>
  <c r="B1532" i="260"/>
  <c r="C1532" i="260"/>
  <c r="B1531" i="260"/>
  <c r="C1531" i="260"/>
  <c r="B1530" i="260"/>
  <c r="C1530" i="260"/>
  <c r="B1529" i="260"/>
  <c r="C1529" i="260"/>
  <c r="B1528" i="260"/>
  <c r="C1528" i="260"/>
  <c r="B1527" i="260"/>
  <c r="C1527" i="260"/>
  <c r="B1510" i="260"/>
  <c r="C1510" i="260"/>
  <c r="B1509" i="260"/>
  <c r="C1509" i="260"/>
  <c r="B1508" i="260"/>
  <c r="C1508" i="260"/>
  <c r="B1507" i="260"/>
  <c r="C1507" i="260"/>
  <c r="B1506" i="260"/>
  <c r="C1506" i="260"/>
  <c r="B1505" i="260"/>
  <c r="C1505" i="260"/>
  <c r="B1504" i="260"/>
  <c r="C1504" i="260"/>
  <c r="B1503" i="260"/>
  <c r="C1503" i="260"/>
  <c r="B1502" i="260"/>
  <c r="C1502" i="260"/>
  <c r="B1500" i="260"/>
  <c r="C1500" i="260"/>
  <c r="B1499" i="260"/>
  <c r="C1499" i="260"/>
  <c r="B1498" i="260"/>
  <c r="C1498" i="260"/>
  <c r="B1497" i="260"/>
  <c r="C1497" i="260"/>
  <c r="B1496" i="260"/>
  <c r="C1496" i="260"/>
  <c r="B1495" i="260"/>
  <c r="C1495" i="260"/>
  <c r="B1494" i="260"/>
  <c r="C1494" i="260"/>
  <c r="B1493" i="260"/>
  <c r="C1493" i="260"/>
  <c r="B1492" i="260"/>
  <c r="C1492" i="260"/>
  <c r="B1490" i="260"/>
  <c r="C1490" i="260"/>
  <c r="B1489" i="260"/>
  <c r="C1489" i="260"/>
  <c r="B1488" i="260"/>
  <c r="C1488" i="260"/>
  <c r="B1487" i="260"/>
  <c r="C1487" i="260"/>
  <c r="B1486" i="260"/>
  <c r="C1486" i="260"/>
  <c r="B1485" i="260"/>
  <c r="C1485" i="260"/>
  <c r="B1484" i="260"/>
  <c r="C1484" i="260"/>
  <c r="B1483" i="260"/>
  <c r="C1483" i="260"/>
  <c r="B1482" i="260"/>
  <c r="C1482" i="260"/>
  <c r="B1480" i="260"/>
  <c r="C1480" i="260"/>
  <c r="B1479" i="260"/>
  <c r="C1479" i="260"/>
  <c r="B1478" i="260"/>
  <c r="C1478" i="260"/>
  <c r="B1477" i="260"/>
  <c r="C1477" i="260"/>
  <c r="B1476" i="260"/>
  <c r="C1476" i="260"/>
  <c r="B1475" i="260"/>
  <c r="C1475" i="260"/>
  <c r="B1474" i="260"/>
  <c r="C1474" i="260"/>
  <c r="B1473" i="260"/>
  <c r="C1473" i="260"/>
  <c r="B1472" i="260"/>
  <c r="C1472" i="260"/>
  <c r="B1470" i="260"/>
  <c r="C1470" i="260"/>
  <c r="B1469" i="260"/>
  <c r="C1469" i="260"/>
  <c r="B1468" i="260"/>
  <c r="C1468" i="260"/>
  <c r="B1467" i="260"/>
  <c r="C1467" i="260"/>
  <c r="B1466" i="260"/>
  <c r="C1466" i="260"/>
  <c r="B1465" i="260"/>
  <c r="C1465" i="260"/>
  <c r="B1464" i="260"/>
  <c r="C1464" i="260"/>
  <c r="B1463" i="260"/>
  <c r="C1463" i="260"/>
  <c r="B1462" i="260"/>
  <c r="C1462" i="260"/>
  <c r="B1460" i="260"/>
  <c r="C1460" i="260"/>
  <c r="B1459" i="260"/>
  <c r="C1459" i="260"/>
  <c r="B1458" i="260"/>
  <c r="C1458" i="260"/>
  <c r="B1457" i="260"/>
  <c r="C1457" i="260"/>
  <c r="B1456" i="260"/>
  <c r="C1456" i="260"/>
  <c r="B1455" i="260"/>
  <c r="C1455" i="260"/>
  <c r="B1454" i="260"/>
  <c r="C1454" i="260"/>
  <c r="B1453" i="260"/>
  <c r="C1453" i="260"/>
  <c r="B1452" i="260"/>
  <c r="C1452" i="260"/>
  <c r="B1450" i="260"/>
  <c r="C1450" i="260"/>
  <c r="B1449" i="260"/>
  <c r="C1449" i="260"/>
  <c r="B1448" i="260"/>
  <c r="C1448" i="260"/>
  <c r="B1447" i="260"/>
  <c r="C1447" i="260"/>
  <c r="B1446" i="260"/>
  <c r="C1446" i="260"/>
  <c r="B1445" i="260"/>
  <c r="C1445" i="260"/>
  <c r="B1444" i="260"/>
  <c r="C1444" i="260"/>
  <c r="B1443" i="260"/>
  <c r="C1443" i="260"/>
  <c r="B1442" i="260"/>
  <c r="C1442" i="260"/>
  <c r="B1440" i="260"/>
  <c r="C1440" i="260"/>
  <c r="B1439" i="260"/>
  <c r="C1439" i="260"/>
  <c r="B1438" i="260"/>
  <c r="C1438" i="260"/>
  <c r="B1437" i="260"/>
  <c r="C1437" i="260"/>
  <c r="B1436" i="260"/>
  <c r="C1436" i="260"/>
  <c r="B1435" i="260"/>
  <c r="C1435" i="260"/>
  <c r="B1434" i="260"/>
  <c r="C1434" i="260"/>
  <c r="B1433" i="260"/>
  <c r="C1433" i="260"/>
  <c r="B1432" i="260"/>
  <c r="C1432" i="260"/>
  <c r="B1419" i="260"/>
  <c r="B1412" i="260"/>
  <c r="B1405" i="260"/>
  <c r="B1398" i="260"/>
  <c r="C1391" i="260"/>
  <c r="B1377" i="260"/>
  <c r="C1377" i="260"/>
  <c r="B1376" i="260"/>
  <c r="C1376" i="260"/>
  <c r="B1375" i="260"/>
  <c r="C1375" i="260"/>
  <c r="B1374" i="260"/>
  <c r="C1374" i="260"/>
  <c r="B1373" i="260"/>
  <c r="C1373" i="260"/>
  <c r="B1372" i="260"/>
  <c r="C1372" i="260"/>
  <c r="B1371" i="260"/>
  <c r="C1371" i="260"/>
  <c r="B1370" i="260"/>
  <c r="C1370" i="260"/>
  <c r="B1369" i="260"/>
  <c r="C1369" i="260"/>
  <c r="B1367" i="260"/>
  <c r="C1367" i="260"/>
  <c r="B1366" i="260"/>
  <c r="C1366" i="260"/>
  <c r="B1365" i="260"/>
  <c r="C1365" i="260"/>
  <c r="B1364" i="260"/>
  <c r="C1364" i="260"/>
  <c r="B1363" i="260"/>
  <c r="C1363" i="260"/>
  <c r="B1362" i="260"/>
  <c r="C1362" i="260"/>
  <c r="B1361" i="260"/>
  <c r="C1361" i="260"/>
  <c r="B1360" i="260"/>
  <c r="C1360" i="260"/>
  <c r="B1359" i="260"/>
  <c r="C1359" i="260"/>
  <c r="B1357" i="260"/>
  <c r="C1357" i="260"/>
  <c r="B1356" i="260"/>
  <c r="C1356" i="260"/>
  <c r="B1355" i="260"/>
  <c r="C1355" i="260"/>
  <c r="B1354" i="260"/>
  <c r="C1354" i="260"/>
  <c r="B1353" i="260"/>
  <c r="C1353" i="260"/>
  <c r="B1352" i="260"/>
  <c r="C1352" i="260"/>
  <c r="B1351" i="260"/>
  <c r="C1351" i="260"/>
  <c r="B1350" i="260"/>
  <c r="C1350" i="260"/>
  <c r="B1349" i="260"/>
  <c r="C1349" i="260"/>
  <c r="B1347" i="260"/>
  <c r="C1347" i="260"/>
  <c r="B1346" i="260"/>
  <c r="C1346" i="260"/>
  <c r="B1345" i="260"/>
  <c r="C1345" i="260"/>
  <c r="B1344" i="260"/>
  <c r="C1344" i="260"/>
  <c r="B1343" i="260"/>
  <c r="C1343" i="260"/>
  <c r="B1342" i="260"/>
  <c r="C1342" i="260"/>
  <c r="B1341" i="260"/>
  <c r="C1341" i="260"/>
  <c r="B1340" i="260"/>
  <c r="C1340" i="260"/>
  <c r="B1339" i="260"/>
  <c r="C1339" i="260"/>
  <c r="B1337" i="260"/>
  <c r="C1337" i="260"/>
  <c r="B1336" i="260"/>
  <c r="C1336" i="260"/>
  <c r="B1335" i="260"/>
  <c r="C1335" i="260"/>
  <c r="B1334" i="260"/>
  <c r="C1334" i="260"/>
  <c r="B1333" i="260"/>
  <c r="C1333" i="260"/>
  <c r="B1332" i="260"/>
  <c r="C1332" i="260"/>
  <c r="B1331" i="260"/>
  <c r="C1331" i="260"/>
  <c r="B1330" i="260"/>
  <c r="C1330" i="260"/>
  <c r="B1329" i="260"/>
  <c r="C1329" i="260"/>
  <c r="B1327" i="260"/>
  <c r="C1327" i="260"/>
  <c r="B1326" i="260"/>
  <c r="C1326" i="260"/>
  <c r="B1325" i="260"/>
  <c r="C1325" i="260"/>
  <c r="B1324" i="260"/>
  <c r="C1324" i="260"/>
  <c r="B1323" i="260"/>
  <c r="C1323" i="260"/>
  <c r="B1322" i="260"/>
  <c r="C1322" i="260"/>
  <c r="B1321" i="260"/>
  <c r="C1321" i="260"/>
  <c r="B1320" i="260"/>
  <c r="C1320" i="260"/>
  <c r="B1319" i="260"/>
  <c r="C1319" i="260"/>
  <c r="B1317" i="260"/>
  <c r="C1317" i="260"/>
  <c r="B1316" i="260"/>
  <c r="C1316" i="260"/>
  <c r="B1315" i="260"/>
  <c r="C1315" i="260"/>
  <c r="B1314" i="260"/>
  <c r="C1314" i="260"/>
  <c r="B1313" i="260"/>
  <c r="C1313" i="260"/>
  <c r="B1312" i="260"/>
  <c r="C1312" i="260"/>
  <c r="B1311" i="260"/>
  <c r="C1311" i="260"/>
  <c r="B1310" i="260"/>
  <c r="C1310" i="260"/>
  <c r="B1309" i="260"/>
  <c r="C1309" i="260"/>
  <c r="B1307" i="260"/>
  <c r="C1307" i="260"/>
  <c r="B1306" i="260"/>
  <c r="C1306" i="260"/>
  <c r="B1305" i="260"/>
  <c r="C1305" i="260"/>
  <c r="B1304" i="260"/>
  <c r="C1304" i="260"/>
  <c r="B1303" i="260"/>
  <c r="C1303" i="260"/>
  <c r="B1302" i="260"/>
  <c r="C1302" i="260"/>
  <c r="B1301" i="260"/>
  <c r="C1301" i="260"/>
  <c r="B1300" i="260"/>
  <c r="C1300" i="260"/>
  <c r="B1299" i="260"/>
  <c r="C1299" i="260"/>
  <c r="B1283" i="260"/>
  <c r="C1283" i="260"/>
  <c r="B1282" i="260"/>
  <c r="C1282" i="260"/>
  <c r="B1281" i="260"/>
  <c r="C1281" i="260"/>
  <c r="B1280" i="260"/>
  <c r="C1280" i="260"/>
  <c r="B1279" i="260"/>
  <c r="C1279" i="260"/>
  <c r="B1278" i="260"/>
  <c r="C1278" i="260"/>
  <c r="B1277" i="260"/>
  <c r="C1277" i="260"/>
  <c r="B1276" i="260"/>
  <c r="C1276" i="260"/>
  <c r="B1275" i="260"/>
  <c r="C1275" i="260"/>
  <c r="B1273" i="260"/>
  <c r="C1273" i="260"/>
  <c r="B1272" i="260"/>
  <c r="C1272" i="260"/>
  <c r="B1271" i="260"/>
  <c r="C1271" i="260"/>
  <c r="B1270" i="260"/>
  <c r="C1270" i="260"/>
  <c r="B1269" i="260"/>
  <c r="C1269" i="260"/>
  <c r="B1268" i="260"/>
  <c r="C1268" i="260"/>
  <c r="B1267" i="260"/>
  <c r="C1267" i="260"/>
  <c r="B1266" i="260"/>
  <c r="C1266" i="260"/>
  <c r="B1265" i="260"/>
  <c r="C1265" i="260"/>
  <c r="B1263" i="260"/>
  <c r="C1263" i="260"/>
  <c r="B1262" i="260"/>
  <c r="C1262" i="260"/>
  <c r="B1261" i="260"/>
  <c r="C1261" i="260"/>
  <c r="B1260" i="260"/>
  <c r="C1260" i="260"/>
  <c r="B1259" i="260"/>
  <c r="C1259" i="260"/>
  <c r="B1258" i="260"/>
  <c r="C1258" i="260"/>
  <c r="B1257" i="260"/>
  <c r="C1257" i="260"/>
  <c r="B1256" i="260"/>
  <c r="C1256" i="260"/>
  <c r="B1255" i="260"/>
  <c r="C1255" i="260"/>
  <c r="B1253" i="260"/>
  <c r="C1253" i="260"/>
  <c r="B1252" i="260"/>
  <c r="C1252" i="260"/>
  <c r="B1251" i="260"/>
  <c r="C1251" i="260"/>
  <c r="B1250" i="260"/>
  <c r="C1250" i="260"/>
  <c r="B1249" i="260"/>
  <c r="C1249" i="260"/>
  <c r="B1248" i="260"/>
  <c r="C1248" i="260"/>
  <c r="B1247" i="260"/>
  <c r="C1247" i="260"/>
  <c r="B1246" i="260"/>
  <c r="C1246" i="260"/>
  <c r="B1245" i="260"/>
  <c r="C1245" i="260"/>
  <c r="B1243" i="260"/>
  <c r="C1243" i="260"/>
  <c r="B1242" i="260"/>
  <c r="C1242" i="260"/>
  <c r="B1241" i="260"/>
  <c r="C1241" i="260"/>
  <c r="B1240" i="260"/>
  <c r="C1240" i="260"/>
  <c r="B1239" i="260"/>
  <c r="C1239" i="260"/>
  <c r="B1238" i="260"/>
  <c r="C1238" i="260"/>
  <c r="B1237" i="260"/>
  <c r="C1237" i="260"/>
  <c r="B1236" i="260"/>
  <c r="C1236" i="260"/>
  <c r="B1235" i="260"/>
  <c r="C1235" i="260"/>
  <c r="B1233" i="260"/>
  <c r="C1233" i="260"/>
  <c r="B1232" i="260"/>
  <c r="C1232" i="260"/>
  <c r="B1231" i="260"/>
  <c r="C1231" i="260"/>
  <c r="B1230" i="260"/>
  <c r="C1230" i="260"/>
  <c r="B1229" i="260"/>
  <c r="C1229" i="260"/>
  <c r="B1228" i="260"/>
  <c r="C1228" i="260"/>
  <c r="B1227" i="260"/>
  <c r="C1227" i="260"/>
  <c r="B1226" i="260"/>
  <c r="C1226" i="260"/>
  <c r="B1225" i="260"/>
  <c r="C1225" i="260"/>
  <c r="B1223" i="260"/>
  <c r="C1223" i="260"/>
  <c r="B1222" i="260"/>
  <c r="C1222" i="260"/>
  <c r="B1221" i="260"/>
  <c r="C1221" i="260"/>
  <c r="B1220" i="260"/>
  <c r="C1220" i="260"/>
  <c r="B1219" i="260"/>
  <c r="C1219" i="260"/>
  <c r="B1218" i="260"/>
  <c r="C1218" i="260"/>
  <c r="B1217" i="260"/>
  <c r="C1217" i="260"/>
  <c r="B1216" i="260"/>
  <c r="C1216" i="260"/>
  <c r="B1215" i="260"/>
  <c r="C1215" i="260"/>
  <c r="B1213" i="260"/>
  <c r="C1213" i="260"/>
  <c r="B1212" i="260"/>
  <c r="C1212" i="260"/>
  <c r="B1211" i="260"/>
  <c r="C1211" i="260"/>
  <c r="B1210" i="260"/>
  <c r="C1210" i="260"/>
  <c r="B1209" i="260"/>
  <c r="C1209" i="260"/>
  <c r="B1208" i="260"/>
  <c r="C1208" i="260"/>
  <c r="B1207" i="260"/>
  <c r="C1207" i="260"/>
  <c r="B1206" i="260"/>
  <c r="C1206" i="260"/>
  <c r="B1205" i="260"/>
  <c r="C1205" i="260"/>
  <c r="B1189" i="260"/>
  <c r="C1189" i="260"/>
  <c r="B1188" i="260"/>
  <c r="C1188" i="260"/>
  <c r="B1187" i="260"/>
  <c r="C1187" i="260"/>
  <c r="B1186" i="260"/>
  <c r="C1186" i="260"/>
  <c r="B1185" i="260"/>
  <c r="C1185" i="260"/>
  <c r="B1184" i="260"/>
  <c r="C1184" i="260"/>
  <c r="B1183" i="260"/>
  <c r="C1183" i="260"/>
  <c r="B1182" i="260"/>
  <c r="C1182" i="260"/>
  <c r="B1181" i="260"/>
  <c r="C1181" i="260"/>
  <c r="B1179" i="260"/>
  <c r="C1179" i="260"/>
  <c r="B1178" i="260"/>
  <c r="C1178" i="260"/>
  <c r="B1177" i="260"/>
  <c r="C1177" i="260"/>
  <c r="B1176" i="260"/>
  <c r="C1176" i="260"/>
  <c r="B1175" i="260"/>
  <c r="C1175" i="260"/>
  <c r="B1174" i="260"/>
  <c r="C1174" i="260"/>
  <c r="B1173" i="260"/>
  <c r="C1173" i="260"/>
  <c r="B1172" i="260"/>
  <c r="C1172" i="260"/>
  <c r="B1171" i="260"/>
  <c r="C1171" i="260"/>
  <c r="B1169" i="260"/>
  <c r="C1169" i="260"/>
  <c r="B1168" i="260"/>
  <c r="C1168" i="260"/>
  <c r="B1167" i="260"/>
  <c r="C1167" i="260"/>
  <c r="B1166" i="260"/>
  <c r="C1166" i="260"/>
  <c r="B1165" i="260"/>
  <c r="C1165" i="260"/>
  <c r="B1164" i="260"/>
  <c r="C1164" i="260"/>
  <c r="B1163" i="260"/>
  <c r="C1163" i="260"/>
  <c r="B1162" i="260"/>
  <c r="C1162" i="260"/>
  <c r="B1161" i="260"/>
  <c r="C1161" i="260"/>
  <c r="B1159" i="260"/>
  <c r="C1159" i="260"/>
  <c r="B1158" i="260"/>
  <c r="C1158" i="260"/>
  <c r="B1157" i="260"/>
  <c r="C1157" i="260"/>
  <c r="B1156" i="260"/>
  <c r="C1156" i="260"/>
  <c r="B1155" i="260"/>
  <c r="C1155" i="260"/>
  <c r="B1154" i="260"/>
  <c r="C1154" i="260"/>
  <c r="B1153" i="260"/>
  <c r="C1153" i="260"/>
  <c r="B1152" i="260"/>
  <c r="C1152" i="260"/>
  <c r="B1151" i="260"/>
  <c r="C1151" i="260"/>
  <c r="B1149" i="260"/>
  <c r="C1149" i="260"/>
  <c r="B1148" i="260"/>
  <c r="C1148" i="260"/>
  <c r="B1147" i="260"/>
  <c r="C1147" i="260"/>
  <c r="B1146" i="260"/>
  <c r="C1146" i="260"/>
  <c r="B1145" i="260"/>
  <c r="C1145" i="260"/>
  <c r="B1144" i="260"/>
  <c r="C1144" i="260"/>
  <c r="B1143" i="260"/>
  <c r="C1143" i="260"/>
  <c r="B1142" i="260"/>
  <c r="C1142" i="260"/>
  <c r="B1141" i="260"/>
  <c r="C1141" i="260"/>
  <c r="B1139" i="260"/>
  <c r="C1139" i="260"/>
  <c r="B1138" i="260"/>
  <c r="C1138" i="260"/>
  <c r="B1137" i="260"/>
  <c r="C1137" i="260"/>
  <c r="B1136" i="260"/>
  <c r="C1136" i="260"/>
  <c r="B1135" i="260"/>
  <c r="C1135" i="260"/>
  <c r="B1134" i="260"/>
  <c r="C1134" i="260"/>
  <c r="B1133" i="260"/>
  <c r="C1133" i="260"/>
  <c r="B1132" i="260"/>
  <c r="C1132" i="260"/>
  <c r="B1131" i="260"/>
  <c r="C1131" i="260"/>
  <c r="B1129" i="260"/>
  <c r="C1129" i="260"/>
  <c r="B1128" i="260"/>
  <c r="C1128" i="260"/>
  <c r="B1127" i="260"/>
  <c r="C1127" i="260"/>
  <c r="B1126" i="260"/>
  <c r="C1126" i="260"/>
  <c r="B1125" i="260"/>
  <c r="C1125" i="260"/>
  <c r="B1124" i="260"/>
  <c r="C1124" i="260"/>
  <c r="B1123" i="260"/>
  <c r="C1123" i="260"/>
  <c r="B1122" i="260"/>
  <c r="C1122" i="260"/>
  <c r="B1121" i="260"/>
  <c r="C1121" i="260"/>
  <c r="B1119" i="260"/>
  <c r="C1119" i="260"/>
  <c r="B1118" i="260"/>
  <c r="C1118" i="260"/>
  <c r="B1117" i="260"/>
  <c r="C1117" i="260"/>
  <c r="B1116" i="260"/>
  <c r="C1116" i="260"/>
  <c r="B1115" i="260"/>
  <c r="C1115" i="260"/>
  <c r="B1114" i="260"/>
  <c r="C1114" i="260"/>
  <c r="B1113" i="260"/>
  <c r="C1113" i="260"/>
  <c r="B1112" i="260"/>
  <c r="C1112" i="260"/>
  <c r="B1111" i="260"/>
  <c r="C1111" i="260"/>
  <c r="C1109" i="260"/>
  <c r="C1104" i="260"/>
  <c r="C1103" i="260"/>
  <c r="C1102" i="260"/>
  <c r="C1101" i="260"/>
  <c r="C1100" i="260"/>
  <c r="C1099" i="260"/>
  <c r="C1096" i="260"/>
  <c r="C1095" i="260"/>
  <c r="C1094" i="260"/>
  <c r="C1093" i="260"/>
  <c r="C1092" i="260"/>
  <c r="C1091" i="260"/>
  <c r="C1088" i="260"/>
  <c r="C1087" i="260"/>
  <c r="C1086" i="260"/>
  <c r="C1085" i="260"/>
  <c r="C1084" i="260"/>
  <c r="C1083" i="260"/>
  <c r="C1080" i="260"/>
  <c r="C1079" i="260"/>
  <c r="C1078" i="260"/>
  <c r="C1077" i="260"/>
  <c r="C1076" i="260"/>
  <c r="C1075" i="260"/>
  <c r="C1072" i="260"/>
  <c r="C1071" i="260"/>
  <c r="C1070" i="260"/>
  <c r="C1069" i="260"/>
  <c r="C1068" i="260"/>
  <c r="C1067" i="260"/>
  <c r="C1064" i="260"/>
  <c r="C1063" i="260"/>
  <c r="C1062" i="260"/>
  <c r="C1061" i="260"/>
  <c r="C1060" i="260"/>
  <c r="C1059" i="260"/>
  <c r="C1056" i="260"/>
  <c r="C1055" i="260"/>
  <c r="C1054" i="260"/>
  <c r="C1053" i="260"/>
  <c r="C1052" i="260"/>
  <c r="C1051" i="260"/>
  <c r="C1048" i="260"/>
  <c r="C1047" i="260"/>
  <c r="C1046" i="260"/>
  <c r="C1045" i="260"/>
  <c r="C1044" i="260"/>
  <c r="C1043" i="260"/>
  <c r="B1038" i="260"/>
  <c r="C1038" i="260"/>
  <c r="B1035" i="260"/>
  <c r="C1035" i="260"/>
  <c r="B1032" i="260"/>
  <c r="C1032" i="260"/>
  <c r="B1029" i="260"/>
  <c r="C1029" i="260"/>
  <c r="B1026" i="260"/>
  <c r="C1026" i="260"/>
  <c r="B1023" i="260"/>
  <c r="C1023" i="260"/>
  <c r="B1020" i="260"/>
  <c r="C1020" i="260"/>
  <c r="B1019" i="260"/>
  <c r="C1019" i="260"/>
  <c r="B1016" i="260"/>
  <c r="C1016" i="260"/>
  <c r="C1010" i="260"/>
  <c r="B1009" i="260"/>
  <c r="C1009" i="260"/>
  <c r="B1008" i="260"/>
  <c r="C1008" i="260"/>
  <c r="B1007" i="260"/>
  <c r="C1007" i="260"/>
  <c r="B1006" i="260"/>
  <c r="C1006" i="260"/>
  <c r="B1005" i="260"/>
  <c r="C1005" i="260"/>
  <c r="B1004" i="260"/>
  <c r="C1004" i="260"/>
  <c r="B1003" i="260"/>
  <c r="C1003" i="260"/>
  <c r="C1000" i="260"/>
  <c r="B999" i="260"/>
  <c r="C999" i="260"/>
  <c r="B998" i="260"/>
  <c r="C998" i="260"/>
  <c r="B997" i="260"/>
  <c r="C997" i="260"/>
  <c r="B996" i="260"/>
  <c r="C996" i="260"/>
  <c r="B995" i="260"/>
  <c r="C995" i="260"/>
  <c r="B994" i="260"/>
  <c r="C994" i="260"/>
  <c r="B993" i="260"/>
  <c r="C993" i="260"/>
  <c r="C990" i="260"/>
  <c r="B989" i="260"/>
  <c r="C989" i="260"/>
  <c r="B988" i="260"/>
  <c r="C988" i="260"/>
  <c r="B987" i="260"/>
  <c r="C987" i="260"/>
  <c r="B986" i="260"/>
  <c r="C986" i="260"/>
  <c r="B985" i="260"/>
  <c r="C985" i="260"/>
  <c r="B984" i="260"/>
  <c r="C984" i="260"/>
  <c r="B983" i="260"/>
  <c r="C983" i="260"/>
  <c r="C980" i="260"/>
  <c r="B979" i="260"/>
  <c r="C979" i="260"/>
  <c r="B978" i="260"/>
  <c r="C978" i="260"/>
  <c r="B977" i="260"/>
  <c r="C977" i="260"/>
  <c r="B976" i="260"/>
  <c r="C976" i="260"/>
  <c r="B975" i="260"/>
  <c r="C975" i="260"/>
  <c r="B974" i="260"/>
  <c r="C974" i="260"/>
  <c r="B973" i="260"/>
  <c r="C973" i="260"/>
  <c r="C970" i="260"/>
  <c r="B969" i="260"/>
  <c r="C969" i="260"/>
  <c r="B968" i="260"/>
  <c r="C968" i="260"/>
  <c r="B967" i="260"/>
  <c r="C967" i="260"/>
  <c r="B966" i="260"/>
  <c r="C966" i="260"/>
  <c r="B965" i="260"/>
  <c r="C965" i="260"/>
  <c r="B964" i="260"/>
  <c r="C964" i="260"/>
  <c r="B963" i="260"/>
  <c r="C963" i="260"/>
  <c r="C960" i="260"/>
  <c r="B959" i="260"/>
  <c r="C959" i="260"/>
  <c r="B958" i="260"/>
  <c r="C958" i="260"/>
  <c r="B957" i="260"/>
  <c r="C957" i="260"/>
  <c r="B956" i="260"/>
  <c r="C956" i="260"/>
  <c r="B955" i="260"/>
  <c r="C955" i="260"/>
  <c r="B954" i="260"/>
  <c r="C954" i="260"/>
  <c r="B953" i="260"/>
  <c r="C953" i="260"/>
  <c r="C950" i="260"/>
  <c r="B949" i="260"/>
  <c r="C949" i="260"/>
  <c r="B948" i="260"/>
  <c r="C948" i="260"/>
  <c r="B947" i="260"/>
  <c r="C947" i="260"/>
  <c r="B946" i="260"/>
  <c r="C946" i="260"/>
  <c r="B945" i="260"/>
  <c r="C945" i="260"/>
  <c r="B944" i="260"/>
  <c r="C944" i="260"/>
  <c r="B943" i="260"/>
  <c r="C943" i="260"/>
  <c r="C940" i="260"/>
  <c r="B939" i="260"/>
  <c r="C939" i="260"/>
  <c r="B938" i="260"/>
  <c r="C938" i="260"/>
  <c r="B937" i="260"/>
  <c r="C937" i="260"/>
  <c r="B936" i="260"/>
  <c r="C936" i="260"/>
  <c r="B935" i="260"/>
  <c r="C935" i="260"/>
  <c r="B934" i="260"/>
  <c r="C934" i="260"/>
  <c r="B933" i="260"/>
  <c r="C933" i="260"/>
  <c r="C927" i="260"/>
  <c r="B926" i="260"/>
  <c r="C926" i="260"/>
  <c r="B925" i="260"/>
  <c r="C925" i="260"/>
  <c r="B924" i="260"/>
  <c r="C924" i="260"/>
  <c r="B923" i="260"/>
  <c r="C923" i="260"/>
  <c r="B922" i="260"/>
  <c r="C922" i="260"/>
  <c r="B921" i="260"/>
  <c r="C921" i="260"/>
  <c r="B920" i="260"/>
  <c r="C920" i="260"/>
  <c r="C917" i="260"/>
  <c r="B916" i="260"/>
  <c r="C916" i="260"/>
  <c r="B915" i="260"/>
  <c r="C915" i="260"/>
  <c r="B914" i="260"/>
  <c r="C914" i="260"/>
  <c r="B913" i="260"/>
  <c r="C913" i="260"/>
  <c r="B912" i="260"/>
  <c r="C912" i="260"/>
  <c r="B911" i="260"/>
  <c r="C911" i="260"/>
  <c r="B910" i="260"/>
  <c r="C910" i="260"/>
  <c r="C907" i="260"/>
  <c r="B906" i="260"/>
  <c r="C906" i="260"/>
  <c r="B905" i="260"/>
  <c r="C905" i="260"/>
  <c r="B904" i="260"/>
  <c r="C904" i="260"/>
  <c r="B903" i="260"/>
  <c r="C903" i="260"/>
  <c r="B902" i="260"/>
  <c r="C902" i="260"/>
  <c r="B901" i="260"/>
  <c r="C901" i="260"/>
  <c r="B900" i="260"/>
  <c r="C900" i="260"/>
  <c r="C897" i="260"/>
  <c r="B896" i="260"/>
  <c r="C896" i="260"/>
  <c r="B895" i="260"/>
  <c r="C895" i="260"/>
  <c r="B894" i="260"/>
  <c r="C894" i="260"/>
  <c r="B893" i="260"/>
  <c r="C893" i="260"/>
  <c r="B892" i="260"/>
  <c r="C892" i="260"/>
  <c r="B891" i="260"/>
  <c r="C891" i="260"/>
  <c r="B890" i="260"/>
  <c r="C890" i="260"/>
  <c r="C887" i="260"/>
  <c r="B886" i="260"/>
  <c r="C886" i="260"/>
  <c r="B885" i="260"/>
  <c r="C885" i="260"/>
  <c r="B884" i="260"/>
  <c r="C884" i="260"/>
  <c r="B883" i="260"/>
  <c r="C883" i="260"/>
  <c r="B882" i="260"/>
  <c r="C882" i="260"/>
  <c r="B881" i="260"/>
  <c r="C881" i="260"/>
  <c r="B880" i="260"/>
  <c r="C880" i="260"/>
  <c r="C877" i="260"/>
  <c r="B876" i="260"/>
  <c r="C876" i="260"/>
  <c r="B875" i="260"/>
  <c r="C875" i="260"/>
  <c r="B874" i="260"/>
  <c r="C874" i="260"/>
  <c r="B873" i="260"/>
  <c r="C873" i="260"/>
  <c r="B872" i="260"/>
  <c r="C872" i="260"/>
  <c r="B871" i="260"/>
  <c r="C871" i="260"/>
  <c r="B870" i="260"/>
  <c r="C870" i="260"/>
  <c r="C867" i="260"/>
  <c r="B866" i="260"/>
  <c r="C866" i="260"/>
  <c r="B865" i="260"/>
  <c r="C865" i="260"/>
  <c r="B864" i="260"/>
  <c r="C864" i="260"/>
  <c r="B863" i="260"/>
  <c r="C863" i="260"/>
  <c r="B862" i="260"/>
  <c r="C862" i="260"/>
  <c r="B861" i="260"/>
  <c r="C861" i="260"/>
  <c r="B860" i="260"/>
  <c r="C860" i="260"/>
  <c r="C857" i="260"/>
  <c r="B856" i="260"/>
  <c r="C856" i="260"/>
  <c r="B855" i="260"/>
  <c r="C855" i="260"/>
  <c r="B854" i="260"/>
  <c r="C854" i="260"/>
  <c r="B853" i="260"/>
  <c r="C853" i="260"/>
  <c r="B852" i="260"/>
  <c r="C852" i="260"/>
  <c r="B851" i="260"/>
  <c r="C851" i="260"/>
  <c r="B850" i="260"/>
  <c r="C850" i="260"/>
  <c r="B740" i="260"/>
  <c r="C740" i="260"/>
  <c r="B739" i="260"/>
  <c r="C739" i="260"/>
  <c r="B738" i="260"/>
  <c r="C738" i="260"/>
  <c r="B737" i="260"/>
  <c r="C737" i="260"/>
  <c r="B736" i="260"/>
  <c r="C736" i="260"/>
  <c r="B735" i="260"/>
  <c r="C735" i="260"/>
  <c r="B734" i="260"/>
  <c r="C734" i="260"/>
  <c r="B733" i="260"/>
  <c r="C733" i="260"/>
  <c r="O619" i="260"/>
  <c r="O620" i="260"/>
  <c r="N619" i="260"/>
  <c r="N620" i="260"/>
  <c r="M619" i="260"/>
  <c r="M620" i="260"/>
  <c r="L619" i="260"/>
  <c r="L620" i="260"/>
  <c r="K619" i="260"/>
  <c r="K620" i="260"/>
  <c r="J619" i="260"/>
  <c r="J620" i="260"/>
  <c r="I619" i="260"/>
  <c r="I620" i="260"/>
  <c r="H619" i="260"/>
  <c r="H620" i="260"/>
  <c r="O545" i="260"/>
  <c r="N545" i="260"/>
  <c r="M545" i="260"/>
  <c r="L545" i="260"/>
  <c r="K545" i="260"/>
  <c r="J545" i="260"/>
  <c r="I545" i="260"/>
  <c r="H545" i="260"/>
  <c r="D375" i="260"/>
  <c r="D369" i="260"/>
  <c r="D363" i="260"/>
  <c r="D357" i="260"/>
  <c r="C183" i="260"/>
  <c r="D183" i="260"/>
  <c r="C182" i="260"/>
  <c r="D182" i="260"/>
  <c r="C181" i="260"/>
  <c r="D181" i="260"/>
  <c r="C180" i="260"/>
  <c r="D180" i="260"/>
  <c r="C179" i="260"/>
  <c r="D179" i="260"/>
  <c r="C178" i="260"/>
  <c r="D178" i="260"/>
  <c r="C177" i="260"/>
  <c r="D177" i="260"/>
  <c r="C176" i="260"/>
  <c r="D176" i="260"/>
  <c r="C170" i="260"/>
  <c r="D170" i="260"/>
  <c r="C169" i="260"/>
  <c r="D169" i="260"/>
  <c r="C168" i="260"/>
  <c r="D168" i="260"/>
  <c r="C167" i="260"/>
  <c r="D167" i="260"/>
  <c r="C166" i="260"/>
  <c r="D166" i="260"/>
  <c r="C165" i="260"/>
  <c r="D165" i="260"/>
  <c r="C164" i="260"/>
  <c r="D164" i="260"/>
  <c r="C163" i="260"/>
  <c r="D163" i="260"/>
  <c r="C156" i="260"/>
  <c r="D156" i="260"/>
  <c r="C155" i="260"/>
  <c r="D155" i="260"/>
  <c r="C154" i="260"/>
  <c r="D154" i="260"/>
  <c r="C151" i="260"/>
  <c r="D151" i="260"/>
  <c r="C150" i="260"/>
  <c r="D150" i="260"/>
  <c r="C149" i="260"/>
  <c r="D149" i="260"/>
  <c r="C148" i="260"/>
  <c r="D148" i="260"/>
  <c r="C147" i="260"/>
  <c r="D147" i="260"/>
  <c r="C146" i="260"/>
  <c r="D146" i="260"/>
  <c r="C145" i="260"/>
  <c r="D145" i="260"/>
  <c r="C144" i="260"/>
  <c r="D144" i="260"/>
  <c r="C141" i="260"/>
  <c r="D141" i="260"/>
  <c r="C140" i="260"/>
  <c r="D140" i="260"/>
  <c r="C139" i="260"/>
  <c r="D139" i="260"/>
  <c r="C138" i="260"/>
  <c r="D138" i="260"/>
  <c r="C137" i="260"/>
  <c r="D137" i="260"/>
  <c r="C136" i="260"/>
  <c r="D136" i="260"/>
  <c r="C135" i="260"/>
  <c r="D135" i="260"/>
  <c r="C134" i="260"/>
  <c r="D134" i="260"/>
  <c r="C133" i="260"/>
  <c r="D133" i="260"/>
  <c r="C125" i="260"/>
  <c r="D125" i="260"/>
  <c r="C124" i="260"/>
  <c r="D124" i="260"/>
  <c r="C123" i="260"/>
  <c r="D123" i="260"/>
  <c r="C120" i="260"/>
  <c r="D120" i="260"/>
  <c r="C119" i="260"/>
  <c r="D119" i="260"/>
  <c r="C118" i="260"/>
  <c r="D118" i="260"/>
  <c r="C117" i="260"/>
  <c r="D117" i="260"/>
  <c r="C116" i="260"/>
  <c r="D116" i="260"/>
  <c r="C115" i="260"/>
  <c r="D115" i="260"/>
  <c r="C114" i="260"/>
  <c r="D114" i="260"/>
  <c r="C113" i="260"/>
  <c r="D113" i="260"/>
  <c r="B2" i="260"/>
  <c r="B1" i="260"/>
  <c r="C110" i="260"/>
  <c r="D110" i="260"/>
  <c r="C109" i="260"/>
  <c r="D109" i="260"/>
  <c r="C108" i="260"/>
  <c r="D108" i="260"/>
  <c r="C107" i="260"/>
  <c r="D107" i="260"/>
  <c r="C106" i="260"/>
  <c r="D106" i="260"/>
  <c r="C105" i="260"/>
  <c r="D105" i="260"/>
  <c r="C104" i="260"/>
  <c r="D104" i="260"/>
  <c r="C103" i="260"/>
  <c r="D103" i="260"/>
  <c r="C102" i="260"/>
  <c r="D102" i="260"/>
  <c r="E66" i="260"/>
  <c r="D96" i="260"/>
  <c r="C99" i="260"/>
  <c r="F102" i="260"/>
  <c r="F103" i="260"/>
  <c r="F104" i="260"/>
  <c r="F105" i="260"/>
  <c r="F106" i="260"/>
  <c r="F107" i="260"/>
  <c r="F108" i="260"/>
  <c r="F109" i="260"/>
  <c r="F110" i="260"/>
  <c r="F120" i="260"/>
  <c r="F124" i="260"/>
  <c r="F125" i="260"/>
  <c r="C130" i="260"/>
  <c r="F133" i="260"/>
  <c r="F134" i="260"/>
  <c r="F135" i="260"/>
  <c r="F136" i="260"/>
  <c r="F137" i="260"/>
  <c r="F138" i="260"/>
  <c r="F139" i="260"/>
  <c r="F140" i="260"/>
  <c r="F141" i="260"/>
  <c r="F151" i="260"/>
  <c r="F155" i="260"/>
  <c r="F156" i="260"/>
  <c r="F324" i="260"/>
  <c r="G324" i="260"/>
  <c r="H324" i="260"/>
  <c r="I324" i="260"/>
  <c r="F338" i="260"/>
  <c r="G338" i="260"/>
  <c r="H338" i="260"/>
  <c r="I338" i="260"/>
  <c r="F352" i="260"/>
  <c r="G352" i="260"/>
  <c r="H352" i="260"/>
  <c r="I352" i="260"/>
  <c r="O354" i="260"/>
  <c r="F357" i="260"/>
  <c r="G357" i="260"/>
  <c r="H357" i="260"/>
  <c r="I357" i="260"/>
  <c r="J357" i="260"/>
  <c r="K357" i="260"/>
  <c r="L357" i="260"/>
  <c r="M357" i="260"/>
  <c r="N357" i="260"/>
  <c r="O357" i="260"/>
  <c r="O360" i="260"/>
  <c r="F363" i="260"/>
  <c r="G363" i="260"/>
  <c r="H363" i="260"/>
  <c r="I363" i="260"/>
  <c r="J363" i="260"/>
  <c r="K363" i="260"/>
  <c r="L363" i="260"/>
  <c r="M363" i="260"/>
  <c r="N363" i="260"/>
  <c r="O363" i="260"/>
  <c r="O366" i="260"/>
  <c r="F369" i="260"/>
  <c r="G369" i="260"/>
  <c r="H369" i="260"/>
  <c r="I369" i="260"/>
  <c r="J369" i="260"/>
  <c r="K369" i="260"/>
  <c r="L369" i="260"/>
  <c r="M369" i="260"/>
  <c r="N369" i="260"/>
  <c r="O369" i="260"/>
  <c r="O372" i="260"/>
  <c r="F375" i="260"/>
  <c r="G375" i="260"/>
  <c r="H375" i="260"/>
  <c r="I375" i="260"/>
  <c r="J375" i="260"/>
  <c r="K375" i="260"/>
  <c r="L375" i="260"/>
  <c r="M375" i="260"/>
  <c r="N375" i="260"/>
  <c r="O375" i="260"/>
  <c r="F387" i="260"/>
  <c r="F398" i="260"/>
  <c r="G398" i="260"/>
  <c r="H402" i="260"/>
  <c r="H408" i="260"/>
  <c r="D417" i="260"/>
  <c r="F419" i="260"/>
  <c r="F447" i="260"/>
  <c r="F449" i="260"/>
  <c r="F462" i="260"/>
  <c r="A566" i="260"/>
  <c r="A567" i="260"/>
  <c r="A568" i="260"/>
  <c r="A569" i="260"/>
  <c r="A570" i="260"/>
  <c r="A571" i="260"/>
  <c r="A572" i="260"/>
  <c r="A573" i="260"/>
  <c r="A640" i="260"/>
  <c r="A641" i="260"/>
  <c r="A642" i="260"/>
  <c r="A643" i="260"/>
  <c r="A644" i="260"/>
  <c r="A645" i="260"/>
  <c r="A646" i="260"/>
  <c r="A647" i="260"/>
  <c r="F694" i="260"/>
  <c r="I705" i="260"/>
  <c r="E730" i="260"/>
  <c r="F730" i="260"/>
  <c r="F1108" i="260"/>
  <c r="F1396" i="260"/>
  <c r="G1396" i="260"/>
  <c r="H1396" i="260"/>
  <c r="I1396" i="260"/>
  <c r="J1396" i="260"/>
  <c r="K1396" i="260"/>
  <c r="L1396" i="260"/>
  <c r="M1396" i="260"/>
  <c r="N1396" i="260"/>
  <c r="O1396" i="260"/>
  <c r="C1403" i="260"/>
  <c r="F1403" i="260"/>
  <c r="F1833" i="260"/>
  <c r="G1403" i="260"/>
  <c r="G1833" i="260"/>
  <c r="H1403" i="260"/>
  <c r="H1833" i="260"/>
  <c r="I1403" i="260"/>
  <c r="I1833" i="260"/>
  <c r="J1403" i="260"/>
  <c r="J1833" i="260"/>
  <c r="K1403" i="260"/>
  <c r="K1833" i="260"/>
  <c r="L1403" i="260"/>
  <c r="L1833" i="260"/>
  <c r="M1403" i="260"/>
  <c r="M1833" i="260"/>
  <c r="N1403" i="260"/>
  <c r="N1833" i="260"/>
  <c r="O1403" i="260"/>
  <c r="O1833" i="260"/>
  <c r="C1410" i="260"/>
  <c r="F1410" i="260"/>
  <c r="F1834" i="260"/>
  <c r="G1410" i="260"/>
  <c r="G1834" i="260"/>
  <c r="H1410" i="260"/>
  <c r="H1834" i="260"/>
  <c r="I1410" i="260"/>
  <c r="I1834" i="260"/>
  <c r="J1410" i="260"/>
  <c r="J1834" i="260"/>
  <c r="K1410" i="260"/>
  <c r="K1834" i="260"/>
  <c r="L1410" i="260"/>
  <c r="L1834" i="260"/>
  <c r="M1410" i="260"/>
  <c r="M1834" i="260"/>
  <c r="N1410" i="260"/>
  <c r="N1834" i="260"/>
  <c r="O1410" i="260"/>
  <c r="O1834" i="260"/>
  <c r="C1417" i="260"/>
  <c r="F1417" i="260"/>
  <c r="F1835" i="260"/>
  <c r="G1417" i="260"/>
  <c r="G1835" i="260"/>
  <c r="H1417" i="260"/>
  <c r="H1835" i="260"/>
  <c r="I1417" i="260"/>
  <c r="I1835" i="260"/>
  <c r="J1417" i="260"/>
  <c r="J1835" i="260"/>
  <c r="K1417" i="260"/>
  <c r="K1835" i="260"/>
  <c r="L1417" i="260"/>
  <c r="L1835" i="260"/>
  <c r="M1417" i="260"/>
  <c r="M1835" i="260"/>
  <c r="N1417" i="260"/>
  <c r="N1835" i="260"/>
  <c r="O1417" i="260"/>
  <c r="O1835" i="260"/>
  <c r="C1424" i="260"/>
  <c r="F1424" i="260"/>
  <c r="F1836" i="260"/>
  <c r="G1424" i="260"/>
  <c r="G1836" i="260"/>
  <c r="H1424" i="260"/>
  <c r="H1836" i="260"/>
  <c r="I1424" i="260"/>
  <c r="I1836" i="260"/>
  <c r="J1424" i="260"/>
  <c r="J1836" i="260"/>
  <c r="K1424" i="260"/>
  <c r="K1836" i="260"/>
  <c r="L1424" i="260"/>
  <c r="L1836" i="260"/>
  <c r="M1424" i="260"/>
  <c r="M1836" i="260"/>
  <c r="N1424" i="260"/>
  <c r="N1836" i="260"/>
  <c r="O1424" i="260"/>
  <c r="O1836" i="260"/>
  <c r="F1428" i="260"/>
  <c r="E1432" i="260"/>
  <c r="E1527" i="260"/>
  <c r="E1621" i="260"/>
  <c r="F1720" i="260"/>
  <c r="E1733" i="260"/>
  <c r="E1736" i="260"/>
  <c r="E1748" i="260"/>
  <c r="F1750" i="260"/>
  <c r="F1751" i="260"/>
  <c r="F1752" i="260"/>
  <c r="G1752" i="260"/>
  <c r="H1752" i="260"/>
  <c r="I1752" i="260"/>
  <c r="J1752" i="260"/>
  <c r="K1752" i="260"/>
  <c r="L1752" i="260"/>
  <c r="M1752" i="260"/>
  <c r="N1752" i="260"/>
  <c r="N1766" i="260"/>
  <c r="O1752" i="260"/>
  <c r="E1755" i="260"/>
  <c r="E1762" i="260"/>
  <c r="F1763" i="260"/>
  <c r="F1764" i="260"/>
  <c r="F1757" i="260"/>
  <c r="F1765" i="260"/>
  <c r="F1758" i="260"/>
  <c r="F1766" i="260"/>
  <c r="G1766" i="260"/>
  <c r="H1766" i="260"/>
  <c r="H1759" i="260"/>
  <c r="I1766" i="260"/>
  <c r="I1759" i="260"/>
  <c r="J1766" i="260"/>
  <c r="J1759" i="260"/>
  <c r="K1766" i="260"/>
  <c r="K1759" i="260"/>
  <c r="L1766" i="260"/>
  <c r="M1766" i="260"/>
  <c r="M1759" i="260"/>
  <c r="O1766" i="260"/>
  <c r="E1770" i="260"/>
  <c r="F1771" i="260"/>
  <c r="F1775" i="260"/>
  <c r="F1772" i="260"/>
  <c r="F1773" i="260"/>
  <c r="F1774" i="260"/>
  <c r="G1774" i="260"/>
  <c r="H1774" i="260"/>
  <c r="I1774" i="260"/>
  <c r="J1774" i="260"/>
  <c r="K1774" i="260"/>
  <c r="L1774" i="260"/>
  <c r="M1774" i="260"/>
  <c r="M1788" i="260"/>
  <c r="N1774" i="260"/>
  <c r="O1774" i="260"/>
  <c r="E1777" i="260"/>
  <c r="E1784" i="260"/>
  <c r="F1785" i="260"/>
  <c r="F1789" i="260"/>
  <c r="F1786" i="260"/>
  <c r="F1779" i="260"/>
  <c r="F1787" i="260"/>
  <c r="F1788" i="260"/>
  <c r="F1781" i="260"/>
  <c r="G1788" i="260"/>
  <c r="H1788" i="260"/>
  <c r="H1781" i="260"/>
  <c r="I1788" i="260"/>
  <c r="I1781" i="260"/>
  <c r="J1788" i="260"/>
  <c r="J1781" i="260"/>
  <c r="K1788" i="260"/>
  <c r="L1788" i="260"/>
  <c r="L1781" i="260"/>
  <c r="N1788" i="260"/>
  <c r="O1788" i="260"/>
  <c r="E1793" i="260"/>
  <c r="O1793" i="260"/>
  <c r="F1825" i="260"/>
  <c r="G1825" i="260"/>
  <c r="H1825" i="260"/>
  <c r="I1825" i="260"/>
  <c r="J1825" i="260"/>
  <c r="K1825" i="260"/>
  <c r="L1825" i="260"/>
  <c r="M1825" i="260"/>
  <c r="N1825" i="260"/>
  <c r="O1825" i="260"/>
  <c r="F1826" i="260"/>
  <c r="G1826" i="260"/>
  <c r="H1826" i="260"/>
  <c r="I1826" i="260"/>
  <c r="J1826" i="260"/>
  <c r="K1826" i="260"/>
  <c r="L1826" i="260"/>
  <c r="M1826" i="260"/>
  <c r="N1826" i="260"/>
  <c r="O1826" i="260"/>
  <c r="F1827" i="260"/>
  <c r="G1827" i="260"/>
  <c r="H1827" i="260"/>
  <c r="I1827" i="260"/>
  <c r="J1827" i="260"/>
  <c r="K1827" i="260"/>
  <c r="L1827" i="260"/>
  <c r="M1827" i="260"/>
  <c r="N1827" i="260"/>
  <c r="O1827" i="260"/>
  <c r="F1828" i="260"/>
  <c r="G1828" i="260"/>
  <c r="H1828" i="260"/>
  <c r="I1828" i="260"/>
  <c r="J1828" i="260"/>
  <c r="K1828" i="260"/>
  <c r="L1828" i="260"/>
  <c r="M1828" i="260"/>
  <c r="N1828" i="260"/>
  <c r="O1828" i="260"/>
  <c r="AI106" i="259"/>
  <c r="AJ106" i="259"/>
  <c r="AK106" i="259"/>
  <c r="AL106" i="259"/>
  <c r="AM106" i="259"/>
  <c r="AN106" i="259"/>
  <c r="AO106" i="259"/>
  <c r="AP106" i="259"/>
  <c r="AQ106" i="259"/>
  <c r="AR106" i="259"/>
  <c r="AI107" i="259"/>
  <c r="AI108" i="259"/>
  <c r="AI109" i="259"/>
  <c r="AI110" i="259"/>
  <c r="AI111" i="259"/>
  <c r="AI112" i="259"/>
  <c r="AI113" i="259"/>
  <c r="AI115" i="259"/>
  <c r="AI116" i="259"/>
  <c r="AI126" i="259"/>
  <c r="AI127" i="259"/>
  <c r="AJ127" i="259"/>
  <c r="AK127" i="259"/>
  <c r="AL127" i="259"/>
  <c r="AM127" i="259"/>
  <c r="AN127" i="259"/>
  <c r="AO127" i="259"/>
  <c r="AP127" i="259"/>
  <c r="AQ127" i="259"/>
  <c r="AR127" i="259"/>
  <c r="AI128" i="259"/>
  <c r="AI129" i="259"/>
  <c r="AI130" i="259"/>
  <c r="AI131" i="259"/>
  <c r="AI132" i="259"/>
  <c r="AI133" i="259"/>
  <c r="AI134" i="259"/>
  <c r="AJ134" i="259"/>
  <c r="AK134" i="259"/>
  <c r="AL134" i="259"/>
  <c r="AM134" i="259"/>
  <c r="AN134" i="259"/>
  <c r="AO134" i="259"/>
  <c r="AP134" i="259"/>
  <c r="AQ134" i="259"/>
  <c r="AR134" i="259"/>
  <c r="AS134" i="259"/>
  <c r="AT134" i="259"/>
  <c r="AU134" i="259"/>
  <c r="AV134" i="259"/>
  <c r="AW134" i="259"/>
  <c r="AX134" i="259"/>
  <c r="AY134" i="259"/>
  <c r="AZ134" i="259"/>
  <c r="BA134" i="259"/>
  <c r="BB134" i="259"/>
  <c r="BC134" i="259"/>
  <c r="BD134" i="259"/>
  <c r="BE134" i="259"/>
  <c r="BF134" i="259"/>
  <c r="BG134" i="259"/>
  <c r="BH134" i="259"/>
  <c r="BI134" i="259"/>
  <c r="BJ134" i="259"/>
  <c r="BK134" i="259"/>
  <c r="BL134" i="259"/>
  <c r="BM134" i="259"/>
  <c r="BN134" i="259"/>
  <c r="BO134" i="259"/>
  <c r="BP134" i="259"/>
  <c r="BQ134" i="259"/>
  <c r="BR134" i="259"/>
  <c r="BS134" i="259"/>
  <c r="BT134" i="259"/>
  <c r="BU134" i="259"/>
  <c r="BV134" i="259"/>
  <c r="BW134" i="259"/>
  <c r="BX134" i="259"/>
  <c r="BY134" i="259"/>
  <c r="BZ134" i="259"/>
  <c r="CA134" i="259"/>
  <c r="CB134" i="259"/>
  <c r="CC134" i="259"/>
  <c r="CD134" i="259"/>
  <c r="CE134" i="259"/>
  <c r="CF134" i="259"/>
  <c r="CG134" i="259"/>
  <c r="CH134" i="259"/>
  <c r="CI134" i="259"/>
  <c r="CJ134" i="259"/>
  <c r="CK134" i="259"/>
  <c r="CL134" i="259"/>
  <c r="CM134" i="259"/>
  <c r="CN134" i="259"/>
  <c r="CO134" i="259"/>
  <c r="CP134" i="259"/>
  <c r="CQ134" i="259"/>
  <c r="CR134" i="259"/>
  <c r="CS134" i="259"/>
  <c r="CT134" i="259"/>
  <c r="CU134" i="259"/>
  <c r="CV134" i="259"/>
  <c r="CW134" i="259"/>
  <c r="CX134" i="259"/>
  <c r="CY134" i="259"/>
  <c r="CZ134" i="259"/>
  <c r="DA134" i="259"/>
  <c r="DB134" i="259"/>
  <c r="DC134" i="259"/>
  <c r="AI135" i="259"/>
  <c r="AI137" i="259"/>
  <c r="AI138" i="259"/>
  <c r="AI148" i="259"/>
  <c r="AI149" i="259"/>
  <c r="AJ149" i="259"/>
  <c r="AK149" i="259"/>
  <c r="AL149" i="259"/>
  <c r="AM149" i="259"/>
  <c r="AN149" i="259"/>
  <c r="AO149" i="259"/>
  <c r="AP149" i="259"/>
  <c r="AQ149" i="259"/>
  <c r="AR149" i="259"/>
  <c r="AI150" i="259"/>
  <c r="AI151" i="259"/>
  <c r="AI152" i="259"/>
  <c r="AI153" i="259"/>
  <c r="AI154" i="259"/>
  <c r="AI156" i="259"/>
  <c r="AI157" i="259"/>
  <c r="AI168" i="259"/>
  <c r="AJ168" i="259"/>
  <c r="AK168" i="259"/>
  <c r="AL168" i="259"/>
  <c r="AM168" i="259"/>
  <c r="AN168" i="259"/>
  <c r="AO168" i="259"/>
  <c r="AP168" i="259"/>
  <c r="AQ168" i="259"/>
  <c r="AR168" i="259"/>
  <c r="AI169" i="259"/>
  <c r="AI170" i="259"/>
  <c r="AI171" i="259"/>
  <c r="AI172" i="259"/>
  <c r="AI173" i="259"/>
  <c r="AI175" i="259"/>
  <c r="AI176" i="259"/>
  <c r="AI186" i="259"/>
  <c r="AI187" i="259"/>
  <c r="AJ187" i="259"/>
  <c r="AK187" i="259"/>
  <c r="AL187" i="259"/>
  <c r="AM187" i="259"/>
  <c r="AN187" i="259"/>
  <c r="AO187" i="259"/>
  <c r="AP187" i="259"/>
  <c r="AQ187" i="259"/>
  <c r="AR187" i="259"/>
  <c r="AI188" i="259"/>
  <c r="AI189" i="259"/>
  <c r="AI190" i="259"/>
  <c r="AI191" i="259"/>
  <c r="AI192" i="259"/>
  <c r="AI194" i="259"/>
  <c r="AI195" i="259"/>
  <c r="AI205" i="259"/>
  <c r="AI206" i="259"/>
  <c r="AJ206" i="259"/>
  <c r="AK206" i="259"/>
  <c r="AL206" i="259"/>
  <c r="AM206" i="259"/>
  <c r="AN206" i="259"/>
  <c r="AO206" i="259"/>
  <c r="AP206" i="259"/>
  <c r="AQ206" i="259"/>
  <c r="AR206" i="259"/>
  <c r="AI207" i="259"/>
  <c r="AI208" i="259"/>
  <c r="AI209" i="259"/>
  <c r="AI210" i="259"/>
  <c r="AI211" i="259"/>
  <c r="AI212" i="259"/>
  <c r="AI214" i="259"/>
  <c r="AI215" i="259"/>
  <c r="AI225" i="259"/>
  <c r="AI226" i="259"/>
  <c r="AJ226" i="259"/>
  <c r="AK226" i="259"/>
  <c r="AL226" i="259"/>
  <c r="AM226" i="259"/>
  <c r="AN226" i="259"/>
  <c r="AO226" i="259"/>
  <c r="AP226" i="259"/>
  <c r="AQ226" i="259"/>
  <c r="AR226" i="259"/>
  <c r="AI227" i="259"/>
  <c r="AI228" i="259"/>
  <c r="AI229" i="259"/>
  <c r="AI230" i="259"/>
  <c r="AI231" i="259"/>
  <c r="AI232" i="259"/>
  <c r="AI234" i="259"/>
  <c r="AI235" i="259"/>
  <c r="AI245" i="259"/>
  <c r="AI246" i="259"/>
  <c r="AJ246" i="259"/>
  <c r="AK246" i="259"/>
  <c r="AL246" i="259"/>
  <c r="AM246" i="259"/>
  <c r="AN246" i="259"/>
  <c r="AO246" i="259"/>
  <c r="AP246" i="259"/>
  <c r="AQ246" i="259"/>
  <c r="AR246" i="259"/>
  <c r="AI247" i="259"/>
  <c r="AI248" i="259"/>
  <c r="AI249" i="259"/>
  <c r="AI250" i="259"/>
  <c r="AI251" i="259"/>
  <c r="AI252" i="259"/>
  <c r="AJ252" i="259"/>
  <c r="AK252" i="259"/>
  <c r="AL252" i="259"/>
  <c r="AM252" i="259"/>
  <c r="AN252" i="259"/>
  <c r="AO252" i="259"/>
  <c r="AP252" i="259"/>
  <c r="AQ252" i="259"/>
  <c r="AR252" i="259"/>
  <c r="AS252" i="259"/>
  <c r="AT252" i="259"/>
  <c r="AU252" i="259"/>
  <c r="AV252" i="259"/>
  <c r="AW252" i="259"/>
  <c r="AX252" i="259"/>
  <c r="AY252" i="259"/>
  <c r="AZ252" i="259"/>
  <c r="BA252" i="259"/>
  <c r="BB252" i="259"/>
  <c r="BC252" i="259"/>
  <c r="BD252" i="259"/>
  <c r="BE252" i="259"/>
  <c r="BF252" i="259"/>
  <c r="BG252" i="259"/>
  <c r="BH252" i="259"/>
  <c r="BI252" i="259"/>
  <c r="BJ252" i="259"/>
  <c r="BK252" i="259"/>
  <c r="BL252" i="259"/>
  <c r="BM252" i="259"/>
  <c r="BN252" i="259"/>
  <c r="BO252" i="259"/>
  <c r="BP252" i="259"/>
  <c r="BQ252" i="259"/>
  <c r="BR252" i="259"/>
  <c r="BS252" i="259"/>
  <c r="BT252" i="259"/>
  <c r="BU252" i="259"/>
  <c r="BV252" i="259"/>
  <c r="BW252" i="259"/>
  <c r="BX252" i="259"/>
  <c r="BY252" i="259"/>
  <c r="BZ252" i="259"/>
  <c r="CA252" i="259"/>
  <c r="CB252" i="259"/>
  <c r="CC252" i="259"/>
  <c r="CD252" i="259"/>
  <c r="CE252" i="259"/>
  <c r="CF252" i="259"/>
  <c r="CG252" i="259"/>
  <c r="CH252" i="259"/>
  <c r="CI252" i="259"/>
  <c r="CJ252" i="259"/>
  <c r="CK252" i="259"/>
  <c r="CL252" i="259"/>
  <c r="CM252" i="259"/>
  <c r="CN252" i="259"/>
  <c r="CO252" i="259"/>
  <c r="CP252" i="259"/>
  <c r="CQ252" i="259"/>
  <c r="CR252" i="259"/>
  <c r="CS252" i="259"/>
  <c r="CT252" i="259"/>
  <c r="CU252" i="259"/>
  <c r="CV252" i="259"/>
  <c r="CW252" i="259"/>
  <c r="CX252" i="259"/>
  <c r="CY252" i="259"/>
  <c r="CZ252" i="259"/>
  <c r="DA252" i="259"/>
  <c r="DB252" i="259"/>
  <c r="DC252" i="259"/>
  <c r="AI253" i="259"/>
  <c r="AI258" i="259"/>
  <c r="AI259" i="259"/>
  <c r="AI260" i="259"/>
  <c r="AI261" i="259"/>
  <c r="AI262" i="259"/>
  <c r="AI263" i="259"/>
  <c r="AI264" i="259"/>
  <c r="AI265" i="259"/>
  <c r="G12" i="252"/>
  <c r="G13" i="252"/>
  <c r="S13" i="252"/>
  <c r="M14" i="252"/>
  <c r="Q39" i="252"/>
  <c r="D16" i="252"/>
  <c r="M19" i="252"/>
  <c r="M33" i="252"/>
  <c r="N46" i="252"/>
  <c r="N71" i="252"/>
  <c r="S160" i="252"/>
  <c r="S161" i="252"/>
  <c r="S162" i="252"/>
  <c r="D169" i="252"/>
  <c r="R154" i="252"/>
  <c r="N202" i="252"/>
  <c r="O202" i="252"/>
  <c r="D219" i="252"/>
  <c r="I111" i="203"/>
  <c r="I112" i="203"/>
  <c r="I123" i="203"/>
  <c r="I124" i="203"/>
  <c r="I125" i="203"/>
  <c r="I126" i="203"/>
  <c r="I127" i="203"/>
  <c r="I128" i="203"/>
  <c r="I129" i="203"/>
  <c r="I130" i="203"/>
  <c r="I131" i="203"/>
  <c r="I132" i="203"/>
  <c r="C76" i="203"/>
  <c r="I76" i="203"/>
  <c r="C77" i="203"/>
  <c r="I77" i="203"/>
  <c r="C78" i="203"/>
  <c r="I78" i="203"/>
  <c r="C79" i="203"/>
  <c r="I79" i="203"/>
  <c r="C80" i="203"/>
  <c r="I80" i="203"/>
  <c r="C81" i="203"/>
  <c r="I81" i="203"/>
  <c r="C82" i="203"/>
  <c r="I82" i="203"/>
  <c r="C83" i="203"/>
  <c r="I83" i="203"/>
  <c r="C84" i="203"/>
  <c r="I84" i="203"/>
  <c r="C85" i="203"/>
  <c r="I85" i="203"/>
  <c r="C86" i="203"/>
  <c r="I86" i="203"/>
  <c r="C87" i="203"/>
  <c r="I87" i="203"/>
  <c r="C88" i="203"/>
  <c r="I88" i="203"/>
  <c r="C89" i="203"/>
  <c r="I89" i="203"/>
  <c r="C90" i="203"/>
  <c r="I90" i="203"/>
  <c r="C91" i="203"/>
  <c r="I91" i="203"/>
  <c r="C92" i="203"/>
  <c r="I92" i="203"/>
  <c r="C93" i="203"/>
  <c r="I93" i="203"/>
  <c r="C94" i="203"/>
  <c r="I94" i="203"/>
  <c r="C95" i="203"/>
  <c r="I95" i="203"/>
  <c r="C96" i="203"/>
  <c r="I96" i="203"/>
  <c r="C97" i="203"/>
  <c r="I97" i="203"/>
  <c r="C98" i="203"/>
  <c r="I98" i="203"/>
  <c r="C99" i="203"/>
  <c r="I99" i="203"/>
  <c r="C100" i="203"/>
  <c r="I100" i="203"/>
  <c r="C101" i="203"/>
  <c r="I101" i="203"/>
  <c r="C102" i="203"/>
  <c r="I102" i="203"/>
  <c r="C103" i="203"/>
  <c r="I103" i="203"/>
  <c r="C104" i="203"/>
  <c r="I104" i="203"/>
  <c r="I136" i="203"/>
  <c r="H34" i="23"/>
  <c r="I34" i="23"/>
  <c r="H35" i="23"/>
  <c r="I35" i="23"/>
  <c r="I26" i="23"/>
  <c r="I27" i="23"/>
  <c r="K6" i="203"/>
  <c r="C7" i="203"/>
  <c r="C13" i="203"/>
  <c r="O13" i="203"/>
  <c r="O14" i="203"/>
  <c r="C20" i="203"/>
  <c r="C46" i="203"/>
  <c r="C48" i="203"/>
  <c r="C49" i="203"/>
  <c r="I73" i="203"/>
  <c r="G31" i="201"/>
  <c r="G32" i="201"/>
  <c r="H31" i="201"/>
  <c r="I31" i="201"/>
  <c r="J31" i="201"/>
  <c r="K31" i="201"/>
  <c r="L31" i="201"/>
  <c r="D40" i="189"/>
  <c r="F40" i="189"/>
  <c r="G40" i="189"/>
  <c r="H40" i="189"/>
  <c r="I40" i="189"/>
  <c r="C41" i="189"/>
  <c r="D41" i="189"/>
  <c r="F41" i="189"/>
  <c r="G41" i="189"/>
  <c r="H41" i="189"/>
  <c r="I41" i="189"/>
  <c r="J41" i="189"/>
  <c r="C35" i="189"/>
  <c r="D35" i="189"/>
  <c r="F35" i="189"/>
  <c r="G35" i="189"/>
  <c r="H35" i="189"/>
  <c r="I35" i="189"/>
  <c r="J35" i="189"/>
  <c r="C38" i="189"/>
  <c r="D38" i="189"/>
  <c r="F38" i="189"/>
  <c r="G38" i="189"/>
  <c r="H38" i="189"/>
  <c r="I38" i="189"/>
  <c r="J38" i="189"/>
  <c r="D36" i="189"/>
  <c r="F36" i="189"/>
  <c r="G36" i="189"/>
  <c r="H36" i="189"/>
  <c r="I36" i="189"/>
  <c r="J36" i="189"/>
  <c r="C37" i="189"/>
  <c r="D37" i="189"/>
  <c r="F37" i="189"/>
  <c r="G37" i="189"/>
  <c r="H37" i="189"/>
  <c r="I37" i="189"/>
  <c r="C39" i="189"/>
  <c r="D39" i="189"/>
  <c r="F39" i="189"/>
  <c r="G39" i="189"/>
  <c r="H39" i="189"/>
  <c r="I39" i="189"/>
  <c r="J39" i="189"/>
  <c r="K7" i="189"/>
  <c r="I28" i="23"/>
  <c r="E71" i="6"/>
  <c r="F78" i="6"/>
  <c r="D95" i="6"/>
  <c r="E6" i="6"/>
  <c r="D100" i="6"/>
  <c r="E14" i="6"/>
  <c r="D105" i="6"/>
  <c r="D106" i="6"/>
  <c r="E15" i="6"/>
  <c r="F77" i="6"/>
  <c r="D104" i="6"/>
  <c r="H66" i="23"/>
  <c r="I66" i="23"/>
  <c r="H65" i="23"/>
  <c r="I65" i="23"/>
  <c r="D85" i="6"/>
  <c r="D86" i="6"/>
  <c r="D87" i="6"/>
  <c r="D88" i="6"/>
  <c r="D89" i="6"/>
  <c r="D90" i="6"/>
  <c r="D91" i="6"/>
  <c r="D92" i="6"/>
  <c r="D93" i="6"/>
  <c r="D94" i="6"/>
  <c r="D96" i="6"/>
  <c r="D97" i="6"/>
  <c r="D98" i="6"/>
  <c r="D99" i="6"/>
  <c r="D101" i="6"/>
  <c r="D102" i="6"/>
  <c r="D103" i="6"/>
  <c r="I9" i="23"/>
  <c r="I10" i="23"/>
  <c r="I11" i="23"/>
  <c r="I12" i="23"/>
  <c r="I13" i="23"/>
  <c r="I14" i="23"/>
  <c r="I31" i="23"/>
  <c r="I29" i="23"/>
  <c r="H18" i="23"/>
  <c r="I18" i="23"/>
  <c r="H54" i="23"/>
  <c r="I54" i="23"/>
  <c r="H55" i="23"/>
  <c r="H56" i="23"/>
  <c r="H57" i="23"/>
  <c r="H58" i="23"/>
  <c r="H59" i="23"/>
  <c r="H60" i="23"/>
  <c r="H61" i="23"/>
  <c r="H62" i="23"/>
  <c r="H63" i="23"/>
  <c r="I63" i="23"/>
  <c r="H32" i="23"/>
  <c r="I32" i="23"/>
  <c r="H33" i="23"/>
  <c r="I33" i="23"/>
  <c r="H64" i="23"/>
  <c r="I64" i="23"/>
  <c r="F76" i="6"/>
  <c r="E11" i="6"/>
  <c r="F25" i="6"/>
  <c r="E35" i="6"/>
  <c r="B59" i="6"/>
  <c r="F59" i="6"/>
  <c r="B60" i="6"/>
  <c r="F60" i="6"/>
  <c r="B61" i="6"/>
  <c r="F61" i="6"/>
  <c r="O204" i="252"/>
  <c r="O203" i="252"/>
  <c r="G1763" i="260"/>
  <c r="G1749" i="260"/>
  <c r="G1753" i="260"/>
  <c r="G1764" i="260"/>
  <c r="G1765" i="260"/>
  <c r="G1750" i="260"/>
  <c r="G1751" i="260"/>
  <c r="O1749" i="260"/>
  <c r="O1750" i="260"/>
  <c r="O1764" i="260"/>
  <c r="O1751" i="260"/>
  <c r="O1763" i="260"/>
  <c r="O1767" i="260"/>
  <c r="O1765" i="260"/>
  <c r="K1749" i="260"/>
  <c r="K1753" i="260"/>
  <c r="K1750" i="260"/>
  <c r="K1751" i="260"/>
  <c r="K1763" i="260"/>
  <c r="K1767" i="260"/>
  <c r="K1764" i="260"/>
  <c r="K1765" i="260"/>
  <c r="L1749" i="260"/>
  <c r="L1763" i="260"/>
  <c r="L1767" i="260"/>
  <c r="L1750" i="260"/>
  <c r="L1751" i="260"/>
  <c r="L1764" i="260"/>
  <c r="L1765" i="260"/>
  <c r="J1749" i="260"/>
  <c r="J1753" i="260"/>
  <c r="J1750" i="260"/>
  <c r="J1751" i="260"/>
  <c r="J1763" i="260"/>
  <c r="J1767" i="260"/>
  <c r="J1764" i="260"/>
  <c r="J1765" i="260"/>
  <c r="M1749" i="260"/>
  <c r="M1753" i="260"/>
  <c r="M1750" i="260"/>
  <c r="M1764" i="260"/>
  <c r="M1751" i="260"/>
  <c r="M1763" i="260"/>
  <c r="M1765" i="260"/>
  <c r="I1749" i="260"/>
  <c r="I1753" i="260"/>
  <c r="I1750" i="260"/>
  <c r="I1751" i="260"/>
  <c r="I1763" i="260"/>
  <c r="I1767" i="260"/>
  <c r="I1764" i="260"/>
  <c r="I1765" i="260"/>
  <c r="H1749" i="260"/>
  <c r="H1753" i="260"/>
  <c r="H1750" i="260"/>
  <c r="H1751" i="260"/>
  <c r="H1763" i="260"/>
  <c r="H1764" i="260"/>
  <c r="H1765" i="260"/>
  <c r="N1749" i="260"/>
  <c r="N1753" i="260"/>
  <c r="N1750" i="260"/>
  <c r="N1751" i="260"/>
  <c r="N1763" i="260"/>
  <c r="N1764" i="260"/>
  <c r="N1765" i="260"/>
  <c r="G1785" i="260"/>
  <c r="G1771" i="260"/>
  <c r="G1775" i="260"/>
  <c r="L1785" i="260"/>
  <c r="L1789" i="260"/>
  <c r="L1786" i="260"/>
  <c r="L1787" i="260"/>
  <c r="L1771" i="260"/>
  <c r="L1775" i="260"/>
  <c r="L1772" i="260"/>
  <c r="L1773" i="260"/>
  <c r="H1785" i="260"/>
  <c r="H1789" i="260"/>
  <c r="H1786" i="260"/>
  <c r="H1787" i="260"/>
  <c r="H1771" i="260"/>
  <c r="H1772" i="260"/>
  <c r="H1773" i="260"/>
  <c r="J1785" i="260"/>
  <c r="J1789" i="260"/>
  <c r="J1786" i="260"/>
  <c r="J1787" i="260"/>
  <c r="J1773" i="260"/>
  <c r="J1771" i="260"/>
  <c r="J1772" i="260"/>
  <c r="N1785" i="260"/>
  <c r="N1789" i="260"/>
  <c r="N1786" i="260"/>
  <c r="N1787" i="260"/>
  <c r="N1771" i="260"/>
  <c r="N1775" i="260"/>
  <c r="N1772" i="260"/>
  <c r="N1773" i="260"/>
  <c r="K1785" i="260"/>
  <c r="K1789" i="260"/>
  <c r="K1786" i="260"/>
  <c r="K1787" i="260"/>
  <c r="K1771" i="260"/>
  <c r="K1772" i="260"/>
  <c r="K1773" i="260"/>
  <c r="I1785" i="260"/>
  <c r="I1789" i="260"/>
  <c r="I1771" i="260"/>
  <c r="I1786" i="260"/>
  <c r="I1772" i="260"/>
  <c r="I1787" i="260"/>
  <c r="I1773" i="260"/>
  <c r="M1785" i="260"/>
  <c r="M1789" i="260"/>
  <c r="M1786" i="260"/>
  <c r="M1787" i="260"/>
  <c r="M1771" i="260"/>
  <c r="M1772" i="260"/>
  <c r="M1773" i="260"/>
  <c r="G1786" i="260"/>
  <c r="G1787" i="260"/>
  <c r="G1772" i="260"/>
  <c r="G1773" i="260"/>
  <c r="O1785" i="260"/>
  <c r="O1786" i="260"/>
  <c r="O1787" i="260"/>
  <c r="O1773" i="260"/>
  <c r="O1771" i="260"/>
  <c r="O1775" i="260"/>
  <c r="O1772" i="260"/>
  <c r="D61" i="189"/>
  <c r="K1781" i="260"/>
  <c r="G1781" i="260"/>
  <c r="C837" i="260"/>
  <c r="A838" i="260"/>
  <c r="C827" i="260"/>
  <c r="A828" i="260"/>
  <c r="G1759" i="260"/>
  <c r="F1759" i="260"/>
  <c r="C817" i="260"/>
  <c r="A818" i="260"/>
  <c r="A788" i="260"/>
  <c r="D37" i="260"/>
  <c r="L204" i="260"/>
  <c r="D83" i="260"/>
  <c r="C757" i="260"/>
  <c r="N546" i="260"/>
  <c r="O546" i="260"/>
  <c r="M546" i="260"/>
  <c r="H546" i="260"/>
  <c r="I546" i="260"/>
  <c r="J546" i="260"/>
  <c r="K546" i="260"/>
  <c r="L546" i="260"/>
  <c r="M263" i="259"/>
  <c r="N263" i="259"/>
  <c r="E542" i="260"/>
  <c r="D528" i="260"/>
  <c r="C1384" i="260"/>
  <c r="L264" i="259"/>
  <c r="C1526" i="260"/>
  <c r="A1527" i="260"/>
  <c r="A1528" i="260"/>
  <c r="A1529" i="260"/>
  <c r="A1530" i="260"/>
  <c r="A1531" i="260"/>
  <c r="A1532" i="260"/>
  <c r="A1533" i="260"/>
  <c r="A1534" i="260"/>
  <c r="A1535" i="260"/>
  <c r="D218" i="260"/>
  <c r="C1028" i="260"/>
  <c r="A1029" i="260"/>
  <c r="C571" i="260"/>
  <c r="M40" i="324"/>
  <c r="M34" i="324"/>
  <c r="U35" i="324"/>
  <c r="M38" i="324"/>
  <c r="AC35" i="324"/>
  <c r="U28" i="324"/>
  <c r="M35" i="324"/>
  <c r="AC30" i="324"/>
  <c r="U34" i="324"/>
  <c r="AC27" i="324"/>
  <c r="C1620" i="260"/>
  <c r="A1621" i="260"/>
  <c r="A1622" i="260"/>
  <c r="A1623" i="260"/>
  <c r="A1624" i="260"/>
  <c r="A1625" i="260"/>
  <c r="A1626" i="260"/>
  <c r="A1627" i="260"/>
  <c r="A1628" i="260"/>
  <c r="A1629" i="260"/>
  <c r="C1517" i="260"/>
  <c r="CM263" i="259"/>
  <c r="AF35" i="324"/>
  <c r="CZ259" i="259"/>
  <c r="C661" i="260"/>
  <c r="C1290" i="260"/>
  <c r="E41" i="189"/>
  <c r="K41" i="189"/>
  <c r="C1358" i="260"/>
  <c r="A1359" i="260"/>
  <c r="A1360" i="260"/>
  <c r="A1361" i="260"/>
  <c r="A1362" i="260"/>
  <c r="A1363" i="260"/>
  <c r="A1364" i="260"/>
  <c r="A1365" i="260"/>
  <c r="A1366" i="260"/>
  <c r="A1367" i="260"/>
  <c r="C1244" i="260"/>
  <c r="A1245" i="260"/>
  <c r="A1246" i="260"/>
  <c r="A1247" i="260"/>
  <c r="A1248" i="260"/>
  <c r="A1249" i="260"/>
  <c r="A1250" i="260"/>
  <c r="A1251" i="260"/>
  <c r="A1252" i="260"/>
  <c r="A1253" i="260"/>
  <c r="E737" i="260"/>
  <c r="E747" i="260"/>
  <c r="D468" i="260"/>
  <c r="C1706" i="260"/>
  <c r="C580" i="260"/>
  <c r="A808" i="260"/>
  <c r="F34" i="6"/>
  <c r="F5" i="24"/>
  <c r="S35" i="324"/>
  <c r="BZ261" i="259"/>
  <c r="AI27" i="324"/>
  <c r="DC258" i="259"/>
  <c r="K32" i="324"/>
  <c r="AI38" i="324"/>
  <c r="BA261" i="259"/>
  <c r="AY261" i="259"/>
  <c r="AZ261" i="259"/>
  <c r="BT260" i="259"/>
  <c r="G37" i="324"/>
  <c r="CY260" i="259"/>
  <c r="K27" i="324"/>
  <c r="C1090" i="260"/>
  <c r="A1091" i="260"/>
  <c r="A1092" i="260"/>
  <c r="A1093" i="260"/>
  <c r="A1094" i="260"/>
  <c r="A1095" i="260"/>
  <c r="A1096" i="260"/>
  <c r="C762" i="260"/>
  <c r="DA265" i="259"/>
  <c r="L1780" i="260"/>
  <c r="N1758" i="260"/>
  <c r="J1758" i="260"/>
  <c r="CI259" i="259"/>
  <c r="CP261" i="259"/>
  <c r="C1034" i="260"/>
  <c r="A1035" i="260"/>
  <c r="BA265" i="259"/>
  <c r="AY265" i="259"/>
  <c r="AZ265" i="259"/>
  <c r="CS259" i="259"/>
  <c r="CH259" i="259"/>
  <c r="F9" i="6"/>
  <c r="X28" i="324"/>
  <c r="C1287" i="260"/>
  <c r="G32" i="189"/>
  <c r="E734" i="260"/>
  <c r="E744" i="260"/>
  <c r="C1612" i="260"/>
  <c r="D71" i="260"/>
  <c r="C972" i="260"/>
  <c r="A973" i="260"/>
  <c r="A974" i="260"/>
  <c r="A975" i="260"/>
  <c r="A976" i="260"/>
  <c r="A977" i="260"/>
  <c r="A978" i="260"/>
  <c r="A979" i="260"/>
  <c r="A980" i="260"/>
  <c r="C1150" i="260"/>
  <c r="A1151" i="260"/>
  <c r="A1152" i="260"/>
  <c r="A1153" i="260"/>
  <c r="A1154" i="260"/>
  <c r="A1155" i="260"/>
  <c r="A1156" i="260"/>
  <c r="A1157" i="260"/>
  <c r="AI32" i="324"/>
  <c r="G31" i="324"/>
  <c r="C647" i="260"/>
  <c r="C1609" i="260"/>
  <c r="D84" i="260"/>
  <c r="C1660" i="260"/>
  <c r="A1661" i="260"/>
  <c r="A1662" i="260"/>
  <c r="A1663" i="260"/>
  <c r="A1664" i="260"/>
  <c r="A1665" i="260"/>
  <c r="A1666" i="260"/>
  <c r="A1667" i="260"/>
  <c r="A1668" i="260"/>
  <c r="A1669" i="260"/>
  <c r="C1566" i="260"/>
  <c r="A1567" i="260"/>
  <c r="A1568" i="260"/>
  <c r="A1569" i="260"/>
  <c r="A1570" i="260"/>
  <c r="A1571" i="260"/>
  <c r="A1572" i="260"/>
  <c r="A1573" i="260"/>
  <c r="A1574" i="260"/>
  <c r="A1575" i="260"/>
  <c r="C1074" i="260"/>
  <c r="A1075" i="260"/>
  <c r="A1076" i="260"/>
  <c r="A1077" i="260"/>
  <c r="A1078" i="260"/>
  <c r="A1079" i="260"/>
  <c r="A1080" i="260"/>
  <c r="G29" i="324"/>
  <c r="BA264" i="259"/>
  <c r="AY264" i="259"/>
  <c r="AW264" i="259"/>
  <c r="W34" i="324"/>
  <c r="H37" i="324"/>
  <c r="C1381" i="260"/>
  <c r="D599" i="260"/>
  <c r="C1514" i="260"/>
  <c r="H28" i="324"/>
  <c r="G59" i="324"/>
  <c r="D670" i="260"/>
  <c r="D422" i="260"/>
  <c r="D432" i="260"/>
  <c r="C1193" i="260"/>
  <c r="P36" i="324"/>
  <c r="C589" i="260"/>
  <c r="C942" i="260"/>
  <c r="A943" i="260"/>
  <c r="A944" i="260"/>
  <c r="A945" i="260"/>
  <c r="A946" i="260"/>
  <c r="A947" i="260"/>
  <c r="A948" i="260"/>
  <c r="A949" i="260"/>
  <c r="A950" i="260"/>
  <c r="D319" i="260"/>
  <c r="C760" i="260"/>
  <c r="D673" i="260"/>
  <c r="D306" i="260"/>
  <c r="D625" i="260"/>
  <c r="D653" i="260"/>
  <c r="C1338" i="260"/>
  <c r="A1339" i="260"/>
  <c r="A1340" i="260"/>
  <c r="A1341" i="260"/>
  <c r="A1342" i="260"/>
  <c r="A1343" i="260"/>
  <c r="A1344" i="260"/>
  <c r="A1345" i="260"/>
  <c r="A1346" i="260"/>
  <c r="A1347" i="260"/>
  <c r="D552" i="260"/>
  <c r="D579" i="260"/>
  <c r="P33" i="324"/>
  <c r="AI28" i="324"/>
  <c r="AI40" i="324"/>
  <c r="X30" i="324"/>
  <c r="D34" i="260"/>
  <c r="I204" i="260"/>
  <c r="C1536" i="260"/>
  <c r="A1537" i="260"/>
  <c r="A1538" i="260"/>
  <c r="A1539" i="260"/>
  <c r="A1540" i="260"/>
  <c r="A1541" i="260"/>
  <c r="A1542" i="260"/>
  <c r="A1543" i="260"/>
  <c r="A1544" i="260"/>
  <c r="A1545" i="260"/>
  <c r="D609" i="260"/>
  <c r="D454" i="260"/>
  <c r="C889" i="260"/>
  <c r="A890" i="260"/>
  <c r="A891" i="260"/>
  <c r="A892" i="260"/>
  <c r="A893" i="260"/>
  <c r="A894" i="260"/>
  <c r="A895" i="260"/>
  <c r="A896" i="260"/>
  <c r="A897" i="260"/>
  <c r="C1471" i="260"/>
  <c r="A1472" i="260"/>
  <c r="A1473" i="260"/>
  <c r="A1474" i="260"/>
  <c r="A1475" i="260"/>
  <c r="A1476" i="260"/>
  <c r="A1477" i="260"/>
  <c r="A1478" i="260"/>
  <c r="A1479" i="260"/>
  <c r="A1480" i="260"/>
  <c r="D260" i="260"/>
  <c r="C1196" i="260"/>
  <c r="D425" i="260"/>
  <c r="D435" i="260"/>
  <c r="K33" i="324"/>
  <c r="H40" i="324"/>
  <c r="D605" i="260"/>
  <c r="X29" i="324"/>
  <c r="H35" i="324"/>
  <c r="B105" i="189"/>
  <c r="K42" i="189"/>
  <c r="D456" i="260"/>
  <c r="M37" i="324"/>
  <c r="AC37" i="324"/>
  <c r="M29" i="324"/>
  <c r="U37" i="324"/>
  <c r="AC29" i="324"/>
  <c r="AC34" i="324"/>
  <c r="M32" i="324"/>
  <c r="C561" i="260"/>
  <c r="H32" i="189"/>
  <c r="C1386" i="260"/>
  <c r="C1519" i="260"/>
  <c r="C1292" i="260"/>
  <c r="M36" i="324"/>
  <c r="U36" i="324"/>
  <c r="F6" i="325"/>
  <c r="M1758" i="260"/>
  <c r="O1758" i="260"/>
  <c r="G1758" i="260"/>
  <c r="G17" i="325"/>
  <c r="H23" i="325"/>
  <c r="H1757" i="260"/>
  <c r="E58" i="303"/>
  <c r="E67" i="303"/>
  <c r="D44" i="325"/>
  <c r="H44" i="325"/>
  <c r="G44" i="325"/>
  <c r="CO260" i="259"/>
  <c r="CW263" i="259"/>
  <c r="CL265" i="259"/>
  <c r="CF259" i="259"/>
  <c r="CJ265" i="259"/>
  <c r="CE261" i="259"/>
  <c r="DB258" i="259"/>
  <c r="CE258" i="259"/>
  <c r="CH261" i="259"/>
  <c r="BV265" i="259"/>
  <c r="CU262" i="259"/>
  <c r="DC262" i="259"/>
  <c r="CB263" i="259"/>
  <c r="CZ260" i="259"/>
  <c r="CU261" i="259"/>
  <c r="BX263" i="259"/>
  <c r="CA261" i="259"/>
  <c r="CB262" i="259"/>
  <c r="BV258" i="259"/>
  <c r="CO261" i="259"/>
  <c r="CT262" i="259"/>
  <c r="CH262" i="259"/>
  <c r="CY262" i="259"/>
  <c r="DA260" i="259"/>
  <c r="CO263" i="259"/>
  <c r="DA258" i="259"/>
  <c r="CU259" i="259"/>
  <c r="BY260" i="259"/>
  <c r="CA263" i="259"/>
  <c r="CM259" i="259"/>
  <c r="CY264" i="259"/>
  <c r="CE260" i="259"/>
  <c r="CZ261" i="259"/>
  <c r="CV261" i="259"/>
  <c r="CC265" i="259"/>
  <c r="BU260" i="259"/>
  <c r="CC264" i="259"/>
  <c r="CS263" i="259"/>
  <c r="CM264" i="259"/>
  <c r="CG261" i="259"/>
  <c r="CP264" i="259"/>
  <c r="BW262" i="259"/>
  <c r="BU258" i="259"/>
  <c r="CE263" i="259"/>
  <c r="CH263" i="259"/>
  <c r="CG265" i="259"/>
  <c r="CZ264" i="259"/>
  <c r="CP258" i="259"/>
  <c r="BT262" i="259"/>
  <c r="BY261" i="259"/>
  <c r="CV263" i="259"/>
  <c r="CC259" i="259"/>
  <c r="CQ259" i="259"/>
  <c r="CZ263" i="259"/>
  <c r="CS265" i="259"/>
  <c r="BW260" i="259"/>
  <c r="CB259" i="259"/>
  <c r="DC259" i="259"/>
  <c r="CV264" i="259"/>
  <c r="CI260" i="259"/>
  <c r="CT261" i="259"/>
  <c r="BV260" i="259"/>
  <c r="CS258" i="259"/>
  <c r="CZ262" i="259"/>
  <c r="CN264" i="259"/>
  <c r="CW261" i="259"/>
  <c r="BZ260" i="259"/>
  <c r="CG264" i="259"/>
  <c r="CJ262" i="259"/>
  <c r="CN260" i="259"/>
  <c r="DB265" i="259"/>
  <c r="CA264" i="259"/>
  <c r="BU265" i="259"/>
  <c r="CQ262" i="259"/>
  <c r="CM262" i="259"/>
  <c r="BW263" i="259"/>
  <c r="BX264" i="259"/>
  <c r="CT259" i="259"/>
  <c r="DB261" i="259"/>
  <c r="CD263" i="259"/>
  <c r="CT264" i="259"/>
  <c r="CQ258" i="259"/>
  <c r="CD262" i="259"/>
  <c r="CR262" i="259"/>
  <c r="CA260" i="259"/>
  <c r="CY258" i="259"/>
  <c r="CI261" i="259"/>
  <c r="BU262" i="259"/>
  <c r="CP260" i="259"/>
  <c r="CO264" i="259"/>
  <c r="DB264" i="259"/>
  <c r="DB260" i="259"/>
  <c r="DB262" i="259"/>
  <c r="CQ265" i="259"/>
  <c r="CJ260" i="259"/>
  <c r="BT259" i="259"/>
  <c r="CD265" i="259"/>
  <c r="CJ261" i="259"/>
  <c r="CZ265" i="259"/>
  <c r="CI263" i="259"/>
  <c r="DA263" i="259"/>
  <c r="CC258" i="259"/>
  <c r="CE259" i="259"/>
  <c r="CP259" i="259"/>
  <c r="CW260" i="259"/>
  <c r="BV263" i="259"/>
  <c r="CG260" i="259"/>
  <c r="CY263" i="259"/>
  <c r="CV262" i="259"/>
  <c r="CD259" i="259"/>
  <c r="BX262" i="259"/>
  <c r="CW258" i="259"/>
  <c r="DA261" i="259"/>
  <c r="CQ264" i="259"/>
  <c r="BX261" i="259"/>
  <c r="CT258" i="259"/>
  <c r="DC265" i="259"/>
  <c r="CH264" i="259"/>
  <c r="CN259" i="259"/>
  <c r="CU258" i="259"/>
  <c r="BY264" i="259"/>
  <c r="D8" i="325"/>
  <c r="D5" i="325"/>
  <c r="R30" i="324"/>
  <c r="R36" i="324"/>
  <c r="R40" i="324"/>
  <c r="R35" i="324"/>
  <c r="R27" i="324"/>
  <c r="J39" i="324"/>
  <c r="J34" i="324"/>
  <c r="J40" i="324"/>
  <c r="J32" i="324"/>
  <c r="C1293" i="260"/>
  <c r="D322" i="260"/>
  <c r="C1002" i="260"/>
  <c r="A1003" i="260"/>
  <c r="A1004" i="260"/>
  <c r="A1005" i="260"/>
  <c r="A1006" i="260"/>
  <c r="A1007" i="260"/>
  <c r="A1008" i="260"/>
  <c r="A1009" i="260"/>
  <c r="A1010" i="260"/>
  <c r="CA258" i="259"/>
  <c r="CP263" i="259"/>
  <c r="CI265" i="259"/>
  <c r="CK263" i="259"/>
  <c r="CD258" i="259"/>
  <c r="CK259" i="259"/>
  <c r="CU260" i="259"/>
  <c r="BV259" i="259"/>
  <c r="G6" i="325"/>
  <c r="CO258" i="259"/>
  <c r="CF262" i="259"/>
  <c r="CR263" i="259"/>
  <c r="J37" i="324"/>
  <c r="D73" i="260"/>
  <c r="D427" i="260"/>
  <c r="D437" i="260"/>
  <c r="D39" i="260"/>
  <c r="N204" i="260"/>
  <c r="Q37" i="324"/>
  <c r="J1779" i="260"/>
  <c r="U57" i="303"/>
  <c r="U66" i="303"/>
  <c r="D69" i="189"/>
  <c r="B69" i="189"/>
  <c r="C992" i="260"/>
  <c r="A993" i="260"/>
  <c r="A994" i="260"/>
  <c r="A995" i="260"/>
  <c r="A996" i="260"/>
  <c r="A997" i="260"/>
  <c r="A998" i="260"/>
  <c r="A999" i="260"/>
  <c r="A1000" i="260"/>
  <c r="C909" i="260"/>
  <c r="A910" i="260"/>
  <c r="A911" i="260"/>
  <c r="A912" i="260"/>
  <c r="A913" i="260"/>
  <c r="A914" i="260"/>
  <c r="A915" i="260"/>
  <c r="A916" i="260"/>
  <c r="A917" i="260"/>
  <c r="D611" i="260"/>
  <c r="C1170" i="260"/>
  <c r="A1171" i="260"/>
  <c r="A1172" i="260"/>
  <c r="A1173" i="260"/>
  <c r="A1174" i="260"/>
  <c r="A1175" i="260"/>
  <c r="A1176" i="260"/>
  <c r="A1177" i="260"/>
  <c r="A1178" i="260"/>
  <c r="A1179" i="260"/>
  <c r="C1614" i="260"/>
  <c r="Q31" i="324"/>
  <c r="E447" i="260"/>
  <c r="AG31" i="324"/>
  <c r="Q35" i="324"/>
  <c r="I1779" i="260"/>
  <c r="C1680" i="260"/>
  <c r="A1681" i="260"/>
  <c r="A1682" i="260"/>
  <c r="A1683" i="260"/>
  <c r="A1684" i="260"/>
  <c r="A1685" i="260"/>
  <c r="A1686" i="260"/>
  <c r="A1687" i="260"/>
  <c r="A1688" i="260"/>
  <c r="A1689" i="260"/>
  <c r="D308" i="260"/>
  <c r="BA259" i="259"/>
  <c r="AY259" i="259"/>
  <c r="I29" i="324"/>
  <c r="D74" i="189"/>
  <c r="B74" i="189"/>
  <c r="D86" i="260"/>
  <c r="C582" i="260"/>
  <c r="D70" i="189"/>
  <c r="B70" i="189"/>
  <c r="D321" i="260"/>
  <c r="I130" i="260"/>
  <c r="C1264" i="260"/>
  <c r="A1265" i="260"/>
  <c r="A1266" i="260"/>
  <c r="A1267" i="260"/>
  <c r="A1268" i="260"/>
  <c r="A1269" i="260"/>
  <c r="A1270" i="260"/>
  <c r="A1271" i="260"/>
  <c r="A1272" i="260"/>
  <c r="A1273" i="260"/>
  <c r="D627" i="260"/>
  <c r="D470" i="260"/>
  <c r="D675" i="260"/>
  <c r="Q32" i="324"/>
  <c r="P32" i="324"/>
  <c r="Q34" i="324"/>
  <c r="Q29" i="324"/>
  <c r="AG8" i="324"/>
  <c r="C1708" i="260"/>
  <c r="Q40" i="324"/>
  <c r="L1758" i="260"/>
  <c r="D73" i="189"/>
  <c r="B73" i="189"/>
  <c r="C1198" i="260"/>
  <c r="C1586" i="260"/>
  <c r="A1587" i="260"/>
  <c r="A1588" i="260"/>
  <c r="A1589" i="260"/>
  <c r="A1590" i="260"/>
  <c r="A1591" i="260"/>
  <c r="A1592" i="260"/>
  <c r="A1593" i="260"/>
  <c r="A1594" i="260"/>
  <c r="A1595" i="260"/>
  <c r="D601" i="260"/>
  <c r="C1491" i="260"/>
  <c r="A1492" i="260"/>
  <c r="A1493" i="260"/>
  <c r="A1494" i="260"/>
  <c r="A1495" i="260"/>
  <c r="A1496" i="260"/>
  <c r="A1497" i="260"/>
  <c r="A1498" i="260"/>
  <c r="A1499" i="260"/>
  <c r="A1500" i="260"/>
  <c r="AF40" i="324"/>
  <c r="H29" i="324"/>
  <c r="AF15" i="324"/>
  <c r="D554" i="260"/>
  <c r="D71" i="189"/>
  <c r="B71" i="189"/>
  <c r="D280" i="260"/>
  <c r="E739" i="260"/>
  <c r="E749" i="260"/>
  <c r="BA263" i="259"/>
  <c r="AY263" i="259"/>
  <c r="AZ263" i="259"/>
  <c r="AF39" i="324"/>
  <c r="J1780" i="260"/>
  <c r="O1789" i="260"/>
  <c r="O1782" i="260"/>
  <c r="O1778" i="260"/>
  <c r="G1789" i="260"/>
  <c r="G1782" i="260"/>
  <c r="G1778" i="260"/>
  <c r="O1753" i="260"/>
  <c r="O1760" i="260"/>
  <c r="O1756" i="260"/>
  <c r="C649" i="260"/>
  <c r="C640" i="260"/>
  <c r="C658" i="260"/>
  <c r="C631" i="260"/>
  <c r="C1382" i="260"/>
  <c r="D304" i="260"/>
  <c r="C952" i="260"/>
  <c r="A953" i="260"/>
  <c r="A954" i="260"/>
  <c r="A955" i="260"/>
  <c r="A956" i="260"/>
  <c r="A957" i="260"/>
  <c r="A958" i="260"/>
  <c r="A959" i="260"/>
  <c r="A960" i="260"/>
  <c r="D466" i="260"/>
  <c r="C1194" i="260"/>
  <c r="C1288" i="260"/>
  <c r="D550" i="260"/>
  <c r="D559" i="260"/>
  <c r="D103" i="189"/>
  <c r="B103" i="189"/>
  <c r="D100" i="189"/>
  <c r="B100" i="189"/>
  <c r="D101" i="189"/>
  <c r="B101" i="189"/>
  <c r="D99" i="189"/>
  <c r="B99" i="189"/>
  <c r="D104" i="189"/>
  <c r="B104" i="189"/>
  <c r="D102" i="189"/>
  <c r="B102" i="189"/>
  <c r="O72" i="252"/>
  <c r="R153" i="252"/>
  <c r="R161" i="252"/>
  <c r="E19" i="6"/>
  <c r="F19" i="6"/>
  <c r="E18" i="6"/>
  <c r="F18" i="6"/>
  <c r="K4" i="6"/>
  <c r="F23" i="6"/>
  <c r="AE33" i="324"/>
  <c r="AE37" i="324"/>
  <c r="AE30" i="324"/>
  <c r="G35" i="324"/>
  <c r="G34" i="324"/>
  <c r="BN32" i="259"/>
  <c r="BN34" i="259"/>
  <c r="BN33" i="259"/>
  <c r="BN36" i="259"/>
  <c r="D303" i="260"/>
  <c r="C1630" i="260"/>
  <c r="A1631" i="260"/>
  <c r="A1632" i="260"/>
  <c r="A1633" i="260"/>
  <c r="A1634" i="260"/>
  <c r="A1635" i="260"/>
  <c r="A1636" i="260"/>
  <c r="A1637" i="260"/>
  <c r="A1638" i="260"/>
  <c r="A1639" i="260"/>
  <c r="C1214" i="260"/>
  <c r="A1215" i="260"/>
  <c r="A1216" i="260"/>
  <c r="A1217" i="260"/>
  <c r="A1218" i="260"/>
  <c r="A1219" i="260"/>
  <c r="A1220" i="260"/>
  <c r="A1221" i="260"/>
  <c r="A1222" i="260"/>
  <c r="A1223" i="260"/>
  <c r="D596" i="260"/>
  <c r="C1703" i="260"/>
  <c r="D68" i="260"/>
  <c r="C1018" i="260"/>
  <c r="A1019" i="260"/>
  <c r="Q30" i="324"/>
  <c r="Q33" i="324"/>
  <c r="Q38" i="324"/>
  <c r="Q36" i="324"/>
  <c r="Q39" i="324"/>
  <c r="I40" i="324"/>
  <c r="I30" i="324"/>
  <c r="BF259" i="259"/>
  <c r="BI259" i="259"/>
  <c r="Q28" i="324"/>
  <c r="X32" i="324"/>
  <c r="X34" i="324"/>
  <c r="H31" i="324"/>
  <c r="H33" i="324"/>
  <c r="H36" i="324"/>
  <c r="H38" i="324"/>
  <c r="H39" i="324"/>
  <c r="H30" i="324"/>
  <c r="H32" i="324"/>
  <c r="BO32" i="259"/>
  <c r="BO34" i="259"/>
  <c r="BO33" i="259"/>
  <c r="BO36" i="259"/>
  <c r="C659" i="260"/>
  <c r="C632" i="260"/>
  <c r="C650" i="260"/>
  <c r="O1779" i="260"/>
  <c r="L1778" i="260"/>
  <c r="J1756" i="260"/>
  <c r="F11" i="6"/>
  <c r="B66" i="189"/>
  <c r="F10" i="6"/>
  <c r="BJ33" i="259"/>
  <c r="BJ36" i="259"/>
  <c r="BJ32" i="259"/>
  <c r="BJ34" i="259"/>
  <c r="BO264" i="259"/>
  <c r="BR264" i="259"/>
  <c r="BO260" i="259"/>
  <c r="BR260" i="259"/>
  <c r="C1481" i="260"/>
  <c r="A1482" i="260"/>
  <c r="A1483" i="260"/>
  <c r="A1484" i="260"/>
  <c r="A1485" i="260"/>
  <c r="A1486" i="260"/>
  <c r="A1487" i="260"/>
  <c r="A1488" i="260"/>
  <c r="A1489" i="260"/>
  <c r="A1490" i="260"/>
  <c r="D38" i="260"/>
  <c r="M204" i="260"/>
  <c r="C1291" i="260"/>
  <c r="C1254" i="260"/>
  <c r="A1255" i="260"/>
  <c r="A1256" i="260"/>
  <c r="A1257" i="260"/>
  <c r="A1258" i="260"/>
  <c r="A1259" i="260"/>
  <c r="A1260" i="260"/>
  <c r="A1261" i="260"/>
  <c r="A1262" i="260"/>
  <c r="A1263" i="260"/>
  <c r="C761" i="260"/>
  <c r="C1385" i="260"/>
  <c r="D610" i="260"/>
  <c r="C1670" i="260"/>
  <c r="A1671" i="260"/>
  <c r="A1672" i="260"/>
  <c r="A1673" i="260"/>
  <c r="A1674" i="260"/>
  <c r="A1675" i="260"/>
  <c r="A1676" i="260"/>
  <c r="A1677" i="260"/>
  <c r="A1678" i="260"/>
  <c r="A1679" i="260"/>
  <c r="C1160" i="260"/>
  <c r="A1161" i="260"/>
  <c r="A1162" i="260"/>
  <c r="A1163" i="260"/>
  <c r="A1164" i="260"/>
  <c r="A1165" i="260"/>
  <c r="A1166" i="260"/>
  <c r="A1167" i="260"/>
  <c r="A1168" i="260"/>
  <c r="A1169" i="260"/>
  <c r="D85" i="260"/>
  <c r="C1613" i="260"/>
  <c r="D553" i="260"/>
  <c r="C899" i="260"/>
  <c r="A900" i="260"/>
  <c r="A901" i="260"/>
  <c r="A902" i="260"/>
  <c r="A903" i="260"/>
  <c r="A904" i="260"/>
  <c r="A905" i="260"/>
  <c r="A906" i="260"/>
  <c r="A907" i="260"/>
  <c r="D455" i="260"/>
  <c r="D600" i="260"/>
  <c r="D307" i="260"/>
  <c r="E738" i="260"/>
  <c r="E748" i="260"/>
  <c r="H1767" i="260"/>
  <c r="H1760" i="260"/>
  <c r="H1756" i="260"/>
  <c r="D207" i="252"/>
  <c r="AD32" i="324"/>
  <c r="AD35" i="324"/>
  <c r="AD38" i="324"/>
  <c r="AD39" i="324"/>
  <c r="AD31" i="324"/>
  <c r="AD30" i="324"/>
  <c r="AD29" i="324"/>
  <c r="V34" i="324"/>
  <c r="V27" i="324"/>
  <c r="V36" i="324"/>
  <c r="V37" i="324"/>
  <c r="V31" i="324"/>
  <c r="V40" i="324"/>
  <c r="N29" i="324"/>
  <c r="N36" i="324"/>
  <c r="F36" i="324"/>
  <c r="F32" i="324"/>
  <c r="F31" i="324"/>
  <c r="F29" i="324"/>
  <c r="F33" i="324"/>
  <c r="F30" i="324"/>
  <c r="F27" i="324"/>
  <c r="F34" i="324"/>
  <c r="J15" i="303"/>
  <c r="J17" i="303"/>
  <c r="J8" i="303"/>
  <c r="J20" i="303"/>
  <c r="J23" i="303"/>
  <c r="I53" i="303"/>
  <c r="I62" i="303"/>
  <c r="J16" i="303"/>
  <c r="J11" i="303"/>
  <c r="J22" i="303"/>
  <c r="J14" i="303"/>
  <c r="J19" i="303"/>
  <c r="J10" i="303"/>
  <c r="J12" i="303"/>
  <c r="J9" i="303"/>
  <c r="J6" i="303"/>
  <c r="BA262" i="259"/>
  <c r="AY262" i="259"/>
  <c r="AW262" i="259"/>
  <c r="BH262" i="259"/>
  <c r="C563" i="260"/>
  <c r="C572" i="260"/>
  <c r="C590" i="260"/>
  <c r="C581" i="260"/>
  <c r="C651" i="260"/>
  <c r="C633" i="260"/>
  <c r="C660" i="260"/>
  <c r="C642" i="260"/>
  <c r="I43" i="189"/>
  <c r="I32" i="189"/>
  <c r="D77" i="189"/>
  <c r="B77" i="189"/>
  <c r="D78" i="189"/>
  <c r="D55" i="189"/>
  <c r="B55" i="189"/>
  <c r="D54" i="189"/>
  <c r="B54" i="189"/>
  <c r="D56" i="189"/>
  <c r="B56" i="189"/>
  <c r="D57" i="189"/>
  <c r="D53" i="189"/>
  <c r="D58" i="189"/>
  <c r="E39" i="324"/>
  <c r="E31" i="324"/>
  <c r="E32" i="324"/>
  <c r="E27" i="324"/>
  <c r="E33" i="324"/>
  <c r="E37" i="324"/>
  <c r="E38" i="324"/>
  <c r="E75" i="324"/>
  <c r="E72" i="324"/>
  <c r="E84" i="324"/>
  <c r="E34" i="324"/>
  <c r="E36" i="324"/>
  <c r="E35" i="324"/>
  <c r="E40" i="324"/>
  <c r="E28" i="324"/>
  <c r="E30" i="324"/>
  <c r="AB28" i="324"/>
  <c r="AB33" i="324"/>
  <c r="AB27" i="324"/>
  <c r="AB39" i="324"/>
  <c r="AB34" i="324"/>
  <c r="AB35" i="324"/>
  <c r="AB36" i="324"/>
  <c r="AB40" i="324"/>
  <c r="AB30" i="324"/>
  <c r="AB32" i="324"/>
  <c r="AB37" i="324"/>
  <c r="AB29" i="324"/>
  <c r="T31" i="324"/>
  <c r="T38" i="324"/>
  <c r="T33" i="324"/>
  <c r="T35" i="324"/>
  <c r="T39" i="324"/>
  <c r="T34" i="324"/>
  <c r="T29" i="324"/>
  <c r="T27" i="324"/>
  <c r="T32" i="324"/>
  <c r="T30" i="324"/>
  <c r="T40" i="324"/>
  <c r="T28" i="324"/>
  <c r="L39" i="324"/>
  <c r="L34" i="324"/>
  <c r="L36" i="324"/>
  <c r="L29" i="324"/>
  <c r="L27" i="324"/>
  <c r="L37" i="324"/>
  <c r="L38" i="324"/>
  <c r="P71" i="252"/>
  <c r="O71" i="252"/>
  <c r="C557" i="260"/>
  <c r="C566" i="260"/>
  <c r="C584" i="260"/>
  <c r="D622" i="260"/>
  <c r="D451" i="260"/>
  <c r="D229" i="260"/>
  <c r="D81" i="260"/>
  <c r="D606" i="260"/>
  <c r="C1308" i="260"/>
  <c r="A1309" i="260"/>
  <c r="A1310" i="260"/>
  <c r="A1311" i="260"/>
  <c r="A1312" i="260"/>
  <c r="A1313" i="260"/>
  <c r="A1314" i="260"/>
  <c r="A1315" i="260"/>
  <c r="A1316" i="260"/>
  <c r="A1317" i="260"/>
  <c r="A778" i="260"/>
  <c r="C1441" i="260"/>
  <c r="A1442" i="260"/>
  <c r="A1443" i="260"/>
  <c r="A1444" i="260"/>
  <c r="A1445" i="260"/>
  <c r="A1446" i="260"/>
  <c r="A1447" i="260"/>
  <c r="A1448" i="260"/>
  <c r="A1449" i="260"/>
  <c r="A1450" i="260"/>
  <c r="C1050" i="260"/>
  <c r="A1051" i="260"/>
  <c r="A1052" i="260"/>
  <c r="A1053" i="260"/>
  <c r="A1054" i="260"/>
  <c r="A1055" i="260"/>
  <c r="A1056" i="260"/>
  <c r="D316" i="260"/>
  <c r="D465" i="260"/>
  <c r="C1120" i="260"/>
  <c r="A1121" i="260"/>
  <c r="A1122" i="260"/>
  <c r="A1123" i="260"/>
  <c r="A1124" i="260"/>
  <c r="A1125" i="260"/>
  <c r="A1126" i="260"/>
  <c r="A1127" i="260"/>
  <c r="A1128" i="260"/>
  <c r="A1129" i="260"/>
  <c r="D549" i="260"/>
  <c r="D567" i="260"/>
  <c r="C859" i="260"/>
  <c r="A860" i="260"/>
  <c r="A861" i="260"/>
  <c r="A862" i="260"/>
  <c r="A863" i="260"/>
  <c r="A864" i="260"/>
  <c r="A865" i="260"/>
  <c r="A866" i="260"/>
  <c r="A867" i="260"/>
  <c r="N1779" i="260"/>
  <c r="F8" i="6"/>
  <c r="F3" i="24"/>
  <c r="F17" i="6"/>
  <c r="F15" i="6"/>
  <c r="C1650" i="260"/>
  <c r="A1651" i="260"/>
  <c r="A1652" i="260"/>
  <c r="A1653" i="260"/>
  <c r="A1654" i="260"/>
  <c r="A1655" i="260"/>
  <c r="A1656" i="260"/>
  <c r="A1657" i="260"/>
  <c r="A1658" i="260"/>
  <c r="A1659" i="260"/>
  <c r="C1234" i="260"/>
  <c r="A1235" i="260"/>
  <c r="A1236" i="260"/>
  <c r="A1237" i="260"/>
  <c r="A1238" i="260"/>
  <c r="A1239" i="260"/>
  <c r="A1240" i="260"/>
  <c r="A1241" i="260"/>
  <c r="A1242" i="260"/>
  <c r="A1243" i="260"/>
  <c r="C1556" i="260"/>
  <c r="A1557" i="260"/>
  <c r="A1558" i="260"/>
  <c r="A1559" i="260"/>
  <c r="A1560" i="260"/>
  <c r="A1561" i="260"/>
  <c r="A1562" i="260"/>
  <c r="A1563" i="260"/>
  <c r="A1564" i="260"/>
  <c r="A1565" i="260"/>
  <c r="G30" i="324"/>
  <c r="G40" i="324"/>
  <c r="G27" i="324"/>
  <c r="G33" i="324"/>
  <c r="G32" i="324"/>
  <c r="G38" i="324"/>
  <c r="G39" i="324"/>
  <c r="G28" i="324"/>
  <c r="AE21" i="324"/>
  <c r="AF21" i="324"/>
  <c r="AC31" i="324"/>
  <c r="AC40" i="324"/>
  <c r="AC39" i="324"/>
  <c r="AC28" i="324"/>
  <c r="AC38" i="324"/>
  <c r="AC32" i="324"/>
  <c r="AC36" i="324"/>
  <c r="U30" i="324"/>
  <c r="U27" i="324"/>
  <c r="U39" i="324"/>
  <c r="U40" i="324"/>
  <c r="U38" i="324"/>
  <c r="U29" i="324"/>
  <c r="U32" i="324"/>
  <c r="U31" i="324"/>
  <c r="M27" i="324"/>
  <c r="M39" i="324"/>
  <c r="M31" i="324"/>
  <c r="M28" i="324"/>
  <c r="M30" i="324"/>
  <c r="E21" i="6"/>
  <c r="F21" i="6"/>
  <c r="F20" i="6"/>
  <c r="F13" i="6"/>
  <c r="O1781" i="260"/>
  <c r="R33" i="324"/>
  <c r="R28" i="324"/>
  <c r="F7" i="6"/>
  <c r="N1780" i="260"/>
  <c r="H1758" i="260"/>
  <c r="L1757" i="260"/>
  <c r="F6" i="6"/>
  <c r="U58" i="303"/>
  <c r="U67" i="303"/>
  <c r="I49" i="303"/>
  <c r="V55" i="303"/>
  <c r="V64" i="303"/>
  <c r="F12" i="6"/>
  <c r="O1780" i="260"/>
  <c r="I1758" i="260"/>
  <c r="F14" i="6"/>
  <c r="H70" i="189"/>
  <c r="I70" i="189"/>
  <c r="G11" i="252"/>
  <c r="O1759" i="260"/>
  <c r="F24" i="6"/>
  <c r="H96" i="189"/>
  <c r="I96" i="189"/>
  <c r="N193" i="260"/>
  <c r="N194" i="260"/>
  <c r="F32" i="6"/>
  <c r="F31" i="6"/>
  <c r="M99" i="260"/>
  <c r="F35" i="6"/>
  <c r="H32" i="201"/>
  <c r="I32" i="201"/>
  <c r="J32" i="201"/>
  <c r="K32" i="201"/>
  <c r="L32" i="201"/>
  <c r="M32" i="201"/>
  <c r="N32" i="201"/>
  <c r="E79" i="6"/>
  <c r="E73" i="6"/>
  <c r="E78" i="6"/>
  <c r="E74" i="6"/>
  <c r="E72" i="6"/>
  <c r="E75" i="6"/>
  <c r="S159" i="252"/>
  <c r="F1782" i="260"/>
  <c r="BI32" i="259"/>
  <c r="BI34" i="259"/>
  <c r="BI33" i="259"/>
  <c r="BI36" i="259"/>
  <c r="BO265" i="259"/>
  <c r="BR265" i="259"/>
  <c r="D83" i="189"/>
  <c r="B83" i="189"/>
  <c r="D85" i="189"/>
  <c r="D82" i="189"/>
  <c r="B82" i="189"/>
  <c r="M53" i="260"/>
  <c r="H53" i="260"/>
  <c r="K53" i="260"/>
  <c r="F53" i="260"/>
  <c r="L53" i="260"/>
  <c r="G53" i="260"/>
  <c r="I53" i="260"/>
  <c r="G44" i="189"/>
  <c r="J37" i="189"/>
  <c r="H66" i="189"/>
  <c r="K36" i="189"/>
  <c r="BO263" i="259"/>
  <c r="BR263" i="259"/>
  <c r="C1513" i="260"/>
  <c r="D67" i="260"/>
  <c r="C1380" i="260"/>
  <c r="D464" i="260"/>
  <c r="D548" i="260"/>
  <c r="E733" i="260"/>
  <c r="E743" i="260"/>
  <c r="C849" i="260"/>
  <c r="A850" i="260"/>
  <c r="A851" i="260"/>
  <c r="A852" i="260"/>
  <c r="A853" i="260"/>
  <c r="A854" i="260"/>
  <c r="A855" i="260"/>
  <c r="A856" i="260"/>
  <c r="A857" i="260"/>
  <c r="D315" i="260"/>
  <c r="D421" i="260"/>
  <c r="D431" i="260"/>
  <c r="C756" i="260"/>
  <c r="D595" i="260"/>
  <c r="C767" i="260"/>
  <c r="A768" i="260"/>
  <c r="C1042" i="260"/>
  <c r="A1043" i="260"/>
  <c r="A1044" i="260"/>
  <c r="A1045" i="260"/>
  <c r="A1046" i="260"/>
  <c r="A1047" i="260"/>
  <c r="A1048" i="260"/>
  <c r="C932" i="260"/>
  <c r="A933" i="260"/>
  <c r="A934" i="260"/>
  <c r="A935" i="260"/>
  <c r="A936" i="260"/>
  <c r="A937" i="260"/>
  <c r="A938" i="260"/>
  <c r="A939" i="260"/>
  <c r="A940" i="260"/>
  <c r="D80" i="260"/>
  <c r="D33" i="260"/>
  <c r="H100" i="260"/>
  <c r="C1286" i="260"/>
  <c r="K1775" i="260"/>
  <c r="K1782" i="260"/>
  <c r="K1778" i="260"/>
  <c r="N1767" i="260"/>
  <c r="N1760" i="260"/>
  <c r="N1756" i="260"/>
  <c r="N55" i="252"/>
  <c r="P39" i="252"/>
  <c r="BA258" i="259"/>
  <c r="AY258" i="259"/>
  <c r="BH258" i="259"/>
  <c r="AE18" i="324"/>
  <c r="AF18" i="324"/>
  <c r="E6" i="325"/>
  <c r="E9" i="325"/>
  <c r="E17" i="325"/>
  <c r="E23" i="325"/>
  <c r="AF28" i="324"/>
  <c r="AF37" i="324"/>
  <c r="AF34" i="324"/>
  <c r="AF29" i="324"/>
  <c r="AF33" i="324"/>
  <c r="AF38" i="324"/>
  <c r="AF36" i="324"/>
  <c r="AF31" i="324"/>
  <c r="AF30" i="324"/>
  <c r="AF27" i="324"/>
  <c r="X39" i="324"/>
  <c r="X35" i="324"/>
  <c r="X40" i="324"/>
  <c r="X27" i="324"/>
  <c r="X31" i="324"/>
  <c r="X38" i="324"/>
  <c r="X36" i="324"/>
  <c r="X33" i="324"/>
  <c r="P34" i="324"/>
  <c r="P39" i="324"/>
  <c r="P31" i="324"/>
  <c r="P28" i="324"/>
  <c r="P38" i="324"/>
  <c r="P37" i="324"/>
  <c r="P40" i="324"/>
  <c r="P27" i="324"/>
  <c r="P29" i="324"/>
  <c r="P30" i="324"/>
  <c r="I32" i="324"/>
  <c r="I36" i="324"/>
  <c r="I33" i="324"/>
  <c r="I34" i="324"/>
  <c r="I37" i="324"/>
  <c r="I28" i="324"/>
  <c r="I31" i="324"/>
  <c r="I27" i="324"/>
  <c r="I38" i="324"/>
  <c r="I35" i="324"/>
  <c r="U55" i="303"/>
  <c r="U64" i="303"/>
  <c r="BH32" i="259"/>
  <c r="BH34" i="259"/>
  <c r="BH33" i="259"/>
  <c r="BH36" i="259"/>
  <c r="BI261" i="259"/>
  <c r="BF261" i="259"/>
  <c r="AE11" i="324"/>
  <c r="AF11" i="324"/>
  <c r="AE19" i="324"/>
  <c r="AF19" i="324"/>
  <c r="AE34" i="324"/>
  <c r="AE27" i="324"/>
  <c r="AE36" i="324"/>
  <c r="AE28" i="324"/>
  <c r="AE29" i="324"/>
  <c r="AE32" i="324"/>
  <c r="AE35" i="324"/>
  <c r="AE38" i="324"/>
  <c r="AE39" i="324"/>
  <c r="AE31" i="324"/>
  <c r="AE40" i="324"/>
  <c r="W31" i="324"/>
  <c r="W40" i="324"/>
  <c r="W28" i="324"/>
  <c r="W37" i="324"/>
  <c r="W30" i="324"/>
  <c r="O39" i="324"/>
  <c r="O29" i="324"/>
  <c r="O32" i="324"/>
  <c r="O35" i="324"/>
  <c r="O37" i="324"/>
  <c r="L174" i="260"/>
  <c r="J174" i="260"/>
  <c r="I174" i="260"/>
  <c r="C560" i="260"/>
  <c r="C569" i="260"/>
  <c r="D43" i="189"/>
  <c r="H100" i="189"/>
  <c r="I100" i="189"/>
  <c r="D32" i="189"/>
  <c r="D63" i="189"/>
  <c r="D62" i="189"/>
  <c r="B62" i="189"/>
  <c r="I1760" i="260"/>
  <c r="BH260" i="259"/>
  <c r="BA260" i="259"/>
  <c r="AY260" i="259"/>
  <c r="C1058" i="260"/>
  <c r="A1059" i="260"/>
  <c r="A1060" i="260"/>
  <c r="A1061" i="260"/>
  <c r="A1062" i="260"/>
  <c r="A1063" i="260"/>
  <c r="A1064" i="260"/>
  <c r="D671" i="260"/>
  <c r="D423" i="260"/>
  <c r="D433" i="260"/>
  <c r="D82" i="260"/>
  <c r="C1610" i="260"/>
  <c r="C1704" i="260"/>
  <c r="C758" i="260"/>
  <c r="D452" i="260"/>
  <c r="D317" i="260"/>
  <c r="C1546" i="260"/>
  <c r="A1547" i="260"/>
  <c r="A1548" i="260"/>
  <c r="A1549" i="260"/>
  <c r="A1550" i="260"/>
  <c r="A1551" i="260"/>
  <c r="A1552" i="260"/>
  <c r="A1553" i="260"/>
  <c r="A1554" i="260"/>
  <c r="A1555" i="260"/>
  <c r="C1640" i="260"/>
  <c r="A1641" i="260"/>
  <c r="A1642" i="260"/>
  <c r="A1643" i="260"/>
  <c r="A1644" i="260"/>
  <c r="A1645" i="260"/>
  <c r="A1646" i="260"/>
  <c r="A1647" i="260"/>
  <c r="A1648" i="260"/>
  <c r="A1649" i="260"/>
  <c r="C1130" i="260"/>
  <c r="A1131" i="260"/>
  <c r="A1132" i="260"/>
  <c r="A1133" i="260"/>
  <c r="A1134" i="260"/>
  <c r="A1135" i="260"/>
  <c r="A1136" i="260"/>
  <c r="A1137" i="260"/>
  <c r="A1138" i="260"/>
  <c r="A1139" i="260"/>
  <c r="C1515" i="260"/>
  <c r="D35" i="260"/>
  <c r="J204" i="260"/>
  <c r="D240" i="260"/>
  <c r="D69" i="260"/>
  <c r="C1022" i="260"/>
  <c r="A1023" i="260"/>
  <c r="E735" i="260"/>
  <c r="E745" i="260"/>
  <c r="C1318" i="260"/>
  <c r="A1319" i="260"/>
  <c r="A1320" i="260"/>
  <c r="A1321" i="260"/>
  <c r="A1322" i="260"/>
  <c r="A1323" i="260"/>
  <c r="A1324" i="260"/>
  <c r="A1325" i="260"/>
  <c r="A1326" i="260"/>
  <c r="A1327" i="260"/>
  <c r="C869" i="260"/>
  <c r="A870" i="260"/>
  <c r="A871" i="260"/>
  <c r="A872" i="260"/>
  <c r="A873" i="260"/>
  <c r="A874" i="260"/>
  <c r="A875" i="260"/>
  <c r="A876" i="260"/>
  <c r="A877" i="260"/>
  <c r="D597" i="260"/>
  <c r="C1224" i="260"/>
  <c r="A1225" i="260"/>
  <c r="A1226" i="260"/>
  <c r="A1227" i="260"/>
  <c r="A1228" i="260"/>
  <c r="A1229" i="260"/>
  <c r="A1230" i="260"/>
  <c r="A1231" i="260"/>
  <c r="A1232" i="260"/>
  <c r="A1233" i="260"/>
  <c r="C1451" i="260"/>
  <c r="A1452" i="260"/>
  <c r="A1453" i="260"/>
  <c r="A1454" i="260"/>
  <c r="A1455" i="260"/>
  <c r="A1456" i="260"/>
  <c r="A1457" i="260"/>
  <c r="A1458" i="260"/>
  <c r="A1459" i="260"/>
  <c r="A1460" i="260"/>
  <c r="D623" i="260"/>
  <c r="D607" i="260"/>
  <c r="E54" i="6"/>
  <c r="F54" i="6"/>
  <c r="F52" i="6"/>
  <c r="F51" i="6"/>
  <c r="K1756" i="260"/>
  <c r="C588" i="260"/>
  <c r="C570" i="260"/>
  <c r="C656" i="260"/>
  <c r="C638" i="260"/>
  <c r="C1690" i="260"/>
  <c r="A1691" i="260"/>
  <c r="A1692" i="260"/>
  <c r="A1693" i="260"/>
  <c r="A1694" i="260"/>
  <c r="A1695" i="260"/>
  <c r="A1696" i="260"/>
  <c r="A1697" i="260"/>
  <c r="A1698" i="260"/>
  <c r="A1699" i="260"/>
  <c r="C1199" i="260"/>
  <c r="D309" i="260"/>
  <c r="J1760" i="260"/>
  <c r="AF9" i="324"/>
  <c r="AG9" i="324"/>
  <c r="AH9" i="324"/>
  <c r="AI9" i="324"/>
  <c r="E57" i="303"/>
  <c r="E66" i="303"/>
  <c r="V57" i="303"/>
  <c r="V66" i="303"/>
  <c r="BL33" i="259"/>
  <c r="BL36" i="259"/>
  <c r="BL32" i="259"/>
  <c r="BL34" i="259"/>
  <c r="BR259" i="259"/>
  <c r="BO259" i="259"/>
  <c r="M1757" i="260"/>
  <c r="K1757" i="260"/>
  <c r="AI39" i="324"/>
  <c r="AI33" i="324"/>
  <c r="AI34" i="324"/>
  <c r="AI37" i="324"/>
  <c r="AI29" i="324"/>
  <c r="AI36" i="324"/>
  <c r="AI35" i="324"/>
  <c r="AI31" i="324"/>
  <c r="S32" i="324"/>
  <c r="S33" i="324"/>
  <c r="S27" i="324"/>
  <c r="K30" i="324"/>
  <c r="K39" i="324"/>
  <c r="K28" i="324"/>
  <c r="K35" i="324"/>
  <c r="K29" i="324"/>
  <c r="K34" i="324"/>
  <c r="C635" i="260"/>
  <c r="C662" i="260"/>
  <c r="C653" i="260"/>
  <c r="CJ264" i="259"/>
  <c r="BZ263" i="259"/>
  <c r="CF261" i="259"/>
  <c r="CR264" i="259"/>
  <c r="BX258" i="259"/>
  <c r="CG258" i="259"/>
  <c r="CU263" i="259"/>
  <c r="CS262" i="259"/>
  <c r="BY263" i="259"/>
  <c r="CL258" i="259"/>
  <c r="BT265" i="259"/>
  <c r="CX263" i="259"/>
  <c r="CK258" i="259"/>
  <c r="CX259" i="259"/>
  <c r="CV258" i="259"/>
  <c r="CR260" i="259"/>
  <c r="BY259" i="259"/>
  <c r="CB265" i="259"/>
  <c r="DC260" i="259"/>
  <c r="CP265" i="259"/>
  <c r="CA265" i="259"/>
  <c r="CM258" i="259"/>
  <c r="BU259" i="259"/>
  <c r="CH260" i="259"/>
  <c r="CY259" i="259"/>
  <c r="CI264" i="259"/>
  <c r="CT265" i="259"/>
  <c r="BY258" i="259"/>
  <c r="CX258" i="259"/>
  <c r="CP262" i="259"/>
  <c r="DA262" i="259"/>
  <c r="DA264" i="259"/>
  <c r="CB258" i="259"/>
  <c r="CX265" i="259"/>
  <c r="DB259" i="259"/>
  <c r="CS261" i="259"/>
  <c r="CR261" i="259"/>
  <c r="CL262" i="259"/>
  <c r="BU263" i="259"/>
  <c r="CO265" i="259"/>
  <c r="CF260" i="259"/>
  <c r="CL259" i="259"/>
  <c r="CL264" i="259"/>
  <c r="CN262" i="259"/>
  <c r="CM265" i="259"/>
  <c r="BZ258" i="259"/>
  <c r="BT264" i="259"/>
  <c r="CE265" i="259"/>
  <c r="CY265" i="259"/>
  <c r="BT263" i="259"/>
  <c r="BZ264" i="259"/>
  <c r="BW261" i="259"/>
  <c r="CL263" i="259"/>
  <c r="CD261" i="259"/>
  <c r="CN261" i="259"/>
  <c r="BV261" i="259"/>
  <c r="CQ260" i="259"/>
  <c r="CU265" i="259"/>
  <c r="CK261" i="259"/>
  <c r="CV259" i="259"/>
  <c r="CK264" i="259"/>
  <c r="CX262" i="259"/>
  <c r="DC263" i="259"/>
  <c r="CK260" i="259"/>
  <c r="CN265" i="259"/>
  <c r="CM261" i="259"/>
  <c r="CH258" i="259"/>
  <c r="CL260" i="259"/>
  <c r="CG259" i="259"/>
  <c r="BZ265" i="259"/>
  <c r="CE264" i="259"/>
  <c r="BU261" i="259"/>
  <c r="CE262" i="259"/>
  <c r="BW265" i="259"/>
  <c r="BT261" i="259"/>
  <c r="CF265" i="259"/>
  <c r="CW262" i="259"/>
  <c r="BW258" i="259"/>
  <c r="CV265" i="259"/>
  <c r="CH265" i="259"/>
  <c r="CA259" i="259"/>
  <c r="CR258" i="259"/>
  <c r="BU264" i="259"/>
  <c r="CI258" i="259"/>
  <c r="CW264" i="259"/>
  <c r="CD260" i="259"/>
  <c r="CR259" i="259"/>
  <c r="BV262" i="259"/>
  <c r="DB263" i="259"/>
  <c r="CF264" i="259"/>
  <c r="CJ263" i="259"/>
  <c r="DA259" i="259"/>
  <c r="BX259" i="259"/>
  <c r="BZ259" i="259"/>
  <c r="DC261" i="259"/>
  <c r="CQ263" i="259"/>
  <c r="CC260" i="259"/>
  <c r="BX260" i="259"/>
  <c r="BX265" i="259"/>
  <c r="CC262" i="259"/>
  <c r="CA262" i="259"/>
  <c r="CV260" i="259"/>
  <c r="CK262" i="259"/>
  <c r="CK265" i="259"/>
  <c r="CB260" i="259"/>
  <c r="CX260" i="259"/>
  <c r="CM260" i="259"/>
  <c r="CN258" i="259"/>
  <c r="DC264" i="259"/>
  <c r="CC261" i="259"/>
  <c r="CW265" i="259"/>
  <c r="CS264" i="259"/>
  <c r="CN263" i="259"/>
  <c r="CY261" i="259"/>
  <c r="CC263" i="259"/>
  <c r="CB264" i="259"/>
  <c r="BZ262" i="259"/>
  <c r="BY265" i="259"/>
  <c r="CX261" i="259"/>
  <c r="CF263" i="259"/>
  <c r="CX264" i="259"/>
  <c r="CO262" i="259"/>
  <c r="CQ261" i="259"/>
  <c r="BV264" i="259"/>
  <c r="BY262" i="259"/>
  <c r="CG263" i="259"/>
  <c r="CR265" i="259"/>
  <c r="BW264" i="259"/>
  <c r="CF258" i="259"/>
  <c r="CB261" i="259"/>
  <c r="CJ259" i="259"/>
  <c r="CT260" i="259"/>
  <c r="CJ258" i="259"/>
  <c r="CD264" i="259"/>
  <c r="CT263" i="259"/>
  <c r="BT258" i="259"/>
  <c r="CW259" i="259"/>
  <c r="CG262" i="259"/>
  <c r="CS260" i="259"/>
  <c r="CZ258" i="259"/>
  <c r="CU264" i="259"/>
  <c r="CL261" i="259"/>
  <c r="BW259" i="259"/>
  <c r="CO259" i="259"/>
  <c r="H71" i="189"/>
  <c r="I71" i="189"/>
  <c r="I1756" i="260"/>
  <c r="K1760" i="260"/>
  <c r="E77" i="6"/>
  <c r="F1756" i="260"/>
  <c r="F1767" i="260"/>
  <c r="F1760" i="260"/>
  <c r="F44" i="325"/>
  <c r="E44" i="325"/>
  <c r="R29" i="324"/>
  <c r="R39" i="324"/>
  <c r="R32" i="324"/>
  <c r="J33" i="324"/>
  <c r="J35" i="324"/>
  <c r="J36" i="324"/>
  <c r="J31" i="324"/>
  <c r="J27" i="324"/>
  <c r="J29" i="324"/>
  <c r="J30" i="324"/>
  <c r="J28" i="324"/>
  <c r="J38" i="324"/>
  <c r="C1705" i="260"/>
  <c r="D624" i="260"/>
  <c r="D661" i="260"/>
  <c r="C1516" i="260"/>
  <c r="C879" i="260"/>
  <c r="A880" i="260"/>
  <c r="A881" i="260"/>
  <c r="A882" i="260"/>
  <c r="A883" i="260"/>
  <c r="A884" i="260"/>
  <c r="A885" i="260"/>
  <c r="A886" i="260"/>
  <c r="A887" i="260"/>
  <c r="G191" i="260"/>
  <c r="M191" i="260"/>
  <c r="K191" i="260"/>
  <c r="H191" i="260"/>
  <c r="K161" i="260"/>
  <c r="N161" i="260"/>
  <c r="G1780" i="260"/>
  <c r="B72" i="189"/>
  <c r="G1779" i="260"/>
  <c r="H1779" i="260"/>
  <c r="F17" i="325"/>
  <c r="BP33" i="259"/>
  <c r="BP36" i="259"/>
  <c r="H103" i="189"/>
  <c r="I103" i="189"/>
  <c r="M1780" i="260"/>
  <c r="K38" i="189"/>
  <c r="L1759" i="260"/>
  <c r="I17" i="325"/>
  <c r="K99" i="260"/>
  <c r="J130" i="260"/>
  <c r="J191" i="260"/>
  <c r="O99" i="260"/>
  <c r="M130" i="260"/>
  <c r="O161" i="260"/>
  <c r="M161" i="260"/>
  <c r="O174" i="260"/>
  <c r="K174" i="260"/>
  <c r="N130" i="260"/>
  <c r="H174" i="260"/>
  <c r="L191" i="260"/>
  <c r="K130" i="260"/>
  <c r="L130" i="260"/>
  <c r="N99" i="260"/>
  <c r="H130" i="260"/>
  <c r="N174" i="260"/>
  <c r="I191" i="260"/>
  <c r="J99" i="260"/>
  <c r="I99" i="260"/>
  <c r="L99" i="260"/>
  <c r="J161" i="260"/>
  <c r="E35" i="189"/>
  <c r="E43" i="189"/>
  <c r="H170" i="260" a="1"/>
  <c r="H170" i="260"/>
  <c r="H176" i="260" a="1"/>
  <c r="H176" i="260"/>
  <c r="H177" i="260" a="1"/>
  <c r="H177" i="260"/>
  <c r="H183" i="260" a="1"/>
  <c r="H183" i="260"/>
  <c r="H180" i="260" a="1"/>
  <c r="H180" i="260"/>
  <c r="H165" i="260" a="1"/>
  <c r="H165" i="260"/>
  <c r="H178" i="260" a="1"/>
  <c r="H178" i="260"/>
  <c r="H168" i="260" a="1"/>
  <c r="H168" i="260"/>
  <c r="H163" i="260" a="1"/>
  <c r="H163" i="260"/>
  <c r="H167" i="260" a="1"/>
  <c r="H167" i="260"/>
  <c r="H182" i="260" a="1"/>
  <c r="H182" i="260"/>
  <c r="H169" i="260" a="1"/>
  <c r="H169" i="260"/>
  <c r="H179" i="260" a="1"/>
  <c r="H179" i="260"/>
  <c r="H164" i="260" a="1"/>
  <c r="H164" i="260"/>
  <c r="H166" i="260" a="1"/>
  <c r="H166" i="260"/>
  <c r="Q38" i="252"/>
  <c r="AE5" i="324"/>
  <c r="AF5" i="324"/>
  <c r="AG5" i="324"/>
  <c r="D91" i="189"/>
  <c r="B91" i="189"/>
  <c r="D88" i="189"/>
  <c r="B88" i="189"/>
  <c r="D90" i="189"/>
  <c r="B90" i="189"/>
  <c r="D93" i="189"/>
  <c r="B93" i="189"/>
  <c r="D89" i="189"/>
  <c r="B89" i="189"/>
  <c r="D92" i="189"/>
  <c r="B92" i="189"/>
  <c r="BR258" i="259"/>
  <c r="BO258" i="259"/>
  <c r="O682" i="260"/>
  <c r="L684" i="260"/>
  <c r="H684" i="260"/>
  <c r="G683" i="260"/>
  <c r="J685" i="260"/>
  <c r="J682" i="260"/>
  <c r="N686" i="260"/>
  <c r="J683" i="260"/>
  <c r="M684" i="260"/>
  <c r="H685" i="260"/>
  <c r="M685" i="260"/>
  <c r="I682" i="260"/>
  <c r="O689" i="260"/>
  <c r="K682" i="260"/>
  <c r="O688" i="260"/>
  <c r="J684" i="260"/>
  <c r="G682" i="260"/>
  <c r="K688" i="260"/>
  <c r="G689" i="260"/>
  <c r="L685" i="260"/>
  <c r="H682" i="260"/>
  <c r="O683" i="260"/>
  <c r="H686" i="260"/>
  <c r="I686" i="260"/>
  <c r="O686" i="260"/>
  <c r="O684" i="260"/>
  <c r="L686" i="260"/>
  <c r="J689" i="260"/>
  <c r="N682" i="260"/>
  <c r="J688" i="260"/>
  <c r="N689" i="260"/>
  <c r="O687" i="260"/>
  <c r="N687" i="260"/>
  <c r="N685" i="260"/>
  <c r="H689" i="260"/>
  <c r="K686" i="260"/>
  <c r="M683" i="260"/>
  <c r="G684" i="260"/>
  <c r="N688" i="260"/>
  <c r="M688" i="260"/>
  <c r="M686" i="260"/>
  <c r="K685" i="260"/>
  <c r="H688" i="260"/>
  <c r="H683" i="260"/>
  <c r="I687" i="260"/>
  <c r="J686" i="260"/>
  <c r="K689" i="260"/>
  <c r="O685" i="260"/>
  <c r="G685" i="260"/>
  <c r="J687" i="260"/>
  <c r="L682" i="260"/>
  <c r="K684" i="260"/>
  <c r="I688" i="260"/>
  <c r="K683" i="260"/>
  <c r="N684" i="260"/>
  <c r="G688" i="260"/>
  <c r="K687" i="260"/>
  <c r="I684" i="260"/>
  <c r="M687" i="260"/>
  <c r="G686" i="260"/>
  <c r="L688" i="260"/>
  <c r="I685" i="260"/>
  <c r="I683" i="260"/>
  <c r="L687" i="260"/>
  <c r="I689" i="260"/>
  <c r="G687" i="260"/>
  <c r="M682" i="260"/>
  <c r="L683" i="260"/>
  <c r="M689" i="260"/>
  <c r="H687" i="260"/>
  <c r="L689" i="260"/>
  <c r="N683" i="260"/>
  <c r="AE12" i="324"/>
  <c r="AF12" i="324"/>
  <c r="AG12" i="324"/>
  <c r="AG38" i="324"/>
  <c r="AG32" i="324"/>
  <c r="AG36" i="324"/>
  <c r="AG37" i="324"/>
  <c r="AG33" i="324"/>
  <c r="AG34" i="324"/>
  <c r="AG29" i="324"/>
  <c r="AG30" i="324"/>
  <c r="AG40" i="324"/>
  <c r="AG27" i="324"/>
  <c r="AG39" i="324"/>
  <c r="AG28" i="324"/>
  <c r="Y35" i="324"/>
  <c r="Y38" i="324"/>
  <c r="Y36" i="324"/>
  <c r="Y39" i="324"/>
  <c r="Y37" i="324"/>
  <c r="Y29" i="324"/>
  <c r="Y27" i="324"/>
  <c r="Y30" i="324"/>
  <c r="Y28" i="324"/>
  <c r="Y32" i="324"/>
  <c r="Y31" i="324"/>
  <c r="Y34" i="324"/>
  <c r="Y40" i="324"/>
  <c r="Y33" i="324"/>
  <c r="A754" i="260"/>
  <c r="C586" i="260"/>
  <c r="C559" i="260"/>
  <c r="C568" i="260"/>
  <c r="C577" i="260"/>
  <c r="C645" i="260"/>
  <c r="C654" i="260"/>
  <c r="C663" i="260"/>
  <c r="C636" i="260"/>
  <c r="M1775" i="260"/>
  <c r="M1782" i="260"/>
  <c r="M1778" i="260"/>
  <c r="I1775" i="260"/>
  <c r="I1778" i="260"/>
  <c r="G1767" i="260"/>
  <c r="G1760" i="260"/>
  <c r="G1756" i="260"/>
  <c r="M34" i="252"/>
  <c r="D40" i="260"/>
  <c r="O204" i="260"/>
  <c r="C1501" i="260"/>
  <c r="A1502" i="260"/>
  <c r="A1503" i="260"/>
  <c r="A1504" i="260"/>
  <c r="A1505" i="260"/>
  <c r="A1506" i="260"/>
  <c r="A1507" i="260"/>
  <c r="A1508" i="260"/>
  <c r="A1509" i="260"/>
  <c r="A1510" i="260"/>
  <c r="D612" i="260"/>
  <c r="D87" i="260"/>
  <c r="D290" i="260"/>
  <c r="C1274" i="260"/>
  <c r="A1275" i="260"/>
  <c r="A1276" i="260"/>
  <c r="A1277" i="260"/>
  <c r="A1278" i="260"/>
  <c r="A1279" i="260"/>
  <c r="A1280" i="260"/>
  <c r="A1281" i="260"/>
  <c r="A1282" i="260"/>
  <c r="A1283" i="260"/>
  <c r="D602" i="260"/>
  <c r="D74" i="260"/>
  <c r="D471" i="260"/>
  <c r="C1180" i="260"/>
  <c r="A1181" i="260"/>
  <c r="A1182" i="260"/>
  <c r="A1183" i="260"/>
  <c r="A1184" i="260"/>
  <c r="A1185" i="260"/>
  <c r="A1186" i="260"/>
  <c r="A1187" i="260"/>
  <c r="A1188" i="260"/>
  <c r="A1189" i="260"/>
  <c r="C1709" i="260"/>
  <c r="D428" i="260"/>
  <c r="D438" i="260"/>
  <c r="E740" i="260"/>
  <c r="E750" i="260"/>
  <c r="C1387" i="260"/>
  <c r="D457" i="260"/>
  <c r="C1098" i="260"/>
  <c r="A1099" i="260"/>
  <c r="A1100" i="260"/>
  <c r="A1101" i="260"/>
  <c r="A1102" i="260"/>
  <c r="A1103" i="260"/>
  <c r="A1104" i="260"/>
  <c r="C1615" i="260"/>
  <c r="C1037" i="260"/>
  <c r="A1038" i="260"/>
  <c r="C763" i="260"/>
  <c r="C1520" i="260"/>
  <c r="C919" i="260"/>
  <c r="A920" i="260"/>
  <c r="A921" i="260"/>
  <c r="A922" i="260"/>
  <c r="A923" i="260"/>
  <c r="A924" i="260"/>
  <c r="A925" i="260"/>
  <c r="A926" i="260"/>
  <c r="A927" i="260"/>
  <c r="D555" i="260"/>
  <c r="D676" i="260"/>
  <c r="C1368" i="260"/>
  <c r="A1369" i="260"/>
  <c r="A1370" i="260"/>
  <c r="A1371" i="260"/>
  <c r="A1372" i="260"/>
  <c r="A1373" i="260"/>
  <c r="A1374" i="260"/>
  <c r="A1375" i="260"/>
  <c r="A1376" i="260"/>
  <c r="A1377" i="260"/>
  <c r="C1596" i="260"/>
  <c r="A1597" i="260"/>
  <c r="A1598" i="260"/>
  <c r="A1599" i="260"/>
  <c r="A1600" i="260"/>
  <c r="A1601" i="260"/>
  <c r="A1602" i="260"/>
  <c r="A1603" i="260"/>
  <c r="A1604" i="260"/>
  <c r="A1605" i="260"/>
  <c r="D628" i="260"/>
  <c r="AG17" i="324"/>
  <c r="AH17" i="324"/>
  <c r="F1778" i="260"/>
  <c r="BF264" i="259"/>
  <c r="BD264" i="259"/>
  <c r="BI264" i="259"/>
  <c r="BK32" i="259"/>
  <c r="BK34" i="259"/>
  <c r="BK33" i="259"/>
  <c r="BK36" i="259"/>
  <c r="B61" i="189"/>
  <c r="N1782" i="260"/>
  <c r="AE16" i="324"/>
  <c r="AF16" i="324"/>
  <c r="D170" i="252"/>
  <c r="L1782" i="260"/>
  <c r="V58" i="303"/>
  <c r="V67" i="303"/>
  <c r="H62" i="189"/>
  <c r="I62" i="189"/>
  <c r="I6" i="325"/>
  <c r="W32" i="324"/>
  <c r="W38" i="324"/>
  <c r="W29" i="324"/>
  <c r="W35" i="324"/>
  <c r="W39" i="324"/>
  <c r="W36" i="324"/>
  <c r="W33" i="324"/>
  <c r="O38" i="324"/>
  <c r="O31" i="324"/>
  <c r="O36" i="324"/>
  <c r="O28" i="324"/>
  <c r="O30" i="324"/>
  <c r="O34" i="324"/>
  <c r="C1031" i="260"/>
  <c r="A1032" i="260"/>
  <c r="D320" i="260"/>
  <c r="C1707" i="260"/>
  <c r="D270" i="260"/>
  <c r="C982" i="260"/>
  <c r="A983" i="260"/>
  <c r="A984" i="260"/>
  <c r="A985" i="260"/>
  <c r="A986" i="260"/>
  <c r="A987" i="260"/>
  <c r="A988" i="260"/>
  <c r="A989" i="260"/>
  <c r="A990" i="260"/>
  <c r="C1082" i="260"/>
  <c r="A1083" i="260"/>
  <c r="A1084" i="260"/>
  <c r="A1085" i="260"/>
  <c r="A1086" i="260"/>
  <c r="A1087" i="260"/>
  <c r="A1088" i="260"/>
  <c r="C1197" i="260"/>
  <c r="C1348" i="260"/>
  <c r="A1349" i="260"/>
  <c r="A1350" i="260"/>
  <c r="A1351" i="260"/>
  <c r="A1352" i="260"/>
  <c r="A1353" i="260"/>
  <c r="A1354" i="260"/>
  <c r="A1355" i="260"/>
  <c r="A1356" i="260"/>
  <c r="A1357" i="260"/>
  <c r="D426" i="260"/>
  <c r="D436" i="260"/>
  <c r="D469" i="260"/>
  <c r="C1576" i="260"/>
  <c r="A1577" i="260"/>
  <c r="A1578" i="260"/>
  <c r="A1579" i="260"/>
  <c r="A1580" i="260"/>
  <c r="A1581" i="260"/>
  <c r="A1582" i="260"/>
  <c r="A1583" i="260"/>
  <c r="A1584" i="260"/>
  <c r="A1585" i="260"/>
  <c r="C1518" i="260"/>
  <c r="D626" i="260"/>
  <c r="D645" i="260"/>
  <c r="D72" i="260"/>
  <c r="D674" i="260"/>
  <c r="AD27" i="324"/>
  <c r="AD34" i="324"/>
  <c r="AD36" i="324"/>
  <c r="AD40" i="324"/>
  <c r="AD28" i="324"/>
  <c r="AD37" i="324"/>
  <c r="AD33" i="324"/>
  <c r="V28" i="324"/>
  <c r="V33" i="324"/>
  <c r="V39" i="324"/>
  <c r="V29" i="324"/>
  <c r="V30" i="324"/>
  <c r="V32" i="324"/>
  <c r="V35" i="324"/>
  <c r="V38" i="324"/>
  <c r="C587" i="260"/>
  <c r="C578" i="260"/>
  <c r="C664" i="260"/>
  <c r="C646" i="260"/>
  <c r="F16" i="6"/>
  <c r="F22" i="6"/>
  <c r="L28" i="324"/>
  <c r="L31" i="324"/>
  <c r="L32" i="324"/>
  <c r="L35" i="324"/>
  <c r="L33" i="324"/>
  <c r="L30" i="324"/>
  <c r="L40" i="324"/>
  <c r="F28" i="324"/>
  <c r="F37" i="324"/>
  <c r="F38" i="324"/>
  <c r="F35" i="324"/>
  <c r="F40" i="324"/>
  <c r="F39" i="324"/>
  <c r="S39" i="324"/>
  <c r="S31" i="324"/>
  <c r="S38" i="324"/>
  <c r="S28" i="324"/>
  <c r="S37" i="324"/>
  <c r="S34" i="324"/>
  <c r="S40" i="324"/>
  <c r="S36" i="324"/>
  <c r="S29" i="324"/>
  <c r="K36" i="324"/>
  <c r="K37" i="324"/>
  <c r="K31" i="324"/>
  <c r="K40" i="324"/>
  <c r="J21" i="303"/>
  <c r="J13" i="303"/>
  <c r="J7" i="303"/>
  <c r="J18" i="303"/>
  <c r="BM32" i="259"/>
  <c r="BM34" i="259"/>
  <c r="BM33" i="259"/>
  <c r="BM36" i="259"/>
  <c r="BG32" i="259"/>
  <c r="BG34" i="259"/>
  <c r="BG33" i="259"/>
  <c r="BG36" i="259"/>
  <c r="BF265" i="259"/>
  <c r="BI265" i="259"/>
  <c r="BO261" i="259"/>
  <c r="BR261" i="259"/>
  <c r="E50" i="6"/>
  <c r="F50" i="6"/>
  <c r="F49" i="6"/>
  <c r="AE22" i="324"/>
  <c r="R37" i="324"/>
  <c r="R38" i="324"/>
  <c r="R34" i="324"/>
  <c r="R31" i="324"/>
  <c r="C634" i="260"/>
  <c r="C652" i="260"/>
  <c r="C1702" i="260"/>
  <c r="C1015" i="260"/>
  <c r="A1016" i="260"/>
  <c r="C1192" i="260"/>
  <c r="D450" i="260"/>
  <c r="C1608" i="260"/>
  <c r="D669" i="260"/>
  <c r="C1110" i="260"/>
  <c r="A1111" i="260"/>
  <c r="A1112" i="260"/>
  <c r="A1113" i="260"/>
  <c r="A1114" i="260"/>
  <c r="A1115" i="260"/>
  <c r="A1116" i="260"/>
  <c r="A1117" i="260"/>
  <c r="A1118" i="260"/>
  <c r="A1119" i="260"/>
  <c r="C1431" i="260"/>
  <c r="A1432" i="260"/>
  <c r="A1433" i="260"/>
  <c r="A1434" i="260"/>
  <c r="A1435" i="260"/>
  <c r="A1436" i="260"/>
  <c r="A1437" i="260"/>
  <c r="A1438" i="260"/>
  <c r="A1439" i="260"/>
  <c r="A1440" i="260"/>
  <c r="D621" i="260"/>
  <c r="D658" i="260"/>
  <c r="C1204" i="260"/>
  <c r="A1205" i="260"/>
  <c r="A1206" i="260"/>
  <c r="A1207" i="260"/>
  <c r="A1208" i="260"/>
  <c r="A1209" i="260"/>
  <c r="A1210" i="260"/>
  <c r="A1211" i="260"/>
  <c r="A1212" i="260"/>
  <c r="A1213" i="260"/>
  <c r="D302" i="260"/>
  <c r="C1298" i="260"/>
  <c r="A1299" i="260"/>
  <c r="A1300" i="260"/>
  <c r="A1301" i="260"/>
  <c r="A1302" i="260"/>
  <c r="A1303" i="260"/>
  <c r="A1304" i="260"/>
  <c r="A1305" i="260"/>
  <c r="A1306" i="260"/>
  <c r="A1307" i="260"/>
  <c r="O1757" i="260"/>
  <c r="B96" i="189"/>
  <c r="M1779" i="260"/>
  <c r="H1780" i="260"/>
  <c r="N1757" i="260"/>
  <c r="J1757" i="260"/>
  <c r="H82" i="189"/>
  <c r="N1781" i="260"/>
  <c r="H81" i="189"/>
  <c r="I81" i="189"/>
  <c r="F32" i="189"/>
  <c r="F43" i="189"/>
  <c r="J1775" i="260"/>
  <c r="J1782" i="260"/>
  <c r="J1778" i="260"/>
  <c r="D80" i="324"/>
  <c r="D79" i="324"/>
  <c r="D82" i="324"/>
  <c r="D81" i="324"/>
  <c r="D77" i="324"/>
  <c r="D85" i="324"/>
  <c r="D84" i="324"/>
  <c r="D78" i="324"/>
  <c r="H6" i="325"/>
  <c r="H9" i="325"/>
  <c r="H17" i="325"/>
  <c r="Z33" i="324"/>
  <c r="Z28" i="324"/>
  <c r="Z32" i="324"/>
  <c r="Z40" i="324"/>
  <c r="Z39" i="324"/>
  <c r="Z27" i="324"/>
  <c r="Z37" i="324"/>
  <c r="Z31" i="324"/>
  <c r="Z38" i="324"/>
  <c r="Z36" i="324"/>
  <c r="Z34" i="324"/>
  <c r="Z35" i="324"/>
  <c r="Z29" i="324"/>
  <c r="Z30" i="324"/>
  <c r="H181" i="260" a="1"/>
  <c r="H181" i="260"/>
  <c r="AH27" i="324"/>
  <c r="AH37" i="324"/>
  <c r="AH32" i="324"/>
  <c r="AH28" i="324"/>
  <c r="AH30" i="324"/>
  <c r="AH33" i="324"/>
  <c r="AH36" i="324"/>
  <c r="AH39" i="324"/>
  <c r="AH35" i="324"/>
  <c r="AH40" i="324"/>
  <c r="AH38" i="324"/>
  <c r="AH34" i="324"/>
  <c r="AH31" i="324"/>
  <c r="AA27" i="324"/>
  <c r="AA31" i="324"/>
  <c r="AA36" i="324"/>
  <c r="AA30" i="324"/>
  <c r="AA35" i="324"/>
  <c r="AA28" i="324"/>
  <c r="AA37" i="324"/>
  <c r="AA39" i="324"/>
  <c r="AA40" i="324"/>
  <c r="AA32" i="324"/>
  <c r="AA38" i="324"/>
  <c r="AA33" i="324"/>
  <c r="AA34" i="324"/>
  <c r="AA29" i="324"/>
  <c r="H44" i="189"/>
  <c r="H104" i="189"/>
  <c r="I104" i="189"/>
  <c r="AG13" i="324"/>
  <c r="AH13" i="324"/>
  <c r="AI13" i="324"/>
  <c r="AG7" i="324"/>
  <c r="AH7" i="324"/>
  <c r="BI263" i="259"/>
  <c r="BF263" i="259"/>
  <c r="AE6" i="324"/>
  <c r="B71" i="324"/>
  <c r="D83" i="324"/>
  <c r="C98" i="324"/>
  <c r="D86" i="324"/>
  <c r="F23" i="325"/>
  <c r="G23" i="325"/>
  <c r="BO262" i="259"/>
  <c r="BR262" i="259"/>
  <c r="I1780" i="260"/>
  <c r="AG20" i="324"/>
  <c r="AH20" i="324"/>
  <c r="N1778" i="260"/>
  <c r="G1757" i="260"/>
  <c r="E76" i="6"/>
  <c r="O40" i="324"/>
  <c r="O33" i="324"/>
  <c r="O27" i="324"/>
  <c r="C573" i="260"/>
  <c r="C564" i="260"/>
  <c r="N1759" i="260"/>
  <c r="J6" i="325"/>
  <c r="J9" i="325"/>
  <c r="J17" i="325"/>
  <c r="AB38" i="324"/>
  <c r="AB31" i="324"/>
  <c r="T36" i="324"/>
  <c r="T37" i="324"/>
  <c r="F1780" i="260"/>
  <c r="H83" i="189"/>
  <c r="I83" i="189"/>
  <c r="L161" i="260"/>
  <c r="H161" i="260"/>
  <c r="I161" i="260"/>
  <c r="J23" i="325"/>
  <c r="K40" i="189"/>
  <c r="H61" i="189"/>
  <c r="I61" i="189"/>
  <c r="K39" i="189"/>
  <c r="H74" i="189"/>
  <c r="I74" i="189"/>
  <c r="H77" i="189"/>
  <c r="H73" i="189"/>
  <c r="I73" i="189"/>
  <c r="H69" i="189"/>
  <c r="K1780" i="260"/>
  <c r="H1775" i="260"/>
  <c r="H1782" i="260"/>
  <c r="H1778" i="260"/>
  <c r="M1767" i="260"/>
  <c r="M1756" i="260"/>
  <c r="C558" i="260"/>
  <c r="C576" i="260"/>
  <c r="C567" i="260"/>
  <c r="AF10" i="324"/>
  <c r="AG10" i="324"/>
  <c r="AF14" i="324"/>
  <c r="N38" i="324"/>
  <c r="N28" i="324"/>
  <c r="N34" i="324"/>
  <c r="N37" i="324"/>
  <c r="N35" i="324"/>
  <c r="N33" i="324"/>
  <c r="N40" i="324"/>
  <c r="N32" i="324"/>
  <c r="N27" i="324"/>
  <c r="N30" i="324"/>
  <c r="N31" i="324"/>
  <c r="N39" i="324"/>
  <c r="L1753" i="260"/>
  <c r="L1756" i="260"/>
  <c r="D467" i="260"/>
  <c r="D36" i="260"/>
  <c r="K204" i="260"/>
  <c r="C1066" i="260"/>
  <c r="A1067" i="260"/>
  <c r="C1611" i="260"/>
  <c r="D608" i="260"/>
  <c r="D453" i="260"/>
  <c r="D70" i="260"/>
  <c r="C1461" i="260"/>
  <c r="A1462" i="260"/>
  <c r="C1140" i="260"/>
  <c r="A1141" i="260"/>
  <c r="E736" i="260"/>
  <c r="E746" i="260"/>
  <c r="A798" i="260"/>
  <c r="C1195" i="260"/>
  <c r="D598" i="260"/>
  <c r="D318" i="260"/>
  <c r="C1383" i="260"/>
  <c r="C1328" i="260"/>
  <c r="A1329" i="260"/>
  <c r="C1289" i="260"/>
  <c r="D250" i="260"/>
  <c r="C1025" i="260"/>
  <c r="A1026" i="260"/>
  <c r="D672" i="260"/>
  <c r="D424" i="260"/>
  <c r="D434" i="260"/>
  <c r="D305" i="260"/>
  <c r="C759" i="260"/>
  <c r="D551" i="260"/>
  <c r="C962" i="260"/>
  <c r="A963" i="260"/>
  <c r="C637" i="260"/>
  <c r="C655" i="260"/>
  <c r="H34" i="324"/>
  <c r="AM66" i="303"/>
  <c r="O39" i="252"/>
  <c r="O38" i="252"/>
  <c r="H92" i="189"/>
  <c r="I92" i="189"/>
  <c r="H93" i="189"/>
  <c r="I93" i="189"/>
  <c r="AW261" i="259"/>
  <c r="H54" i="189"/>
  <c r="I54" i="189"/>
  <c r="B58" i="189"/>
  <c r="B63" i="189"/>
  <c r="K63" i="189"/>
  <c r="M63" i="189"/>
  <c r="B53" i="189"/>
  <c r="B85" i="189"/>
  <c r="B84" i="189"/>
  <c r="B57" i="189"/>
  <c r="K96" i="189"/>
  <c r="M96" i="189"/>
  <c r="N96" i="189"/>
  <c r="K61" i="189"/>
  <c r="M61" i="189"/>
  <c r="K62" i="189"/>
  <c r="M62" i="189"/>
  <c r="B78" i="189"/>
  <c r="L531" i="260"/>
  <c r="J54" i="260"/>
  <c r="L175" i="260"/>
  <c r="L162" i="260"/>
  <c r="L131" i="260"/>
  <c r="A1020" i="260"/>
  <c r="F1020" i="260"/>
  <c r="O531" i="260"/>
  <c r="N531" i="260"/>
  <c r="K531" i="260"/>
  <c r="H531" i="260"/>
  <c r="J531" i="260"/>
  <c r="M531" i="260"/>
  <c r="I531" i="260"/>
  <c r="K194" i="260"/>
  <c r="E505" i="260"/>
  <c r="M194" i="260"/>
  <c r="E507" i="260"/>
  <c r="A809" i="260"/>
  <c r="A829" i="260"/>
  <c r="D510" i="260"/>
  <c r="E510" i="260"/>
  <c r="E519" i="260"/>
  <c r="A819" i="260"/>
  <c r="A839" i="260"/>
  <c r="A779" i="260"/>
  <c r="A789" i="260"/>
  <c r="A769" i="260"/>
  <c r="H88" i="189"/>
  <c r="I88" i="189"/>
  <c r="L54" i="260"/>
  <c r="BG264" i="259"/>
  <c r="H204" i="260"/>
  <c r="M182" i="260" a="1"/>
  <c r="M182" i="260"/>
  <c r="N674" i="260" a="1"/>
  <c r="N674" i="260"/>
  <c r="O181" i="260" a="1"/>
  <c r="O181" i="260"/>
  <c r="M676" i="260" a="1"/>
  <c r="M676" i="260"/>
  <c r="N162" i="260"/>
  <c r="H91" i="189"/>
  <c r="I91" i="189"/>
  <c r="H90" i="189"/>
  <c r="I90" i="189"/>
  <c r="D570" i="260"/>
  <c r="H89" i="189"/>
  <c r="I89" i="189"/>
  <c r="D588" i="260"/>
  <c r="H53" i="189"/>
  <c r="M163" i="260" a="1"/>
  <c r="M163" i="260"/>
  <c r="H600" i="260"/>
  <c r="D561" i="260"/>
  <c r="AW265" i="259"/>
  <c r="AU265" i="259"/>
  <c r="AW263" i="259"/>
  <c r="AX263" i="259"/>
  <c r="G18" i="325"/>
  <c r="D636" i="260"/>
  <c r="AZ264" i="259"/>
  <c r="D635" i="260"/>
  <c r="D652" i="260"/>
  <c r="D577" i="260"/>
  <c r="I131" i="260"/>
  <c r="D585" i="260"/>
  <c r="D568" i="260"/>
  <c r="R157" i="252"/>
  <c r="D644" i="260"/>
  <c r="D586" i="260"/>
  <c r="O164" i="260" a="1"/>
  <c r="O164" i="260"/>
  <c r="M55" i="260"/>
  <c r="M56" i="260"/>
  <c r="M57" i="260"/>
  <c r="D662" i="260"/>
  <c r="F9" i="24"/>
  <c r="I175" i="260"/>
  <c r="G54" i="260"/>
  <c r="I162" i="260"/>
  <c r="O165" i="260" a="1"/>
  <c r="O165" i="260"/>
  <c r="J602" i="260"/>
  <c r="D519" i="260"/>
  <c r="E483" i="260"/>
  <c r="D562" i="260"/>
  <c r="D589" i="260"/>
  <c r="D580" i="260"/>
  <c r="D571" i="260"/>
  <c r="BM264" i="259"/>
  <c r="BN264" i="259"/>
  <c r="BP264" i="259"/>
  <c r="R155" i="252"/>
  <c r="R162" i="252"/>
  <c r="AW259" i="259"/>
  <c r="AX259" i="259"/>
  <c r="AZ259" i="259"/>
  <c r="D10" i="325"/>
  <c r="D17" i="325"/>
  <c r="E18" i="325"/>
  <c r="D6" i="325"/>
  <c r="I66" i="189"/>
  <c r="H67" i="189"/>
  <c r="AG15" i="324"/>
  <c r="AH15" i="324"/>
  <c r="AI15" i="324"/>
  <c r="D558" i="260"/>
  <c r="D576" i="260"/>
  <c r="J18" i="325"/>
  <c r="H131" i="260"/>
  <c r="E484" i="260"/>
  <c r="BF36" i="259"/>
  <c r="BI37" i="259"/>
  <c r="K1779" i="260"/>
  <c r="L1779" i="260"/>
  <c r="F53" i="6"/>
  <c r="H72" i="189"/>
  <c r="I72" i="189"/>
  <c r="B81" i="189"/>
  <c r="F5" i="6"/>
  <c r="M1781" i="260"/>
  <c r="K1758" i="260"/>
  <c r="I1757" i="260"/>
  <c r="I23" i="325"/>
  <c r="BD259" i="259"/>
  <c r="BG259" i="259"/>
  <c r="AG18" i="324"/>
  <c r="O162" i="260"/>
  <c r="F15" i="203"/>
  <c r="J170" i="260" a="1"/>
  <c r="J170" i="260"/>
  <c r="H59" i="260"/>
  <c r="H60" i="260"/>
  <c r="H61" i="260"/>
  <c r="L166" i="260" a="1"/>
  <c r="L166" i="260"/>
  <c r="K599" i="260"/>
  <c r="BM259" i="259"/>
  <c r="BN259" i="259"/>
  <c r="BP259" i="259"/>
  <c r="M165" i="260" a="1"/>
  <c r="M165" i="260"/>
  <c r="J600" i="260"/>
  <c r="M167" i="260" a="1"/>
  <c r="M167" i="260"/>
  <c r="L600" i="260"/>
  <c r="M179" i="260" a="1"/>
  <c r="M179" i="260"/>
  <c r="K674" i="260" a="1"/>
  <c r="K674" i="260"/>
  <c r="M168" i="260" a="1"/>
  <c r="M168" i="260"/>
  <c r="M600" i="260"/>
  <c r="M166" i="260" a="1"/>
  <c r="M166" i="260"/>
  <c r="K600" i="260"/>
  <c r="J181" i="260" a="1"/>
  <c r="J181" i="260"/>
  <c r="M671" i="260" a="1"/>
  <c r="M671" i="260"/>
  <c r="J43" i="189"/>
  <c r="J44" i="189"/>
  <c r="J32" i="189"/>
  <c r="E36" i="6"/>
  <c r="F36" i="6"/>
  <c r="D634" i="260"/>
  <c r="D643" i="260"/>
  <c r="AZ262" i="259"/>
  <c r="M131" i="260"/>
  <c r="S164" i="252"/>
  <c r="R164" i="252"/>
  <c r="F54" i="260"/>
  <c r="R160" i="252"/>
  <c r="E25" i="6"/>
  <c r="J47" i="303"/>
  <c r="J45" i="303"/>
  <c r="J48" i="303"/>
  <c r="J46" i="303"/>
  <c r="K54" i="260"/>
  <c r="M100" i="260"/>
  <c r="AG21" i="324"/>
  <c r="AH21" i="324"/>
  <c r="AI21" i="324"/>
  <c r="E67" i="324"/>
  <c r="E79" i="324"/>
  <c r="E91" i="324"/>
  <c r="E68" i="324"/>
  <c r="E80" i="324"/>
  <c r="E92" i="324"/>
  <c r="E74" i="324"/>
  <c r="E86" i="324"/>
  <c r="E98" i="324"/>
  <c r="E71" i="324"/>
  <c r="E83" i="324"/>
  <c r="E95" i="324"/>
  <c r="E69" i="324"/>
  <c r="E81" i="324"/>
  <c r="E93" i="324"/>
  <c r="E65" i="324"/>
  <c r="E77" i="324"/>
  <c r="E89" i="324"/>
  <c r="E73" i="324"/>
  <c r="E85" i="324"/>
  <c r="E97" i="324"/>
  <c r="F75" i="324"/>
  <c r="F70" i="324"/>
  <c r="F82" i="324"/>
  <c r="F94" i="324"/>
  <c r="E66" i="324"/>
  <c r="E78" i="324"/>
  <c r="E90" i="324"/>
  <c r="E70" i="324"/>
  <c r="E82" i="324"/>
  <c r="E94" i="324"/>
  <c r="M175" i="260"/>
  <c r="H101" i="189"/>
  <c r="I101" i="189"/>
  <c r="D516" i="260"/>
  <c r="E516" i="260"/>
  <c r="E525" i="260"/>
  <c r="F16" i="203"/>
  <c r="F122" i="203"/>
  <c r="I122" i="203"/>
  <c r="BF262" i="259"/>
  <c r="BD262" i="259"/>
  <c r="BI262" i="259"/>
  <c r="E768" i="260"/>
  <c r="J162" i="260"/>
  <c r="H54" i="260"/>
  <c r="M177" i="260" a="1"/>
  <c r="M177" i="260"/>
  <c r="I674" i="260" a="1"/>
  <c r="I674" i="260"/>
  <c r="M170" i="260" a="1"/>
  <c r="M170" i="260"/>
  <c r="M169" i="260" a="1"/>
  <c r="M169" i="260"/>
  <c r="N600" i="260"/>
  <c r="M180" i="260" a="1"/>
  <c r="M180" i="260"/>
  <c r="L674" i="260" a="1"/>
  <c r="L674" i="260"/>
  <c r="M176" i="260" a="1"/>
  <c r="M176" i="260"/>
  <c r="H674" i="260" a="1"/>
  <c r="H674" i="260"/>
  <c r="M181" i="260" a="1"/>
  <c r="M181" i="260"/>
  <c r="M674" i="260" a="1"/>
  <c r="M674" i="260"/>
  <c r="M162" i="260"/>
  <c r="O177" i="260" a="1"/>
  <c r="O177" i="260"/>
  <c r="I676" i="260" a="1"/>
  <c r="I676" i="260"/>
  <c r="F11" i="203"/>
  <c r="N181" i="260" a="1"/>
  <c r="N181" i="260"/>
  <c r="M675" i="260" a="1"/>
  <c r="M675" i="260"/>
  <c r="N182" i="260" a="1"/>
  <c r="N182" i="260"/>
  <c r="N675" i="260" a="1"/>
  <c r="N675" i="260"/>
  <c r="AI62" i="303"/>
  <c r="J131" i="260"/>
  <c r="AH63" i="303"/>
  <c r="E60" i="6"/>
  <c r="BM260" i="259"/>
  <c r="BP260" i="259"/>
  <c r="E61" i="6"/>
  <c r="E59" i="6"/>
  <c r="D650" i="260"/>
  <c r="D632" i="260"/>
  <c r="K37" i="189"/>
  <c r="E32" i="189"/>
  <c r="H56" i="189"/>
  <c r="I56" i="189"/>
  <c r="E44" i="189"/>
  <c r="AJ64" i="303"/>
  <c r="AE67" i="303"/>
  <c r="AM65" i="303"/>
  <c r="AK67" i="303"/>
  <c r="K178" i="260" a="1"/>
  <c r="K178" i="260"/>
  <c r="J672" i="260" a="1"/>
  <c r="J672" i="260"/>
  <c r="AJ67" i="303"/>
  <c r="AG64" i="303"/>
  <c r="M193" i="260"/>
  <c r="AM63" i="303"/>
  <c r="K169" i="260" a="1"/>
  <c r="K169" i="260"/>
  <c r="N598" i="260"/>
  <c r="K170" i="260" a="1"/>
  <c r="K170" i="260"/>
  <c r="O598" i="260"/>
  <c r="AE66" i="303"/>
  <c r="AF64" i="303"/>
  <c r="K181" i="260" a="1"/>
  <c r="K181" i="260"/>
  <c r="M672" i="260" a="1"/>
  <c r="M672" i="260"/>
  <c r="K183" i="260" a="1"/>
  <c r="K183" i="260"/>
  <c r="O672" i="260" a="1"/>
  <c r="O672" i="260"/>
  <c r="I669" i="260" a="1"/>
  <c r="I669" i="260"/>
  <c r="AI66" i="303"/>
  <c r="O170" i="260" a="1"/>
  <c r="O170" i="260"/>
  <c r="O602" i="260"/>
  <c r="O182" i="260" a="1"/>
  <c r="O182" i="260"/>
  <c r="N676" i="260" a="1"/>
  <c r="N676" i="260"/>
  <c r="O166" i="260" a="1"/>
  <c r="O166" i="260"/>
  <c r="K602" i="260"/>
  <c r="K564" i="260"/>
  <c r="AL63" i="303"/>
  <c r="AM67" i="303"/>
  <c r="AM62" i="303"/>
  <c r="N100" i="260"/>
  <c r="H193" i="260"/>
  <c r="H194" i="260"/>
  <c r="E502" i="260"/>
  <c r="E778" i="260"/>
  <c r="AJ66" i="303"/>
  <c r="AJ63" i="303"/>
  <c r="AL66" i="303"/>
  <c r="AH66" i="303"/>
  <c r="AG66" i="303"/>
  <c r="AG65" i="303"/>
  <c r="AG63" i="303"/>
  <c r="AJ62" i="303"/>
  <c r="AL65" i="303"/>
  <c r="AG62" i="303"/>
  <c r="AH65" i="303"/>
  <c r="AK64" i="303"/>
  <c r="AL67" i="303"/>
  <c r="AK63" i="303"/>
  <c r="AG67" i="303"/>
  <c r="AE65" i="303"/>
  <c r="AK66" i="303"/>
  <c r="AE63" i="303"/>
  <c r="AL62" i="303"/>
  <c r="AM64" i="303"/>
  <c r="AE62" i="303"/>
  <c r="AH62" i="303"/>
  <c r="AF65" i="303"/>
  <c r="AL64" i="303"/>
  <c r="AI64" i="303"/>
  <c r="AI65" i="303"/>
  <c r="AF62" i="303"/>
  <c r="AF67" i="303"/>
  <c r="AH67" i="303"/>
  <c r="AI67" i="303"/>
  <c r="AF63" i="303"/>
  <c r="AJ65" i="303"/>
  <c r="AE64" i="303"/>
  <c r="E493" i="260"/>
  <c r="AI63" i="303"/>
  <c r="AH64" i="303"/>
  <c r="AF66" i="303"/>
  <c r="AK62" i="303"/>
  <c r="AK65" i="303"/>
  <c r="O669" i="260" a="1"/>
  <c r="O669" i="260"/>
  <c r="E498" i="260"/>
  <c r="M183" i="260" a="1"/>
  <c r="M183" i="260"/>
  <c r="O674" i="260" a="1"/>
  <c r="O674" i="260"/>
  <c r="M178" i="260" a="1"/>
  <c r="M178" i="260"/>
  <c r="J674" i="260" a="1"/>
  <c r="J674" i="260"/>
  <c r="M164" i="260" a="1"/>
  <c r="M164" i="260"/>
  <c r="I600" i="260"/>
  <c r="H86" i="189"/>
  <c r="AG11" i="324"/>
  <c r="AH11" i="324"/>
  <c r="AI11" i="324"/>
  <c r="AZ258" i="259"/>
  <c r="AW258" i="259"/>
  <c r="D525" i="260"/>
  <c r="D515" i="260"/>
  <c r="E515" i="260"/>
  <c r="E524" i="260"/>
  <c r="K165" i="260" a="1"/>
  <c r="K165" i="260"/>
  <c r="J598" i="260"/>
  <c r="K167" i="260" a="1"/>
  <c r="K167" i="260"/>
  <c r="L598" i="260"/>
  <c r="E497" i="260"/>
  <c r="G194" i="260"/>
  <c r="E501" i="260"/>
  <c r="BM263" i="259"/>
  <c r="BP263" i="259"/>
  <c r="H64" i="189"/>
  <c r="E487" i="260"/>
  <c r="E492" i="260"/>
  <c r="D566" i="260"/>
  <c r="D584" i="260"/>
  <c r="D575" i="260"/>
  <c r="D557" i="260"/>
  <c r="H55" i="189"/>
  <c r="I55" i="189"/>
  <c r="D517" i="260"/>
  <c r="E517" i="260"/>
  <c r="E526" i="260"/>
  <c r="E496" i="260"/>
  <c r="F18" i="325"/>
  <c r="G193" i="260"/>
  <c r="D642" i="260"/>
  <c r="D651" i="260"/>
  <c r="D633" i="260"/>
  <c r="D660" i="260"/>
  <c r="K193" i="260"/>
  <c r="BF258" i="259"/>
  <c r="BI258" i="259"/>
  <c r="D520" i="260"/>
  <c r="D44" i="189"/>
  <c r="K35" i="189"/>
  <c r="D511" i="260"/>
  <c r="E511" i="260"/>
  <c r="E520" i="260"/>
  <c r="E499" i="260"/>
  <c r="AI7" i="324"/>
  <c r="E488" i="260"/>
  <c r="AZ260" i="259"/>
  <c r="AW260" i="259"/>
  <c r="AG19" i="324"/>
  <c r="AH19" i="324"/>
  <c r="AI19" i="324"/>
  <c r="BG261" i="259"/>
  <c r="BD261" i="259"/>
  <c r="E808" i="260"/>
  <c r="BM265" i="259"/>
  <c r="BP265" i="259"/>
  <c r="E818" i="260"/>
  <c r="I82" i="189"/>
  <c r="K85" i="189"/>
  <c r="D513" i="260"/>
  <c r="E513" i="260"/>
  <c r="E522" i="260"/>
  <c r="E490" i="260"/>
  <c r="E486" i="260"/>
  <c r="K166" i="260" a="1"/>
  <c r="K166" i="260"/>
  <c r="K598" i="260"/>
  <c r="AH12" i="324"/>
  <c r="AI12" i="324"/>
  <c r="E494" i="260"/>
  <c r="E838" i="260"/>
  <c r="BI260" i="259"/>
  <c r="BF260" i="259"/>
  <c r="AU264" i="259"/>
  <c r="AX264" i="259"/>
  <c r="J175" i="260"/>
  <c r="L180" i="260" a="1"/>
  <c r="L180" i="260"/>
  <c r="L673" i="260" a="1"/>
  <c r="L673" i="260"/>
  <c r="L163" i="260" a="1"/>
  <c r="L163" i="260"/>
  <c r="H599" i="260"/>
  <c r="L178" i="260" a="1"/>
  <c r="L178" i="260"/>
  <c r="J673" i="260" a="1"/>
  <c r="J673" i="260"/>
  <c r="L100" i="260"/>
  <c r="L168" i="260" a="1"/>
  <c r="L168" i="260"/>
  <c r="M599" i="260"/>
  <c r="L169" i="260" a="1"/>
  <c r="L169" i="260"/>
  <c r="N599" i="260"/>
  <c r="L183" i="260" a="1"/>
  <c r="L183" i="260"/>
  <c r="O673" i="260" a="1"/>
  <c r="O673" i="260"/>
  <c r="L176" i="260" a="1"/>
  <c r="L176" i="260"/>
  <c r="H673" i="260" a="1"/>
  <c r="H673" i="260"/>
  <c r="L177" i="260" a="1"/>
  <c r="L177" i="260"/>
  <c r="I673" i="260" a="1"/>
  <c r="I673" i="260"/>
  <c r="L167" i="260" a="1"/>
  <c r="L167" i="260"/>
  <c r="L599" i="260"/>
  <c r="L179" i="260" a="1"/>
  <c r="L179" i="260"/>
  <c r="K673" i="260" a="1"/>
  <c r="K673" i="260"/>
  <c r="L182" i="260" a="1"/>
  <c r="L182" i="260"/>
  <c r="N673" i="260" a="1"/>
  <c r="N673" i="260"/>
  <c r="L165" i="260" a="1"/>
  <c r="L165" i="260"/>
  <c r="J599" i="260"/>
  <c r="N175" i="260"/>
  <c r="H175" i="260"/>
  <c r="L164" i="260" a="1"/>
  <c r="L164" i="260"/>
  <c r="I599" i="260"/>
  <c r="D522" i="260"/>
  <c r="E828" i="260"/>
  <c r="I181" i="260" a="1"/>
  <c r="I181" i="260"/>
  <c r="M670" i="260" a="1"/>
  <c r="M670" i="260"/>
  <c r="N170" i="260" a="1"/>
  <c r="N170" i="260"/>
  <c r="O601" i="260"/>
  <c r="H669" i="260" a="1"/>
  <c r="H669" i="260"/>
  <c r="J194" i="260"/>
  <c r="E504" i="260"/>
  <c r="J193" i="260"/>
  <c r="E495" i="260"/>
  <c r="I100" i="260"/>
  <c r="I180" i="260" a="1"/>
  <c r="I180" i="260"/>
  <c r="L670" i="260" a="1"/>
  <c r="L670" i="260"/>
  <c r="I179" i="260" a="1"/>
  <c r="I179" i="260"/>
  <c r="K670" i="260" a="1"/>
  <c r="K670" i="260"/>
  <c r="I168" i="260" a="1"/>
  <c r="I168" i="260"/>
  <c r="M596" i="260"/>
  <c r="I165" i="260" a="1"/>
  <c r="I165" i="260"/>
  <c r="J596" i="260"/>
  <c r="J585" i="260"/>
  <c r="J606" i="260"/>
  <c r="I182" i="260" a="1"/>
  <c r="I182" i="260"/>
  <c r="N670" i="260" a="1"/>
  <c r="N670" i="260"/>
  <c r="I178" i="260" a="1"/>
  <c r="I178" i="260"/>
  <c r="J670" i="260" a="1"/>
  <c r="J670" i="260"/>
  <c r="I169" i="260" a="1"/>
  <c r="I169" i="260"/>
  <c r="N596" i="260"/>
  <c r="I183" i="260" a="1"/>
  <c r="I183" i="260"/>
  <c r="O670" i="260" a="1"/>
  <c r="O670" i="260"/>
  <c r="I167" i="260" a="1"/>
  <c r="I167" i="260"/>
  <c r="L596" i="260"/>
  <c r="L558" i="260"/>
  <c r="I177" i="260" a="1"/>
  <c r="I177" i="260"/>
  <c r="I670" i="260" a="1"/>
  <c r="I670" i="260"/>
  <c r="I166" i="260" a="1"/>
  <c r="I166" i="260"/>
  <c r="K596" i="260"/>
  <c r="L181" i="260" a="1"/>
  <c r="L181" i="260"/>
  <c r="M673" i="260" a="1"/>
  <c r="M673" i="260"/>
  <c r="I170" i="260" a="1"/>
  <c r="I170" i="260"/>
  <c r="O596" i="260"/>
  <c r="I193" i="260"/>
  <c r="I194" i="260"/>
  <c r="E503" i="260"/>
  <c r="I164" i="260" a="1"/>
  <c r="I164" i="260"/>
  <c r="G55" i="260"/>
  <c r="G56" i="260"/>
  <c r="G57" i="260"/>
  <c r="L170" i="260" a="1"/>
  <c r="L170" i="260"/>
  <c r="J59" i="260"/>
  <c r="J60" i="260"/>
  <c r="J61" i="260"/>
  <c r="N167" i="260" a="1"/>
  <c r="N167" i="260"/>
  <c r="L601" i="260"/>
  <c r="N163" i="260" a="1"/>
  <c r="N163" i="260"/>
  <c r="H601" i="260"/>
  <c r="N183" i="260" a="1"/>
  <c r="N183" i="260"/>
  <c r="O675" i="260" a="1"/>
  <c r="O675" i="260"/>
  <c r="N180" i="260" a="1"/>
  <c r="N180" i="260"/>
  <c r="L675" i="260" a="1"/>
  <c r="L675" i="260"/>
  <c r="N166" i="260" a="1"/>
  <c r="N166" i="260"/>
  <c r="K601" i="260"/>
  <c r="N169" i="260" a="1"/>
  <c r="N169" i="260"/>
  <c r="N601" i="260"/>
  <c r="N178" i="260" a="1"/>
  <c r="N178" i="260"/>
  <c r="J675" i="260" a="1"/>
  <c r="J675" i="260"/>
  <c r="N164" i="260" a="1"/>
  <c r="N164" i="260"/>
  <c r="I601" i="260"/>
  <c r="N177" i="260" a="1"/>
  <c r="N177" i="260"/>
  <c r="I675" i="260" a="1"/>
  <c r="I675" i="260"/>
  <c r="N168" i="260" a="1"/>
  <c r="N168" i="260"/>
  <c r="M601" i="260"/>
  <c r="N179" i="260" a="1"/>
  <c r="N179" i="260"/>
  <c r="K675" i="260" a="1"/>
  <c r="K675" i="260"/>
  <c r="N176" i="260" a="1"/>
  <c r="N176" i="260"/>
  <c r="H675" i="260" a="1"/>
  <c r="H675" i="260"/>
  <c r="E489" i="260"/>
  <c r="D514" i="260"/>
  <c r="E514" i="260"/>
  <c r="E523" i="260"/>
  <c r="D526" i="260"/>
  <c r="I176" i="260" a="1"/>
  <c r="I176" i="260"/>
  <c r="H670" i="260" a="1"/>
  <c r="H670" i="260"/>
  <c r="N165" i="260" a="1"/>
  <c r="N165" i="260"/>
  <c r="J601" i="260"/>
  <c r="N669" i="260" a="1"/>
  <c r="N669" i="260"/>
  <c r="J669" i="260" a="1"/>
  <c r="J669" i="260"/>
  <c r="E485" i="260"/>
  <c r="K182" i="260" a="1"/>
  <c r="K182" i="260"/>
  <c r="N672" i="260" a="1"/>
  <c r="N672" i="260"/>
  <c r="K163" i="260" a="1"/>
  <c r="K163" i="260"/>
  <c r="H598" i="260"/>
  <c r="K179" i="260" a="1"/>
  <c r="K179" i="260"/>
  <c r="K672" i="260" a="1"/>
  <c r="K672" i="260"/>
  <c r="K164" i="260" a="1"/>
  <c r="K164" i="260"/>
  <c r="I598" i="260"/>
  <c r="K168" i="260" a="1"/>
  <c r="K168" i="260"/>
  <c r="M598" i="260"/>
  <c r="K176" i="260" a="1"/>
  <c r="K176" i="260"/>
  <c r="H672" i="260" a="1"/>
  <c r="H672" i="260"/>
  <c r="K177" i="260" a="1"/>
  <c r="K177" i="260"/>
  <c r="I672" i="260" a="1"/>
  <c r="I672" i="260"/>
  <c r="K180" i="260" a="1"/>
  <c r="K180" i="260"/>
  <c r="L672" i="260" a="1"/>
  <c r="L672" i="260"/>
  <c r="D524" i="260"/>
  <c r="I163" i="260" a="1"/>
  <c r="I163" i="260"/>
  <c r="H596" i="260"/>
  <c r="L194" i="260"/>
  <c r="E506" i="260"/>
  <c r="L193" i="260"/>
  <c r="D521" i="260"/>
  <c r="E788" i="260"/>
  <c r="E508" i="260"/>
  <c r="M669" i="260" a="1"/>
  <c r="M669" i="260"/>
  <c r="D523" i="260"/>
  <c r="K669" i="260" a="1"/>
  <c r="K669" i="260"/>
  <c r="L669" i="260" a="1"/>
  <c r="L669" i="260"/>
  <c r="J167" i="260" a="1"/>
  <c r="J167" i="260"/>
  <c r="L597" i="260"/>
  <c r="J182" i="260" a="1"/>
  <c r="J182" i="260"/>
  <c r="N671" i="260" a="1"/>
  <c r="N671" i="260"/>
  <c r="J166" i="260" a="1"/>
  <c r="J166" i="260"/>
  <c r="K597" i="260"/>
  <c r="J165" i="260" a="1"/>
  <c r="J165" i="260"/>
  <c r="J597" i="260"/>
  <c r="J177" i="260" a="1"/>
  <c r="J177" i="260"/>
  <c r="I671" i="260" a="1"/>
  <c r="I671" i="260"/>
  <c r="J164" i="260" a="1"/>
  <c r="J164" i="260"/>
  <c r="J180" i="260" a="1"/>
  <c r="J180" i="260"/>
  <c r="L671" i="260" a="1"/>
  <c r="L671" i="260"/>
  <c r="J176" i="260" a="1"/>
  <c r="J176" i="260"/>
  <c r="H671" i="260" a="1"/>
  <c r="H671" i="260"/>
  <c r="J100" i="260"/>
  <c r="J163" i="260" a="1"/>
  <c r="J163" i="260"/>
  <c r="H597" i="260"/>
  <c r="J168" i="260" a="1"/>
  <c r="J168" i="260"/>
  <c r="M597" i="260"/>
  <c r="J178" i="260" a="1"/>
  <c r="J178" i="260"/>
  <c r="J671" i="260" a="1"/>
  <c r="J671" i="260"/>
  <c r="J169" i="260" a="1"/>
  <c r="J169" i="260"/>
  <c r="N597" i="260"/>
  <c r="J183" i="260" a="1"/>
  <c r="J183" i="260"/>
  <c r="O671" i="260" a="1"/>
  <c r="O671" i="260"/>
  <c r="J179" i="260" a="1"/>
  <c r="J179" i="260"/>
  <c r="K671" i="260" a="1"/>
  <c r="K671" i="260"/>
  <c r="O163" i="260" a="1"/>
  <c r="O163" i="260"/>
  <c r="H602" i="260"/>
  <c r="O176" i="260" a="1"/>
  <c r="O176" i="260"/>
  <c r="H676" i="260" a="1"/>
  <c r="H676" i="260"/>
  <c r="O168" i="260" a="1"/>
  <c r="O168" i="260"/>
  <c r="M602" i="260"/>
  <c r="O169" i="260" a="1"/>
  <c r="O169" i="260"/>
  <c r="N602" i="260"/>
  <c r="O179" i="260" a="1"/>
  <c r="O179" i="260"/>
  <c r="K676" i="260" a="1"/>
  <c r="K676" i="260"/>
  <c r="O183" i="260" a="1"/>
  <c r="O183" i="260"/>
  <c r="O676" i="260" a="1"/>
  <c r="O676" i="260"/>
  <c r="O167" i="260" a="1"/>
  <c r="O167" i="260"/>
  <c r="L602" i="260"/>
  <c r="O180" i="260" a="1"/>
  <c r="O180" i="260"/>
  <c r="L676" i="260" a="1"/>
  <c r="L676" i="260"/>
  <c r="O178" i="260" a="1"/>
  <c r="O178" i="260"/>
  <c r="J676" i="260" a="1"/>
  <c r="J676" i="260"/>
  <c r="D512" i="260"/>
  <c r="E512" i="260"/>
  <c r="E521" i="260"/>
  <c r="AF22" i="324"/>
  <c r="AG22" i="324"/>
  <c r="M54" i="260"/>
  <c r="O175" i="260"/>
  <c r="O131" i="260"/>
  <c r="BD265" i="259"/>
  <c r="BG265" i="259"/>
  <c r="U53" i="303"/>
  <c r="U62" i="303"/>
  <c r="V53" i="303"/>
  <c r="V62" i="303"/>
  <c r="D654" i="260"/>
  <c r="D663" i="260"/>
  <c r="AH5" i="324"/>
  <c r="AI5" i="324"/>
  <c r="I1782" i="260"/>
  <c r="N39" i="252"/>
  <c r="N36" i="252"/>
  <c r="O42" i="252"/>
  <c r="N38" i="252"/>
  <c r="O41" i="252"/>
  <c r="O100" i="260"/>
  <c r="AF6" i="324"/>
  <c r="AG6" i="324"/>
  <c r="BP258" i="259"/>
  <c r="BM258" i="259"/>
  <c r="AI17" i="324"/>
  <c r="D638" i="260"/>
  <c r="D647" i="260"/>
  <c r="D656" i="260"/>
  <c r="D665" i="260"/>
  <c r="BF34" i="259"/>
  <c r="BN35" i="259"/>
  <c r="BN54" i="259" a="1"/>
  <c r="BN54" i="259"/>
  <c r="AX262" i="259"/>
  <c r="AU262" i="259"/>
  <c r="D631" i="260"/>
  <c r="D649" i="260"/>
  <c r="D640" i="260"/>
  <c r="D582" i="260"/>
  <c r="D591" i="260"/>
  <c r="BP261" i="259"/>
  <c r="BM261" i="259"/>
  <c r="AG16" i="324"/>
  <c r="AH16" i="324"/>
  <c r="AI16" i="324"/>
  <c r="J595" i="260"/>
  <c r="M595" i="260"/>
  <c r="D98" i="324"/>
  <c r="D89" i="324"/>
  <c r="K595" i="260"/>
  <c r="D97" i="324"/>
  <c r="D93" i="324"/>
  <c r="D101" i="324"/>
  <c r="D109" i="324"/>
  <c r="E96" i="324"/>
  <c r="BD263" i="259"/>
  <c r="BG263" i="259"/>
  <c r="D90" i="324"/>
  <c r="D91" i="324"/>
  <c r="F44" i="189"/>
  <c r="H102" i="189"/>
  <c r="I102" i="189"/>
  <c r="N595" i="260"/>
  <c r="D94" i="324"/>
  <c r="L1760" i="260"/>
  <c r="L595" i="260"/>
  <c r="AI20" i="324"/>
  <c r="I18" i="325"/>
  <c r="H18" i="325"/>
  <c r="D92" i="324"/>
  <c r="I595" i="260"/>
  <c r="H162" i="260"/>
  <c r="O595" i="260"/>
  <c r="H595" i="260"/>
  <c r="F55" i="260"/>
  <c r="F56" i="260"/>
  <c r="F57" i="260"/>
  <c r="F59" i="260"/>
  <c r="F60" i="260"/>
  <c r="F61" i="260"/>
  <c r="D102" i="324"/>
  <c r="D96" i="324"/>
  <c r="D95" i="324"/>
  <c r="BP262" i="259"/>
  <c r="BM262" i="259"/>
  <c r="I77" i="189"/>
  <c r="K77" i="189"/>
  <c r="H79" i="189"/>
  <c r="I64" i="189"/>
  <c r="I69" i="189"/>
  <c r="K162" i="260"/>
  <c r="K175" i="260"/>
  <c r="K131" i="260"/>
  <c r="K100" i="260"/>
  <c r="AH10" i="324"/>
  <c r="AI10" i="324"/>
  <c r="I54" i="260"/>
  <c r="A964" i="260"/>
  <c r="A1142" i="260"/>
  <c r="M1760" i="260"/>
  <c r="A1158" i="260"/>
  <c r="A1068" i="260"/>
  <c r="D569" i="260"/>
  <c r="D587" i="260"/>
  <c r="D578" i="260"/>
  <c r="D560" i="260"/>
  <c r="A1330" i="260"/>
  <c r="A1463" i="260"/>
  <c r="AG14" i="324"/>
  <c r="AH14" i="324"/>
  <c r="A799" i="260"/>
  <c r="E798" i="260"/>
  <c r="BE264" i="259"/>
  <c r="BC264" i="259"/>
  <c r="F12" i="203"/>
  <c r="F19" i="203"/>
  <c r="F119" i="203"/>
  <c r="J192" i="260"/>
  <c r="F513" i="260"/>
  <c r="K69" i="189"/>
  <c r="M69" i="189"/>
  <c r="K83" i="189"/>
  <c r="M83" i="189"/>
  <c r="AG83" i="189"/>
  <c r="AQ83" i="189"/>
  <c r="K89" i="189"/>
  <c r="M89" i="189"/>
  <c r="N89" i="189"/>
  <c r="K71" i="189"/>
  <c r="M71" i="189"/>
  <c r="K81" i="189"/>
  <c r="M81" i="189"/>
  <c r="N81" i="189"/>
  <c r="K73" i="189"/>
  <c r="M73" i="189"/>
  <c r="AG73" i="189"/>
  <c r="AQ73" i="189"/>
  <c r="K93" i="189"/>
  <c r="M93" i="189"/>
  <c r="AG93" i="189"/>
  <c r="AQ93" i="189"/>
  <c r="K70" i="189"/>
  <c r="M70" i="189"/>
  <c r="K90" i="189"/>
  <c r="M90" i="189"/>
  <c r="N90" i="189"/>
  <c r="K78" i="189"/>
  <c r="M78" i="189"/>
  <c r="K92" i="189"/>
  <c r="M92" i="189"/>
  <c r="W92" i="189"/>
  <c r="K91" i="189"/>
  <c r="M91" i="189"/>
  <c r="N91" i="189"/>
  <c r="K72" i="189"/>
  <c r="M72" i="189"/>
  <c r="K74" i="189"/>
  <c r="M74" i="189"/>
  <c r="K82" i="189"/>
  <c r="M82" i="189"/>
  <c r="K84" i="189"/>
  <c r="M84" i="189"/>
  <c r="N84" i="189"/>
  <c r="K66" i="189"/>
  <c r="M66" i="189"/>
  <c r="K88" i="189"/>
  <c r="M88" i="189"/>
  <c r="AG88" i="189"/>
  <c r="AQ88" i="189"/>
  <c r="H55" i="260"/>
  <c r="H56" i="260"/>
  <c r="E789" i="260"/>
  <c r="E829" i="260"/>
  <c r="E809" i="260"/>
  <c r="E819" i="260"/>
  <c r="E769" i="260"/>
  <c r="E839" i="260"/>
  <c r="G192" i="260"/>
  <c r="K192" i="260"/>
  <c r="I192" i="260"/>
  <c r="F512" i="260"/>
  <c r="H192" i="260"/>
  <c r="F511" i="260"/>
  <c r="M192" i="260"/>
  <c r="J110" i="260" a="1"/>
  <c r="J110" i="260"/>
  <c r="N192" i="260"/>
  <c r="L192" i="260"/>
  <c r="F515" i="260"/>
  <c r="A830" i="260"/>
  <c r="A780" i="260"/>
  <c r="A770" i="260"/>
  <c r="A820" i="260"/>
  <c r="E779" i="260"/>
  <c r="A790" i="260"/>
  <c r="A840" i="260"/>
  <c r="A810" i="260"/>
  <c r="O108" i="260" a="1"/>
  <c r="O108" i="260"/>
  <c r="M205" i="260"/>
  <c r="I602" i="260"/>
  <c r="AX265" i="259"/>
  <c r="AU263" i="259"/>
  <c r="AV263" i="259"/>
  <c r="BK37" i="259"/>
  <c r="BP37" i="259"/>
  <c r="BG37" i="259"/>
  <c r="H59" i="189"/>
  <c r="N147" i="260" a="1"/>
  <c r="N147" i="260"/>
  <c r="N106" i="260" a="1"/>
  <c r="N106" i="260"/>
  <c r="I136" i="260" a="1"/>
  <c r="I136" i="260"/>
  <c r="I148" i="260" a="1"/>
  <c r="I148" i="260"/>
  <c r="K105" i="260" a="1"/>
  <c r="K105" i="260"/>
  <c r="N107" i="260" a="1"/>
  <c r="N107" i="260"/>
  <c r="K139" i="260" a="1"/>
  <c r="K139" i="260"/>
  <c r="J116" i="260" a="1"/>
  <c r="J116" i="260"/>
  <c r="J138" i="260" a="1"/>
  <c r="J138" i="260"/>
  <c r="L145" i="260" a="1"/>
  <c r="L145" i="260"/>
  <c r="J150" i="260" a="1"/>
  <c r="J150" i="260"/>
  <c r="I144" i="260" a="1"/>
  <c r="I144" i="260"/>
  <c r="L155" i="260" a="1"/>
  <c r="L155" i="260"/>
  <c r="N118" i="260" a="1"/>
  <c r="N118" i="260"/>
  <c r="I108" i="260" a="1"/>
  <c r="I108" i="260"/>
  <c r="K145" i="260" a="1"/>
  <c r="K145" i="260"/>
  <c r="N137" i="260" a="1"/>
  <c r="N137" i="260"/>
  <c r="I120" i="260" a="1"/>
  <c r="I120" i="260"/>
  <c r="M155" i="260" a="1"/>
  <c r="M155" i="260"/>
  <c r="BN37" i="259"/>
  <c r="BN49" i="259" a="1"/>
  <c r="BN49" i="259"/>
  <c r="BL264" i="259"/>
  <c r="BG262" i="259"/>
  <c r="BN55" i="259" a="1"/>
  <c r="BN55" i="259"/>
  <c r="I102" i="260" a="1"/>
  <c r="I102" i="260"/>
  <c r="N146" i="260" a="1"/>
  <c r="N146" i="260"/>
  <c r="K119" i="260" a="1"/>
  <c r="K119" i="260"/>
  <c r="K149" i="260" a="1"/>
  <c r="K149" i="260"/>
  <c r="N139" i="260" a="1"/>
  <c r="N139" i="260"/>
  <c r="N103" i="260" a="1"/>
  <c r="N103" i="260"/>
  <c r="O138" i="260" a="1"/>
  <c r="O138" i="260"/>
  <c r="O155" i="260" a="1"/>
  <c r="O155" i="260"/>
  <c r="O151" i="260" a="1"/>
  <c r="O151" i="260"/>
  <c r="L140" i="260" a="1"/>
  <c r="L140" i="260"/>
  <c r="J124" i="260" a="1"/>
  <c r="J124" i="260"/>
  <c r="J120" i="260" a="1"/>
  <c r="J120" i="260"/>
  <c r="J135" i="260" a="1"/>
  <c r="J135" i="260"/>
  <c r="I114" i="260" a="1"/>
  <c r="I114" i="260"/>
  <c r="K134" i="260" a="1"/>
  <c r="K134" i="260"/>
  <c r="N124" i="260" a="1"/>
  <c r="N124" i="260"/>
  <c r="I110" i="260" a="1"/>
  <c r="I110" i="260"/>
  <c r="N155" i="260" a="1"/>
  <c r="N155" i="260"/>
  <c r="N154" i="260" a="1"/>
  <c r="N154" i="260"/>
  <c r="N151" i="260" a="1"/>
  <c r="N151" i="260"/>
  <c r="N148" i="260" a="1"/>
  <c r="N148" i="260"/>
  <c r="I113" i="260" a="1"/>
  <c r="I113" i="260"/>
  <c r="K140" i="260" a="1"/>
  <c r="K140" i="260"/>
  <c r="K133" i="260" a="1"/>
  <c r="K133" i="260"/>
  <c r="M150" i="260" a="1"/>
  <c r="M150" i="260"/>
  <c r="O123" i="260" a="1"/>
  <c r="O123" i="260"/>
  <c r="O149" i="260" a="1"/>
  <c r="O149" i="260"/>
  <c r="O145" i="260" a="1"/>
  <c r="O145" i="260"/>
  <c r="J106" i="260" a="1"/>
  <c r="J106" i="260"/>
  <c r="L110" i="260" a="1"/>
  <c r="L110" i="260"/>
  <c r="J115" i="260" a="1"/>
  <c r="J115" i="260"/>
  <c r="N113" i="260" a="1"/>
  <c r="N113" i="260"/>
  <c r="K108" i="260" a="1"/>
  <c r="K108" i="260"/>
  <c r="K118" i="260" a="1"/>
  <c r="K118" i="260"/>
  <c r="J155" i="260" a="1"/>
  <c r="J155" i="260"/>
  <c r="J103" i="260" a="1"/>
  <c r="J103" i="260"/>
  <c r="N104" i="260" a="1"/>
  <c r="N104" i="260"/>
  <c r="L139" i="260" a="1"/>
  <c r="L139" i="260"/>
  <c r="I151" i="260" a="1"/>
  <c r="I151" i="260"/>
  <c r="I147" i="260" a="1"/>
  <c r="I147" i="260"/>
  <c r="I138" i="260" a="1"/>
  <c r="I138" i="260"/>
  <c r="L125" i="260" a="1"/>
  <c r="L125" i="260"/>
  <c r="L148" i="260" a="1"/>
  <c r="L148" i="260"/>
  <c r="N109" i="260" a="1"/>
  <c r="N109" i="260"/>
  <c r="O104" i="260" a="1"/>
  <c r="O104" i="260"/>
  <c r="O144" i="260" a="1"/>
  <c r="O144" i="260"/>
  <c r="N134" i="260" a="1"/>
  <c r="N134" i="260"/>
  <c r="O103" i="260" a="1"/>
  <c r="O103" i="260"/>
  <c r="J145" i="260" a="1"/>
  <c r="J145" i="260"/>
  <c r="J148" i="260" a="1"/>
  <c r="J148" i="260"/>
  <c r="N120" i="260" a="1"/>
  <c r="N120" i="260"/>
  <c r="I135" i="260" a="1"/>
  <c r="I135" i="260"/>
  <c r="I115" i="260" a="1"/>
  <c r="I115" i="260"/>
  <c r="L123" i="260" a="1"/>
  <c r="L123" i="260"/>
  <c r="L116" i="260" a="1"/>
  <c r="L116" i="260"/>
  <c r="K125" i="260" a="1"/>
  <c r="K125" i="260"/>
  <c r="N156" i="260" a="1"/>
  <c r="N156" i="260"/>
  <c r="K147" i="260" a="1"/>
  <c r="K147" i="260"/>
  <c r="M145" i="260" a="1"/>
  <c r="M145" i="260"/>
  <c r="L59" i="260"/>
  <c r="L60" i="260"/>
  <c r="L61" i="260"/>
  <c r="I141" i="260" a="1"/>
  <c r="I141" i="260"/>
  <c r="I106" i="260" a="1"/>
  <c r="I106" i="260"/>
  <c r="I104" i="260" a="1"/>
  <c r="I104" i="260"/>
  <c r="I156" i="260" a="1"/>
  <c r="I156" i="260"/>
  <c r="L135" i="260" a="1"/>
  <c r="L135" i="260"/>
  <c r="L120" i="260" a="1"/>
  <c r="L120" i="260"/>
  <c r="J109" i="260" a="1"/>
  <c r="J109" i="260"/>
  <c r="K156" i="260" a="1"/>
  <c r="K156" i="260"/>
  <c r="O137" i="260" a="1"/>
  <c r="O137" i="260"/>
  <c r="K115" i="260" a="1"/>
  <c r="K115" i="260"/>
  <c r="O109" i="260" a="1"/>
  <c r="O109" i="260"/>
  <c r="O146" i="260" a="1"/>
  <c r="O146" i="260"/>
  <c r="O119" i="260" a="1"/>
  <c r="O119" i="260"/>
  <c r="K144" i="260" a="1"/>
  <c r="K144" i="260"/>
  <c r="I134" i="260" a="1"/>
  <c r="I134" i="260"/>
  <c r="J119" i="260" a="1"/>
  <c r="J119" i="260"/>
  <c r="M138" i="260" a="1"/>
  <c r="M138" i="260"/>
  <c r="M148" i="260" a="1"/>
  <c r="M148" i="260"/>
  <c r="J105" i="260" a="1"/>
  <c r="J105" i="260"/>
  <c r="F65" i="324"/>
  <c r="F77" i="324"/>
  <c r="F105" i="324"/>
  <c r="O148" i="260" a="1"/>
  <c r="O148" i="260"/>
  <c r="O117" i="260" a="1"/>
  <c r="O117" i="260"/>
  <c r="O139" i="260" a="1"/>
  <c r="O139" i="260"/>
  <c r="O124" i="260" a="1"/>
  <c r="O124" i="260"/>
  <c r="O118" i="260" a="1"/>
  <c r="O118" i="260"/>
  <c r="J154" i="260" a="1"/>
  <c r="J154" i="260"/>
  <c r="J149" i="260" a="1"/>
  <c r="J149" i="260"/>
  <c r="J118" i="260" a="1"/>
  <c r="J118" i="260"/>
  <c r="J151" i="260" a="1"/>
  <c r="J151" i="260"/>
  <c r="J140" i="260" a="1"/>
  <c r="J140" i="260"/>
  <c r="J114" i="260" a="1"/>
  <c r="J114" i="260"/>
  <c r="L118" i="260" a="1"/>
  <c r="L118" i="260"/>
  <c r="N116" i="260" a="1"/>
  <c r="N116" i="260"/>
  <c r="L103" i="260" a="1"/>
  <c r="L103" i="260"/>
  <c r="L154" i="260" a="1"/>
  <c r="L154" i="260"/>
  <c r="L156" i="260" a="1"/>
  <c r="L156" i="260"/>
  <c r="K137" i="260" a="1"/>
  <c r="K137" i="260"/>
  <c r="K117" i="260" a="1"/>
  <c r="K117" i="260"/>
  <c r="K123" i="260" a="1"/>
  <c r="K123" i="260"/>
  <c r="K150" i="260" a="1"/>
  <c r="K150" i="260"/>
  <c r="K135" i="260" a="1"/>
  <c r="K135" i="260"/>
  <c r="L134" i="260" a="1"/>
  <c r="L134" i="260"/>
  <c r="L114" i="260" a="1"/>
  <c r="L114" i="260"/>
  <c r="I149" i="260" a="1"/>
  <c r="I149" i="260"/>
  <c r="L119" i="260" a="1"/>
  <c r="L119" i="260"/>
  <c r="N105" i="260" a="1"/>
  <c r="N105" i="260"/>
  <c r="N123" i="260" a="1"/>
  <c r="N123" i="260"/>
  <c r="N117" i="260" a="1"/>
  <c r="N117" i="260"/>
  <c r="N119" i="260" a="1"/>
  <c r="N119" i="260"/>
  <c r="N149" i="260" a="1"/>
  <c r="N149" i="260"/>
  <c r="L141" i="260" a="1"/>
  <c r="L141" i="260"/>
  <c r="L102" i="260" a="1"/>
  <c r="L102" i="260"/>
  <c r="L146" i="260" a="1"/>
  <c r="L146" i="260"/>
  <c r="L108" i="260" a="1"/>
  <c r="L108" i="260"/>
  <c r="L138" i="260" a="1"/>
  <c r="L138" i="260"/>
  <c r="I133" i="260" a="1"/>
  <c r="I133" i="260"/>
  <c r="I140" i="260" a="1"/>
  <c r="I140" i="260"/>
  <c r="I117" i="260" a="1"/>
  <c r="I117" i="260"/>
  <c r="I123" i="260" a="1"/>
  <c r="I123" i="260"/>
  <c r="I137" i="260" a="1"/>
  <c r="I137" i="260"/>
  <c r="I124" i="260" a="1"/>
  <c r="I124" i="260"/>
  <c r="N135" i="260" a="1"/>
  <c r="N135" i="260"/>
  <c r="L151" i="260" a="1"/>
  <c r="L151" i="260"/>
  <c r="L115" i="260" a="1"/>
  <c r="L115" i="260"/>
  <c r="L106" i="260" a="1"/>
  <c r="L106" i="260"/>
  <c r="L105" i="260" a="1"/>
  <c r="L105" i="260"/>
  <c r="K154" i="260" a="1"/>
  <c r="K154" i="260"/>
  <c r="K107" i="260" a="1"/>
  <c r="K107" i="260"/>
  <c r="K110" i="260" a="1"/>
  <c r="K110" i="260"/>
  <c r="J123" i="260" a="1"/>
  <c r="J123" i="260"/>
  <c r="M119" i="260" a="1"/>
  <c r="M119" i="260"/>
  <c r="K148" i="260" a="1"/>
  <c r="K148" i="260"/>
  <c r="N110" i="260" a="1"/>
  <c r="N110" i="260"/>
  <c r="N141" i="260" a="1"/>
  <c r="N141" i="260"/>
  <c r="O133" i="260" a="1"/>
  <c r="O133" i="260"/>
  <c r="O156" i="260" a="1"/>
  <c r="O156" i="260"/>
  <c r="O140" i="260" a="1"/>
  <c r="O140" i="260"/>
  <c r="O116" i="260" a="1"/>
  <c r="O116" i="260"/>
  <c r="O120" i="260" a="1"/>
  <c r="O120" i="260"/>
  <c r="K151" i="260" a="1"/>
  <c r="K151" i="260"/>
  <c r="K103" i="260" a="1"/>
  <c r="K103" i="260"/>
  <c r="M110" i="260" a="1"/>
  <c r="M110" i="260"/>
  <c r="M113" i="260" a="1"/>
  <c r="M113" i="260"/>
  <c r="K102" i="260" a="1"/>
  <c r="K102" i="260"/>
  <c r="I105" i="260" a="1"/>
  <c r="I105" i="260"/>
  <c r="I145" i="260" a="1"/>
  <c r="I145" i="260"/>
  <c r="I109" i="260" a="1"/>
  <c r="I109" i="260"/>
  <c r="I154" i="260" a="1"/>
  <c r="I154" i="260"/>
  <c r="I107" i="260" a="1"/>
  <c r="I107" i="260"/>
  <c r="N125" i="260" a="1"/>
  <c r="N125" i="260"/>
  <c r="O102" i="260" a="1"/>
  <c r="O102" i="260"/>
  <c r="K124" i="260" a="1"/>
  <c r="K124" i="260"/>
  <c r="M156" i="260" a="1"/>
  <c r="M156" i="260"/>
  <c r="I155" i="260" a="1"/>
  <c r="I155" i="260"/>
  <c r="O135" i="260" a="1"/>
  <c r="O135" i="260"/>
  <c r="O110" i="260" a="1"/>
  <c r="O110" i="260"/>
  <c r="O154" i="260" a="1"/>
  <c r="O154" i="260"/>
  <c r="L147" i="260" a="1"/>
  <c r="L147" i="260"/>
  <c r="J137" i="260" a="1"/>
  <c r="J137" i="260"/>
  <c r="J104" i="260" a="1"/>
  <c r="J104" i="260"/>
  <c r="J139" i="260" a="1"/>
  <c r="J139" i="260"/>
  <c r="J108" i="260" a="1"/>
  <c r="J108" i="260"/>
  <c r="N136" i="260" a="1"/>
  <c r="N136" i="260"/>
  <c r="I146" i="260" a="1"/>
  <c r="I146" i="260"/>
  <c r="N145" i="260" a="1"/>
  <c r="N145" i="260"/>
  <c r="L136" i="260" a="1"/>
  <c r="L136" i="260"/>
  <c r="K138" i="260" a="1"/>
  <c r="K138" i="260"/>
  <c r="K106" i="260" a="1"/>
  <c r="K106" i="260"/>
  <c r="K114" i="260" a="1"/>
  <c r="K114" i="260"/>
  <c r="K116" i="260" a="1"/>
  <c r="K116" i="260"/>
  <c r="N140" i="260" a="1"/>
  <c r="N140" i="260"/>
  <c r="L117" i="260" a="1"/>
  <c r="L117" i="260"/>
  <c r="L113" i="260" a="1"/>
  <c r="L113" i="260"/>
  <c r="I119" i="260" a="1"/>
  <c r="I119" i="260"/>
  <c r="N108" i="260" a="1"/>
  <c r="N108" i="260"/>
  <c r="N150" i="260" a="1"/>
  <c r="N150" i="260"/>
  <c r="N114" i="260" a="1"/>
  <c r="N114" i="260"/>
  <c r="L124" i="260" a="1"/>
  <c r="L124" i="260"/>
  <c r="L150" i="260" a="1"/>
  <c r="L150" i="260"/>
  <c r="I116" i="260" a="1"/>
  <c r="I116" i="260"/>
  <c r="I118" i="260" a="1"/>
  <c r="I118" i="260"/>
  <c r="I125" i="260" a="1"/>
  <c r="I125" i="260"/>
  <c r="I103" i="260" a="1"/>
  <c r="I103" i="260"/>
  <c r="L104" i="260" a="1"/>
  <c r="L104" i="260"/>
  <c r="L109" i="260" a="1"/>
  <c r="L109" i="260"/>
  <c r="N133" i="260" a="1"/>
  <c r="N133" i="260"/>
  <c r="N102" i="260" a="1"/>
  <c r="N102" i="260"/>
  <c r="I139" i="260" a="1"/>
  <c r="I139" i="260"/>
  <c r="L107" i="260" a="1"/>
  <c r="L107" i="260"/>
  <c r="L137" i="260" a="1"/>
  <c r="L137" i="260"/>
  <c r="L149" i="260" a="1"/>
  <c r="L149" i="260"/>
  <c r="K155" i="260" a="1"/>
  <c r="K155" i="260"/>
  <c r="K146" i="260" a="1"/>
  <c r="K146" i="260"/>
  <c r="K141" i="260" a="1"/>
  <c r="K141" i="260"/>
  <c r="O150" i="260" a="1"/>
  <c r="O150" i="260"/>
  <c r="K109" i="260" a="1"/>
  <c r="K109" i="260"/>
  <c r="K120" i="260" a="1"/>
  <c r="K120" i="260"/>
  <c r="M106" i="260" a="1"/>
  <c r="M106" i="260"/>
  <c r="J146" i="260" a="1"/>
  <c r="J146" i="260"/>
  <c r="K136" i="260" a="1"/>
  <c r="K136" i="260"/>
  <c r="O106" i="260" a="1"/>
  <c r="O106" i="260"/>
  <c r="N138" i="260" a="1"/>
  <c r="N138" i="260"/>
  <c r="N144" i="260" a="1"/>
  <c r="N144" i="260"/>
  <c r="N115" i="260" a="1"/>
  <c r="N115" i="260"/>
  <c r="O125" i="260" a="1"/>
  <c r="O125" i="260"/>
  <c r="O113" i="260" a="1"/>
  <c r="O113" i="260"/>
  <c r="O114" i="260" a="1"/>
  <c r="O114" i="260"/>
  <c r="O134" i="260" a="1"/>
  <c r="O134" i="260"/>
  <c r="M140" i="260" a="1"/>
  <c r="M140" i="260"/>
  <c r="J117" i="260" a="1"/>
  <c r="J117" i="260"/>
  <c r="M105" i="260" a="1"/>
  <c r="M105" i="260"/>
  <c r="M147" i="260" a="1"/>
  <c r="M147" i="260"/>
  <c r="D563" i="260"/>
  <c r="D590" i="260"/>
  <c r="D581" i="260"/>
  <c r="D572" i="260"/>
  <c r="AU261" i="259"/>
  <c r="AX261" i="259"/>
  <c r="D637" i="260"/>
  <c r="D655" i="260"/>
  <c r="D646" i="260"/>
  <c r="D664" i="260"/>
  <c r="C43" i="189"/>
  <c r="C32" i="189"/>
  <c r="D573" i="260"/>
  <c r="D564" i="260"/>
  <c r="I44" i="189"/>
  <c r="H105" i="189"/>
  <c r="I105" i="189"/>
  <c r="D659" i="260"/>
  <c r="D641" i="260"/>
  <c r="AH8" i="324"/>
  <c r="AI8" i="324"/>
  <c r="N131" i="260"/>
  <c r="BL37" i="259"/>
  <c r="BM37" i="259"/>
  <c r="K55" i="260"/>
  <c r="K56" i="260"/>
  <c r="K57" i="260"/>
  <c r="BJ37" i="259"/>
  <c r="BH37" i="259"/>
  <c r="BO37" i="259"/>
  <c r="M59" i="260"/>
  <c r="M60" i="260"/>
  <c r="M61" i="260"/>
  <c r="J156" i="260" a="1"/>
  <c r="J156" i="260"/>
  <c r="I67" i="189"/>
  <c r="AU259" i="259"/>
  <c r="AT259" i="259"/>
  <c r="O597" i="260"/>
  <c r="G122" i="252"/>
  <c r="G18" i="203"/>
  <c r="G120" i="203"/>
  <c r="G177" i="252"/>
  <c r="H8" i="203"/>
  <c r="J9" i="203"/>
  <c r="G13" i="203"/>
  <c r="G117" i="203"/>
  <c r="E139" i="203"/>
  <c r="G9" i="203"/>
  <c r="G114" i="203"/>
  <c r="E138" i="203"/>
  <c r="M134" i="260" a="1"/>
  <c r="M134" i="260"/>
  <c r="H123" i="260" a="1"/>
  <c r="H123" i="260"/>
  <c r="H146" i="260" a="1"/>
  <c r="H146" i="260"/>
  <c r="H141" i="260" a="1"/>
  <c r="H141" i="260"/>
  <c r="H118" i="260" a="1"/>
  <c r="H118" i="260"/>
  <c r="H107" i="260" a="1"/>
  <c r="H107" i="260"/>
  <c r="H115" i="260" a="1"/>
  <c r="H115" i="260"/>
  <c r="F13" i="203"/>
  <c r="F117" i="203"/>
  <c r="G12" i="203"/>
  <c r="G10" i="203"/>
  <c r="O147" i="260" a="1"/>
  <c r="O147" i="260"/>
  <c r="G14" i="203"/>
  <c r="G121" i="203"/>
  <c r="H138" i="260" a="1"/>
  <c r="H138" i="260"/>
  <c r="H133" i="260" a="1"/>
  <c r="H133" i="260"/>
  <c r="H149" i="260" a="1"/>
  <c r="H149" i="260"/>
  <c r="H104" i="260" a="1"/>
  <c r="H104" i="260"/>
  <c r="H148" i="260" a="1"/>
  <c r="H148" i="260"/>
  <c r="F17" i="203"/>
  <c r="F133" i="203"/>
  <c r="I10" i="203"/>
  <c r="F138" i="203"/>
  <c r="G139" i="203"/>
  <c r="H19" i="203"/>
  <c r="H119" i="203"/>
  <c r="H114" i="260" a="1"/>
  <c r="H114" i="260"/>
  <c r="H116" i="260" a="1"/>
  <c r="H116" i="260"/>
  <c r="H150" i="260" a="1"/>
  <c r="H150" i="260"/>
  <c r="H151" i="260" a="1"/>
  <c r="H151" i="260"/>
  <c r="H102" i="260" a="1"/>
  <c r="H102" i="260"/>
  <c r="H134" i="260" a="1"/>
  <c r="H134" i="260"/>
  <c r="G17" i="203"/>
  <c r="G133" i="203"/>
  <c r="H10" i="203"/>
  <c r="H9" i="203"/>
  <c r="H114" i="203"/>
  <c r="G19" i="203"/>
  <c r="G119" i="203"/>
  <c r="H12" i="203"/>
  <c r="H14" i="203"/>
  <c r="H121" i="203"/>
  <c r="H124" i="260" a="1"/>
  <c r="H124" i="260"/>
  <c r="H144" i="260" a="1"/>
  <c r="H144" i="260"/>
  <c r="H103" i="260" a="1"/>
  <c r="H103" i="260"/>
  <c r="H147" i="260" a="1"/>
  <c r="H147" i="260"/>
  <c r="H106" i="260" a="1"/>
  <c r="H106" i="260"/>
  <c r="M136" i="260" a="1"/>
  <c r="M136" i="260"/>
  <c r="F9" i="203"/>
  <c r="F114" i="203"/>
  <c r="F10" i="203"/>
  <c r="F139" i="203"/>
  <c r="H13" i="203"/>
  <c r="H117" i="203"/>
  <c r="H117" i="260" a="1"/>
  <c r="H117" i="260"/>
  <c r="H110" i="260" a="1"/>
  <c r="H110" i="260"/>
  <c r="H139" i="260" a="1"/>
  <c r="H139" i="260"/>
  <c r="H156" i="260" a="1"/>
  <c r="H156" i="260"/>
  <c r="J102" i="260" a="1"/>
  <c r="J102" i="260"/>
  <c r="G138" i="203"/>
  <c r="F14" i="203"/>
  <c r="F121" i="203"/>
  <c r="M114" i="260" a="1"/>
  <c r="M114" i="260"/>
  <c r="H136" i="260" a="1"/>
  <c r="H136" i="260"/>
  <c r="H137" i="260" a="1"/>
  <c r="H137" i="260"/>
  <c r="H109" i="260" a="1"/>
  <c r="H109" i="260"/>
  <c r="H120" i="260" a="1"/>
  <c r="H120" i="260"/>
  <c r="H154" i="260" a="1"/>
  <c r="H154" i="260"/>
  <c r="F8" i="203"/>
  <c r="G8" i="203"/>
  <c r="I9" i="203"/>
  <c r="H18" i="203"/>
  <c r="H120" i="203"/>
  <c r="O105" i="260" a="1"/>
  <c r="O105" i="260"/>
  <c r="H135" i="260" a="1"/>
  <c r="H135" i="260"/>
  <c r="H108" i="260" a="1"/>
  <c r="H108" i="260"/>
  <c r="H155" i="260" a="1"/>
  <c r="H155" i="260"/>
  <c r="H145" i="260" a="1"/>
  <c r="H145" i="260"/>
  <c r="H105" i="260" a="1"/>
  <c r="H105" i="260"/>
  <c r="L133" i="260" a="1"/>
  <c r="L133" i="260"/>
  <c r="H17" i="203"/>
  <c r="H133" i="203"/>
  <c r="F18" i="203"/>
  <c r="F120" i="203"/>
  <c r="J10" i="203"/>
  <c r="H140" i="260" a="1"/>
  <c r="H140" i="260"/>
  <c r="H119" i="260" a="1"/>
  <c r="H119" i="260"/>
  <c r="H125" i="260" a="1"/>
  <c r="H125" i="260"/>
  <c r="H113" i="260" a="1"/>
  <c r="H113" i="260"/>
  <c r="L144" i="260" a="1"/>
  <c r="L144" i="260"/>
  <c r="BL259" i="259"/>
  <c r="F7" i="24"/>
  <c r="H75" i="189"/>
  <c r="F67" i="324"/>
  <c r="F79" i="324"/>
  <c r="F107" i="324"/>
  <c r="F68" i="324"/>
  <c r="F80" i="324"/>
  <c r="F92" i="324"/>
  <c r="J107" i="260" a="1"/>
  <c r="J107" i="260"/>
  <c r="J558" i="260"/>
  <c r="AG96" i="189"/>
  <c r="AQ96" i="189"/>
  <c r="BE259" i="259"/>
  <c r="BC259" i="259"/>
  <c r="J55" i="260"/>
  <c r="J56" i="260"/>
  <c r="J57" i="260"/>
  <c r="E53" i="303"/>
  <c r="O600" i="260"/>
  <c r="K59" i="260"/>
  <c r="K60" i="260"/>
  <c r="K61" i="260"/>
  <c r="AH18" i="324"/>
  <c r="AI18" i="324"/>
  <c r="I59" i="260"/>
  <c r="I60" i="260"/>
  <c r="I61" i="260"/>
  <c r="BM35" i="259"/>
  <c r="BM66" i="259" a="1"/>
  <c r="BM66" i="259"/>
  <c r="F71" i="324"/>
  <c r="F83" i="324"/>
  <c r="F95" i="324"/>
  <c r="F69" i="324"/>
  <c r="F81" i="324"/>
  <c r="F93" i="324"/>
  <c r="F73" i="324"/>
  <c r="F85" i="324"/>
  <c r="F97" i="324"/>
  <c r="I596" i="260"/>
  <c r="BN44" i="259" a="1"/>
  <c r="BN44" i="259"/>
  <c r="BN56" i="259" a="1"/>
  <c r="BN56" i="259"/>
  <c r="F72" i="324"/>
  <c r="F84" i="324"/>
  <c r="F96" i="324"/>
  <c r="BN61" i="259" a="1"/>
  <c r="BN61" i="259"/>
  <c r="BN75" i="259" a="1"/>
  <c r="BN75" i="259"/>
  <c r="F66" i="324"/>
  <c r="F78" i="324"/>
  <c r="F90" i="324"/>
  <c r="BP35" i="259"/>
  <c r="BN81" i="259"/>
  <c r="BN76" i="259" a="1"/>
  <c r="BN76" i="259"/>
  <c r="BN53" i="259" a="1"/>
  <c r="BN53" i="259"/>
  <c r="F74" i="324"/>
  <c r="F86" i="324"/>
  <c r="F98" i="324"/>
  <c r="BO35" i="259"/>
  <c r="BO64" i="259" a="1"/>
  <c r="BO64" i="259"/>
  <c r="BN43" i="259" a="1"/>
  <c r="BN43" i="259"/>
  <c r="BN62" i="259" a="1"/>
  <c r="BN62" i="259"/>
  <c r="BN71" i="259" a="1"/>
  <c r="BN71" i="259"/>
  <c r="BN83" i="259"/>
  <c r="BN58" i="259" a="1"/>
  <c r="BN58" i="259"/>
  <c r="G75" i="324"/>
  <c r="G68" i="324"/>
  <c r="G80" i="324"/>
  <c r="BH35" i="259"/>
  <c r="BN260" i="259"/>
  <c r="BL260" i="259"/>
  <c r="I86" i="189"/>
  <c r="I53" i="189"/>
  <c r="N567" i="260"/>
  <c r="N558" i="260"/>
  <c r="J567" i="260"/>
  <c r="J549" i="260"/>
  <c r="J576" i="260"/>
  <c r="G59" i="260"/>
  <c r="G60" i="260"/>
  <c r="G61" i="260"/>
  <c r="E109" i="324"/>
  <c r="E105" i="324"/>
  <c r="I55" i="260"/>
  <c r="I56" i="260"/>
  <c r="I57" i="260"/>
  <c r="E107" i="324"/>
  <c r="E108" i="324"/>
  <c r="BL263" i="259"/>
  <c r="BN263" i="259"/>
  <c r="E106" i="324"/>
  <c r="BE261" i="259"/>
  <c r="BC261" i="259"/>
  <c r="D106" i="324"/>
  <c r="BG260" i="259"/>
  <c r="BD260" i="259"/>
  <c r="AU258" i="259"/>
  <c r="AX258" i="259"/>
  <c r="AX260" i="259"/>
  <c r="AU260" i="259"/>
  <c r="D107" i="324"/>
  <c r="D108" i="324"/>
  <c r="BG258" i="259"/>
  <c r="BD258" i="259"/>
  <c r="AV264" i="259"/>
  <c r="AT264" i="259"/>
  <c r="M85" i="189"/>
  <c r="N85" i="189"/>
  <c r="BN73" i="259" a="1"/>
  <c r="BN73" i="259"/>
  <c r="BN52" i="259" a="1"/>
  <c r="BN52" i="259"/>
  <c r="BN57" i="259" a="1"/>
  <c r="BN57" i="259"/>
  <c r="BL265" i="259"/>
  <c r="BN265" i="259"/>
  <c r="M567" i="260"/>
  <c r="M558" i="260"/>
  <c r="M576" i="260"/>
  <c r="O599" i="260"/>
  <c r="I597" i="260"/>
  <c r="L55" i="260"/>
  <c r="L56" i="260"/>
  <c r="L57" i="260"/>
  <c r="N576" i="260"/>
  <c r="L576" i="260"/>
  <c r="E46" i="260"/>
  <c r="AH22" i="324"/>
  <c r="AI22" i="324"/>
  <c r="K573" i="260"/>
  <c r="BN69" i="259" a="1"/>
  <c r="BN69" i="259"/>
  <c r="BN47" i="259" a="1"/>
  <c r="BN47" i="259"/>
  <c r="BN46" i="259" a="1"/>
  <c r="BN46" i="259"/>
  <c r="BN82" i="259"/>
  <c r="BL261" i="259"/>
  <c r="BN261" i="259"/>
  <c r="AT262" i="259"/>
  <c r="AV262" i="259"/>
  <c r="BJ35" i="259"/>
  <c r="BL35" i="259"/>
  <c r="AH6" i="324"/>
  <c r="AI6" i="324"/>
  <c r="BN64" i="259" a="1"/>
  <c r="BN64" i="259"/>
  <c r="BN67" i="259" a="1"/>
  <c r="BN67" i="259"/>
  <c r="BN48" i="259" a="1"/>
  <c r="BN48" i="259"/>
  <c r="BN72" i="259" a="1"/>
  <c r="BN72" i="259"/>
  <c r="BN70" i="259" a="1"/>
  <c r="BN70" i="259"/>
  <c r="BK35" i="259"/>
  <c r="BN63" i="259" a="1"/>
  <c r="BN63" i="259"/>
  <c r="BN66" i="259" a="1"/>
  <c r="BN66" i="259"/>
  <c r="BN74" i="259" a="1"/>
  <c r="BN74" i="259"/>
  <c r="BN65" i="259" a="1"/>
  <c r="BN65" i="259"/>
  <c r="BN45" i="259" a="1"/>
  <c r="BN45" i="259"/>
  <c r="BG35" i="259"/>
  <c r="BN258" i="259"/>
  <c r="BL258" i="259"/>
  <c r="BN80" i="259"/>
  <c r="BN42" i="259" a="1"/>
  <c r="BN42" i="259"/>
  <c r="BN60" i="259" a="1"/>
  <c r="BN60" i="259"/>
  <c r="BN51" i="259" a="1"/>
  <c r="BN51" i="259"/>
  <c r="BI35" i="259"/>
  <c r="BC265" i="259"/>
  <c r="BE265" i="259"/>
  <c r="J577" i="260"/>
  <c r="J586" i="260"/>
  <c r="J607" i="260"/>
  <c r="J550" i="260"/>
  <c r="J559" i="260"/>
  <c r="J568" i="260"/>
  <c r="K585" i="260"/>
  <c r="K606" i="260"/>
  <c r="K549" i="260"/>
  <c r="K558" i="260"/>
  <c r="K576" i="260"/>
  <c r="K567" i="260"/>
  <c r="N582" i="260"/>
  <c r="N573" i="260"/>
  <c r="N555" i="260"/>
  <c r="N591" i="260"/>
  <c r="N612" i="260"/>
  <c r="N564" i="260"/>
  <c r="BE262" i="259"/>
  <c r="BC262" i="259"/>
  <c r="J561" i="260"/>
  <c r="J588" i="260"/>
  <c r="J609" i="260"/>
  <c r="J570" i="260"/>
  <c r="J579" i="260"/>
  <c r="J552" i="260"/>
  <c r="J555" i="260"/>
  <c r="J573" i="260"/>
  <c r="J582" i="260"/>
  <c r="J591" i="260"/>
  <c r="J612" i="260"/>
  <c r="K584" i="260"/>
  <c r="K605" i="260"/>
  <c r="K575" i="260"/>
  <c r="K566" i="260"/>
  <c r="K548" i="260"/>
  <c r="K557" i="260"/>
  <c r="M560" i="260"/>
  <c r="M551" i="260"/>
  <c r="M569" i="260"/>
  <c r="M587" i="260"/>
  <c r="M608" i="260"/>
  <c r="M578" i="260"/>
  <c r="BC263" i="259"/>
  <c r="BE263" i="259"/>
  <c r="K563" i="260"/>
  <c r="K554" i="260"/>
  <c r="K572" i="260"/>
  <c r="K581" i="260"/>
  <c r="K590" i="260"/>
  <c r="K611" i="260"/>
  <c r="E114" i="324"/>
  <c r="F110" i="324"/>
  <c r="D112" i="324"/>
  <c r="D111" i="324"/>
  <c r="D110" i="324"/>
  <c r="D114" i="324"/>
  <c r="E113" i="324"/>
  <c r="D113" i="324"/>
  <c r="L588" i="260"/>
  <c r="L609" i="260"/>
  <c r="L570" i="260"/>
  <c r="L579" i="260"/>
  <c r="L552" i="260"/>
  <c r="L561" i="260"/>
  <c r="L586" i="260"/>
  <c r="L607" i="260"/>
  <c r="L559" i="260"/>
  <c r="L577" i="260"/>
  <c r="L568" i="260"/>
  <c r="L550" i="260"/>
  <c r="E112" i="324"/>
  <c r="L564" i="260"/>
  <c r="L582" i="260"/>
  <c r="L591" i="260"/>
  <c r="L612" i="260"/>
  <c r="L555" i="260"/>
  <c r="L573" i="260"/>
  <c r="E111" i="324"/>
  <c r="L557" i="260"/>
  <c r="L548" i="260"/>
  <c r="L566" i="260"/>
  <c r="L584" i="260"/>
  <c r="L605" i="260"/>
  <c r="L575" i="260"/>
  <c r="L585" i="260"/>
  <c r="L606" i="260"/>
  <c r="L549" i="260"/>
  <c r="L567" i="260"/>
  <c r="N568" i="260"/>
  <c r="N577" i="260"/>
  <c r="N550" i="260"/>
  <c r="N586" i="260"/>
  <c r="N607" i="260"/>
  <c r="N559" i="260"/>
  <c r="J557" i="260"/>
  <c r="J575" i="260"/>
  <c r="J566" i="260"/>
  <c r="J548" i="260"/>
  <c r="J584" i="260"/>
  <c r="J605" i="260"/>
  <c r="K551" i="260"/>
  <c r="K569" i="260"/>
  <c r="K560" i="260"/>
  <c r="K578" i="260"/>
  <c r="K587" i="260"/>
  <c r="K608" i="260"/>
  <c r="J564" i="260"/>
  <c r="N551" i="260"/>
  <c r="N587" i="260"/>
  <c r="N608" i="260"/>
  <c r="N560" i="260"/>
  <c r="N578" i="260"/>
  <c r="N569" i="260"/>
  <c r="E110" i="324"/>
  <c r="BN262" i="259"/>
  <c r="BL262" i="259"/>
  <c r="AT265" i="259"/>
  <c r="AV265" i="259"/>
  <c r="M561" i="260"/>
  <c r="M579" i="260"/>
  <c r="M570" i="260"/>
  <c r="M552" i="260"/>
  <c r="M588" i="260"/>
  <c r="M609" i="260"/>
  <c r="M555" i="260"/>
  <c r="M582" i="260"/>
  <c r="M564" i="260"/>
  <c r="M591" i="260"/>
  <c r="M612" i="260"/>
  <c r="J560" i="260"/>
  <c r="J578" i="260"/>
  <c r="J569" i="260"/>
  <c r="J587" i="260"/>
  <c r="J608" i="260"/>
  <c r="J551" i="260"/>
  <c r="J580" i="260"/>
  <c r="J553" i="260"/>
  <c r="J589" i="260"/>
  <c r="J610" i="260"/>
  <c r="J562" i="260"/>
  <c r="J571" i="260"/>
  <c r="N590" i="260"/>
  <c r="N611" i="260"/>
  <c r="N581" i="260"/>
  <c r="N563" i="260"/>
  <c r="N554" i="260"/>
  <c r="N572" i="260"/>
  <c r="L554" i="260"/>
  <c r="L590" i="260"/>
  <c r="L611" i="260"/>
  <c r="L563" i="260"/>
  <c r="L572" i="260"/>
  <c r="L581" i="260"/>
  <c r="M572" i="260"/>
  <c r="M554" i="260"/>
  <c r="M590" i="260"/>
  <c r="M611" i="260"/>
  <c r="M581" i="260"/>
  <c r="M563" i="260"/>
  <c r="N552" i="260"/>
  <c r="N579" i="260"/>
  <c r="N570" i="260"/>
  <c r="N561" i="260"/>
  <c r="N588" i="260"/>
  <c r="N609" i="260"/>
  <c r="N585" i="260"/>
  <c r="N606" i="260"/>
  <c r="N549" i="260"/>
  <c r="M550" i="260"/>
  <c r="M586" i="260"/>
  <c r="M607" i="260"/>
  <c r="M559" i="260"/>
  <c r="M568" i="260"/>
  <c r="M577" i="260"/>
  <c r="K568" i="260"/>
  <c r="K577" i="260"/>
  <c r="K559" i="260"/>
  <c r="K550" i="260"/>
  <c r="K586" i="260"/>
  <c r="K607" i="260"/>
  <c r="J554" i="260"/>
  <c r="J563" i="260"/>
  <c r="J572" i="260"/>
  <c r="J590" i="260"/>
  <c r="J611" i="260"/>
  <c r="J581" i="260"/>
  <c r="N566" i="260"/>
  <c r="N584" i="260"/>
  <c r="N605" i="260"/>
  <c r="N557" i="260"/>
  <c r="N575" i="260"/>
  <c r="N548" i="260"/>
  <c r="K580" i="260"/>
  <c r="K562" i="260"/>
  <c r="K553" i="260"/>
  <c r="K589" i="260"/>
  <c r="K610" i="260"/>
  <c r="K571" i="260"/>
  <c r="M549" i="260"/>
  <c r="M585" i="260"/>
  <c r="M606" i="260"/>
  <c r="D105" i="324"/>
  <c r="M571" i="260"/>
  <c r="M553" i="260"/>
  <c r="M580" i="260"/>
  <c r="M589" i="260"/>
  <c r="M610" i="260"/>
  <c r="M562" i="260"/>
  <c r="L589" i="260"/>
  <c r="L610" i="260"/>
  <c r="L562" i="260"/>
  <c r="L580" i="260"/>
  <c r="L553" i="260"/>
  <c r="L571" i="260"/>
  <c r="N562" i="260"/>
  <c r="N589" i="260"/>
  <c r="N610" i="260"/>
  <c r="N580" i="260"/>
  <c r="N553" i="260"/>
  <c r="N571" i="260"/>
  <c r="L551" i="260"/>
  <c r="L560" i="260"/>
  <c r="L578" i="260"/>
  <c r="L587" i="260"/>
  <c r="L608" i="260"/>
  <c r="L569" i="260"/>
  <c r="K591" i="260"/>
  <c r="K612" i="260"/>
  <c r="K582" i="260"/>
  <c r="K555" i="260"/>
  <c r="K561" i="260"/>
  <c r="K579" i="260"/>
  <c r="K552" i="260"/>
  <c r="K588" i="260"/>
  <c r="K609" i="260"/>
  <c r="K570" i="260"/>
  <c r="M573" i="260"/>
  <c r="M575" i="260"/>
  <c r="M566" i="260"/>
  <c r="M584" i="260"/>
  <c r="M605" i="260"/>
  <c r="M548" i="260"/>
  <c r="M557" i="260"/>
  <c r="I75" i="189"/>
  <c r="AH96" i="189"/>
  <c r="O96" i="189"/>
  <c r="P96" i="189"/>
  <c r="Q96" i="189"/>
  <c r="R96" i="189"/>
  <c r="S96" i="189"/>
  <c r="T96" i="189"/>
  <c r="U96" i="189"/>
  <c r="V96" i="189"/>
  <c r="W96" i="189"/>
  <c r="X96" i="189"/>
  <c r="Y96" i="189"/>
  <c r="Z96" i="189"/>
  <c r="AA96" i="189"/>
  <c r="AB96" i="189"/>
  <c r="AC96" i="189"/>
  <c r="AD96" i="189"/>
  <c r="AE96" i="189"/>
  <c r="AG63" i="189"/>
  <c r="AQ63" i="189"/>
  <c r="N63" i="189"/>
  <c r="W63" i="189"/>
  <c r="M77" i="189"/>
  <c r="I79" i="189"/>
  <c r="AG62" i="189"/>
  <c r="AQ62" i="189"/>
  <c r="W62" i="189"/>
  <c r="N62" i="189"/>
  <c r="AG61" i="189"/>
  <c r="AQ61" i="189"/>
  <c r="W61" i="189"/>
  <c r="N61" i="189"/>
  <c r="AI14" i="324"/>
  <c r="A1331" i="260"/>
  <c r="A1143" i="260"/>
  <c r="A800" i="260"/>
  <c r="E799" i="260"/>
  <c r="A1464" i="260"/>
  <c r="A1069" i="260"/>
  <c r="A1159" i="260"/>
  <c r="A965" i="260"/>
  <c r="E62" i="303"/>
  <c r="AG66" i="189"/>
  <c r="AQ66" i="189"/>
  <c r="N66" i="189"/>
  <c r="AH66" i="189"/>
  <c r="AI66" i="189"/>
  <c r="AJ66" i="189"/>
  <c r="AK66" i="189"/>
  <c r="AL66" i="189"/>
  <c r="AM66" i="189"/>
  <c r="AW66" i="189"/>
  <c r="W66" i="189"/>
  <c r="AG82" i="189"/>
  <c r="AQ82" i="189"/>
  <c r="N82" i="189"/>
  <c r="AH82" i="189"/>
  <c r="AI82" i="189"/>
  <c r="AJ82" i="189"/>
  <c r="AK82" i="189"/>
  <c r="AL82" i="189"/>
  <c r="AM82" i="189"/>
  <c r="K53" i="189"/>
  <c r="M53" i="189"/>
  <c r="N53" i="189"/>
  <c r="K54" i="189"/>
  <c r="M54" i="189"/>
  <c r="K57" i="189"/>
  <c r="M57" i="189"/>
  <c r="N57" i="189"/>
  <c r="K58" i="189"/>
  <c r="M58" i="189"/>
  <c r="AG58" i="189"/>
  <c r="AQ58" i="189"/>
  <c r="K55" i="189"/>
  <c r="M55" i="189"/>
  <c r="N55" i="189"/>
  <c r="K56" i="189"/>
  <c r="M56" i="189"/>
  <c r="AG56" i="189"/>
  <c r="AQ56" i="189"/>
  <c r="E830" i="260"/>
  <c r="W91" i="189"/>
  <c r="AG90" i="189"/>
  <c r="AQ90" i="189"/>
  <c r="N93" i="189"/>
  <c r="AH93" i="189"/>
  <c r="W90" i="189"/>
  <c r="AG91" i="189"/>
  <c r="AQ91" i="189"/>
  <c r="F479" i="260"/>
  <c r="F488" i="260"/>
  <c r="AT263" i="259"/>
  <c r="A831" i="260"/>
  <c r="H57" i="260"/>
  <c r="J533" i="260" a="1"/>
  <c r="J533" i="260"/>
  <c r="A791" i="260"/>
  <c r="E790" i="260"/>
  <c r="A811" i="260"/>
  <c r="E810" i="260"/>
  <c r="A821" i="260"/>
  <c r="E820" i="260"/>
  <c r="A781" i="260"/>
  <c r="E780" i="260"/>
  <c r="E840" i="260"/>
  <c r="A841" i="260"/>
  <c r="A771" i="260"/>
  <c r="E770" i="260"/>
  <c r="BO75" i="259" a="1"/>
  <c r="BO75" i="259"/>
  <c r="BO80" i="259"/>
  <c r="BO54" i="259" a="1"/>
  <c r="BO54" i="259"/>
  <c r="N88" i="189"/>
  <c r="AH88" i="189"/>
  <c r="AR88" i="189"/>
  <c r="AS88" i="189"/>
  <c r="AT88" i="189"/>
  <c r="AU88" i="189"/>
  <c r="F89" i="324"/>
  <c r="W88" i="189"/>
  <c r="W93" i="189"/>
  <c r="AG89" i="189"/>
  <c r="AQ89" i="189"/>
  <c r="BO48" i="259" a="1"/>
  <c r="BO48" i="259"/>
  <c r="BO61" i="259" a="1"/>
  <c r="BO61" i="259"/>
  <c r="AG92" i="189"/>
  <c r="AQ92" i="189"/>
  <c r="W89" i="189"/>
  <c r="N92" i="189"/>
  <c r="AH92" i="189"/>
  <c r="BO63" i="259" a="1"/>
  <c r="BO63" i="259"/>
  <c r="BO60" i="259" a="1"/>
  <c r="BO60" i="259"/>
  <c r="BO82" i="259"/>
  <c r="BO44" i="259" a="1"/>
  <c r="BO44" i="259"/>
  <c r="O153" i="260"/>
  <c r="BO81" i="259"/>
  <c r="BO83" i="259"/>
  <c r="BO49" i="259" a="1"/>
  <c r="BO49" i="259"/>
  <c r="BO62" i="259" a="1"/>
  <c r="BO62" i="259"/>
  <c r="BO57" i="259" a="1"/>
  <c r="BO57" i="259"/>
  <c r="F495" i="260"/>
  <c r="F504" i="260"/>
  <c r="BO74" i="259" a="1"/>
  <c r="BO74" i="259"/>
  <c r="BO58" i="259" a="1"/>
  <c r="BO58" i="259"/>
  <c r="BO71" i="259" a="1"/>
  <c r="BO71" i="259"/>
  <c r="F497" i="260"/>
  <c r="F506" i="260"/>
  <c r="BO43" i="259" a="1"/>
  <c r="BO43" i="259"/>
  <c r="BO51" i="259" a="1"/>
  <c r="BO51" i="259"/>
  <c r="BO65" i="259" a="1"/>
  <c r="BO65" i="259"/>
  <c r="BO46" i="259" a="1"/>
  <c r="BO46" i="259"/>
  <c r="BO56" i="259" a="1"/>
  <c r="BO56" i="259"/>
  <c r="BO72" i="259" a="1"/>
  <c r="BO72" i="259"/>
  <c r="BO66" i="259" a="1"/>
  <c r="BO66" i="259"/>
  <c r="J153" i="260"/>
  <c r="BM44" i="259" a="1"/>
  <c r="BM44" i="259"/>
  <c r="F477" i="260"/>
  <c r="F486" i="260"/>
  <c r="I132" i="260"/>
  <c r="L122" i="260"/>
  <c r="BO70" i="259" a="1"/>
  <c r="BO70" i="259"/>
  <c r="BO76" i="259" a="1"/>
  <c r="BO76" i="259"/>
  <c r="BO47" i="259" a="1"/>
  <c r="BO47" i="259"/>
  <c r="F475" i="260"/>
  <c r="F484" i="260"/>
  <c r="F476" i="260"/>
  <c r="F485" i="260"/>
  <c r="K143" i="260"/>
  <c r="N112" i="260"/>
  <c r="P145" i="260"/>
  <c r="BO53" i="259" a="1"/>
  <c r="BO53" i="259"/>
  <c r="BO52" i="259" a="1"/>
  <c r="BO52" i="259"/>
  <c r="BO45" i="259" a="1"/>
  <c r="BO45" i="259"/>
  <c r="BO69" i="259" a="1"/>
  <c r="BO69" i="259"/>
  <c r="BO67" i="259" a="1"/>
  <c r="BO67" i="259"/>
  <c r="BO42" i="259" a="1"/>
  <c r="BO42" i="259"/>
  <c r="BO55" i="259" a="1"/>
  <c r="BO55" i="259"/>
  <c r="BO73" i="259" a="1"/>
  <c r="BO73" i="259"/>
  <c r="BM67" i="259" a="1"/>
  <c r="BM67" i="259"/>
  <c r="F493" i="260"/>
  <c r="F502" i="260"/>
  <c r="K132" i="260"/>
  <c r="N132" i="260"/>
  <c r="P119" i="260"/>
  <c r="I101" i="260"/>
  <c r="N122" i="260"/>
  <c r="L112" i="260"/>
  <c r="K122" i="260"/>
  <c r="L153" i="260"/>
  <c r="N153" i="260"/>
  <c r="F474" i="260"/>
  <c r="F483" i="260"/>
  <c r="F492" i="260"/>
  <c r="F501" i="260"/>
  <c r="F510" i="260"/>
  <c r="P106" i="260"/>
  <c r="L101" i="260"/>
  <c r="I112" i="260"/>
  <c r="W74" i="189"/>
  <c r="AG74" i="189"/>
  <c r="AQ74" i="189"/>
  <c r="P110" i="260"/>
  <c r="BH64" i="259" a="1"/>
  <c r="BH64" i="259"/>
  <c r="BH45" i="259" a="1"/>
  <c r="BH45" i="259"/>
  <c r="P156" i="260"/>
  <c r="BH83" i="259"/>
  <c r="F494" i="260"/>
  <c r="F503" i="260"/>
  <c r="P140" i="260"/>
  <c r="J101" i="260"/>
  <c r="O107" i="260" a="1"/>
  <c r="O107" i="260"/>
  <c r="O101" i="260"/>
  <c r="O115" i="260" a="1"/>
  <c r="O115" i="260"/>
  <c r="O112" i="260"/>
  <c r="M133" i="260" a="1"/>
  <c r="M133" i="260"/>
  <c r="M125" i="260" a="1"/>
  <c r="M125" i="260"/>
  <c r="M116" i="260" a="1"/>
  <c r="M116" i="260"/>
  <c r="P116" i="260"/>
  <c r="M118" i="260" a="1"/>
  <c r="M118" i="260"/>
  <c r="P118" i="260"/>
  <c r="K104" i="260" a="1"/>
  <c r="K104" i="260"/>
  <c r="I150" i="260" a="1"/>
  <c r="I150" i="260"/>
  <c r="J147" i="260" a="1"/>
  <c r="J147" i="260"/>
  <c r="P147" i="260"/>
  <c r="J141" i="260" a="1"/>
  <c r="J141" i="260"/>
  <c r="J125" i="260" a="1"/>
  <c r="J125" i="260"/>
  <c r="J122" i="260"/>
  <c r="M103" i="260" a="1"/>
  <c r="M103" i="260"/>
  <c r="P103" i="260"/>
  <c r="M139" i="260" a="1"/>
  <c r="M139" i="260"/>
  <c r="P139" i="260"/>
  <c r="M102" i="260" a="1"/>
  <c r="M102" i="260"/>
  <c r="P102" i="260"/>
  <c r="M151" i="260" a="1"/>
  <c r="M151" i="260"/>
  <c r="P151" i="260"/>
  <c r="O136" i="260" a="1"/>
  <c r="O136" i="260"/>
  <c r="M117" i="260" a="1"/>
  <c r="M117" i="260"/>
  <c r="P117" i="260"/>
  <c r="M149" i="260" a="1"/>
  <c r="M149" i="260"/>
  <c r="P149" i="260"/>
  <c r="M123" i="260" a="1"/>
  <c r="M123" i="260"/>
  <c r="P123" i="260"/>
  <c r="M120" i="260" a="1"/>
  <c r="M120" i="260"/>
  <c r="P120" i="260"/>
  <c r="O141" i="260" a="1"/>
  <c r="O141" i="260"/>
  <c r="M137" i="260" a="1"/>
  <c r="M137" i="260"/>
  <c r="P137" i="260"/>
  <c r="J136" i="260" a="1"/>
  <c r="J136" i="260"/>
  <c r="J144" i="260" a="1"/>
  <c r="J144" i="260"/>
  <c r="J134" i="260" a="1"/>
  <c r="J134" i="260"/>
  <c r="P134" i="260"/>
  <c r="M154" i="260" a="1"/>
  <c r="M154" i="260"/>
  <c r="M153" i="260"/>
  <c r="M144" i="260" a="1"/>
  <c r="M144" i="260"/>
  <c r="M141" i="260" a="1"/>
  <c r="M141" i="260"/>
  <c r="J113" i="260" a="1"/>
  <c r="J113" i="260"/>
  <c r="M146" i="260" a="1"/>
  <c r="M146" i="260"/>
  <c r="P146" i="260"/>
  <c r="M124" i="260" a="1"/>
  <c r="M124" i="260"/>
  <c r="P124" i="260"/>
  <c r="M109" i="260" a="1"/>
  <c r="M109" i="260"/>
  <c r="P109" i="260"/>
  <c r="K113" i="260" a="1"/>
  <c r="K113" i="260"/>
  <c r="K112" i="260"/>
  <c r="J133" i="260" a="1"/>
  <c r="J133" i="260"/>
  <c r="M108" i="260" a="1"/>
  <c r="M108" i="260"/>
  <c r="P108" i="260"/>
  <c r="M115" i="260" a="1"/>
  <c r="M115" i="260"/>
  <c r="M135" i="260" a="1"/>
  <c r="M135" i="260"/>
  <c r="P135" i="260"/>
  <c r="M107" i="260" a="1"/>
  <c r="M107" i="260"/>
  <c r="M104" i="260" a="1"/>
  <c r="M104" i="260"/>
  <c r="N74" i="189"/>
  <c r="AH74" i="189"/>
  <c r="H99" i="189"/>
  <c r="C44" i="189"/>
  <c r="K43" i="189"/>
  <c r="K44" i="189"/>
  <c r="AT261" i="259"/>
  <c r="AV261" i="259"/>
  <c r="BP44" i="259" a="1"/>
  <c r="BP44" i="259"/>
  <c r="BP58" i="259" a="1"/>
  <c r="BP58" i="259"/>
  <c r="BM71" i="259" a="1"/>
  <c r="BM71" i="259"/>
  <c r="G73" i="324"/>
  <c r="G85" i="324"/>
  <c r="G97" i="324"/>
  <c r="P114" i="260"/>
  <c r="L143" i="260"/>
  <c r="I133" i="203"/>
  <c r="AG84" i="189"/>
  <c r="AQ84" i="189"/>
  <c r="G70" i="324"/>
  <c r="G82" i="324"/>
  <c r="G94" i="324"/>
  <c r="P105" i="260"/>
  <c r="I114" i="203"/>
  <c r="BP47" i="259" a="1"/>
  <c r="BP47" i="259"/>
  <c r="BP76" i="259" a="1"/>
  <c r="BP76" i="259"/>
  <c r="BH53" i="259" a="1"/>
  <c r="BH53" i="259"/>
  <c r="BH54" i="259" a="1"/>
  <c r="BH54" i="259"/>
  <c r="BH46" i="259" a="1"/>
  <c r="BH46" i="259"/>
  <c r="BH42" i="259" a="1"/>
  <c r="BH42" i="259"/>
  <c r="BM52" i="259" a="1"/>
  <c r="BM52" i="259"/>
  <c r="H122" i="260"/>
  <c r="BH63" i="259" a="1"/>
  <c r="BH63" i="259"/>
  <c r="O143" i="260"/>
  <c r="AV259" i="259"/>
  <c r="BH71" i="259" a="1"/>
  <c r="BH71" i="259"/>
  <c r="BH69" i="259" a="1"/>
  <c r="BH69" i="259"/>
  <c r="BM63" i="259" a="1"/>
  <c r="BM63" i="259"/>
  <c r="F114" i="324"/>
  <c r="BH70" i="259" a="1"/>
  <c r="BH70" i="259"/>
  <c r="BH61" i="259" a="1"/>
  <c r="BH61" i="259"/>
  <c r="BM65" i="259" a="1"/>
  <c r="BM65" i="259"/>
  <c r="F106" i="324"/>
  <c r="G113" i="203"/>
  <c r="G108" i="203"/>
  <c r="G105" i="203"/>
  <c r="F118" i="203"/>
  <c r="F115" i="203"/>
  <c r="F106" i="203"/>
  <c r="F109" i="203"/>
  <c r="I117" i="203"/>
  <c r="G115" i="203"/>
  <c r="G109" i="203"/>
  <c r="G118" i="203"/>
  <c r="G106" i="203"/>
  <c r="H113" i="203"/>
  <c r="H108" i="203"/>
  <c r="H105" i="203"/>
  <c r="BP64" i="259" a="1"/>
  <c r="BP64" i="259"/>
  <c r="BP51" i="259" a="1"/>
  <c r="BP51" i="259"/>
  <c r="P155" i="260"/>
  <c r="F517" i="260"/>
  <c r="F499" i="260"/>
  <c r="F508" i="260"/>
  <c r="F481" i="260"/>
  <c r="F490" i="260"/>
  <c r="H139" i="203"/>
  <c r="F107" i="203"/>
  <c r="F110" i="203"/>
  <c r="G15" i="203"/>
  <c r="H15" i="203"/>
  <c r="F113" i="203"/>
  <c r="F108" i="203"/>
  <c r="G1733" i="260"/>
  <c r="F1733" i="260"/>
  <c r="J1733" i="260"/>
  <c r="H1733" i="260"/>
  <c r="K1733" i="260"/>
  <c r="L1733" i="260"/>
  <c r="M1733" i="260"/>
  <c r="F105" i="203"/>
  <c r="O1733" i="260"/>
  <c r="I1733" i="260"/>
  <c r="N1733" i="260"/>
  <c r="G107" i="203"/>
  <c r="G110" i="203"/>
  <c r="H153" i="260"/>
  <c r="W73" i="189"/>
  <c r="F91" i="324"/>
  <c r="BP60" i="259" a="1"/>
  <c r="BP60" i="259"/>
  <c r="BP49" i="259" a="1"/>
  <c r="BP49" i="259"/>
  <c r="BP62" i="259" a="1"/>
  <c r="BP62" i="259"/>
  <c r="H112" i="260"/>
  <c r="I119" i="203"/>
  <c r="H107" i="203"/>
  <c r="H110" i="203"/>
  <c r="H132" i="260"/>
  <c r="I121" i="203"/>
  <c r="N73" i="189"/>
  <c r="AH73" i="189"/>
  <c r="BP65" i="259" a="1"/>
  <c r="BP65" i="259"/>
  <c r="BP42" i="259" a="1"/>
  <c r="BP42" i="259"/>
  <c r="BP61" i="259" a="1"/>
  <c r="BP61" i="259"/>
  <c r="H138" i="203"/>
  <c r="H118" i="203"/>
  <c r="H106" i="203"/>
  <c r="H115" i="203"/>
  <c r="H109" i="203"/>
  <c r="I120" i="203"/>
  <c r="H101" i="260"/>
  <c r="F108" i="324"/>
  <c r="BP43" i="259" a="1"/>
  <c r="BP43" i="259"/>
  <c r="BP70" i="259" a="1"/>
  <c r="BP70" i="259"/>
  <c r="BP66" i="259" a="1"/>
  <c r="BP66" i="259"/>
  <c r="H143" i="260"/>
  <c r="F111" i="324"/>
  <c r="BH60" i="259" a="1"/>
  <c r="BH60" i="259"/>
  <c r="BH66" i="259" a="1"/>
  <c r="BH66" i="259"/>
  <c r="BH52" i="259" a="1"/>
  <c r="BH52" i="259"/>
  <c r="BH49" i="259" a="1"/>
  <c r="BH49" i="259"/>
  <c r="BH75" i="259" a="1"/>
  <c r="BH75" i="259"/>
  <c r="BM54" i="259" a="1"/>
  <c r="BM54" i="259"/>
  <c r="BM76" i="259" a="1"/>
  <c r="BM76" i="259"/>
  <c r="BH72" i="259" a="1"/>
  <c r="BH72" i="259"/>
  <c r="BM70" i="259" a="1"/>
  <c r="BM70" i="259"/>
  <c r="BH56" i="259" a="1"/>
  <c r="BH56" i="259"/>
  <c r="BH47" i="259" a="1"/>
  <c r="BH47" i="259"/>
  <c r="BH44" i="259" a="1"/>
  <c r="BH44" i="259"/>
  <c r="BH48" i="259" a="1"/>
  <c r="BH48" i="259"/>
  <c r="BM56" i="259" a="1"/>
  <c r="BM56" i="259"/>
  <c r="BM72" i="259" a="1"/>
  <c r="BM72" i="259"/>
  <c r="F109" i="324"/>
  <c r="BH82" i="259"/>
  <c r="BH43" i="259" a="1"/>
  <c r="BH43" i="259"/>
  <c r="BH76" i="259" a="1"/>
  <c r="BH76" i="259"/>
  <c r="BM60" i="259" a="1"/>
  <c r="BM60" i="259"/>
  <c r="BH80" i="259"/>
  <c r="BH73" i="259" a="1"/>
  <c r="BH73" i="259"/>
  <c r="BH58" i="259" a="1"/>
  <c r="BH58" i="259"/>
  <c r="BH74" i="259" a="1"/>
  <c r="BH74" i="259"/>
  <c r="BM73" i="259" a="1"/>
  <c r="BM73" i="259"/>
  <c r="BM61" i="259" a="1"/>
  <c r="BM61" i="259"/>
  <c r="BM49" i="259" a="1"/>
  <c r="BM49" i="259"/>
  <c r="BH65" i="259" a="1"/>
  <c r="BH65" i="259"/>
  <c r="BH51" i="259" a="1"/>
  <c r="BH51" i="259"/>
  <c r="BH81" i="259"/>
  <c r="BM64" i="259" a="1"/>
  <c r="BM64" i="259"/>
  <c r="BM80" i="259"/>
  <c r="G69" i="324"/>
  <c r="G81" i="324"/>
  <c r="G93" i="324"/>
  <c r="G67" i="324"/>
  <c r="G79" i="324"/>
  <c r="G107" i="324"/>
  <c r="BP69" i="259" a="1"/>
  <c r="BP69" i="259"/>
  <c r="BP46" i="259" a="1"/>
  <c r="BP46" i="259"/>
  <c r="BP67" i="259" a="1"/>
  <c r="BP67" i="259"/>
  <c r="BP80" i="259"/>
  <c r="BP74" i="259" a="1"/>
  <c r="BP74" i="259"/>
  <c r="BM83" i="259"/>
  <c r="BM74" i="259" a="1"/>
  <c r="BM74" i="259"/>
  <c r="BM46" i="259" a="1"/>
  <c r="BM46" i="259"/>
  <c r="BM58" i="259" a="1"/>
  <c r="BM58" i="259"/>
  <c r="F113" i="324"/>
  <c r="I59" i="189"/>
  <c r="G66" i="324"/>
  <c r="G78" i="324"/>
  <c r="BP63" i="259" a="1"/>
  <c r="BP63" i="259"/>
  <c r="BP55" i="259" a="1"/>
  <c r="BP55" i="259"/>
  <c r="BP71" i="259" a="1"/>
  <c r="BP71" i="259"/>
  <c r="BP83" i="259"/>
  <c r="BM53" i="259" a="1"/>
  <c r="BM53" i="259"/>
  <c r="BM75" i="259" a="1"/>
  <c r="BM75" i="259"/>
  <c r="BM82" i="259"/>
  <c r="BM69" i="259" a="1"/>
  <c r="BM69" i="259"/>
  <c r="BM45" i="259" a="1"/>
  <c r="BM45" i="259"/>
  <c r="F112" i="324"/>
  <c r="G65" i="324"/>
  <c r="G77" i="324"/>
  <c r="G89" i="324"/>
  <c r="G71" i="324"/>
  <c r="G83" i="324"/>
  <c r="BP82" i="259"/>
  <c r="BP56" i="259" a="1"/>
  <c r="BP56" i="259"/>
  <c r="BP57" i="259" a="1"/>
  <c r="BP57" i="259"/>
  <c r="BP75" i="259" a="1"/>
  <c r="BP75" i="259"/>
  <c r="BM48" i="259" a="1"/>
  <c r="BM48" i="259"/>
  <c r="BM55" i="259" a="1"/>
  <c r="BM55" i="259"/>
  <c r="BM42" i="259" a="1"/>
  <c r="BM42" i="259"/>
  <c r="BM47" i="259" a="1"/>
  <c r="BM47" i="259"/>
  <c r="BM81" i="259"/>
  <c r="G72" i="324"/>
  <c r="G84" i="324"/>
  <c r="G96" i="324"/>
  <c r="H75" i="324"/>
  <c r="H72" i="324"/>
  <c r="H84" i="324"/>
  <c r="G74" i="324"/>
  <c r="G86" i="324"/>
  <c r="G98" i="324"/>
  <c r="BP45" i="259" a="1"/>
  <c r="BP45" i="259"/>
  <c r="BP53" i="259" a="1"/>
  <c r="BP53" i="259"/>
  <c r="BP81" i="259"/>
  <c r="BM43" i="259" a="1"/>
  <c r="BM43" i="259"/>
  <c r="BM57" i="259" a="1"/>
  <c r="BM57" i="259"/>
  <c r="BM62" i="259" a="1"/>
  <c r="BM62" i="259"/>
  <c r="BM51" i="259" a="1"/>
  <c r="BM51" i="259"/>
  <c r="N83" i="189"/>
  <c r="BE258" i="259"/>
  <c r="BC258" i="259"/>
  <c r="AG81" i="189"/>
  <c r="AQ81" i="189"/>
  <c r="AV260" i="259"/>
  <c r="AT260" i="259"/>
  <c r="AG85" i="189"/>
  <c r="AQ85" i="189"/>
  <c r="BC260" i="259"/>
  <c r="BE260" i="259"/>
  <c r="AV258" i="259"/>
  <c r="AT258" i="259"/>
  <c r="BK42" i="259" a="1"/>
  <c r="BK42" i="259"/>
  <c r="BK71" i="259" a="1"/>
  <c r="BK71" i="259"/>
  <c r="BK44" i="259" a="1"/>
  <c r="BK44" i="259"/>
  <c r="BK56" i="259" a="1"/>
  <c r="BK56" i="259"/>
  <c r="BK65" i="259" a="1"/>
  <c r="BK65" i="259"/>
  <c r="BK49" i="259" a="1"/>
  <c r="BK49" i="259"/>
  <c r="BK55" i="259" a="1"/>
  <c r="BK55" i="259"/>
  <c r="BK48" i="259" a="1"/>
  <c r="BK48" i="259"/>
  <c r="BK83" i="259"/>
  <c r="BK60" i="259" a="1"/>
  <c r="BK60" i="259"/>
  <c r="BK67" i="259" a="1"/>
  <c r="BK67" i="259"/>
  <c r="BK76" i="259" a="1"/>
  <c r="BK76" i="259"/>
  <c r="BK54" i="259" a="1"/>
  <c r="BK54" i="259"/>
  <c r="BK81" i="259"/>
  <c r="BK58" i="259" a="1"/>
  <c r="BK58" i="259"/>
  <c r="BK47" i="259" a="1"/>
  <c r="BK47" i="259"/>
  <c r="BK73" i="259" a="1"/>
  <c r="BK73" i="259"/>
  <c r="BK51" i="259" a="1"/>
  <c r="BK51" i="259"/>
  <c r="BK80" i="259"/>
  <c r="BK45" i="259" a="1"/>
  <c r="BK45" i="259"/>
  <c r="BK74" i="259" a="1"/>
  <c r="BK74" i="259"/>
  <c r="BK61" i="259" a="1"/>
  <c r="BK61" i="259"/>
  <c r="BK62" i="259" a="1"/>
  <c r="BK62" i="259"/>
  <c r="BK63" i="259" a="1"/>
  <c r="BK63" i="259"/>
  <c r="BK72" i="259" a="1"/>
  <c r="BK72" i="259"/>
  <c r="BK75" i="259" a="1"/>
  <c r="BK75" i="259"/>
  <c r="BK82" i="259"/>
  <c r="BK64" i="259" a="1"/>
  <c r="BK64" i="259"/>
  <c r="BK43" i="259" a="1"/>
  <c r="BK43" i="259"/>
  <c r="BK46" i="259" a="1"/>
  <c r="BK46" i="259"/>
  <c r="BK52" i="259" a="1"/>
  <c r="BK52" i="259"/>
  <c r="BK53" i="259" a="1"/>
  <c r="BK53" i="259"/>
  <c r="BK57" i="259" a="1"/>
  <c r="BK57" i="259"/>
  <c r="BK70" i="259" a="1"/>
  <c r="BK70" i="259"/>
  <c r="BK69" i="259" a="1"/>
  <c r="BK69" i="259"/>
  <c r="BK66" i="259" a="1"/>
  <c r="BK66" i="259"/>
  <c r="G108" i="324"/>
  <c r="G92" i="324"/>
  <c r="BJ43" i="259" a="1"/>
  <c r="BJ43" i="259"/>
  <c r="BJ62" i="259" a="1"/>
  <c r="BJ62" i="259"/>
  <c r="BJ81" i="259"/>
  <c r="BJ48" i="259" a="1"/>
  <c r="BJ48" i="259"/>
  <c r="BJ71" i="259" a="1"/>
  <c r="BJ71" i="259"/>
  <c r="BJ44" i="259" a="1"/>
  <c r="BJ44" i="259"/>
  <c r="BJ65" i="259" a="1"/>
  <c r="BJ65" i="259"/>
  <c r="BJ46" i="259" a="1"/>
  <c r="BJ46" i="259"/>
  <c r="BJ82" i="259"/>
  <c r="BJ49" i="259" a="1"/>
  <c r="BJ49" i="259"/>
  <c r="BJ57" i="259" a="1"/>
  <c r="BJ57" i="259"/>
  <c r="BJ75" i="259" a="1"/>
  <c r="BJ75" i="259"/>
  <c r="BJ80" i="259"/>
  <c r="BJ70" i="259" a="1"/>
  <c r="BJ70" i="259"/>
  <c r="BJ67" i="259" a="1"/>
  <c r="BJ67" i="259"/>
  <c r="BJ64" i="259" a="1"/>
  <c r="BJ64" i="259"/>
  <c r="BJ83" i="259"/>
  <c r="BJ42" i="259" a="1"/>
  <c r="BJ42" i="259"/>
  <c r="BJ56" i="259" a="1"/>
  <c r="BJ56" i="259"/>
  <c r="BJ76" i="259" a="1"/>
  <c r="BJ76" i="259"/>
  <c r="BJ66" i="259" a="1"/>
  <c r="BJ66" i="259"/>
  <c r="BJ74" i="259" a="1"/>
  <c r="BJ74" i="259"/>
  <c r="BJ51" i="259" a="1"/>
  <c r="BJ51" i="259"/>
  <c r="BJ61" i="259" a="1"/>
  <c r="BJ61" i="259"/>
  <c r="BJ55" i="259" a="1"/>
  <c r="BJ55" i="259"/>
  <c r="BJ47" i="259" a="1"/>
  <c r="BJ47" i="259"/>
  <c r="BJ52" i="259" a="1"/>
  <c r="BJ52" i="259"/>
  <c r="BJ58" i="259" a="1"/>
  <c r="BJ58" i="259"/>
  <c r="BJ72" i="259" a="1"/>
  <c r="BJ72" i="259"/>
  <c r="BJ45" i="259" a="1"/>
  <c r="BJ45" i="259"/>
  <c r="BJ63" i="259" a="1"/>
  <c r="BJ63" i="259"/>
  <c r="BJ53" i="259" a="1"/>
  <c r="BJ53" i="259"/>
  <c r="BJ73" i="259" a="1"/>
  <c r="BJ73" i="259"/>
  <c r="BJ54" i="259" a="1"/>
  <c r="BJ54" i="259"/>
  <c r="BJ69" i="259" a="1"/>
  <c r="BJ69" i="259"/>
  <c r="BJ60" i="259" a="1"/>
  <c r="BJ60" i="259"/>
  <c r="BL69" i="259" a="1"/>
  <c r="BL69" i="259"/>
  <c r="BL83" i="259"/>
  <c r="BL46" i="259" a="1"/>
  <c r="BL46" i="259"/>
  <c r="BL67" i="259" a="1"/>
  <c r="BL67" i="259"/>
  <c r="BL62" i="259" a="1"/>
  <c r="BL62" i="259"/>
  <c r="BL49" i="259" a="1"/>
  <c r="BL49" i="259"/>
  <c r="BL82" i="259"/>
  <c r="BL65" i="259" a="1"/>
  <c r="BL65" i="259"/>
  <c r="BL58" i="259" a="1"/>
  <c r="BL58" i="259"/>
  <c r="BL57" i="259" a="1"/>
  <c r="BL57" i="259"/>
  <c r="BL76" i="259" a="1"/>
  <c r="BL76" i="259"/>
  <c r="BL45" i="259" a="1"/>
  <c r="BL45" i="259"/>
  <c r="BL53" i="259" a="1"/>
  <c r="BL53" i="259"/>
  <c r="BL74" i="259" a="1"/>
  <c r="BL74" i="259"/>
  <c r="BL47" i="259" a="1"/>
  <c r="BL47" i="259"/>
  <c r="BL72" i="259" a="1"/>
  <c r="BL72" i="259"/>
  <c r="BL56" i="259" a="1"/>
  <c r="BL56" i="259"/>
  <c r="BL54" i="259" a="1"/>
  <c r="BL54" i="259"/>
  <c r="BL42" i="259" a="1"/>
  <c r="BL42" i="259"/>
  <c r="BL51" i="259" a="1"/>
  <c r="BL51" i="259"/>
  <c r="BL64" i="259" a="1"/>
  <c r="BL64" i="259"/>
  <c r="BL44" i="259" a="1"/>
  <c r="BL44" i="259"/>
  <c r="BL70" i="259" a="1"/>
  <c r="BL70" i="259"/>
  <c r="BL52" i="259" a="1"/>
  <c r="BL52" i="259"/>
  <c r="BL71" i="259" a="1"/>
  <c r="BL71" i="259"/>
  <c r="BL73" i="259" a="1"/>
  <c r="BL73" i="259"/>
  <c r="BL80" i="259"/>
  <c r="BL61" i="259" a="1"/>
  <c r="BL61" i="259"/>
  <c r="BL81" i="259"/>
  <c r="BL48" i="259" a="1"/>
  <c r="BL48" i="259"/>
  <c r="BL43" i="259" a="1"/>
  <c r="BL43" i="259"/>
  <c r="BL75" i="259" a="1"/>
  <c r="BL75" i="259"/>
  <c r="BL66" i="259" a="1"/>
  <c r="BL66" i="259"/>
  <c r="BL63" i="259" a="1"/>
  <c r="BL63" i="259"/>
  <c r="BL55" i="259" a="1"/>
  <c r="BL55" i="259"/>
  <c r="BL60" i="259" a="1"/>
  <c r="BL60" i="259"/>
  <c r="BI73" i="259" a="1"/>
  <c r="BI73" i="259"/>
  <c r="BI76" i="259" a="1"/>
  <c r="BI76" i="259"/>
  <c r="BI66" i="259" a="1"/>
  <c r="BI66" i="259"/>
  <c r="BI63" i="259" a="1"/>
  <c r="BI63" i="259"/>
  <c r="BI71" i="259" a="1"/>
  <c r="BI71" i="259"/>
  <c r="BI42" i="259" a="1"/>
  <c r="BI42" i="259"/>
  <c r="BI56" i="259" a="1"/>
  <c r="BI56" i="259"/>
  <c r="BI54" i="259" a="1"/>
  <c r="BI54" i="259"/>
  <c r="BI52" i="259" a="1"/>
  <c r="BI52" i="259"/>
  <c r="BI45" i="259" a="1"/>
  <c r="BI45" i="259"/>
  <c r="BI55" i="259" a="1"/>
  <c r="BI55" i="259"/>
  <c r="BI46" i="259" a="1"/>
  <c r="BI46" i="259"/>
  <c r="BI47" i="259" a="1"/>
  <c r="BI47" i="259"/>
  <c r="BI67" i="259" a="1"/>
  <c r="BI67" i="259"/>
  <c r="BI43" i="259" a="1"/>
  <c r="BI43" i="259"/>
  <c r="BI64" i="259" a="1"/>
  <c r="BI64" i="259"/>
  <c r="BI81" i="259"/>
  <c r="BI48" i="259" a="1"/>
  <c r="BI48" i="259"/>
  <c r="BI74" i="259" a="1"/>
  <c r="BI74" i="259"/>
  <c r="BI69" i="259" a="1"/>
  <c r="BI69" i="259"/>
  <c r="BI65" i="259" a="1"/>
  <c r="BI65" i="259"/>
  <c r="BI70" i="259" a="1"/>
  <c r="BI70" i="259"/>
  <c r="BI62" i="259" a="1"/>
  <c r="BI62" i="259"/>
  <c r="BI83" i="259"/>
  <c r="BI80" i="259"/>
  <c r="BI53" i="259" a="1"/>
  <c r="BI53" i="259"/>
  <c r="BI57" i="259" a="1"/>
  <c r="BI57" i="259"/>
  <c r="BI75" i="259" a="1"/>
  <c r="BI75" i="259"/>
  <c r="BI82" i="259"/>
  <c r="BI49" i="259" a="1"/>
  <c r="BI49" i="259"/>
  <c r="BI61" i="259" a="1"/>
  <c r="BI61" i="259"/>
  <c r="BI72" i="259" a="1"/>
  <c r="BI72" i="259"/>
  <c r="BI51" i="259" a="1"/>
  <c r="BI51" i="259"/>
  <c r="BI44" i="259" a="1"/>
  <c r="BI44" i="259"/>
  <c r="BI58" i="259" a="1"/>
  <c r="BI58" i="259"/>
  <c r="BI60" i="259" a="1"/>
  <c r="BI60" i="259"/>
  <c r="BG69" i="259" a="1"/>
  <c r="BG69" i="259"/>
  <c r="BG81" i="259"/>
  <c r="BG49" i="259" a="1"/>
  <c r="BG49" i="259"/>
  <c r="BG42" i="259" a="1"/>
  <c r="BG42" i="259"/>
  <c r="BG54" i="259" a="1"/>
  <c r="BG54" i="259"/>
  <c r="BG46" i="259" a="1"/>
  <c r="BG46" i="259"/>
  <c r="BG67" i="259" a="1"/>
  <c r="BG67" i="259"/>
  <c r="BG55" i="259" a="1"/>
  <c r="BG55" i="259"/>
  <c r="BG63" i="259" a="1"/>
  <c r="BG63" i="259"/>
  <c r="BG61" i="259" a="1"/>
  <c r="BG61" i="259"/>
  <c r="BG66" i="259" a="1"/>
  <c r="BG66" i="259"/>
  <c r="BG80" i="259"/>
  <c r="BG73" i="259" a="1"/>
  <c r="BG73" i="259"/>
  <c r="BG51" i="259" a="1"/>
  <c r="BG51" i="259"/>
  <c r="BG62" i="259" a="1"/>
  <c r="BG62" i="259"/>
  <c r="BG58" i="259" a="1"/>
  <c r="BG58" i="259"/>
  <c r="BG64" i="259" a="1"/>
  <c r="BG64" i="259"/>
  <c r="BG57" i="259" a="1"/>
  <c r="BG57" i="259"/>
  <c r="BG43" i="259" a="1"/>
  <c r="BG43" i="259"/>
  <c r="BG65" i="259" a="1"/>
  <c r="BG65" i="259"/>
  <c r="BG72" i="259" a="1"/>
  <c r="BG72" i="259"/>
  <c r="BG52" i="259" a="1"/>
  <c r="BG52" i="259"/>
  <c r="BG83" i="259"/>
  <c r="BG48" i="259" a="1"/>
  <c r="BG48" i="259"/>
  <c r="BG74" i="259" a="1"/>
  <c r="BG74" i="259"/>
  <c r="BG75" i="259" a="1"/>
  <c r="BG75" i="259"/>
  <c r="BG56" i="259" a="1"/>
  <c r="BG56" i="259"/>
  <c r="BG53" i="259" a="1"/>
  <c r="BG53" i="259"/>
  <c r="BG82" i="259"/>
  <c r="BG45" i="259" a="1"/>
  <c r="BG45" i="259"/>
  <c r="BG76" i="259" a="1"/>
  <c r="BG76" i="259"/>
  <c r="BG70" i="259" a="1"/>
  <c r="BG70" i="259"/>
  <c r="BG44" i="259" a="1"/>
  <c r="BG44" i="259"/>
  <c r="BG71" i="259" a="1"/>
  <c r="BG71" i="259"/>
  <c r="BG47" i="259" a="1"/>
  <c r="BG47" i="259"/>
  <c r="BG60" i="259" a="1"/>
  <c r="BG60" i="259"/>
  <c r="E117" i="324"/>
  <c r="E123" i="324"/>
  <c r="E128" i="324"/>
  <c r="E119" i="324"/>
  <c r="E125" i="324"/>
  <c r="E130" i="324"/>
  <c r="E118" i="324"/>
  <c r="E124" i="324"/>
  <c r="E129" i="324"/>
  <c r="D117" i="324"/>
  <c r="D119" i="324"/>
  <c r="D118" i="324"/>
  <c r="X64" i="189"/>
  <c r="X63" i="189"/>
  <c r="Y63" i="189"/>
  <c r="Z63" i="189"/>
  <c r="AA63" i="189"/>
  <c r="AB63" i="189"/>
  <c r="AC63" i="189"/>
  <c r="AD63" i="189"/>
  <c r="AE63" i="189"/>
  <c r="AH63" i="189"/>
  <c r="O63" i="189"/>
  <c r="P63" i="189"/>
  <c r="Q63" i="189"/>
  <c r="R63" i="189"/>
  <c r="S63" i="189"/>
  <c r="T63" i="189"/>
  <c r="U63" i="189"/>
  <c r="V63" i="189"/>
  <c r="AR96" i="189"/>
  <c r="AS96" i="189"/>
  <c r="AT96" i="189"/>
  <c r="AU96" i="189"/>
  <c r="AI96" i="189"/>
  <c r="AJ96" i="189"/>
  <c r="AK96" i="189"/>
  <c r="AL96" i="189"/>
  <c r="AM96" i="189"/>
  <c r="AG71" i="189"/>
  <c r="AQ71" i="189"/>
  <c r="W71" i="189"/>
  <c r="N71" i="189"/>
  <c r="N69" i="189"/>
  <c r="W69" i="189"/>
  <c r="AG69" i="189"/>
  <c r="AQ69" i="189"/>
  <c r="AH85" i="189"/>
  <c r="O85" i="189"/>
  <c r="P85" i="189"/>
  <c r="Q85" i="189"/>
  <c r="R85" i="189"/>
  <c r="S85" i="189"/>
  <c r="T85" i="189"/>
  <c r="U85" i="189"/>
  <c r="V85" i="189"/>
  <c r="W85" i="189"/>
  <c r="X85" i="189"/>
  <c r="Y85" i="189"/>
  <c r="Z85" i="189"/>
  <c r="AA85" i="189"/>
  <c r="AB85" i="189"/>
  <c r="AC85" i="189"/>
  <c r="AD85" i="189"/>
  <c r="AE85" i="189"/>
  <c r="AH81" i="189"/>
  <c r="O81" i="189"/>
  <c r="P81" i="189"/>
  <c r="Q81" i="189"/>
  <c r="R81" i="189"/>
  <c r="S81" i="189"/>
  <c r="T81" i="189"/>
  <c r="U81" i="189"/>
  <c r="V81" i="189"/>
  <c r="W81" i="189"/>
  <c r="X81" i="189"/>
  <c r="Y81" i="189"/>
  <c r="Z81" i="189"/>
  <c r="AA81" i="189"/>
  <c r="AB81" i="189"/>
  <c r="AC81" i="189"/>
  <c r="AD81" i="189"/>
  <c r="AE81" i="189"/>
  <c r="AH61" i="189"/>
  <c r="O61" i="189"/>
  <c r="P61" i="189"/>
  <c r="Q61" i="189"/>
  <c r="R61" i="189"/>
  <c r="S61" i="189"/>
  <c r="T61" i="189"/>
  <c r="U61" i="189"/>
  <c r="V61" i="189"/>
  <c r="X61" i="189"/>
  <c r="Y61" i="189"/>
  <c r="Z61" i="189"/>
  <c r="AA61" i="189"/>
  <c r="AB61" i="189"/>
  <c r="AC61" i="189"/>
  <c r="AD61" i="189"/>
  <c r="AE61" i="189"/>
  <c r="AH62" i="189"/>
  <c r="O62" i="189"/>
  <c r="P62" i="189"/>
  <c r="Q62" i="189"/>
  <c r="R62" i="189"/>
  <c r="S62" i="189"/>
  <c r="T62" i="189"/>
  <c r="U62" i="189"/>
  <c r="V62" i="189"/>
  <c r="X62" i="189"/>
  <c r="Y62" i="189"/>
  <c r="Z62" i="189"/>
  <c r="AA62" i="189"/>
  <c r="AB62" i="189"/>
  <c r="AC62" i="189"/>
  <c r="AD62" i="189"/>
  <c r="AE62" i="189"/>
  <c r="N78" i="189"/>
  <c r="AG78" i="189"/>
  <c r="AQ78" i="189"/>
  <c r="O90" i="189"/>
  <c r="P90" i="189"/>
  <c r="Q90" i="189"/>
  <c r="R90" i="189"/>
  <c r="S90" i="189"/>
  <c r="T90" i="189"/>
  <c r="U90" i="189"/>
  <c r="V90" i="189"/>
  <c r="X90" i="189"/>
  <c r="Y90" i="189"/>
  <c r="Z90" i="189"/>
  <c r="AA90" i="189"/>
  <c r="AB90" i="189"/>
  <c r="AC90" i="189"/>
  <c r="AD90" i="189"/>
  <c r="AE90" i="189"/>
  <c r="AH90" i="189"/>
  <c r="O84" i="189"/>
  <c r="P84" i="189"/>
  <c r="Q84" i="189"/>
  <c r="R84" i="189"/>
  <c r="S84" i="189"/>
  <c r="T84" i="189"/>
  <c r="U84" i="189"/>
  <c r="V84" i="189"/>
  <c r="W84" i="189"/>
  <c r="X84" i="189"/>
  <c r="Y84" i="189"/>
  <c r="Z84" i="189"/>
  <c r="AA84" i="189"/>
  <c r="AB84" i="189"/>
  <c r="AC84" i="189"/>
  <c r="AD84" i="189"/>
  <c r="AE84" i="189"/>
  <c r="AH84" i="189"/>
  <c r="X91" i="189"/>
  <c r="Y91" i="189"/>
  <c r="Z91" i="189"/>
  <c r="AA91" i="189"/>
  <c r="AB91" i="189"/>
  <c r="AC91" i="189"/>
  <c r="AD91" i="189"/>
  <c r="AE91" i="189"/>
  <c r="AH91" i="189"/>
  <c r="O91" i="189"/>
  <c r="P91" i="189"/>
  <c r="Q91" i="189"/>
  <c r="R91" i="189"/>
  <c r="S91" i="189"/>
  <c r="T91" i="189"/>
  <c r="U91" i="189"/>
  <c r="V91" i="189"/>
  <c r="AH89" i="189"/>
  <c r="O89" i="189"/>
  <c r="P89" i="189"/>
  <c r="Q89" i="189"/>
  <c r="R89" i="189"/>
  <c r="S89" i="189"/>
  <c r="T89" i="189"/>
  <c r="U89" i="189"/>
  <c r="V89" i="189"/>
  <c r="X89" i="189"/>
  <c r="Y89" i="189"/>
  <c r="Z89" i="189"/>
  <c r="AA89" i="189"/>
  <c r="AB89" i="189"/>
  <c r="AC89" i="189"/>
  <c r="AD89" i="189"/>
  <c r="AE89" i="189"/>
  <c r="N77" i="189"/>
  <c r="AG77" i="189"/>
  <c r="AQ77" i="189"/>
  <c r="AG70" i="189"/>
  <c r="AQ70" i="189"/>
  <c r="W70" i="189"/>
  <c r="N70" i="189"/>
  <c r="AG72" i="189"/>
  <c r="AQ72" i="189"/>
  <c r="W72" i="189"/>
  <c r="N72" i="189"/>
  <c r="A966" i="260"/>
  <c r="A1144" i="260"/>
  <c r="A1465" i="260"/>
  <c r="A1070" i="260"/>
  <c r="A801" i="260"/>
  <c r="E800" i="260"/>
  <c r="A1332" i="260"/>
  <c r="P136" i="260"/>
  <c r="AR82" i="189"/>
  <c r="AS82" i="189"/>
  <c r="AT82" i="189"/>
  <c r="AU82" i="189"/>
  <c r="AR66" i="189"/>
  <c r="AS66" i="189"/>
  <c r="AT66" i="189"/>
  <c r="AU66" i="189"/>
  <c r="X93" i="189"/>
  <c r="Y93" i="189"/>
  <c r="Z93" i="189"/>
  <c r="AA93" i="189"/>
  <c r="AB93" i="189"/>
  <c r="AC93" i="189"/>
  <c r="AD93" i="189"/>
  <c r="AE93" i="189"/>
  <c r="O66" i="189"/>
  <c r="P66" i="189"/>
  <c r="Z66" i="189"/>
  <c r="X88" i="189"/>
  <c r="Y88" i="189"/>
  <c r="Z88" i="189"/>
  <c r="AA88" i="189"/>
  <c r="AB88" i="189"/>
  <c r="AC88" i="189"/>
  <c r="AD88" i="189"/>
  <c r="AE88" i="189"/>
  <c r="X66" i="189"/>
  <c r="Y66" i="189"/>
  <c r="O82" i="189"/>
  <c r="P82" i="189"/>
  <c r="Q82" i="189"/>
  <c r="R82" i="189"/>
  <c r="S82" i="189"/>
  <c r="T82" i="189"/>
  <c r="U82" i="189"/>
  <c r="V82" i="189"/>
  <c r="W82" i="189"/>
  <c r="X82" i="189"/>
  <c r="Y82" i="189"/>
  <c r="Z82" i="189"/>
  <c r="AA82" i="189"/>
  <c r="AB82" i="189"/>
  <c r="AC82" i="189"/>
  <c r="AD82" i="189"/>
  <c r="AE82" i="189"/>
  <c r="O93" i="189"/>
  <c r="P93" i="189"/>
  <c r="Q93" i="189"/>
  <c r="R93" i="189"/>
  <c r="S93" i="189"/>
  <c r="T93" i="189"/>
  <c r="U93" i="189"/>
  <c r="V93" i="189"/>
  <c r="X92" i="189"/>
  <c r="Y92" i="189"/>
  <c r="Z92" i="189"/>
  <c r="AA92" i="189"/>
  <c r="AB92" i="189"/>
  <c r="AC92" i="189"/>
  <c r="AD92" i="189"/>
  <c r="AE92" i="189"/>
  <c r="O92" i="189"/>
  <c r="P92" i="189"/>
  <c r="Q92" i="189"/>
  <c r="R92" i="189"/>
  <c r="S92" i="189"/>
  <c r="T92" i="189"/>
  <c r="U92" i="189"/>
  <c r="V92" i="189"/>
  <c r="M533" i="260" a="1"/>
  <c r="M533" i="260"/>
  <c r="M532" i="260"/>
  <c r="N533" i="260" a="1"/>
  <c r="N533" i="260"/>
  <c r="N532" i="260"/>
  <c r="H533" i="260" a="1"/>
  <c r="H533" i="260"/>
  <c r="H532" i="260"/>
  <c r="O584" i="260" a="1"/>
  <c r="O584" i="260"/>
  <c r="O605" i="260"/>
  <c r="O548" i="260"/>
  <c r="A832" i="260"/>
  <c r="I591" i="260" a="1"/>
  <c r="I591" i="260"/>
  <c r="I612" i="260"/>
  <c r="I582" i="260"/>
  <c r="I587" i="260" a="1"/>
  <c r="I587" i="260"/>
  <c r="I608" i="260"/>
  <c r="I569" i="260"/>
  <c r="I584" i="260" a="1"/>
  <c r="I584" i="260"/>
  <c r="O590" i="260" a="1"/>
  <c r="O590" i="260"/>
  <c r="O611" i="260"/>
  <c r="O563" i="260"/>
  <c r="J532" i="260"/>
  <c r="O587" i="260" a="1"/>
  <c r="O587" i="260"/>
  <c r="O608" i="260"/>
  <c r="O551" i="260"/>
  <c r="I588" i="260" a="1"/>
  <c r="I588" i="260"/>
  <c r="I609" i="260"/>
  <c r="I570" i="260"/>
  <c r="O585" i="260" a="1"/>
  <c r="O585" i="260"/>
  <c r="O606" i="260"/>
  <c r="O567" i="260"/>
  <c r="I590" i="260" a="1"/>
  <c r="I590" i="260"/>
  <c r="I611" i="260"/>
  <c r="I563" i="260"/>
  <c r="K533" i="260" a="1"/>
  <c r="K533" i="260"/>
  <c r="K532" i="260"/>
  <c r="O88" i="189"/>
  <c r="P88" i="189"/>
  <c r="Q88" i="189"/>
  <c r="R88" i="189"/>
  <c r="S88" i="189"/>
  <c r="T88" i="189"/>
  <c r="U88" i="189"/>
  <c r="V88" i="189"/>
  <c r="I586" i="260" a="1"/>
  <c r="I586" i="260"/>
  <c r="I607" i="260"/>
  <c r="I550" i="260"/>
  <c r="I533" i="260" a="1"/>
  <c r="I533" i="260"/>
  <c r="I532" i="260"/>
  <c r="AI88" i="189"/>
  <c r="AJ88" i="189"/>
  <c r="AK88" i="189"/>
  <c r="AL88" i="189"/>
  <c r="AM88" i="189"/>
  <c r="I585" i="260" a="1"/>
  <c r="I585" i="260"/>
  <c r="I606" i="260"/>
  <c r="I549" i="260"/>
  <c r="O589" i="260" a="1"/>
  <c r="O589" i="260"/>
  <c r="O610" i="260"/>
  <c r="O580" i="260"/>
  <c r="O586" i="260" a="1"/>
  <c r="O586" i="260"/>
  <c r="O607" i="260"/>
  <c r="O550" i="260"/>
  <c r="O591" i="260" a="1"/>
  <c r="O591" i="260"/>
  <c r="O612" i="260"/>
  <c r="O582" i="260"/>
  <c r="O533" i="260" a="1"/>
  <c r="O533" i="260"/>
  <c r="O532" i="260"/>
  <c r="I589" i="260" a="1"/>
  <c r="I589" i="260"/>
  <c r="I610" i="260"/>
  <c r="I571" i="260"/>
  <c r="O588" i="260" a="1"/>
  <c r="O588" i="260"/>
  <c r="O609" i="260"/>
  <c r="O579" i="260"/>
  <c r="L533" i="260" a="1"/>
  <c r="L533" i="260"/>
  <c r="L532" i="260"/>
  <c r="E831" i="260"/>
  <c r="A812" i="260"/>
  <c r="E811" i="260"/>
  <c r="A782" i="260"/>
  <c r="E781" i="260"/>
  <c r="A842" i="260"/>
  <c r="E841" i="260"/>
  <c r="A822" i="260"/>
  <c r="E821" i="260"/>
  <c r="A792" i="260"/>
  <c r="E791" i="260"/>
  <c r="E771" i="260"/>
  <c r="A772" i="260"/>
  <c r="H224" i="260" a="1"/>
  <c r="H224" i="260"/>
  <c r="F224" i="260" a="1"/>
  <c r="F224" i="260"/>
  <c r="G222" i="260" a="1"/>
  <c r="G222" i="260"/>
  <c r="H221" i="260" a="1"/>
  <c r="H221" i="260"/>
  <c r="H223" i="260" a="1"/>
  <c r="H223" i="260"/>
  <c r="H219" i="260" a="1"/>
  <c r="H219" i="260"/>
  <c r="G220" i="260" a="1"/>
  <c r="G220" i="260"/>
  <c r="F221" i="260" a="1"/>
  <c r="F221" i="260"/>
  <c r="G223" i="260" a="1"/>
  <c r="G223" i="260"/>
  <c r="F222" i="260" a="1"/>
  <c r="F222" i="260"/>
  <c r="F220" i="260" a="1"/>
  <c r="F220" i="260"/>
  <c r="H220" i="260" a="1"/>
  <c r="H220" i="260"/>
  <c r="F219" i="260" a="1"/>
  <c r="F219" i="260"/>
  <c r="H225" i="260" a="1"/>
  <c r="H225" i="260"/>
  <c r="F225" i="260" a="1"/>
  <c r="F225" i="260"/>
  <c r="G219" i="260" a="1"/>
  <c r="G219" i="260"/>
  <c r="G224" i="260" a="1"/>
  <c r="G224" i="260"/>
  <c r="H222" i="260" a="1"/>
  <c r="H222" i="260"/>
  <c r="G225" i="260" a="1"/>
  <c r="G225" i="260"/>
  <c r="F223" i="260" a="1"/>
  <c r="F223" i="260"/>
  <c r="G221" i="260" a="1"/>
  <c r="G221" i="260"/>
  <c r="N196" i="260"/>
  <c r="E481" i="260"/>
  <c r="N56" i="189"/>
  <c r="AH56" i="189"/>
  <c r="AR56" i="189"/>
  <c r="AS56" i="189"/>
  <c r="AT56" i="189"/>
  <c r="AU56" i="189"/>
  <c r="L127" i="260"/>
  <c r="P144" i="260"/>
  <c r="J196" i="260"/>
  <c r="E477" i="260"/>
  <c r="X74" i="189"/>
  <c r="Y74" i="189"/>
  <c r="Z74" i="189"/>
  <c r="AA74" i="189"/>
  <c r="AB74" i="189"/>
  <c r="AC74" i="189"/>
  <c r="AD74" i="189"/>
  <c r="AE74" i="189"/>
  <c r="AG54" i="189"/>
  <c r="AQ54" i="189"/>
  <c r="N54" i="189"/>
  <c r="AH54" i="189"/>
  <c r="P107" i="260"/>
  <c r="M112" i="260"/>
  <c r="P141" i="260"/>
  <c r="M132" i="260"/>
  <c r="BP72" i="259" a="1"/>
  <c r="BP72" i="259"/>
  <c r="BP73" i="259" a="1"/>
  <c r="BP73" i="259"/>
  <c r="BP52" i="259" a="1"/>
  <c r="BP52" i="259"/>
  <c r="BP54" i="259" a="1"/>
  <c r="BP54" i="259"/>
  <c r="BP48" i="259" a="1"/>
  <c r="BP48" i="259"/>
  <c r="N143" i="260"/>
  <c r="BH55" i="259" a="1"/>
  <c r="BH55" i="259"/>
  <c r="BH57" i="259" a="1"/>
  <c r="BH57" i="259"/>
  <c r="BH67" i="259" a="1"/>
  <c r="BH67" i="259"/>
  <c r="I122" i="260"/>
  <c r="F237" i="260" a="1"/>
  <c r="F237" i="260"/>
  <c r="F514" i="260"/>
  <c r="F478" i="260"/>
  <c r="F487" i="260"/>
  <c r="F496" i="260"/>
  <c r="F505" i="260"/>
  <c r="F516" i="260"/>
  <c r="F498" i="260"/>
  <c r="F507" i="260"/>
  <c r="BH62" i="259" a="1"/>
  <c r="BH62" i="259"/>
  <c r="F480" i="260"/>
  <c r="F489" i="260"/>
  <c r="N101" i="260"/>
  <c r="N127" i="260"/>
  <c r="I153" i="260"/>
  <c r="O122" i="260"/>
  <c r="F296" i="260" a="1"/>
  <c r="F296" i="260"/>
  <c r="K153" i="260"/>
  <c r="K158" i="260"/>
  <c r="L132" i="260"/>
  <c r="L158" i="260"/>
  <c r="P148" i="260"/>
  <c r="P138" i="260"/>
  <c r="F441" i="260" a="1"/>
  <c r="F441" i="260"/>
  <c r="F443" i="260" a="1"/>
  <c r="F443" i="260"/>
  <c r="F442" i="260" a="1"/>
  <c r="F442" i="260"/>
  <c r="G113" i="324"/>
  <c r="P154" i="260"/>
  <c r="P153" i="260"/>
  <c r="F444" i="260" a="1"/>
  <c r="F444" i="260"/>
  <c r="J132" i="260"/>
  <c r="J143" i="260"/>
  <c r="M122" i="260"/>
  <c r="M101" i="260"/>
  <c r="P150" i="260"/>
  <c r="I143" i="260"/>
  <c r="P125" i="260"/>
  <c r="P122" i="260"/>
  <c r="J112" i="260"/>
  <c r="F245" i="260" a="1"/>
  <c r="F245" i="260"/>
  <c r="P113" i="260"/>
  <c r="K101" i="260"/>
  <c r="K127" i="260"/>
  <c r="P104" i="260"/>
  <c r="P115" i="260"/>
  <c r="M143" i="260"/>
  <c r="O132" i="260"/>
  <c r="O158" i="260"/>
  <c r="P133" i="260"/>
  <c r="X73" i="189"/>
  <c r="Y73" i="189"/>
  <c r="Z73" i="189"/>
  <c r="AA73" i="189"/>
  <c r="AB73" i="189"/>
  <c r="AC73" i="189"/>
  <c r="AD73" i="189"/>
  <c r="AE73" i="189"/>
  <c r="O74" i="189"/>
  <c r="P74" i="189"/>
  <c r="Q74" i="189"/>
  <c r="R74" i="189"/>
  <c r="S74" i="189"/>
  <c r="T74" i="189"/>
  <c r="U74" i="189"/>
  <c r="V74" i="189"/>
  <c r="H254" i="260" a="1"/>
  <c r="H254" i="260"/>
  <c r="H127" i="260"/>
  <c r="G283" i="260" a="1"/>
  <c r="G283" i="260"/>
  <c r="F285" i="260" a="1"/>
  <c r="F285" i="260"/>
  <c r="I108" i="203"/>
  <c r="I99" i="189"/>
  <c r="H106" i="189"/>
  <c r="K196" i="260"/>
  <c r="E478" i="260"/>
  <c r="G110" i="324"/>
  <c r="H253" i="260" a="1"/>
  <c r="H253" i="260"/>
  <c r="F252" i="260" a="1"/>
  <c r="F252" i="260"/>
  <c r="H158" i="260"/>
  <c r="G238" i="260" a="1"/>
  <c r="G238" i="260"/>
  <c r="H287" i="260" a="1"/>
  <c r="H287" i="260"/>
  <c r="G267" i="260" a="1"/>
  <c r="G267" i="260"/>
  <c r="H263" i="260" a="1"/>
  <c r="H263" i="260"/>
  <c r="G292" i="260" a="1"/>
  <c r="G292" i="260"/>
  <c r="G268" i="260" a="1"/>
  <c r="G268" i="260"/>
  <c r="H282" i="260" a="1"/>
  <c r="H282" i="260"/>
  <c r="W70" i="260" a="1"/>
  <c r="W70" i="260"/>
  <c r="H286" i="260" a="1"/>
  <c r="H286" i="260"/>
  <c r="H285" i="260" a="1"/>
  <c r="H285" i="260"/>
  <c r="O73" i="189"/>
  <c r="P73" i="189"/>
  <c r="Q73" i="189"/>
  <c r="R73" i="189"/>
  <c r="S73" i="189"/>
  <c r="T73" i="189"/>
  <c r="U73" i="189"/>
  <c r="V73" i="189"/>
  <c r="G245" i="260" a="1"/>
  <c r="G245" i="260"/>
  <c r="G293" i="260" a="1"/>
  <c r="G293" i="260"/>
  <c r="I107" i="203"/>
  <c r="G112" i="324"/>
  <c r="G262" i="260" a="1"/>
  <c r="G262" i="260"/>
  <c r="G237" i="260" a="1"/>
  <c r="G237" i="260"/>
  <c r="G105" i="324"/>
  <c r="G91" i="324"/>
  <c r="H276" i="260" a="1"/>
  <c r="H276" i="260"/>
  <c r="F264" i="260" a="1"/>
  <c r="F264" i="260"/>
  <c r="G232" i="260" a="1"/>
  <c r="G232" i="260"/>
  <c r="H258" i="260" a="1"/>
  <c r="H258" i="260"/>
  <c r="F255" i="260" a="1"/>
  <c r="F255" i="260"/>
  <c r="F267" i="260" a="1"/>
  <c r="F267" i="260"/>
  <c r="H281" i="260" a="1"/>
  <c r="H281" i="260"/>
  <c r="H273" i="260" a="1"/>
  <c r="H273" i="260"/>
  <c r="G263" i="260" a="1"/>
  <c r="G263" i="260"/>
  <c r="H226" i="260" a="1"/>
  <c r="H226" i="260"/>
  <c r="H284" i="260" a="1"/>
  <c r="H284" i="260"/>
  <c r="G234" i="260" a="1"/>
  <c r="G234" i="260"/>
  <c r="G276" i="260" a="1"/>
  <c r="G276" i="260"/>
  <c r="H294" i="260" a="1"/>
  <c r="H294" i="260"/>
  <c r="L1744" i="260"/>
  <c r="L1741" i="260"/>
  <c r="L1742" i="260"/>
  <c r="L1739" i="260"/>
  <c r="H233" i="260" a="1"/>
  <c r="H233" i="260"/>
  <c r="G255" i="260" a="1"/>
  <c r="G255" i="260"/>
  <c r="H237" i="260" a="1"/>
  <c r="H237" i="260"/>
  <c r="G248" i="260" a="1"/>
  <c r="G248" i="260"/>
  <c r="I118" i="203"/>
  <c r="I109" i="203"/>
  <c r="G226" i="260" a="1"/>
  <c r="G226" i="260"/>
  <c r="Q68" i="260" a="1"/>
  <c r="Q68" i="260"/>
  <c r="G114" i="324"/>
  <c r="F287" i="260" a="1"/>
  <c r="F287" i="260"/>
  <c r="F261" i="260" a="1"/>
  <c r="F261" i="260"/>
  <c r="F251" i="260" a="1"/>
  <c r="F251" i="260"/>
  <c r="H262" i="260" a="1"/>
  <c r="H262" i="260"/>
  <c r="G291" i="260" a="1"/>
  <c r="G291" i="260"/>
  <c r="H292" i="260" a="1"/>
  <c r="H292" i="260"/>
  <c r="G275" i="260" a="1"/>
  <c r="G275" i="260"/>
  <c r="G243" i="260" a="1"/>
  <c r="G243" i="260"/>
  <c r="H234" i="260" a="1"/>
  <c r="H234" i="260"/>
  <c r="G264" i="260" a="1"/>
  <c r="G264" i="260"/>
  <c r="H231" i="260" a="1"/>
  <c r="H231" i="260"/>
  <c r="G236" i="260" a="1"/>
  <c r="G236" i="260"/>
  <c r="G196" i="260"/>
  <c r="E474" i="260"/>
  <c r="G256" i="260" a="1"/>
  <c r="G256" i="260"/>
  <c r="G246" i="260" a="1"/>
  <c r="G246" i="260"/>
  <c r="G287" i="260" a="1"/>
  <c r="G287" i="260"/>
  <c r="H265" i="260" a="1"/>
  <c r="H265" i="260"/>
  <c r="G274" i="260" a="1"/>
  <c r="G274" i="260"/>
  <c r="H236" i="260" a="1"/>
  <c r="H236" i="260"/>
  <c r="G272" i="260" a="1"/>
  <c r="G272" i="260"/>
  <c r="G295" i="260" a="1"/>
  <c r="G295" i="260"/>
  <c r="G297" i="260" a="1"/>
  <c r="G297" i="260"/>
  <c r="H256" i="260" a="1"/>
  <c r="H256" i="260"/>
  <c r="H296" i="260" a="1"/>
  <c r="H296" i="260"/>
  <c r="H238" i="260" a="1"/>
  <c r="H238" i="260"/>
  <c r="H247" i="260" a="1"/>
  <c r="H247" i="260"/>
  <c r="G277" i="260" a="1"/>
  <c r="G277" i="260"/>
  <c r="G266" i="260" a="1"/>
  <c r="G266" i="260"/>
  <c r="G235" i="260" a="1"/>
  <c r="G235" i="260"/>
  <c r="G233" i="260" a="1"/>
  <c r="G233" i="260"/>
  <c r="H293" i="260" a="1"/>
  <c r="H293" i="260"/>
  <c r="H261" i="260" a="1"/>
  <c r="H261" i="260"/>
  <c r="K1739" i="260"/>
  <c r="K1741" i="260"/>
  <c r="K1742" i="260"/>
  <c r="K1744" i="260"/>
  <c r="G251" i="260" a="1"/>
  <c r="G251" i="260"/>
  <c r="H295" i="260" a="1"/>
  <c r="H295" i="260"/>
  <c r="H244" i="260" a="1"/>
  <c r="H244" i="260"/>
  <c r="G252" i="260" a="1"/>
  <c r="G252" i="260"/>
  <c r="G273" i="260" a="1"/>
  <c r="G273" i="260"/>
  <c r="I106" i="203"/>
  <c r="I113" i="203"/>
  <c r="F283" i="260" a="1"/>
  <c r="F283" i="260"/>
  <c r="F227" i="260" a="1"/>
  <c r="F227" i="260"/>
  <c r="F254" i="260" a="1"/>
  <c r="F254" i="260"/>
  <c r="G258" i="260" a="1"/>
  <c r="G258" i="260"/>
  <c r="H235" i="260" a="1"/>
  <c r="H235" i="260"/>
  <c r="F282" i="260" a="1"/>
  <c r="F282" i="260"/>
  <c r="CQ246" i="259" a="1"/>
  <c r="CQ246" i="259"/>
  <c r="F256" i="260" a="1"/>
  <c r="F256" i="260"/>
  <c r="H283" i="260" a="1"/>
  <c r="H283" i="260"/>
  <c r="G285" i="260" a="1"/>
  <c r="G285" i="260"/>
  <c r="H243" i="260" a="1"/>
  <c r="H243" i="260"/>
  <c r="H291" i="260" a="1"/>
  <c r="H291" i="260"/>
  <c r="H297" i="260" a="1"/>
  <c r="H297" i="260"/>
  <c r="I115" i="203"/>
  <c r="F263" i="260" a="1"/>
  <c r="F263" i="260"/>
  <c r="F253" i="260" a="1"/>
  <c r="F253" i="260"/>
  <c r="G254" i="260" a="1"/>
  <c r="G254" i="260"/>
  <c r="H271" i="260" a="1"/>
  <c r="H271" i="260"/>
  <c r="H257" i="260" a="1"/>
  <c r="H257" i="260"/>
  <c r="H275" i="260" a="1"/>
  <c r="H275" i="260"/>
  <c r="H299" i="260" a="1"/>
  <c r="H299" i="260"/>
  <c r="H266" i="260" a="1"/>
  <c r="H266" i="260"/>
  <c r="G284" i="260" a="1"/>
  <c r="G284" i="260"/>
  <c r="G281" i="260" a="1"/>
  <c r="G281" i="260"/>
  <c r="G299" i="260" a="1"/>
  <c r="G299" i="260"/>
  <c r="H268" i="260" a="1"/>
  <c r="H268" i="260"/>
  <c r="G265" i="260" a="1"/>
  <c r="G265" i="260"/>
  <c r="H298" i="260" a="1"/>
  <c r="H298" i="260"/>
  <c r="G271" i="260" a="1"/>
  <c r="G271" i="260"/>
  <c r="N1741" i="260"/>
  <c r="N1739" i="260"/>
  <c r="N1744" i="260"/>
  <c r="N1742" i="260"/>
  <c r="J1744" i="260"/>
  <c r="J1742" i="260"/>
  <c r="J1739" i="260"/>
  <c r="J1741" i="260"/>
  <c r="H248" i="260" a="1"/>
  <c r="H248" i="260"/>
  <c r="F268" i="260" a="1"/>
  <c r="F268" i="260"/>
  <c r="F262" i="260" a="1"/>
  <c r="F262" i="260"/>
  <c r="H255" i="260" a="1"/>
  <c r="H255" i="260"/>
  <c r="G286" i="260" a="1"/>
  <c r="G286" i="260"/>
  <c r="F265" i="260" a="1"/>
  <c r="F265" i="260"/>
  <c r="F266" i="260" a="1"/>
  <c r="F266" i="260"/>
  <c r="G241" i="260" a="1"/>
  <c r="G241" i="260"/>
  <c r="H277" i="260" a="1"/>
  <c r="H277" i="260"/>
  <c r="G244" i="260" a="1"/>
  <c r="G244" i="260"/>
  <c r="G242" i="260" a="1"/>
  <c r="G242" i="260"/>
  <c r="G261" i="260" a="1"/>
  <c r="G261" i="260"/>
  <c r="G278" i="260" a="1"/>
  <c r="G278" i="260"/>
  <c r="N58" i="189"/>
  <c r="O58" i="189"/>
  <c r="P58" i="189"/>
  <c r="F288" i="260" a="1"/>
  <c r="F288" i="260"/>
  <c r="F281" i="260" a="1"/>
  <c r="F281" i="260"/>
  <c r="F257" i="260" a="1"/>
  <c r="F257" i="260"/>
  <c r="H252" i="260" a="1"/>
  <c r="H252" i="260"/>
  <c r="G247" i="260" a="1"/>
  <c r="G247" i="260"/>
  <c r="G288" i="260" a="1"/>
  <c r="G288" i="260"/>
  <c r="G231" i="260" a="1"/>
  <c r="G231" i="260"/>
  <c r="H288" i="260" a="1"/>
  <c r="H288" i="260"/>
  <c r="H246" i="260" a="1"/>
  <c r="H246" i="260"/>
  <c r="H267" i="260" a="1"/>
  <c r="H267" i="260"/>
  <c r="H274" i="260" a="1"/>
  <c r="H274" i="260"/>
  <c r="G227" i="260" a="1"/>
  <c r="G227" i="260"/>
  <c r="F226" i="260" a="1"/>
  <c r="F226" i="260"/>
  <c r="I1741" i="260"/>
  <c r="I1744" i="260"/>
  <c r="I1739" i="260"/>
  <c r="I1742" i="260"/>
  <c r="F1741" i="260"/>
  <c r="F1744" i="260"/>
  <c r="F1742" i="260"/>
  <c r="F1739" i="260"/>
  <c r="H245" i="260" a="1"/>
  <c r="H245" i="260"/>
  <c r="G298" i="260" a="1"/>
  <c r="G298" i="260"/>
  <c r="G282" i="260" a="1"/>
  <c r="G282" i="260"/>
  <c r="I105" i="203"/>
  <c r="H227" i="260" a="1"/>
  <c r="H227" i="260"/>
  <c r="H272" i="260" a="1"/>
  <c r="H272" i="260"/>
  <c r="M1741" i="260"/>
  <c r="M1739" i="260"/>
  <c r="M1744" i="260"/>
  <c r="M1742" i="260"/>
  <c r="I110" i="203"/>
  <c r="H242" i="260" a="1"/>
  <c r="H242" i="260"/>
  <c r="F286" i="260" a="1"/>
  <c r="F286" i="260"/>
  <c r="G296" i="260" a="1"/>
  <c r="G296" i="260"/>
  <c r="H264" i="260" a="1"/>
  <c r="H264" i="260"/>
  <c r="G294" i="260" a="1"/>
  <c r="G294" i="260"/>
  <c r="H1739" i="260"/>
  <c r="H1741" i="260"/>
  <c r="H1742" i="260"/>
  <c r="H1744" i="260"/>
  <c r="F284" i="260" a="1"/>
  <c r="F284" i="260"/>
  <c r="F258" i="260" a="1"/>
  <c r="F258" i="260"/>
  <c r="G253" i="260" a="1"/>
  <c r="G253" i="260"/>
  <c r="H232" i="260" a="1"/>
  <c r="H232" i="260"/>
  <c r="G257" i="260" a="1"/>
  <c r="G257" i="260"/>
  <c r="H278" i="260" a="1"/>
  <c r="H278" i="260"/>
  <c r="G230" i="260" a="1"/>
  <c r="G230" i="260"/>
  <c r="O1739" i="260"/>
  <c r="O1744" i="260"/>
  <c r="O1741" i="260"/>
  <c r="O1742" i="260"/>
  <c r="G1739" i="260"/>
  <c r="G1742" i="260"/>
  <c r="G1741" i="260"/>
  <c r="G1744" i="260"/>
  <c r="H251" i="260" a="1"/>
  <c r="H251" i="260"/>
  <c r="H230" i="260" a="1"/>
  <c r="H230" i="260"/>
  <c r="H241" i="260" a="1"/>
  <c r="H241" i="260"/>
  <c r="H70" i="324"/>
  <c r="H82" i="324"/>
  <c r="H110" i="324"/>
  <c r="M71" i="260" a="1"/>
  <c r="M71" i="260"/>
  <c r="AG55" i="189"/>
  <c r="AQ55" i="189"/>
  <c r="CA150" i="259" a="1"/>
  <c r="CA150" i="259"/>
  <c r="CS207" i="259" a="1"/>
  <c r="CS207" i="259"/>
  <c r="G109" i="324"/>
  <c r="H68" i="324"/>
  <c r="H80" i="324"/>
  <c r="H92" i="324"/>
  <c r="K68" i="260" a="1"/>
  <c r="K68" i="260"/>
  <c r="F118" i="324"/>
  <c r="F124" i="324"/>
  <c r="F129" i="324"/>
  <c r="Y67" i="260" a="1"/>
  <c r="Y67" i="260"/>
  <c r="W73" i="260" a="1"/>
  <c r="W73" i="260"/>
  <c r="F67" i="260" a="1"/>
  <c r="F67" i="260"/>
  <c r="H73" i="324"/>
  <c r="H85" i="324"/>
  <c r="H97" i="324"/>
  <c r="I75" i="324"/>
  <c r="I70" i="324"/>
  <c r="I82" i="324"/>
  <c r="L71" i="260" a="1"/>
  <c r="L71" i="260"/>
  <c r="I71" i="260" a="1"/>
  <c r="I71" i="260"/>
  <c r="X72" i="260" a="1"/>
  <c r="X72" i="260"/>
  <c r="H69" i="324"/>
  <c r="H81" i="324"/>
  <c r="H93" i="324"/>
  <c r="H74" i="324"/>
  <c r="H86" i="324"/>
  <c r="H98" i="324"/>
  <c r="F117" i="324"/>
  <c r="F123" i="324"/>
  <c r="F128" i="324"/>
  <c r="I74" i="260" a="1"/>
  <c r="I74" i="260"/>
  <c r="G95" i="324"/>
  <c r="G111" i="324"/>
  <c r="G90" i="324"/>
  <c r="G106" i="324"/>
  <c r="Y73" i="260" a="1"/>
  <c r="Y73" i="260"/>
  <c r="T68" i="260" a="1"/>
  <c r="T68" i="260"/>
  <c r="M73" i="260" a="1"/>
  <c r="M73" i="260"/>
  <c r="AG53" i="189"/>
  <c r="AQ53" i="189"/>
  <c r="F119" i="324"/>
  <c r="F125" i="324"/>
  <c r="F130" i="324"/>
  <c r="H67" i="324"/>
  <c r="H79" i="324"/>
  <c r="H107" i="324"/>
  <c r="P70" i="260" a="1"/>
  <c r="P70" i="260"/>
  <c r="F73" i="260" a="1"/>
  <c r="F73" i="260"/>
  <c r="F72" i="260" a="1"/>
  <c r="F72" i="260"/>
  <c r="J73" i="260" a="1"/>
  <c r="J73" i="260"/>
  <c r="F74" i="260" a="1"/>
  <c r="F74" i="260"/>
  <c r="U70" i="260" a="1"/>
  <c r="U70" i="260"/>
  <c r="AG57" i="189"/>
  <c r="AQ57" i="189"/>
  <c r="H66" i="324"/>
  <c r="H78" i="324"/>
  <c r="H106" i="324"/>
  <c r="H65" i="324"/>
  <c r="H77" i="324"/>
  <c r="H105" i="324"/>
  <c r="W71" i="260" a="1"/>
  <c r="W71" i="260"/>
  <c r="L69" i="260" a="1"/>
  <c r="L69" i="260"/>
  <c r="CR172" i="259" a="1"/>
  <c r="CR172" i="259"/>
  <c r="BW188" i="259" a="1"/>
  <c r="BW188" i="259"/>
  <c r="H71" i="324"/>
  <c r="H83" i="324"/>
  <c r="H111" i="324"/>
  <c r="DA127" i="259" a="1"/>
  <c r="DA127" i="259"/>
  <c r="O83" i="189"/>
  <c r="P83" i="189"/>
  <c r="Q83" i="189"/>
  <c r="R83" i="189"/>
  <c r="S83" i="189"/>
  <c r="T83" i="189"/>
  <c r="U83" i="189"/>
  <c r="V83" i="189"/>
  <c r="W83" i="189"/>
  <c r="X83" i="189"/>
  <c r="Y83" i="189"/>
  <c r="Z83" i="189"/>
  <c r="AA83" i="189"/>
  <c r="AB83" i="189"/>
  <c r="AC83" i="189"/>
  <c r="AD83" i="189"/>
  <c r="AE83" i="189"/>
  <c r="AH83" i="189"/>
  <c r="CB132" i="259" a="1"/>
  <c r="CB132" i="259"/>
  <c r="J74" i="260" a="1"/>
  <c r="J74" i="260"/>
  <c r="Y70" i="260" a="1"/>
  <c r="Y70" i="260"/>
  <c r="P73" i="260" a="1"/>
  <c r="P73" i="260"/>
  <c r="R68" i="260" a="1"/>
  <c r="R68" i="260"/>
  <c r="K73" i="260" a="1"/>
  <c r="K73" i="260"/>
  <c r="S70" i="260" a="1"/>
  <c r="S70" i="260"/>
  <c r="N68" i="260" a="1"/>
  <c r="N68" i="260"/>
  <c r="R70" i="260" a="1"/>
  <c r="R70" i="260"/>
  <c r="H68" i="260" a="1"/>
  <c r="H68" i="260"/>
  <c r="Y69" i="260" a="1"/>
  <c r="Y69" i="260"/>
  <c r="BT131" i="259" a="1"/>
  <c r="BT131" i="259"/>
  <c r="CJ151" i="259" a="1"/>
  <c r="CJ151" i="259"/>
  <c r="CO189" i="259" a="1"/>
  <c r="CO189" i="259"/>
  <c r="CQ209" i="259" a="1"/>
  <c r="CQ209" i="259"/>
  <c r="CD192" i="259" a="1"/>
  <c r="CD192" i="259"/>
  <c r="K69" i="260" a="1"/>
  <c r="K69" i="260"/>
  <c r="O74" i="260" a="1"/>
  <c r="O74" i="260"/>
  <c r="X70" i="260" a="1"/>
  <c r="X70" i="260"/>
  <c r="R67" i="260" a="1"/>
  <c r="R67" i="260"/>
  <c r="N73" i="260" a="1"/>
  <c r="N73" i="260"/>
  <c r="W72" i="260" a="1"/>
  <c r="W72" i="260"/>
  <c r="K70" i="260" a="1"/>
  <c r="K70" i="260"/>
  <c r="F68" i="260" a="1"/>
  <c r="F68" i="260"/>
  <c r="V68" i="260" a="1"/>
  <c r="V68" i="260"/>
  <c r="Q70" i="260" a="1"/>
  <c r="Q70" i="260"/>
  <c r="U72" i="260" a="1"/>
  <c r="U72" i="260"/>
  <c r="F70" i="260" a="1"/>
  <c r="F70" i="260"/>
  <c r="U67" i="260" a="1"/>
  <c r="U67" i="260"/>
  <c r="J67" i="260" a="1"/>
  <c r="J67" i="260"/>
  <c r="Y74" i="260" a="1"/>
  <c r="Y74" i="260"/>
  <c r="O72" i="260" a="1"/>
  <c r="O72" i="260"/>
  <c r="R69" i="260" a="1"/>
  <c r="R69" i="260"/>
  <c r="P67" i="260" a="1"/>
  <c r="P67" i="260"/>
  <c r="I70" i="260" a="1"/>
  <c r="I70" i="260"/>
  <c r="W67" i="260" a="1"/>
  <c r="W67" i="260"/>
  <c r="BX211" i="259" a="1"/>
  <c r="BX211" i="259"/>
  <c r="CV229" i="259" a="1"/>
  <c r="CV229" i="259"/>
  <c r="CF212" i="259" a="1"/>
  <c r="CF212" i="259"/>
  <c r="CN231" i="259" a="1"/>
  <c r="CN231" i="259"/>
  <c r="V69" i="260" a="1"/>
  <c r="V69" i="260"/>
  <c r="O68" i="260" a="1"/>
  <c r="O68" i="260"/>
  <c r="V70" i="260" a="1"/>
  <c r="V70" i="260"/>
  <c r="H73" i="260" a="1"/>
  <c r="H73" i="260"/>
  <c r="Y68" i="260" a="1"/>
  <c r="Y68" i="260"/>
  <c r="CB153" i="259" a="1"/>
  <c r="CB153" i="259"/>
  <c r="S68" i="260" a="1"/>
  <c r="S68" i="260"/>
  <c r="J68" i="260" a="1"/>
  <c r="J68" i="260"/>
  <c r="M70" i="260" a="1"/>
  <c r="M70" i="260"/>
  <c r="T72" i="260" a="1"/>
  <c r="T72" i="260"/>
  <c r="U73" i="260" a="1"/>
  <c r="U73" i="260"/>
  <c r="V72" i="260" a="1"/>
  <c r="V72" i="260"/>
  <c r="H71" i="260" a="1"/>
  <c r="H71" i="260"/>
  <c r="S67" i="260" a="1"/>
  <c r="S67" i="260"/>
  <c r="Q72" i="260" a="1"/>
  <c r="Q72" i="260"/>
  <c r="X71" i="260" a="1"/>
  <c r="X71" i="260"/>
  <c r="N69" i="260" a="1"/>
  <c r="N69" i="260"/>
  <c r="R73" i="260" a="1"/>
  <c r="R73" i="260"/>
  <c r="BT168" i="259" a="1"/>
  <c r="BT168" i="259"/>
  <c r="G67" i="260" a="1"/>
  <c r="G67" i="260"/>
  <c r="P71" i="260" a="1"/>
  <c r="P71" i="260"/>
  <c r="W69" i="260" a="1"/>
  <c r="W69" i="260"/>
  <c r="W74" i="260" a="1"/>
  <c r="W74" i="260"/>
  <c r="X74" i="260" a="1"/>
  <c r="X74" i="260"/>
  <c r="N72" i="260" a="1"/>
  <c r="N72" i="260"/>
  <c r="Q69" i="260" a="1"/>
  <c r="Q69" i="260"/>
  <c r="O67" i="260" a="1"/>
  <c r="O67" i="260"/>
  <c r="V71" i="260" a="1"/>
  <c r="V71" i="260"/>
  <c r="V74" i="260" a="1"/>
  <c r="V74" i="260"/>
  <c r="L72" i="260" a="1"/>
  <c r="L72" i="260"/>
  <c r="O69" i="260" a="1"/>
  <c r="O69" i="260"/>
  <c r="L67" i="260" a="1"/>
  <c r="L67" i="260"/>
  <c r="G71" i="260" a="1"/>
  <c r="G71" i="260"/>
  <c r="Q74" i="260" a="1"/>
  <c r="Q74" i="260"/>
  <c r="U71" i="260" a="1"/>
  <c r="U71" i="260"/>
  <c r="I69" i="260" a="1"/>
  <c r="I69" i="260"/>
  <c r="U68" i="260" a="1"/>
  <c r="U68" i="260"/>
  <c r="K71" i="260" a="1"/>
  <c r="K71" i="260"/>
  <c r="J70" i="260" a="1"/>
  <c r="J70" i="260"/>
  <c r="BV128" i="259" a="1"/>
  <c r="BV128" i="259"/>
  <c r="CU131" i="259" a="1"/>
  <c r="CU131" i="259"/>
  <c r="G72" i="260" a="1"/>
  <c r="G72" i="260"/>
  <c r="P69" i="260" a="1"/>
  <c r="P69" i="260"/>
  <c r="M68" i="260" a="1"/>
  <c r="M68" i="260"/>
  <c r="L68" i="260" a="1"/>
  <c r="L68" i="260"/>
  <c r="L70" i="260" a="1"/>
  <c r="L70" i="260"/>
  <c r="CP190" i="259" a="1"/>
  <c r="CP190" i="259"/>
  <c r="Y72" i="260" a="1"/>
  <c r="Y72" i="260"/>
  <c r="L73" i="260" a="1"/>
  <c r="L73" i="260"/>
  <c r="J71" i="260" a="1"/>
  <c r="J71" i="260"/>
  <c r="G73" i="260" a="1"/>
  <c r="G73" i="260"/>
  <c r="T67" i="260" a="1"/>
  <c r="T67" i="260"/>
  <c r="P72" i="260" a="1"/>
  <c r="P72" i="260"/>
  <c r="S72" i="260" a="1"/>
  <c r="S72" i="260"/>
  <c r="O70" i="260" a="1"/>
  <c r="O70" i="260"/>
  <c r="S69" i="260" a="1"/>
  <c r="S69" i="260"/>
  <c r="U74" i="260" a="1"/>
  <c r="U74" i="260"/>
  <c r="K74" i="260" a="1"/>
  <c r="K74" i="260"/>
  <c r="CU226" i="259" a="1"/>
  <c r="CU226" i="259"/>
  <c r="O73" i="260" a="1"/>
  <c r="O73" i="260"/>
  <c r="Q71" i="260" a="1"/>
  <c r="Q71" i="260"/>
  <c r="G70" i="260" a="1"/>
  <c r="G70" i="260"/>
  <c r="X73" i="260" a="1"/>
  <c r="X73" i="260"/>
  <c r="Q73" i="260" a="1"/>
  <c r="Q73" i="260"/>
  <c r="T74" i="260" a="1"/>
  <c r="T74" i="260"/>
  <c r="J72" i="260" a="1"/>
  <c r="J72" i="260"/>
  <c r="M69" i="260" a="1"/>
  <c r="M69" i="260"/>
  <c r="I67" i="260" a="1"/>
  <c r="I67" i="260"/>
  <c r="T69" i="260" a="1"/>
  <c r="T69" i="260"/>
  <c r="R74" i="260" a="1"/>
  <c r="R74" i="260"/>
  <c r="Y71" i="260" a="1"/>
  <c r="Y71" i="260"/>
  <c r="J69" i="260" a="1"/>
  <c r="J69" i="260"/>
  <c r="K67" i="260" a="1"/>
  <c r="K67" i="260"/>
  <c r="H74" i="260" a="1"/>
  <c r="H74" i="260"/>
  <c r="G74" i="260" a="1"/>
  <c r="G74" i="260"/>
  <c r="N71" i="260" a="1"/>
  <c r="N71" i="260"/>
  <c r="X68" i="260" a="1"/>
  <c r="X68" i="260"/>
  <c r="M74" i="260" a="1"/>
  <c r="M74" i="260"/>
  <c r="X67" i="260" a="1"/>
  <c r="X67" i="260"/>
  <c r="CM151" i="259" a="1"/>
  <c r="CM151" i="259"/>
  <c r="BT247" i="259" a="1"/>
  <c r="BT247" i="259"/>
  <c r="BW210" i="259" a="1"/>
  <c r="BW210" i="259"/>
  <c r="CC231" i="259" a="1"/>
  <c r="CC231" i="259"/>
  <c r="CD210" i="259" a="1"/>
  <c r="CD210" i="259"/>
  <c r="N74" i="260" a="1"/>
  <c r="N74" i="260"/>
  <c r="T73" i="260" a="1"/>
  <c r="T73" i="260"/>
  <c r="H67" i="260" a="1"/>
  <c r="H67" i="260"/>
  <c r="H72" i="260" a="1"/>
  <c r="H72" i="260"/>
  <c r="G68" i="260" a="1"/>
  <c r="G68" i="260"/>
  <c r="CJ191" i="259" a="1"/>
  <c r="CJ191" i="259"/>
  <c r="CX248" i="259" a="1"/>
  <c r="CX248" i="259"/>
  <c r="M67" i="260" a="1"/>
  <c r="M67" i="260"/>
  <c r="T70" i="260" a="1"/>
  <c r="T70" i="260"/>
  <c r="I73" i="260" a="1"/>
  <c r="I73" i="260"/>
  <c r="I72" i="260" a="1"/>
  <c r="I72" i="260"/>
  <c r="N67" i="260" a="1"/>
  <c r="N67" i="260"/>
  <c r="I68" i="260" a="1"/>
  <c r="I68" i="260"/>
  <c r="U69" i="260" a="1"/>
  <c r="U69" i="260"/>
  <c r="X69" i="260" a="1"/>
  <c r="X69" i="260"/>
  <c r="R71" i="260" a="1"/>
  <c r="R71" i="260"/>
  <c r="Q67" i="260" a="1"/>
  <c r="Q67" i="260"/>
  <c r="K72" i="260" a="1"/>
  <c r="K72" i="260"/>
  <c r="DB108" i="259" a="1"/>
  <c r="DB108" i="259"/>
  <c r="CV249" i="259" a="1"/>
  <c r="CV249" i="259"/>
  <c r="S74" i="260" a="1"/>
  <c r="S74" i="260"/>
  <c r="V67" i="260" a="1"/>
  <c r="V67" i="260"/>
  <c r="G69" i="260" a="1"/>
  <c r="G69" i="260"/>
  <c r="R72" i="260" a="1"/>
  <c r="R72" i="260"/>
  <c r="M72" i="260" a="1"/>
  <c r="M72" i="260"/>
  <c r="P74" i="260" a="1"/>
  <c r="P74" i="260"/>
  <c r="T71" i="260" a="1"/>
  <c r="T71" i="260"/>
  <c r="H69" i="260" a="1"/>
  <c r="H69" i="260"/>
  <c r="W68" i="260" a="1"/>
  <c r="W68" i="260"/>
  <c r="S73" i="260" a="1"/>
  <c r="S73" i="260"/>
  <c r="L74" i="260" a="1"/>
  <c r="L74" i="260"/>
  <c r="O71" i="260" a="1"/>
  <c r="O71" i="260"/>
  <c r="F69" i="260" a="1"/>
  <c r="F69" i="260"/>
  <c r="N70" i="260" a="1"/>
  <c r="N70" i="260"/>
  <c r="H70" i="260" a="1"/>
  <c r="H70" i="260"/>
  <c r="V73" i="260" a="1"/>
  <c r="V73" i="260"/>
  <c r="F71" i="260" a="1"/>
  <c r="F71" i="260"/>
  <c r="P68" i="260" a="1"/>
  <c r="P68" i="260"/>
  <c r="S71" i="260" a="1"/>
  <c r="S71" i="260"/>
  <c r="CZ151" i="259" a="1"/>
  <c r="CZ151" i="259"/>
  <c r="CD131" i="259" a="1"/>
  <c r="CD131" i="259"/>
  <c r="CQ110" i="259" a="1"/>
  <c r="CQ110" i="259"/>
  <c r="D124" i="324"/>
  <c r="D129" i="324"/>
  <c r="CS226" i="259" a="1"/>
  <c r="CS226" i="259"/>
  <c r="BT169" i="259" a="1"/>
  <c r="BT169" i="259"/>
  <c r="CU251" i="259" a="1"/>
  <c r="CU251" i="259"/>
  <c r="BU188" i="259" a="1"/>
  <c r="BU188" i="259"/>
  <c r="CU111" i="259" a="1"/>
  <c r="CU111" i="259"/>
  <c r="DC170" i="259" a="1"/>
  <c r="DC170" i="259"/>
  <c r="CO152" i="259" a="1"/>
  <c r="CO152" i="259"/>
  <c r="BX212" i="259" a="1"/>
  <c r="BX212" i="259"/>
  <c r="CP206" i="259" a="1"/>
  <c r="CP206" i="259"/>
  <c r="CK211" i="259" a="1"/>
  <c r="CK211" i="259"/>
  <c r="CH108" i="259" a="1"/>
  <c r="CH108" i="259"/>
  <c r="CX187" i="259" a="1"/>
  <c r="CX187" i="259"/>
  <c r="CL127" i="259" a="1"/>
  <c r="CL127" i="259"/>
  <c r="CS151" i="259" a="1"/>
  <c r="CS151" i="259"/>
  <c r="BX129" i="259" a="1"/>
  <c r="BX129" i="259"/>
  <c r="CY187" i="259" a="1"/>
  <c r="CY187" i="259"/>
  <c r="CP230" i="259" a="1"/>
  <c r="CP230" i="259"/>
  <c r="CD108" i="259" a="1"/>
  <c r="CD108" i="259"/>
  <c r="CV109" i="259" a="1"/>
  <c r="CV109" i="259"/>
  <c r="BY132" i="259" a="1"/>
  <c r="BY132" i="259"/>
  <c r="CL150" i="259" a="1"/>
  <c r="CL150" i="259"/>
  <c r="CZ210" i="259" a="1"/>
  <c r="CZ210" i="259"/>
  <c r="DB154" i="259" a="1"/>
  <c r="DB154" i="259"/>
  <c r="CR153" i="259" a="1"/>
  <c r="CR153" i="259"/>
  <c r="CN111" i="259" a="1"/>
  <c r="CN111" i="259"/>
  <c r="DA226" i="259" a="1"/>
  <c r="DA226" i="259"/>
  <c r="DC228" i="259" a="1"/>
  <c r="DC228" i="259"/>
  <c r="CT188" i="259" a="1"/>
  <c r="CT188" i="259"/>
  <c r="CD154" i="259" a="1"/>
  <c r="CD154" i="259"/>
  <c r="CL210" i="259" a="1"/>
  <c r="CL210" i="259"/>
  <c r="J47" i="260" a="1"/>
  <c r="J47" i="260"/>
  <c r="K46" i="260" a="1"/>
  <c r="K46" i="260"/>
  <c r="L46" i="260" a="1"/>
  <c r="L46" i="260"/>
  <c r="I47" i="260" a="1"/>
  <c r="I47" i="260"/>
  <c r="G46" i="260" a="1"/>
  <c r="G46" i="260"/>
  <c r="F46" i="260" a="1"/>
  <c r="F46" i="260"/>
  <c r="I46" i="260" a="1"/>
  <c r="I46" i="260"/>
  <c r="N46" i="260" a="1"/>
  <c r="N46" i="260"/>
  <c r="H47" i="260" a="1"/>
  <c r="H47" i="260"/>
  <c r="I49" i="260" a="1"/>
  <c r="I49" i="260"/>
  <c r="K47" i="260" a="1"/>
  <c r="K47" i="260"/>
  <c r="L48" i="260" a="1"/>
  <c r="L48" i="260"/>
  <c r="G48" i="260" a="1"/>
  <c r="G48" i="260"/>
  <c r="G49" i="260" a="1"/>
  <c r="G49" i="260"/>
  <c r="F47" i="260" a="1"/>
  <c r="F47" i="260"/>
  <c r="M48" i="260" a="1"/>
  <c r="M48" i="260"/>
  <c r="I48" i="260" a="1"/>
  <c r="I48" i="260"/>
  <c r="H46" i="260" a="1"/>
  <c r="H46" i="260"/>
  <c r="K48" i="260" a="1"/>
  <c r="K48" i="260"/>
  <c r="G47" i="260" a="1"/>
  <c r="G47" i="260"/>
  <c r="J48" i="260" a="1"/>
  <c r="J48" i="260"/>
  <c r="N49" i="260" a="1"/>
  <c r="N49" i="260"/>
  <c r="N47" i="260" a="1"/>
  <c r="N47" i="260"/>
  <c r="H49" i="260" a="1"/>
  <c r="H49" i="260"/>
  <c r="L47" i="260" a="1"/>
  <c r="L47" i="260"/>
  <c r="K49" i="260" a="1"/>
  <c r="K49" i="260"/>
  <c r="F48" i="260" a="1"/>
  <c r="F48" i="260"/>
  <c r="J46" i="260" a="1"/>
  <c r="J46" i="260"/>
  <c r="L49" i="260" a="1"/>
  <c r="L49" i="260"/>
  <c r="F49" i="260" a="1"/>
  <c r="F49" i="260"/>
  <c r="M47" i="260" a="1"/>
  <c r="M47" i="260"/>
  <c r="J49" i="260" a="1"/>
  <c r="J49" i="260"/>
  <c r="N48" i="260" a="1"/>
  <c r="N48" i="260"/>
  <c r="M49" i="260" a="1"/>
  <c r="M49" i="260"/>
  <c r="M46" i="260" a="1"/>
  <c r="M46" i="260"/>
  <c r="H48" i="260" a="1"/>
  <c r="H48" i="260"/>
  <c r="CU248" i="259" a="1"/>
  <c r="CU248" i="259"/>
  <c r="DA248" i="259" a="1"/>
  <c r="DA248" i="259"/>
  <c r="CC210" i="259" a="1"/>
  <c r="CC210" i="259"/>
  <c r="BY153" i="259" a="1"/>
  <c r="BY153" i="259"/>
  <c r="DC189" i="259" a="1"/>
  <c r="DC189" i="259"/>
  <c r="DC108" i="259" a="1"/>
  <c r="DC108" i="259"/>
  <c r="CS229" i="259" a="1"/>
  <c r="CS229" i="259"/>
  <c r="CU188" i="259" a="1"/>
  <c r="CU188" i="259"/>
  <c r="CU149" i="259" a="1"/>
  <c r="CU149" i="259"/>
  <c r="CM128" i="259" a="1"/>
  <c r="CM128" i="259"/>
  <c r="CM187" i="259" a="1"/>
  <c r="CM187" i="259"/>
  <c r="CX211" i="259" a="1"/>
  <c r="CX211" i="259"/>
  <c r="CK151" i="259" a="1"/>
  <c r="CK151" i="259"/>
  <c r="BW171" i="259" a="1"/>
  <c r="BW171" i="259"/>
  <c r="BX130" i="259" a="1"/>
  <c r="BX130" i="259"/>
  <c r="CT228" i="259" a="1"/>
  <c r="CT228" i="259"/>
  <c r="CD228" i="259" a="1"/>
  <c r="CD228" i="259"/>
  <c r="DB188" i="259" a="1"/>
  <c r="DB188" i="259"/>
  <c r="CM189" i="259" a="1"/>
  <c r="CM189" i="259"/>
  <c r="CU190" i="259" a="1"/>
  <c r="CU190" i="259"/>
  <c r="BW129" i="259" a="1"/>
  <c r="BW129" i="259"/>
  <c r="CT151" i="259" a="1"/>
  <c r="CT151" i="259"/>
  <c r="DA191" i="259" a="1"/>
  <c r="DA191" i="259"/>
  <c r="CQ150" i="259" a="1"/>
  <c r="CQ150" i="259"/>
  <c r="BV108" i="259" a="1"/>
  <c r="BV108" i="259"/>
  <c r="DC128" i="259" a="1"/>
  <c r="DC128" i="259"/>
  <c r="CP247" i="259" a="1"/>
  <c r="CP247" i="259"/>
  <c r="CA207" i="259" a="1"/>
  <c r="CA207" i="259"/>
  <c r="DC249" i="259" a="1"/>
  <c r="DC249" i="259"/>
  <c r="CV132" i="259" a="1"/>
  <c r="CV132" i="259"/>
  <c r="CK251" i="259" a="1"/>
  <c r="CK251" i="259"/>
  <c r="CV173" i="259" a="1"/>
  <c r="CV173" i="259"/>
  <c r="CQ230" i="259" a="1"/>
  <c r="CQ230" i="259"/>
  <c r="CK231" i="259" a="1"/>
  <c r="CK231" i="259"/>
  <c r="BX132" i="259" a="1"/>
  <c r="BX132" i="259"/>
  <c r="CA226" i="259" a="1"/>
  <c r="CA226" i="259"/>
  <c r="CF207" i="259" a="1"/>
  <c r="CF207" i="259"/>
  <c r="BW211" i="259" a="1"/>
  <c r="BW211" i="259"/>
  <c r="BY171" i="259" a="1"/>
  <c r="BY171" i="259"/>
  <c r="CW108" i="259" a="1"/>
  <c r="CW108" i="259"/>
  <c r="BX188" i="259" a="1"/>
  <c r="BX188" i="259"/>
  <c r="DC231" i="259" a="1"/>
  <c r="DC231" i="259"/>
  <c r="CW150" i="259" a="1"/>
  <c r="CW150" i="259"/>
  <c r="BU230" i="259" a="1"/>
  <c r="BU230" i="259"/>
  <c r="CP250" i="259" a="1"/>
  <c r="CP250" i="259"/>
  <c r="CP248" i="259" a="1"/>
  <c r="CP248" i="259"/>
  <c r="CW107" i="259" a="1"/>
  <c r="CW107" i="259"/>
  <c r="CF108" i="259" a="1"/>
  <c r="CF108" i="259"/>
  <c r="CE249" i="259" a="1"/>
  <c r="CE249" i="259"/>
  <c r="CC170" i="259" a="1"/>
  <c r="CC170" i="259"/>
  <c r="CC132" i="259" a="1"/>
  <c r="CC132" i="259"/>
  <c r="CP208" i="259" a="1"/>
  <c r="CP208" i="259"/>
  <c r="CD187" i="259" a="1"/>
  <c r="CD187" i="259"/>
  <c r="CC232" i="259" a="1"/>
  <c r="CC232" i="259"/>
  <c r="CW247" i="259" a="1"/>
  <c r="CW247" i="259"/>
  <c r="DC208" i="259" a="1"/>
  <c r="DC208" i="259"/>
  <c r="BV250" i="259" a="1"/>
  <c r="BV250" i="259"/>
  <c r="CD128" i="259" a="1"/>
  <c r="CD128" i="259"/>
  <c r="CT131" i="259" a="1"/>
  <c r="CT131" i="259"/>
  <c r="CR212" i="259" a="1"/>
  <c r="CR212" i="259"/>
  <c r="CC207" i="259" a="1"/>
  <c r="CC207" i="259"/>
  <c r="DA227" i="259" a="1"/>
  <c r="DA227" i="259"/>
  <c r="DB229" i="259" a="1"/>
  <c r="DB229" i="259"/>
  <c r="CD247" i="259" a="1"/>
  <c r="CD247" i="259"/>
  <c r="BT231" i="259" a="1"/>
  <c r="BT231" i="259"/>
  <c r="CD109" i="259" a="1"/>
  <c r="CD109" i="259"/>
  <c r="DA192" i="259" a="1"/>
  <c r="DA192" i="259"/>
  <c r="CG211" i="259" a="1"/>
  <c r="CG211" i="259"/>
  <c r="CC107" i="259" a="1"/>
  <c r="CC107" i="259"/>
  <c r="BW149" i="259" a="1"/>
  <c r="BW149" i="259"/>
  <c r="CY150" i="259" a="1"/>
  <c r="CY150" i="259"/>
  <c r="CU153" i="259" a="1"/>
  <c r="CU153" i="259"/>
  <c r="CT127" i="259" a="1"/>
  <c r="CT127" i="259"/>
  <c r="DB172" i="259" a="1"/>
  <c r="DB172" i="259"/>
  <c r="CP130" i="259" a="1"/>
  <c r="CP130" i="259"/>
  <c r="CX230" i="259" a="1"/>
  <c r="CX230" i="259"/>
  <c r="CJ249" i="259" a="1"/>
  <c r="CJ249" i="259"/>
  <c r="CG129" i="259" a="1"/>
  <c r="CG129" i="259"/>
  <c r="CY232" i="259" a="1"/>
  <c r="CY232" i="259"/>
  <c r="CZ229" i="259" a="1"/>
  <c r="CZ229" i="259"/>
  <c r="CK169" i="259" a="1"/>
  <c r="CK169" i="259"/>
  <c r="CM129" i="259" a="1"/>
  <c r="CM129" i="259"/>
  <c r="CL169" i="259" a="1"/>
  <c r="CL169" i="259"/>
  <c r="BZ229" i="259" a="1"/>
  <c r="BZ229" i="259"/>
  <c r="CW226" i="259" a="1"/>
  <c r="CW226" i="259"/>
  <c r="CF226" i="259" a="1"/>
  <c r="CF226" i="259"/>
  <c r="CB192" i="259" a="1"/>
  <c r="CB192" i="259"/>
  <c r="BX228" i="259" a="1"/>
  <c r="BX228" i="259"/>
  <c r="CV168" i="259" a="1"/>
  <c r="CV168" i="259"/>
  <c r="BZ132" i="259" a="1"/>
  <c r="BZ132" i="259"/>
  <c r="CG153" i="259" a="1"/>
  <c r="CG153" i="259"/>
  <c r="CT232" i="259" a="1"/>
  <c r="CT232" i="259"/>
  <c r="BV129" i="259" a="1"/>
  <c r="BV129" i="259"/>
  <c r="CT248" i="259" a="1"/>
  <c r="CT248" i="259"/>
  <c r="CW129" i="259" a="1"/>
  <c r="CW129" i="259"/>
  <c r="CT250" i="259" a="1"/>
  <c r="CT250" i="259"/>
  <c r="CC131" i="259" a="1"/>
  <c r="CC131" i="259"/>
  <c r="DC172" i="259" a="1"/>
  <c r="DC172" i="259"/>
  <c r="CT210" i="259" a="1"/>
  <c r="CT210" i="259"/>
  <c r="CB149" i="259" a="1"/>
  <c r="CB149" i="259"/>
  <c r="DA150" i="259" a="1"/>
  <c r="DA150" i="259"/>
  <c r="BU153" i="259" a="1"/>
  <c r="BU153" i="259"/>
  <c r="CQ206" i="259" a="1"/>
  <c r="CQ206" i="259"/>
  <c r="CL188" i="259" a="1"/>
  <c r="CL188" i="259"/>
  <c r="CO172" i="259" a="1"/>
  <c r="CO172" i="259"/>
  <c r="CU228" i="259" a="1"/>
  <c r="CU228" i="259"/>
  <c r="CB209" i="259" a="1"/>
  <c r="CB209" i="259"/>
  <c r="CI110" i="259" a="1"/>
  <c r="CI110" i="259"/>
  <c r="CH128" i="259" a="1"/>
  <c r="CH128" i="259"/>
  <c r="BW212" i="259" a="1"/>
  <c r="BW212" i="259"/>
  <c r="CT246" i="259" a="1"/>
  <c r="CT246" i="259"/>
  <c r="CD149" i="259" a="1"/>
  <c r="CD149" i="259"/>
  <c r="CX168" i="259" a="1"/>
  <c r="CX168" i="259"/>
  <c r="BZ189" i="259" a="1"/>
  <c r="BZ189" i="259"/>
  <c r="CV190" i="259" a="1"/>
  <c r="CV190" i="259"/>
  <c r="CL152" i="259" a="1"/>
  <c r="CL152" i="259"/>
  <c r="CP110" i="259" a="1"/>
  <c r="CP110" i="259"/>
  <c r="CY226" i="259" a="1"/>
  <c r="CY226" i="259"/>
  <c r="CB107" i="259" a="1"/>
  <c r="CB107" i="259"/>
  <c r="DA187" i="259" a="1"/>
  <c r="DA187" i="259"/>
  <c r="BW110" i="259" a="1"/>
  <c r="BW110" i="259"/>
  <c r="CU231" i="259" a="1"/>
  <c r="CU231" i="259"/>
  <c r="BZ107" i="259" a="1"/>
  <c r="BZ107" i="259"/>
  <c r="CZ226" i="259" a="1"/>
  <c r="CZ226" i="259"/>
  <c r="DB110" i="259" a="1"/>
  <c r="DB110" i="259"/>
  <c r="CH187" i="259" a="1"/>
  <c r="CH187" i="259"/>
  <c r="CQ211" i="259" a="1"/>
  <c r="CQ211" i="259"/>
  <c r="CF111" i="259" a="1"/>
  <c r="CF111" i="259"/>
  <c r="BU171" i="259" a="1"/>
  <c r="BU171" i="259"/>
  <c r="CF154" i="259" a="1"/>
  <c r="CF154" i="259"/>
  <c r="CM230" i="259" a="1"/>
  <c r="CM230" i="259"/>
  <c r="CT170" i="259" a="1"/>
  <c r="CT170" i="259"/>
  <c r="BT187" i="259" a="1"/>
  <c r="BT187" i="259"/>
  <c r="BU192" i="259" a="1"/>
  <c r="BU192" i="259"/>
  <c r="DC250" i="259" a="1"/>
  <c r="DC250" i="259"/>
  <c r="CZ173" i="259" a="1"/>
  <c r="CZ173" i="259"/>
  <c r="CJ208" i="259" a="1"/>
  <c r="CJ208" i="259"/>
  <c r="CO170" i="259" a="1"/>
  <c r="CO170" i="259"/>
  <c r="CD229" i="259" a="1"/>
  <c r="CD229" i="259"/>
  <c r="DC251" i="259" a="1"/>
  <c r="DC251" i="259"/>
  <c r="CX212" i="259" a="1"/>
  <c r="CX212" i="259"/>
  <c r="CN173" i="259" a="1"/>
  <c r="CN173" i="259"/>
  <c r="CF189" i="259" a="1"/>
  <c r="CF189" i="259"/>
  <c r="BX207" i="259" a="1"/>
  <c r="BX207" i="259"/>
  <c r="CV251" i="259" a="1"/>
  <c r="CV251" i="259"/>
  <c r="CM149" i="259" a="1"/>
  <c r="CM149" i="259"/>
  <c r="CE248" i="259" a="1"/>
  <c r="CE248" i="259"/>
  <c r="CR247" i="259" a="1"/>
  <c r="CR247" i="259"/>
  <c r="CL154" i="259" a="1"/>
  <c r="CL154" i="259"/>
  <c r="CC187" i="259" a="1"/>
  <c r="CC187" i="259"/>
  <c r="CK206" i="259" a="1"/>
  <c r="CK206" i="259"/>
  <c r="DC248" i="259" a="1"/>
  <c r="DC248" i="259"/>
  <c r="DA250" i="259" a="1"/>
  <c r="DA250" i="259"/>
  <c r="BU152" i="259" a="1"/>
  <c r="BU152" i="259"/>
  <c r="CE226" i="259" a="1"/>
  <c r="CE226" i="259"/>
  <c r="CT249" i="259" a="1"/>
  <c r="CT249" i="259"/>
  <c r="CJ210" i="259" a="1"/>
  <c r="CJ210" i="259"/>
  <c r="BZ191" i="259" a="1"/>
  <c r="BZ191" i="259"/>
  <c r="CL151" i="259" a="1"/>
  <c r="CL151" i="259"/>
  <c r="CA187" i="259" a="1"/>
  <c r="CA187" i="259"/>
  <c r="CX152" i="259" a="1"/>
  <c r="CX152" i="259"/>
  <c r="BV132" i="259" a="1"/>
  <c r="BV132" i="259"/>
  <c r="H112" i="324"/>
  <c r="H96" i="324"/>
  <c r="CV228" i="259" a="1"/>
  <c r="CV228" i="259"/>
  <c r="CF127" i="259" a="1"/>
  <c r="CF127" i="259"/>
  <c r="DC191" i="259" a="1"/>
  <c r="DC191" i="259"/>
  <c r="BZ151" i="259" a="1"/>
  <c r="BZ151" i="259"/>
  <c r="DB107" i="259" a="1"/>
  <c r="DB107" i="259"/>
  <c r="CF129" i="259" a="1"/>
  <c r="CF129" i="259"/>
  <c r="BZ212" i="259" a="1"/>
  <c r="BZ212" i="259"/>
  <c r="CZ111" i="259" a="1"/>
  <c r="CZ111" i="259"/>
  <c r="CD189" i="259" a="1"/>
  <c r="CD189" i="259"/>
  <c r="CK226" i="259" a="1"/>
  <c r="CK226" i="259"/>
  <c r="CI208" i="259" a="1"/>
  <c r="CI208" i="259"/>
  <c r="CD209" i="259" a="1"/>
  <c r="CD209" i="259"/>
  <c r="CR170" i="259" a="1"/>
  <c r="CR170" i="259"/>
  <c r="CU207" i="259" a="1"/>
  <c r="CU207" i="259"/>
  <c r="CT189" i="259" a="1"/>
  <c r="CT189" i="259"/>
  <c r="CS172" i="259" a="1"/>
  <c r="CS172" i="259"/>
  <c r="BW189" i="259" a="1"/>
  <c r="BW189" i="259"/>
  <c r="CR227" i="259" a="1"/>
  <c r="CR227" i="259"/>
  <c r="CM247" i="259" a="1"/>
  <c r="CM247" i="259"/>
  <c r="BY111" i="259" a="1"/>
  <c r="BY111" i="259"/>
  <c r="BY190" i="259" a="1"/>
  <c r="BY190" i="259"/>
  <c r="CZ230" i="259" a="1"/>
  <c r="CZ230" i="259"/>
  <c r="CM248" i="259" a="1"/>
  <c r="CM248" i="259"/>
  <c r="BU131" i="259" a="1"/>
  <c r="BU131" i="259"/>
  <c r="CN210" i="259" a="1"/>
  <c r="CN210" i="259"/>
  <c r="CO110" i="259" a="1"/>
  <c r="CO110" i="259"/>
  <c r="DC152" i="259" a="1"/>
  <c r="DC152" i="259"/>
  <c r="DC188" i="259" a="1"/>
  <c r="DC188" i="259"/>
  <c r="BV210" i="259" a="1"/>
  <c r="BV210" i="259"/>
  <c r="CZ106" i="259" a="1"/>
  <c r="CZ106" i="259"/>
  <c r="CP154" i="259" a="1"/>
  <c r="CP154" i="259"/>
  <c r="CF128" i="259" a="1"/>
  <c r="CF128" i="259"/>
  <c r="BV211" i="259" a="1"/>
  <c r="BV211" i="259"/>
  <c r="CC169" i="259" a="1"/>
  <c r="CC169" i="259"/>
  <c r="CC152" i="259" a="1"/>
  <c r="CC152" i="259"/>
  <c r="CF231" i="259" a="1"/>
  <c r="CF231" i="259"/>
  <c r="BT128" i="259" a="1"/>
  <c r="BT128" i="259"/>
  <c r="CR109" i="259" a="1"/>
  <c r="CR109" i="259"/>
  <c r="CL187" i="259" a="1"/>
  <c r="CL187" i="259"/>
  <c r="CK149" i="259" a="1"/>
  <c r="CK149" i="259"/>
  <c r="CX251" i="259" a="1"/>
  <c r="CX251" i="259"/>
  <c r="CP229" i="259" a="1"/>
  <c r="CP229" i="259"/>
  <c r="DA188" i="259" a="1"/>
  <c r="DA188" i="259"/>
  <c r="CY191" i="259" a="1"/>
  <c r="CY191" i="259"/>
  <c r="DB190" i="259" a="1"/>
  <c r="DB190" i="259"/>
  <c r="CF192" i="259" a="1"/>
  <c r="CF192" i="259"/>
  <c r="CW192" i="259" a="1"/>
  <c r="CW192" i="259"/>
  <c r="CE206" i="259" a="1"/>
  <c r="CE206" i="259"/>
  <c r="CP128" i="259" a="1"/>
  <c r="CP128" i="259"/>
  <c r="CI251" i="259" a="1"/>
  <c r="CI251" i="259"/>
  <c r="CJ209" i="259" a="1"/>
  <c r="CJ209" i="259"/>
  <c r="DA128" i="259" a="1"/>
  <c r="DA128" i="259"/>
  <c r="CB130" i="259" a="1"/>
  <c r="CB130" i="259"/>
  <c r="BY249" i="259" a="1"/>
  <c r="BY249" i="259"/>
  <c r="CF211" i="259" a="1"/>
  <c r="CF211" i="259"/>
  <c r="CY130" i="259" a="1"/>
  <c r="CY130" i="259"/>
  <c r="CT107" i="259" a="1"/>
  <c r="CT107" i="259"/>
  <c r="DA110" i="259" a="1"/>
  <c r="DA110" i="259"/>
  <c r="CC171" i="259" a="1"/>
  <c r="CC171" i="259"/>
  <c r="CA246" i="259" a="1"/>
  <c r="CA246" i="259"/>
  <c r="BU227" i="259" a="1"/>
  <c r="BU227" i="259"/>
  <c r="CC173" i="259" a="1"/>
  <c r="CC173" i="259"/>
  <c r="DA172" i="259" a="1"/>
  <c r="DA172" i="259"/>
  <c r="CB231" i="259" a="1"/>
  <c r="CB231" i="259"/>
  <c r="BZ192" i="259" a="1"/>
  <c r="BZ192" i="259"/>
  <c r="CB154" i="259" a="1"/>
  <c r="CB154" i="259"/>
  <c r="CA131" i="259" a="1"/>
  <c r="CA131" i="259"/>
  <c r="CJ154" i="259" a="1"/>
  <c r="CJ154" i="259"/>
  <c r="BZ171" i="259" a="1"/>
  <c r="BZ171" i="259"/>
  <c r="CQ154" i="259" a="1"/>
  <c r="CQ154" i="259"/>
  <c r="CA111" i="259" a="1"/>
  <c r="CA111" i="259"/>
  <c r="CA229" i="259" a="1"/>
  <c r="CA229" i="259"/>
  <c r="DA170" i="259" a="1"/>
  <c r="DA170" i="259"/>
  <c r="CY169" i="259" a="1"/>
  <c r="CY169" i="259"/>
  <c r="CE151" i="259" a="1"/>
  <c r="CE151" i="259"/>
  <c r="CD190" i="259" a="1"/>
  <c r="CD190" i="259"/>
  <c r="CW189" i="259" a="1"/>
  <c r="CW189" i="259"/>
  <c r="BW247" i="259" a="1"/>
  <c r="BW247" i="259"/>
  <c r="BW209" i="259" a="1"/>
  <c r="BW209" i="259"/>
  <c r="CS250" i="259" a="1"/>
  <c r="CS250" i="259"/>
  <c r="CJ111" i="259" a="1"/>
  <c r="CJ111" i="259"/>
  <c r="BW228" i="259" a="1"/>
  <c r="BW228" i="259"/>
  <c r="CR228" i="259" a="1"/>
  <c r="CR228" i="259"/>
  <c r="CL130" i="259" a="1"/>
  <c r="CL130" i="259"/>
  <c r="CX192" i="259" a="1"/>
  <c r="CX192" i="259"/>
  <c r="BT149" i="259" a="1"/>
  <c r="BT149" i="259"/>
  <c r="DC247" i="259" a="1"/>
  <c r="DC247" i="259"/>
  <c r="BU154" i="259" a="1"/>
  <c r="BU154" i="259"/>
  <c r="CU208" i="259" a="1"/>
  <c r="CU208" i="259"/>
  <c r="CY207" i="259" a="1"/>
  <c r="CY207" i="259"/>
  <c r="CX188" i="259" a="1"/>
  <c r="CX188" i="259"/>
  <c r="CC249" i="259" a="1"/>
  <c r="CC249" i="259"/>
  <c r="CQ187" i="259" a="1"/>
  <c r="CQ187" i="259"/>
  <c r="BW168" i="259" a="1"/>
  <c r="BW168" i="259"/>
  <c r="CL248" i="259" a="1"/>
  <c r="CL248" i="259"/>
  <c r="CW169" i="259" a="1"/>
  <c r="CW169" i="259"/>
  <c r="CA127" i="259" a="1"/>
  <c r="CA127" i="259"/>
  <c r="CK106" i="259" a="1"/>
  <c r="CK106" i="259"/>
  <c r="CJ251" i="259" a="1"/>
  <c r="CJ251" i="259"/>
  <c r="DA154" i="259" a="1"/>
  <c r="DA154" i="259"/>
  <c r="CH132" i="259" a="1"/>
  <c r="CH132" i="259"/>
  <c r="CO169" i="259" a="1"/>
  <c r="CO169" i="259"/>
  <c r="CJ152" i="259" a="1"/>
  <c r="CJ152" i="259"/>
  <c r="BY149" i="259" a="1"/>
  <c r="BY149" i="259"/>
  <c r="BX153" i="259" a="1"/>
  <c r="BX153" i="259"/>
  <c r="BU228" i="259" a="1"/>
  <c r="BU228" i="259"/>
  <c r="CJ132" i="259" a="1"/>
  <c r="CJ132" i="259"/>
  <c r="DB149" i="259" a="1"/>
  <c r="DB149" i="259"/>
  <c r="CV107" i="259" a="1"/>
  <c r="CV107" i="259"/>
  <c r="CQ247" i="259" a="1"/>
  <c r="CQ247" i="259"/>
  <c r="CP152" i="259" a="1"/>
  <c r="CP152" i="259"/>
  <c r="CQ188" i="259" a="1"/>
  <c r="CQ188" i="259"/>
  <c r="CZ132" i="259" a="1"/>
  <c r="CZ132" i="259"/>
  <c r="CQ169" i="259" a="1"/>
  <c r="CQ169" i="259"/>
  <c r="CG169" i="259" a="1"/>
  <c r="CG169" i="259"/>
  <c r="BZ153" i="259" a="1"/>
  <c r="BZ153" i="259"/>
  <c r="CJ188" i="259" a="1"/>
  <c r="CJ188" i="259"/>
  <c r="CR246" i="259" a="1"/>
  <c r="CR246" i="259"/>
  <c r="CA130" i="259" a="1"/>
  <c r="CA130" i="259"/>
  <c r="BW132" i="259" a="1"/>
  <c r="BW132" i="259"/>
  <c r="CS248" i="259" a="1"/>
  <c r="CS248" i="259"/>
  <c r="CT150" i="259" a="1"/>
  <c r="CT150" i="259"/>
  <c r="BV170" i="259" a="1"/>
  <c r="BV170" i="259"/>
  <c r="BY227" i="259" a="1"/>
  <c r="BY227" i="259"/>
  <c r="CT109" i="259" a="1"/>
  <c r="CT109" i="259"/>
  <c r="CI232" i="259" a="1"/>
  <c r="CI232" i="259"/>
  <c r="CY228" i="259" a="1"/>
  <c r="CY228" i="259"/>
  <c r="CV153" i="259" a="1"/>
  <c r="CV153" i="259"/>
  <c r="CE207" i="259" a="1"/>
  <c r="CE207" i="259"/>
  <c r="CF150" i="259" a="1"/>
  <c r="CF150" i="259"/>
  <c r="CS232" i="259" a="1"/>
  <c r="CS232" i="259"/>
  <c r="CX107" i="259" a="1"/>
  <c r="CX107" i="259"/>
  <c r="BX110" i="259" a="1"/>
  <c r="BX110" i="259"/>
  <c r="CT129" i="259" a="1"/>
  <c r="CT129" i="259"/>
  <c r="CU110" i="259" a="1"/>
  <c r="CU110" i="259"/>
  <c r="CL231" i="259" a="1"/>
  <c r="CL231" i="259"/>
  <c r="CV191" i="259" a="1"/>
  <c r="CV191" i="259"/>
  <c r="CJ187" i="259" a="1"/>
  <c r="CJ187" i="259"/>
  <c r="CZ247" i="259" a="1"/>
  <c r="CZ247" i="259"/>
  <c r="BX226" i="259" a="1"/>
  <c r="BX226" i="259"/>
  <c r="BU246" i="259" a="1"/>
  <c r="BU246" i="259"/>
  <c r="CA169" i="259" a="1"/>
  <c r="CA169" i="259"/>
  <c r="CD226" i="259" a="1"/>
  <c r="CD226" i="259"/>
  <c r="CM154" i="259" a="1"/>
  <c r="CM154" i="259"/>
  <c r="CH151" i="259" a="1"/>
  <c r="CH151" i="259"/>
  <c r="BV209" i="259" a="1"/>
  <c r="BV209" i="259"/>
  <c r="CY192" i="259" a="1"/>
  <c r="CY192" i="259"/>
  <c r="CP209" i="259" a="1"/>
  <c r="CP209" i="259"/>
  <c r="BY128" i="259" a="1"/>
  <c r="BY128" i="259"/>
  <c r="CG226" i="259" a="1"/>
  <c r="CG226" i="259"/>
  <c r="CZ227" i="259" a="1"/>
  <c r="CZ227" i="259"/>
  <c r="CL212" i="259" a="1"/>
  <c r="CL212" i="259"/>
  <c r="BU191" i="259" a="1"/>
  <c r="BU191" i="259"/>
  <c r="CK130" i="259" a="1"/>
  <c r="CK130" i="259"/>
  <c r="DB251" i="259" a="1"/>
  <c r="DB251" i="259"/>
  <c r="BW207" i="259" a="1"/>
  <c r="BW207" i="259"/>
  <c r="DC150" i="259" a="1"/>
  <c r="DC150" i="259"/>
  <c r="CK129" i="259" a="1"/>
  <c r="CK129" i="259"/>
  <c r="CK228" i="259" a="1"/>
  <c r="CK228" i="259"/>
  <c r="CP109" i="259" a="1"/>
  <c r="CP109" i="259"/>
  <c r="CI108" i="259" a="1"/>
  <c r="CI108" i="259"/>
  <c r="CI127" i="259" a="1"/>
  <c r="CI127" i="259"/>
  <c r="CN250" i="259" a="1"/>
  <c r="CN250" i="259"/>
  <c r="CH127" i="259" a="1"/>
  <c r="CH127" i="259"/>
  <c r="CU230" i="259" a="1"/>
  <c r="CU230" i="259"/>
  <c r="CX249" i="259" a="1"/>
  <c r="CX249" i="259"/>
  <c r="CC227" i="259" a="1"/>
  <c r="CC227" i="259"/>
  <c r="BV228" i="259" a="1"/>
  <c r="BV228" i="259"/>
  <c r="BY207" i="259" a="1"/>
  <c r="BY207" i="259"/>
  <c r="CY212" i="259" a="1"/>
  <c r="CY212" i="259"/>
  <c r="CL107" i="259" a="1"/>
  <c r="CL107" i="259"/>
  <c r="CL189" i="259" a="1"/>
  <c r="CL189" i="259"/>
  <c r="CQ168" i="259" a="1"/>
  <c r="CQ168" i="259"/>
  <c r="CW188" i="259" a="1"/>
  <c r="CW188" i="259"/>
  <c r="BX190" i="259" a="1"/>
  <c r="BX190" i="259"/>
  <c r="CO191" i="259" a="1"/>
  <c r="CO191" i="259"/>
  <c r="BV187" i="259" a="1"/>
  <c r="BV187" i="259"/>
  <c r="CF109" i="259" a="1"/>
  <c r="CF109" i="259"/>
  <c r="CX189" i="259" a="1"/>
  <c r="CX189" i="259"/>
  <c r="BY130" i="259" a="1"/>
  <c r="BY130" i="259"/>
  <c r="CX149" i="259" a="1"/>
  <c r="CX149" i="259"/>
  <c r="CQ129" i="259" a="1"/>
  <c r="CQ129" i="259"/>
  <c r="CY211" i="259" a="1"/>
  <c r="CY211" i="259"/>
  <c r="BU109" i="259" a="1"/>
  <c r="BU109" i="259"/>
  <c r="CP108" i="259" a="1"/>
  <c r="CP108" i="259"/>
  <c r="CR130" i="259" a="1"/>
  <c r="CR130" i="259"/>
  <c r="CB168" i="259" a="1"/>
  <c r="CB168" i="259"/>
  <c r="DC206" i="259" a="1"/>
  <c r="DC206" i="259"/>
  <c r="CM232" i="259" a="1"/>
  <c r="CM232" i="259"/>
  <c r="CM109" i="259" a="1"/>
  <c r="CM109" i="259"/>
  <c r="CU128" i="259" a="1"/>
  <c r="CU128" i="259"/>
  <c r="CT110" i="259" a="1"/>
  <c r="CT110" i="259"/>
  <c r="CC190" i="259" a="1"/>
  <c r="CC190" i="259"/>
  <c r="CE111" i="259" a="1"/>
  <c r="CE111" i="259"/>
  <c r="CX231" i="259" a="1"/>
  <c r="CX231" i="259"/>
  <c r="CJ247" i="259" a="1"/>
  <c r="CJ247" i="259"/>
  <c r="CL232" i="259" a="1"/>
  <c r="CL232" i="259"/>
  <c r="BX108" i="259" a="1"/>
  <c r="BX108" i="259"/>
  <c r="CW152" i="259" a="1"/>
  <c r="CW152" i="259"/>
  <c r="BT232" i="259" a="1"/>
  <c r="BT232" i="259"/>
  <c r="CW128" i="259" a="1"/>
  <c r="CW128" i="259"/>
  <c r="CI230" i="259" a="1"/>
  <c r="CI230" i="259"/>
  <c r="CA188" i="259" a="1"/>
  <c r="CA188" i="259"/>
  <c r="CS130" i="259" a="1"/>
  <c r="CS130" i="259"/>
  <c r="CF247" i="259" a="1"/>
  <c r="CF247" i="259"/>
  <c r="CF227" i="259" a="1"/>
  <c r="CF227" i="259"/>
  <c r="CP131" i="259" a="1"/>
  <c r="CP131" i="259"/>
  <c r="CC188" i="259" a="1"/>
  <c r="CC188" i="259"/>
  <c r="CW106" i="259" a="1"/>
  <c r="CW106" i="259"/>
  <c r="BZ129" i="259" a="1"/>
  <c r="BZ129" i="259"/>
  <c r="CY249" i="259" a="1"/>
  <c r="CY249" i="259"/>
  <c r="CP226" i="259" a="1"/>
  <c r="CP226" i="259"/>
  <c r="BU250" i="259" a="1"/>
  <c r="BU250" i="259"/>
  <c r="BY230" i="259" a="1"/>
  <c r="BY230" i="259"/>
  <c r="CW171" i="259" a="1"/>
  <c r="CW171" i="259"/>
  <c r="CC208" i="259" a="1"/>
  <c r="CC208" i="259"/>
  <c r="CL227" i="259" a="1"/>
  <c r="CL227" i="259"/>
  <c r="CD168" i="259" a="1"/>
  <c r="CD168" i="259"/>
  <c r="CL170" i="259" a="1"/>
  <c r="CL170" i="259"/>
  <c r="CV250" i="259" a="1"/>
  <c r="CV250" i="259"/>
  <c r="BV248" i="259" a="1"/>
  <c r="BV248" i="259"/>
  <c r="CV171" i="259" a="1"/>
  <c r="CV171" i="259"/>
  <c r="CX150" i="259" a="1"/>
  <c r="CX150" i="259"/>
  <c r="CI173" i="259" a="1"/>
  <c r="CI173" i="259"/>
  <c r="BT108" i="259" a="1"/>
  <c r="BT108" i="259"/>
  <c r="DB209" i="259" a="1"/>
  <c r="DB209" i="259"/>
  <c r="CY231" i="259" a="1"/>
  <c r="CY231" i="259"/>
  <c r="CM150" i="259" a="1"/>
  <c r="CM150" i="259"/>
  <c r="CH131" i="259" a="1"/>
  <c r="CH131" i="259"/>
  <c r="CT106" i="259" a="1"/>
  <c r="CT106" i="259"/>
  <c r="CR154" i="259" a="1"/>
  <c r="CR154" i="259"/>
  <c r="CU154" i="259" a="1"/>
  <c r="CU154" i="259"/>
  <c r="CE106" i="259" a="1"/>
  <c r="CE106" i="259"/>
  <c r="CQ108" i="259" a="1"/>
  <c r="CQ108" i="259"/>
  <c r="CM188" i="259" a="1"/>
  <c r="CM188" i="259"/>
  <c r="CA168" i="259" a="1"/>
  <c r="CA168" i="259"/>
  <c r="CV189" i="259" a="1"/>
  <c r="CV189" i="259"/>
  <c r="CE154" i="259" a="1"/>
  <c r="CE154" i="259"/>
  <c r="CQ107" i="259" a="1"/>
  <c r="CQ107" i="259"/>
  <c r="CZ248" i="259" a="1"/>
  <c r="CZ248" i="259"/>
  <c r="DB247" i="259" a="1"/>
  <c r="DB247" i="259"/>
  <c r="CB110" i="259" a="1"/>
  <c r="CB110" i="259"/>
  <c r="CT209" i="259" a="1"/>
  <c r="CT209" i="259"/>
  <c r="BZ190" i="259" a="1"/>
  <c r="BZ190" i="259"/>
  <c r="CH210" i="259" a="1"/>
  <c r="CH210" i="259"/>
  <c r="CW246" i="259" a="1"/>
  <c r="CW246" i="259"/>
  <c r="CQ151" i="259" a="1"/>
  <c r="CQ151" i="259"/>
  <c r="CH106" i="259" a="1"/>
  <c r="CH106" i="259"/>
  <c r="BX106" i="259" a="1"/>
  <c r="BX106" i="259"/>
  <c r="CD191" i="259" a="1"/>
  <c r="CD191" i="259"/>
  <c r="CE131" i="259" a="1"/>
  <c r="CE131" i="259"/>
  <c r="CO153" i="259" a="1"/>
  <c r="CO153" i="259"/>
  <c r="BY154" i="259" a="1"/>
  <c r="BY154" i="259"/>
  <c r="CF246" i="259" a="1"/>
  <c r="CF246" i="259"/>
  <c r="BZ247" i="259" a="1"/>
  <c r="BZ247" i="259"/>
  <c r="CM169" i="259" a="1"/>
  <c r="CM169" i="259"/>
  <c r="CR191" i="259" a="1"/>
  <c r="CR191" i="259"/>
  <c r="CO232" i="259" a="1"/>
  <c r="CO232" i="259"/>
  <c r="CE232" i="259" a="1"/>
  <c r="CE232" i="259"/>
  <c r="DA208" i="259" a="1"/>
  <c r="DA208" i="259"/>
  <c r="CQ106" i="259" a="1"/>
  <c r="CQ106" i="259"/>
  <c r="CL207" i="259" a="1"/>
  <c r="CL207" i="259"/>
  <c r="CB228" i="259" a="1"/>
  <c r="CB228" i="259"/>
  <c r="BV109" i="259" a="1"/>
  <c r="BV109" i="259"/>
  <c r="BW192" i="259" a="1"/>
  <c r="BW192" i="259"/>
  <c r="CR168" i="259" a="1"/>
  <c r="CR168" i="259"/>
  <c r="CF110" i="259" a="1"/>
  <c r="CF110" i="259"/>
  <c r="DA212" i="259" a="1"/>
  <c r="DA212" i="259"/>
  <c r="CE127" i="259" a="1"/>
  <c r="CE127" i="259"/>
  <c r="CP168" i="259" a="1"/>
  <c r="CP168" i="259"/>
  <c r="CB249" i="259" a="1"/>
  <c r="CB249" i="259"/>
  <c r="BW226" i="259" a="1"/>
  <c r="BW226" i="259"/>
  <c r="CD206" i="259" a="1"/>
  <c r="CD206" i="259"/>
  <c r="CC130" i="259" a="1"/>
  <c r="CC130" i="259"/>
  <c r="BX149" i="259" a="1"/>
  <c r="BX149" i="259"/>
  <c r="BY250" i="259" a="1"/>
  <c r="BY250" i="259"/>
  <c r="CT171" i="259" a="1"/>
  <c r="CT171" i="259"/>
  <c r="DA152" i="259" a="1"/>
  <c r="DA152" i="259"/>
  <c r="CJ173" i="259" a="1"/>
  <c r="CJ173" i="259"/>
  <c r="CI132" i="259" a="1"/>
  <c r="CI132" i="259"/>
  <c r="CY171" i="259" a="1"/>
  <c r="CY171" i="259"/>
  <c r="CQ172" i="259" a="1"/>
  <c r="CQ172" i="259"/>
  <c r="DA129" i="259" a="1"/>
  <c r="DA129" i="259"/>
  <c r="CL226" i="259" a="1"/>
  <c r="CL226" i="259"/>
  <c r="DA246" i="259" a="1"/>
  <c r="DA246" i="259"/>
  <c r="CJ106" i="259" a="1"/>
  <c r="CJ106" i="259"/>
  <c r="DC109" i="259" a="1"/>
  <c r="DC109" i="259"/>
  <c r="BX107" i="259" a="1"/>
  <c r="BX107" i="259"/>
  <c r="CD152" i="259" a="1"/>
  <c r="CD152" i="259"/>
  <c r="CV152" i="259" a="1"/>
  <c r="CV152" i="259"/>
  <c r="CB191" i="259" a="1"/>
  <c r="CB191" i="259"/>
  <c r="CC212" i="259" a="1"/>
  <c r="CC212" i="259"/>
  <c r="CP232" i="259" a="1"/>
  <c r="CP232" i="259"/>
  <c r="CG206" i="259" a="1"/>
  <c r="CG206" i="259"/>
  <c r="BT107" i="259" a="1"/>
  <c r="BT107" i="259"/>
  <c r="CG227" i="259" a="1"/>
  <c r="CG227" i="259"/>
  <c r="CA190" i="259" a="1"/>
  <c r="CA190" i="259"/>
  <c r="CB248" i="259" a="1"/>
  <c r="CB248" i="259"/>
  <c r="CP251" i="259" a="1"/>
  <c r="CP251" i="259"/>
  <c r="CV212" i="259" a="1"/>
  <c r="CV212" i="259"/>
  <c r="CB246" i="259" a="1"/>
  <c r="CB246" i="259"/>
  <c r="CD249" i="259" a="1"/>
  <c r="CD249" i="259"/>
  <c r="BU232" i="259" a="1"/>
  <c r="BU232" i="259"/>
  <c r="CZ129" i="259" a="1"/>
  <c r="CZ129" i="259"/>
  <c r="CR128" i="259" a="1"/>
  <c r="CR128" i="259"/>
  <c r="CM171" i="259" a="1"/>
  <c r="CM171" i="259"/>
  <c r="CZ190" i="259" a="1"/>
  <c r="CZ190" i="259"/>
  <c r="CK227" i="259" a="1"/>
  <c r="CK227" i="259"/>
  <c r="DB170" i="259" a="1"/>
  <c r="DB170" i="259"/>
  <c r="BU190" i="259" a="1"/>
  <c r="BU190" i="259"/>
  <c r="BZ149" i="259" a="1"/>
  <c r="BZ149" i="259"/>
  <c r="CC153" i="259" a="1"/>
  <c r="CC153" i="259"/>
  <c r="CX106" i="259" a="1"/>
  <c r="CX106" i="259"/>
  <c r="CD207" i="259" a="1"/>
  <c r="CD207" i="259"/>
  <c r="CW228" i="259" a="1"/>
  <c r="CW228" i="259"/>
  <c r="CF229" i="259" a="1"/>
  <c r="CF229" i="259"/>
  <c r="CF191" i="259" a="1"/>
  <c r="CF191" i="259"/>
  <c r="BZ154" i="259" a="1"/>
  <c r="BZ154" i="259"/>
  <c r="CE168" i="259" a="1"/>
  <c r="CE168" i="259"/>
  <c r="CC149" i="259" a="1"/>
  <c r="CC149" i="259"/>
  <c r="CD130" i="259" a="1"/>
  <c r="CD130" i="259"/>
  <c r="BX189" i="259" a="1"/>
  <c r="BX189" i="259"/>
  <c r="CY173" i="259" a="1"/>
  <c r="CY173" i="259"/>
  <c r="DC111" i="259" a="1"/>
  <c r="DC111" i="259"/>
  <c r="BT192" i="259" a="1"/>
  <c r="BT192" i="259"/>
  <c r="CT207" i="259" a="1"/>
  <c r="CT207" i="259"/>
  <c r="BV173" i="259" a="1"/>
  <c r="BV173" i="259"/>
  <c r="CK212" i="259" a="1"/>
  <c r="CK212" i="259"/>
  <c r="CK250" i="259" a="1"/>
  <c r="CK250" i="259"/>
  <c r="CZ231" i="259" a="1"/>
  <c r="CZ231" i="259"/>
  <c r="CI107" i="259" a="1"/>
  <c r="CI107" i="259"/>
  <c r="BX168" i="259" a="1"/>
  <c r="BX168" i="259"/>
  <c r="CD110" i="259" a="1"/>
  <c r="CD110" i="259"/>
  <c r="CG109" i="259" a="1"/>
  <c r="CG109" i="259"/>
  <c r="CW149" i="259" a="1"/>
  <c r="CW149" i="259"/>
  <c r="CY247" i="259" a="1"/>
  <c r="CY247" i="259"/>
  <c r="BU247" i="259" a="1"/>
  <c r="BU247" i="259"/>
  <c r="CM191" i="259" a="1"/>
  <c r="CM191" i="259"/>
  <c r="CE109" i="259" a="1"/>
  <c r="CE109" i="259"/>
  <c r="CH129" i="259" a="1"/>
  <c r="CH129" i="259"/>
  <c r="DB128" i="259" a="1"/>
  <c r="DB128" i="259"/>
  <c r="DC211" i="259" a="1"/>
  <c r="DC211" i="259"/>
  <c r="CB230" i="259" a="1"/>
  <c r="CB230" i="259"/>
  <c r="CU170" i="259" a="1"/>
  <c r="CU170" i="259"/>
  <c r="CX209" i="259" a="1"/>
  <c r="CX209" i="259"/>
  <c r="CE250" i="259" a="1"/>
  <c r="CE250" i="259"/>
  <c r="CM168" i="259" a="1"/>
  <c r="CM168" i="259"/>
  <c r="CP149" i="259" a="1"/>
  <c r="CP149" i="259"/>
  <c r="CF250" i="259" a="1"/>
  <c r="CF250" i="259"/>
  <c r="DA111" i="259" a="1"/>
  <c r="DA111" i="259"/>
  <c r="CN152" i="259" a="1"/>
  <c r="CN152" i="259"/>
  <c r="CM110" i="259" a="1"/>
  <c r="CM110" i="259"/>
  <c r="BX127" i="259" a="1"/>
  <c r="BX127" i="259"/>
  <c r="CH206" i="259" a="1"/>
  <c r="CH206" i="259"/>
  <c r="CZ208" i="259" a="1"/>
  <c r="CZ208" i="259"/>
  <c r="CY227" i="259" a="1"/>
  <c r="CY227" i="259"/>
  <c r="BV154" i="259" a="1"/>
  <c r="BV154" i="259"/>
  <c r="CS131" i="259" a="1"/>
  <c r="CS131" i="259"/>
  <c r="CS106" i="259" a="1"/>
  <c r="CS106" i="259"/>
  <c r="CS231" i="259" a="1"/>
  <c r="CS231" i="259"/>
  <c r="CT187" i="259" a="1"/>
  <c r="CT187" i="259"/>
  <c r="CP210" i="259" a="1"/>
  <c r="CP210" i="259"/>
  <c r="CB129" i="259" a="1"/>
  <c r="CB129" i="259"/>
  <c r="CL168" i="259" a="1"/>
  <c r="CL168" i="259"/>
  <c r="BY210" i="259" a="1"/>
  <c r="BY210" i="259"/>
  <c r="CZ206" i="259" a="1"/>
  <c r="CZ206" i="259"/>
  <c r="CX154" i="259" a="1"/>
  <c r="CX154" i="259"/>
  <c r="CM130" i="259" a="1"/>
  <c r="CM130" i="259"/>
  <c r="CE152" i="259" a="1"/>
  <c r="CE152" i="259"/>
  <c r="CW248" i="259" a="1"/>
  <c r="CW248" i="259"/>
  <c r="CE189" i="259" a="1"/>
  <c r="CE189" i="259"/>
  <c r="CL247" i="259" a="1"/>
  <c r="CL247" i="259"/>
  <c r="DB250" i="259" a="1"/>
  <c r="DB250" i="259"/>
  <c r="CA128" i="259" a="1"/>
  <c r="CA128" i="259"/>
  <c r="BU168" i="259" a="1"/>
  <c r="BU168" i="259"/>
  <c r="CZ250" i="259" a="1"/>
  <c r="CZ250" i="259"/>
  <c r="CY206" i="259" a="1"/>
  <c r="CY206" i="259"/>
  <c r="CY168" i="259" a="1"/>
  <c r="CY168" i="259"/>
  <c r="CG208" i="259" a="1"/>
  <c r="CG208" i="259"/>
  <c r="BX192" i="259" a="1"/>
  <c r="BX192" i="259"/>
  <c r="CJ207" i="259" a="1"/>
  <c r="CJ207" i="259"/>
  <c r="BT209" i="259" a="1"/>
  <c r="BT209" i="259"/>
  <c r="CL132" i="259" a="1"/>
  <c r="CL132" i="259"/>
  <c r="CG149" i="259" a="1"/>
  <c r="CG149" i="259"/>
  <c r="DB230" i="259" a="1"/>
  <c r="DB230" i="259"/>
  <c r="CO129" i="259" a="1"/>
  <c r="CO129" i="259"/>
  <c r="BY192" i="259" a="1"/>
  <c r="BY192" i="259"/>
  <c r="BV107" i="259" a="1"/>
  <c r="BV107" i="259"/>
  <c r="CG251" i="259" a="1"/>
  <c r="CG251" i="259"/>
  <c r="CZ188" i="259" a="1"/>
  <c r="CZ188" i="259"/>
  <c r="BW150" i="259" a="1"/>
  <c r="BW150" i="259"/>
  <c r="CP212" i="259" a="1"/>
  <c r="CP212" i="259"/>
  <c r="CQ127" i="259" a="1"/>
  <c r="CQ127" i="259"/>
  <c r="CH107" i="259" a="1"/>
  <c r="CH107" i="259"/>
  <c r="CS187" i="259" a="1"/>
  <c r="CS187" i="259"/>
  <c r="CL209" i="259" a="1"/>
  <c r="CL209" i="259"/>
  <c r="CQ249" i="259" a="1"/>
  <c r="CQ249" i="259"/>
  <c r="CT212" i="259" a="1"/>
  <c r="CT212" i="259"/>
  <c r="CS149" i="259" a="1"/>
  <c r="CS149" i="259"/>
  <c r="BW230" i="259" a="1"/>
  <c r="BW230" i="259"/>
  <c r="CN229" i="259" a="1"/>
  <c r="CN229" i="259"/>
  <c r="DA228" i="259" a="1"/>
  <c r="DA228" i="259"/>
  <c r="CN169" i="259" a="1"/>
  <c r="CN169" i="259"/>
  <c r="CC128" i="259" a="1"/>
  <c r="CC128" i="259"/>
  <c r="CO208" i="259" a="1"/>
  <c r="CO208" i="259"/>
  <c r="CE149" i="259" a="1"/>
  <c r="CE149" i="259"/>
  <c r="CB128" i="259" a="1"/>
  <c r="CB128" i="259"/>
  <c r="CT173" i="259" a="1"/>
  <c r="CT173" i="259"/>
  <c r="CF248" i="259" a="1"/>
  <c r="CF248" i="259"/>
  <c r="CJ231" i="259" a="1"/>
  <c r="CJ231" i="259"/>
  <c r="CN132" i="259" a="1"/>
  <c r="CN132" i="259"/>
  <c r="CB189" i="259" a="1"/>
  <c r="CB189" i="259"/>
  <c r="CR249" i="259" a="1"/>
  <c r="CR249" i="259"/>
  <c r="CZ108" i="259" a="1"/>
  <c r="CZ108" i="259"/>
  <c r="CE230" i="259" a="1"/>
  <c r="CE230" i="259"/>
  <c r="CY209" i="259" a="1"/>
  <c r="CY209" i="259"/>
  <c r="DA173" i="259" a="1"/>
  <c r="DA173" i="259"/>
  <c r="CG127" i="259" a="1"/>
  <c r="CG127" i="259"/>
  <c r="CN149" i="259" a="1"/>
  <c r="CN149" i="259"/>
  <c r="CP111" i="259" a="1"/>
  <c r="CP111" i="259"/>
  <c r="CG171" i="259" a="1"/>
  <c r="CG171" i="259"/>
  <c r="CX153" i="259" a="1"/>
  <c r="CX153" i="259"/>
  <c r="CD227" i="259" a="1"/>
  <c r="CD227" i="259"/>
  <c r="CE192" i="259" a="1"/>
  <c r="CE192" i="259"/>
  <c r="BW111" i="259" a="1"/>
  <c r="BW111" i="259"/>
  <c r="CV108" i="259" a="1"/>
  <c r="CV108" i="259"/>
  <c r="CB169" i="259" a="1"/>
  <c r="CB169" i="259"/>
  <c r="CI207" i="259" a="1"/>
  <c r="CI207" i="259"/>
  <c r="BV227" i="259" a="1"/>
  <c r="BV227" i="259"/>
  <c r="BV150" i="259" a="1"/>
  <c r="BV150" i="259"/>
  <c r="DB168" i="259" a="1"/>
  <c r="DB168" i="259"/>
  <c r="CK247" i="259" a="1"/>
  <c r="CK247" i="259"/>
  <c r="CM228" i="259" a="1"/>
  <c r="CM228" i="259"/>
  <c r="DA249" i="259" a="1"/>
  <c r="DA249" i="259"/>
  <c r="CP187" i="259" a="1"/>
  <c r="CP187" i="259"/>
  <c r="CV232" i="259" a="1"/>
  <c r="CV232" i="259"/>
  <c r="CJ248" i="259" a="1"/>
  <c r="CJ248" i="259"/>
  <c r="CK171" i="259" a="1"/>
  <c r="CK171" i="259"/>
  <c r="CE209" i="259" a="1"/>
  <c r="CE209" i="259"/>
  <c r="CK229" i="259" a="1"/>
  <c r="CK229" i="259"/>
  <c r="CJ149" i="259" a="1"/>
  <c r="CJ149" i="259"/>
  <c r="CR173" i="259" a="1"/>
  <c r="CR173" i="259"/>
  <c r="CQ152" i="259" a="1"/>
  <c r="CQ152" i="259"/>
  <c r="CK152" i="259" a="1"/>
  <c r="CK152" i="259"/>
  <c r="CJ228" i="259" a="1"/>
  <c r="CJ228" i="259"/>
  <c r="CI247" i="259" a="1"/>
  <c r="CI247" i="259"/>
  <c r="BW130" i="259" a="1"/>
  <c r="BW130" i="259"/>
  <c r="BW191" i="259" a="1"/>
  <c r="BW191" i="259"/>
  <c r="CN106" i="259" a="1"/>
  <c r="CN106" i="259"/>
  <c r="CG170" i="259" a="1"/>
  <c r="CG170" i="259"/>
  <c r="CC111" i="259" a="1"/>
  <c r="CC111" i="259"/>
  <c r="CX169" i="259" a="1"/>
  <c r="CX169" i="259"/>
  <c r="CZ249" i="259" a="1"/>
  <c r="CZ249" i="259"/>
  <c r="BX128" i="259" a="1"/>
  <c r="BX128" i="259"/>
  <c r="CO251" i="259" a="1"/>
  <c r="CO251" i="259"/>
  <c r="CB150" i="259" a="1"/>
  <c r="CB150" i="259"/>
  <c r="CF153" i="259" a="1"/>
  <c r="CF153" i="259"/>
  <c r="CD170" i="259" a="1"/>
  <c r="CD170" i="259"/>
  <c r="BW131" i="259" a="1"/>
  <c r="BW131" i="259"/>
  <c r="BU172" i="259" a="1"/>
  <c r="BU172" i="259"/>
  <c r="CG247" i="259" a="1"/>
  <c r="CG247" i="259"/>
  <c r="CT226" i="259" a="1"/>
  <c r="CT226" i="259"/>
  <c r="BX131" i="259" a="1"/>
  <c r="BX131" i="259"/>
  <c r="CU247" i="259" a="1"/>
  <c r="CU247" i="259"/>
  <c r="DB189" i="259" a="1"/>
  <c r="DB189" i="259"/>
  <c r="CY128" i="259" a="1"/>
  <c r="CY128" i="259"/>
  <c r="DA207" i="259" a="1"/>
  <c r="DA207" i="259"/>
  <c r="CR192" i="259" a="1"/>
  <c r="CR192" i="259"/>
  <c r="BX172" i="259" a="1"/>
  <c r="BX172" i="259"/>
  <c r="CM212" i="259" a="1"/>
  <c r="CM212" i="259"/>
  <c r="CH110" i="259" a="1"/>
  <c r="CH110" i="259"/>
  <c r="CG152" i="259" a="1"/>
  <c r="CG152" i="259"/>
  <c r="CP207" i="259" a="1"/>
  <c r="CP207" i="259"/>
  <c r="CC151" i="259" a="1"/>
  <c r="CC151" i="259"/>
  <c r="CE128" i="259" a="1"/>
  <c r="CE128" i="259"/>
  <c r="CF206" i="259" a="1"/>
  <c r="CF206" i="259"/>
  <c r="CK111" i="259" a="1"/>
  <c r="CK111" i="259"/>
  <c r="CZ170" i="259" a="1"/>
  <c r="CZ170" i="259"/>
  <c r="CG150" i="259" a="1"/>
  <c r="CG150" i="259"/>
  <c r="CS110" i="259" a="1"/>
  <c r="CS110" i="259"/>
  <c r="BV131" i="259" a="1"/>
  <c r="BV131" i="259"/>
  <c r="BV247" i="259" a="1"/>
  <c r="BV247" i="259"/>
  <c r="BW170" i="259" a="1"/>
  <c r="BW170" i="259"/>
  <c r="CZ209" i="259" a="1"/>
  <c r="CZ209" i="259"/>
  <c r="CB208" i="259" a="1"/>
  <c r="CB208" i="259"/>
  <c r="CE212" i="259" a="1"/>
  <c r="CE212" i="259"/>
  <c r="CW130" i="259" a="1"/>
  <c r="CW130" i="259"/>
  <c r="CA152" i="259" a="1"/>
  <c r="CA152" i="259"/>
  <c r="CW153" i="259" a="1"/>
  <c r="CW153" i="259"/>
  <c r="BY206" i="259" a="1"/>
  <c r="BY206" i="259"/>
  <c r="CI188" i="259" a="1"/>
  <c r="CI188" i="259"/>
  <c r="BV169" i="259" a="1"/>
  <c r="BV169" i="259"/>
  <c r="CA189" i="259" a="1"/>
  <c r="CA189" i="259"/>
  <c r="CR150" i="259" a="1"/>
  <c r="CR150" i="259"/>
  <c r="CH171" i="259" a="1"/>
  <c r="CH171" i="259"/>
  <c r="DA209" i="259" a="1"/>
  <c r="DA209" i="259"/>
  <c r="CA107" i="259" a="1"/>
  <c r="CA107" i="259"/>
  <c r="BW208" i="259" a="1"/>
  <c r="BW208" i="259"/>
  <c r="CF209" i="259" a="1"/>
  <c r="CF209" i="259"/>
  <c r="CX207" i="259" a="1"/>
  <c r="CX207" i="259"/>
  <c r="CK131" i="259" a="1"/>
  <c r="CK131" i="259"/>
  <c r="CL250" i="259" a="1"/>
  <c r="CL250" i="259"/>
  <c r="CG246" i="259" a="1"/>
  <c r="CG246" i="259"/>
  <c r="CR230" i="259" a="1"/>
  <c r="CR230" i="259"/>
  <c r="DB226" i="259" a="1"/>
  <c r="DB226" i="259"/>
  <c r="CV211" i="259" a="1"/>
  <c r="CV211" i="259"/>
  <c r="CY129" i="259" a="1"/>
  <c r="CY129" i="259"/>
  <c r="CY111" i="259" a="1"/>
  <c r="CY111" i="259"/>
  <c r="CC129" i="259" a="1"/>
  <c r="CC129" i="259"/>
  <c r="CN209" i="259" a="1"/>
  <c r="CN209" i="259"/>
  <c r="CF172" i="259" a="1"/>
  <c r="CF172" i="259"/>
  <c r="CP231" i="259" a="1"/>
  <c r="CP231" i="259"/>
  <c r="DA106" i="259" a="1"/>
  <c r="DA106" i="259"/>
  <c r="CB173" i="259" a="1"/>
  <c r="CB173" i="259"/>
  <c r="BV249" i="259" a="1"/>
  <c r="BV249" i="259"/>
  <c r="CL171" i="259" a="1"/>
  <c r="CL171" i="259"/>
  <c r="CU249" i="259" a="1"/>
  <c r="CU249" i="259"/>
  <c r="CJ246" i="259" a="1"/>
  <c r="CJ246" i="259"/>
  <c r="CV247" i="259" a="1"/>
  <c r="CV247" i="259"/>
  <c r="CH190" i="259" a="1"/>
  <c r="CH190" i="259"/>
  <c r="BT249" i="259" a="1"/>
  <c r="BT249" i="259"/>
  <c r="CT108" i="259" a="1"/>
  <c r="CT108" i="259"/>
  <c r="BT151" i="259" a="1"/>
  <c r="BT151" i="259"/>
  <c r="CM131" i="259" a="1"/>
  <c r="CM131" i="259"/>
  <c r="CL109" i="259" a="1"/>
  <c r="CL109" i="259"/>
  <c r="CW208" i="259" a="1"/>
  <c r="CW208" i="259"/>
  <c r="CO150" i="259" a="1"/>
  <c r="CO150" i="259"/>
  <c r="BU187" i="259" a="1"/>
  <c r="BU187" i="259"/>
  <c r="CL153" i="259" a="1"/>
  <c r="CL153" i="259"/>
  <c r="CN228" i="259" a="1"/>
  <c r="CN228" i="259"/>
  <c r="CM210" i="259" a="1"/>
  <c r="CM210" i="259"/>
  <c r="CQ227" i="259" a="1"/>
  <c r="CQ227" i="259"/>
  <c r="CV131" i="259" a="1"/>
  <c r="CV131" i="259"/>
  <c r="CZ189" i="259" a="1"/>
  <c r="CZ189" i="259"/>
  <c r="CZ228" i="259" a="1"/>
  <c r="CZ228" i="259"/>
  <c r="BV232" i="259" a="1"/>
  <c r="BV232" i="259"/>
  <c r="CV246" i="259" a="1"/>
  <c r="CV246" i="259"/>
  <c r="CS192" i="259" a="1"/>
  <c r="CS192" i="259"/>
  <c r="BW107" i="259" a="1"/>
  <c r="BW107" i="259"/>
  <c r="CG189" i="259" a="1"/>
  <c r="CG189" i="259"/>
  <c r="CJ211" i="259" a="1"/>
  <c r="CJ211" i="259"/>
  <c r="CW207" i="259" a="1"/>
  <c r="CW207" i="259"/>
  <c r="CD129" i="259" a="1"/>
  <c r="CD129" i="259"/>
  <c r="CQ210" i="259" a="1"/>
  <c r="CQ210" i="259"/>
  <c r="CQ226" i="259" a="1"/>
  <c r="CQ226" i="259"/>
  <c r="BZ108" i="259" a="1"/>
  <c r="BZ108" i="259"/>
  <c r="CX228" i="259" a="1"/>
  <c r="CX228" i="259"/>
  <c r="CI228" i="259" a="1"/>
  <c r="CI228" i="259"/>
  <c r="CM190" i="259" a="1"/>
  <c r="CM190" i="259"/>
  <c r="CT168" i="259" a="1"/>
  <c r="CT168" i="259"/>
  <c r="CI152" i="259" a="1"/>
  <c r="CI152" i="259"/>
  <c r="CV209" i="259" a="1"/>
  <c r="CV209" i="259"/>
  <c r="CM209" i="259" a="1"/>
  <c r="CM209" i="259"/>
  <c r="CK246" i="259" a="1"/>
  <c r="CK246" i="259"/>
  <c r="CZ191" i="259" a="1"/>
  <c r="CZ191" i="259"/>
  <c r="BY106" i="259" a="1"/>
  <c r="BY106" i="259"/>
  <c r="CI250" i="259" a="1"/>
  <c r="CI250" i="259"/>
  <c r="CS129" i="259" a="1"/>
  <c r="CS129" i="259"/>
  <c r="CD232" i="259" a="1"/>
  <c r="CD232" i="259"/>
  <c r="CB207" i="259" a="1"/>
  <c r="CB207" i="259"/>
  <c r="DA231" i="259" a="1"/>
  <c r="DA231" i="259"/>
  <c r="CN128" i="259" a="1"/>
  <c r="CN128" i="259"/>
  <c r="CJ190" i="259" a="1"/>
  <c r="CJ190" i="259"/>
  <c r="BX227" i="259" a="1"/>
  <c r="BX227" i="259"/>
  <c r="CH230" i="259" a="1"/>
  <c r="CH230" i="259"/>
  <c r="CD173" i="259" a="1"/>
  <c r="CD173" i="259"/>
  <c r="DA211" i="259" a="1"/>
  <c r="DA211" i="259"/>
  <c r="CF187" i="259" a="1"/>
  <c r="CF187" i="259"/>
  <c r="CO212" i="259" a="1"/>
  <c r="CO212" i="259"/>
  <c r="CO132" i="259" a="1"/>
  <c r="CO132" i="259"/>
  <c r="CM152" i="259" a="1"/>
  <c r="CM152" i="259"/>
  <c r="CG151" i="259" a="1"/>
  <c r="CG151" i="259"/>
  <c r="CU232" i="259" a="1"/>
  <c r="CU232" i="259"/>
  <c r="CS212" i="259" a="1"/>
  <c r="CS212" i="259"/>
  <c r="CW110" i="259" a="1"/>
  <c r="CW110" i="259"/>
  <c r="BZ187" i="259" a="1"/>
  <c r="BZ187" i="259"/>
  <c r="CG106" i="259" a="1"/>
  <c r="CG106" i="259"/>
  <c r="DC149" i="259" a="1"/>
  <c r="DC149" i="259"/>
  <c r="CC246" i="259" a="1"/>
  <c r="CC246" i="259"/>
  <c r="CB250" i="259" a="1"/>
  <c r="CB250" i="259"/>
  <c r="CH170" i="259" a="1"/>
  <c r="CH170" i="259"/>
  <c r="BT132" i="259" a="1"/>
  <c r="BT132" i="259"/>
  <c r="CT230" i="259" a="1"/>
  <c r="CT230" i="259"/>
  <c r="BX251" i="259" a="1"/>
  <c r="BX251" i="259"/>
  <c r="CP169" i="259" a="1"/>
  <c r="CP169" i="259"/>
  <c r="BU170" i="259" a="1"/>
  <c r="BU170" i="259"/>
  <c r="CY189" i="259" a="1"/>
  <c r="CY189" i="259"/>
  <c r="CF130" i="259" a="1"/>
  <c r="CF130" i="259"/>
  <c r="CH232" i="259" a="1"/>
  <c r="CH232" i="259"/>
  <c r="CD169" i="259" a="1"/>
  <c r="CD169" i="259"/>
  <c r="CH172" i="259" a="1"/>
  <c r="CH172" i="259"/>
  <c r="CR169" i="259" a="1"/>
  <c r="CR169" i="259"/>
  <c r="CJ232" i="259" a="1"/>
  <c r="CJ232" i="259"/>
  <c r="CU109" i="259" a="1"/>
  <c r="CU109" i="259"/>
  <c r="BT173" i="259" a="1"/>
  <c r="BT173" i="259"/>
  <c r="DB153" i="259" a="1"/>
  <c r="DB153" i="259"/>
  <c r="BV192" i="259" a="1"/>
  <c r="BV192" i="259"/>
  <c r="CT191" i="259" a="1"/>
  <c r="CT191" i="259"/>
  <c r="CA251" i="259" a="1"/>
  <c r="CA251" i="259"/>
  <c r="CE231" i="259" a="1"/>
  <c r="CE231" i="259"/>
  <c r="CK190" i="259" a="1"/>
  <c r="CK190" i="259"/>
  <c r="CA208" i="259" a="1"/>
  <c r="CA208" i="259"/>
  <c r="CA249" i="259" a="1"/>
  <c r="CA249" i="259"/>
  <c r="CE227" i="259" a="1"/>
  <c r="CE227" i="259"/>
  <c r="BU107" i="259" a="1"/>
  <c r="BU107" i="259"/>
  <c r="CS150" i="259" a="1"/>
  <c r="CS150" i="259"/>
  <c r="DA171" i="259" a="1"/>
  <c r="DA171" i="259"/>
  <c r="CY151" i="259" a="1"/>
  <c r="CY151" i="259"/>
  <c r="BU189" i="259" a="1"/>
  <c r="BU189" i="259"/>
  <c r="CG132" i="259" a="1"/>
  <c r="CG132" i="259"/>
  <c r="CT172" i="259" a="1"/>
  <c r="CT172" i="259"/>
  <c r="CX208" i="259" a="1"/>
  <c r="CX208" i="259"/>
  <c r="CX229" i="259" a="1"/>
  <c r="CX229" i="259"/>
  <c r="CC229" i="259" a="1"/>
  <c r="CC229" i="259"/>
  <c r="CK232" i="259" a="1"/>
  <c r="CK232" i="259"/>
  <c r="CN232" i="259" a="1"/>
  <c r="CN232" i="259"/>
  <c r="BT172" i="259" a="1"/>
  <c r="BT172" i="259"/>
  <c r="CE229" i="259" a="1"/>
  <c r="CE229" i="259"/>
  <c r="CI211" i="259" a="1"/>
  <c r="CI211" i="259"/>
  <c r="CI170" i="259" a="1"/>
  <c r="CI170" i="259"/>
  <c r="BU212" i="259" a="1"/>
  <c r="BU212" i="259"/>
  <c r="CL206" i="259" a="1"/>
  <c r="CL206" i="259"/>
  <c r="BZ130" i="259" a="1"/>
  <c r="BZ130" i="259"/>
  <c r="BT212" i="259" a="1"/>
  <c r="BT212" i="259"/>
  <c r="CW232" i="259" a="1"/>
  <c r="CW232" i="259"/>
  <c r="BU229" i="259" a="1"/>
  <c r="BU229" i="259"/>
  <c r="CA172" i="259" a="1"/>
  <c r="CA172" i="259"/>
  <c r="CE107" i="259" a="1"/>
  <c r="CE107" i="259"/>
  <c r="BY248" i="259" a="1"/>
  <c r="BY248" i="259"/>
  <c r="CO111" i="259" a="1"/>
  <c r="CO111" i="259"/>
  <c r="CW227" i="259" a="1"/>
  <c r="CW227" i="259"/>
  <c r="CG207" i="259" a="1"/>
  <c r="CG207" i="259"/>
  <c r="CU132" i="259" a="1"/>
  <c r="CU132" i="259"/>
  <c r="CF190" i="259" a="1"/>
  <c r="CF190" i="259"/>
  <c r="BZ211" i="259" a="1"/>
  <c r="BZ211" i="259"/>
  <c r="CN206" i="259" a="1"/>
  <c r="CN206" i="259"/>
  <c r="CD248" i="259" a="1"/>
  <c r="CD248" i="259"/>
  <c r="DB187" i="259" a="1"/>
  <c r="DB187" i="259"/>
  <c r="CS246" i="259" a="1"/>
  <c r="CS246" i="259"/>
  <c r="CH249" i="259" a="1"/>
  <c r="CH249" i="259"/>
  <c r="CO107" i="259" a="1"/>
  <c r="CO107" i="259"/>
  <c r="CI212" i="259" a="1"/>
  <c r="CI212" i="259"/>
  <c r="CE172" i="259" a="1"/>
  <c r="CE172" i="259"/>
  <c r="CL249" i="259" a="1"/>
  <c r="CL249" i="259"/>
  <c r="CJ127" i="259" a="1"/>
  <c r="CJ127" i="259"/>
  <c r="CY229" i="259" a="1"/>
  <c r="CY229" i="259"/>
  <c r="BV206" i="259" a="1"/>
  <c r="BV206" i="259"/>
  <c r="CI149" i="259" a="1"/>
  <c r="CI149" i="259"/>
  <c r="CS128" i="259" a="1"/>
  <c r="CS128" i="259"/>
  <c r="BT251" i="259" a="1"/>
  <c r="BT251" i="259"/>
  <c r="CO209" i="259" a="1"/>
  <c r="CO209" i="259"/>
  <c r="CT128" i="259" a="1"/>
  <c r="CT128" i="259"/>
  <c r="BZ228" i="259" a="1"/>
  <c r="BZ228" i="259"/>
  <c r="CT111" i="259" a="1"/>
  <c r="CT111" i="259"/>
  <c r="BZ227" i="259" a="1"/>
  <c r="BZ227" i="259"/>
  <c r="CK207" i="259" a="1"/>
  <c r="CK207" i="259"/>
  <c r="CL208" i="259" a="1"/>
  <c r="CL208" i="259"/>
  <c r="CS247" i="259" a="1"/>
  <c r="CS247" i="259"/>
  <c r="CI248" i="259" a="1"/>
  <c r="CI248" i="259"/>
  <c r="CW249" i="259" a="1"/>
  <c r="CW249" i="259"/>
  <c r="CS169" i="259" a="1"/>
  <c r="CS169" i="259"/>
  <c r="CZ251" i="259" a="1"/>
  <c r="CZ251" i="259"/>
  <c r="CL106" i="259" a="1"/>
  <c r="CL106" i="259"/>
  <c r="CR107" i="259" a="1"/>
  <c r="CR107" i="259"/>
  <c r="CN247" i="259" a="1"/>
  <c r="CN247" i="259"/>
  <c r="DC246" i="259" a="1"/>
  <c r="DC246" i="259"/>
  <c r="BZ208" i="259" a="1"/>
  <c r="BZ208" i="259"/>
  <c r="BT129" i="259" a="1"/>
  <c r="BT129" i="259"/>
  <c r="CH226" i="259" a="1"/>
  <c r="CH226" i="259"/>
  <c r="CU206" i="259" a="1"/>
  <c r="CU206" i="259"/>
  <c r="CQ149" i="259" a="1"/>
  <c r="CQ149" i="259"/>
  <c r="CZ246" i="259" a="1"/>
  <c r="CZ246" i="259"/>
  <c r="CP132" i="259" a="1"/>
  <c r="CP132" i="259"/>
  <c r="BY229" i="259" a="1"/>
  <c r="BY229" i="259"/>
  <c r="CJ131" i="259" a="1"/>
  <c r="CJ131" i="259"/>
  <c r="BU249" i="259" a="1"/>
  <c r="BU249" i="259"/>
  <c r="BX248" i="259" a="1"/>
  <c r="BX248" i="259"/>
  <c r="BV111" i="259" a="1"/>
  <c r="BV111" i="259"/>
  <c r="CA209" i="259" a="1"/>
  <c r="CA209" i="259"/>
  <c r="CT211" i="259" a="1"/>
  <c r="CT211" i="259"/>
  <c r="CE247" i="259" a="1"/>
  <c r="CE247" i="259"/>
  <c r="BY129" i="259" a="1"/>
  <c r="BY129" i="259"/>
  <c r="BU108" i="259" a="1"/>
  <c r="BU108" i="259"/>
  <c r="CY107" i="259" a="1"/>
  <c r="CY107" i="259"/>
  <c r="CK150" i="259" a="1"/>
  <c r="CK150" i="259"/>
  <c r="BZ251" i="259" a="1"/>
  <c r="BZ251" i="259"/>
  <c r="CJ171" i="259" a="1"/>
  <c r="CJ171" i="259"/>
  <c r="CC192" i="259" a="1"/>
  <c r="CC192" i="259"/>
  <c r="CH246" i="259" a="1"/>
  <c r="CH246" i="259"/>
  <c r="CK107" i="259" a="1"/>
  <c r="CK107" i="259"/>
  <c r="CS190" i="259" a="1"/>
  <c r="CS190" i="259"/>
  <c r="BT227" i="259" a="1"/>
  <c r="BT227" i="259"/>
  <c r="CX226" i="259" a="1"/>
  <c r="CX226" i="259"/>
  <c r="CS227" i="259" a="1"/>
  <c r="CS227" i="259"/>
  <c r="CI229" i="259" a="1"/>
  <c r="CI229" i="259"/>
  <c r="CV130" i="259" a="1"/>
  <c r="CV130" i="259"/>
  <c r="CE188" i="259" a="1"/>
  <c r="CE188" i="259"/>
  <c r="CP249" i="259" a="1"/>
  <c r="CP249" i="259"/>
  <c r="CS191" i="259" a="1"/>
  <c r="CS191" i="259"/>
  <c r="CN190" i="259" a="1"/>
  <c r="CN190" i="259"/>
  <c r="CJ130" i="259" a="1"/>
  <c r="CJ130" i="259"/>
  <c r="BT152" i="259" a="1"/>
  <c r="BT152" i="259"/>
  <c r="CU171" i="259" a="1"/>
  <c r="CU171" i="259"/>
  <c r="BW249" i="259" a="1"/>
  <c r="BW249" i="259"/>
  <c r="CZ232" i="259" a="1"/>
  <c r="CZ232" i="259"/>
  <c r="CB106" i="259" a="1"/>
  <c r="CB106" i="259"/>
  <c r="CX191" i="259" a="1"/>
  <c r="CX191" i="259"/>
  <c r="CK168" i="259" a="1"/>
  <c r="CK168" i="259"/>
  <c r="CR171" i="259" a="1"/>
  <c r="CR171" i="259"/>
  <c r="DC230" i="259" a="1"/>
  <c r="DC230" i="259"/>
  <c r="DC127" i="259" a="1"/>
  <c r="DC127" i="259"/>
  <c r="CM108" i="259" a="1"/>
  <c r="CM108" i="259"/>
  <c r="CG187" i="259" a="1"/>
  <c r="CG187" i="259"/>
  <c r="CL190" i="259" a="1"/>
  <c r="CL190" i="259"/>
  <c r="CH250" i="259" a="1"/>
  <c r="CH250" i="259"/>
  <c r="BV208" i="259" a="1"/>
  <c r="BV208" i="259"/>
  <c r="CY188" i="259" a="1"/>
  <c r="CY188" i="259"/>
  <c r="CG173" i="259" a="1"/>
  <c r="CG173" i="259"/>
  <c r="BY173" i="259" a="1"/>
  <c r="BY173" i="259"/>
  <c r="CG154" i="259" a="1"/>
  <c r="CG154" i="259"/>
  <c r="CN226" i="259" a="1"/>
  <c r="CN226" i="259"/>
  <c r="CV111" i="259" a="1"/>
  <c r="CV111" i="259"/>
  <c r="CA109" i="259" a="1"/>
  <c r="CA109" i="259"/>
  <c r="CU108" i="259" a="1"/>
  <c r="CU108" i="259"/>
  <c r="CG188" i="259" a="1"/>
  <c r="CG188" i="259"/>
  <c r="CE170" i="259" a="1"/>
  <c r="CE170" i="259"/>
  <c r="CK192" i="259" a="1"/>
  <c r="CK192" i="259"/>
  <c r="CJ226" i="259" a="1"/>
  <c r="CJ226" i="259"/>
  <c r="CS249" i="259" a="1"/>
  <c r="CS249" i="259"/>
  <c r="CZ127" i="259" a="1"/>
  <c r="CZ127" i="259"/>
  <c r="CQ128" i="259" a="1"/>
  <c r="CQ128" i="259"/>
  <c r="CB206" i="259" a="1"/>
  <c r="CB206" i="259"/>
  <c r="CL111" i="259" a="1"/>
  <c r="CL111" i="259"/>
  <c r="DA108" i="259" a="1"/>
  <c r="DA108" i="259"/>
  <c r="BY209" i="259" a="1"/>
  <c r="BY209" i="259"/>
  <c r="BX247" i="259" a="1"/>
  <c r="BX247" i="259"/>
  <c r="CM226" i="259" a="1"/>
  <c r="CM226" i="259"/>
  <c r="CR190" i="259" a="1"/>
  <c r="CR190" i="259"/>
  <c r="CC226" i="259" a="1"/>
  <c r="CC226" i="259"/>
  <c r="BT226" i="259" a="1"/>
  <c r="BT226" i="259"/>
  <c r="CA248" i="259" a="1"/>
  <c r="CA248" i="259"/>
  <c r="BW127" i="259" a="1"/>
  <c r="BW127" i="259"/>
  <c r="CS228" i="259" a="1"/>
  <c r="CS228" i="259"/>
  <c r="CF107" i="259" a="1"/>
  <c r="CF107" i="259"/>
  <c r="BV172" i="259" a="1"/>
  <c r="BV172" i="259"/>
  <c r="CG191" i="259" a="1"/>
  <c r="CG191" i="259"/>
  <c r="BY151" i="259" a="1"/>
  <c r="BY151" i="259"/>
  <c r="CY251" i="259" a="1"/>
  <c r="CY251" i="259"/>
  <c r="CD208" i="259" a="1"/>
  <c r="CD208" i="259"/>
  <c r="BW153" i="259" a="1"/>
  <c r="BW153" i="259"/>
  <c r="BY169" i="259" a="1"/>
  <c r="BY169" i="259"/>
  <c r="CS208" i="259" a="1"/>
  <c r="CS208" i="259"/>
  <c r="CQ153" i="259" a="1"/>
  <c r="CQ153" i="259"/>
  <c r="BZ249" i="259" a="1"/>
  <c r="BZ249" i="259"/>
  <c r="CP153" i="259" a="1"/>
  <c r="CP153" i="259"/>
  <c r="BY110" i="259" a="1"/>
  <c r="BY110" i="259"/>
  <c r="CN248" i="259" a="1"/>
  <c r="CN248" i="259"/>
  <c r="CN108" i="259" a="1"/>
  <c r="CN108" i="259"/>
  <c r="CR110" i="259" a="1"/>
  <c r="CR110" i="259"/>
  <c r="CE208" i="259" a="1"/>
  <c r="CE208" i="259"/>
  <c r="BZ209" i="259" a="1"/>
  <c r="BZ209" i="259"/>
  <c r="CR232" i="259" a="1"/>
  <c r="CR232" i="259"/>
  <c r="BU209" i="259" a="1"/>
  <c r="BU209" i="259"/>
  <c r="CM249" i="259" a="1"/>
  <c r="CM249" i="259"/>
  <c r="BX208" i="259" a="1"/>
  <c r="BX208" i="259"/>
  <c r="CO247" i="259" a="1"/>
  <c r="CO247" i="259"/>
  <c r="CU151" i="259" a="1"/>
  <c r="CU151" i="259"/>
  <c r="BV149" i="259" a="1"/>
  <c r="BV149" i="259"/>
  <c r="CT251" i="259" a="1"/>
  <c r="CT251" i="259"/>
  <c r="BY228" i="259" a="1"/>
  <c r="BY228" i="259"/>
  <c r="CO190" i="259" a="1"/>
  <c r="CO190" i="259"/>
  <c r="CB210" i="259" a="1"/>
  <c r="CB210" i="259"/>
  <c r="BW227" i="259" a="1"/>
  <c r="BW227" i="259"/>
  <c r="BX171" i="259" a="1"/>
  <c r="BX171" i="259"/>
  <c r="CM153" i="259" a="1"/>
  <c r="CM153" i="259"/>
  <c r="CI106" i="259" a="1"/>
  <c r="CI106" i="259"/>
  <c r="CA232" i="259" a="1"/>
  <c r="CA232" i="259"/>
  <c r="CX206" i="259" a="1"/>
  <c r="CX206" i="259"/>
  <c r="CA173" i="259" a="1"/>
  <c r="CA173" i="259"/>
  <c r="CN249" i="259" a="1"/>
  <c r="CN249" i="259"/>
  <c r="CW170" i="259" a="1"/>
  <c r="CW170" i="259"/>
  <c r="DA229" i="259" a="1"/>
  <c r="DA229" i="259"/>
  <c r="CY109" i="259" a="1"/>
  <c r="CY109" i="259"/>
  <c r="CT206" i="259" a="1"/>
  <c r="CT206" i="259"/>
  <c r="CI249" i="259" a="1"/>
  <c r="CI249" i="259"/>
  <c r="DB232" i="259" a="1"/>
  <c r="DB232" i="259"/>
  <c r="CN127" i="259" a="1"/>
  <c r="CN127" i="259"/>
  <c r="CX173" i="259" a="1"/>
  <c r="CX173" i="259"/>
  <c r="BV152" i="259" a="1"/>
  <c r="BV152" i="259"/>
  <c r="CQ132" i="259" a="1"/>
  <c r="CQ132" i="259"/>
  <c r="DC154" i="259" a="1"/>
  <c r="DC154" i="259"/>
  <c r="CQ109" i="259" a="1"/>
  <c r="CQ109" i="259"/>
  <c r="BY247" i="259" a="1"/>
  <c r="BY247" i="259"/>
  <c r="BU251" i="259" a="1"/>
  <c r="BU251" i="259"/>
  <c r="CW154" i="259" a="1"/>
  <c r="CW154" i="259"/>
  <c r="DA232" i="259" a="1"/>
  <c r="DA232" i="259"/>
  <c r="CI154" i="259" a="1"/>
  <c r="CI154" i="259"/>
  <c r="CT231" i="259" a="1"/>
  <c r="CT231" i="259"/>
  <c r="CI130" i="259" a="1"/>
  <c r="CI130" i="259"/>
  <c r="CB111" i="259" a="1"/>
  <c r="CB111" i="259"/>
  <c r="CH169" i="259" a="1"/>
  <c r="CH169" i="259"/>
  <c r="CA210" i="259" a="1"/>
  <c r="CA210" i="259"/>
  <c r="CF151" i="259" a="1"/>
  <c r="CF151" i="259"/>
  <c r="CG230" i="259" a="1"/>
  <c r="CG230" i="259"/>
  <c r="BV207" i="259" a="1"/>
  <c r="BV207" i="259"/>
  <c r="DC129" i="259" a="1"/>
  <c r="DC129" i="259"/>
  <c r="CS251" i="259" a="1"/>
  <c r="CS251" i="259"/>
  <c r="BU130" i="259" a="1"/>
  <c r="BU130" i="259"/>
  <c r="BW169" i="259" a="1"/>
  <c r="BW169" i="259"/>
  <c r="BT190" i="259" a="1"/>
  <c r="BT190" i="259"/>
  <c r="CV127" i="259" a="1"/>
  <c r="CV127" i="259"/>
  <c r="CD250" i="259" a="1"/>
  <c r="CD250" i="259"/>
  <c r="CL191" i="259" a="1"/>
  <c r="CL191" i="259"/>
  <c r="CL149" i="259" a="1"/>
  <c r="CL149" i="259"/>
  <c r="CO106" i="259" a="1"/>
  <c r="CO106" i="259"/>
  <c r="BT106" i="259" a="1"/>
  <c r="BT106" i="259"/>
  <c r="BX170" i="259" a="1"/>
  <c r="BX170" i="259"/>
  <c r="CP188" i="259" a="1"/>
  <c r="CP188" i="259"/>
  <c r="CJ192" i="259" a="1"/>
  <c r="CJ192" i="259"/>
  <c r="BV212" i="259" a="1"/>
  <c r="BV212" i="259"/>
  <c r="CX232" i="259" a="1"/>
  <c r="CX232" i="259"/>
  <c r="CX131" i="259" a="1"/>
  <c r="CX131" i="259"/>
  <c r="CW127" i="259" a="1"/>
  <c r="CW127" i="259"/>
  <c r="CP192" i="259" a="1"/>
  <c r="CP192" i="259"/>
  <c r="BX109" i="259" a="1"/>
  <c r="BX109" i="259"/>
  <c r="BT248" i="259" a="1"/>
  <c r="BT248" i="259"/>
  <c r="DB206" i="259" a="1"/>
  <c r="DB206" i="259"/>
  <c r="CM107" i="259" a="1"/>
  <c r="CM107" i="259"/>
  <c r="DB106" i="259" a="1"/>
  <c r="DB106" i="259"/>
  <c r="CX210" i="259" a="1"/>
  <c r="CX210" i="259"/>
  <c r="CF208" i="259" a="1"/>
  <c r="CF208" i="259"/>
  <c r="CC110" i="259" a="1"/>
  <c r="CC110" i="259"/>
  <c r="BZ206" i="259" a="1"/>
  <c r="BZ206" i="259"/>
  <c r="CT153" i="259" a="1"/>
  <c r="CT153" i="259"/>
  <c r="CB190" i="259" a="1"/>
  <c r="CB190" i="259"/>
  <c r="CI226" i="259" a="1"/>
  <c r="CI226" i="259"/>
  <c r="CO250" i="259" a="1"/>
  <c r="CO250" i="259"/>
  <c r="DB246" i="259" a="1"/>
  <c r="DB246" i="259"/>
  <c r="CH149" i="259" a="1"/>
  <c r="CH149" i="259"/>
  <c r="CQ190" i="259" a="1"/>
  <c r="CQ190" i="259"/>
  <c r="CR231" i="259" a="1"/>
  <c r="CR231" i="259"/>
  <c r="CU246" i="259" a="1"/>
  <c r="CU246" i="259"/>
  <c r="BT153" i="259" a="1"/>
  <c r="BT153" i="259"/>
  <c r="CN172" i="259" a="1"/>
  <c r="CN172" i="259"/>
  <c r="CS111" i="259" a="1"/>
  <c r="CS111" i="259"/>
  <c r="DB132" i="259" a="1"/>
  <c r="DB132" i="259"/>
  <c r="CQ171" i="259" a="1"/>
  <c r="CQ171" i="259"/>
  <c r="DA151" i="259" a="1"/>
  <c r="DA151" i="259"/>
  <c r="BZ173" i="259" a="1"/>
  <c r="BZ173" i="259"/>
  <c r="CH227" i="259" a="1"/>
  <c r="CH227" i="259"/>
  <c r="BZ131" i="259" a="1"/>
  <c r="BZ131" i="259"/>
  <c r="CI210" i="259" a="1"/>
  <c r="CI210" i="259"/>
  <c r="BU151" i="259" a="1"/>
  <c r="BU151" i="259"/>
  <c r="BU206" i="259" a="1"/>
  <c r="BU206" i="259"/>
  <c r="CI128" i="259" a="1"/>
  <c r="CI128" i="259"/>
  <c r="CK108" i="259" a="1"/>
  <c r="CK108" i="259"/>
  <c r="CJ229" i="259" a="1"/>
  <c r="CJ229" i="259"/>
  <c r="BZ231" i="259" a="1"/>
  <c r="BZ231" i="259"/>
  <c r="CL246" i="259" a="1"/>
  <c r="CL246" i="259"/>
  <c r="CQ208" i="259" a="1"/>
  <c r="CQ208" i="259"/>
  <c r="CF170" i="259" a="1"/>
  <c r="CF170" i="259"/>
  <c r="CK128" i="259" a="1"/>
  <c r="CK128" i="259"/>
  <c r="CY127" i="259" a="1"/>
  <c r="CY127" i="259"/>
  <c r="CD151" i="259" a="1"/>
  <c r="CD151" i="259"/>
  <c r="CM251" i="259" a="1"/>
  <c r="CM251" i="259"/>
  <c r="CG190" i="259" a="1"/>
  <c r="CG190" i="259"/>
  <c r="CW229" i="259" a="1"/>
  <c r="CW229" i="259"/>
  <c r="CH208" i="259" a="1"/>
  <c r="CH208" i="259"/>
  <c r="CX172" i="259" a="1"/>
  <c r="CX172" i="259"/>
  <c r="BW154" i="259" a="1"/>
  <c r="BW154" i="259"/>
  <c r="CO108" i="259" a="1"/>
  <c r="CO108" i="259"/>
  <c r="CI187" i="259" a="1"/>
  <c r="CI187" i="259"/>
  <c r="CY153" i="259" a="1"/>
  <c r="CY153" i="259"/>
  <c r="CM173" i="259" a="1"/>
  <c r="CM173" i="259"/>
  <c r="CY190" i="259" a="1"/>
  <c r="CY190" i="259"/>
  <c r="CL108" i="259" a="1"/>
  <c r="CL108" i="259"/>
  <c r="DC132" i="259" a="1"/>
  <c r="DC132" i="259"/>
  <c r="CA191" i="259" a="1"/>
  <c r="CA191" i="259"/>
  <c r="DA107" i="259" a="1"/>
  <c r="DA107" i="259"/>
  <c r="CR189" i="259" a="1"/>
  <c r="CR189" i="259"/>
  <c r="DA230" i="259" a="1"/>
  <c r="DA230" i="259"/>
  <c r="CP127" i="259" a="1"/>
  <c r="CP127" i="259"/>
  <c r="CW211" i="259" a="1"/>
  <c r="CW211" i="259"/>
  <c r="CS152" i="259" a="1"/>
  <c r="CS152" i="259"/>
  <c r="CB109" i="259" a="1"/>
  <c r="CB109" i="259"/>
  <c r="CJ107" i="259" a="1"/>
  <c r="CJ107" i="259"/>
  <c r="CB131" i="259" a="1"/>
  <c r="CB131" i="259"/>
  <c r="CR149" i="259" a="1"/>
  <c r="CR149" i="259"/>
  <c r="BV191" i="259" a="1"/>
  <c r="BV191" i="259"/>
  <c r="CR127" i="259" a="1"/>
  <c r="CR127" i="259"/>
  <c r="BY231" i="259" a="1"/>
  <c r="BY231" i="259"/>
  <c r="CE130" i="259" a="1"/>
  <c r="CE130" i="259"/>
  <c r="CF106" i="259" a="1"/>
  <c r="CF106" i="259"/>
  <c r="CO227" i="259" a="1"/>
  <c r="CO227" i="259"/>
  <c r="BX249" i="259" a="1"/>
  <c r="BX249" i="259"/>
  <c r="CK132" i="259" a="1"/>
  <c r="CK132" i="259"/>
  <c r="CV227" i="259" a="1"/>
  <c r="CV227" i="259"/>
  <c r="CM206" i="259" a="1"/>
  <c r="CM206" i="259"/>
  <c r="CA227" i="259" a="1"/>
  <c r="CA227" i="259"/>
  <c r="CY246" i="259" a="1"/>
  <c r="CY246" i="259"/>
  <c r="CJ189" i="259" a="1"/>
  <c r="CJ189" i="259"/>
  <c r="BV190" i="259" a="1"/>
  <c r="BV190" i="259"/>
  <c r="CN189" i="259" a="1"/>
  <c r="CN189" i="259"/>
  <c r="CI151" i="259" a="1"/>
  <c r="CI151" i="259"/>
  <c r="BY188" i="259" a="1"/>
  <c r="BY188" i="259"/>
  <c r="CL173" i="259" a="1"/>
  <c r="CL173" i="259"/>
  <c r="BV231" i="259" a="1"/>
  <c r="BV231" i="259"/>
  <c r="CK210" i="259" a="1"/>
  <c r="CK210" i="259"/>
  <c r="BY168" i="259" a="1"/>
  <c r="BY168" i="259"/>
  <c r="CH111" i="259" a="1"/>
  <c r="CH111" i="259"/>
  <c r="DB127" i="259" a="1"/>
  <c r="DB127" i="259"/>
  <c r="CI189" i="259" a="1"/>
  <c r="CI189" i="259"/>
  <c r="CR206" i="259" a="1"/>
  <c r="CR206" i="259"/>
  <c r="CJ129" i="259" a="1"/>
  <c r="CJ129" i="259"/>
  <c r="CY170" i="259" a="1"/>
  <c r="CY170" i="259"/>
  <c r="CX227" i="259" a="1"/>
  <c r="CX227" i="259"/>
  <c r="CU150" i="259" a="1"/>
  <c r="CU150" i="259"/>
  <c r="CS109" i="259" a="1"/>
  <c r="CS109" i="259"/>
  <c r="BZ188" i="259" a="1"/>
  <c r="BZ188" i="259"/>
  <c r="CJ170" i="259" a="1"/>
  <c r="CJ170" i="259"/>
  <c r="CH229" i="259" a="1"/>
  <c r="CH229" i="259"/>
  <c r="CH228" i="259" a="1"/>
  <c r="CH228" i="259"/>
  <c r="CI172" i="259" a="1"/>
  <c r="CI172" i="259"/>
  <c r="BZ150" i="259" a="1"/>
  <c r="BZ150" i="259"/>
  <c r="CE171" i="259" a="1"/>
  <c r="CE171" i="259"/>
  <c r="CK173" i="259" a="1"/>
  <c r="CK173" i="259"/>
  <c r="CX171" i="259" a="1"/>
  <c r="CX171" i="259"/>
  <c r="CW151" i="259" a="1"/>
  <c r="CW151" i="259"/>
  <c r="CJ110" i="259" a="1"/>
  <c r="CJ110" i="259"/>
  <c r="CY172" i="259" a="1"/>
  <c r="CY172" i="259"/>
  <c r="CO151" i="259" a="1"/>
  <c r="CO151" i="259"/>
  <c r="BW229" i="259" a="1"/>
  <c r="BW229" i="259"/>
  <c r="BW128" i="259" a="1"/>
  <c r="BW128" i="259"/>
  <c r="CZ211" i="259" a="1"/>
  <c r="CZ211" i="259"/>
  <c r="BU128" i="259" a="1"/>
  <c r="BU128" i="259"/>
  <c r="BZ168" i="259" a="1"/>
  <c r="BZ168" i="259"/>
  <c r="DB208" i="259" a="1"/>
  <c r="DB208" i="259"/>
  <c r="CR131" i="259" a="1"/>
  <c r="CR131" i="259"/>
  <c r="CL192" i="259" a="1"/>
  <c r="CL192" i="259"/>
  <c r="CK189" i="259" a="1"/>
  <c r="CK189" i="259"/>
  <c r="DC110" i="259" a="1"/>
  <c r="DC110" i="259"/>
  <c r="CW191" i="259" a="1"/>
  <c r="CW191" i="259"/>
  <c r="CF230" i="259" a="1"/>
  <c r="CF230" i="259"/>
  <c r="CN151" i="259" a="1"/>
  <c r="CN151" i="259"/>
  <c r="CD132" i="259" a="1"/>
  <c r="CD132" i="259"/>
  <c r="BW206" i="259" a="1"/>
  <c r="BW206" i="259"/>
  <c r="CI131" i="259" a="1"/>
  <c r="CI131" i="259"/>
  <c r="CZ192" i="259" a="1"/>
  <c r="CZ192" i="259"/>
  <c r="BU150" i="259" a="1"/>
  <c r="BU150" i="259"/>
  <c r="CG212" i="259" a="1"/>
  <c r="CG212" i="259"/>
  <c r="CO168" i="259" a="1"/>
  <c r="CO168" i="259"/>
  <c r="BZ230" i="259" a="1"/>
  <c r="BZ230" i="259"/>
  <c r="CA153" i="259" a="1"/>
  <c r="CA153" i="259"/>
  <c r="BW172" i="259" a="1"/>
  <c r="BW172" i="259"/>
  <c r="BW108" i="259" a="1"/>
  <c r="BW108" i="259"/>
  <c r="BY109" i="259" a="1"/>
  <c r="BY109" i="259"/>
  <c r="CB232" i="259" a="1"/>
  <c r="CB232" i="259"/>
  <c r="CJ250" i="259" a="1"/>
  <c r="CJ250" i="259"/>
  <c r="CV151" i="259" a="1"/>
  <c r="CV151" i="259"/>
  <c r="CS210" i="259" a="1"/>
  <c r="CS210" i="259"/>
  <c r="CB108" i="259" a="1"/>
  <c r="CB108" i="259"/>
  <c r="CF249" i="259" a="1"/>
  <c r="CF249" i="259"/>
  <c r="BZ109" i="259" a="1"/>
  <c r="BZ109" i="259"/>
  <c r="BY170" i="259" a="1"/>
  <c r="BY170" i="259"/>
  <c r="CH130" i="259" a="1"/>
  <c r="CH130" i="259"/>
  <c r="DB151" i="259" a="1"/>
  <c r="DB151" i="259"/>
  <c r="CR108" i="259" a="1"/>
  <c r="CR108" i="259"/>
  <c r="CA230" i="259" a="1"/>
  <c r="CA230" i="259"/>
  <c r="CV210" i="259" a="1"/>
  <c r="CV210" i="259"/>
  <c r="CC127" i="259" a="1"/>
  <c r="CC127" i="259"/>
  <c r="DB173" i="259" a="1"/>
  <c r="DB173" i="259"/>
  <c r="CP191" i="259" a="1"/>
  <c r="CP191" i="259"/>
  <c r="CN109" i="259" a="1"/>
  <c r="CN109" i="259"/>
  <c r="CB172" i="259" a="1"/>
  <c r="CB172" i="259"/>
  <c r="DB130" i="259" a="1"/>
  <c r="DB130" i="259"/>
  <c r="BY187" i="259" a="1"/>
  <c r="BY187" i="259"/>
  <c r="BY232" i="259" a="1"/>
  <c r="BY232" i="259"/>
  <c r="CN187" i="259" a="1"/>
  <c r="CN187" i="259"/>
  <c r="CU192" i="259" a="1"/>
  <c r="CU192" i="259"/>
  <c r="CP151" i="259" a="1"/>
  <c r="CP151" i="259"/>
  <c r="CK127" i="259" a="1"/>
  <c r="CK127" i="259"/>
  <c r="CW190" i="259" a="1"/>
  <c r="CW190" i="259"/>
  <c r="CN150" i="259" a="1"/>
  <c r="CN150" i="259"/>
  <c r="CL251" i="259" a="1"/>
  <c r="CL251" i="259"/>
  <c r="CA171" i="259" a="1"/>
  <c r="CA171" i="259"/>
  <c r="CF168" i="259" a="1"/>
  <c r="CF168" i="259"/>
  <c r="BX187" i="259" a="1"/>
  <c r="BX187" i="259"/>
  <c r="CK230" i="259" a="1"/>
  <c r="CK230" i="259"/>
  <c r="CJ169" i="259" a="1"/>
  <c r="CJ169" i="259"/>
  <c r="CP227" i="259" a="1"/>
  <c r="CP227" i="259"/>
  <c r="CG228" i="259" a="1"/>
  <c r="CG228" i="259"/>
  <c r="CQ248" i="259" a="1"/>
  <c r="CQ248" i="259"/>
  <c r="CK188" i="259" a="1"/>
  <c r="CK188" i="259"/>
  <c r="CH173" i="259" a="1"/>
  <c r="CH173" i="259"/>
  <c r="CA108" i="259" a="1"/>
  <c r="CA108" i="259"/>
  <c r="CT229" i="259" a="1"/>
  <c r="CT229" i="259"/>
  <c r="CS132" i="259" a="1"/>
  <c r="CS132" i="259"/>
  <c r="CI192" i="259" a="1"/>
  <c r="CI192" i="259"/>
  <c r="BU132" i="259" a="1"/>
  <c r="BU132" i="259"/>
  <c r="CH211" i="259" a="1"/>
  <c r="CH211" i="259"/>
  <c r="DC210" i="259" a="1"/>
  <c r="DC210" i="259"/>
  <c r="CO210" i="259" a="1"/>
  <c r="CO210" i="259"/>
  <c r="CX250" i="259" a="1"/>
  <c r="CX250" i="259"/>
  <c r="BX246" i="259" a="1"/>
  <c r="BX246" i="259"/>
  <c r="CI168" i="259" a="1"/>
  <c r="CI168" i="259"/>
  <c r="CH154" i="259" a="1"/>
  <c r="CH154" i="259"/>
  <c r="BX206" i="259" a="1"/>
  <c r="BX206" i="259"/>
  <c r="BZ152" i="259" a="1"/>
  <c r="BZ152" i="259"/>
  <c r="CH207" i="259" a="1"/>
  <c r="CH207" i="259"/>
  <c r="CX151" i="259" a="1"/>
  <c r="CX151" i="259"/>
  <c r="CI190" i="259" a="1"/>
  <c r="CI190" i="259"/>
  <c r="CA154" i="259" a="1"/>
  <c r="CA154" i="259"/>
  <c r="CB212" i="259" a="1"/>
  <c r="CB212" i="259"/>
  <c r="CA132" i="259" a="1"/>
  <c r="CA132" i="259"/>
  <c r="CR129" i="259" a="1"/>
  <c r="CR129" i="259"/>
  <c r="CE191" i="259" a="1"/>
  <c r="CE191" i="259"/>
  <c r="BT230" i="259" a="1"/>
  <c r="BT230" i="259"/>
  <c r="CP129" i="259" a="1"/>
  <c r="CP129" i="259"/>
  <c r="DC232" i="259" a="1"/>
  <c r="DC232" i="259"/>
  <c r="CY106" i="259" a="1"/>
  <c r="CY106" i="259"/>
  <c r="CS206" i="259" a="1"/>
  <c r="CS206" i="259"/>
  <c r="BY127" i="259" a="1"/>
  <c r="BY127" i="259"/>
  <c r="DB192" i="259" a="1"/>
  <c r="DB192" i="259"/>
  <c r="CO246" i="259" a="1"/>
  <c r="CO246" i="259"/>
  <c r="BX232" i="259" a="1"/>
  <c r="BX232" i="259"/>
  <c r="CI153" i="259" a="1"/>
  <c r="CI153" i="259"/>
  <c r="CR151" i="259" a="1"/>
  <c r="CR151" i="259"/>
  <c r="CD188" i="259" a="1"/>
  <c r="CD188" i="259"/>
  <c r="CA106" i="259" a="1"/>
  <c r="CA106" i="259"/>
  <c r="BU110" i="259" a="1"/>
  <c r="BU110" i="259"/>
  <c r="BX111" i="259" a="1"/>
  <c r="BX111" i="259"/>
  <c r="CQ207" i="259" a="1"/>
  <c r="CQ207" i="259"/>
  <c r="CT130" i="259" a="1"/>
  <c r="CT130" i="259"/>
  <c r="CZ110" i="259" a="1"/>
  <c r="CZ110" i="259"/>
  <c r="CJ168" i="259" a="1"/>
  <c r="CJ168" i="259"/>
  <c r="CD230" i="259" a="1"/>
  <c r="CD230" i="259"/>
  <c r="DC192" i="259" a="1"/>
  <c r="DC192" i="259"/>
  <c r="CM172" i="259" a="1"/>
  <c r="CM172" i="259"/>
  <c r="CJ212" i="259" a="1"/>
  <c r="CJ212" i="259"/>
  <c r="CG232" i="259" a="1"/>
  <c r="CG232" i="259"/>
  <c r="CX130" i="259" a="1"/>
  <c r="CX130" i="259"/>
  <c r="CE169" i="259" a="1"/>
  <c r="CE169" i="259"/>
  <c r="CO154" i="259" a="1"/>
  <c r="CO154" i="259"/>
  <c r="CH152" i="259" a="1"/>
  <c r="CH152" i="259"/>
  <c r="BZ110" i="259" a="1"/>
  <c r="BZ110" i="259"/>
  <c r="CQ232" i="259" a="1"/>
  <c r="CQ232" i="259"/>
  <c r="BX169" i="259" a="1"/>
  <c r="BX169" i="259"/>
  <c r="CB151" i="259" a="1"/>
  <c r="CB151" i="259"/>
  <c r="CG128" i="259" a="1"/>
  <c r="CG128" i="259"/>
  <c r="CA211" i="259" a="1"/>
  <c r="CA211" i="259"/>
  <c r="CA247" i="259" a="1"/>
  <c r="CA247" i="259"/>
  <c r="DC190" i="259" a="1"/>
  <c r="DC190" i="259"/>
  <c r="CF149" i="259" a="1"/>
  <c r="CF149" i="259"/>
  <c r="BU149" i="259" a="1"/>
  <c r="BU149" i="259"/>
  <c r="CQ231" i="259" a="1"/>
  <c r="CQ231" i="259"/>
  <c r="CM250" i="259" a="1"/>
  <c r="CM250" i="259"/>
  <c r="CJ109" i="259" a="1"/>
  <c r="CJ109" i="259"/>
  <c r="CF210" i="259" a="1"/>
  <c r="CF210" i="259"/>
  <c r="CF173" i="259" a="1"/>
  <c r="CF173" i="259"/>
  <c r="CQ228" i="259" a="1"/>
  <c r="CQ228" i="259"/>
  <c r="CF169" i="259" a="1"/>
  <c r="CF169" i="259"/>
  <c r="CO231" i="259" a="1"/>
  <c r="CO231" i="259"/>
  <c r="CM227" i="259" a="1"/>
  <c r="CM227" i="259"/>
  <c r="CU210" i="259" a="1"/>
  <c r="CU210" i="259"/>
  <c r="CU152" i="259" a="1"/>
  <c r="CU152" i="259"/>
  <c r="CL128" i="259" a="1"/>
  <c r="CL128" i="259"/>
  <c r="CY248" i="259" a="1"/>
  <c r="CY248" i="259"/>
  <c r="CV231" i="259" a="1"/>
  <c r="CV231" i="259"/>
  <c r="CT132" i="259" a="1"/>
  <c r="CT132" i="259"/>
  <c r="CF131" i="259" a="1"/>
  <c r="CF131" i="259"/>
  <c r="CU227" i="259" a="1"/>
  <c r="CU227" i="259"/>
  <c r="BT110" i="259" a="1"/>
  <c r="BT110" i="259"/>
  <c r="CI227" i="259" a="1"/>
  <c r="CI227" i="259"/>
  <c r="CS211" i="259" a="1"/>
  <c r="CS211" i="259"/>
  <c r="BV130" i="259" a="1"/>
  <c r="BV130" i="259"/>
  <c r="BZ169" i="259" a="1"/>
  <c r="BZ169" i="259"/>
  <c r="CJ230" i="259" a="1"/>
  <c r="CJ230" i="259"/>
  <c r="BW232" i="259" a="1"/>
  <c r="BW232" i="259"/>
  <c r="CW206" i="259" a="1"/>
  <c r="CW206" i="259"/>
  <c r="CD106" i="259" a="1"/>
  <c r="CD106" i="259"/>
  <c r="CR211" i="259" a="1"/>
  <c r="CR211" i="259"/>
  <c r="CH150" i="259" a="1"/>
  <c r="CH150" i="259"/>
  <c r="CG168" i="259" a="1"/>
  <c r="CG168" i="259"/>
  <c r="CN130" i="259" a="1"/>
  <c r="CN130" i="259"/>
  <c r="DB111" i="259" a="1"/>
  <c r="DB111" i="259"/>
  <c r="BY212" i="259" a="1"/>
  <c r="BY212" i="259"/>
  <c r="BU226" i="259" a="1"/>
  <c r="BU226" i="259"/>
  <c r="DB152" i="259" a="1"/>
  <c r="DB152" i="259"/>
  <c r="BY189" i="259" a="1"/>
  <c r="BY189" i="259"/>
  <c r="CK248" i="259" a="1"/>
  <c r="CK248" i="259"/>
  <c r="CZ152" i="259" a="1"/>
  <c r="CZ152" i="259"/>
  <c r="BY107" i="259" a="1"/>
  <c r="BY107" i="259"/>
  <c r="CA149" i="259" a="1"/>
  <c r="CA149" i="259"/>
  <c r="CT208" i="259" a="1"/>
  <c r="CT208" i="259"/>
  <c r="CV129" i="259" a="1"/>
  <c r="CV129" i="259"/>
  <c r="CU168" i="259" a="1"/>
  <c r="CU168" i="259"/>
  <c r="DB228" i="259" a="1"/>
  <c r="DB228" i="259"/>
  <c r="CG250" i="259" a="1"/>
  <c r="CG250" i="259"/>
  <c r="CU129" i="259" a="1"/>
  <c r="CU129" i="259"/>
  <c r="CV170" i="259" a="1"/>
  <c r="CV170" i="259"/>
  <c r="DC169" i="259" a="1"/>
  <c r="DC169" i="259"/>
  <c r="CK191" i="259" a="1"/>
  <c r="CK191" i="259"/>
  <c r="DB248" i="259" a="1"/>
  <c r="DB248" i="259"/>
  <c r="BY246" i="259" a="1"/>
  <c r="BY246" i="259"/>
  <c r="CG231" i="259" a="1"/>
  <c r="CG231" i="259"/>
  <c r="CS188" i="259" a="1"/>
  <c r="CS188" i="259"/>
  <c r="BX173" i="259" a="1"/>
  <c r="BX173" i="259"/>
  <c r="CP211" i="259" a="1"/>
  <c r="CP211" i="259"/>
  <c r="CW212" i="259" a="1"/>
  <c r="CW212" i="259"/>
  <c r="CW109" i="259" a="1"/>
  <c r="CW109" i="259"/>
  <c r="CO171" i="259" a="1"/>
  <c r="CO171" i="259"/>
  <c r="DC212" i="259" a="1"/>
  <c r="DC212" i="259"/>
  <c r="DB227" i="259" a="1"/>
  <c r="DB227" i="259"/>
  <c r="CO149" i="259" a="1"/>
  <c r="CO149" i="259"/>
  <c r="CK208" i="259" a="1"/>
  <c r="CK208" i="259"/>
  <c r="CH192" i="259" a="1"/>
  <c r="CH192" i="259"/>
  <c r="BV106" i="259" a="1"/>
  <c r="BV106" i="259"/>
  <c r="BV127" i="259" a="1"/>
  <c r="BV127" i="259"/>
  <c r="BT211" i="259" a="1"/>
  <c r="BT211" i="259"/>
  <c r="CI246" i="259" a="1"/>
  <c r="CI246" i="259"/>
  <c r="CJ227" i="259" a="1"/>
  <c r="CJ227" i="259"/>
  <c r="CM246" i="259" a="1"/>
  <c r="CM246" i="259"/>
  <c r="CA192" i="259" a="1"/>
  <c r="CA192" i="259"/>
  <c r="DA168" i="259" a="1"/>
  <c r="DA168" i="259"/>
  <c r="CO206" i="259" a="1"/>
  <c r="CO206" i="259"/>
  <c r="CG172" i="259" a="1"/>
  <c r="CG172" i="259"/>
  <c r="CO130" i="259" a="1"/>
  <c r="CO130" i="259"/>
  <c r="BW109" i="259" a="1"/>
  <c r="BW109" i="259"/>
  <c r="BU169" i="259" a="1"/>
  <c r="BU169" i="259"/>
  <c r="CW173" i="259" a="1"/>
  <c r="CW173" i="259"/>
  <c r="CB247" i="259" a="1"/>
  <c r="CB247" i="259"/>
  <c r="BZ127" i="259" a="1"/>
  <c r="BZ127" i="259"/>
  <c r="BY172" i="259" a="1"/>
  <c r="BY172" i="259"/>
  <c r="BX150" i="259" a="1"/>
  <c r="BX150" i="259"/>
  <c r="CD211" i="259" a="1"/>
  <c r="CD211" i="259"/>
  <c r="CB226" i="259" a="1"/>
  <c r="CB226" i="259"/>
  <c r="CD153" i="259" a="1"/>
  <c r="CD153" i="259"/>
  <c r="CZ150" i="259" a="1"/>
  <c r="CZ150" i="259"/>
  <c r="CN154" i="259" a="1"/>
  <c r="CN154" i="259"/>
  <c r="CY108" i="259" a="1"/>
  <c r="CY108" i="259"/>
  <c r="CH191" i="259" a="1"/>
  <c r="CH191" i="259"/>
  <c r="CR208" i="259" a="1"/>
  <c r="CR208" i="259"/>
  <c r="BX151" i="259" a="1"/>
  <c r="BX151" i="259"/>
  <c r="DC151" i="259" a="1"/>
  <c r="DC151" i="259"/>
  <c r="CH212" i="259" a="1"/>
  <c r="CH212" i="259"/>
  <c r="CZ130" i="259" a="1"/>
  <c r="CZ130" i="259"/>
  <c r="CZ212" i="259" a="1"/>
  <c r="CZ212" i="259"/>
  <c r="CK187" i="259" a="1"/>
  <c r="CK187" i="259"/>
  <c r="CJ128" i="259" a="1"/>
  <c r="CJ128" i="259"/>
  <c r="CI171" i="259" a="1"/>
  <c r="CI171" i="259"/>
  <c r="BT150" i="259" a="1"/>
  <c r="BT150" i="259"/>
  <c r="BZ246" i="259" a="1"/>
  <c r="BZ246" i="259"/>
  <c r="BT189" i="259" a="1"/>
  <c r="BT189" i="259"/>
  <c r="BT111" i="259" a="1"/>
  <c r="BT111" i="259"/>
  <c r="CW209" i="259" a="1"/>
  <c r="CW209" i="259"/>
  <c r="CO109" i="259" a="1"/>
  <c r="CO109" i="259"/>
  <c r="CO173" i="259" a="1"/>
  <c r="CO173" i="259"/>
  <c r="DB171" i="259" a="1"/>
  <c r="DB171" i="259"/>
  <c r="CT190" i="259" a="1"/>
  <c r="CT190" i="259"/>
  <c r="DA169" i="259" a="1"/>
  <c r="DA169" i="259"/>
  <c r="CO248" i="259" a="1"/>
  <c r="CO248" i="259"/>
  <c r="CW132" i="259" a="1"/>
  <c r="CW132" i="259"/>
  <c r="CM211" i="259" a="1"/>
  <c r="CM211" i="259"/>
  <c r="CN251" i="259" a="1"/>
  <c r="CN251" i="259"/>
  <c r="BW187" i="259" a="1"/>
  <c r="BW187" i="259"/>
  <c r="BZ226" i="259" a="1"/>
  <c r="BZ226" i="259"/>
  <c r="CS209" i="259" a="1"/>
  <c r="CS209" i="259"/>
  <c r="CE173" i="259" a="1"/>
  <c r="CE173" i="259"/>
  <c r="CC191" i="259" a="1"/>
  <c r="CC191" i="259"/>
  <c r="DB210" i="259" a="1"/>
  <c r="DB210" i="259"/>
  <c r="BT130" i="259" a="1"/>
  <c r="BT130" i="259"/>
  <c r="CR111" i="259" a="1"/>
  <c r="CR111" i="259"/>
  <c r="CO211" i="259" a="1"/>
  <c r="CO211" i="259"/>
  <c r="CD150" i="259" a="1"/>
  <c r="CD150" i="259"/>
  <c r="CT247" i="259" a="1"/>
  <c r="CT247" i="259"/>
  <c r="CZ107" i="259" a="1"/>
  <c r="CZ107" i="259"/>
  <c r="BW152" i="259" a="1"/>
  <c r="BW152" i="259"/>
  <c r="CG249" i="259" a="1"/>
  <c r="CG249" i="259"/>
  <c r="DB212" i="259" a="1"/>
  <c r="DB212" i="259"/>
  <c r="BT154" i="259" a="1"/>
  <c r="BT154" i="259"/>
  <c r="CB251" i="259" a="1"/>
  <c r="CB251" i="259"/>
  <c r="CN131" i="259" a="1"/>
  <c r="CN131" i="259"/>
  <c r="DB131" i="259" a="1"/>
  <c r="DB131" i="259"/>
  <c r="CE251" i="259" a="1"/>
  <c r="CE251" i="259"/>
  <c r="CQ250" i="259" a="1"/>
  <c r="CQ250" i="259"/>
  <c r="BT208" i="259" a="1"/>
  <c r="BT208" i="259"/>
  <c r="CQ173" i="259" a="1"/>
  <c r="CQ173" i="259"/>
  <c r="CL129" i="259" a="1"/>
  <c r="CL129" i="259"/>
  <c r="CZ131" i="259" a="1"/>
  <c r="CZ131" i="259"/>
  <c r="CA228" i="259" a="1"/>
  <c r="CA228" i="259"/>
  <c r="DC187" i="259" a="1"/>
  <c r="DC187" i="259"/>
  <c r="CI191" i="259" a="1"/>
  <c r="CI191" i="259"/>
  <c r="CQ192" i="259" a="1"/>
  <c r="CQ192" i="259"/>
  <c r="CV192" i="259" a="1"/>
  <c r="CV192" i="259"/>
  <c r="BT210" i="259" a="1"/>
  <c r="BT210" i="259"/>
  <c r="CQ131" i="259" a="1"/>
  <c r="CQ131" i="259"/>
  <c r="CZ187" i="259" a="1"/>
  <c r="CZ187" i="259"/>
  <c r="CB152" i="259" a="1"/>
  <c r="CB152" i="259"/>
  <c r="BX210" i="259" a="1"/>
  <c r="BX210" i="259"/>
  <c r="BX209" i="259" a="1"/>
  <c r="BX209" i="259"/>
  <c r="DA206" i="259" a="1"/>
  <c r="DA206" i="259"/>
  <c r="CX247" i="259" a="1"/>
  <c r="CX247" i="259"/>
  <c r="DA132" i="259" a="1"/>
  <c r="DA132" i="259"/>
  <c r="CY250" i="259" a="1"/>
  <c r="CY250" i="259"/>
  <c r="CQ170" i="259" a="1"/>
  <c r="CQ170" i="259"/>
  <c r="BU111" i="259" a="1"/>
  <c r="BU111" i="259"/>
  <c r="CN208" i="259" a="1"/>
  <c r="CN208" i="259"/>
  <c r="CX108" i="259" a="1"/>
  <c r="CX108" i="259"/>
  <c r="CN212" i="259" a="1"/>
  <c r="CN212" i="259"/>
  <c r="CC250" i="259" a="1"/>
  <c r="CC250" i="259"/>
  <c r="DA247" i="259" a="1"/>
  <c r="DA247" i="259"/>
  <c r="CS170" i="259" a="1"/>
  <c r="CS170" i="259"/>
  <c r="BZ170" i="259" a="1"/>
  <c r="BZ170" i="259"/>
  <c r="CQ229" i="259" a="1"/>
  <c r="CQ229" i="259"/>
  <c r="CR207" i="259" a="1"/>
  <c r="CR207" i="259"/>
  <c r="CE211" i="259" a="1"/>
  <c r="CE211" i="259"/>
  <c r="BT191" i="259" a="1"/>
  <c r="BT191" i="259"/>
  <c r="CV207" i="259" a="1"/>
  <c r="CV207" i="259"/>
  <c r="CU189" i="259" a="1"/>
  <c r="CU189" i="259"/>
  <c r="CS173" i="259" a="1"/>
  <c r="CS173" i="259"/>
  <c r="CA170" i="259" a="1"/>
  <c r="CA170" i="259"/>
  <c r="CS108" i="259" a="1"/>
  <c r="CS108" i="259"/>
  <c r="CN246" i="259" a="1"/>
  <c r="CN246" i="259"/>
  <c r="CS168" i="259" a="1"/>
  <c r="CS168" i="259"/>
  <c r="CG110" i="259" a="1"/>
  <c r="CG110" i="259"/>
  <c r="CZ171" i="259" a="1"/>
  <c r="CZ171" i="259"/>
  <c r="CV187" i="259" a="1"/>
  <c r="CV187" i="259"/>
  <c r="CW187" i="259" a="1"/>
  <c r="CW187" i="259"/>
  <c r="BT228" i="259" a="1"/>
  <c r="BT228" i="259"/>
  <c r="CY154" i="259" a="1"/>
  <c r="CY154" i="259"/>
  <c r="CC168" i="259" a="1"/>
  <c r="CC168" i="259"/>
  <c r="BZ128" i="259" a="1"/>
  <c r="BZ128" i="259"/>
  <c r="CM231" i="259" a="1"/>
  <c r="CM231" i="259"/>
  <c r="CK109" i="259" a="1"/>
  <c r="CK109" i="259"/>
  <c r="BV171" i="259" a="1"/>
  <c r="BV171" i="259"/>
  <c r="CW231" i="259" a="1"/>
  <c r="CW231" i="259"/>
  <c r="CX190" i="259" a="1"/>
  <c r="CX190" i="259"/>
  <c r="BT109" i="259" a="1"/>
  <c r="BT109" i="259"/>
  <c r="CY110" i="259" a="1"/>
  <c r="CY110" i="259"/>
  <c r="CU106" i="259" a="1"/>
  <c r="CU106" i="259"/>
  <c r="CN153" i="259" a="1"/>
  <c r="CN153" i="259"/>
  <c r="CG131" i="259" a="1"/>
  <c r="CG131" i="259"/>
  <c r="CB229" i="259" a="1"/>
  <c r="CB229" i="259"/>
  <c r="CH231" i="259" a="1"/>
  <c r="CH231" i="259"/>
  <c r="BZ172" i="259" a="1"/>
  <c r="BZ172" i="259"/>
  <c r="CN207" i="259" a="1"/>
  <c r="CN207" i="259"/>
  <c r="CA231" i="259" a="1"/>
  <c r="CA231" i="259"/>
  <c r="DB231" i="259" a="1"/>
  <c r="DB231" i="259"/>
  <c r="BX230" i="259" a="1"/>
  <c r="BX230" i="259"/>
  <c r="CW111" i="259" a="1"/>
  <c r="CW111" i="259"/>
  <c r="CV226" i="259" a="1"/>
  <c r="CV226" i="259"/>
  <c r="CH168" i="259" a="1"/>
  <c r="CH168" i="259"/>
  <c r="CS127" i="259" a="1"/>
  <c r="CS127" i="259"/>
  <c r="BZ250" i="259" a="1"/>
  <c r="BZ250" i="259"/>
  <c r="CV230" i="259" a="1"/>
  <c r="CV230" i="259"/>
  <c r="CX246" i="259" a="1"/>
  <c r="CX246" i="259"/>
  <c r="CV110" i="259" a="1"/>
  <c r="CV110" i="259"/>
  <c r="BW251" i="259" a="1"/>
  <c r="BW251" i="259"/>
  <c r="DC226" i="259" a="1"/>
  <c r="DC226" i="259"/>
  <c r="CY149" i="259" a="1"/>
  <c r="CY149" i="259"/>
  <c r="CS153" i="259" a="1"/>
  <c r="CS153" i="259"/>
  <c r="CO228" i="259" a="1"/>
  <c r="CO228" i="259"/>
  <c r="CN191" i="259" a="1"/>
  <c r="CN191" i="259"/>
  <c r="CH209" i="259" a="1"/>
  <c r="CH209" i="259"/>
  <c r="CL228" i="259" a="1"/>
  <c r="CL228" i="259"/>
  <c r="CM106" i="259" a="1"/>
  <c r="CM106" i="259"/>
  <c r="CG210" i="259" a="1"/>
  <c r="CG210" i="259"/>
  <c r="CX170" i="259" a="1"/>
  <c r="CX170" i="259"/>
  <c r="BY211" i="259" a="1"/>
  <c r="BY211" i="259"/>
  <c r="DC107" i="259" a="1"/>
  <c r="DC107" i="259"/>
  <c r="CZ109" i="259" a="1"/>
  <c r="CZ109" i="259"/>
  <c r="CW168" i="259" a="1"/>
  <c r="CW168" i="259"/>
  <c r="CI209" i="259" a="1"/>
  <c r="CI209" i="259"/>
  <c r="CE210" i="259" a="1"/>
  <c r="CE210" i="259"/>
  <c r="DB150" i="259" a="1"/>
  <c r="DB150" i="259"/>
  <c r="CC150" i="259" a="1"/>
  <c r="CC150" i="259"/>
  <c r="DA190" i="259" a="1"/>
  <c r="DA190" i="259"/>
  <c r="CG111" i="259" a="1"/>
  <c r="CG111" i="259"/>
  <c r="CJ172" i="259" a="1"/>
  <c r="CJ172" i="259"/>
  <c r="CU211" i="259" a="1"/>
  <c r="CU211" i="259"/>
  <c r="BZ232" i="259" a="1"/>
  <c r="BZ232" i="259"/>
  <c r="BV230" i="259" a="1"/>
  <c r="BV230" i="259"/>
  <c r="BU106" i="259" a="1"/>
  <c r="BU106" i="259"/>
  <c r="CB187" i="259" a="1"/>
  <c r="CB187" i="259"/>
  <c r="CL172" i="259" a="1"/>
  <c r="CL172" i="259"/>
  <c r="CS189" i="259" a="1"/>
  <c r="CS189" i="259"/>
  <c r="CG108" i="259" a="1"/>
  <c r="CG108" i="259"/>
  <c r="CQ130" i="259" a="1"/>
  <c r="CQ130" i="259"/>
  <c r="CD246" i="259" a="1"/>
  <c r="CD246" i="259"/>
  <c r="CU250" i="259" a="1"/>
  <c r="CU250" i="259"/>
  <c r="BT229" i="259" a="1"/>
  <c r="BT229" i="259"/>
  <c r="CJ150" i="259" a="1"/>
  <c r="CJ150" i="259"/>
  <c r="CD171" i="259" a="1"/>
  <c r="CD171" i="259"/>
  <c r="CU173" i="259" a="1"/>
  <c r="CU173" i="259"/>
  <c r="CE153" i="259" a="1"/>
  <c r="CE153" i="259"/>
  <c r="DA131" i="259" a="1"/>
  <c r="DA131" i="259"/>
  <c r="CC172" i="259" a="1"/>
  <c r="CC172" i="259"/>
  <c r="DA109" i="259" a="1"/>
  <c r="DA109" i="259"/>
  <c r="BU207" i="259" a="1"/>
  <c r="BU207" i="259"/>
  <c r="DA251" i="259" a="1"/>
  <c r="DA251" i="259"/>
  <c r="CR209" i="259" a="1"/>
  <c r="CR209" i="259"/>
  <c r="CA110" i="259" a="1"/>
  <c r="CA110" i="259"/>
  <c r="CA250" i="259" a="1"/>
  <c r="CA250" i="259"/>
  <c r="CM111" i="259" a="1"/>
  <c r="CM111" i="259"/>
  <c r="BY226" i="259" a="1"/>
  <c r="BY226" i="259"/>
  <c r="CK209" i="259" a="1"/>
  <c r="CK209" i="259"/>
  <c r="BV110" i="259" a="1"/>
  <c r="BV110" i="259"/>
  <c r="CC109" i="259" a="1"/>
  <c r="CC109" i="259"/>
  <c r="CE132" i="259" a="1"/>
  <c r="CE132" i="259"/>
  <c r="CZ149" i="259" a="1"/>
  <c r="CZ149" i="259"/>
  <c r="CZ207" i="259" a="1"/>
  <c r="CZ207" i="259"/>
  <c r="CT152" i="259" a="1"/>
  <c r="CT152" i="259"/>
  <c r="CI129" i="259" a="1"/>
  <c r="CI129" i="259"/>
  <c r="CM192" i="259" a="1"/>
  <c r="CM192" i="259"/>
  <c r="DC171" i="259" a="1"/>
  <c r="DC171" i="259"/>
  <c r="CH247" i="259" a="1"/>
  <c r="CH247" i="259"/>
  <c r="CV154" i="259" a="1"/>
  <c r="CV154" i="259"/>
  <c r="BV151" i="259" a="1"/>
  <c r="BV151" i="259"/>
  <c r="BY251" i="259" a="1"/>
  <c r="BY251" i="259"/>
  <c r="BV246" i="259" a="1"/>
  <c r="BV246" i="259"/>
  <c r="DC106" i="259" a="1"/>
  <c r="DC106" i="259"/>
  <c r="DB129" i="259" a="1"/>
  <c r="DB129" i="259"/>
  <c r="CW172" i="259" a="1"/>
  <c r="CW172" i="259"/>
  <c r="CU229" i="259" a="1"/>
  <c r="CU229" i="259"/>
  <c r="CV208" i="259" a="1"/>
  <c r="CV208" i="259"/>
  <c r="CT149" i="259" a="1"/>
  <c r="CT149" i="259"/>
  <c r="CU172" i="259" a="1"/>
  <c r="CU172" i="259"/>
  <c r="CK110" i="259" a="1"/>
  <c r="CK110" i="259"/>
  <c r="BV189" i="259" a="1"/>
  <c r="BV189" i="259"/>
  <c r="BY152" i="259" a="1"/>
  <c r="BY152" i="259"/>
  <c r="CD111" i="259" a="1"/>
  <c r="CD111" i="259"/>
  <c r="CC248" i="259" a="1"/>
  <c r="CC248" i="259"/>
  <c r="CJ108" i="259" a="1"/>
  <c r="CJ108" i="259"/>
  <c r="CL229" i="259" a="1"/>
  <c r="CL229" i="259"/>
  <c r="DC209" i="259" a="1"/>
  <c r="DC209" i="259"/>
  <c r="CO127" i="259" a="1"/>
  <c r="CO127" i="259"/>
  <c r="CF228" i="259" a="1"/>
  <c r="CF228" i="259"/>
  <c r="CF171" i="259" a="1"/>
  <c r="CF171" i="259"/>
  <c r="CB127" i="259" a="1"/>
  <c r="CB127" i="259"/>
  <c r="BU208" i="259" a="1"/>
  <c r="BU208" i="259"/>
  <c r="CI109" i="259" a="1"/>
  <c r="CI109" i="259"/>
  <c r="CD212" i="259" a="1"/>
  <c r="CD212" i="259"/>
  <c r="CW251" i="259" a="1"/>
  <c r="CW251" i="259"/>
  <c r="CC230" i="259" a="1"/>
  <c r="CC230" i="259"/>
  <c r="CY210" i="259" a="1"/>
  <c r="CY210" i="259"/>
  <c r="CG229" i="259" a="1"/>
  <c r="CG229" i="259"/>
  <c r="CX129" i="259" a="1"/>
  <c r="CX129" i="259"/>
  <c r="BU173" i="259" a="1"/>
  <c r="BU173" i="259"/>
  <c r="BW248" i="259" a="1"/>
  <c r="BW248" i="259"/>
  <c r="CW131" i="259" a="1"/>
  <c r="CW131" i="259"/>
  <c r="CC154" i="259" a="1"/>
  <c r="CC154" i="259"/>
  <c r="BW246" i="259" a="1"/>
  <c r="BW246" i="259"/>
  <c r="CP246" i="259" a="1"/>
  <c r="CP246" i="259"/>
  <c r="CI111" i="259" a="1"/>
  <c r="CI111" i="259"/>
  <c r="CU130" i="259" a="1"/>
  <c r="CU130" i="259"/>
  <c r="CB211" i="259" a="1"/>
  <c r="CB211" i="259"/>
  <c r="BV251" i="259" a="1"/>
  <c r="BV251" i="259"/>
  <c r="BW106" i="259" a="1"/>
  <c r="BW106" i="259"/>
  <c r="CC189" i="259" a="1"/>
  <c r="CC189" i="259"/>
  <c r="CE246" i="259" a="1"/>
  <c r="CE246" i="259"/>
  <c r="CD231" i="259" a="1"/>
  <c r="CD231" i="259"/>
  <c r="CO230" i="259" a="1"/>
  <c r="CO230" i="259"/>
  <c r="DB191" i="259" a="1"/>
  <c r="DB191" i="259"/>
  <c r="CV106" i="259" a="1"/>
  <c r="CV106" i="259"/>
  <c r="CR188" i="259" a="1"/>
  <c r="CR188" i="259"/>
  <c r="CD127" i="259" a="1"/>
  <c r="CD127" i="259"/>
  <c r="CU107" i="259" a="1"/>
  <c r="CU107" i="259"/>
  <c r="CY208" i="259" a="1"/>
  <c r="CY208" i="259"/>
  <c r="BU127" i="259" a="1"/>
  <c r="BU127" i="259"/>
  <c r="CO226" i="259" a="1"/>
  <c r="CO226" i="259"/>
  <c r="BX229" i="259" a="1"/>
  <c r="BX229" i="259"/>
  <c r="BX154" i="259" a="1"/>
  <c r="BX154" i="259"/>
  <c r="CX127" i="259" a="1"/>
  <c r="CX127" i="259"/>
  <c r="DA189" i="259" a="1"/>
  <c r="DA189" i="259"/>
  <c r="CV248" i="259" a="1"/>
  <c r="CV248" i="259"/>
  <c r="BT206" i="259" a="1"/>
  <c r="BT206" i="259"/>
  <c r="BW151" i="259" a="1"/>
  <c r="BW151" i="259"/>
  <c r="CR152" i="259" a="1"/>
  <c r="CR152" i="259"/>
  <c r="CB171" i="259" a="1"/>
  <c r="CB171" i="259"/>
  <c r="CL211" i="259" a="1"/>
  <c r="CL211" i="259"/>
  <c r="CI206" i="259" a="1"/>
  <c r="CI206" i="259"/>
  <c r="CN168" i="259" a="1"/>
  <c r="CN168" i="259"/>
  <c r="BV153" i="259" a="1"/>
  <c r="BV153" i="259"/>
  <c r="CS107" i="259" a="1"/>
  <c r="CS107" i="259"/>
  <c r="CO207" i="259" a="1"/>
  <c r="CO207" i="259"/>
  <c r="CU127" i="259" a="1"/>
  <c r="CU127" i="259"/>
  <c r="CK172" i="259" a="1"/>
  <c r="CK172" i="259"/>
  <c r="CQ111" i="259" a="1"/>
  <c r="CQ111" i="259"/>
  <c r="DC131" i="259" a="1"/>
  <c r="DC131" i="259"/>
  <c r="BZ106" i="259" a="1"/>
  <c r="BZ106" i="259"/>
  <c r="CS171" i="259" a="1"/>
  <c r="CS171" i="259"/>
  <c r="CV169" i="259" a="1"/>
  <c r="CV169" i="259"/>
  <c r="CI150" i="259" a="1"/>
  <c r="CI150" i="259"/>
  <c r="CR132" i="259" a="1"/>
  <c r="CR132" i="259"/>
  <c r="BW250" i="259" a="1"/>
  <c r="BW250" i="259"/>
  <c r="CG209" i="259" a="1"/>
  <c r="CG209" i="259"/>
  <c r="BX231" i="259" a="1"/>
  <c r="BX231" i="259"/>
  <c r="CG107" i="259" a="1"/>
  <c r="CG107" i="259"/>
  <c r="DB109" i="259" a="1"/>
  <c r="DB109" i="259"/>
  <c r="BU210" i="259" a="1"/>
  <c r="BU210" i="259"/>
  <c r="CP172" i="259" a="1"/>
  <c r="CP172" i="259"/>
  <c r="CM127" i="259" a="1"/>
  <c r="CM127" i="259"/>
  <c r="CP173" i="259" a="1"/>
  <c r="CP173" i="259"/>
  <c r="CR229" i="259" a="1"/>
  <c r="CR229" i="259"/>
  <c r="CV206" i="259" a="1"/>
  <c r="CV206" i="259"/>
  <c r="BT170" i="259" a="1"/>
  <c r="BT170" i="259"/>
  <c r="CE190" i="259" a="1"/>
  <c r="CE190" i="259"/>
  <c r="CB188" i="259" a="1"/>
  <c r="CB188" i="259"/>
  <c r="DB211" i="259" a="1"/>
  <c r="DB211" i="259"/>
  <c r="DC130" i="259" a="1"/>
  <c r="DC130" i="259"/>
  <c r="CZ153" i="259" a="1"/>
  <c r="CZ153" i="259"/>
  <c r="CT227" i="259" a="1"/>
  <c r="CT227" i="259"/>
  <c r="CU209" i="259" a="1"/>
  <c r="CU209" i="259"/>
  <c r="CC211" i="259" a="1"/>
  <c r="CC211" i="259"/>
  <c r="CV188" i="259" a="1"/>
  <c r="CV188" i="259"/>
  <c r="CV128" i="259" a="1"/>
  <c r="CV128" i="259"/>
  <c r="CL110" i="259" a="1"/>
  <c r="CL110" i="259"/>
  <c r="CU169" i="259" a="1"/>
  <c r="CU169" i="259"/>
  <c r="CZ128" i="259" a="1"/>
  <c r="CZ128" i="259"/>
  <c r="BT246" i="259" a="1"/>
  <c r="BT246" i="259"/>
  <c r="CX128" i="259" a="1"/>
  <c r="CX128" i="259"/>
  <c r="DC227" i="259" a="1"/>
  <c r="DC227" i="259"/>
  <c r="CD251" i="259" a="1"/>
  <c r="CD251" i="259"/>
  <c r="BX152" i="259" a="1"/>
  <c r="BX152" i="259"/>
  <c r="CR187" i="259" a="1"/>
  <c r="CR187" i="259"/>
  <c r="CU191" i="259" a="1"/>
  <c r="CU191" i="259"/>
  <c r="BV226" i="259" a="1"/>
  <c r="BV226" i="259"/>
  <c r="CE150" i="259" a="1"/>
  <c r="CE150" i="259"/>
  <c r="CN107" i="259" a="1"/>
  <c r="CN107" i="259"/>
  <c r="CH153" i="259" a="1"/>
  <c r="CH153" i="259"/>
  <c r="CN129" i="259" a="1"/>
  <c r="CN129" i="259"/>
  <c r="CY152" i="259" a="1"/>
  <c r="CY152" i="259"/>
  <c r="CR226" i="259" a="1"/>
  <c r="CR226" i="259"/>
  <c r="CZ154" i="259" a="1"/>
  <c r="CZ154" i="259"/>
  <c r="CI231" i="259" a="1"/>
  <c r="CI231" i="259"/>
  <c r="CZ168" i="259" a="1"/>
  <c r="CZ168" i="259"/>
  <c r="CU187" i="259" a="1"/>
  <c r="CU187" i="259"/>
  <c r="DC173" i="259" a="1"/>
  <c r="DC173" i="259"/>
  <c r="CH251" i="259" a="1"/>
  <c r="CH251" i="259"/>
  <c r="BY131" i="259" a="1"/>
  <c r="BY131" i="259"/>
  <c r="CN170" i="259" a="1"/>
  <c r="CN170" i="259"/>
  <c r="BV229" i="259" a="1"/>
  <c r="BV229" i="259"/>
  <c r="CE110" i="259" a="1"/>
  <c r="CE110" i="259"/>
  <c r="CE129" i="259" a="1"/>
  <c r="CE129" i="259"/>
  <c r="CF232" i="259" a="1"/>
  <c r="CF232" i="259"/>
  <c r="CA206" i="259" a="1"/>
  <c r="CA206" i="259"/>
  <c r="CT169" i="259" a="1"/>
  <c r="CT169" i="259"/>
  <c r="CC106" i="259" a="1"/>
  <c r="CC106" i="259"/>
  <c r="BV168" i="259" a="1"/>
  <c r="BV168" i="259"/>
  <c r="CN227" i="259" a="1"/>
  <c r="CN227" i="259"/>
  <c r="CY230" i="259" a="1"/>
  <c r="CY230" i="259"/>
  <c r="DB207" i="259" a="1"/>
  <c r="DB207" i="259"/>
  <c r="CR210" i="259" a="1"/>
  <c r="CR210" i="259"/>
  <c r="BU129" i="259" a="1"/>
  <c r="BU129" i="259"/>
  <c r="CP170" i="259" a="1"/>
  <c r="CP170" i="259"/>
  <c r="CK154" i="259" a="1"/>
  <c r="CK154" i="259"/>
  <c r="CI169" i="259" a="1"/>
  <c r="CI169" i="259"/>
  <c r="BY208" i="259" a="1"/>
  <c r="BY208" i="259"/>
  <c r="DC168" i="259" a="1"/>
  <c r="DC168" i="259"/>
  <c r="CL230" i="259" a="1"/>
  <c r="CL230" i="259"/>
  <c r="CP106" i="259" a="1"/>
  <c r="CP106" i="259"/>
  <c r="CN230" i="259" a="1"/>
  <c r="CN230" i="259"/>
  <c r="CO192" i="259" a="1"/>
  <c r="CO192" i="259"/>
  <c r="BU211" i="259" a="1"/>
  <c r="BU211" i="259"/>
  <c r="CX110" i="259" a="1"/>
  <c r="CX110" i="259"/>
  <c r="CS154" i="259" a="1"/>
  <c r="CS154" i="259"/>
  <c r="CQ191" i="259" a="1"/>
  <c r="CQ191" i="259"/>
  <c r="DA153" i="259" a="1"/>
  <c r="DA153" i="259"/>
  <c r="CA212" i="259" a="1"/>
  <c r="CA212" i="259"/>
  <c r="CE108" i="259" a="1"/>
  <c r="CE108" i="259"/>
  <c r="CW210" i="259" a="1"/>
  <c r="CW210" i="259"/>
  <c r="CC108" i="259" a="1"/>
  <c r="CC108" i="259"/>
  <c r="CU212" i="259" a="1"/>
  <c r="CU212" i="259"/>
  <c r="CC228" i="259" a="1"/>
  <c r="CC228" i="259"/>
  <c r="CR106" i="259" a="1"/>
  <c r="CR106" i="259"/>
  <c r="CN110" i="259" a="1"/>
  <c r="CN110" i="259"/>
  <c r="CQ189" i="259" a="1"/>
  <c r="CQ189" i="259"/>
  <c r="CQ251" i="259" a="1"/>
  <c r="CQ251" i="259"/>
  <c r="CM208" i="259" a="1"/>
  <c r="CM208" i="259"/>
  <c r="CN211" i="259" a="1"/>
  <c r="CN211" i="259"/>
  <c r="CM170" i="259" a="1"/>
  <c r="CM170" i="259"/>
  <c r="DC153" i="259" a="1"/>
  <c r="DC153" i="259"/>
  <c r="BZ248" i="259" a="1"/>
  <c r="BZ248" i="259"/>
  <c r="CD107" i="259" a="1"/>
  <c r="CD107" i="259"/>
  <c r="CR250" i="259" a="1"/>
  <c r="CR250" i="259"/>
  <c r="BY150" i="259" a="1"/>
  <c r="BY150" i="259"/>
  <c r="CF251" i="259" a="1"/>
  <c r="CF251" i="259"/>
  <c r="CB227" i="259" a="1"/>
  <c r="CB227" i="259"/>
  <c r="BX191" i="259" a="1"/>
  <c r="BX191" i="259"/>
  <c r="CT154" i="259" a="1"/>
  <c r="CT154" i="259"/>
  <c r="BZ111" i="259" a="1"/>
  <c r="BZ111" i="259"/>
  <c r="CZ172" i="259" a="1"/>
  <c r="CZ172" i="259"/>
  <c r="CV172" i="259" a="1"/>
  <c r="CV172" i="259"/>
  <c r="BT127" i="259" a="1"/>
  <c r="BT127" i="259"/>
  <c r="BZ207" i="259" a="1"/>
  <c r="BZ207" i="259"/>
  <c r="CC251" i="259" a="1"/>
  <c r="CC251" i="259"/>
  <c r="CF152" i="259" a="1"/>
  <c r="CF152" i="259"/>
  <c r="CC206" i="259" a="1"/>
  <c r="CC206" i="259"/>
  <c r="BY108" i="259" a="1"/>
  <c r="BY108" i="259"/>
  <c r="BT188" i="259" a="1"/>
  <c r="BT188" i="259"/>
  <c r="BZ210" i="259" a="1"/>
  <c r="BZ210" i="259"/>
  <c r="CH109" i="259" a="1"/>
  <c r="CH109" i="259"/>
  <c r="BW190" i="259" a="1"/>
  <c r="BW190" i="259"/>
  <c r="CY132" i="259" a="1"/>
  <c r="CY132" i="259"/>
  <c r="BT250" i="259" a="1"/>
  <c r="BT250" i="259"/>
  <c r="CE187" i="259" a="1"/>
  <c r="CE187" i="259"/>
  <c r="BW173" i="259" a="1"/>
  <c r="BW173" i="259"/>
  <c r="CG130" i="259" a="1"/>
  <c r="CG130" i="259"/>
  <c r="CL131" i="259" a="1"/>
  <c r="CL131" i="259"/>
  <c r="DB249" i="259" a="1"/>
  <c r="DB249" i="259"/>
  <c r="CO249" i="259" a="1"/>
  <c r="CO249" i="259"/>
  <c r="CP171" i="259" a="1"/>
  <c r="CP171" i="259"/>
  <c r="CJ206" i="259" a="1"/>
  <c r="CJ206" i="259"/>
  <c r="CJ153" i="259" a="1"/>
  <c r="CJ153" i="259"/>
  <c r="BV188" i="259" a="1"/>
  <c r="BV188" i="259"/>
  <c r="CW230" i="259" a="1"/>
  <c r="CW230" i="259"/>
  <c r="CO131" i="259" a="1"/>
  <c r="CO131" i="259"/>
  <c r="CN192" i="259" a="1"/>
  <c r="CN192" i="259"/>
  <c r="CO187" i="259" a="1"/>
  <c r="CO187" i="259"/>
  <c r="CF188" i="259" a="1"/>
  <c r="CF188" i="259"/>
  <c r="BT171" i="259" a="1"/>
  <c r="BT171" i="259"/>
  <c r="CC247" i="259" a="1"/>
  <c r="CC247" i="259"/>
  <c r="BT207" i="259" a="1"/>
  <c r="BT207" i="259"/>
  <c r="CA129" i="259" a="1"/>
  <c r="CA129" i="259"/>
  <c r="CP228" i="259" a="1"/>
  <c r="CP228" i="259"/>
  <c r="CA151" i="259" a="1"/>
  <c r="CA151" i="259"/>
  <c r="CP107" i="259" a="1"/>
  <c r="CP107" i="259"/>
  <c r="CR248" i="259" a="1"/>
  <c r="CR248" i="259"/>
  <c r="DC229" i="259" a="1"/>
  <c r="DC229" i="259"/>
  <c r="CQ212" i="259" a="1"/>
  <c r="CQ212" i="259"/>
  <c r="CX109" i="259" a="1"/>
  <c r="CX109" i="259"/>
  <c r="CS230" i="259" a="1"/>
  <c r="CS230" i="259"/>
  <c r="DA130" i="259" a="1"/>
  <c r="DA130" i="259"/>
  <c r="CO188" i="259" a="1"/>
  <c r="CO188" i="259"/>
  <c r="CH189" i="259" a="1"/>
  <c r="CH189" i="259"/>
  <c r="CE228" i="259" a="1"/>
  <c r="CE228" i="259"/>
  <c r="CB170" i="259" a="1"/>
  <c r="CB170" i="259"/>
  <c r="CK249" i="259" a="1"/>
  <c r="CK249" i="259"/>
  <c r="CX111" i="259" a="1"/>
  <c r="CX111" i="259"/>
  <c r="CV149" i="259" a="1"/>
  <c r="CV149" i="259"/>
  <c r="BY191" i="259" a="1"/>
  <c r="BY191" i="259"/>
  <c r="CD172" i="259" a="1"/>
  <c r="CD172" i="259"/>
  <c r="CZ169" i="259" a="1"/>
  <c r="CZ169" i="259"/>
  <c r="CG248" i="259" a="1"/>
  <c r="CG248" i="259"/>
  <c r="CO128" i="259" a="1"/>
  <c r="CO128" i="259"/>
  <c r="BW231" i="259" a="1"/>
  <c r="BW231" i="259"/>
  <c r="CO229" i="259" a="1"/>
  <c r="CO229" i="259"/>
  <c r="CR251" i="259" a="1"/>
  <c r="CR251" i="259"/>
  <c r="DC207" i="259" a="1"/>
  <c r="DC207" i="259"/>
  <c r="BU231" i="259" a="1"/>
  <c r="BU231" i="259"/>
  <c r="CH188" i="259" a="1"/>
  <c r="CH188" i="259"/>
  <c r="CX132" i="259" a="1"/>
  <c r="CX132" i="259"/>
  <c r="CP189" i="259" a="1"/>
  <c r="CP189" i="259"/>
  <c r="DA210" i="259" a="1"/>
  <c r="DA210" i="259"/>
  <c r="CM132" i="259" a="1"/>
  <c r="CM132" i="259"/>
  <c r="CC209" i="259" a="1"/>
  <c r="CC209" i="259"/>
  <c r="CM229" i="259" a="1"/>
  <c r="CM229" i="259"/>
  <c r="CY131" i="259" a="1"/>
  <c r="CY131" i="259"/>
  <c r="BU248" i="259" a="1"/>
  <c r="BU248" i="259"/>
  <c r="CK153" i="259" a="1"/>
  <c r="CK153" i="259"/>
  <c r="CK170" i="259" a="1"/>
  <c r="CK170" i="259"/>
  <c r="CW250" i="259" a="1"/>
  <c r="CW250" i="259"/>
  <c r="CF132" i="259" a="1"/>
  <c r="CF132" i="259"/>
  <c r="CN171" i="259" a="1"/>
  <c r="CN171" i="259"/>
  <c r="DA149" i="259" a="1"/>
  <c r="DA149" i="259"/>
  <c r="CT192" i="259" a="1"/>
  <c r="CT192" i="259"/>
  <c r="DB169" i="259" a="1"/>
  <c r="DB169" i="259"/>
  <c r="CV150" i="259" a="1"/>
  <c r="CV150" i="259"/>
  <c r="BX250" i="259" a="1"/>
  <c r="BX250" i="259"/>
  <c r="CP150" i="259" a="1"/>
  <c r="CP150" i="259"/>
  <c r="CM207" i="259" a="1"/>
  <c r="CM207" i="259"/>
  <c r="CG192" i="259" a="1"/>
  <c r="CG192" i="259"/>
  <c r="CN188" i="259" a="1"/>
  <c r="CN188" i="259"/>
  <c r="CH248" i="259" a="1"/>
  <c r="CH248" i="259"/>
  <c r="D123" i="324"/>
  <c r="D128" i="324"/>
  <c r="D120" i="324"/>
  <c r="E120" i="324"/>
  <c r="D125" i="324"/>
  <c r="D130" i="324"/>
  <c r="AH57" i="189"/>
  <c r="O57" i="189"/>
  <c r="P57" i="189"/>
  <c r="O72" i="189"/>
  <c r="P72" i="189"/>
  <c r="Q72" i="189"/>
  <c r="R72" i="189"/>
  <c r="S72" i="189"/>
  <c r="T72" i="189"/>
  <c r="U72" i="189"/>
  <c r="V72" i="189"/>
  <c r="AH72" i="189"/>
  <c r="X72" i="189"/>
  <c r="Y72" i="189"/>
  <c r="Z72" i="189"/>
  <c r="AA72" i="189"/>
  <c r="AB72" i="189"/>
  <c r="AC72" i="189"/>
  <c r="AD72" i="189"/>
  <c r="AE72" i="189"/>
  <c r="AR93" i="189"/>
  <c r="AS93" i="189"/>
  <c r="AT93" i="189"/>
  <c r="AU93" i="189"/>
  <c r="AI93" i="189"/>
  <c r="AJ93" i="189"/>
  <c r="AK93" i="189"/>
  <c r="AL93" i="189"/>
  <c r="AM93" i="189"/>
  <c r="AR73" i="189"/>
  <c r="AS73" i="189"/>
  <c r="AT73" i="189"/>
  <c r="AU73" i="189"/>
  <c r="AI73" i="189"/>
  <c r="AJ73" i="189"/>
  <c r="AK73" i="189"/>
  <c r="AL73" i="189"/>
  <c r="AM73" i="189"/>
  <c r="X70" i="189"/>
  <c r="Y70" i="189"/>
  <c r="Z70" i="189"/>
  <c r="AA70" i="189"/>
  <c r="AB70" i="189"/>
  <c r="AC70" i="189"/>
  <c r="AD70" i="189"/>
  <c r="AE70" i="189"/>
  <c r="O70" i="189"/>
  <c r="P70" i="189"/>
  <c r="Q70" i="189"/>
  <c r="R70" i="189"/>
  <c r="S70" i="189"/>
  <c r="T70" i="189"/>
  <c r="U70" i="189"/>
  <c r="V70" i="189"/>
  <c r="AH70" i="189"/>
  <c r="AR91" i="189"/>
  <c r="AS91" i="189"/>
  <c r="AT91" i="189"/>
  <c r="AU91" i="189"/>
  <c r="AI91" i="189"/>
  <c r="AJ91" i="189"/>
  <c r="AK91" i="189"/>
  <c r="AL91" i="189"/>
  <c r="AM91" i="189"/>
  <c r="AI90" i="189"/>
  <c r="AJ90" i="189"/>
  <c r="AK90" i="189"/>
  <c r="AL90" i="189"/>
  <c r="AM90" i="189"/>
  <c r="AR90" i="189"/>
  <c r="AS90" i="189"/>
  <c r="AT90" i="189"/>
  <c r="AU90" i="189"/>
  <c r="AR61" i="189"/>
  <c r="AS61" i="189"/>
  <c r="AT61" i="189"/>
  <c r="AU61" i="189"/>
  <c r="AI61" i="189"/>
  <c r="AJ61" i="189"/>
  <c r="AK61" i="189"/>
  <c r="AL61" i="189"/>
  <c r="AM61" i="189"/>
  <c r="AR81" i="189"/>
  <c r="AS81" i="189"/>
  <c r="AT81" i="189"/>
  <c r="AU81" i="189"/>
  <c r="AI81" i="189"/>
  <c r="AJ81" i="189"/>
  <c r="AK81" i="189"/>
  <c r="AL81" i="189"/>
  <c r="AM81" i="189"/>
  <c r="AR92" i="189"/>
  <c r="AS92" i="189"/>
  <c r="AT92" i="189"/>
  <c r="AU92" i="189"/>
  <c r="AI92" i="189"/>
  <c r="AJ92" i="189"/>
  <c r="AK92" i="189"/>
  <c r="AL92" i="189"/>
  <c r="AM92" i="189"/>
  <c r="X69" i="189"/>
  <c r="Y69" i="189"/>
  <c r="Z69" i="189"/>
  <c r="AA69" i="189"/>
  <c r="AB69" i="189"/>
  <c r="AC69" i="189"/>
  <c r="AD69" i="189"/>
  <c r="AE69" i="189"/>
  <c r="AH69" i="189"/>
  <c r="O69" i="189"/>
  <c r="P69" i="189"/>
  <c r="Q69" i="189"/>
  <c r="R69" i="189"/>
  <c r="S69" i="189"/>
  <c r="T69" i="189"/>
  <c r="U69" i="189"/>
  <c r="V69" i="189"/>
  <c r="O77" i="189"/>
  <c r="P77" i="189"/>
  <c r="Q77" i="189"/>
  <c r="R77" i="189"/>
  <c r="S77" i="189"/>
  <c r="T77" i="189"/>
  <c r="U77" i="189"/>
  <c r="V77" i="189"/>
  <c r="W77" i="189"/>
  <c r="X77" i="189"/>
  <c r="Y77" i="189"/>
  <c r="Z77" i="189"/>
  <c r="AA77" i="189"/>
  <c r="AB77" i="189"/>
  <c r="AC77" i="189"/>
  <c r="AD77" i="189"/>
  <c r="AE77" i="189"/>
  <c r="AH77" i="189"/>
  <c r="AR62" i="189"/>
  <c r="AS62" i="189"/>
  <c r="AT62" i="189"/>
  <c r="AU62" i="189"/>
  <c r="AI62" i="189"/>
  <c r="AJ62" i="189"/>
  <c r="AK62" i="189"/>
  <c r="AL62" i="189"/>
  <c r="AM62" i="189"/>
  <c r="AR85" i="189"/>
  <c r="AS85" i="189"/>
  <c r="AT85" i="189"/>
  <c r="AU85" i="189"/>
  <c r="AI85" i="189"/>
  <c r="AJ85" i="189"/>
  <c r="AK85" i="189"/>
  <c r="AL85" i="189"/>
  <c r="AM85" i="189"/>
  <c r="AH71" i="189"/>
  <c r="O71" i="189"/>
  <c r="P71" i="189"/>
  <c r="Q71" i="189"/>
  <c r="R71" i="189"/>
  <c r="S71" i="189"/>
  <c r="T71" i="189"/>
  <c r="U71" i="189"/>
  <c r="V71" i="189"/>
  <c r="X71" i="189"/>
  <c r="Y71" i="189"/>
  <c r="Z71" i="189"/>
  <c r="AA71" i="189"/>
  <c r="AB71" i="189"/>
  <c r="AC71" i="189"/>
  <c r="AD71" i="189"/>
  <c r="AE71" i="189"/>
  <c r="AR63" i="189"/>
  <c r="AS63" i="189"/>
  <c r="AT63" i="189"/>
  <c r="AU63" i="189"/>
  <c r="AI63" i="189"/>
  <c r="AJ63" i="189"/>
  <c r="AK63" i="189"/>
  <c r="AL63" i="189"/>
  <c r="AM63" i="189"/>
  <c r="AR89" i="189"/>
  <c r="AS89" i="189"/>
  <c r="AT89" i="189"/>
  <c r="AU89" i="189"/>
  <c r="AI89" i="189"/>
  <c r="AJ89" i="189"/>
  <c r="AK89" i="189"/>
  <c r="AL89" i="189"/>
  <c r="AM89" i="189"/>
  <c r="AH53" i="189"/>
  <c r="O53" i="189"/>
  <c r="P53" i="189"/>
  <c r="AR74" i="189"/>
  <c r="AS74" i="189"/>
  <c r="AT74" i="189"/>
  <c r="AU74" i="189"/>
  <c r="AI74" i="189"/>
  <c r="AJ74" i="189"/>
  <c r="AK74" i="189"/>
  <c r="AL74" i="189"/>
  <c r="AM74" i="189"/>
  <c r="AI84" i="189"/>
  <c r="AJ84" i="189"/>
  <c r="AK84" i="189"/>
  <c r="AL84" i="189"/>
  <c r="AM84" i="189"/>
  <c r="AR84" i="189"/>
  <c r="AS84" i="189"/>
  <c r="AT84" i="189"/>
  <c r="AU84" i="189"/>
  <c r="AH78" i="189"/>
  <c r="O78" i="189"/>
  <c r="P78" i="189"/>
  <c r="Q78" i="189"/>
  <c r="R78" i="189"/>
  <c r="S78" i="189"/>
  <c r="T78" i="189"/>
  <c r="U78" i="189"/>
  <c r="V78" i="189"/>
  <c r="W78" i="189"/>
  <c r="X78" i="189"/>
  <c r="Y78" i="189"/>
  <c r="Z78" i="189"/>
  <c r="AA78" i="189"/>
  <c r="AB78" i="189"/>
  <c r="AC78" i="189"/>
  <c r="AD78" i="189"/>
  <c r="AE78" i="189"/>
  <c r="O55" i="189"/>
  <c r="P55" i="189"/>
  <c r="AH55" i="189"/>
  <c r="A1333" i="260"/>
  <c r="A802" i="260"/>
  <c r="E801" i="260"/>
  <c r="A1071" i="260"/>
  <c r="A1145" i="260"/>
  <c r="A967" i="260"/>
  <c r="A1466" i="260"/>
  <c r="Q66" i="189"/>
  <c r="AA66" i="189"/>
  <c r="K99" i="189"/>
  <c r="M99" i="189"/>
  <c r="K103" i="189"/>
  <c r="M103" i="189"/>
  <c r="K100" i="189"/>
  <c r="M100" i="189"/>
  <c r="K104" i="189"/>
  <c r="M104" i="189"/>
  <c r="K101" i="189"/>
  <c r="M101" i="189"/>
  <c r="K102" i="189"/>
  <c r="M102" i="189"/>
  <c r="K105" i="189"/>
  <c r="M105" i="189"/>
  <c r="I559" i="260"/>
  <c r="O573" i="260"/>
  <c r="O555" i="260"/>
  <c r="O566" i="260"/>
  <c r="I568" i="260"/>
  <c r="F1034" i="260" a="1"/>
  <c r="F1034" i="260"/>
  <c r="F1028" i="260" a="1"/>
  <c r="F1028" i="260"/>
  <c r="F1031" i="260" a="1"/>
  <c r="F1031" i="260"/>
  <c r="F1033" i="260" a="1"/>
  <c r="F1033" i="260"/>
  <c r="F1017" i="260" a="1"/>
  <c r="F1017" i="260"/>
  <c r="F1022" i="260" a="1"/>
  <c r="F1022" i="260"/>
  <c r="F1018" i="260" a="1"/>
  <c r="F1018" i="260"/>
  <c r="F1030" i="260" a="1"/>
  <c r="F1030" i="260"/>
  <c r="F1021" i="260" a="1"/>
  <c r="F1021" i="260"/>
  <c r="F1024" i="260" a="1"/>
  <c r="F1024" i="260"/>
  <c r="F1036" i="260" a="1"/>
  <c r="F1036" i="260"/>
  <c r="F1037" i="260" a="1"/>
  <c r="F1037" i="260"/>
  <c r="F1027" i="260" a="1"/>
  <c r="F1027" i="260"/>
  <c r="F1035" i="260" a="1"/>
  <c r="F1035" i="260"/>
  <c r="F1019" i="260" a="1"/>
  <c r="F1019" i="260"/>
  <c r="F1029" i="260" a="1"/>
  <c r="F1029" i="260"/>
  <c r="F1038" i="260" a="1"/>
  <c r="F1038" i="260"/>
  <c r="F1026" i="260" a="1"/>
  <c r="F1026" i="260"/>
  <c r="F1016" i="260" a="1"/>
  <c r="F1016" i="260"/>
  <c r="F1023" i="260" a="1"/>
  <c r="F1023" i="260"/>
  <c r="F1032" i="260" a="1"/>
  <c r="F1032" i="260"/>
  <c r="O558" i="260"/>
  <c r="O557" i="260"/>
  <c r="O575" i="260"/>
  <c r="I562" i="260"/>
  <c r="O576" i="260"/>
  <c r="O559" i="260"/>
  <c r="I553" i="260"/>
  <c r="I580" i="260"/>
  <c r="H580" i="260"/>
  <c r="O568" i="260"/>
  <c r="A833" i="260"/>
  <c r="E833" i="260"/>
  <c r="I554" i="260"/>
  <c r="E832" i="260"/>
  <c r="I581" i="260"/>
  <c r="O577" i="260"/>
  <c r="I561" i="260"/>
  <c r="I576" i="260"/>
  <c r="I605" i="260"/>
  <c r="I548" i="260"/>
  <c r="H548" i="260"/>
  <c r="H584" i="260"/>
  <c r="H550" i="260"/>
  <c r="O571" i="260"/>
  <c r="H571" i="260"/>
  <c r="I578" i="260"/>
  <c r="I558" i="260"/>
  <c r="H586" i="260"/>
  <c r="O562" i="260"/>
  <c r="O553" i="260"/>
  <c r="H563" i="260"/>
  <c r="O549" i="260"/>
  <c r="H549" i="260"/>
  <c r="I577" i="260"/>
  <c r="I551" i="260"/>
  <c r="H551" i="260"/>
  <c r="I567" i="260"/>
  <c r="H567" i="260"/>
  <c r="H585" i="260"/>
  <c r="H589" i="260"/>
  <c r="I560" i="260"/>
  <c r="O572" i="260"/>
  <c r="H582" i="260"/>
  <c r="O581" i="260"/>
  <c r="I579" i="260"/>
  <c r="H579" i="260"/>
  <c r="O554" i="260"/>
  <c r="O560" i="260"/>
  <c r="O552" i="260"/>
  <c r="O570" i="260"/>
  <c r="H570" i="260"/>
  <c r="I573" i="260"/>
  <c r="H590" i="260"/>
  <c r="H587" i="260"/>
  <c r="H591" i="260"/>
  <c r="O578" i="260"/>
  <c r="I552" i="260"/>
  <c r="I572" i="260"/>
  <c r="O569" i="260"/>
  <c r="H569" i="260"/>
  <c r="I564" i="260"/>
  <c r="I555" i="260"/>
  <c r="O564" i="260"/>
  <c r="O561" i="260"/>
  <c r="H588" i="260"/>
  <c r="A793" i="260"/>
  <c r="E792" i="260"/>
  <c r="A843" i="260"/>
  <c r="E842" i="260"/>
  <c r="A773" i="260"/>
  <c r="E772" i="260"/>
  <c r="A823" i="260"/>
  <c r="E822" i="260"/>
  <c r="A783" i="260"/>
  <c r="E782" i="260"/>
  <c r="A813" i="260"/>
  <c r="E812" i="260"/>
  <c r="G218" i="260"/>
  <c r="H218" i="260"/>
  <c r="F218" i="260"/>
  <c r="F244" i="260" a="1"/>
  <c r="F244" i="260"/>
  <c r="H108" i="324"/>
  <c r="F274" i="260" a="1"/>
  <c r="F274" i="260"/>
  <c r="F246" i="260" a="1"/>
  <c r="F246" i="260"/>
  <c r="O56" i="189"/>
  <c r="P56" i="189"/>
  <c r="Q56" i="189"/>
  <c r="R56" i="189"/>
  <c r="S56" i="189"/>
  <c r="T56" i="189"/>
  <c r="U56" i="189"/>
  <c r="V56" i="189"/>
  <c r="F243" i="260" a="1"/>
  <c r="F243" i="260"/>
  <c r="F242" i="260" a="1"/>
  <c r="F242" i="260"/>
  <c r="F248" i="260" a="1"/>
  <c r="F248" i="260"/>
  <c r="F241" i="260" a="1"/>
  <c r="F241" i="260"/>
  <c r="F247" i="260" a="1"/>
  <c r="F247" i="260"/>
  <c r="AI56" i="189"/>
  <c r="AJ56" i="189"/>
  <c r="AK56" i="189"/>
  <c r="AL56" i="189"/>
  <c r="AM56" i="189"/>
  <c r="BY96" i="259" a="1"/>
  <c r="BY96" i="259"/>
  <c r="H90" i="324"/>
  <c r="F276" i="260" a="1"/>
  <c r="F276" i="260"/>
  <c r="H109" i="324"/>
  <c r="O54" i="189"/>
  <c r="P54" i="189"/>
  <c r="CH117" i="259" a="1"/>
  <c r="CH117" i="259"/>
  <c r="L196" i="260"/>
  <c r="E479" i="260"/>
  <c r="J158" i="260"/>
  <c r="DC236" i="259" a="1"/>
  <c r="DC236" i="259"/>
  <c r="BT96" i="259" a="1"/>
  <c r="BT96" i="259"/>
  <c r="CX96" i="259" a="1"/>
  <c r="CX96" i="259"/>
  <c r="AH58" i="189"/>
  <c r="AR58" i="189"/>
  <c r="AS58" i="189"/>
  <c r="AT58" i="189"/>
  <c r="AU58" i="189"/>
  <c r="F278" i="260" a="1"/>
  <c r="F278" i="260"/>
  <c r="CM117" i="259" a="1"/>
  <c r="CM117" i="259"/>
  <c r="BZ236" i="259" a="1"/>
  <c r="BZ236" i="259"/>
  <c r="M127" i="260"/>
  <c r="CM96" i="259" a="1"/>
  <c r="CM96" i="259"/>
  <c r="CB96" i="259" a="1"/>
  <c r="CB96" i="259"/>
  <c r="CG158" i="259" a="1"/>
  <c r="CG158" i="259"/>
  <c r="CR158" i="259" a="1"/>
  <c r="CR158" i="259"/>
  <c r="CG196" i="259" a="1"/>
  <c r="CG196" i="259"/>
  <c r="CQ177" i="259" a="1"/>
  <c r="CQ177" i="259"/>
  <c r="BW177" i="259" a="1"/>
  <c r="BW177" i="259"/>
  <c r="CF139" i="259" a="1"/>
  <c r="CF139" i="259"/>
  <c r="F293" i="260" a="1"/>
  <c r="F293" i="260"/>
  <c r="F292" i="260" a="1"/>
  <c r="F292" i="260"/>
  <c r="F298" i="260" a="1"/>
  <c r="F298" i="260"/>
  <c r="F299" i="260" a="1"/>
  <c r="F299" i="260"/>
  <c r="F291" i="260" a="1"/>
  <c r="F291" i="260"/>
  <c r="BU236" i="259" a="1"/>
  <c r="BU236" i="259"/>
  <c r="CH96" i="259" a="1"/>
  <c r="CH96" i="259"/>
  <c r="CL177" i="259" a="1"/>
  <c r="CL177" i="259"/>
  <c r="CA139" i="259" a="1"/>
  <c r="CA139" i="259"/>
  <c r="CO177" i="259" a="1"/>
  <c r="CO177" i="259"/>
  <c r="CI236" i="259" a="1"/>
  <c r="CI236" i="259"/>
  <c r="CJ139" i="259" a="1"/>
  <c r="CJ139" i="259"/>
  <c r="CX177" i="259" a="1"/>
  <c r="CX177" i="259"/>
  <c r="CD177" i="259" a="1"/>
  <c r="CD177" i="259"/>
  <c r="CT158" i="259" a="1"/>
  <c r="CT158" i="259"/>
  <c r="CF236" i="259" a="1"/>
  <c r="CF236" i="259"/>
  <c r="BV117" i="259" a="1"/>
  <c r="BV117" i="259"/>
  <c r="CC117" i="259" a="1"/>
  <c r="CC117" i="259"/>
  <c r="DA216" i="259" a="1"/>
  <c r="DA216" i="259"/>
  <c r="BV96" i="259" a="1"/>
  <c r="BV96" i="259"/>
  <c r="CE139" i="259" a="1"/>
  <c r="CE139" i="259"/>
  <c r="BX196" i="259" a="1"/>
  <c r="BX196" i="259"/>
  <c r="BV158" i="259" a="1"/>
  <c r="BV158" i="259"/>
  <c r="BV236" i="259" a="1"/>
  <c r="BV236" i="259"/>
  <c r="CI196" i="259" a="1"/>
  <c r="CI196" i="259"/>
  <c r="BW158" i="259" a="1"/>
  <c r="BW158" i="259"/>
  <c r="CA96" i="259" a="1"/>
  <c r="CA96" i="259"/>
  <c r="CS196" i="259" a="1"/>
  <c r="CS196" i="259"/>
  <c r="CX216" i="259" a="1"/>
  <c r="CX216" i="259"/>
  <c r="CZ236" i="259" a="1"/>
  <c r="CZ236" i="259"/>
  <c r="DC96" i="259" a="1"/>
  <c r="DC96" i="259"/>
  <c r="CM177" i="259" a="1"/>
  <c r="CM177" i="259"/>
  <c r="CD96" i="259" a="1"/>
  <c r="CD96" i="259"/>
  <c r="CM158" i="259" a="1"/>
  <c r="CM158" i="259"/>
  <c r="CI117" i="259" a="1"/>
  <c r="CI117" i="259"/>
  <c r="CT216" i="259" a="1"/>
  <c r="CT216" i="259"/>
  <c r="BT117" i="259" a="1"/>
  <c r="BT117" i="259"/>
  <c r="CS117" i="259" a="1"/>
  <c r="CS117" i="259"/>
  <c r="CZ216" i="259" a="1"/>
  <c r="CZ216" i="259"/>
  <c r="CJ196" i="259" a="1"/>
  <c r="CJ196" i="259"/>
  <c r="CV177" i="259" a="1"/>
  <c r="CV177" i="259"/>
  <c r="BZ216" i="259" a="1"/>
  <c r="BZ216" i="259"/>
  <c r="BY236" i="259" a="1"/>
  <c r="BY236" i="259"/>
  <c r="BU177" i="259" a="1"/>
  <c r="BU177" i="259"/>
  <c r="CL158" i="259" a="1"/>
  <c r="CL158" i="259"/>
  <c r="CW139" i="259" a="1"/>
  <c r="CW139" i="259"/>
  <c r="DA139" i="259" a="1"/>
  <c r="DA139" i="259"/>
  <c r="CN177" i="259" a="1"/>
  <c r="CN177" i="259"/>
  <c r="BY196" i="259" a="1"/>
  <c r="BY196" i="259"/>
  <c r="BV177" i="259" a="1"/>
  <c r="BV177" i="259"/>
  <c r="DA96" i="259" a="1"/>
  <c r="DA96" i="259"/>
  <c r="CU158" i="259" a="1"/>
  <c r="CU158" i="259"/>
  <c r="F233" i="260" a="1"/>
  <c r="F233" i="260"/>
  <c r="F277" i="260" a="1"/>
  <c r="F277" i="260"/>
  <c r="F275" i="260" a="1"/>
  <c r="F275" i="260"/>
  <c r="F273" i="260" a="1"/>
  <c r="F273" i="260"/>
  <c r="F272" i="260" a="1"/>
  <c r="F272" i="260"/>
  <c r="F271" i="260" a="1"/>
  <c r="F271" i="260"/>
  <c r="F433" i="260" a="1"/>
  <c r="F433" i="260"/>
  <c r="F758" i="260"/>
  <c r="P101" i="260"/>
  <c r="P143" i="260"/>
  <c r="F482" i="260"/>
  <c r="M196" i="260"/>
  <c r="E480" i="260"/>
  <c r="N158" i="260"/>
  <c r="I127" i="260"/>
  <c r="CK177" i="259" a="1"/>
  <c r="CK177" i="259"/>
  <c r="CB158" i="259" a="1"/>
  <c r="CB158" i="259"/>
  <c r="CV158" i="259" a="1"/>
  <c r="CV158" i="259"/>
  <c r="DB196" i="259" a="1"/>
  <c r="DB196" i="259"/>
  <c r="BY177" i="259" a="1"/>
  <c r="BY177" i="259"/>
  <c r="CB177" i="259" a="1"/>
  <c r="CB177" i="259"/>
  <c r="BX139" i="259" a="1"/>
  <c r="BX139" i="259"/>
  <c r="CZ117" i="259" a="1"/>
  <c r="CZ117" i="259"/>
  <c r="CS177" i="259" a="1"/>
  <c r="CS177" i="259"/>
  <c r="CA236" i="259" a="1"/>
  <c r="CA236" i="259"/>
  <c r="BZ158" i="259" a="1"/>
  <c r="BZ158" i="259"/>
  <c r="CN139" i="259" a="1"/>
  <c r="CN139" i="259"/>
  <c r="CU117" i="259" a="1"/>
  <c r="CU117" i="259"/>
  <c r="CW216" i="259" a="1"/>
  <c r="CW216" i="259"/>
  <c r="CG117" i="259" a="1"/>
  <c r="CG117" i="259"/>
  <c r="CN117" i="259" a="1"/>
  <c r="CN117" i="259"/>
  <c r="BU216" i="259" a="1"/>
  <c r="BU216" i="259"/>
  <c r="CC139" i="259" a="1"/>
  <c r="CC139" i="259"/>
  <c r="CF177" i="259" a="1"/>
  <c r="CF177" i="259"/>
  <c r="CR216" i="259" a="1"/>
  <c r="CR216" i="259"/>
  <c r="CY139" i="259" a="1"/>
  <c r="CY139" i="259"/>
  <c r="CO96" i="259" a="1"/>
  <c r="CO96" i="259"/>
  <c r="BV196" i="259" a="1"/>
  <c r="BV196" i="259"/>
  <c r="CY236" i="259" a="1"/>
  <c r="CY236" i="259"/>
  <c r="BV139" i="259" a="1"/>
  <c r="BV139" i="259"/>
  <c r="DC158" i="259" a="1"/>
  <c r="DC158" i="259"/>
  <c r="CD216" i="259" a="1"/>
  <c r="CD216" i="259"/>
  <c r="CA216" i="259" a="1"/>
  <c r="CA216" i="259"/>
  <c r="DA117" i="259" a="1"/>
  <c r="DA117" i="259"/>
  <c r="CW158" i="259" a="1"/>
  <c r="CW158" i="259"/>
  <c r="CP196" i="259" a="1"/>
  <c r="CP196" i="259"/>
  <c r="CY96" i="259" a="1"/>
  <c r="CY96" i="259"/>
  <c r="CE236" i="259" a="1"/>
  <c r="CE236" i="259"/>
  <c r="CK216" i="259" a="1"/>
  <c r="CK216" i="259"/>
  <c r="BW196" i="259" a="1"/>
  <c r="BW196" i="259"/>
  <c r="BX216" i="259" a="1"/>
  <c r="BX216" i="259"/>
  <c r="BY117" i="259" a="1"/>
  <c r="BY117" i="259"/>
  <c r="CZ158" i="259" a="1"/>
  <c r="CZ158" i="259"/>
  <c r="CF158" i="259" a="1"/>
  <c r="CF158" i="259"/>
  <c r="BT139" i="259" a="1"/>
  <c r="BT139" i="259"/>
  <c r="CE177" i="259" a="1"/>
  <c r="CE177" i="259"/>
  <c r="CD139" i="259" a="1"/>
  <c r="CD139" i="259"/>
  <c r="CN216" i="259" a="1"/>
  <c r="CN216" i="259"/>
  <c r="CF216" i="259" a="1"/>
  <c r="CF216" i="259"/>
  <c r="CE158" i="259" a="1"/>
  <c r="CE158" i="259"/>
  <c r="CC236" i="259" a="1"/>
  <c r="CC236" i="259"/>
  <c r="BT177" i="259" a="1"/>
  <c r="BT177" i="259"/>
  <c r="CQ216" i="259" a="1"/>
  <c r="CQ216" i="259"/>
  <c r="CT117" i="259" a="1"/>
  <c r="CT117" i="259"/>
  <c r="CG236" i="259" a="1"/>
  <c r="CG236" i="259"/>
  <c r="DA196" i="259" a="1"/>
  <c r="DA196" i="259"/>
  <c r="CQ117" i="259" a="1"/>
  <c r="CQ117" i="259"/>
  <c r="CX139" i="259" a="1"/>
  <c r="CX139" i="259"/>
  <c r="CX196" i="259" a="1"/>
  <c r="CX196" i="259"/>
  <c r="DC196" i="259" a="1"/>
  <c r="DC196" i="259"/>
  <c r="BU96" i="259" a="1"/>
  <c r="BU96" i="259"/>
  <c r="CT236" i="259" a="1"/>
  <c r="CT236" i="259"/>
  <c r="CT177" i="259" a="1"/>
  <c r="CT177" i="259"/>
  <c r="DC216" i="259" a="1"/>
  <c r="DC216" i="259"/>
  <c r="CK196" i="259" a="1"/>
  <c r="CK196" i="259"/>
  <c r="CR96" i="259" a="1"/>
  <c r="CR96" i="259"/>
  <c r="CB196" i="259" a="1"/>
  <c r="CB196" i="259"/>
  <c r="CM196" i="259" a="1"/>
  <c r="CM196" i="259"/>
  <c r="CZ96" i="259" a="1"/>
  <c r="CZ96" i="259"/>
  <c r="CT96" i="259" a="1"/>
  <c r="CT96" i="259"/>
  <c r="CP177" i="259" a="1"/>
  <c r="CP177" i="259"/>
  <c r="CK236" i="259" a="1"/>
  <c r="CK236" i="259"/>
  <c r="CQ96" i="259" a="1"/>
  <c r="CQ96" i="259"/>
  <c r="CP117" i="259" a="1"/>
  <c r="CP117" i="259"/>
  <c r="DC139" i="259" a="1"/>
  <c r="DC139" i="259"/>
  <c r="BY139" i="259" a="1"/>
  <c r="BY139" i="259"/>
  <c r="CT139" i="259" a="1"/>
  <c r="CT139" i="259"/>
  <c r="CI158" i="259" a="1"/>
  <c r="CI158" i="259"/>
  <c r="BU196" i="259" a="1"/>
  <c r="BU196" i="259"/>
  <c r="CP158" i="259" a="1"/>
  <c r="CP158" i="259"/>
  <c r="CO196" i="259" a="1"/>
  <c r="CO196" i="259"/>
  <c r="CN196" i="259" a="1"/>
  <c r="CN196" i="259"/>
  <c r="CU177" i="259" a="1"/>
  <c r="CU177" i="259"/>
  <c r="CN158" i="259" a="1"/>
  <c r="CN158" i="259"/>
  <c r="CQ236" i="259" a="1"/>
  <c r="CQ236" i="259"/>
  <c r="DB139" i="259" a="1"/>
  <c r="DB139" i="259"/>
  <c r="BX96" i="259" a="1"/>
  <c r="BX96" i="259"/>
  <c r="DA177" i="259" a="1"/>
  <c r="DA177" i="259"/>
  <c r="CO158" i="259" a="1"/>
  <c r="CO158" i="259"/>
  <c r="CB216" i="259" a="1"/>
  <c r="CB216" i="259"/>
  <c r="CR236" i="259" a="1"/>
  <c r="CR236" i="259"/>
  <c r="CA177" i="259" a="1"/>
  <c r="CA177" i="259"/>
  <c r="CY196" i="259" a="1"/>
  <c r="CY196" i="259"/>
  <c r="CE96" i="259" a="1"/>
  <c r="CE96" i="259"/>
  <c r="CK158" i="259" a="1"/>
  <c r="CK158" i="259"/>
  <c r="CC177" i="259" a="1"/>
  <c r="CC177" i="259"/>
  <c r="BZ177" i="259" a="1"/>
  <c r="BZ177" i="259"/>
  <c r="CX236" i="259" a="1"/>
  <c r="CX236" i="259"/>
  <c r="CJ158" i="259" a="1"/>
  <c r="CJ158" i="259"/>
  <c r="CQ158" i="259" a="1"/>
  <c r="CQ158" i="259"/>
  <c r="CQ139" i="259" a="1"/>
  <c r="CQ139" i="259"/>
  <c r="BZ139" i="259" a="1"/>
  <c r="BZ139" i="259"/>
  <c r="CS139" i="259" a="1"/>
  <c r="CS139" i="259"/>
  <c r="DB96" i="259" a="1"/>
  <c r="DB96" i="259"/>
  <c r="CW236" i="259" a="1"/>
  <c r="CW236" i="259"/>
  <c r="CB117" i="259" a="1"/>
  <c r="CB117" i="259"/>
  <c r="CL117" i="259" a="1"/>
  <c r="CL117" i="259"/>
  <c r="BZ117" i="259" a="1"/>
  <c r="BZ117" i="259"/>
  <c r="DB236" i="259" a="1"/>
  <c r="DB236" i="259"/>
  <c r="CP216" i="259" a="1"/>
  <c r="CP216" i="259"/>
  <c r="CB139" i="259" a="1"/>
  <c r="CB139" i="259"/>
  <c r="F232" i="260" a="1"/>
  <c r="F232" i="260"/>
  <c r="F236" i="260" a="1"/>
  <c r="F236" i="260"/>
  <c r="F450" i="260" a="1"/>
  <c r="F450" i="260"/>
  <c r="F231" i="260" a="1"/>
  <c r="F231" i="260"/>
  <c r="F295" i="260" a="1"/>
  <c r="F295" i="260"/>
  <c r="F230" i="260" a="1"/>
  <c r="F230" i="260"/>
  <c r="F294" i="260" a="1"/>
  <c r="F294" i="260"/>
  <c r="F473" i="260"/>
  <c r="F234" i="260" a="1"/>
  <c r="F234" i="260"/>
  <c r="F491" i="260"/>
  <c r="O127" i="260"/>
  <c r="CL96" i="259" a="1"/>
  <c r="CL96" i="259"/>
  <c r="CL216" i="259" a="1"/>
  <c r="CL216" i="259"/>
  <c r="CY117" i="259" a="1"/>
  <c r="CY117" i="259"/>
  <c r="CC196" i="259" a="1"/>
  <c r="CC196" i="259"/>
  <c r="CC216" i="259" a="1"/>
  <c r="CC216" i="259"/>
  <c r="BX236" i="259" a="1"/>
  <c r="BX236" i="259"/>
  <c r="DB117" i="259" a="1"/>
  <c r="DB117" i="259"/>
  <c r="DA158" i="259" a="1"/>
  <c r="DA158" i="259"/>
  <c r="BW96" i="259" a="1"/>
  <c r="BW96" i="259"/>
  <c r="DC117" i="259" a="1"/>
  <c r="DC117" i="259"/>
  <c r="CS216" i="259" a="1"/>
  <c r="CS216" i="259"/>
  <c r="CM236" i="259" a="1"/>
  <c r="CM236" i="259"/>
  <c r="CC96" i="259" a="1"/>
  <c r="CC96" i="259"/>
  <c r="CI96" i="259" a="1"/>
  <c r="CI96" i="259"/>
  <c r="CZ196" i="259" a="1"/>
  <c r="CZ196" i="259"/>
  <c r="DB216" i="259" a="1"/>
  <c r="DB216" i="259"/>
  <c r="DA236" i="259" a="1"/>
  <c r="DA236" i="259"/>
  <c r="CN236" i="259" a="1"/>
  <c r="CN236" i="259"/>
  <c r="CS96" i="259" a="1"/>
  <c r="CS96" i="259"/>
  <c r="CX158" i="259" a="1"/>
  <c r="CX158" i="259"/>
  <c r="CJ96" i="259" a="1"/>
  <c r="CJ96" i="259"/>
  <c r="CV216" i="259" a="1"/>
  <c r="CV216" i="259"/>
  <c r="DC177" i="259" a="1"/>
  <c r="DC177" i="259"/>
  <c r="CB236" i="259" a="1"/>
  <c r="CB236" i="259"/>
  <c r="CZ177" i="259" a="1"/>
  <c r="CZ177" i="259"/>
  <c r="CE216" i="259" a="1"/>
  <c r="CE216" i="259"/>
  <c r="CA117" i="259" a="1"/>
  <c r="CA117" i="259"/>
  <c r="CP96" i="259" a="1"/>
  <c r="CP96" i="259"/>
  <c r="CH158" i="259" a="1"/>
  <c r="CH158" i="259"/>
  <c r="BW216" i="259" a="1"/>
  <c r="BW216" i="259"/>
  <c r="BZ196" i="259" a="1"/>
  <c r="BZ196" i="259"/>
  <c r="CV117" i="259" a="1"/>
  <c r="CV117" i="259"/>
  <c r="BW117" i="259" a="1"/>
  <c r="BW117" i="259"/>
  <c r="CQ196" i="259" a="1"/>
  <c r="CQ196" i="259"/>
  <c r="CJ236" i="259" a="1"/>
  <c r="CJ236" i="259"/>
  <c r="BU117" i="259" a="1"/>
  <c r="BU117" i="259"/>
  <c r="CY216" i="259" a="1"/>
  <c r="CY216" i="259"/>
  <c r="F238" i="260" a="1"/>
  <c r="F238" i="260"/>
  <c r="F235" i="260" a="1"/>
  <c r="F235" i="260"/>
  <c r="CR117" i="259" a="1"/>
  <c r="CR117" i="259"/>
  <c r="CU96" i="259" a="1"/>
  <c r="CU96" i="259"/>
  <c r="CT196" i="259" a="1"/>
  <c r="CT196" i="259"/>
  <c r="CS158" i="259" a="1"/>
  <c r="CS158" i="259"/>
  <c r="BT216" i="259" a="1"/>
  <c r="BT216" i="259"/>
  <c r="BV216" i="259" a="1"/>
  <c r="BV216" i="259"/>
  <c r="CA196" i="259" a="1"/>
  <c r="CA196" i="259"/>
  <c r="CC158" i="259" a="1"/>
  <c r="CC158" i="259"/>
  <c r="CD117" i="259" a="1"/>
  <c r="CD117" i="259"/>
  <c r="CO117" i="259" a="1"/>
  <c r="CO117" i="259"/>
  <c r="CR196" i="259" a="1"/>
  <c r="CR196" i="259"/>
  <c r="CW177" i="259" a="1"/>
  <c r="CW177" i="259"/>
  <c r="CX117" i="259" a="1"/>
  <c r="CX117" i="259"/>
  <c r="CZ139" i="259" a="1"/>
  <c r="CZ139" i="259"/>
  <c r="CV96" i="259" a="1"/>
  <c r="CV96" i="259"/>
  <c r="BX158" i="259" a="1"/>
  <c r="BX158" i="259"/>
  <c r="BY216" i="259" a="1"/>
  <c r="BY216" i="259"/>
  <c r="CF196" i="259" a="1"/>
  <c r="CF196" i="259"/>
  <c r="CO236" i="259" a="1"/>
  <c r="CO236" i="259"/>
  <c r="CY177" i="259" a="1"/>
  <c r="CY177" i="259"/>
  <c r="BZ96" i="259" a="1"/>
  <c r="BZ96" i="259"/>
  <c r="CV139" i="259" a="1"/>
  <c r="CV139" i="259"/>
  <c r="CK96" i="259" a="1"/>
  <c r="CK96" i="259"/>
  <c r="CV196" i="259" a="1"/>
  <c r="CV196" i="259"/>
  <c r="CK117" i="259" a="1"/>
  <c r="CK117" i="259"/>
  <c r="CM139" i="259" a="1"/>
  <c r="CM139" i="259"/>
  <c r="CG139" i="259" a="1"/>
  <c r="CG139" i="259"/>
  <c r="CY158" i="259" a="1"/>
  <c r="CY158" i="259"/>
  <c r="BU158" i="259" a="1"/>
  <c r="BU158" i="259"/>
  <c r="CS236" i="259" a="1"/>
  <c r="CS236" i="259"/>
  <c r="BW139" i="259" a="1"/>
  <c r="BW139" i="259"/>
  <c r="CW117" i="259" a="1"/>
  <c r="CW117" i="259"/>
  <c r="CG96" i="259" a="1"/>
  <c r="CG96" i="259"/>
  <c r="BU139" i="259" a="1"/>
  <c r="BU139" i="259"/>
  <c r="CP236" i="259" a="1"/>
  <c r="CP236" i="259"/>
  <c r="CH236" i="259" a="1"/>
  <c r="CH236" i="259"/>
  <c r="CO216" i="259" a="1"/>
  <c r="CO216" i="259"/>
  <c r="CI216" i="259" a="1"/>
  <c r="CI216" i="259"/>
  <c r="CH216" i="259" a="1"/>
  <c r="CH216" i="259"/>
  <c r="CL139" i="259" a="1"/>
  <c r="CL139" i="259"/>
  <c r="CW96" i="259" a="1"/>
  <c r="CW96" i="259"/>
  <c r="CI139" i="259" a="1"/>
  <c r="CI139" i="259"/>
  <c r="CU139" i="259" a="1"/>
  <c r="CU139" i="259"/>
  <c r="CV236" i="259" a="1"/>
  <c r="CV236" i="259"/>
  <c r="CW196" i="259" a="1"/>
  <c r="CW196" i="259"/>
  <c r="CR177" i="259" a="1"/>
  <c r="CR177" i="259"/>
  <c r="CD158" i="259" a="1"/>
  <c r="CD158" i="259"/>
  <c r="CE117" i="259" a="1"/>
  <c r="CE117" i="259"/>
  <c r="CG177" i="259" a="1"/>
  <c r="CG177" i="259"/>
  <c r="BT236" i="259" a="1"/>
  <c r="BT236" i="259"/>
  <c r="CJ216" i="259" a="1"/>
  <c r="CJ216" i="259"/>
  <c r="CN96" i="259" a="1"/>
  <c r="CN96" i="259"/>
  <c r="CJ117" i="259" a="1"/>
  <c r="CJ117" i="259"/>
  <c r="BX177" i="259" a="1"/>
  <c r="BX177" i="259"/>
  <c r="BT158" i="259" a="1"/>
  <c r="BT158" i="259"/>
  <c r="DB158" i="259" a="1"/>
  <c r="DB158" i="259"/>
  <c r="CG216" i="259" a="1"/>
  <c r="CG216" i="259"/>
  <c r="CH177" i="259" a="1"/>
  <c r="CH177" i="259"/>
  <c r="BX117" i="259" a="1"/>
  <c r="BX117" i="259"/>
  <c r="CE196" i="259" a="1"/>
  <c r="CE196" i="259"/>
  <c r="CL196" i="259" a="1"/>
  <c r="CL196" i="259"/>
  <c r="BT196" i="259" a="1"/>
  <c r="BT196" i="259"/>
  <c r="DB177" i="259" a="1"/>
  <c r="DB177" i="259"/>
  <c r="CR139" i="259" a="1"/>
  <c r="CR139" i="259"/>
  <c r="CO139" i="259" a="1"/>
  <c r="CO139" i="259"/>
  <c r="CU216" i="259" a="1"/>
  <c r="CU216" i="259"/>
  <c r="CU236" i="259" a="1"/>
  <c r="CU236" i="259"/>
  <c r="CD236" i="259" a="1"/>
  <c r="CD236" i="259"/>
  <c r="BY158" i="259" a="1"/>
  <c r="BY158" i="259"/>
  <c r="CU196" i="259" a="1"/>
  <c r="CU196" i="259"/>
  <c r="CD196" i="259" a="1"/>
  <c r="CD196" i="259"/>
  <c r="F297" i="260" a="1"/>
  <c r="F297" i="260"/>
  <c r="F440" i="260"/>
  <c r="P132" i="260"/>
  <c r="F509" i="260"/>
  <c r="F454" i="260" a="1"/>
  <c r="F454" i="260"/>
  <c r="F437" i="260" a="1"/>
  <c r="F437" i="260"/>
  <c r="F762" i="260"/>
  <c r="F435" i="260" a="1"/>
  <c r="F435" i="260"/>
  <c r="F760" i="260"/>
  <c r="F431" i="260" a="1"/>
  <c r="F431" i="260"/>
  <c r="F756" i="260"/>
  <c r="F432" i="260" a="1"/>
  <c r="F432" i="260"/>
  <c r="F757" i="260"/>
  <c r="F453" i="260" a="1"/>
  <c r="F453" i="260"/>
  <c r="F456" i="260" a="1"/>
  <c r="F456" i="260"/>
  <c r="F438" i="260" a="1"/>
  <c r="F438" i="260"/>
  <c r="F763" i="260"/>
  <c r="F452" i="260" a="1"/>
  <c r="F452" i="260"/>
  <c r="F457" i="260" a="1"/>
  <c r="F457" i="260"/>
  <c r="F451" i="260" a="1"/>
  <c r="F451" i="260"/>
  <c r="F455" i="260" a="1"/>
  <c r="F455" i="260"/>
  <c r="F436" i="260" a="1"/>
  <c r="F436" i="260"/>
  <c r="F761" i="260"/>
  <c r="F434" i="260" a="1"/>
  <c r="F434" i="260"/>
  <c r="F759" i="260"/>
  <c r="P112" i="260"/>
  <c r="M158" i="260"/>
  <c r="H196" i="260"/>
  <c r="E475" i="260"/>
  <c r="I158" i="260"/>
  <c r="I196" i="260"/>
  <c r="E476" i="260"/>
  <c r="J127" i="260"/>
  <c r="I106" i="189"/>
  <c r="I69" i="324"/>
  <c r="I81" i="324"/>
  <c r="I93" i="324"/>
  <c r="H95" i="324"/>
  <c r="F280" i="260"/>
  <c r="F260" i="260"/>
  <c r="H94" i="324"/>
  <c r="H250" i="260"/>
  <c r="H280" i="260"/>
  <c r="H91" i="324"/>
  <c r="G118" i="324"/>
  <c r="G124" i="324"/>
  <c r="G129" i="324"/>
  <c r="I73" i="324"/>
  <c r="I85" i="324"/>
  <c r="I113" i="324"/>
  <c r="G465" i="260" a="1"/>
  <c r="G465" i="260"/>
  <c r="H290" i="260"/>
  <c r="F250" i="260"/>
  <c r="H260" i="260"/>
  <c r="I67" i="324"/>
  <c r="I79" i="324"/>
  <c r="I107" i="324"/>
  <c r="O1740" i="260"/>
  <c r="I1743" i="260"/>
  <c r="G260" i="260"/>
  <c r="G467" i="260" a="1"/>
  <c r="G467" i="260"/>
  <c r="O1743" i="260"/>
  <c r="I1740" i="260"/>
  <c r="G290" i="260"/>
  <c r="I65" i="324"/>
  <c r="I77" i="324"/>
  <c r="I89" i="324"/>
  <c r="H1743" i="260"/>
  <c r="J1743" i="260"/>
  <c r="L1740" i="260"/>
  <c r="H240" i="260"/>
  <c r="G229" i="260"/>
  <c r="M1743" i="260"/>
  <c r="F1740" i="260"/>
  <c r="K1743" i="260"/>
  <c r="G1740" i="260"/>
  <c r="H1740" i="260"/>
  <c r="G240" i="260"/>
  <c r="G250" i="260"/>
  <c r="I74" i="324"/>
  <c r="I86" i="324"/>
  <c r="I98" i="324"/>
  <c r="H229" i="260"/>
  <c r="N1740" i="260"/>
  <c r="H270" i="260"/>
  <c r="G1743" i="260"/>
  <c r="L1743" i="260"/>
  <c r="J75" i="324"/>
  <c r="J73" i="324"/>
  <c r="J85" i="324"/>
  <c r="F1743" i="260"/>
  <c r="N1743" i="260"/>
  <c r="I68" i="324"/>
  <c r="I80" i="324"/>
  <c r="I108" i="324"/>
  <c r="M1740" i="260"/>
  <c r="J1740" i="260"/>
  <c r="G270" i="260"/>
  <c r="G280" i="260"/>
  <c r="K1740" i="260"/>
  <c r="G117" i="324"/>
  <c r="G123" i="324"/>
  <c r="G128" i="324"/>
  <c r="H89" i="324"/>
  <c r="M466" i="260" a="1"/>
  <c r="M466" i="260"/>
  <c r="H113" i="324"/>
  <c r="G119" i="324"/>
  <c r="G125" i="324"/>
  <c r="G130" i="324"/>
  <c r="F120" i="324"/>
  <c r="K469" i="260" a="1"/>
  <c r="K469" i="260"/>
  <c r="I469" i="260" a="1"/>
  <c r="I469" i="260"/>
  <c r="O466" i="260" a="1"/>
  <c r="O466" i="260"/>
  <c r="I71" i="324"/>
  <c r="I83" i="324"/>
  <c r="I111" i="324"/>
  <c r="I465" i="260" a="1"/>
  <c r="I465" i="260"/>
  <c r="I66" i="324"/>
  <c r="I78" i="324"/>
  <c r="I90" i="324"/>
  <c r="G471" i="260" a="1"/>
  <c r="G471" i="260"/>
  <c r="G466" i="260" a="1"/>
  <c r="G466" i="260"/>
  <c r="O464" i="260" a="1"/>
  <c r="O464" i="260"/>
  <c r="H114" i="324"/>
  <c r="I72" i="324"/>
  <c r="I84" i="324"/>
  <c r="I112" i="324"/>
  <c r="M468" i="260" a="1"/>
  <c r="M468" i="260"/>
  <c r="K466" i="260" a="1"/>
  <c r="K466" i="260"/>
  <c r="AR83" i="189"/>
  <c r="AS83" i="189"/>
  <c r="AT83" i="189"/>
  <c r="AU83" i="189"/>
  <c r="AI83" i="189"/>
  <c r="AJ83" i="189"/>
  <c r="AK83" i="189"/>
  <c r="AL83" i="189"/>
  <c r="AM83" i="189"/>
  <c r="K467" i="260" a="1"/>
  <c r="K467" i="260"/>
  <c r="M470" i="260" a="1"/>
  <c r="M470" i="260"/>
  <c r="O468" i="260" a="1"/>
  <c r="O468" i="260"/>
  <c r="O469" i="260" a="1"/>
  <c r="O469" i="260"/>
  <c r="G464" i="260" a="1"/>
  <c r="G464" i="260"/>
  <c r="K468" i="260" a="1"/>
  <c r="K468" i="260"/>
  <c r="M469" i="260" a="1"/>
  <c r="M469" i="260"/>
  <c r="K464" i="260" a="1"/>
  <c r="K464" i="260"/>
  <c r="I466" i="260" a="1"/>
  <c r="I466" i="260"/>
  <c r="K471" i="260" a="1"/>
  <c r="K471" i="260"/>
  <c r="K465" i="260" a="1"/>
  <c r="K465" i="260"/>
  <c r="G470" i="260" a="1"/>
  <c r="G470" i="260"/>
  <c r="M465" i="260" a="1"/>
  <c r="M465" i="260"/>
  <c r="O470" i="260" a="1"/>
  <c r="O470" i="260"/>
  <c r="M464" i="260" a="1"/>
  <c r="M464" i="260"/>
  <c r="M471" i="260" a="1"/>
  <c r="M471" i="260"/>
  <c r="I471" i="260" a="1"/>
  <c r="I471" i="260"/>
  <c r="O471" i="260" a="1"/>
  <c r="O471" i="260"/>
  <c r="M467" i="260" a="1"/>
  <c r="M467" i="260"/>
  <c r="G469" i="260" a="1"/>
  <c r="G469" i="260"/>
  <c r="O465" i="260" a="1"/>
  <c r="O465" i="260"/>
  <c r="G468" i="260" a="1"/>
  <c r="G468" i="260"/>
  <c r="I467" i="260" a="1"/>
  <c r="I467" i="260"/>
  <c r="K470" i="260" a="1"/>
  <c r="K470" i="260"/>
  <c r="I464" i="260" a="1"/>
  <c r="I464" i="260"/>
  <c r="I468" i="260" a="1"/>
  <c r="I468" i="260"/>
  <c r="O467" i="260" a="1"/>
  <c r="O467" i="260"/>
  <c r="I470" i="260" a="1"/>
  <c r="I470" i="260"/>
  <c r="I94" i="324"/>
  <c r="I110" i="324"/>
  <c r="L637" i="260" a="1"/>
  <c r="L637" i="260"/>
  <c r="K636" i="260" a="1"/>
  <c r="K636" i="260"/>
  <c r="L665" i="260" a="1"/>
  <c r="L665" i="260"/>
  <c r="H653" i="260" a="1"/>
  <c r="H653" i="260"/>
  <c r="O657" i="260" a="1"/>
  <c r="O657" i="260"/>
  <c r="L633" i="260" a="1"/>
  <c r="L633" i="260"/>
  <c r="L625" i="260" a="1"/>
  <c r="L625" i="260"/>
  <c r="I642" i="260" a="1"/>
  <c r="I642" i="260"/>
  <c r="I635" i="260" a="1"/>
  <c r="I635" i="260"/>
  <c r="J633" i="260" a="1"/>
  <c r="J633" i="260"/>
  <c r="K647" i="260" a="1"/>
  <c r="K647" i="260"/>
  <c r="M639" i="260" a="1"/>
  <c r="M639" i="260"/>
  <c r="J659" i="260" a="1"/>
  <c r="J659" i="260"/>
  <c r="O634" i="260" a="1"/>
  <c r="O634" i="260"/>
  <c r="L658" i="260" a="1"/>
  <c r="L658" i="260"/>
  <c r="I637" i="260" a="1"/>
  <c r="I637" i="260"/>
  <c r="N642" i="260" a="1"/>
  <c r="N642" i="260"/>
  <c r="O628" i="260" a="1"/>
  <c r="O628" i="260"/>
  <c r="L622" i="260" a="1"/>
  <c r="L622" i="260"/>
  <c r="L636" i="260" a="1"/>
  <c r="L636" i="260"/>
  <c r="O643" i="260" a="1"/>
  <c r="O643" i="260"/>
  <c r="H663" i="260" a="1"/>
  <c r="H663" i="260"/>
  <c r="I639" i="260" a="1"/>
  <c r="I639" i="260"/>
  <c r="I632" i="260" a="1"/>
  <c r="I632" i="260"/>
  <c r="H645" i="260" a="1"/>
  <c r="H645" i="260"/>
  <c r="M653" i="260" a="1"/>
  <c r="M653" i="260"/>
  <c r="H632" i="260" a="1"/>
  <c r="H632" i="260"/>
  <c r="M623" i="260" a="1"/>
  <c r="M623" i="260"/>
  <c r="M635" i="260" a="1"/>
  <c r="M635" i="260"/>
  <c r="I621" i="260" a="1"/>
  <c r="I621" i="260"/>
  <c r="K638" i="260" a="1"/>
  <c r="K638" i="260"/>
  <c r="I645" i="260" a="1"/>
  <c r="I645" i="260"/>
  <c r="N648" i="260" a="1"/>
  <c r="N648" i="260"/>
  <c r="J653" i="260" a="1"/>
  <c r="J653" i="260"/>
  <c r="O649" i="260" a="1"/>
  <c r="O649" i="260"/>
  <c r="O654" i="260" a="1"/>
  <c r="O654" i="260"/>
  <c r="H629" i="260" a="1"/>
  <c r="H629" i="260"/>
  <c r="J655" i="260" a="1"/>
  <c r="J655" i="260"/>
  <c r="J662" i="260" a="1"/>
  <c r="J662" i="260"/>
  <c r="I663" i="260" a="1"/>
  <c r="I663" i="260"/>
  <c r="J660" i="260" a="1"/>
  <c r="J660" i="260"/>
  <c r="H660" i="260" a="1"/>
  <c r="H660" i="260"/>
  <c r="K663" i="260" a="1"/>
  <c r="K663" i="260"/>
  <c r="O641" i="260" a="1"/>
  <c r="O641" i="260"/>
  <c r="I654" i="260" a="1"/>
  <c r="I654" i="260"/>
  <c r="H646" i="260" a="1"/>
  <c r="H646" i="260"/>
  <c r="N627" i="260" a="1"/>
  <c r="N627" i="260"/>
  <c r="L631" i="260" a="1"/>
  <c r="L631" i="260"/>
  <c r="K624" i="260" a="1"/>
  <c r="K624" i="260"/>
  <c r="N664" i="260" a="1"/>
  <c r="N664" i="260"/>
  <c r="H637" i="260" a="1"/>
  <c r="H637" i="260"/>
  <c r="L634" i="260" a="1"/>
  <c r="L634" i="260"/>
  <c r="J642" i="260" a="1"/>
  <c r="J642" i="260"/>
  <c r="H649" i="260" a="1"/>
  <c r="H649" i="260"/>
  <c r="K664" i="260" a="1"/>
  <c r="K664" i="260"/>
  <c r="K637" i="260" a="1"/>
  <c r="K637" i="260"/>
  <c r="H662" i="260" a="1"/>
  <c r="H662" i="260"/>
  <c r="H665" i="260" a="1"/>
  <c r="H665" i="260"/>
  <c r="N656" i="260" a="1"/>
  <c r="N656" i="260"/>
  <c r="O640" i="260" a="1"/>
  <c r="O640" i="260"/>
  <c r="J648" i="260" a="1"/>
  <c r="J648" i="260"/>
  <c r="N649" i="260" a="1"/>
  <c r="N649" i="260"/>
  <c r="M630" i="260" a="1"/>
  <c r="M630" i="260"/>
  <c r="I661" i="260" a="1"/>
  <c r="I661" i="260"/>
  <c r="M646" i="260" a="1"/>
  <c r="M646" i="260"/>
  <c r="L659" i="260" a="1"/>
  <c r="L659" i="260"/>
  <c r="O625" i="260" a="1"/>
  <c r="O625" i="260"/>
  <c r="O627" i="260" a="1"/>
  <c r="O627" i="260"/>
  <c r="H642" i="260" a="1"/>
  <c r="H642" i="260"/>
  <c r="J637" i="260" a="1"/>
  <c r="J637" i="260"/>
  <c r="O655" i="260" a="1"/>
  <c r="O655" i="260"/>
  <c r="K662" i="260" a="1"/>
  <c r="K662" i="260"/>
  <c r="N657" i="260" a="1"/>
  <c r="N657" i="260"/>
  <c r="J651" i="260" a="1"/>
  <c r="J651" i="260"/>
  <c r="M660" i="260" a="1"/>
  <c r="M660" i="260"/>
  <c r="J656" i="260" a="1"/>
  <c r="J656" i="260"/>
  <c r="L644" i="260" a="1"/>
  <c r="L644" i="260"/>
  <c r="N632" i="260" a="1"/>
  <c r="N632" i="260"/>
  <c r="K639" i="260" a="1"/>
  <c r="K639" i="260"/>
  <c r="M656" i="260" a="1"/>
  <c r="M656" i="260"/>
  <c r="O632" i="260" a="1"/>
  <c r="O632" i="260"/>
  <c r="I624" i="260" a="1"/>
  <c r="I624" i="260"/>
  <c r="M626" i="260" a="1"/>
  <c r="M626" i="260"/>
  <c r="L623" i="260" a="1"/>
  <c r="L623" i="260"/>
  <c r="O644" i="260" a="1"/>
  <c r="O644" i="260"/>
  <c r="N651" i="260" a="1"/>
  <c r="N651" i="260"/>
  <c r="N646" i="260" a="1"/>
  <c r="N646" i="260"/>
  <c r="H656" i="260" a="1"/>
  <c r="H656" i="260"/>
  <c r="I625" i="260" a="1"/>
  <c r="I625" i="260"/>
  <c r="J645" i="260" a="1"/>
  <c r="J645" i="260"/>
  <c r="N652" i="260" a="1"/>
  <c r="N652" i="260"/>
  <c r="O624" i="260" a="1"/>
  <c r="O624" i="260"/>
  <c r="L628" i="260" a="1"/>
  <c r="L628" i="260"/>
  <c r="J644" i="260" a="1"/>
  <c r="J644" i="260"/>
  <c r="L662" i="260" a="1"/>
  <c r="L662" i="260"/>
  <c r="N624" i="260" a="1"/>
  <c r="N624" i="260"/>
  <c r="K665" i="260" a="1"/>
  <c r="K665" i="260"/>
  <c r="H621" i="260" a="1"/>
  <c r="H621" i="260"/>
  <c r="M624" i="260" a="1"/>
  <c r="M624" i="260"/>
  <c r="L626" i="260" a="1"/>
  <c r="L626" i="260"/>
  <c r="K659" i="260" a="1"/>
  <c r="K659" i="260"/>
  <c r="L660" i="260" a="1"/>
  <c r="L660" i="260"/>
  <c r="H627" i="260" a="1"/>
  <c r="H627" i="260"/>
  <c r="I651" i="260" a="1"/>
  <c r="I651" i="260"/>
  <c r="J654" i="260" a="1"/>
  <c r="J654" i="260"/>
  <c r="N645" i="260" a="1"/>
  <c r="N645" i="260"/>
  <c r="O642" i="260" a="1"/>
  <c r="O642" i="260"/>
  <c r="L664" i="260" a="1"/>
  <c r="L664" i="260"/>
  <c r="L657" i="260" a="1"/>
  <c r="L657" i="260"/>
  <c r="N662" i="260" a="1"/>
  <c r="N662" i="260"/>
  <c r="N659" i="260" a="1"/>
  <c r="N659" i="260"/>
  <c r="N653" i="260" a="1"/>
  <c r="N653" i="260"/>
  <c r="J634" i="260" a="1"/>
  <c r="J634" i="260"/>
  <c r="L632" i="260" a="1"/>
  <c r="L632" i="260"/>
  <c r="J664" i="260" a="1"/>
  <c r="J664" i="260"/>
  <c r="H641" i="260" a="1"/>
  <c r="H641" i="260"/>
  <c r="J657" i="260" a="1"/>
  <c r="J657" i="260"/>
  <c r="N655" i="260" a="1"/>
  <c r="N655" i="260"/>
  <c r="N639" i="260" a="1"/>
  <c r="N639" i="260"/>
  <c r="O663" i="260" a="1"/>
  <c r="O663" i="260"/>
  <c r="N658" i="260" a="1"/>
  <c r="N658" i="260"/>
  <c r="N621" i="260" a="1"/>
  <c r="N621" i="260"/>
  <c r="O651" i="260" a="1"/>
  <c r="O651" i="260"/>
  <c r="O660" i="260" a="1"/>
  <c r="O660" i="260"/>
  <c r="L648" i="260" a="1"/>
  <c r="L648" i="260"/>
  <c r="J629" i="260" a="1"/>
  <c r="J629" i="260"/>
  <c r="H659" i="260" a="1"/>
  <c r="H659" i="260"/>
  <c r="J631" i="260" a="1"/>
  <c r="J631" i="260"/>
  <c r="J643" i="260" a="1"/>
  <c r="J643" i="260"/>
  <c r="K625" i="260" a="1"/>
  <c r="K625" i="260"/>
  <c r="H636" i="260" a="1"/>
  <c r="H636" i="260"/>
  <c r="I627" i="260" a="1"/>
  <c r="I627" i="260"/>
  <c r="O646" i="260" a="1"/>
  <c r="O646" i="260"/>
  <c r="J649" i="260" a="1"/>
  <c r="J649" i="260"/>
  <c r="K661" i="260" a="1"/>
  <c r="K661" i="260"/>
  <c r="O623" i="260" a="1"/>
  <c r="O623" i="260"/>
  <c r="H657" i="260" a="1"/>
  <c r="H657" i="260"/>
  <c r="I626" i="260" a="1"/>
  <c r="I626" i="260"/>
  <c r="O658" i="260" a="1"/>
  <c r="O658" i="260"/>
  <c r="H655" i="260" a="1"/>
  <c r="H655" i="260"/>
  <c r="N644" i="260" a="1"/>
  <c r="N644" i="260"/>
  <c r="L624" i="260" a="1"/>
  <c r="L624" i="260"/>
  <c r="K622" i="260" a="1"/>
  <c r="K622" i="260"/>
  <c r="K649" i="260" a="1"/>
  <c r="K649" i="260"/>
  <c r="I655" i="260" a="1"/>
  <c r="I655" i="260"/>
  <c r="L640" i="260" a="1"/>
  <c r="L640" i="260"/>
  <c r="I636" i="260" a="1"/>
  <c r="I636" i="260"/>
  <c r="J638" i="260" a="1"/>
  <c r="J638" i="260"/>
  <c r="J636" i="260" a="1"/>
  <c r="J636" i="260"/>
  <c r="K655" i="260" a="1"/>
  <c r="K655" i="260"/>
  <c r="N640" i="260" a="1"/>
  <c r="N640" i="260"/>
  <c r="O656" i="260" a="1"/>
  <c r="O656" i="260"/>
  <c r="K645" i="260" a="1"/>
  <c r="K645" i="260"/>
  <c r="O650" i="260" a="1"/>
  <c r="O650" i="260"/>
  <c r="I641" i="260" a="1"/>
  <c r="I641" i="260"/>
  <c r="N637" i="260" a="1"/>
  <c r="N637" i="260"/>
  <c r="M629" i="260" a="1"/>
  <c r="M629" i="260"/>
  <c r="H651" i="260" a="1"/>
  <c r="H651" i="260"/>
  <c r="K623" i="260" a="1"/>
  <c r="K623" i="260"/>
  <c r="L627" i="260" a="1"/>
  <c r="L627" i="260"/>
  <c r="H630" i="260" a="1"/>
  <c r="H630" i="260"/>
  <c r="H650" i="260" a="1"/>
  <c r="H650" i="260"/>
  <c r="O664" i="260" a="1"/>
  <c r="O664" i="260"/>
  <c r="K656" i="260" a="1"/>
  <c r="K656" i="260"/>
  <c r="M652" i="260" a="1"/>
  <c r="M652" i="260"/>
  <c r="L663" i="260" a="1"/>
  <c r="L663" i="260"/>
  <c r="N623" i="260" a="1"/>
  <c r="N623" i="260"/>
  <c r="N636" i="260" a="1"/>
  <c r="N636" i="260"/>
  <c r="M633" i="260" a="1"/>
  <c r="M633" i="260"/>
  <c r="N650" i="260" a="1"/>
  <c r="N650" i="260"/>
  <c r="I643" i="260" a="1"/>
  <c r="I643" i="260"/>
  <c r="H658" i="260" a="1"/>
  <c r="H658" i="260"/>
  <c r="O626" i="260" a="1"/>
  <c r="O626" i="260"/>
  <c r="L651" i="260" a="1"/>
  <c r="L651" i="260"/>
  <c r="I647" i="260" a="1"/>
  <c r="I647" i="260"/>
  <c r="I633" i="260" a="1"/>
  <c r="I633" i="260"/>
  <c r="J624" i="260" a="1"/>
  <c r="J624" i="260"/>
  <c r="J646" i="260" a="1"/>
  <c r="J646" i="260"/>
  <c r="M648" i="260" a="1"/>
  <c r="M648" i="260"/>
  <c r="M647" i="260" a="1"/>
  <c r="M647" i="260"/>
  <c r="L642" i="260" a="1"/>
  <c r="L642" i="260"/>
  <c r="H664" i="260" a="1"/>
  <c r="H664" i="260"/>
  <c r="M621" i="260" a="1"/>
  <c r="M621" i="260"/>
  <c r="K652" i="260" a="1"/>
  <c r="K652" i="260"/>
  <c r="L649" i="260" a="1"/>
  <c r="L649" i="260"/>
  <c r="N660" i="260" a="1"/>
  <c r="N660" i="260"/>
  <c r="K634" i="260" a="1"/>
  <c r="K634" i="260"/>
  <c r="I659" i="260" a="1"/>
  <c r="I659" i="260"/>
  <c r="M657" i="260" a="1"/>
  <c r="M657" i="260"/>
  <c r="M631" i="260" a="1"/>
  <c r="M631" i="260"/>
  <c r="L654" i="260" a="1"/>
  <c r="L654" i="260"/>
  <c r="M651" i="260" a="1"/>
  <c r="M651" i="260"/>
  <c r="H640" i="260" a="1"/>
  <c r="H640" i="260"/>
  <c r="K628" i="260" a="1"/>
  <c r="K628" i="260"/>
  <c r="O621" i="260" a="1"/>
  <c r="O621" i="260"/>
  <c r="H647" i="260" a="1"/>
  <c r="H647" i="260"/>
  <c r="I628" i="260" a="1"/>
  <c r="I628" i="260"/>
  <c r="H644" i="260" a="1"/>
  <c r="H644" i="260"/>
  <c r="N663" i="260" a="1"/>
  <c r="N663" i="260"/>
  <c r="J663" i="260" a="1"/>
  <c r="J663" i="260"/>
  <c r="J639" i="260" a="1"/>
  <c r="J639" i="260"/>
  <c r="N626" i="260" a="1"/>
  <c r="N626" i="260"/>
  <c r="H623" i="260" a="1"/>
  <c r="H623" i="260"/>
  <c r="N643" i="260" a="1"/>
  <c r="N643" i="260"/>
  <c r="H628" i="260" a="1"/>
  <c r="H628" i="260"/>
  <c r="I630" i="260" a="1"/>
  <c r="I630" i="260"/>
  <c r="M659" i="260" a="1"/>
  <c r="M659" i="260"/>
  <c r="H634" i="260" a="1"/>
  <c r="H634" i="260"/>
  <c r="I656" i="260" a="1"/>
  <c r="I656" i="260"/>
  <c r="O661" i="260" a="1"/>
  <c r="O661" i="260"/>
  <c r="I638" i="260" a="1"/>
  <c r="I638" i="260"/>
  <c r="M665" i="260" a="1"/>
  <c r="M665" i="260"/>
  <c r="N633" i="260" a="1"/>
  <c r="N633" i="260"/>
  <c r="M641" i="260" a="1"/>
  <c r="M641" i="260"/>
  <c r="K643" i="260" a="1"/>
  <c r="K643" i="260"/>
  <c r="H638" i="260" a="1"/>
  <c r="H638" i="260"/>
  <c r="J665" i="260" a="1"/>
  <c r="J665" i="260"/>
  <c r="K633" i="260" a="1"/>
  <c r="K633" i="260"/>
  <c r="O645" i="260" a="1"/>
  <c r="O645" i="260"/>
  <c r="L629" i="260" a="1"/>
  <c r="L629" i="260"/>
  <c r="K644" i="260" a="1"/>
  <c r="K644" i="260"/>
  <c r="M664" i="260" a="1"/>
  <c r="M664" i="260"/>
  <c r="M663" i="260" a="1"/>
  <c r="M663" i="260"/>
  <c r="L638" i="260" a="1"/>
  <c r="L638" i="260"/>
  <c r="M642" i="260" a="1"/>
  <c r="M642" i="260"/>
  <c r="O635" i="260" a="1"/>
  <c r="O635" i="260"/>
  <c r="M654" i="260" a="1"/>
  <c r="M654" i="260"/>
  <c r="I634" i="260" a="1"/>
  <c r="I634" i="260"/>
  <c r="H626" i="260" a="1"/>
  <c r="H626" i="260"/>
  <c r="M625" i="260" a="1"/>
  <c r="M625" i="260"/>
  <c r="H639" i="260" a="1"/>
  <c r="H639" i="260"/>
  <c r="M628" i="260" a="1"/>
  <c r="M628" i="260"/>
  <c r="H622" i="260" a="1"/>
  <c r="H622" i="260"/>
  <c r="N665" i="260" a="1"/>
  <c r="N665" i="260"/>
  <c r="L655" i="260" a="1"/>
  <c r="L655" i="260"/>
  <c r="I629" i="260" a="1"/>
  <c r="I629" i="260"/>
  <c r="I652" i="260" a="1"/>
  <c r="I652" i="260"/>
  <c r="K646" i="260" a="1"/>
  <c r="K646" i="260"/>
  <c r="N625" i="260" a="1"/>
  <c r="N625" i="260"/>
  <c r="I622" i="260" a="1"/>
  <c r="I622" i="260"/>
  <c r="K650" i="260" a="1"/>
  <c r="K650" i="260"/>
  <c r="N630" i="260" a="1"/>
  <c r="N630" i="260"/>
  <c r="I657" i="260" a="1"/>
  <c r="I657" i="260"/>
  <c r="I653" i="260" a="1"/>
  <c r="I653" i="260"/>
  <c r="M644" i="260" a="1"/>
  <c r="M644" i="260"/>
  <c r="K632" i="260" a="1"/>
  <c r="K632" i="260"/>
  <c r="M622" i="260" a="1"/>
  <c r="M622" i="260"/>
  <c r="J621" i="260" a="1"/>
  <c r="J621" i="260"/>
  <c r="O622" i="260" a="1"/>
  <c r="O622" i="260"/>
  <c r="J661" i="260" a="1"/>
  <c r="J661" i="260"/>
  <c r="K660" i="260" a="1"/>
  <c r="K660" i="260"/>
  <c r="I644" i="260" a="1"/>
  <c r="I644" i="260"/>
  <c r="K657" i="260" a="1"/>
  <c r="K657" i="260"/>
  <c r="L643" i="260" a="1"/>
  <c r="L643" i="260"/>
  <c r="H648" i="260" a="1"/>
  <c r="H648" i="260"/>
  <c r="L621" i="260" a="1"/>
  <c r="L621" i="260"/>
  <c r="K631" i="260" a="1"/>
  <c r="K631" i="260"/>
  <c r="L630" i="260" a="1"/>
  <c r="L630" i="260"/>
  <c r="O637" i="260" a="1"/>
  <c r="O637" i="260"/>
  <c r="K635" i="260" a="1"/>
  <c r="K635" i="260"/>
  <c r="N635" i="260" a="1"/>
  <c r="N635" i="260"/>
  <c r="H635" i="260" a="1"/>
  <c r="H635" i="260"/>
  <c r="O633" i="260" a="1"/>
  <c r="O633" i="260"/>
  <c r="N628" i="260" a="1"/>
  <c r="N628" i="260"/>
  <c r="N631" i="260" a="1"/>
  <c r="N631" i="260"/>
  <c r="J635" i="260" a="1"/>
  <c r="J635" i="260"/>
  <c r="K629" i="260" a="1"/>
  <c r="K629" i="260"/>
  <c r="I664" i="260" a="1"/>
  <c r="I664" i="260"/>
  <c r="I646" i="260" a="1"/>
  <c r="I646" i="260"/>
  <c r="H652" i="260" a="1"/>
  <c r="H652" i="260"/>
  <c r="I658" i="260" a="1"/>
  <c r="I658" i="260"/>
  <c r="H631" i="260" a="1"/>
  <c r="H631" i="260"/>
  <c r="N622" i="260" a="1"/>
  <c r="N622" i="260"/>
  <c r="O652" i="260" a="1"/>
  <c r="O652" i="260"/>
  <c r="N654" i="260" a="1"/>
  <c r="N654" i="260"/>
  <c r="K648" i="260" a="1"/>
  <c r="K648" i="260"/>
  <c r="K658" i="260" a="1"/>
  <c r="K658" i="260"/>
  <c r="L647" i="260" a="1"/>
  <c r="L647" i="260"/>
  <c r="I649" i="260" a="1"/>
  <c r="I649" i="260"/>
  <c r="M645" i="260" a="1"/>
  <c r="M645" i="260"/>
  <c r="K621" i="260" a="1"/>
  <c r="K621" i="260"/>
  <c r="M627" i="260" a="1"/>
  <c r="M627" i="260"/>
  <c r="O648" i="260" a="1"/>
  <c r="O648" i="260"/>
  <c r="I623" i="260" a="1"/>
  <c r="I623" i="260"/>
  <c r="N661" i="260" a="1"/>
  <c r="N661" i="260"/>
  <c r="M634" i="260" a="1"/>
  <c r="M634" i="260"/>
  <c r="J650" i="260" a="1"/>
  <c r="J650" i="260"/>
  <c r="O630" i="260" a="1"/>
  <c r="O630" i="260"/>
  <c r="L653" i="260" a="1"/>
  <c r="L653" i="260"/>
  <c r="I665" i="260" a="1"/>
  <c r="I665" i="260"/>
  <c r="L656" i="260" a="1"/>
  <c r="L656" i="260"/>
  <c r="L650" i="260" a="1"/>
  <c r="L650" i="260"/>
  <c r="K627" i="260" a="1"/>
  <c r="K627" i="260"/>
  <c r="H643" i="260" a="1"/>
  <c r="H643" i="260"/>
  <c r="H633" i="260" a="1"/>
  <c r="H633" i="260"/>
  <c r="J622" i="260" a="1"/>
  <c r="J622" i="260"/>
  <c r="L641" i="260" a="1"/>
  <c r="L641" i="260"/>
  <c r="J632" i="260" a="1"/>
  <c r="J632" i="260"/>
  <c r="L652" i="260" a="1"/>
  <c r="L652" i="260"/>
  <c r="K641" i="260" a="1"/>
  <c r="K641" i="260"/>
  <c r="N629" i="260" a="1"/>
  <c r="N629" i="260"/>
  <c r="J628" i="260" a="1"/>
  <c r="J628" i="260"/>
  <c r="H654" i="260" a="1"/>
  <c r="H654" i="260"/>
  <c r="K642" i="260" a="1"/>
  <c r="K642" i="260"/>
  <c r="K630" i="260" a="1"/>
  <c r="K630" i="260"/>
  <c r="M640" i="260" a="1"/>
  <c r="M640" i="260"/>
  <c r="M636" i="260" a="1"/>
  <c r="M636" i="260"/>
  <c r="M637" i="260" a="1"/>
  <c r="M637" i="260"/>
  <c r="I640" i="260" a="1"/>
  <c r="I640" i="260"/>
  <c r="L635" i="260" a="1"/>
  <c r="L635" i="260"/>
  <c r="I662" i="260" a="1"/>
  <c r="I662" i="260"/>
  <c r="K626" i="260" a="1"/>
  <c r="K626" i="260"/>
  <c r="N634" i="260" a="1"/>
  <c r="N634" i="260"/>
  <c r="L661" i="260" a="1"/>
  <c r="L661" i="260"/>
  <c r="J623" i="260" a="1"/>
  <c r="J623" i="260"/>
  <c r="J630" i="260" a="1"/>
  <c r="J630" i="260"/>
  <c r="O653" i="260" a="1"/>
  <c r="O653" i="260"/>
  <c r="M643" i="260" a="1"/>
  <c r="M643" i="260"/>
  <c r="J640" i="260" a="1"/>
  <c r="J640" i="260"/>
  <c r="M638" i="260" a="1"/>
  <c r="M638" i="260"/>
  <c r="J625" i="260" a="1"/>
  <c r="J625" i="260"/>
  <c r="O631" i="260" a="1"/>
  <c r="O631" i="260"/>
  <c r="J647" i="260" a="1"/>
  <c r="J647" i="260"/>
  <c r="J627" i="260" a="1"/>
  <c r="J627" i="260"/>
  <c r="M650" i="260" a="1"/>
  <c r="M650" i="260"/>
  <c r="O647" i="260" a="1"/>
  <c r="O647" i="260"/>
  <c r="L639" i="260" a="1"/>
  <c r="L639" i="260"/>
  <c r="N638" i="260" a="1"/>
  <c r="N638" i="260"/>
  <c r="K640" i="260" a="1"/>
  <c r="K640" i="260"/>
  <c r="J658" i="260" a="1"/>
  <c r="J658" i="260"/>
  <c r="H624" i="260" a="1"/>
  <c r="H624" i="260"/>
  <c r="L646" i="260" a="1"/>
  <c r="L646" i="260"/>
  <c r="I631" i="260" a="1"/>
  <c r="I631" i="260"/>
  <c r="I648" i="260" a="1"/>
  <c r="I648" i="260"/>
  <c r="J626" i="260" a="1"/>
  <c r="J626" i="260"/>
  <c r="O662" i="260" a="1"/>
  <c r="O662" i="260"/>
  <c r="M661" i="260" a="1"/>
  <c r="M661" i="260"/>
  <c r="K653" i="260" a="1"/>
  <c r="K653" i="260"/>
  <c r="J652" i="260" a="1"/>
  <c r="J652" i="260"/>
  <c r="I660" i="260" a="1"/>
  <c r="I660" i="260"/>
  <c r="N641" i="260" a="1"/>
  <c r="N641" i="260"/>
  <c r="O665" i="260" a="1"/>
  <c r="O665" i="260"/>
  <c r="I650" i="260" a="1"/>
  <c r="I650" i="260"/>
  <c r="O638" i="260" a="1"/>
  <c r="O638" i="260"/>
  <c r="O629" i="260" a="1"/>
  <c r="O629" i="260"/>
  <c r="M658" i="260" a="1"/>
  <c r="M658" i="260"/>
  <c r="M632" i="260" a="1"/>
  <c r="M632" i="260"/>
  <c r="M655" i="260" a="1"/>
  <c r="M655" i="260"/>
  <c r="K651" i="260" a="1"/>
  <c r="K651" i="260"/>
  <c r="O636" i="260" a="1"/>
  <c r="O636" i="260"/>
  <c r="M649" i="260" a="1"/>
  <c r="M649" i="260"/>
  <c r="N647" i="260" a="1"/>
  <c r="N647" i="260"/>
  <c r="K654" i="260" a="1"/>
  <c r="K654" i="260"/>
  <c r="O639" i="260" a="1"/>
  <c r="O639" i="260"/>
  <c r="H661" i="260" a="1"/>
  <c r="H661" i="260"/>
  <c r="L645" i="260" a="1"/>
  <c r="L645" i="260"/>
  <c r="H625" i="260" a="1"/>
  <c r="H625" i="260"/>
  <c r="M662" i="260" a="1"/>
  <c r="M662" i="260"/>
  <c r="O659" i="260" a="1"/>
  <c r="O659" i="260"/>
  <c r="J641" i="260" a="1"/>
  <c r="J641" i="260"/>
  <c r="AR78" i="189"/>
  <c r="AS78" i="189"/>
  <c r="AT78" i="189"/>
  <c r="AU78" i="189"/>
  <c r="AI78" i="189"/>
  <c r="AJ78" i="189"/>
  <c r="AK78" i="189"/>
  <c r="AL78" i="189"/>
  <c r="AM78" i="189"/>
  <c r="Q58" i="189"/>
  <c r="W58" i="189"/>
  <c r="Q57" i="189"/>
  <c r="W57" i="189"/>
  <c r="Q55" i="189"/>
  <c r="W55" i="189"/>
  <c r="Q53" i="189"/>
  <c r="W53" i="189"/>
  <c r="AR71" i="189"/>
  <c r="AS71" i="189"/>
  <c r="AT71" i="189"/>
  <c r="AU71" i="189"/>
  <c r="AI71" i="189"/>
  <c r="AJ71" i="189"/>
  <c r="AK71" i="189"/>
  <c r="AL71" i="189"/>
  <c r="AM71" i="189"/>
  <c r="AR77" i="189"/>
  <c r="AS77" i="189"/>
  <c r="AT77" i="189"/>
  <c r="AU77" i="189"/>
  <c r="AI77" i="189"/>
  <c r="AJ77" i="189"/>
  <c r="AK77" i="189"/>
  <c r="AL77" i="189"/>
  <c r="AM77" i="189"/>
  <c r="AR69" i="189"/>
  <c r="AS69" i="189"/>
  <c r="AT69" i="189"/>
  <c r="AU69" i="189"/>
  <c r="AI69" i="189"/>
  <c r="AJ69" i="189"/>
  <c r="AK69" i="189"/>
  <c r="AL69" i="189"/>
  <c r="AM69" i="189"/>
  <c r="AR72" i="189"/>
  <c r="AS72" i="189"/>
  <c r="AI72" i="189"/>
  <c r="AJ72" i="189"/>
  <c r="AK72" i="189"/>
  <c r="AL72" i="189"/>
  <c r="AM72" i="189"/>
  <c r="AR57" i="189"/>
  <c r="AS57" i="189"/>
  <c r="AT57" i="189"/>
  <c r="AU57" i="189"/>
  <c r="AI57" i="189"/>
  <c r="AJ57" i="189"/>
  <c r="AK57" i="189"/>
  <c r="AL57" i="189"/>
  <c r="AM57" i="189"/>
  <c r="AR55" i="189"/>
  <c r="AS55" i="189"/>
  <c r="AT55" i="189"/>
  <c r="AU55" i="189"/>
  <c r="AI55" i="189"/>
  <c r="AJ55" i="189"/>
  <c r="AK55" i="189"/>
  <c r="AL55" i="189"/>
  <c r="AM55" i="189"/>
  <c r="AR53" i="189"/>
  <c r="AS53" i="189"/>
  <c r="AT53" i="189"/>
  <c r="AU53" i="189"/>
  <c r="AI53" i="189"/>
  <c r="AJ53" i="189"/>
  <c r="AK53" i="189"/>
  <c r="AL53" i="189"/>
  <c r="AM53" i="189"/>
  <c r="AR70" i="189"/>
  <c r="AS70" i="189"/>
  <c r="AT70" i="189"/>
  <c r="AU70" i="189"/>
  <c r="AI70" i="189"/>
  <c r="AJ70" i="189"/>
  <c r="AK70" i="189"/>
  <c r="AL70" i="189"/>
  <c r="AM70" i="189"/>
  <c r="AR54" i="189"/>
  <c r="AS54" i="189"/>
  <c r="AT54" i="189"/>
  <c r="AU54" i="189"/>
  <c r="AI54" i="189"/>
  <c r="AJ54" i="189"/>
  <c r="AK54" i="189"/>
  <c r="AL54" i="189"/>
  <c r="AM54" i="189"/>
  <c r="A968" i="260"/>
  <c r="A1072" i="260"/>
  <c r="A1467" i="260"/>
  <c r="A1146" i="260"/>
  <c r="A1334" i="260"/>
  <c r="E802" i="260"/>
  <c r="A803" i="260"/>
  <c r="AT72" i="189"/>
  <c r="AU72" i="189"/>
  <c r="R66" i="189"/>
  <c r="S66" i="189"/>
  <c r="AC66" i="189"/>
  <c r="X56" i="189"/>
  <c r="Y56" i="189"/>
  <c r="Z56" i="189"/>
  <c r="AA56" i="189"/>
  <c r="AB56" i="189"/>
  <c r="AC56" i="189"/>
  <c r="AD56" i="189"/>
  <c r="AE56" i="189"/>
  <c r="H559" i="260"/>
  <c r="H555" i="260"/>
  <c r="H573" i="260"/>
  <c r="H558" i="260"/>
  <c r="I481" i="260" a="1"/>
  <c r="I481" i="260"/>
  <c r="I490" i="260"/>
  <c r="K481" i="260" a="1"/>
  <c r="K481" i="260"/>
  <c r="K490" i="260"/>
  <c r="O474" i="260" a="1"/>
  <c r="O474" i="260"/>
  <c r="O483" i="260"/>
  <c r="G477" i="260" a="1"/>
  <c r="G477" i="260"/>
  <c r="G486" i="260"/>
  <c r="I474" i="260" a="1"/>
  <c r="I474" i="260"/>
  <c r="I483" i="260"/>
  <c r="O477" i="260" a="1"/>
  <c r="O477" i="260"/>
  <c r="O486" i="260"/>
  <c r="M477" i="260" a="1"/>
  <c r="M477" i="260"/>
  <c r="M486" i="260"/>
  <c r="I477" i="260" a="1"/>
  <c r="I477" i="260"/>
  <c r="I486" i="260"/>
  <c r="K477" i="260" a="1"/>
  <c r="K477" i="260"/>
  <c r="K486" i="260"/>
  <c r="O481" i="260" a="1"/>
  <c r="O481" i="260"/>
  <c r="O490" i="260"/>
  <c r="H552" i="260"/>
  <c r="H562" i="260"/>
  <c r="H553" i="260"/>
  <c r="H568" i="260"/>
  <c r="L469" i="260"/>
  <c r="H576" i="260"/>
  <c r="H581" i="260"/>
  <c r="H578" i="260"/>
  <c r="H577" i="260"/>
  <c r="A834" i="260"/>
  <c r="A835" i="260"/>
  <c r="H561" i="260"/>
  <c r="H554" i="260"/>
  <c r="H560" i="260"/>
  <c r="I557" i="260"/>
  <c r="H557" i="260"/>
  <c r="I566" i="260"/>
  <c r="H566" i="260"/>
  <c r="I575" i="260"/>
  <c r="H575" i="260"/>
  <c r="H572" i="260"/>
  <c r="H564" i="260"/>
  <c r="A774" i="260"/>
  <c r="E773" i="260"/>
  <c r="A784" i="260"/>
  <c r="E783" i="260"/>
  <c r="E823" i="260"/>
  <c r="A824" i="260"/>
  <c r="E813" i="260"/>
  <c r="A814" i="260"/>
  <c r="A794" i="260"/>
  <c r="E793" i="260"/>
  <c r="A844" i="260"/>
  <c r="E843" i="260"/>
  <c r="G479" i="260" a="1"/>
  <c r="G479" i="260"/>
  <c r="G488" i="260"/>
  <c r="L467" i="260"/>
  <c r="H464" i="260"/>
  <c r="H468" i="260"/>
  <c r="F240" i="260"/>
  <c r="W56" i="189"/>
  <c r="G476" i="260" a="1"/>
  <c r="G476" i="260"/>
  <c r="G485" i="260"/>
  <c r="N470" i="260"/>
  <c r="H465" i="260"/>
  <c r="L471" i="260"/>
  <c r="N464" i="260"/>
  <c r="N469" i="260"/>
  <c r="I109" i="324"/>
  <c r="H469" i="260"/>
  <c r="H467" i="260"/>
  <c r="I97" i="324"/>
  <c r="J468" i="260"/>
  <c r="N468" i="260"/>
  <c r="M474" i="260" a="1"/>
  <c r="M474" i="260"/>
  <c r="M483" i="260"/>
  <c r="J464" i="260"/>
  <c r="N465" i="260"/>
  <c r="N471" i="260"/>
  <c r="J465" i="260"/>
  <c r="I476" i="260" a="1"/>
  <c r="I476" i="260"/>
  <c r="I485" i="260"/>
  <c r="P158" i="260"/>
  <c r="M480" i="260" a="1"/>
  <c r="M480" i="260"/>
  <c r="M489" i="260"/>
  <c r="G474" i="260" a="1"/>
  <c r="G474" i="260"/>
  <c r="G483" i="260"/>
  <c r="J466" i="260"/>
  <c r="K479" i="260" a="1"/>
  <c r="K479" i="260"/>
  <c r="K488" i="260"/>
  <c r="W54" i="189"/>
  <c r="Q54" i="189"/>
  <c r="X54" i="189"/>
  <c r="Y54" i="189"/>
  <c r="Z54" i="189"/>
  <c r="AA54" i="189"/>
  <c r="AB54" i="189"/>
  <c r="AC54" i="189"/>
  <c r="AD54" i="189"/>
  <c r="AE54" i="189"/>
  <c r="AI58" i="189"/>
  <c r="AJ58" i="189"/>
  <c r="AK58" i="189"/>
  <c r="AL58" i="189"/>
  <c r="AM58" i="189"/>
  <c r="G480" i="260" a="1"/>
  <c r="G480" i="260"/>
  <c r="G489" i="260"/>
  <c r="I479" i="260" a="1"/>
  <c r="I479" i="260"/>
  <c r="I488" i="260"/>
  <c r="H466" i="260"/>
  <c r="L464" i="260"/>
  <c r="L465" i="260"/>
  <c r="K480" i="260" a="1"/>
  <c r="K480" i="260"/>
  <c r="K489" i="260"/>
  <c r="O479" i="260" a="1"/>
  <c r="O479" i="260"/>
  <c r="O488" i="260"/>
  <c r="M481" i="260" a="1"/>
  <c r="M481" i="260"/>
  <c r="M490" i="260"/>
  <c r="K474" i="260" a="1"/>
  <c r="K474" i="260"/>
  <c r="K483" i="260"/>
  <c r="J471" i="260"/>
  <c r="J467" i="260"/>
  <c r="M479" i="260" a="1"/>
  <c r="M479" i="260"/>
  <c r="M488" i="260"/>
  <c r="F229" i="260"/>
  <c r="I91" i="324"/>
  <c r="CF96" i="259" a="1"/>
  <c r="CF96" i="259"/>
  <c r="CK139" i="259" a="1"/>
  <c r="CK139" i="259"/>
  <c r="CP139" i="259" a="1"/>
  <c r="CP139" i="259"/>
  <c r="BW236" i="259" a="1"/>
  <c r="BW236" i="259"/>
  <c r="F500" i="260"/>
  <c r="F526" i="260" a="1"/>
  <c r="F526" i="260"/>
  <c r="CM216" i="259" a="1"/>
  <c r="CM216" i="259"/>
  <c r="CF117" i="259" a="1"/>
  <c r="CF117" i="259"/>
  <c r="CA158" i="259" a="1"/>
  <c r="CA158" i="259"/>
  <c r="CI177" i="259" a="1"/>
  <c r="CI177" i="259"/>
  <c r="CL236" i="259" a="1"/>
  <c r="CL236" i="259"/>
  <c r="CH139" i="259" a="1"/>
  <c r="CH139" i="259"/>
  <c r="CJ177" i="259" a="1"/>
  <c r="CJ177" i="259"/>
  <c r="CH196" i="259" a="1"/>
  <c r="CH196" i="259"/>
  <c r="P127" i="260"/>
  <c r="F270" i="260"/>
  <c r="I105" i="324"/>
  <c r="O480" i="260" a="1"/>
  <c r="O480" i="260"/>
  <c r="O489" i="260"/>
  <c r="M476" i="260" a="1"/>
  <c r="M476" i="260"/>
  <c r="M485" i="260"/>
  <c r="F290" i="260"/>
  <c r="I92" i="324"/>
  <c r="J72" i="324"/>
  <c r="J84" i="324"/>
  <c r="J112" i="324"/>
  <c r="F430" i="260"/>
  <c r="N99" i="189"/>
  <c r="AG99" i="189"/>
  <c r="AQ99" i="189"/>
  <c r="N102" i="189"/>
  <c r="AG102" i="189"/>
  <c r="AQ102" i="189"/>
  <c r="N101" i="189"/>
  <c r="AG101" i="189"/>
  <c r="AQ101" i="189"/>
  <c r="H118" i="324"/>
  <c r="H124" i="324"/>
  <c r="H129" i="324"/>
  <c r="N103" i="189"/>
  <c r="AG103" i="189"/>
  <c r="AQ103" i="189"/>
  <c r="N105" i="189"/>
  <c r="AG105" i="189"/>
  <c r="AQ105" i="189"/>
  <c r="AG100" i="189"/>
  <c r="AQ100" i="189"/>
  <c r="N100" i="189"/>
  <c r="AG104" i="189"/>
  <c r="AQ104" i="189"/>
  <c r="N104" i="189"/>
  <c r="L468" i="260"/>
  <c r="J469" i="260"/>
  <c r="H470" i="260"/>
  <c r="H117" i="324"/>
  <c r="H123" i="324"/>
  <c r="H128" i="324"/>
  <c r="H471" i="260"/>
  <c r="J74" i="324"/>
  <c r="J86" i="324"/>
  <c r="J98" i="324"/>
  <c r="K75" i="324"/>
  <c r="J470" i="260"/>
  <c r="I106" i="324"/>
  <c r="J67" i="324"/>
  <c r="J79" i="324"/>
  <c r="J91" i="324"/>
  <c r="H119" i="324"/>
  <c r="H125" i="324"/>
  <c r="H130" i="324"/>
  <c r="J68" i="324"/>
  <c r="J80" i="324"/>
  <c r="J108" i="324"/>
  <c r="J66" i="324"/>
  <c r="J78" i="324"/>
  <c r="N466" i="260"/>
  <c r="J71" i="324"/>
  <c r="J83" i="324"/>
  <c r="I480" i="260" a="1"/>
  <c r="I480" i="260"/>
  <c r="I489" i="260"/>
  <c r="G481" i="260" a="1"/>
  <c r="G481" i="260"/>
  <c r="G490" i="260"/>
  <c r="L470" i="260"/>
  <c r="I114" i="324"/>
  <c r="J69" i="324"/>
  <c r="J81" i="324"/>
  <c r="J93" i="324"/>
  <c r="J70" i="324"/>
  <c r="J82" i="324"/>
  <c r="J94" i="324"/>
  <c r="J65" i="324"/>
  <c r="J77" i="324"/>
  <c r="J89" i="324"/>
  <c r="G120" i="324"/>
  <c r="I96" i="324"/>
  <c r="N467" i="260"/>
  <c r="L466" i="260"/>
  <c r="J97" i="324"/>
  <c r="J113" i="324"/>
  <c r="X57" i="189"/>
  <c r="Y57" i="189"/>
  <c r="Z57" i="189"/>
  <c r="AA57" i="189"/>
  <c r="AB57" i="189"/>
  <c r="AC57" i="189"/>
  <c r="AD57" i="189"/>
  <c r="AE57" i="189"/>
  <c r="R57" i="189"/>
  <c r="S57" i="189"/>
  <c r="T57" i="189"/>
  <c r="U57" i="189"/>
  <c r="V57" i="189"/>
  <c r="X58" i="189"/>
  <c r="Y58" i="189"/>
  <c r="Z58" i="189"/>
  <c r="AA58" i="189"/>
  <c r="AB58" i="189"/>
  <c r="AC58" i="189"/>
  <c r="AD58" i="189"/>
  <c r="AE58" i="189"/>
  <c r="R58" i="189"/>
  <c r="S58" i="189"/>
  <c r="T58" i="189"/>
  <c r="U58" i="189"/>
  <c r="V58" i="189"/>
  <c r="X53" i="189"/>
  <c r="R53" i="189"/>
  <c r="S53" i="189"/>
  <c r="T53" i="189"/>
  <c r="U53" i="189"/>
  <c r="V53" i="189"/>
  <c r="X55" i="189"/>
  <c r="Y55" i="189"/>
  <c r="Z55" i="189"/>
  <c r="AA55" i="189"/>
  <c r="AB55" i="189"/>
  <c r="AC55" i="189"/>
  <c r="AD55" i="189"/>
  <c r="AE55" i="189"/>
  <c r="R55" i="189"/>
  <c r="S55" i="189"/>
  <c r="T55" i="189"/>
  <c r="U55" i="189"/>
  <c r="V55" i="189"/>
  <c r="A804" i="260"/>
  <c r="E803" i="260"/>
  <c r="A1147" i="260"/>
  <c r="A969" i="260"/>
  <c r="A1335" i="260"/>
  <c r="A1468" i="260"/>
  <c r="Y53" i="189"/>
  <c r="T66" i="189"/>
  <c r="U66" i="189"/>
  <c r="AB66" i="189"/>
  <c r="H480" i="260" a="1"/>
  <c r="H480" i="260"/>
  <c r="H489" i="260"/>
  <c r="N477" i="260" a="1"/>
  <c r="N477" i="260"/>
  <c r="N486" i="260"/>
  <c r="L480" i="260" a="1"/>
  <c r="L480" i="260"/>
  <c r="L489" i="260"/>
  <c r="J480" i="260" a="1"/>
  <c r="J480" i="260"/>
  <c r="J489" i="260"/>
  <c r="H476" i="260" a="1"/>
  <c r="H476" i="260"/>
  <c r="H485" i="260"/>
  <c r="N480" i="260" a="1"/>
  <c r="N480" i="260"/>
  <c r="N489" i="260"/>
  <c r="H474" i="260" a="1"/>
  <c r="H474" i="260"/>
  <c r="H483" i="260"/>
  <c r="N481" i="260" a="1"/>
  <c r="N481" i="260"/>
  <c r="N490" i="260"/>
  <c r="H477" i="260" a="1"/>
  <c r="H477" i="260"/>
  <c r="H486" i="260"/>
  <c r="N474" i="260" a="1"/>
  <c r="N474" i="260"/>
  <c r="N483" i="260"/>
  <c r="L477" i="260" a="1"/>
  <c r="L477" i="260"/>
  <c r="L486" i="260"/>
  <c r="H479" i="260" a="1"/>
  <c r="H479" i="260"/>
  <c r="H488" i="260"/>
  <c r="J474" i="260" a="1"/>
  <c r="J474" i="260"/>
  <c r="J483" i="260"/>
  <c r="L476" i="260" a="1"/>
  <c r="L476" i="260"/>
  <c r="L485" i="260"/>
  <c r="N476" i="260" a="1"/>
  <c r="N476" i="260"/>
  <c r="N485" i="260"/>
  <c r="H481" i="260" a="1"/>
  <c r="H481" i="260"/>
  <c r="H490" i="260"/>
  <c r="N479" i="260" a="1"/>
  <c r="N479" i="260"/>
  <c r="N488" i="260"/>
  <c r="J481" i="260" a="1"/>
  <c r="J481" i="260"/>
  <c r="J490" i="260"/>
  <c r="J476" i="260" a="1"/>
  <c r="J476" i="260"/>
  <c r="J485" i="260"/>
  <c r="J479" i="260" a="1"/>
  <c r="J479" i="260"/>
  <c r="J488" i="260"/>
  <c r="L474" i="260" a="1"/>
  <c r="L474" i="260"/>
  <c r="L483" i="260"/>
  <c r="L481" i="260" a="1"/>
  <c r="L481" i="260"/>
  <c r="L490" i="260"/>
  <c r="J477" i="260" a="1"/>
  <c r="J477" i="260"/>
  <c r="J486" i="260"/>
  <c r="L479" i="260" a="1"/>
  <c r="L479" i="260"/>
  <c r="L488" i="260"/>
  <c r="E834" i="260"/>
  <c r="A795" i="260"/>
  <c r="E794" i="260"/>
  <c r="A815" i="260"/>
  <c r="E814" i="260"/>
  <c r="A785" i="260"/>
  <c r="E784" i="260"/>
  <c r="A845" i="260"/>
  <c r="E844" i="260"/>
  <c r="E774" i="260"/>
  <c r="A775" i="260"/>
  <c r="A825" i="260"/>
  <c r="E824" i="260"/>
  <c r="F1212" i="260" a="1"/>
  <c r="F1212" i="260"/>
  <c r="F1302" i="260" a="1"/>
  <c r="F1302" i="260"/>
  <c r="F1355" i="260" a="1"/>
  <c r="F1355" i="260"/>
  <c r="F1232" i="260" a="1"/>
  <c r="F1232" i="260"/>
  <c r="F1303" i="260" a="1"/>
  <c r="F1303" i="260"/>
  <c r="G307" i="260" a="1"/>
  <c r="G307" i="260"/>
  <c r="H37" i="260" a="1"/>
  <c r="H37" i="260"/>
  <c r="R54" i="189"/>
  <c r="S54" i="189"/>
  <c r="T54" i="189"/>
  <c r="U54" i="189"/>
  <c r="V54" i="189"/>
  <c r="F1365" i="260" a="1"/>
  <c r="F1365" i="260"/>
  <c r="F1373" i="260" a="1"/>
  <c r="F1373" i="260"/>
  <c r="F1321" i="260" a="1"/>
  <c r="F1321" i="260"/>
  <c r="F1259" i="260" a="1"/>
  <c r="F1259" i="260"/>
  <c r="F1123" i="260" a="1"/>
  <c r="F1123" i="260"/>
  <c r="F1213" i="260" a="1"/>
  <c r="F1213" i="260"/>
  <c r="F1222" i="260" a="1"/>
  <c r="F1222" i="260"/>
  <c r="F1332" i="260" a="1"/>
  <c r="F1332" i="260"/>
  <c r="F1256" i="260" a="1"/>
  <c r="F1256" i="260"/>
  <c r="F1345" i="260" a="1"/>
  <c r="F1345" i="260"/>
  <c r="P38" i="260" a="1"/>
  <c r="P38" i="260"/>
  <c r="G302" i="260" a="1"/>
  <c r="G302" i="260"/>
  <c r="F1374" i="260" a="1"/>
  <c r="F1374" i="260"/>
  <c r="F1178" i="260" a="1"/>
  <c r="F1178" i="260"/>
  <c r="F1230" i="260" a="1"/>
  <c r="F1230" i="260"/>
  <c r="F1323" i="260" a="1"/>
  <c r="F1323" i="260"/>
  <c r="F1154" i="260" a="1"/>
  <c r="F1154" i="260"/>
  <c r="F1185" i="260" a="1"/>
  <c r="F1185" i="260"/>
  <c r="F1142" i="260" a="1"/>
  <c r="F1142" i="260"/>
  <c r="F1257" i="260" a="1"/>
  <c r="F1257" i="260"/>
  <c r="F1310" i="260" a="1"/>
  <c r="F1310" i="260"/>
  <c r="F1152" i="260" a="1"/>
  <c r="F1152" i="260"/>
  <c r="F1187" i="260" a="1"/>
  <c r="F1187" i="260"/>
  <c r="F1261" i="260" a="1"/>
  <c r="F1261" i="260"/>
  <c r="F1128" i="260" a="1"/>
  <c r="F1128" i="260"/>
  <c r="F1246" i="260" a="1"/>
  <c r="F1246" i="260"/>
  <c r="F1279" i="260" a="1"/>
  <c r="F1279" i="260"/>
  <c r="F1144" i="260" a="1"/>
  <c r="F1144" i="260"/>
  <c r="F1371" i="260" a="1"/>
  <c r="F1371" i="260"/>
  <c r="F1242" i="260" a="1"/>
  <c r="F1242" i="260"/>
  <c r="F1137" i="260" a="1"/>
  <c r="F1137" i="260"/>
  <c r="F1262" i="260" a="1"/>
  <c r="F1262" i="260"/>
  <c r="F1184" i="260" a="1"/>
  <c r="F1184" i="260"/>
  <c r="F1269" i="260" a="1"/>
  <c r="F1269" i="260"/>
  <c r="F1272" i="260" a="1"/>
  <c r="F1272" i="260"/>
  <c r="F1253" i="260" a="1"/>
  <c r="F1253" i="260"/>
  <c r="F1350" i="260" a="1"/>
  <c r="F1350" i="260"/>
  <c r="F1375" i="260" a="1"/>
  <c r="F1375" i="260"/>
  <c r="F1138" i="260" a="1"/>
  <c r="F1138" i="260"/>
  <c r="F1159" i="260" a="1"/>
  <c r="F1159" i="260"/>
  <c r="F1165" i="260" a="1"/>
  <c r="F1165" i="260"/>
  <c r="F1353" i="260" a="1"/>
  <c r="F1353" i="260"/>
  <c r="F1280" i="260" a="1"/>
  <c r="F1280" i="260"/>
  <c r="F1233" i="260" a="1"/>
  <c r="F1233" i="260"/>
  <c r="F1370" i="260" a="1"/>
  <c r="F1370" i="260"/>
  <c r="F1179" i="260" a="1"/>
  <c r="F1179" i="260"/>
  <c r="F1231" i="260" a="1"/>
  <c r="F1231" i="260"/>
  <c r="F1325" i="260" a="1"/>
  <c r="F1325" i="260"/>
  <c r="F1125" i="260" a="1"/>
  <c r="F1125" i="260"/>
  <c r="F1136" i="260" a="1"/>
  <c r="F1136" i="260"/>
  <c r="F1156" i="260" a="1"/>
  <c r="F1156" i="260"/>
  <c r="F1354" i="260" a="1"/>
  <c r="F1354" i="260"/>
  <c r="F1263" i="260" a="1"/>
  <c r="F1263" i="260"/>
  <c r="F1221" i="260" a="1"/>
  <c r="F1221" i="260"/>
  <c r="H38" i="260" a="1"/>
  <c r="H38" i="260"/>
  <c r="H305" i="260" a="1"/>
  <c r="H305" i="260"/>
  <c r="F1173" i="260" a="1"/>
  <c r="F1173" i="260"/>
  <c r="F1276" i="260" a="1"/>
  <c r="F1276" i="260"/>
  <c r="F1305" i="260" a="1"/>
  <c r="F1305" i="260"/>
  <c r="F1266" i="260" a="1"/>
  <c r="F1266" i="260"/>
  <c r="F1311" i="260" a="1"/>
  <c r="F1311" i="260"/>
  <c r="F1140" i="260" a="1"/>
  <c r="F1140" i="260"/>
  <c r="F1377" i="260" a="1"/>
  <c r="F1377" i="260"/>
  <c r="F1331" i="260" a="1"/>
  <c r="F1331" i="260"/>
  <c r="F1180" i="260" a="1"/>
  <c r="F1180" i="260"/>
  <c r="F1347" i="260" a="1"/>
  <c r="F1347" i="260"/>
  <c r="F1115" i="260" a="1"/>
  <c r="F1115" i="260"/>
  <c r="F1167" i="260" a="1"/>
  <c r="F1167" i="260"/>
  <c r="F1315" i="260" a="1"/>
  <c r="F1315" i="260"/>
  <c r="F1174" i="260" a="1"/>
  <c r="F1174" i="260"/>
  <c r="F1241" i="260" a="1"/>
  <c r="F1241" i="260"/>
  <c r="F1182" i="260" a="1"/>
  <c r="F1182" i="260"/>
  <c r="F1359" i="260" a="1"/>
  <c r="F1359" i="260"/>
  <c r="F1248" i="260" a="1"/>
  <c r="F1248" i="260"/>
  <c r="F1225" i="260" a="1"/>
  <c r="F1225" i="260"/>
  <c r="F1283" i="260" a="1"/>
  <c r="F1283" i="260"/>
  <c r="F1250" i="260" a="1"/>
  <c r="F1250" i="260"/>
  <c r="F1188" i="260" a="1"/>
  <c r="F1188" i="260"/>
  <c r="F1258" i="260" a="1"/>
  <c r="F1258" i="260"/>
  <c r="F1356" i="260" a="1"/>
  <c r="F1356" i="260"/>
  <c r="F1223" i="260" a="1"/>
  <c r="F1223" i="260"/>
  <c r="F1300" i="260" a="1"/>
  <c r="F1300" i="260"/>
  <c r="F1342" i="260" a="1"/>
  <c r="F1342" i="260"/>
  <c r="F1124" i="260" a="1"/>
  <c r="F1124" i="260"/>
  <c r="F1240" i="260" a="1"/>
  <c r="F1240" i="260"/>
  <c r="F1309" i="260" a="1"/>
  <c r="F1309" i="260"/>
  <c r="F1260" i="260" a="1"/>
  <c r="F1260" i="260"/>
  <c r="F1244" i="260" a="1"/>
  <c r="F1244" i="260"/>
  <c r="F1255" i="260" a="1"/>
  <c r="F1255" i="260"/>
  <c r="F1368" i="260" a="1"/>
  <c r="F1368" i="260"/>
  <c r="F1234" i="260" a="1"/>
  <c r="F1234" i="260"/>
  <c r="F1343" i="260" a="1"/>
  <c r="F1343" i="260"/>
  <c r="F1334" i="260" a="1"/>
  <c r="F1334" i="260"/>
  <c r="F1117" i="260" a="1"/>
  <c r="F1117" i="260"/>
  <c r="F1160" i="260" a="1"/>
  <c r="F1160" i="260"/>
  <c r="F1205" i="260" a="1"/>
  <c r="F1205" i="260"/>
  <c r="F1327" i="260" a="1"/>
  <c r="F1327" i="260"/>
  <c r="F1313" i="260" a="1"/>
  <c r="F1313" i="260"/>
  <c r="F1278" i="260" a="1"/>
  <c r="F1278" i="260"/>
  <c r="F1282" i="260" a="1"/>
  <c r="F1282" i="260"/>
  <c r="F1304" i="260" a="1"/>
  <c r="F1304" i="260"/>
  <c r="F1206" i="260" a="1"/>
  <c r="F1206" i="260"/>
  <c r="F1326" i="260" a="1"/>
  <c r="F1326" i="260"/>
  <c r="F1270" i="260" a="1"/>
  <c r="F1270" i="260"/>
  <c r="F1338" i="260" a="1"/>
  <c r="F1338" i="260"/>
  <c r="F1243" i="260" a="1"/>
  <c r="F1243" i="260"/>
  <c r="F1274" i="260" a="1"/>
  <c r="F1274" i="260"/>
  <c r="F1268" i="260" a="1"/>
  <c r="F1268" i="260"/>
  <c r="F1215" i="260" a="1"/>
  <c r="F1215" i="260"/>
  <c r="F1121" i="260" a="1"/>
  <c r="F1121" i="260"/>
  <c r="F1339" i="260" a="1"/>
  <c r="F1339" i="260"/>
  <c r="F1218" i="260" a="1"/>
  <c r="F1218" i="260"/>
  <c r="F1224" i="260" a="1"/>
  <c r="F1224" i="260"/>
  <c r="F1119" i="260" a="1"/>
  <c r="F1119" i="260"/>
  <c r="F1175" i="260" a="1"/>
  <c r="F1175" i="260"/>
  <c r="F1322" i="260" a="1"/>
  <c r="F1322" i="260"/>
  <c r="F1150" i="260" a="1"/>
  <c r="F1150" i="260"/>
  <c r="F1267" i="260" a="1"/>
  <c r="F1267" i="260"/>
  <c r="F1324" i="260" a="1"/>
  <c r="F1324" i="260"/>
  <c r="F1127" i="260" a="1"/>
  <c r="F1127" i="260"/>
  <c r="F1158" i="260" a="1"/>
  <c r="F1158" i="260"/>
  <c r="F1155" i="260" a="1"/>
  <c r="F1155" i="260"/>
  <c r="F1126" i="260" a="1"/>
  <c r="F1126" i="260"/>
  <c r="F1111" i="260" a="1"/>
  <c r="F1111" i="260"/>
  <c r="F1265" i="260" a="1"/>
  <c r="F1265" i="260"/>
  <c r="F1189" i="260" a="1"/>
  <c r="F1189" i="260"/>
  <c r="F1146" i="260" a="1"/>
  <c r="F1146" i="260"/>
  <c r="F1172" i="260" a="1"/>
  <c r="F1172" i="260"/>
  <c r="F1219" i="260" a="1"/>
  <c r="F1219" i="260"/>
  <c r="F1134" i="260" a="1"/>
  <c r="F1134" i="260"/>
  <c r="F1122" i="260" a="1"/>
  <c r="F1122" i="260"/>
  <c r="F1162" i="260" a="1"/>
  <c r="F1162" i="260"/>
  <c r="F1245" i="260" a="1"/>
  <c r="F1245" i="260"/>
  <c r="F1277" i="260" a="1"/>
  <c r="F1277" i="260"/>
  <c r="F1236" i="260" a="1"/>
  <c r="F1236" i="260"/>
  <c r="F1328" i="260" a="1"/>
  <c r="F1328" i="260"/>
  <c r="F1344" i="260" a="1"/>
  <c r="F1344" i="260"/>
  <c r="F1130" i="260" a="1"/>
  <c r="F1130" i="260"/>
  <c r="F1118" i="260" a="1"/>
  <c r="F1118" i="260"/>
  <c r="F1247" i="260" a="1"/>
  <c r="F1247" i="260"/>
  <c r="F1301" i="260" a="1"/>
  <c r="F1301" i="260"/>
  <c r="F1319" i="260" a="1"/>
  <c r="F1319" i="260"/>
  <c r="F1366" i="260" a="1"/>
  <c r="F1366" i="260"/>
  <c r="F1330" i="260" a="1"/>
  <c r="F1330" i="260"/>
  <c r="F1220" i="260" a="1"/>
  <c r="F1220" i="260"/>
  <c r="F1351" i="260" a="1"/>
  <c r="F1351" i="260"/>
  <c r="F1314" i="260" a="1"/>
  <c r="F1314" i="260"/>
  <c r="F1228" i="260" a="1"/>
  <c r="F1228" i="260"/>
  <c r="F1264" i="260" a="1"/>
  <c r="F1264" i="260"/>
  <c r="F1341" i="260" a="1"/>
  <c r="F1341" i="260"/>
  <c r="F1211" i="260" a="1"/>
  <c r="F1211" i="260"/>
  <c r="F1312" i="260" a="1"/>
  <c r="F1312" i="260"/>
  <c r="F1299" i="260" a="1"/>
  <c r="F1299" i="260"/>
  <c r="F1186" i="260" a="1"/>
  <c r="F1186" i="260"/>
  <c r="F1210" i="260" a="1"/>
  <c r="F1210" i="260"/>
  <c r="F1251" i="260" a="1"/>
  <c r="F1251" i="260"/>
  <c r="F1214" i="260" a="1"/>
  <c r="F1214" i="260"/>
  <c r="F1129" i="260" a="1"/>
  <c r="F1129" i="260"/>
  <c r="F1163" i="260" a="1"/>
  <c r="F1163" i="260"/>
  <c r="F1237" i="260" a="1"/>
  <c r="F1237" i="260"/>
  <c r="F1177" i="260" a="1"/>
  <c r="F1177" i="260"/>
  <c r="F1235" i="260" a="1"/>
  <c r="F1235" i="260"/>
  <c r="F1217" i="260" a="1"/>
  <c r="F1217" i="260"/>
  <c r="F1348" i="260" a="1"/>
  <c r="F1348" i="260"/>
  <c r="F1308" i="260" a="1"/>
  <c r="F1308" i="260"/>
  <c r="F1364" i="260" a="1"/>
  <c r="F1364" i="260"/>
  <c r="F1249" i="260" a="1"/>
  <c r="F1249" i="260"/>
  <c r="F1318" i="260" a="1"/>
  <c r="F1318" i="260"/>
  <c r="F1320" i="260" a="1"/>
  <c r="F1320" i="260"/>
  <c r="F1120" i="260" a="1"/>
  <c r="F1120" i="260"/>
  <c r="F1141" i="260" a="1"/>
  <c r="F1141" i="260"/>
  <c r="F1164" i="260" a="1"/>
  <c r="F1164" i="260"/>
  <c r="F1306" i="260" a="1"/>
  <c r="F1306" i="260"/>
  <c r="F1281" i="260" a="1"/>
  <c r="F1281" i="260"/>
  <c r="F1275" i="260" a="1"/>
  <c r="F1275" i="260"/>
  <c r="F1166" i="260" a="1"/>
  <c r="F1166" i="260"/>
  <c r="F1176" i="260" a="1"/>
  <c r="F1176" i="260"/>
  <c r="F1183" i="260" a="1"/>
  <c r="F1183" i="260"/>
  <c r="F1360" i="260" a="1"/>
  <c r="F1360" i="260"/>
  <c r="F1112" i="260" a="1"/>
  <c r="F1112" i="260"/>
  <c r="F1372" i="260" a="1"/>
  <c r="F1372" i="260"/>
  <c r="F1352" i="260" a="1"/>
  <c r="F1352" i="260"/>
  <c r="F1307" i="260" a="1"/>
  <c r="F1307" i="260"/>
  <c r="F1161" i="260" a="1"/>
  <c r="F1161" i="260"/>
  <c r="F1168" i="260" a="1"/>
  <c r="F1168" i="260"/>
  <c r="F1361" i="260" a="1"/>
  <c r="F1361" i="260"/>
  <c r="F1151" i="260" a="1"/>
  <c r="F1151" i="260"/>
  <c r="F1238" i="260" a="1"/>
  <c r="F1238" i="260"/>
  <c r="F1273" i="260" a="1"/>
  <c r="F1273" i="260"/>
  <c r="F1157" i="260" a="1"/>
  <c r="F1157" i="260"/>
  <c r="F1329" i="260" a="1"/>
  <c r="F1329" i="260"/>
  <c r="F1113" i="260" a="1"/>
  <c r="F1113" i="260"/>
  <c r="F1153" i="260" a="1"/>
  <c r="F1153" i="260"/>
  <c r="F1376" i="260" a="1"/>
  <c r="F1376" i="260"/>
  <c r="F1340" i="260" a="1"/>
  <c r="F1340" i="260"/>
  <c r="F1208" i="260" a="1"/>
  <c r="F1208" i="260"/>
  <c r="F1252" i="260" a="1"/>
  <c r="F1252" i="260"/>
  <c r="F1239" i="260" a="1"/>
  <c r="F1239" i="260"/>
  <c r="F1346" i="260" a="1"/>
  <c r="F1346" i="260"/>
  <c r="F1216" i="260" a="1"/>
  <c r="F1216" i="260"/>
  <c r="F1139" i="260" a="1"/>
  <c r="F1139" i="260"/>
  <c r="F1226" i="260" a="1"/>
  <c r="F1226" i="260"/>
  <c r="F1363" i="260" a="1"/>
  <c r="F1363" i="260"/>
  <c r="F1367" i="260" a="1"/>
  <c r="F1367" i="260"/>
  <c r="F1254" i="260" a="1"/>
  <c r="F1254" i="260"/>
  <c r="F1369" i="260" a="1"/>
  <c r="F1369" i="260"/>
  <c r="F1271" i="260" a="1"/>
  <c r="F1271" i="260"/>
  <c r="F1362" i="260" a="1"/>
  <c r="F1362" i="260"/>
  <c r="F1181" i="260" a="1"/>
  <c r="F1181" i="260"/>
  <c r="F1135" i="260" a="1"/>
  <c r="F1135" i="260"/>
  <c r="F1170" i="260" a="1"/>
  <c r="F1170" i="260"/>
  <c r="F1317" i="260" a="1"/>
  <c r="F1317" i="260"/>
  <c r="F1169" i="260" a="1"/>
  <c r="F1169" i="260"/>
  <c r="F1357" i="260" a="1"/>
  <c r="F1357" i="260"/>
  <c r="F1133" i="260" a="1"/>
  <c r="F1133" i="260"/>
  <c r="F1349" i="260" a="1"/>
  <c r="F1349" i="260"/>
  <c r="F1114" i="260" a="1"/>
  <c r="F1114" i="260"/>
  <c r="F1171" i="260" a="1"/>
  <c r="F1171" i="260"/>
  <c r="F1143" i="260" a="1"/>
  <c r="F1143" i="260"/>
  <c r="F1358" i="260" a="1"/>
  <c r="F1358" i="260"/>
  <c r="F1316" i="260" a="1"/>
  <c r="F1316" i="260"/>
  <c r="F1131" i="260" a="1"/>
  <c r="F1131" i="260"/>
  <c r="K33" i="260" a="1"/>
  <c r="K33" i="260"/>
  <c r="N39" i="260" a="1"/>
  <c r="N39" i="260"/>
  <c r="I39" i="260" a="1"/>
  <c r="I39" i="260"/>
  <c r="I95" i="324"/>
  <c r="O476" i="260" a="1"/>
  <c r="O476" i="260"/>
  <c r="O485" i="260"/>
  <c r="K476" i="260" a="1"/>
  <c r="K476" i="260"/>
  <c r="K485" i="260"/>
  <c r="Q33" i="260" a="1"/>
  <c r="Q33" i="260"/>
  <c r="P36" i="260" a="1"/>
  <c r="P36" i="260"/>
  <c r="V40" i="260" a="1"/>
  <c r="V40" i="260"/>
  <c r="S39" i="260" a="1"/>
  <c r="S39" i="260"/>
  <c r="T37" i="260" a="1"/>
  <c r="T37" i="260"/>
  <c r="R35" i="260" a="1"/>
  <c r="R35" i="260"/>
  <c r="O35" i="260" a="1"/>
  <c r="O35" i="260"/>
  <c r="I36" i="260" a="1"/>
  <c r="I36" i="260"/>
  <c r="S37" i="260" a="1"/>
  <c r="S37" i="260"/>
  <c r="I37" i="260" a="1"/>
  <c r="I37" i="260"/>
  <c r="W34" i="260" a="1"/>
  <c r="W34" i="260"/>
  <c r="F1132" i="260" a="1"/>
  <c r="F1132" i="260"/>
  <c r="H35" i="260" a="1"/>
  <c r="H35" i="260"/>
  <c r="U37" i="260" a="1"/>
  <c r="U37" i="260"/>
  <c r="T40" i="260" a="1"/>
  <c r="T40" i="260"/>
  <c r="U38" i="260" a="1"/>
  <c r="U38" i="260"/>
  <c r="V35" i="260" a="1"/>
  <c r="V35" i="260"/>
  <c r="X37" i="260" a="1"/>
  <c r="X37" i="260"/>
  <c r="F524" i="260" a="1"/>
  <c r="F524" i="260"/>
  <c r="F523" i="260" a="1"/>
  <c r="F523" i="260"/>
  <c r="F520" i="260" a="1"/>
  <c r="F520" i="260"/>
  <c r="F522" i="260" a="1"/>
  <c r="F522" i="260"/>
  <c r="F525" i="260" a="1"/>
  <c r="F525" i="260"/>
  <c r="F521" i="260" a="1"/>
  <c r="F521" i="260"/>
  <c r="F519" i="260" a="1"/>
  <c r="F519" i="260"/>
  <c r="F1333" i="260" a="1"/>
  <c r="F1333" i="260"/>
  <c r="F1145" i="260" a="1"/>
  <c r="F1145" i="260"/>
  <c r="R40" i="260" a="1"/>
  <c r="R40" i="260"/>
  <c r="I38" i="260" a="1"/>
  <c r="I38" i="260"/>
  <c r="L40" i="260" a="1"/>
  <c r="L40" i="260"/>
  <c r="J40" i="260" a="1"/>
  <c r="J40" i="260"/>
  <c r="H34" i="260" a="1"/>
  <c r="H34" i="260"/>
  <c r="O33" i="260" a="1"/>
  <c r="O33" i="260"/>
  <c r="X33" i="260" a="1"/>
  <c r="X33" i="260"/>
  <c r="N34" i="260" a="1"/>
  <c r="N34" i="260"/>
  <c r="M40" i="260" a="1"/>
  <c r="M40" i="260"/>
  <c r="K39" i="260" a="1"/>
  <c r="K39" i="260"/>
  <c r="J38" i="260" a="1"/>
  <c r="J38" i="260"/>
  <c r="X35" i="260" a="1"/>
  <c r="X35" i="260"/>
  <c r="X36" i="260" a="1"/>
  <c r="X36" i="260"/>
  <c r="Y36" i="260" a="1"/>
  <c r="Y36" i="260"/>
  <c r="Y37" i="260" a="1"/>
  <c r="Y37" i="260"/>
  <c r="N38" i="260" a="1"/>
  <c r="N38" i="260"/>
  <c r="J33" i="260" a="1"/>
  <c r="J33" i="260"/>
  <c r="Y38" i="260" a="1"/>
  <c r="Y38" i="260"/>
  <c r="M35" i="260" a="1"/>
  <c r="M35" i="260"/>
  <c r="T34" i="260" a="1"/>
  <c r="T34" i="260"/>
  <c r="N36" i="260" a="1"/>
  <c r="N36" i="260"/>
  <c r="G40" i="260" a="1"/>
  <c r="G40" i="260"/>
  <c r="S38" i="260" a="1"/>
  <c r="S38" i="260"/>
  <c r="T38" i="260" a="1"/>
  <c r="T38" i="260"/>
  <c r="T35" i="260" a="1"/>
  <c r="T35" i="260"/>
  <c r="V37" i="260" a="1"/>
  <c r="V37" i="260"/>
  <c r="S34" i="260" a="1"/>
  <c r="S34" i="260"/>
  <c r="V34" i="260" a="1"/>
  <c r="V34" i="260"/>
  <c r="P37" i="260" a="1"/>
  <c r="P37" i="260"/>
  <c r="L36" i="260" a="1"/>
  <c r="L36" i="260"/>
  <c r="X39" i="260" a="1"/>
  <c r="X39" i="260"/>
  <c r="G38" i="260" a="1"/>
  <c r="G38" i="260"/>
  <c r="O37" i="260" a="1"/>
  <c r="O37" i="260"/>
  <c r="I35" i="260" a="1"/>
  <c r="I35" i="260"/>
  <c r="W36" i="260" a="1"/>
  <c r="W36" i="260"/>
  <c r="M33" i="260" a="1"/>
  <c r="M33" i="260"/>
  <c r="Y40" i="260" a="1"/>
  <c r="Y40" i="260"/>
  <c r="S36" i="260" a="1"/>
  <c r="S36" i="260"/>
  <c r="Y35" i="260" a="1"/>
  <c r="Y35" i="260"/>
  <c r="X40" i="260" a="1"/>
  <c r="X40" i="260"/>
  <c r="P34" i="260" a="1"/>
  <c r="P34" i="260"/>
  <c r="L35" i="260" a="1"/>
  <c r="L35" i="260"/>
  <c r="K36" i="260" a="1"/>
  <c r="K36" i="260"/>
  <c r="P39" i="260" a="1"/>
  <c r="P39" i="260"/>
  <c r="F33" i="260" a="1"/>
  <c r="F33" i="260"/>
  <c r="K34" i="260" a="1"/>
  <c r="K34" i="260"/>
  <c r="U34" i="260" a="1"/>
  <c r="U34" i="260"/>
  <c r="Q34" i="260" a="1"/>
  <c r="Q34" i="260"/>
  <c r="Q37" i="260" a="1"/>
  <c r="Q37" i="260"/>
  <c r="W39" i="260" a="1"/>
  <c r="W39" i="260"/>
  <c r="V39" i="260" a="1"/>
  <c r="V39" i="260"/>
  <c r="T39" i="260" a="1"/>
  <c r="T39" i="260"/>
  <c r="O38" i="260" a="1"/>
  <c r="O38" i="260"/>
  <c r="R34" i="260" a="1"/>
  <c r="R34" i="260"/>
  <c r="Q35" i="260" a="1"/>
  <c r="Q35" i="260"/>
  <c r="L37" i="260" a="1"/>
  <c r="L37" i="260"/>
  <c r="U40" i="260" a="1"/>
  <c r="U40" i="260"/>
  <c r="G34" i="260" a="1"/>
  <c r="G34" i="260"/>
  <c r="K38" i="260" a="1"/>
  <c r="K38" i="260"/>
  <c r="V38" i="260" a="1"/>
  <c r="V38" i="260"/>
  <c r="H39" i="260" a="1"/>
  <c r="H39" i="260"/>
  <c r="S35" i="260" a="1"/>
  <c r="S35" i="260"/>
  <c r="F36" i="260" a="1"/>
  <c r="F36" i="260"/>
  <c r="Y33" i="260" a="1"/>
  <c r="Y33" i="260"/>
  <c r="R33" i="260" a="1"/>
  <c r="R33" i="260"/>
  <c r="F39" i="260" a="1"/>
  <c r="F39" i="260"/>
  <c r="J39" i="260" a="1"/>
  <c r="J39" i="260"/>
  <c r="W37" i="260" a="1"/>
  <c r="W37" i="260"/>
  <c r="F40" i="260" a="1"/>
  <c r="F40" i="260"/>
  <c r="O40" i="260" a="1"/>
  <c r="O40" i="260"/>
  <c r="M36" i="260" a="1"/>
  <c r="M36" i="260"/>
  <c r="R36" i="260" a="1"/>
  <c r="R36" i="260"/>
  <c r="M38" i="260" a="1"/>
  <c r="M38" i="260"/>
  <c r="I34" i="260" a="1"/>
  <c r="I34" i="260"/>
  <c r="Q39" i="260" a="1"/>
  <c r="Q39" i="260"/>
  <c r="X34" i="260" a="1"/>
  <c r="X34" i="260"/>
  <c r="Q36" i="260" a="1"/>
  <c r="Q36" i="260"/>
  <c r="N35" i="260" a="1"/>
  <c r="N35" i="260"/>
  <c r="I33" i="260" a="1"/>
  <c r="I33" i="260"/>
  <c r="Y34" i="260" a="1"/>
  <c r="Y34" i="260"/>
  <c r="O34" i="260" a="1"/>
  <c r="O34" i="260"/>
  <c r="J36" i="260" a="1"/>
  <c r="J36" i="260"/>
  <c r="V33" i="260" a="1"/>
  <c r="V33" i="260"/>
  <c r="X38" i="260" a="1"/>
  <c r="X38" i="260"/>
  <c r="S40" i="260" a="1"/>
  <c r="S40" i="260"/>
  <c r="P33" i="260" a="1"/>
  <c r="P33" i="260"/>
  <c r="W40" i="260" a="1"/>
  <c r="W40" i="260"/>
  <c r="P40" i="260" a="1"/>
  <c r="P40" i="260"/>
  <c r="J35" i="260" a="1"/>
  <c r="J35" i="260"/>
  <c r="W35" i="260" a="1"/>
  <c r="W35" i="260"/>
  <c r="G33" i="260" a="1"/>
  <c r="G33" i="260"/>
  <c r="Q40" i="260" a="1"/>
  <c r="Q40" i="260"/>
  <c r="H40" i="260" a="1"/>
  <c r="H40" i="260"/>
  <c r="S33" i="260" a="1"/>
  <c r="S33" i="260"/>
  <c r="J37" i="260" a="1"/>
  <c r="J37" i="260"/>
  <c r="T36" i="260" a="1"/>
  <c r="T36" i="260"/>
  <c r="G36" i="260" a="1"/>
  <c r="G36" i="260"/>
  <c r="Q38" i="260" a="1"/>
  <c r="Q38" i="260"/>
  <c r="W33" i="260" a="1"/>
  <c r="W33" i="260"/>
  <c r="K37" i="260" a="1"/>
  <c r="K37" i="260"/>
  <c r="L38" i="260" a="1"/>
  <c r="L38" i="260"/>
  <c r="M39" i="260" a="1"/>
  <c r="M39" i="260"/>
  <c r="N37" i="260" a="1"/>
  <c r="N37" i="260"/>
  <c r="N40" i="260" a="1"/>
  <c r="N40" i="260"/>
  <c r="F38" i="260" a="1"/>
  <c r="F38" i="260"/>
  <c r="U33" i="260" a="1"/>
  <c r="U33" i="260"/>
  <c r="R37" i="260" a="1"/>
  <c r="R37" i="260"/>
  <c r="K40" i="260" a="1"/>
  <c r="K40" i="260"/>
  <c r="F1116" i="260" a="1"/>
  <c r="F1116" i="260"/>
  <c r="O36" i="260" a="1"/>
  <c r="O36" i="260"/>
  <c r="F304" i="260" a="1"/>
  <c r="F304" i="260"/>
  <c r="G308" i="260" a="1"/>
  <c r="G308" i="260"/>
  <c r="H33" i="260" a="1"/>
  <c r="H33" i="260"/>
  <c r="L33" i="260" a="1"/>
  <c r="L33" i="260"/>
  <c r="I40" i="260" a="1"/>
  <c r="I40" i="260"/>
  <c r="Y39" i="260" a="1"/>
  <c r="Y39" i="260"/>
  <c r="F37" i="260" a="1"/>
  <c r="F37" i="260"/>
  <c r="M37" i="260" a="1"/>
  <c r="M37" i="260"/>
  <c r="H303" i="260" a="1"/>
  <c r="H303" i="260"/>
  <c r="F307" i="260" a="1"/>
  <c r="F307" i="260"/>
  <c r="W38" i="260" a="1"/>
  <c r="W38" i="260"/>
  <c r="U35" i="260" a="1"/>
  <c r="U35" i="260"/>
  <c r="T33" i="260" a="1"/>
  <c r="T33" i="260"/>
  <c r="F34" i="260" a="1"/>
  <c r="F34" i="260"/>
  <c r="R39" i="260" a="1"/>
  <c r="R39" i="260"/>
  <c r="F1207" i="260" a="1"/>
  <c r="F1207" i="260"/>
  <c r="L34" i="260" a="1"/>
  <c r="L34" i="260"/>
  <c r="N33" i="260" a="1"/>
  <c r="N33" i="260"/>
  <c r="K35" i="260" a="1"/>
  <c r="K35" i="260"/>
  <c r="J34" i="260" a="1"/>
  <c r="J34" i="260"/>
  <c r="F1227" i="260" a="1"/>
  <c r="F1227" i="260"/>
  <c r="G35" i="260" a="1"/>
  <c r="G35" i="260"/>
  <c r="G39" i="260" a="1"/>
  <c r="G39" i="260"/>
  <c r="F1209" i="260" a="1"/>
  <c r="F1209" i="260"/>
  <c r="G37" i="260" a="1"/>
  <c r="G37" i="260"/>
  <c r="G309" i="260" a="1"/>
  <c r="G309" i="260"/>
  <c r="G304" i="260" a="1"/>
  <c r="G304" i="260"/>
  <c r="H308" i="260" a="1"/>
  <c r="H308" i="260"/>
  <c r="H309" i="260" a="1"/>
  <c r="H309" i="260"/>
  <c r="F309" i="260" a="1"/>
  <c r="F309" i="260"/>
  <c r="H304" i="260" a="1"/>
  <c r="H304" i="260"/>
  <c r="F303" i="260" a="1"/>
  <c r="F303" i="260"/>
  <c r="G303" i="260" a="1"/>
  <c r="G303" i="260"/>
  <c r="F306" i="260" a="1"/>
  <c r="F306" i="260"/>
  <c r="H302" i="260" a="1"/>
  <c r="H302" i="260"/>
  <c r="F302" i="260" a="1"/>
  <c r="F302" i="260"/>
  <c r="G306" i="260" a="1"/>
  <c r="G306" i="260"/>
  <c r="H306" i="260" a="1"/>
  <c r="H306" i="260"/>
  <c r="F308" i="260" a="1"/>
  <c r="F308" i="260"/>
  <c r="K66" i="324"/>
  <c r="K78" i="324"/>
  <c r="K106" i="324"/>
  <c r="K71" i="324"/>
  <c r="K83" i="324"/>
  <c r="J111" i="324"/>
  <c r="J95" i="324"/>
  <c r="K74" i="324"/>
  <c r="K86" i="324"/>
  <c r="K98" i="324"/>
  <c r="K70" i="324"/>
  <c r="K82" i="324"/>
  <c r="K110" i="324"/>
  <c r="K69" i="324"/>
  <c r="K81" i="324"/>
  <c r="K109" i="324"/>
  <c r="J96" i="324"/>
  <c r="K68" i="324"/>
  <c r="K80" i="324"/>
  <c r="K92" i="324"/>
  <c r="K73" i="324"/>
  <c r="K85" i="324"/>
  <c r="K97" i="324"/>
  <c r="K67" i="324"/>
  <c r="K79" i="324"/>
  <c r="K91" i="324"/>
  <c r="K65" i="324"/>
  <c r="K77" i="324"/>
  <c r="K89" i="324"/>
  <c r="K72" i="324"/>
  <c r="K84" i="324"/>
  <c r="K96" i="324"/>
  <c r="L75" i="324"/>
  <c r="L66" i="324"/>
  <c r="L78" i="324"/>
  <c r="I117" i="324"/>
  <c r="I123" i="324"/>
  <c r="I128" i="324"/>
  <c r="I119" i="324"/>
  <c r="I125" i="324"/>
  <c r="I130" i="324"/>
  <c r="O105" i="189"/>
  <c r="P105" i="189"/>
  <c r="Q105" i="189"/>
  <c r="R105" i="189"/>
  <c r="S105" i="189"/>
  <c r="T105" i="189"/>
  <c r="U105" i="189"/>
  <c r="V105" i="189"/>
  <c r="W105" i="189"/>
  <c r="X105" i="189"/>
  <c r="Y105" i="189"/>
  <c r="Z105" i="189"/>
  <c r="AA105" i="189"/>
  <c r="AB105" i="189"/>
  <c r="AC105" i="189"/>
  <c r="AD105" i="189"/>
  <c r="AE105" i="189"/>
  <c r="AH105" i="189"/>
  <c r="O103" i="189"/>
  <c r="P103" i="189"/>
  <c r="Q103" i="189"/>
  <c r="R103" i="189"/>
  <c r="S103" i="189"/>
  <c r="T103" i="189"/>
  <c r="U103" i="189"/>
  <c r="V103" i="189"/>
  <c r="W103" i="189"/>
  <c r="X103" i="189"/>
  <c r="Y103" i="189"/>
  <c r="Z103" i="189"/>
  <c r="AA103" i="189"/>
  <c r="AB103" i="189"/>
  <c r="AC103" i="189"/>
  <c r="AD103" i="189"/>
  <c r="AE103" i="189"/>
  <c r="AH103" i="189"/>
  <c r="AH101" i="189"/>
  <c r="O101" i="189"/>
  <c r="P101" i="189"/>
  <c r="Q101" i="189"/>
  <c r="R101" i="189"/>
  <c r="S101" i="189"/>
  <c r="T101" i="189"/>
  <c r="U101" i="189"/>
  <c r="V101" i="189"/>
  <c r="W101" i="189"/>
  <c r="X101" i="189"/>
  <c r="Y101" i="189"/>
  <c r="Z101" i="189"/>
  <c r="AA101" i="189"/>
  <c r="AB101" i="189"/>
  <c r="AC101" i="189"/>
  <c r="AD101" i="189"/>
  <c r="AE101" i="189"/>
  <c r="O99" i="189"/>
  <c r="P99" i="189"/>
  <c r="Q99" i="189"/>
  <c r="R99" i="189"/>
  <c r="S99" i="189"/>
  <c r="T99" i="189"/>
  <c r="U99" i="189"/>
  <c r="V99" i="189"/>
  <c r="W99" i="189"/>
  <c r="X99" i="189"/>
  <c r="Y99" i="189"/>
  <c r="Z99" i="189"/>
  <c r="AA99" i="189"/>
  <c r="AB99" i="189"/>
  <c r="AC99" i="189"/>
  <c r="AD99" i="189"/>
  <c r="AE99" i="189"/>
  <c r="AH99" i="189"/>
  <c r="J92" i="324"/>
  <c r="J114" i="324"/>
  <c r="O100" i="189"/>
  <c r="P100" i="189"/>
  <c r="Q100" i="189"/>
  <c r="R100" i="189"/>
  <c r="S100" i="189"/>
  <c r="T100" i="189"/>
  <c r="U100" i="189"/>
  <c r="V100" i="189"/>
  <c r="W100" i="189"/>
  <c r="X100" i="189"/>
  <c r="Y100" i="189"/>
  <c r="Z100" i="189"/>
  <c r="AA100" i="189"/>
  <c r="AB100" i="189"/>
  <c r="AC100" i="189"/>
  <c r="AD100" i="189"/>
  <c r="AE100" i="189"/>
  <c r="AH100" i="189"/>
  <c r="AH102" i="189"/>
  <c r="O102" i="189"/>
  <c r="P102" i="189"/>
  <c r="Q102" i="189"/>
  <c r="R102" i="189"/>
  <c r="S102" i="189"/>
  <c r="T102" i="189"/>
  <c r="U102" i="189"/>
  <c r="V102" i="189"/>
  <c r="W102" i="189"/>
  <c r="X102" i="189"/>
  <c r="Y102" i="189"/>
  <c r="Z102" i="189"/>
  <c r="AA102" i="189"/>
  <c r="AB102" i="189"/>
  <c r="AC102" i="189"/>
  <c r="AD102" i="189"/>
  <c r="AE102" i="189"/>
  <c r="O104" i="189"/>
  <c r="P104" i="189"/>
  <c r="Q104" i="189"/>
  <c r="R104" i="189"/>
  <c r="S104" i="189"/>
  <c r="T104" i="189"/>
  <c r="U104" i="189"/>
  <c r="V104" i="189"/>
  <c r="W104" i="189"/>
  <c r="X104" i="189"/>
  <c r="Y104" i="189"/>
  <c r="Z104" i="189"/>
  <c r="AA104" i="189"/>
  <c r="AB104" i="189"/>
  <c r="AC104" i="189"/>
  <c r="AD104" i="189"/>
  <c r="AE104" i="189"/>
  <c r="AH104" i="189"/>
  <c r="I118" i="324"/>
  <c r="I124" i="324"/>
  <c r="I129" i="324"/>
  <c r="J90" i="324"/>
  <c r="J106" i="324"/>
  <c r="J109" i="324"/>
  <c r="J107" i="324"/>
  <c r="H120" i="324"/>
  <c r="J105" i="324"/>
  <c r="J110" i="324"/>
  <c r="E835" i="260"/>
  <c r="A1148" i="260"/>
  <c r="F1147" i="260" a="1"/>
  <c r="F1147" i="260"/>
  <c r="A1336" i="260"/>
  <c r="F1335" i="260" a="1"/>
  <c r="F1335" i="260"/>
  <c r="A970" i="260"/>
  <c r="A1469" i="260"/>
  <c r="A805" i="260"/>
  <c r="E804" i="260"/>
  <c r="AD66" i="189"/>
  <c r="Z53" i="189"/>
  <c r="F803" i="260" a="1"/>
  <c r="F803" i="260"/>
  <c r="F794" i="260" a="1"/>
  <c r="F794" i="260"/>
  <c r="F844" i="260" a="1"/>
  <c r="F844" i="260"/>
  <c r="F784" i="260" a="1"/>
  <c r="F784" i="260"/>
  <c r="F793" i="260" a="1"/>
  <c r="F793" i="260"/>
  <c r="F779" i="260" a="1"/>
  <c r="F779" i="260"/>
  <c r="F778" i="260" a="1"/>
  <c r="F778" i="260"/>
  <c r="F804" i="260" a="1"/>
  <c r="F804" i="260"/>
  <c r="F774" i="260" a="1"/>
  <c r="F774" i="260"/>
  <c r="F788" i="260" a="1"/>
  <c r="F788" i="260"/>
  <c r="F828" i="260" a="1"/>
  <c r="F828" i="260"/>
  <c r="F809" i="260" a="1"/>
  <c r="F809" i="260"/>
  <c r="F808" i="260" a="1"/>
  <c r="F808" i="260"/>
  <c r="F829" i="260" a="1"/>
  <c r="F829" i="260"/>
  <c r="F838" i="260" a="1"/>
  <c r="F838" i="260"/>
  <c r="F769" i="260" a="1"/>
  <c r="F769" i="260"/>
  <c r="F798" i="260" a="1"/>
  <c r="F798" i="260"/>
  <c r="F818" i="260" a="1"/>
  <c r="F818" i="260"/>
  <c r="F839" i="260" a="1"/>
  <c r="F839" i="260"/>
  <c r="F789" i="260" a="1"/>
  <c r="F789" i="260"/>
  <c r="F790" i="260" a="1"/>
  <c r="F790" i="260"/>
  <c r="F768" i="260" a="1"/>
  <c r="F768" i="260"/>
  <c r="F770" i="260" a="1"/>
  <c r="F770" i="260"/>
  <c r="F819" i="260" a="1"/>
  <c r="F819" i="260"/>
  <c r="F799" i="260" a="1"/>
  <c r="F799" i="260"/>
  <c r="F810" i="260" a="1"/>
  <c r="F810" i="260"/>
  <c r="F830" i="260" a="1"/>
  <c r="F830" i="260"/>
  <c r="F780" i="260" a="1"/>
  <c r="F780" i="260"/>
  <c r="F791" i="260" a="1"/>
  <c r="F791" i="260"/>
  <c r="F771" i="260" a="1"/>
  <c r="F771" i="260"/>
  <c r="F841" i="260" a="1"/>
  <c r="F841" i="260"/>
  <c r="F800" i="260" a="1"/>
  <c r="F800" i="260"/>
  <c r="F820" i="260" a="1"/>
  <c r="F820" i="260"/>
  <c r="F840" i="260" a="1"/>
  <c r="F840" i="260"/>
  <c r="F811" i="260" a="1"/>
  <c r="F811" i="260"/>
  <c r="F831" i="260" a="1"/>
  <c r="F831" i="260"/>
  <c r="F822" i="260" a="1"/>
  <c r="F822" i="260"/>
  <c r="F772" i="260" a="1"/>
  <c r="F772" i="260"/>
  <c r="F781" i="260" a="1"/>
  <c r="F781" i="260"/>
  <c r="F801" i="260" a="1"/>
  <c r="F801" i="260"/>
  <c r="F802" i="260" a="1"/>
  <c r="F802" i="260"/>
  <c r="F842" i="260" a="1"/>
  <c r="F842" i="260"/>
  <c r="F832" i="260" a="1"/>
  <c r="F832" i="260"/>
  <c r="F821" i="260" a="1"/>
  <c r="F821" i="260"/>
  <c r="F773" i="260" a="1"/>
  <c r="F773" i="260"/>
  <c r="F792" i="260" a="1"/>
  <c r="F792" i="260"/>
  <c r="F833" i="260" a="1"/>
  <c r="F833" i="260"/>
  <c r="F812" i="260" a="1"/>
  <c r="F812" i="260"/>
  <c r="F782" i="260" a="1"/>
  <c r="F782" i="260"/>
  <c r="F783" i="260" a="1"/>
  <c r="F783" i="260"/>
  <c r="F823" i="260" a="1"/>
  <c r="F823" i="260"/>
  <c r="F843" i="260" a="1"/>
  <c r="F843" i="260"/>
  <c r="F835" i="260" a="1"/>
  <c r="F835" i="260"/>
  <c r="F824" i="260" a="1"/>
  <c r="F824" i="260"/>
  <c r="F814" i="260" a="1"/>
  <c r="F814" i="260"/>
  <c r="F834" i="260" a="1"/>
  <c r="F834" i="260"/>
  <c r="F813" i="260" a="1"/>
  <c r="F813" i="260"/>
  <c r="E815" i="260"/>
  <c r="F815" i="260" a="1"/>
  <c r="F815" i="260"/>
  <c r="E845" i="260"/>
  <c r="F845" i="260" a="1"/>
  <c r="F845" i="260"/>
  <c r="E785" i="260"/>
  <c r="F785" i="260" a="1"/>
  <c r="F785" i="260"/>
  <c r="E825" i="260"/>
  <c r="F825" i="260" a="1"/>
  <c r="F825" i="260"/>
  <c r="E795" i="260"/>
  <c r="F795" i="260" a="1"/>
  <c r="F795" i="260"/>
  <c r="E775" i="260"/>
  <c r="F775" i="260" a="1"/>
  <c r="F775" i="260"/>
  <c r="K111" i="324"/>
  <c r="K95" i="324"/>
  <c r="L72" i="324"/>
  <c r="L84" i="324"/>
  <c r="L112" i="324"/>
  <c r="L39" i="260" a="1"/>
  <c r="L39" i="260"/>
  <c r="H36" i="260" a="1"/>
  <c r="H36" i="260"/>
  <c r="U36" i="260" a="1"/>
  <c r="U36" i="260"/>
  <c r="O39" i="260" a="1"/>
  <c r="O39" i="260"/>
  <c r="U39" i="260" a="1"/>
  <c r="U39" i="260"/>
  <c r="R38" i="260" a="1"/>
  <c r="R38" i="260"/>
  <c r="F35" i="260" a="1"/>
  <c r="F35" i="260"/>
  <c r="V36" i="260" a="1"/>
  <c r="V36" i="260"/>
  <c r="M34" i="260" a="1"/>
  <c r="M34" i="260"/>
  <c r="P35" i="260" a="1"/>
  <c r="P35" i="260"/>
  <c r="H307" i="260" a="1"/>
  <c r="H307" i="260"/>
  <c r="F305" i="260" a="1"/>
  <c r="F305" i="260"/>
  <c r="G305" i="260" a="1"/>
  <c r="G305" i="260"/>
  <c r="F1229" i="260" a="1"/>
  <c r="F1229" i="260"/>
  <c r="F1288" i="260" a="1"/>
  <c r="F1288" i="260"/>
  <c r="K90" i="324"/>
  <c r="L65" i="324"/>
  <c r="L77" i="324"/>
  <c r="L89" i="324"/>
  <c r="M75" i="324"/>
  <c r="M67" i="324"/>
  <c r="M79" i="324"/>
  <c r="F518" i="260"/>
  <c r="L70" i="324"/>
  <c r="L82" i="324"/>
  <c r="L110" i="324"/>
  <c r="L73" i="324"/>
  <c r="L85" i="324"/>
  <c r="L97" i="324"/>
  <c r="L71" i="324"/>
  <c r="L83" i="324"/>
  <c r="L95" i="324"/>
  <c r="L68" i="324"/>
  <c r="L80" i="324"/>
  <c r="L108" i="324"/>
  <c r="L69" i="324"/>
  <c r="L81" i="324"/>
  <c r="L93" i="324"/>
  <c r="K94" i="324"/>
  <c r="L67" i="324"/>
  <c r="L79" i="324"/>
  <c r="L107" i="324"/>
  <c r="L74" i="324"/>
  <c r="L86" i="324"/>
  <c r="L98" i="324"/>
  <c r="K113" i="324"/>
  <c r="K114" i="324"/>
  <c r="K107" i="324"/>
  <c r="K93" i="324"/>
  <c r="K108" i="324"/>
  <c r="K105" i="324"/>
  <c r="K112" i="324"/>
  <c r="I120" i="324"/>
  <c r="AR104" i="189"/>
  <c r="AS104" i="189"/>
  <c r="AT104" i="189"/>
  <c r="AU104" i="189"/>
  <c r="AI104" i="189"/>
  <c r="AJ104" i="189"/>
  <c r="AK104" i="189"/>
  <c r="AL104" i="189"/>
  <c r="AM104" i="189"/>
  <c r="AI102" i="189"/>
  <c r="AJ102" i="189"/>
  <c r="AK102" i="189"/>
  <c r="AL102" i="189"/>
  <c r="AM102" i="189"/>
  <c r="AR102" i="189"/>
  <c r="AS102" i="189"/>
  <c r="AT102" i="189"/>
  <c r="AU102" i="189"/>
  <c r="AI101" i="189"/>
  <c r="AJ101" i="189"/>
  <c r="AK101" i="189"/>
  <c r="AL101" i="189"/>
  <c r="AM101" i="189"/>
  <c r="AR101" i="189"/>
  <c r="AS101" i="189"/>
  <c r="AT101" i="189"/>
  <c r="AU101" i="189"/>
  <c r="AI99" i="189"/>
  <c r="AJ99" i="189"/>
  <c r="AK99" i="189"/>
  <c r="AL99" i="189"/>
  <c r="AM99" i="189"/>
  <c r="AR99" i="189"/>
  <c r="AS99" i="189"/>
  <c r="AT99" i="189"/>
  <c r="AU99" i="189"/>
  <c r="AI103" i="189"/>
  <c r="AJ103" i="189"/>
  <c r="AK103" i="189"/>
  <c r="AL103" i="189"/>
  <c r="AM103" i="189"/>
  <c r="AR103" i="189"/>
  <c r="AS103" i="189"/>
  <c r="AT103" i="189"/>
  <c r="AU103" i="189"/>
  <c r="AI100" i="189"/>
  <c r="AJ100" i="189"/>
  <c r="AK100" i="189"/>
  <c r="AL100" i="189"/>
  <c r="AM100" i="189"/>
  <c r="AR100" i="189"/>
  <c r="AS100" i="189"/>
  <c r="AT100" i="189"/>
  <c r="AU100" i="189"/>
  <c r="AI105" i="189"/>
  <c r="AJ105" i="189"/>
  <c r="AK105" i="189"/>
  <c r="AL105" i="189"/>
  <c r="AM105" i="189"/>
  <c r="AR105" i="189"/>
  <c r="AS105" i="189"/>
  <c r="AT105" i="189"/>
  <c r="AU105" i="189"/>
  <c r="J118" i="324"/>
  <c r="J124" i="324"/>
  <c r="J129" i="324"/>
  <c r="J117" i="324"/>
  <c r="J123" i="324"/>
  <c r="J128" i="324"/>
  <c r="J119" i="324"/>
  <c r="J125" i="324"/>
  <c r="J130" i="324"/>
  <c r="L106" i="324"/>
  <c r="L90" i="324"/>
  <c r="AE66" i="189"/>
  <c r="AO66" i="189"/>
  <c r="AY66" i="189"/>
  <c r="V66" i="189"/>
  <c r="E805" i="260"/>
  <c r="F805" i="260" a="1"/>
  <c r="F805" i="260"/>
  <c r="A1337" i="260"/>
  <c r="F1336" i="260" a="1"/>
  <c r="F1336" i="260"/>
  <c r="A1470" i="260"/>
  <c r="A1149" i="260"/>
  <c r="F1148" i="260" a="1"/>
  <c r="F1148" i="260"/>
  <c r="AA53" i="189"/>
  <c r="L114" i="324"/>
  <c r="L113" i="324"/>
  <c r="M69" i="324"/>
  <c r="M81" i="324"/>
  <c r="M93" i="324"/>
  <c r="L92" i="324"/>
  <c r="L94" i="324"/>
  <c r="M74" i="324"/>
  <c r="M86" i="324"/>
  <c r="M98" i="324"/>
  <c r="I454" i="260" a="1"/>
  <c r="I454" i="260"/>
  <c r="M71" i="324"/>
  <c r="M83" i="324"/>
  <c r="M95" i="324"/>
  <c r="F1286" i="260" a="1"/>
  <c r="F1286" i="260"/>
  <c r="K453" i="260" a="1"/>
  <c r="K453" i="260"/>
  <c r="M66" i="324"/>
  <c r="M78" i="324"/>
  <c r="M106" i="324"/>
  <c r="M65" i="324"/>
  <c r="M77" i="324"/>
  <c r="M105" i="324"/>
  <c r="L91" i="324"/>
  <c r="F1292" i="260" a="1"/>
  <c r="F1292" i="260"/>
  <c r="N75" i="324"/>
  <c r="N68" i="324"/>
  <c r="N80" i="324"/>
  <c r="F1290" i="260" a="1"/>
  <c r="F1290" i="260"/>
  <c r="F1291" i="260" a="1"/>
  <c r="F1291" i="260"/>
  <c r="M72" i="324"/>
  <c r="M84" i="324"/>
  <c r="M112" i="324"/>
  <c r="M70" i="324"/>
  <c r="M82" i="324"/>
  <c r="M110" i="324"/>
  <c r="G451" i="260" a="1"/>
  <c r="G451" i="260"/>
  <c r="F1287" i="260" a="1"/>
  <c r="F1287" i="260"/>
  <c r="O451" i="260" a="1"/>
  <c r="O451" i="260"/>
  <c r="O453" i="260" a="1"/>
  <c r="O453" i="260"/>
  <c r="G454" i="260" a="1"/>
  <c r="G454" i="260"/>
  <c r="M452" i="260" a="1"/>
  <c r="M452" i="260"/>
  <c r="M457" i="260" a="1"/>
  <c r="M457" i="260"/>
  <c r="L111" i="324"/>
  <c r="M73" i="324"/>
  <c r="M85" i="324"/>
  <c r="M97" i="324"/>
  <c r="O455" i="260" a="1"/>
  <c r="O455" i="260"/>
  <c r="O452" i="260" a="1"/>
  <c r="O452" i="260"/>
  <c r="M455" i="260" a="1"/>
  <c r="M455" i="260"/>
  <c r="I457" i="260" a="1"/>
  <c r="I457" i="260"/>
  <c r="L105" i="324"/>
  <c r="M68" i="324"/>
  <c r="M80" i="324"/>
  <c r="M108" i="324"/>
  <c r="I452" i="260" a="1"/>
  <c r="I452" i="260"/>
  <c r="K457" i="260" a="1"/>
  <c r="K457" i="260"/>
  <c r="O454" i="260" a="1"/>
  <c r="O454" i="260"/>
  <c r="M454" i="260" a="1"/>
  <c r="M454" i="260"/>
  <c r="G453" i="260" a="1"/>
  <c r="G453" i="260"/>
  <c r="O450" i="260" a="1"/>
  <c r="O450" i="260"/>
  <c r="O457" i="260" a="1"/>
  <c r="O457" i="260"/>
  <c r="G455" i="260" a="1"/>
  <c r="G455" i="260"/>
  <c r="M453" i="260" a="1"/>
  <c r="M453" i="260"/>
  <c r="I450" i="260" a="1"/>
  <c r="I450" i="260"/>
  <c r="G450" i="260" a="1"/>
  <c r="G450" i="260"/>
  <c r="L109" i="324"/>
  <c r="L96" i="324"/>
  <c r="M450" i="260" a="1"/>
  <c r="M450" i="260"/>
  <c r="I456" i="260" a="1"/>
  <c r="I456" i="260"/>
  <c r="O456" i="260" a="1"/>
  <c r="O456" i="260"/>
  <c r="M451" i="260" a="1"/>
  <c r="M451" i="260"/>
  <c r="G456" i="260" a="1"/>
  <c r="G456" i="260"/>
  <c r="K454" i="260" a="1"/>
  <c r="K454" i="260"/>
  <c r="K455" i="260" a="1"/>
  <c r="K455" i="260"/>
  <c r="I453" i="260" a="1"/>
  <c r="I453" i="260"/>
  <c r="I451" i="260" a="1"/>
  <c r="I451" i="260"/>
  <c r="I455" i="260" a="1"/>
  <c r="I455" i="260"/>
  <c r="M456" i="260" a="1"/>
  <c r="M456" i="260"/>
  <c r="K451" i="260" a="1"/>
  <c r="K451" i="260"/>
  <c r="K452" i="260" a="1"/>
  <c r="K452" i="260"/>
  <c r="K450" i="260" a="1"/>
  <c r="K450" i="260"/>
  <c r="G452" i="260" a="1"/>
  <c r="G452" i="260"/>
  <c r="G457" i="260" a="1"/>
  <c r="G457" i="260"/>
  <c r="K456" i="260" a="1"/>
  <c r="K456" i="260"/>
  <c r="F1293" i="260" a="1"/>
  <c r="F1293" i="260"/>
  <c r="F1289" i="260" a="1"/>
  <c r="F1289" i="260"/>
  <c r="K119" i="324"/>
  <c r="K125" i="324"/>
  <c r="K130" i="324"/>
  <c r="K117" i="324"/>
  <c r="K123" i="324"/>
  <c r="K128" i="324"/>
  <c r="K118" i="324"/>
  <c r="K124" i="324"/>
  <c r="K129" i="324"/>
  <c r="J120" i="324"/>
  <c r="M91" i="324"/>
  <c r="M107" i="324"/>
  <c r="F1337" i="260" a="1"/>
  <c r="F1337" i="260"/>
  <c r="F1385" i="260" a="1"/>
  <c r="F1149" i="260" a="1"/>
  <c r="F1149" i="260"/>
  <c r="F1199" i="260" a="1"/>
  <c r="F1199" i="260"/>
  <c r="AB53" i="189"/>
  <c r="M90" i="324"/>
  <c r="M92" i="324"/>
  <c r="N450" i="260"/>
  <c r="H454" i="260"/>
  <c r="M113" i="324"/>
  <c r="M109" i="324"/>
  <c r="M114" i="324"/>
  <c r="H452" i="260"/>
  <c r="M89" i="324"/>
  <c r="N452" i="260"/>
  <c r="L453" i="260"/>
  <c r="L450" i="260"/>
  <c r="M96" i="324"/>
  <c r="L455" i="260"/>
  <c r="J454" i="260"/>
  <c r="N457" i="260"/>
  <c r="J457" i="260"/>
  <c r="N65" i="324"/>
  <c r="N77" i="324"/>
  <c r="N105" i="324"/>
  <c r="L119" i="324"/>
  <c r="L125" i="324"/>
  <c r="L130" i="324"/>
  <c r="M94" i="324"/>
  <c r="F1295" i="260"/>
  <c r="F1816" i="260"/>
  <c r="L456" i="260"/>
  <c r="H457" i="260"/>
  <c r="N71" i="324"/>
  <c r="N83" i="324"/>
  <c r="N95" i="324"/>
  <c r="N73" i="324"/>
  <c r="N85" i="324"/>
  <c r="N97" i="324"/>
  <c r="O75" i="324"/>
  <c r="O69" i="324"/>
  <c r="O81" i="324"/>
  <c r="J456" i="260"/>
  <c r="N69" i="324"/>
  <c r="N81" i="324"/>
  <c r="N109" i="324"/>
  <c r="N456" i="260"/>
  <c r="N453" i="260"/>
  <c r="N74" i="324"/>
  <c r="N86" i="324"/>
  <c r="N98" i="324"/>
  <c r="N72" i="324"/>
  <c r="N84" i="324"/>
  <c r="N96" i="324"/>
  <c r="H453" i="260"/>
  <c r="M111" i="324"/>
  <c r="N67" i="324"/>
  <c r="N79" i="324"/>
  <c r="N91" i="324"/>
  <c r="N70" i="324"/>
  <c r="N82" i="324"/>
  <c r="N110" i="324"/>
  <c r="L118" i="324"/>
  <c r="L124" i="324"/>
  <c r="L129" i="324"/>
  <c r="N66" i="324"/>
  <c r="N78" i="324"/>
  <c r="N106" i="324"/>
  <c r="L452" i="260"/>
  <c r="J453" i="260"/>
  <c r="H450" i="260"/>
  <c r="N451" i="260"/>
  <c r="N455" i="260"/>
  <c r="J450" i="260"/>
  <c r="L457" i="260"/>
  <c r="J452" i="260"/>
  <c r="L451" i="260"/>
  <c r="J451" i="260"/>
  <c r="L117" i="324"/>
  <c r="L123" i="324"/>
  <c r="L128" i="324"/>
  <c r="H455" i="260"/>
  <c r="J455" i="260"/>
  <c r="H451" i="260"/>
  <c r="L454" i="260"/>
  <c r="N454" i="260"/>
  <c r="K120" i="324"/>
  <c r="H456" i="260"/>
  <c r="F1197" i="260" a="1"/>
  <c r="F1197" i="260"/>
  <c r="F1385" i="260"/>
  <c r="N108" i="324"/>
  <c r="N92" i="324"/>
  <c r="F1192" i="260" a="1"/>
  <c r="F1192" i="260"/>
  <c r="F1386" i="260" a="1"/>
  <c r="F1386" i="260"/>
  <c r="F1380" i="260" a="1"/>
  <c r="F1380" i="260"/>
  <c r="F1384" i="260" a="1"/>
  <c r="F1384" i="260"/>
  <c r="F1387" i="260" a="1"/>
  <c r="F1387" i="260"/>
  <c r="F1382" i="260" a="1"/>
  <c r="F1382" i="260"/>
  <c r="F1381" i="260" a="1"/>
  <c r="F1381" i="260"/>
  <c r="F1383" i="260" a="1"/>
  <c r="F1383" i="260"/>
  <c r="F1193" i="260" a="1"/>
  <c r="F1193" i="260"/>
  <c r="F1196" i="260" a="1"/>
  <c r="F1196" i="260"/>
  <c r="F1198" i="260" a="1"/>
  <c r="F1198" i="260"/>
  <c r="F1195" i="260" a="1"/>
  <c r="F1195" i="260"/>
  <c r="F1194" i="260" a="1"/>
  <c r="F1194" i="260"/>
  <c r="AC53" i="189"/>
  <c r="N113" i="324"/>
  <c r="O70" i="324"/>
  <c r="O82" i="324"/>
  <c r="O110" i="324"/>
  <c r="O71" i="324"/>
  <c r="O83" i="324"/>
  <c r="O95" i="324"/>
  <c r="O74" i="324"/>
  <c r="O86" i="324"/>
  <c r="O98" i="324"/>
  <c r="M119" i="324"/>
  <c r="M125" i="324"/>
  <c r="M130" i="324"/>
  <c r="N114" i="324"/>
  <c r="N111" i="324"/>
  <c r="M117" i="324"/>
  <c r="M123" i="324"/>
  <c r="M128" i="324"/>
  <c r="N89" i="324"/>
  <c r="O72" i="324"/>
  <c r="O84" i="324"/>
  <c r="O96" i="324"/>
  <c r="N93" i="324"/>
  <c r="M118" i="324"/>
  <c r="M124" i="324"/>
  <c r="M129" i="324"/>
  <c r="N90" i="324"/>
  <c r="N94" i="324"/>
  <c r="N112" i="324"/>
  <c r="O67" i="324"/>
  <c r="O79" i="324"/>
  <c r="O107" i="324"/>
  <c r="P75" i="324"/>
  <c r="P73" i="324"/>
  <c r="P85" i="324"/>
  <c r="N107" i="324"/>
  <c r="O73" i="324"/>
  <c r="O85" i="324"/>
  <c r="O97" i="324"/>
  <c r="O66" i="324"/>
  <c r="O78" i="324"/>
  <c r="O90" i="324"/>
  <c r="O65" i="324"/>
  <c r="O77" i="324"/>
  <c r="O105" i="324"/>
  <c r="O68" i="324"/>
  <c r="O80" i="324"/>
  <c r="O108" i="324"/>
  <c r="L120" i="324"/>
  <c r="O93" i="324"/>
  <c r="O109" i="324"/>
  <c r="F1389" i="260"/>
  <c r="F1817" i="260"/>
  <c r="F1201" i="260"/>
  <c r="F1815" i="260"/>
  <c r="AD53" i="189"/>
  <c r="P71" i="324"/>
  <c r="P83" i="324"/>
  <c r="P111" i="324"/>
  <c r="O94" i="324"/>
  <c r="O111" i="324"/>
  <c r="O114" i="324"/>
  <c r="O112" i="324"/>
  <c r="N118" i="324"/>
  <c r="N124" i="324"/>
  <c r="N129" i="324"/>
  <c r="N119" i="324"/>
  <c r="N125" i="324"/>
  <c r="N130" i="324"/>
  <c r="M120" i="324"/>
  <c r="O106" i="324"/>
  <c r="O89" i="324"/>
  <c r="O113" i="324"/>
  <c r="N117" i="324"/>
  <c r="N123" i="324"/>
  <c r="N128" i="324"/>
  <c r="Q75" i="324"/>
  <c r="Q69" i="324"/>
  <c r="Q81" i="324"/>
  <c r="O92" i="324"/>
  <c r="P74" i="324"/>
  <c r="P86" i="324"/>
  <c r="P114" i="324"/>
  <c r="O91" i="324"/>
  <c r="P65" i="324"/>
  <c r="P77" i="324"/>
  <c r="P105" i="324"/>
  <c r="P66" i="324"/>
  <c r="P78" i="324"/>
  <c r="P106" i="324"/>
  <c r="P72" i="324"/>
  <c r="P84" i="324"/>
  <c r="P112" i="324"/>
  <c r="P67" i="324"/>
  <c r="P79" i="324"/>
  <c r="P107" i="324"/>
  <c r="P69" i="324"/>
  <c r="P81" i="324"/>
  <c r="P93" i="324"/>
  <c r="P68" i="324"/>
  <c r="P80" i="324"/>
  <c r="P108" i="324"/>
  <c r="P70" i="324"/>
  <c r="P82" i="324"/>
  <c r="P94" i="324"/>
  <c r="P113" i="324"/>
  <c r="P97" i="324"/>
  <c r="AE53" i="189"/>
  <c r="P95" i="324"/>
  <c r="R75" i="324"/>
  <c r="R73" i="324"/>
  <c r="R85" i="324"/>
  <c r="N120" i="324"/>
  <c r="P110" i="324"/>
  <c r="P90" i="324"/>
  <c r="P92" i="324"/>
  <c r="P96" i="324"/>
  <c r="O118" i="324"/>
  <c r="O124" i="324"/>
  <c r="O129" i="324"/>
  <c r="P89" i="324"/>
  <c r="Q65" i="324"/>
  <c r="Q77" i="324"/>
  <c r="Q105" i="324"/>
  <c r="Q66" i="324"/>
  <c r="Q78" i="324"/>
  <c r="Q106" i="324"/>
  <c r="O117" i="324"/>
  <c r="O123" i="324"/>
  <c r="O128" i="324"/>
  <c r="Q72" i="324"/>
  <c r="Q84" i="324"/>
  <c r="Q112" i="324"/>
  <c r="Q73" i="324"/>
  <c r="Q85" i="324"/>
  <c r="Q113" i="324"/>
  <c r="O119" i="324"/>
  <c r="O125" i="324"/>
  <c r="O130" i="324"/>
  <c r="Q68" i="324"/>
  <c r="Q80" i="324"/>
  <c r="Q108" i="324"/>
  <c r="P109" i="324"/>
  <c r="Q67" i="324"/>
  <c r="Q79" i="324"/>
  <c r="Q91" i="324"/>
  <c r="P98" i="324"/>
  <c r="Q70" i="324"/>
  <c r="Q82" i="324"/>
  <c r="Q94" i="324"/>
  <c r="Q71" i="324"/>
  <c r="Q83" i="324"/>
  <c r="Q95" i="324"/>
  <c r="P91" i="324"/>
  <c r="Q74" i="324"/>
  <c r="Q86" i="324"/>
  <c r="Q98" i="324"/>
  <c r="Q93" i="324"/>
  <c r="Q109" i="324"/>
  <c r="R72" i="324"/>
  <c r="R84" i="324"/>
  <c r="R112" i="324"/>
  <c r="R71" i="324"/>
  <c r="R83" i="324"/>
  <c r="R65" i="324"/>
  <c r="R77" i="324"/>
  <c r="R89" i="324"/>
  <c r="R68" i="324"/>
  <c r="R80" i="324"/>
  <c r="R92" i="324"/>
  <c r="R69" i="324"/>
  <c r="R81" i="324"/>
  <c r="R109" i="324"/>
  <c r="R67" i="324"/>
  <c r="R79" i="324"/>
  <c r="R107" i="324"/>
  <c r="Q89" i="324"/>
  <c r="R70" i="324"/>
  <c r="R82" i="324"/>
  <c r="R110" i="324"/>
  <c r="S75" i="324"/>
  <c r="S71" i="324"/>
  <c r="S83" i="324"/>
  <c r="R66" i="324"/>
  <c r="R78" i="324"/>
  <c r="R106" i="324"/>
  <c r="R74" i="324"/>
  <c r="R86" i="324"/>
  <c r="R114" i="324"/>
  <c r="Q90" i="324"/>
  <c r="P119" i="324"/>
  <c r="P125" i="324"/>
  <c r="P130" i="324"/>
  <c r="Q97" i="324"/>
  <c r="Q92" i="324"/>
  <c r="P118" i="324"/>
  <c r="P124" i="324"/>
  <c r="P129" i="324"/>
  <c r="Q107" i="324"/>
  <c r="Q110" i="324"/>
  <c r="Q96" i="324"/>
  <c r="Q111" i="324"/>
  <c r="O120" i="324"/>
  <c r="P117" i="324"/>
  <c r="P123" i="324"/>
  <c r="P128" i="324"/>
  <c r="R113" i="324"/>
  <c r="R97" i="324"/>
  <c r="R111" i="324"/>
  <c r="R95" i="324"/>
  <c r="R93" i="324"/>
  <c r="R96" i="324"/>
  <c r="S66" i="324"/>
  <c r="S78" i="324"/>
  <c r="S106" i="324"/>
  <c r="S68" i="324"/>
  <c r="S80" i="324"/>
  <c r="S108" i="324"/>
  <c r="R105" i="324"/>
  <c r="S70" i="324"/>
  <c r="S82" i="324"/>
  <c r="S94" i="324"/>
  <c r="R108" i="324"/>
  <c r="T75" i="324"/>
  <c r="T69" i="324"/>
  <c r="T81" i="324"/>
  <c r="S72" i="324"/>
  <c r="S84" i="324"/>
  <c r="S112" i="324"/>
  <c r="R91" i="324"/>
  <c r="S65" i="324"/>
  <c r="S77" i="324"/>
  <c r="S89" i="324"/>
  <c r="Q114" i="324"/>
  <c r="Q119" i="324"/>
  <c r="Q125" i="324"/>
  <c r="Q130" i="324"/>
  <c r="R98" i="324"/>
  <c r="R94" i="324"/>
  <c r="S74" i="324"/>
  <c r="S86" i="324"/>
  <c r="S114" i="324"/>
  <c r="S67" i="324"/>
  <c r="S79" i="324"/>
  <c r="S91" i="324"/>
  <c r="S73" i="324"/>
  <c r="S85" i="324"/>
  <c r="S97" i="324"/>
  <c r="R90" i="324"/>
  <c r="S69" i="324"/>
  <c r="S81" i="324"/>
  <c r="S93" i="324"/>
  <c r="P120" i="324"/>
  <c r="S111" i="324"/>
  <c r="S95" i="324"/>
  <c r="S92" i="324"/>
  <c r="R118" i="324"/>
  <c r="R124" i="324"/>
  <c r="R129" i="324"/>
  <c r="R119" i="324"/>
  <c r="R125" i="324"/>
  <c r="R130" i="324"/>
  <c r="S110" i="324"/>
  <c r="R117" i="324"/>
  <c r="R123" i="324"/>
  <c r="R128" i="324"/>
  <c r="T72" i="324"/>
  <c r="T84" i="324"/>
  <c r="T96" i="324"/>
  <c r="T68" i="324"/>
  <c r="T80" i="324"/>
  <c r="T92" i="324"/>
  <c r="T70" i="324"/>
  <c r="T82" i="324"/>
  <c r="S90" i="324"/>
  <c r="T67" i="324"/>
  <c r="T79" i="324"/>
  <c r="T91" i="324"/>
  <c r="S113" i="324"/>
  <c r="T74" i="324"/>
  <c r="T86" i="324"/>
  <c r="T98" i="324"/>
  <c r="S96" i="324"/>
  <c r="S105" i="324"/>
  <c r="T65" i="324"/>
  <c r="T77" i="324"/>
  <c r="T89" i="324"/>
  <c r="U75" i="324"/>
  <c r="U73" i="324"/>
  <c r="U85" i="324"/>
  <c r="T73" i="324"/>
  <c r="T85" i="324"/>
  <c r="T113" i="324"/>
  <c r="S98" i="324"/>
  <c r="Q118" i="324"/>
  <c r="Q124" i="324"/>
  <c r="Q129" i="324"/>
  <c r="Q117" i="324"/>
  <c r="Q123" i="324"/>
  <c r="Q128" i="324"/>
  <c r="T71" i="324"/>
  <c r="T83" i="324"/>
  <c r="T111" i="324"/>
  <c r="T66" i="324"/>
  <c r="T78" i="324"/>
  <c r="T106" i="324"/>
  <c r="S109" i="324"/>
  <c r="S107" i="324"/>
  <c r="T94" i="324"/>
  <c r="T110" i="324"/>
  <c r="T109" i="324"/>
  <c r="T93" i="324"/>
  <c r="T114" i="324"/>
  <c r="T108" i="324"/>
  <c r="R120" i="324"/>
  <c r="T112" i="324"/>
  <c r="U71" i="324"/>
  <c r="U83" i="324"/>
  <c r="U111" i="324"/>
  <c r="T90" i="324"/>
  <c r="T107" i="324"/>
  <c r="T105" i="324"/>
  <c r="T117" i="324"/>
  <c r="V75" i="324"/>
  <c r="V73" i="324"/>
  <c r="V85" i="324"/>
  <c r="T95" i="324"/>
  <c r="U69" i="324"/>
  <c r="U81" i="324"/>
  <c r="U72" i="324"/>
  <c r="U84" i="324"/>
  <c r="U112" i="324"/>
  <c r="U68" i="324"/>
  <c r="U80" i="324"/>
  <c r="U92" i="324"/>
  <c r="U70" i="324"/>
  <c r="U82" i="324"/>
  <c r="U110" i="324"/>
  <c r="U66" i="324"/>
  <c r="U78" i="324"/>
  <c r="U106" i="324"/>
  <c r="U67" i="324"/>
  <c r="U79" i="324"/>
  <c r="U91" i="324"/>
  <c r="U74" i="324"/>
  <c r="U86" i="324"/>
  <c r="U114" i="324"/>
  <c r="U65" i="324"/>
  <c r="U77" i="324"/>
  <c r="U89" i="324"/>
  <c r="T97" i="324"/>
  <c r="Q120" i="324"/>
  <c r="S119" i="324"/>
  <c r="S125" i="324"/>
  <c r="S130" i="324"/>
  <c r="S117" i="324"/>
  <c r="S123" i="324"/>
  <c r="S128" i="324"/>
  <c r="S118" i="324"/>
  <c r="S124" i="324"/>
  <c r="S129" i="324"/>
  <c r="T118" i="324"/>
  <c r="T124" i="324"/>
  <c r="T129" i="324"/>
  <c r="U97" i="324"/>
  <c r="U113" i="324"/>
  <c r="V72" i="324"/>
  <c r="V84" i="324"/>
  <c r="V66" i="324"/>
  <c r="V78" i="324"/>
  <c r="U109" i="324"/>
  <c r="U93" i="324"/>
  <c r="U95" i="324"/>
  <c r="U108" i="324"/>
  <c r="T119" i="324"/>
  <c r="T125" i="324"/>
  <c r="T130" i="324"/>
  <c r="U105" i="324"/>
  <c r="U96" i="324"/>
  <c r="V70" i="324"/>
  <c r="V82" i="324"/>
  <c r="V65" i="324"/>
  <c r="V77" i="324"/>
  <c r="V105" i="324"/>
  <c r="W75" i="324"/>
  <c r="W69" i="324"/>
  <c r="W81" i="324"/>
  <c r="V69" i="324"/>
  <c r="V81" i="324"/>
  <c r="V109" i="324"/>
  <c r="V71" i="324"/>
  <c r="V83" i="324"/>
  <c r="V95" i="324"/>
  <c r="V67" i="324"/>
  <c r="V79" i="324"/>
  <c r="V91" i="324"/>
  <c r="V68" i="324"/>
  <c r="V80" i="324"/>
  <c r="V92" i="324"/>
  <c r="V74" i="324"/>
  <c r="V86" i="324"/>
  <c r="V114" i="324"/>
  <c r="U90" i="324"/>
  <c r="U98" i="324"/>
  <c r="U94" i="324"/>
  <c r="U107" i="324"/>
  <c r="S120" i="324"/>
  <c r="V110" i="324"/>
  <c r="V94" i="324"/>
  <c r="W73" i="324"/>
  <c r="W85" i="324"/>
  <c r="W70" i="324"/>
  <c r="W82" i="324"/>
  <c r="W72" i="324"/>
  <c r="W84" i="324"/>
  <c r="V107" i="324"/>
  <c r="V97" i="324"/>
  <c r="V113" i="324"/>
  <c r="V90" i="324"/>
  <c r="V106" i="324"/>
  <c r="V96" i="324"/>
  <c r="V112" i="324"/>
  <c r="T123" i="324"/>
  <c r="T128" i="324"/>
  <c r="T120" i="324"/>
  <c r="U117" i="324"/>
  <c r="U123" i="324"/>
  <c r="U128" i="324"/>
  <c r="V111" i="324"/>
  <c r="U119" i="324"/>
  <c r="U125" i="324"/>
  <c r="U130" i="324"/>
  <c r="V93" i="324"/>
  <c r="V89" i="324"/>
  <c r="U118" i="324"/>
  <c r="U124" i="324"/>
  <c r="U129" i="324"/>
  <c r="V98" i="324"/>
  <c r="W65" i="324"/>
  <c r="W77" i="324"/>
  <c r="W68" i="324"/>
  <c r="W80" i="324"/>
  <c r="W92" i="324"/>
  <c r="W74" i="324"/>
  <c r="W86" i="324"/>
  <c r="W98" i="324"/>
  <c r="W67" i="324"/>
  <c r="W79" i="324"/>
  <c r="W107" i="324"/>
  <c r="W71" i="324"/>
  <c r="W83" i="324"/>
  <c r="X75" i="324"/>
  <c r="X72" i="324"/>
  <c r="X84" i="324"/>
  <c r="W66" i="324"/>
  <c r="W78" i="324"/>
  <c r="W106" i="324"/>
  <c r="V108" i="324"/>
  <c r="V118" i="324"/>
  <c r="V124" i="324"/>
  <c r="V129" i="324"/>
  <c r="W110" i="324"/>
  <c r="W94" i="324"/>
  <c r="W96" i="324"/>
  <c r="W112" i="324"/>
  <c r="W97" i="324"/>
  <c r="W113" i="324"/>
  <c r="W111" i="324"/>
  <c r="W95" i="324"/>
  <c r="W90" i="324"/>
  <c r="W105" i="324"/>
  <c r="W89" i="324"/>
  <c r="W93" i="324"/>
  <c r="W109" i="324"/>
  <c r="V117" i="324"/>
  <c r="W91" i="324"/>
  <c r="V119" i="324"/>
  <c r="V125" i="324"/>
  <c r="V130" i="324"/>
  <c r="X73" i="324"/>
  <c r="X85" i="324"/>
  <c r="X66" i="324"/>
  <c r="X78" i="324"/>
  <c r="W114" i="324"/>
  <c r="X68" i="324"/>
  <c r="X80" i="324"/>
  <c r="X92" i="324"/>
  <c r="X70" i="324"/>
  <c r="X82" i="324"/>
  <c r="X110" i="324"/>
  <c r="W108" i="324"/>
  <c r="W118" i="324"/>
  <c r="W124" i="324"/>
  <c r="W129" i="324"/>
  <c r="X67" i="324"/>
  <c r="X79" i="324"/>
  <c r="X74" i="324"/>
  <c r="X86" i="324"/>
  <c r="X65" i="324"/>
  <c r="X77" i="324"/>
  <c r="X69" i="324"/>
  <c r="X81" i="324"/>
  <c r="X71" i="324"/>
  <c r="X83" i="324"/>
  <c r="X95" i="324"/>
  <c r="Y75" i="324"/>
  <c r="Y70" i="324"/>
  <c r="Y82" i="324"/>
  <c r="U120" i="324"/>
  <c r="X89" i="324"/>
  <c r="X105" i="324"/>
  <c r="X96" i="324"/>
  <c r="X112" i="324"/>
  <c r="Z75" i="324"/>
  <c r="X113" i="324"/>
  <c r="X97" i="324"/>
  <c r="X109" i="324"/>
  <c r="X93" i="324"/>
  <c r="V123" i="324"/>
  <c r="V128" i="324"/>
  <c r="X90" i="324"/>
  <c r="X106" i="324"/>
  <c r="X107" i="324"/>
  <c r="X91" i="324"/>
  <c r="X98" i="324"/>
  <c r="X114" i="324"/>
  <c r="V120" i="324"/>
  <c r="X111" i="324"/>
  <c r="Y67" i="324"/>
  <c r="Y79" i="324"/>
  <c r="Y65" i="324"/>
  <c r="Y77" i="324"/>
  <c r="Y105" i="324"/>
  <c r="Y73" i="324"/>
  <c r="Y85" i="324"/>
  <c r="Y113" i="324"/>
  <c r="Y72" i="324"/>
  <c r="Y84" i="324"/>
  <c r="Y66" i="324"/>
  <c r="Y78" i="324"/>
  <c r="Y69" i="324"/>
  <c r="Y81" i="324"/>
  <c r="Y109" i="324"/>
  <c r="X94" i="324"/>
  <c r="Y71" i="324"/>
  <c r="Y83" i="324"/>
  <c r="Y95" i="324"/>
  <c r="Y74" i="324"/>
  <c r="Y86" i="324"/>
  <c r="X108" i="324"/>
  <c r="X118" i="324"/>
  <c r="X124" i="324"/>
  <c r="X129" i="324"/>
  <c r="Y68" i="324"/>
  <c r="Y80" i="324"/>
  <c r="W119" i="324"/>
  <c r="W125" i="324"/>
  <c r="W130" i="324"/>
  <c r="W117" i="324"/>
  <c r="Y93" i="324"/>
  <c r="W123" i="324"/>
  <c r="W128" i="324"/>
  <c r="Y111" i="324"/>
  <c r="Y114" i="324"/>
  <c r="Y98" i="324"/>
  <c r="Y108" i="324"/>
  <c r="Y92" i="324"/>
  <c r="Y94" i="324"/>
  <c r="Y110" i="324"/>
  <c r="X117" i="324"/>
  <c r="X123" i="324"/>
  <c r="X128" i="324"/>
  <c r="Y91" i="324"/>
  <c r="Y107" i="324"/>
  <c r="Y89" i="324"/>
  <c r="Z66" i="324"/>
  <c r="Z78" i="324"/>
  <c r="Z71" i="324"/>
  <c r="Z83" i="324"/>
  <c r="Z72" i="324"/>
  <c r="Z84" i="324"/>
  <c r="Z69" i="324"/>
  <c r="Z81" i="324"/>
  <c r="Z65" i="324"/>
  <c r="Z77" i="324"/>
  <c r="Z73" i="324"/>
  <c r="Z85" i="324"/>
  <c r="Z74" i="324"/>
  <c r="Z86" i="324"/>
  <c r="AA75" i="324"/>
  <c r="Z67" i="324"/>
  <c r="Z79" i="324"/>
  <c r="Z68" i="324"/>
  <c r="Z80" i="324"/>
  <c r="Z70" i="324"/>
  <c r="Z82" i="324"/>
  <c r="Y97" i="324"/>
  <c r="Y96" i="324"/>
  <c r="Y112" i="324"/>
  <c r="Y90" i="324"/>
  <c r="Y106" i="324"/>
  <c r="X119" i="324"/>
  <c r="X125" i="324"/>
  <c r="X130" i="324"/>
  <c r="W120" i="324"/>
  <c r="Z93" i="324"/>
  <c r="Z109" i="324"/>
  <c r="Z110" i="324"/>
  <c r="Z94" i="324"/>
  <c r="Z112" i="324"/>
  <c r="Z96" i="324"/>
  <c r="Z108" i="324"/>
  <c r="Z92" i="324"/>
  <c r="Z111" i="324"/>
  <c r="Z95" i="324"/>
  <c r="Z89" i="324"/>
  <c r="Z105" i="324"/>
  <c r="Z107" i="324"/>
  <c r="Z91" i="324"/>
  <c r="Z90" i="324"/>
  <c r="Z106" i="324"/>
  <c r="AA67" i="324"/>
  <c r="AA79" i="324"/>
  <c r="AA74" i="324"/>
  <c r="AA86" i="324"/>
  <c r="AA66" i="324"/>
  <c r="AA78" i="324"/>
  <c r="AB75" i="324"/>
  <c r="AA69" i="324"/>
  <c r="AA81" i="324"/>
  <c r="AA72" i="324"/>
  <c r="AA84" i="324"/>
  <c r="AA73" i="324"/>
  <c r="AA85" i="324"/>
  <c r="AA65" i="324"/>
  <c r="AA77" i="324"/>
  <c r="AA71" i="324"/>
  <c r="AA83" i="324"/>
  <c r="AA70" i="324"/>
  <c r="AA82" i="324"/>
  <c r="AA68" i="324"/>
  <c r="AA80" i="324"/>
  <c r="Z114" i="324"/>
  <c r="Z98" i="324"/>
  <c r="X120" i="324"/>
  <c r="Z113" i="324"/>
  <c r="Z97" i="324"/>
  <c r="Y117" i="324"/>
  <c r="Y123" i="324"/>
  <c r="Y128" i="324"/>
  <c r="Y118" i="324"/>
  <c r="Y124" i="324"/>
  <c r="Y129" i="324"/>
  <c r="Y119" i="324"/>
  <c r="Y125" i="324"/>
  <c r="Y130" i="324"/>
  <c r="AC75" i="324"/>
  <c r="AB67" i="324"/>
  <c r="AB79" i="324"/>
  <c r="AB66" i="324"/>
  <c r="AB78" i="324"/>
  <c r="AB73" i="324"/>
  <c r="AB85" i="324"/>
  <c r="AB69" i="324"/>
  <c r="AB81" i="324"/>
  <c r="AB65" i="324"/>
  <c r="AB77" i="324"/>
  <c r="AB74" i="324"/>
  <c r="AB86" i="324"/>
  <c r="AB71" i="324"/>
  <c r="AB83" i="324"/>
  <c r="AB70" i="324"/>
  <c r="AB82" i="324"/>
  <c r="AB68" i="324"/>
  <c r="AB80" i="324"/>
  <c r="AB72" i="324"/>
  <c r="AB84" i="324"/>
  <c r="AA93" i="324"/>
  <c r="AA109" i="324"/>
  <c r="AA94" i="324"/>
  <c r="AA110" i="324"/>
  <c r="AA114" i="324"/>
  <c r="AA98" i="324"/>
  <c r="AA92" i="324"/>
  <c r="AA108" i="324"/>
  <c r="AA106" i="324"/>
  <c r="AA90" i="324"/>
  <c r="AA111" i="324"/>
  <c r="AA95" i="324"/>
  <c r="AA107" i="324"/>
  <c r="AA91" i="324"/>
  <c r="AA105" i="324"/>
  <c r="AA89" i="324"/>
  <c r="Z117" i="324"/>
  <c r="Z123" i="324"/>
  <c r="Z128" i="324"/>
  <c r="Z118" i="324"/>
  <c r="Z124" i="324"/>
  <c r="Z129" i="324"/>
  <c r="Z119" i="324"/>
  <c r="Z125" i="324"/>
  <c r="Z130" i="324"/>
  <c r="Y120" i="324"/>
  <c r="AA97" i="324"/>
  <c r="AA113" i="324"/>
  <c r="AA112" i="324"/>
  <c r="AA96" i="324"/>
  <c r="AB105" i="324"/>
  <c r="AB89" i="324"/>
  <c r="AC67" i="324"/>
  <c r="AC79" i="324"/>
  <c r="AC71" i="324"/>
  <c r="AC83" i="324"/>
  <c r="AC73" i="324"/>
  <c r="AC85" i="324"/>
  <c r="AC70" i="324"/>
  <c r="AC82" i="324"/>
  <c r="AC72" i="324"/>
  <c r="AC84" i="324"/>
  <c r="AD75" i="324"/>
  <c r="AC69" i="324"/>
  <c r="AC81" i="324"/>
  <c r="AC66" i="324"/>
  <c r="AC78" i="324"/>
  <c r="AD78" i="324"/>
  <c r="AC68" i="324"/>
  <c r="AC80" i="324"/>
  <c r="AC65" i="324"/>
  <c r="AC77" i="324"/>
  <c r="AD77" i="324"/>
  <c r="AD105" i="324"/>
  <c r="AC74" i="324"/>
  <c r="AC86" i="324"/>
  <c r="AA119" i="324"/>
  <c r="AA125" i="324"/>
  <c r="AA130" i="324"/>
  <c r="AA118" i="324"/>
  <c r="AA124" i="324"/>
  <c r="AA129" i="324"/>
  <c r="AA117" i="324"/>
  <c r="AB97" i="324"/>
  <c r="AB113" i="324"/>
  <c r="AB109" i="324"/>
  <c r="AB93" i="324"/>
  <c r="AB96" i="324"/>
  <c r="AB112" i="324"/>
  <c r="AB106" i="324"/>
  <c r="AB90" i="324"/>
  <c r="AB92" i="324"/>
  <c r="AB108" i="324"/>
  <c r="AB107" i="324"/>
  <c r="AB91" i="324"/>
  <c r="Z120" i="324"/>
  <c r="AB111" i="324"/>
  <c r="AB95" i="324"/>
  <c r="AB94" i="324"/>
  <c r="AB110" i="324"/>
  <c r="AB98" i="324"/>
  <c r="AB114" i="324"/>
  <c r="AA120" i="324"/>
  <c r="AE78" i="324"/>
  <c r="AE106" i="324"/>
  <c r="AD106" i="324"/>
  <c r="AC94" i="324"/>
  <c r="AC110" i="324"/>
  <c r="AC114" i="324"/>
  <c r="AC98" i="324"/>
  <c r="AC113" i="324"/>
  <c r="AC97" i="324"/>
  <c r="AD85" i="324"/>
  <c r="AD82" i="324"/>
  <c r="AD110" i="324"/>
  <c r="AC89" i="324"/>
  <c r="AC105" i="324"/>
  <c r="AC111" i="324"/>
  <c r="AC95" i="324"/>
  <c r="AD83" i="324"/>
  <c r="AE77" i="324"/>
  <c r="AE105" i="324"/>
  <c r="AC108" i="324"/>
  <c r="AC92" i="324"/>
  <c r="AD80" i="324"/>
  <c r="AD79" i="324"/>
  <c r="AD107" i="324"/>
  <c r="AC107" i="324"/>
  <c r="AC91" i="324"/>
  <c r="AC90" i="324"/>
  <c r="AC106" i="324"/>
  <c r="AC109" i="324"/>
  <c r="AC93" i="324"/>
  <c r="AD81" i="324"/>
  <c r="AD86" i="324"/>
  <c r="AD114" i="324"/>
  <c r="AD73" i="324"/>
  <c r="AD66" i="324"/>
  <c r="AD72" i="324"/>
  <c r="AD65" i="324"/>
  <c r="AD74" i="324"/>
  <c r="AD68" i="324"/>
  <c r="AD69" i="324"/>
  <c r="AD67" i="324"/>
  <c r="AD70" i="324"/>
  <c r="AE75" i="324"/>
  <c r="AD71" i="324"/>
  <c r="AB117" i="324"/>
  <c r="AB123" i="324"/>
  <c r="AB128" i="324"/>
  <c r="AB118" i="324"/>
  <c r="AB124" i="324"/>
  <c r="AB129" i="324"/>
  <c r="AB119" i="324"/>
  <c r="AB125" i="324"/>
  <c r="AB130" i="324"/>
  <c r="AA123" i="324"/>
  <c r="AA128" i="324"/>
  <c r="AC112" i="324"/>
  <c r="AC96" i="324"/>
  <c r="AD84" i="324"/>
  <c r="AE84" i="324"/>
  <c r="AE112" i="324"/>
  <c r="AE82" i="324"/>
  <c r="AE110" i="324"/>
  <c r="AF78" i="324"/>
  <c r="AF106" i="324"/>
  <c r="AF77" i="324"/>
  <c r="AF105" i="324"/>
  <c r="AE79" i="324"/>
  <c r="AE107" i="324"/>
  <c r="AD113" i="324"/>
  <c r="AE85" i="324"/>
  <c r="AE113" i="324"/>
  <c r="AE86" i="324"/>
  <c r="AF86" i="324"/>
  <c r="AF114" i="324"/>
  <c r="AD112" i="324"/>
  <c r="AF84" i="324"/>
  <c r="AD111" i="324"/>
  <c r="AE83" i="324"/>
  <c r="AF83" i="324"/>
  <c r="AF111" i="324"/>
  <c r="AC119" i="324"/>
  <c r="AC125" i="324"/>
  <c r="AC130" i="324"/>
  <c r="AC117" i="324"/>
  <c r="AC118" i="324"/>
  <c r="AC124" i="324"/>
  <c r="AC129" i="324"/>
  <c r="AD109" i="324"/>
  <c r="AE81" i="324"/>
  <c r="AB120" i="324"/>
  <c r="AE66" i="324"/>
  <c r="AF75" i="324"/>
  <c r="AE65" i="324"/>
  <c r="AE71" i="324"/>
  <c r="AE68" i="324"/>
  <c r="AE74" i="324"/>
  <c r="AE72" i="324"/>
  <c r="AE69" i="324"/>
  <c r="AE67" i="324"/>
  <c r="AE70" i="324"/>
  <c r="AE73" i="324"/>
  <c r="AD108" i="324"/>
  <c r="AE80" i="324"/>
  <c r="AF82" i="324"/>
  <c r="AF110" i="324"/>
  <c r="AG78" i="324"/>
  <c r="AH78" i="324"/>
  <c r="AF79" i="324"/>
  <c r="AF85" i="324"/>
  <c r="AF113" i="324"/>
  <c r="AG77" i="324"/>
  <c r="AG105" i="324"/>
  <c r="AD119" i="324"/>
  <c r="AD125" i="324"/>
  <c r="AD130" i="324"/>
  <c r="AE111" i="324"/>
  <c r="AG83" i="324"/>
  <c r="AF112" i="324"/>
  <c r="AG84" i="324"/>
  <c r="AD118" i="324"/>
  <c r="AD124" i="324"/>
  <c r="AD129" i="324"/>
  <c r="AE109" i="324"/>
  <c r="AF81" i="324"/>
  <c r="AE114" i="324"/>
  <c r="AG86" i="324"/>
  <c r="AF67" i="324"/>
  <c r="AF70" i="324"/>
  <c r="AF72" i="324"/>
  <c r="AF69" i="324"/>
  <c r="AF74" i="324"/>
  <c r="AG75" i="324"/>
  <c r="AF66" i="324"/>
  <c r="AF65" i="324"/>
  <c r="AF68" i="324"/>
  <c r="AF71" i="324"/>
  <c r="AF73" i="324"/>
  <c r="AD117" i="324"/>
  <c r="AE108" i="324"/>
  <c r="AF80" i="324"/>
  <c r="AF108" i="324"/>
  <c r="AC123" i="324"/>
  <c r="AC128" i="324"/>
  <c r="AC120" i="324"/>
  <c r="AG82" i="324"/>
  <c r="AH82" i="324"/>
  <c r="AI82" i="324"/>
  <c r="AI110" i="324"/>
  <c r="AG106" i="324"/>
  <c r="AH77" i="324"/>
  <c r="AI77" i="324"/>
  <c r="AI105" i="324"/>
  <c r="AG80" i="324"/>
  <c r="AG108" i="324"/>
  <c r="AF107" i="324"/>
  <c r="AG79" i="324"/>
  <c r="AG85" i="324"/>
  <c r="AH85" i="324"/>
  <c r="AI85" i="324"/>
  <c r="AI113" i="324"/>
  <c r="AE117" i="324"/>
  <c r="AE123" i="324"/>
  <c r="AE128" i="324"/>
  <c r="AE118" i="324"/>
  <c r="AE124" i="324"/>
  <c r="AE129" i="324"/>
  <c r="AI78" i="324"/>
  <c r="AI106" i="324"/>
  <c r="AH106" i="324"/>
  <c r="AE119" i="324"/>
  <c r="AE125" i="324"/>
  <c r="AE130" i="324"/>
  <c r="AD120" i="324"/>
  <c r="AD123" i="324"/>
  <c r="AD128" i="324"/>
  <c r="AH86" i="324"/>
  <c r="AG114" i="324"/>
  <c r="AH83" i="324"/>
  <c r="AG111" i="324"/>
  <c r="AF109" i="324"/>
  <c r="AG81" i="324"/>
  <c r="AG74" i="324"/>
  <c r="AH75" i="324"/>
  <c r="AG73" i="324"/>
  <c r="AG66" i="324"/>
  <c r="AG71" i="324"/>
  <c r="AG70" i="324"/>
  <c r="AG67" i="324"/>
  <c r="AG65" i="324"/>
  <c r="AG69" i="324"/>
  <c r="AG68" i="324"/>
  <c r="AG72" i="324"/>
  <c r="AH84" i="324"/>
  <c r="AG112" i="324"/>
  <c r="AH110" i="324"/>
  <c r="AF119" i="324"/>
  <c r="AF125" i="324"/>
  <c r="AF130" i="324"/>
  <c r="AG110" i="324"/>
  <c r="AH113" i="324"/>
  <c r="AH105" i="324"/>
  <c r="AH80" i="324"/>
  <c r="AH108" i="324"/>
  <c r="AG107" i="324"/>
  <c r="AH79" i="324"/>
  <c r="AG113" i="324"/>
  <c r="AF118" i="324"/>
  <c r="AF124" i="324"/>
  <c r="AF129" i="324"/>
  <c r="AF117" i="324"/>
  <c r="AF123" i="324"/>
  <c r="AF128" i="324"/>
  <c r="AE120" i="324"/>
  <c r="AH67" i="324"/>
  <c r="AH68" i="324"/>
  <c r="AH69" i="324"/>
  <c r="AH72" i="324"/>
  <c r="AH70" i="324"/>
  <c r="AH71" i="324"/>
  <c r="AI75" i="324"/>
  <c r="AH74" i="324"/>
  <c r="AH73" i="324"/>
  <c r="AH66" i="324"/>
  <c r="AH65" i="324"/>
  <c r="AI86" i="324"/>
  <c r="AI114" i="324"/>
  <c r="AH114" i="324"/>
  <c r="AI83" i="324"/>
  <c r="AI111" i="324"/>
  <c r="AH111" i="324"/>
  <c r="AH81" i="324"/>
  <c r="AG109" i="324"/>
  <c r="AI84" i="324"/>
  <c r="AI112" i="324"/>
  <c r="AH112" i="324"/>
  <c r="AI80" i="324"/>
  <c r="AI108" i="324"/>
  <c r="K20" i="260" a="1"/>
  <c r="K20" i="260"/>
  <c r="I27" i="260" a="1"/>
  <c r="I27" i="260"/>
  <c r="I22" i="260" a="1"/>
  <c r="I22" i="260"/>
  <c r="J23" i="260" a="1"/>
  <c r="J23" i="260"/>
  <c r="N20" i="260" a="1"/>
  <c r="N20" i="260"/>
  <c r="I21" i="260" a="1"/>
  <c r="I21" i="260"/>
  <c r="N25" i="260" a="1"/>
  <c r="N25" i="260"/>
  <c r="I23" i="260" a="1"/>
  <c r="I23" i="260"/>
  <c r="M26" i="260" a="1"/>
  <c r="M26" i="260"/>
  <c r="H24" i="260" a="1"/>
  <c r="H24" i="260"/>
  <c r="M21" i="260" a="1"/>
  <c r="M21" i="260"/>
  <c r="G22" i="260" a="1"/>
  <c r="G22" i="260"/>
  <c r="J21" i="260" a="1"/>
  <c r="J21" i="260"/>
  <c r="N27" i="260" a="1"/>
  <c r="N27" i="260"/>
  <c r="G20" i="260" a="1"/>
  <c r="G20" i="260"/>
  <c r="J25" i="260" a="1"/>
  <c r="J25" i="260"/>
  <c r="L21" i="260" a="1"/>
  <c r="L21" i="260"/>
  <c r="H27" i="260" a="1"/>
  <c r="H27" i="260"/>
  <c r="H26" i="260" a="1"/>
  <c r="H26" i="260"/>
  <c r="H21" i="260" a="1"/>
  <c r="H21" i="260"/>
  <c r="K27" i="260" a="1"/>
  <c r="K27" i="260"/>
  <c r="F26" i="260" a="1"/>
  <c r="F26" i="260"/>
  <c r="M27" i="260" a="1"/>
  <c r="M27" i="260"/>
  <c r="G23" i="260" a="1"/>
  <c r="G23" i="260"/>
  <c r="K25" i="260" a="1"/>
  <c r="K25" i="260"/>
  <c r="J26" i="260" a="1"/>
  <c r="J26" i="260"/>
  <c r="I25" i="260" a="1"/>
  <c r="I25" i="260"/>
  <c r="M24" i="260" a="1"/>
  <c r="M24" i="260"/>
  <c r="L23" i="260" a="1"/>
  <c r="L23" i="260"/>
  <c r="M20" i="260" a="1"/>
  <c r="M20" i="260"/>
  <c r="L25" i="260" a="1"/>
  <c r="L25" i="260"/>
  <c r="L20" i="260" a="1"/>
  <c r="L20" i="260"/>
  <c r="G21" i="260" a="1"/>
  <c r="G21" i="260"/>
  <c r="J27" i="260" a="1"/>
  <c r="J27" i="260"/>
  <c r="K23" i="260" a="1"/>
  <c r="K23" i="260"/>
  <c r="G25" i="260" a="1"/>
  <c r="G25" i="260"/>
  <c r="N26" i="260" a="1"/>
  <c r="N26" i="260"/>
  <c r="G26" i="260" a="1"/>
  <c r="G26" i="260"/>
  <c r="N24" i="260" a="1"/>
  <c r="N24" i="260"/>
  <c r="M23" i="260" a="1"/>
  <c r="M23" i="260"/>
  <c r="F20" i="260" a="1"/>
  <c r="F20" i="260"/>
  <c r="L22" i="260" a="1"/>
  <c r="L22" i="260"/>
  <c r="L26" i="260" a="1"/>
  <c r="L26" i="260"/>
  <c r="I20" i="260" a="1"/>
  <c r="I20" i="260"/>
  <c r="H25" i="260" a="1"/>
  <c r="H25" i="260"/>
  <c r="F25" i="260" a="1"/>
  <c r="F25" i="260"/>
  <c r="F23" i="260" a="1"/>
  <c r="F23" i="260"/>
  <c r="H23" i="260" a="1"/>
  <c r="H23" i="260"/>
  <c r="F27" i="260" a="1"/>
  <c r="F27" i="260"/>
  <c r="K24" i="260" a="1"/>
  <c r="K24" i="260"/>
  <c r="F22" i="260" a="1"/>
  <c r="F22" i="260"/>
  <c r="M22" i="260" a="1"/>
  <c r="M22" i="260"/>
  <c r="N22" i="260" a="1"/>
  <c r="N22" i="260"/>
  <c r="I26" i="260" a="1"/>
  <c r="I26" i="260"/>
  <c r="G27" i="260" a="1"/>
  <c r="G27" i="260"/>
  <c r="I24" i="260" a="1"/>
  <c r="I24" i="260"/>
  <c r="K21" i="260" a="1"/>
  <c r="K21" i="260"/>
  <c r="J24" i="260" a="1"/>
  <c r="J24" i="260"/>
  <c r="J20" i="260" a="1"/>
  <c r="J20" i="260"/>
  <c r="K26" i="260" a="1"/>
  <c r="K26" i="260"/>
  <c r="H20" i="260" a="1"/>
  <c r="H20" i="260"/>
  <c r="G24" i="260" a="1"/>
  <c r="G24" i="260"/>
  <c r="H22" i="260" a="1"/>
  <c r="H22" i="260"/>
  <c r="M25" i="260" a="1"/>
  <c r="M25" i="260"/>
  <c r="N23" i="260" a="1"/>
  <c r="N23" i="260"/>
  <c r="L24" i="260" a="1"/>
  <c r="L24" i="260"/>
  <c r="F24" i="260" a="1"/>
  <c r="F24" i="260"/>
  <c r="J22" i="260" a="1"/>
  <c r="J22" i="260"/>
  <c r="N21" i="260" a="1"/>
  <c r="N21" i="260"/>
  <c r="L27" i="260" a="1"/>
  <c r="L27" i="260"/>
  <c r="F21" i="260" a="1"/>
  <c r="F21" i="260"/>
  <c r="K22" i="260" a="1"/>
  <c r="K22" i="260"/>
  <c r="AH107" i="324"/>
  <c r="AI79" i="324"/>
  <c r="AI107" i="324"/>
  <c r="AG118" i="324"/>
  <c r="AG124" i="324"/>
  <c r="AG129" i="324"/>
  <c r="AF120" i="324"/>
  <c r="AI71" i="324"/>
  <c r="AI69" i="324"/>
  <c r="AI73" i="324"/>
  <c r="AI70" i="324"/>
  <c r="AI68" i="324"/>
  <c r="AI74" i="324"/>
  <c r="AI65" i="324"/>
  <c r="AI72" i="324"/>
  <c r="AI66" i="324"/>
  <c r="AI67" i="324"/>
  <c r="AG117" i="324"/>
  <c r="AG119" i="324"/>
  <c r="AG125" i="324"/>
  <c r="AG130" i="324"/>
  <c r="AH109" i="324"/>
  <c r="AI81" i="324"/>
  <c r="AI109" i="324"/>
  <c r="K442" i="260" a="1"/>
  <c r="K442" i="260"/>
  <c r="H444" i="260" a="1"/>
  <c r="H444" i="260"/>
  <c r="G443" i="260" a="1"/>
  <c r="G443" i="260"/>
  <c r="L442" i="260" a="1"/>
  <c r="L442" i="260"/>
  <c r="I442" i="260" a="1"/>
  <c r="I442" i="260"/>
  <c r="M442" i="260" a="1"/>
  <c r="M442" i="260"/>
  <c r="N442" i="260" a="1"/>
  <c r="N442" i="260"/>
  <c r="N441" i="260" a="1"/>
  <c r="N441" i="260"/>
  <c r="N444" i="260" a="1"/>
  <c r="N444" i="260"/>
  <c r="G442" i="260" a="1"/>
  <c r="G442" i="260"/>
  <c r="L444" i="260" a="1"/>
  <c r="L444" i="260"/>
  <c r="J444" i="260" a="1"/>
  <c r="J444" i="260"/>
  <c r="M444" i="260" a="1"/>
  <c r="M444" i="260"/>
  <c r="L443" i="260" a="1"/>
  <c r="L443" i="260"/>
  <c r="I443" i="260" a="1"/>
  <c r="I443" i="260"/>
  <c r="K441" i="260" a="1"/>
  <c r="K441" i="260"/>
  <c r="I441" i="260" a="1"/>
  <c r="I441" i="260"/>
  <c r="H443" i="260" a="1"/>
  <c r="H443" i="260"/>
  <c r="H442" i="260" a="1"/>
  <c r="H442" i="260"/>
  <c r="H441" i="260" a="1"/>
  <c r="H441" i="260"/>
  <c r="J442" i="260" a="1"/>
  <c r="J442" i="260"/>
  <c r="K444" i="260" a="1"/>
  <c r="K444" i="260"/>
  <c r="G441" i="260" a="1"/>
  <c r="G441" i="260"/>
  <c r="L441" i="260" a="1"/>
  <c r="L441" i="260"/>
  <c r="O441" i="260" a="1"/>
  <c r="O441" i="260"/>
  <c r="O444" i="260" a="1"/>
  <c r="O444" i="260"/>
  <c r="K443" i="260" a="1"/>
  <c r="K443" i="260"/>
  <c r="O443" i="260" a="1"/>
  <c r="O443" i="260"/>
  <c r="N443" i="260" a="1"/>
  <c r="N443" i="260"/>
  <c r="I444" i="260" a="1"/>
  <c r="I444" i="260"/>
  <c r="J441" i="260" a="1"/>
  <c r="J441" i="260"/>
  <c r="M443" i="260" a="1"/>
  <c r="M443" i="260"/>
  <c r="J443" i="260" a="1"/>
  <c r="J443" i="260"/>
  <c r="O442" i="260" a="1"/>
  <c r="O442" i="260"/>
  <c r="M441" i="260" a="1"/>
  <c r="M441" i="260"/>
  <c r="G444" i="260" a="1"/>
  <c r="G444" i="260"/>
  <c r="AH119" i="324"/>
  <c r="AH125" i="324"/>
  <c r="AH130" i="324"/>
  <c r="AG120" i="324"/>
  <c r="AG123" i="324"/>
  <c r="AG128" i="324"/>
  <c r="AH117" i="324"/>
  <c r="AH118" i="324"/>
  <c r="L1032" i="260" a="1"/>
  <c r="L1032" i="260"/>
  <c r="AI119" i="324"/>
  <c r="AI125" i="324"/>
  <c r="AI130" i="324"/>
  <c r="K1017" i="260" a="1"/>
  <c r="K1017" i="260"/>
  <c r="M1027" i="260" a="1"/>
  <c r="M1027" i="260"/>
  <c r="H1025" i="260" a="1"/>
  <c r="H1025" i="260"/>
  <c r="N1030" i="260" a="1"/>
  <c r="N1030" i="260"/>
  <c r="I1029" i="260" a="1"/>
  <c r="I1029" i="260"/>
  <c r="H1038" i="260" a="1"/>
  <c r="H1038" i="260"/>
  <c r="H1021" i="260" a="1"/>
  <c r="H1021" i="260"/>
  <c r="K1028" i="260" a="1"/>
  <c r="K1028" i="260"/>
  <c r="L1020" i="260" a="1"/>
  <c r="L1020" i="260"/>
  <c r="G1016" i="260" a="1"/>
  <c r="G1016" i="260"/>
  <c r="I1016" i="260" a="1"/>
  <c r="I1016" i="260"/>
  <c r="N1026" i="260" a="1"/>
  <c r="N1026" i="260"/>
  <c r="K1037" i="260" a="1"/>
  <c r="K1037" i="260"/>
  <c r="G1018" i="260" a="1"/>
  <c r="G1018" i="260"/>
  <c r="N1024" i="260" a="1"/>
  <c r="N1024" i="260"/>
  <c r="H1020" i="260" a="1"/>
  <c r="H1020" i="260"/>
  <c r="N1027" i="260" a="1"/>
  <c r="N1027" i="260"/>
  <c r="G1037" i="260" a="1"/>
  <c r="G1037" i="260"/>
  <c r="N1037" i="260" a="1"/>
  <c r="N1037" i="260"/>
  <c r="H1033" i="260" a="1"/>
  <c r="H1033" i="260"/>
  <c r="J1035" i="260" a="1"/>
  <c r="J1035" i="260"/>
  <c r="O1036" i="260" a="1"/>
  <c r="O1036" i="260"/>
  <c r="N1033" i="260" a="1"/>
  <c r="N1033" i="260"/>
  <c r="I1020" i="260" a="1"/>
  <c r="I1020" i="260"/>
  <c r="O1034" i="260" a="1"/>
  <c r="O1034" i="260"/>
  <c r="J1038" i="260" a="1"/>
  <c r="J1038" i="260"/>
  <c r="O1016" i="260" a="1"/>
  <c r="O1016" i="260"/>
  <c r="N1020" i="260" a="1"/>
  <c r="N1020" i="260"/>
  <c r="H1024" i="260" a="1"/>
  <c r="H1024" i="260"/>
  <c r="L1021" i="260" a="1"/>
  <c r="L1021" i="260"/>
  <c r="N1031" i="260" a="1"/>
  <c r="N1031" i="260"/>
  <c r="G1026" i="260" a="1"/>
  <c r="G1026" i="260"/>
  <c r="M1019" i="260" a="1"/>
  <c r="M1019" i="260"/>
  <c r="K1031" i="260" a="1"/>
  <c r="K1031" i="260"/>
  <c r="O1025" i="260" a="1"/>
  <c r="O1025" i="260"/>
  <c r="N1023" i="260" a="1"/>
  <c r="N1023" i="260"/>
  <c r="L1026" i="260" a="1"/>
  <c r="L1026" i="260"/>
  <c r="H1036" i="260" a="1"/>
  <c r="H1036" i="260"/>
  <c r="L1029" i="260" a="1"/>
  <c r="L1029" i="260"/>
  <c r="N1016" i="260" a="1"/>
  <c r="N1016" i="260"/>
  <c r="L1037" i="260" a="1"/>
  <c r="L1037" i="260"/>
  <c r="K1030" i="260" a="1"/>
  <c r="K1030" i="260"/>
  <c r="L1025" i="260" a="1"/>
  <c r="L1025" i="260"/>
  <c r="J1037" i="260" a="1"/>
  <c r="J1037" i="260"/>
  <c r="O1017" i="260" a="1"/>
  <c r="O1017" i="260"/>
  <c r="J1034" i="260" a="1"/>
  <c r="J1034" i="260"/>
  <c r="N1035" i="260" a="1"/>
  <c r="N1035" i="260"/>
  <c r="I1028" i="260" a="1"/>
  <c r="I1028" i="260"/>
  <c r="O1027" i="260" a="1"/>
  <c r="O1027" i="260"/>
  <c r="J1023" i="260" a="1"/>
  <c r="J1023" i="260"/>
  <c r="I440" i="260"/>
  <c r="O1037" i="260" a="1"/>
  <c r="O1037" i="260"/>
  <c r="J1021" i="260" a="1"/>
  <c r="J1021" i="260"/>
  <c r="K1016" i="260" a="1"/>
  <c r="K1016" i="260"/>
  <c r="J1031" i="260" a="1"/>
  <c r="J1031" i="260"/>
  <c r="L1036" i="260" a="1"/>
  <c r="L1036" i="260"/>
  <c r="N1018" i="260" a="1"/>
  <c r="N1018" i="260"/>
  <c r="N1038" i="260" a="1"/>
  <c r="N1038" i="260"/>
  <c r="N1025" i="260" a="1"/>
  <c r="N1025" i="260"/>
  <c r="L1035" i="260" a="1"/>
  <c r="L1035" i="260"/>
  <c r="L1022" i="260" a="1"/>
  <c r="L1022" i="260"/>
  <c r="K1029" i="260" a="1"/>
  <c r="K1029" i="260"/>
  <c r="G440" i="260"/>
  <c r="G1036" i="260" a="1"/>
  <c r="G1036" i="260"/>
  <c r="K1021" i="260" a="1"/>
  <c r="K1021" i="260"/>
  <c r="O1038" i="260" a="1"/>
  <c r="O1038" i="260"/>
  <c r="G1019" i="260" a="1"/>
  <c r="G1019" i="260"/>
  <c r="G1028" i="260" a="1"/>
  <c r="G1028" i="260"/>
  <c r="G1021" i="260" a="1"/>
  <c r="G1021" i="260"/>
  <c r="N1022" i="260" a="1"/>
  <c r="N1022" i="260"/>
  <c r="M1036" i="260" a="1"/>
  <c r="M1036" i="260"/>
  <c r="J1032" i="260" a="1"/>
  <c r="J1032" i="260"/>
  <c r="N1029" i="260" a="1"/>
  <c r="N1029" i="260"/>
  <c r="I1026" i="260" a="1"/>
  <c r="I1026" i="260"/>
  <c r="M1024" i="260" a="1"/>
  <c r="M1024" i="260"/>
  <c r="J1027" i="260" a="1"/>
  <c r="J1027" i="260"/>
  <c r="O1021" i="260" a="1"/>
  <c r="O1021" i="260"/>
  <c r="O440" i="260"/>
  <c r="I1018" i="260" a="1"/>
  <c r="I1018" i="260"/>
  <c r="N440" i="260"/>
  <c r="I1023" i="260" a="1"/>
  <c r="I1023" i="260"/>
  <c r="N1032" i="260" a="1"/>
  <c r="N1032" i="260"/>
  <c r="O1023" i="260" a="1"/>
  <c r="O1023" i="260"/>
  <c r="J1017" i="260" a="1"/>
  <c r="J1017" i="260"/>
  <c r="K1033" i="260" a="1"/>
  <c r="K1033" i="260"/>
  <c r="G1023" i="260" a="1"/>
  <c r="G1023" i="260"/>
  <c r="I1025" i="260" a="1"/>
  <c r="I1025" i="260"/>
  <c r="N1017" i="260" a="1"/>
  <c r="N1017" i="260"/>
  <c r="L1030" i="260" a="1"/>
  <c r="L1030" i="260"/>
  <c r="J1033" i="260" a="1"/>
  <c r="J1033" i="260"/>
  <c r="J1022" i="260" a="1"/>
  <c r="J1022" i="260"/>
  <c r="K1027" i="260" a="1"/>
  <c r="K1027" i="260"/>
  <c r="I1022" i="260" a="1"/>
  <c r="I1022" i="260"/>
  <c r="G1033" i="260" a="1"/>
  <c r="G1033" i="260"/>
  <c r="J1025" i="260" a="1"/>
  <c r="J1025" i="260"/>
  <c r="N1021" i="260" a="1"/>
  <c r="N1021" i="260"/>
  <c r="N1028" i="260" a="1"/>
  <c r="N1028" i="260"/>
  <c r="N1019" i="260" a="1"/>
  <c r="N1019" i="260"/>
  <c r="L1031" i="260" a="1"/>
  <c r="L1031" i="260"/>
  <c r="O1030" i="260" a="1"/>
  <c r="O1030" i="260"/>
  <c r="I1032" i="260" a="1"/>
  <c r="I1032" i="260"/>
  <c r="K1024" i="260" a="1"/>
  <c r="K1024" i="260"/>
  <c r="K1020" i="260" a="1"/>
  <c r="K1020" i="260"/>
  <c r="I1035" i="260" a="1"/>
  <c r="I1035" i="260"/>
  <c r="N1036" i="260" a="1"/>
  <c r="N1036" i="260"/>
  <c r="N1034" i="260" a="1"/>
  <c r="N1034" i="260"/>
  <c r="L1028" i="260" a="1"/>
  <c r="L1028" i="260"/>
  <c r="O1022" i="260" a="1"/>
  <c r="O1022" i="260"/>
  <c r="I1036" i="260" a="1"/>
  <c r="I1036" i="260"/>
  <c r="J440" i="260"/>
  <c r="O1026" i="260" a="1"/>
  <c r="O1026" i="260"/>
  <c r="J1026" i="260" a="1"/>
  <c r="J1026" i="260"/>
  <c r="O1024" i="260" a="1"/>
  <c r="O1024" i="260"/>
  <c r="I1021" i="260" a="1"/>
  <c r="I1021" i="260"/>
  <c r="O1033" i="260" a="1"/>
  <c r="O1033" i="260"/>
  <c r="H440" i="260"/>
  <c r="I1027" i="260" a="1"/>
  <c r="I1027" i="260"/>
  <c r="O1029" i="260" a="1"/>
  <c r="O1029" i="260"/>
  <c r="I1038" i="260" a="1"/>
  <c r="I1038" i="260"/>
  <c r="O1035" i="260" a="1"/>
  <c r="O1035" i="260"/>
  <c r="I1017" i="260" a="1"/>
  <c r="I1017" i="260"/>
  <c r="I1019" i="260" a="1"/>
  <c r="I1019" i="260"/>
  <c r="O1031" i="260" a="1"/>
  <c r="O1031" i="260"/>
  <c r="O1032" i="260" a="1"/>
  <c r="O1032" i="260"/>
  <c r="O1028" i="260" a="1"/>
  <c r="O1028" i="260"/>
  <c r="M1034" i="260" a="1"/>
  <c r="M1034" i="260"/>
  <c r="H1034" i="260" a="1"/>
  <c r="H1034" i="260"/>
  <c r="M1031" i="260" a="1"/>
  <c r="M1031" i="260"/>
  <c r="H1032" i="260" a="1"/>
  <c r="H1032" i="260"/>
  <c r="I1034" i="260" a="1"/>
  <c r="I1034" i="260"/>
  <c r="O1018" i="260" a="1"/>
  <c r="O1018" i="260"/>
  <c r="I1024" i="260" a="1"/>
  <c r="I1024" i="260"/>
  <c r="H1023" i="260" a="1"/>
  <c r="H1023" i="260"/>
  <c r="J1016" i="260" a="1"/>
  <c r="J1016" i="260"/>
  <c r="I1037" i="260" a="1"/>
  <c r="I1037" i="260"/>
  <c r="H1017" i="260" a="1"/>
  <c r="H1017" i="260"/>
  <c r="H1026" i="260" a="1"/>
  <c r="H1026" i="260"/>
  <c r="I1030" i="260" a="1"/>
  <c r="I1030" i="260"/>
  <c r="O1019" i="260" a="1"/>
  <c r="O1019" i="260"/>
  <c r="I1031" i="260" a="1"/>
  <c r="I1031" i="260"/>
  <c r="H1037" i="260" a="1"/>
  <c r="H1037" i="260"/>
  <c r="H1019" i="260" a="1"/>
  <c r="H1019" i="260"/>
  <c r="I1033" i="260" a="1"/>
  <c r="I1033" i="260"/>
  <c r="O1020" i="260" a="1"/>
  <c r="O1020" i="260"/>
  <c r="M1021" i="260" a="1"/>
  <c r="M1021" i="260"/>
  <c r="J1019" i="260" a="1"/>
  <c r="J1019" i="260"/>
  <c r="H1016" i="260" a="1"/>
  <c r="H1016" i="260"/>
  <c r="K1019" i="260" a="1"/>
  <c r="K1019" i="260"/>
  <c r="H1035" i="260" a="1"/>
  <c r="H1035" i="260"/>
  <c r="K1023" i="260" a="1"/>
  <c r="K1023" i="260"/>
  <c r="G1035" i="260" a="1"/>
  <c r="G1035" i="260"/>
  <c r="H1029" i="260" a="1"/>
  <c r="H1029" i="260"/>
  <c r="K1038" i="260" a="1"/>
  <c r="K1038" i="260"/>
  <c r="J1024" i="260" a="1"/>
  <c r="J1024" i="260"/>
  <c r="K1032" i="260" a="1"/>
  <c r="K1032" i="260"/>
  <c r="H1018" i="260" a="1"/>
  <c r="H1018" i="260"/>
  <c r="J1018" i="260" a="1"/>
  <c r="J1018" i="260"/>
  <c r="K1036" i="260" a="1"/>
  <c r="K1036" i="260"/>
  <c r="G1020" i="260" a="1"/>
  <c r="G1020" i="260"/>
  <c r="H1028" i="260" a="1"/>
  <c r="H1028" i="260"/>
  <c r="J1028" i="260" a="1"/>
  <c r="J1028" i="260"/>
  <c r="G1024" i="260" a="1"/>
  <c r="G1024" i="260"/>
  <c r="L1034" i="260" a="1"/>
  <c r="L1034" i="260"/>
  <c r="L440" i="260"/>
  <c r="L1033" i="260" a="1"/>
  <c r="L1033" i="260"/>
  <c r="L1019" i="260" a="1"/>
  <c r="L1019" i="260"/>
  <c r="L1016" i="260" a="1"/>
  <c r="L1016" i="260"/>
  <c r="L1038" i="260" a="1"/>
  <c r="L1038" i="260"/>
  <c r="K440" i="260"/>
  <c r="H1030" i="260" a="1"/>
  <c r="H1030" i="260"/>
  <c r="K1025" i="260" a="1"/>
  <c r="K1025" i="260"/>
  <c r="G1034" i="260" a="1"/>
  <c r="G1034" i="260"/>
  <c r="G1029" i="260" a="1"/>
  <c r="G1029" i="260"/>
  <c r="J1036" i="260" a="1"/>
  <c r="J1036" i="260"/>
  <c r="H1027" i="260" a="1"/>
  <c r="H1027" i="260"/>
  <c r="K1035" i="260" a="1"/>
  <c r="K1035" i="260"/>
  <c r="G1031" i="260" a="1"/>
  <c r="G1031" i="260"/>
  <c r="G1022" i="260" a="1"/>
  <c r="G1022" i="260"/>
  <c r="J1030" i="260" a="1"/>
  <c r="J1030" i="260"/>
  <c r="G1030" i="260" a="1"/>
  <c r="G1030" i="260"/>
  <c r="J1020" i="260" a="1"/>
  <c r="J1020" i="260"/>
  <c r="L1017" i="260" a="1"/>
  <c r="L1017" i="260"/>
  <c r="L1018" i="260" a="1"/>
  <c r="L1018" i="260"/>
  <c r="L1027" i="260" a="1"/>
  <c r="L1027" i="260"/>
  <c r="L1024" i="260" a="1"/>
  <c r="L1024" i="260"/>
  <c r="L1023" i="260" a="1"/>
  <c r="L1023" i="260"/>
  <c r="G1038" i="260" a="1"/>
  <c r="G1038" i="260"/>
  <c r="G1027" i="260" a="1"/>
  <c r="G1027" i="260"/>
  <c r="K1034" i="260" a="1"/>
  <c r="K1034" i="260"/>
  <c r="J1029" i="260" a="1"/>
  <c r="J1029" i="260"/>
  <c r="H1031" i="260" a="1"/>
  <c r="H1031" i="260"/>
  <c r="G1017" i="260" a="1"/>
  <c r="G1017" i="260"/>
  <c r="K1018" i="260" a="1"/>
  <c r="K1018" i="260"/>
  <c r="G1025" i="260" a="1"/>
  <c r="G1025" i="260"/>
  <c r="K1022" i="260" a="1"/>
  <c r="K1022" i="260"/>
  <c r="G1032" i="260" a="1"/>
  <c r="G1032" i="260"/>
  <c r="K1026" i="260" a="1"/>
  <c r="K1026" i="260"/>
  <c r="H1022" i="260" a="1"/>
  <c r="H1022" i="260"/>
  <c r="M1035" i="260" a="1"/>
  <c r="M1035" i="260"/>
  <c r="M1038" i="260" a="1"/>
  <c r="M1038" i="260"/>
  <c r="M1020" i="260" a="1"/>
  <c r="M1020" i="260"/>
  <c r="M1037" i="260" a="1"/>
  <c r="M1037" i="260"/>
  <c r="M1025" i="260" a="1"/>
  <c r="M1025" i="260"/>
  <c r="M1033" i="260" a="1"/>
  <c r="M1033" i="260"/>
  <c r="M440" i="260"/>
  <c r="M1028" i="260" a="1"/>
  <c r="M1028" i="260"/>
  <c r="M1018" i="260" a="1"/>
  <c r="M1018" i="260"/>
  <c r="M1029" i="260" a="1"/>
  <c r="M1029" i="260"/>
  <c r="M1017" i="260" a="1"/>
  <c r="M1017" i="260"/>
  <c r="M1023" i="260" a="1"/>
  <c r="M1023" i="260"/>
  <c r="M1026" i="260" a="1"/>
  <c r="M1026" i="260"/>
  <c r="M1016" i="260" a="1"/>
  <c r="M1016" i="260"/>
  <c r="M1030" i="260" a="1"/>
  <c r="M1030" i="260"/>
  <c r="M1032" i="260" a="1"/>
  <c r="M1032" i="260"/>
  <c r="M1022" i="260" a="1"/>
  <c r="M1022" i="260"/>
  <c r="AI118" i="324"/>
  <c r="AI124" i="324"/>
  <c r="AI129" i="324"/>
  <c r="AH124" i="324"/>
  <c r="AH129" i="324"/>
  <c r="AI117" i="324"/>
  <c r="AI123" i="324"/>
  <c r="AI128" i="324"/>
  <c r="AH120" i="324"/>
  <c r="AI120" i="324"/>
  <c r="AH123" i="324"/>
  <c r="AH128" i="324"/>
  <c r="J1176" i="260" a="1"/>
  <c r="J1176" i="260"/>
  <c r="J1351" i="260" a="1"/>
  <c r="J1351" i="260"/>
  <c r="N1217" i="260" a="1"/>
  <c r="N1217" i="260"/>
  <c r="I1256" i="260" a="1"/>
  <c r="I1256" i="260"/>
  <c r="N1126" i="260" a="1"/>
  <c r="N1126" i="260"/>
  <c r="O1188" i="260" a="1"/>
  <c r="O1188" i="260"/>
  <c r="G1348" i="260" a="1"/>
  <c r="G1348" i="260"/>
  <c r="O1117" i="260" a="1"/>
  <c r="O1117" i="260"/>
  <c r="L1259" i="260" a="1"/>
  <c r="L1259" i="260"/>
  <c r="J1237" i="260" a="1"/>
  <c r="J1237" i="260"/>
  <c r="I1227" i="260" a="1"/>
  <c r="I1227" i="260"/>
  <c r="J1231" i="260" a="1"/>
  <c r="J1231" i="260"/>
  <c r="K1146" i="260" a="1"/>
  <c r="K1146" i="260"/>
  <c r="O1373" i="260" a="1"/>
  <c r="O1373" i="260"/>
  <c r="K1341" i="260" a="1"/>
  <c r="K1341" i="260"/>
  <c r="I1158" i="260" a="1"/>
  <c r="I1158" i="260"/>
  <c r="K1240" i="260" a="1"/>
  <c r="K1240" i="260"/>
  <c r="N1357" i="260" a="1"/>
  <c r="N1357" i="260"/>
  <c r="J1275" i="260" a="1"/>
  <c r="J1275" i="260"/>
  <c r="I1367" i="260" a="1"/>
  <c r="I1367" i="260"/>
  <c r="O1240" i="260" a="1"/>
  <c r="O1240" i="260"/>
  <c r="I1255" i="260" a="1"/>
  <c r="I1255" i="260"/>
  <c r="M1145" i="260" a="1"/>
  <c r="M1145" i="260"/>
  <c r="L1118" i="260" a="1"/>
  <c r="L1118" i="260"/>
  <c r="K1112" i="260" a="1"/>
  <c r="K1112" i="260"/>
  <c r="O1364" i="260" a="1"/>
  <c r="O1364" i="260"/>
  <c r="N1121" i="260" a="1"/>
  <c r="N1121" i="260"/>
  <c r="J1161" i="260" a="1"/>
  <c r="J1161" i="260"/>
  <c r="I1166" i="260" a="1"/>
  <c r="I1166" i="260"/>
  <c r="G1302" i="260" a="1"/>
  <c r="G1302" i="260"/>
  <c r="H1119" i="260" a="1"/>
  <c r="H1119" i="260"/>
  <c r="N1271" i="260" a="1"/>
  <c r="N1271" i="260"/>
  <c r="K1354" i="260" a="1"/>
  <c r="K1354" i="260"/>
  <c r="L1249" i="260" a="1"/>
  <c r="L1249" i="260"/>
  <c r="G1240" i="260" a="1"/>
  <c r="G1240" i="260"/>
  <c r="O1369" i="260" a="1"/>
  <c r="O1369" i="260"/>
  <c r="I1128" i="260" a="1"/>
  <c r="I1128" i="260"/>
  <c r="I1125" i="260" a="1"/>
  <c r="I1125" i="260"/>
  <c r="L1350" i="260" a="1"/>
  <c r="L1350" i="260"/>
  <c r="N1138" i="260" a="1"/>
  <c r="N1138" i="260"/>
  <c r="N1189" i="260" a="1"/>
  <c r="N1189" i="260"/>
  <c r="O1155" i="260" a="1"/>
  <c r="O1155" i="260"/>
  <c r="H1237" i="260" a="1"/>
  <c r="H1237" i="260"/>
  <c r="J1207" i="260" a="1"/>
  <c r="J1207" i="260"/>
  <c r="O1125" i="260" a="1"/>
  <c r="O1125" i="260"/>
  <c r="N1131" i="260" a="1"/>
  <c r="N1131" i="260"/>
  <c r="N1174" i="260" a="1"/>
  <c r="N1174" i="260"/>
  <c r="N1261" i="260" a="1"/>
  <c r="N1261" i="260"/>
  <c r="N1125" i="260" a="1"/>
  <c r="N1125" i="260"/>
  <c r="N1249" i="260" a="1"/>
  <c r="N1249" i="260"/>
  <c r="J1250" i="260" a="1"/>
  <c r="J1250" i="260"/>
  <c r="G1367" i="260" a="1"/>
  <c r="G1367" i="260"/>
  <c r="L1115" i="260" a="1"/>
  <c r="L1115" i="260"/>
  <c r="J1184" i="260" a="1"/>
  <c r="J1184" i="260"/>
  <c r="O1118" i="260" a="1"/>
  <c r="O1118" i="260"/>
  <c r="N1352" i="260" a="1"/>
  <c r="N1352" i="260"/>
  <c r="I1174" i="260" a="1"/>
  <c r="I1174" i="260"/>
  <c r="K1224" i="260" a="1"/>
  <c r="K1224" i="260"/>
  <c r="O1361" i="260" a="1"/>
  <c r="O1361" i="260"/>
  <c r="J1370" i="260" a="1"/>
  <c r="J1370" i="260"/>
  <c r="O1233" i="260" a="1"/>
  <c r="O1233" i="260"/>
  <c r="N1339" i="260" a="1"/>
  <c r="N1339" i="260"/>
  <c r="N1332" i="260" a="1"/>
  <c r="N1332" i="260"/>
  <c r="L1153" i="260" a="1"/>
  <c r="L1153" i="260"/>
  <c r="K1185" i="260" a="1"/>
  <c r="K1185" i="260"/>
  <c r="O1325" i="260" a="1"/>
  <c r="O1325" i="260"/>
  <c r="N1375" i="260" a="1"/>
  <c r="N1375" i="260"/>
  <c r="J1341" i="260" a="1"/>
  <c r="J1341" i="260"/>
  <c r="N1145" i="260" a="1"/>
  <c r="N1145" i="260"/>
  <c r="N1364" i="260" a="1"/>
  <c r="N1364" i="260"/>
  <c r="O1113" i="260" a="1"/>
  <c r="O1113" i="260"/>
  <c r="N1152" i="260" a="1"/>
  <c r="N1152" i="260"/>
  <c r="I1308" i="260" a="1"/>
  <c r="I1308" i="260"/>
  <c r="K1305" i="260" a="1"/>
  <c r="K1305" i="260"/>
  <c r="N1327" i="260" a="1"/>
  <c r="N1327" i="260"/>
  <c r="N1160" i="260" a="1"/>
  <c r="N1160" i="260"/>
  <c r="N1164" i="260" a="1"/>
  <c r="N1164" i="260"/>
  <c r="I1124" i="260" a="1"/>
  <c r="I1124" i="260"/>
  <c r="N1185" i="260" a="1"/>
  <c r="N1185" i="260"/>
  <c r="J1120" i="260" a="1"/>
  <c r="J1120" i="260"/>
  <c r="O1227" i="260" a="1"/>
  <c r="O1227" i="260"/>
  <c r="K1145" i="260" a="1"/>
  <c r="K1145" i="260"/>
  <c r="J1311" i="260" a="1"/>
  <c r="J1311" i="260"/>
  <c r="O1226" i="260" a="1"/>
  <c r="O1226" i="260"/>
  <c r="N1370" i="260" a="1"/>
  <c r="N1370" i="260"/>
  <c r="I1249" i="260" a="1"/>
  <c r="I1249" i="260"/>
  <c r="L1239" i="260" a="1"/>
  <c r="L1239" i="260"/>
  <c r="H1187" i="260" a="1"/>
  <c r="H1187" i="260"/>
  <c r="H1113" i="260" a="1"/>
  <c r="H1113" i="260"/>
  <c r="J1226" i="260" a="1"/>
  <c r="J1226" i="260"/>
  <c r="L1272" i="260" a="1"/>
  <c r="L1272" i="260"/>
  <c r="J1252" i="260" a="1"/>
  <c r="J1252" i="260"/>
  <c r="O1142" i="260" a="1"/>
  <c r="O1142" i="260"/>
  <c r="N1134" i="260" a="1"/>
  <c r="N1134" i="260"/>
  <c r="I1254" i="260" a="1"/>
  <c r="I1254" i="260"/>
  <c r="H1364" i="260" a="1"/>
  <c r="H1364" i="260"/>
  <c r="N1179" i="260" a="1"/>
  <c r="N1179" i="260"/>
  <c r="J1205" i="260" a="1"/>
  <c r="J1205" i="260"/>
  <c r="O1313" i="260" a="1"/>
  <c r="O1313" i="260"/>
  <c r="N1220" i="260" a="1"/>
  <c r="N1220" i="260"/>
  <c r="N1336" i="260" a="1"/>
  <c r="N1336" i="260"/>
  <c r="K1301" i="260" a="1"/>
  <c r="K1301" i="260"/>
  <c r="J1213" i="260" a="1"/>
  <c r="J1213" i="260"/>
  <c r="N1321" i="260" a="1"/>
  <c r="N1321" i="260"/>
  <c r="N1363" i="260" a="1"/>
  <c r="N1363" i="260"/>
  <c r="G1333" i="260" a="1"/>
  <c r="G1333" i="260"/>
  <c r="O1341" i="260" a="1"/>
  <c r="O1341" i="260"/>
  <c r="I1169" i="260" a="1"/>
  <c r="I1169" i="260"/>
  <c r="I1133" i="260" a="1"/>
  <c r="I1133" i="260"/>
  <c r="O1228" i="260" a="1"/>
  <c r="O1228" i="260"/>
  <c r="N1313" i="260" a="1"/>
  <c r="N1313" i="260"/>
  <c r="I1217" i="260" a="1"/>
  <c r="I1217" i="260"/>
  <c r="N1356" i="260" a="1"/>
  <c r="N1356" i="260"/>
  <c r="N1207" i="260" a="1"/>
  <c r="N1207" i="260"/>
  <c r="G1312" i="260" a="1"/>
  <c r="G1312" i="260"/>
  <c r="J1270" i="260" a="1"/>
  <c r="J1270" i="260"/>
  <c r="N1282" i="260" a="1"/>
  <c r="N1282" i="260"/>
  <c r="M1149" i="260" a="1"/>
  <c r="M1149" i="260"/>
  <c r="J1346" i="260" a="1"/>
  <c r="J1346" i="260"/>
  <c r="I1234" i="260" a="1"/>
  <c r="I1234" i="260"/>
  <c r="H1321" i="260" a="1"/>
  <c r="H1321" i="260"/>
  <c r="N1318" i="260" a="1"/>
  <c r="N1318" i="260"/>
  <c r="H1134" i="260" a="1"/>
  <c r="H1134" i="260"/>
  <c r="H1326" i="260" a="1"/>
  <c r="H1326" i="260"/>
  <c r="N1312" i="260" a="1"/>
  <c r="N1312" i="260"/>
  <c r="N1314" i="260" a="1"/>
  <c r="N1314" i="260"/>
  <c r="N1223" i="260" a="1"/>
  <c r="N1223" i="260"/>
  <c r="N1242" i="260" a="1"/>
  <c r="N1242" i="260"/>
  <c r="O1354" i="260" a="1"/>
  <c r="O1354" i="260"/>
  <c r="O1168" i="260" a="1"/>
  <c r="O1168" i="260"/>
  <c r="N1330" i="260" a="1"/>
  <c r="N1330" i="260"/>
  <c r="J1372" i="260" a="1"/>
  <c r="J1372" i="260"/>
  <c r="I1323" i="260" a="1"/>
  <c r="I1323" i="260"/>
  <c r="J1342" i="260" a="1"/>
  <c r="J1342" i="260"/>
  <c r="O1145" i="260" a="1"/>
  <c r="O1145" i="260"/>
  <c r="L1179" i="260" a="1"/>
  <c r="L1179" i="260"/>
  <c r="O1329" i="260" a="1"/>
  <c r="O1329" i="260"/>
  <c r="N1206" i="260" a="1"/>
  <c r="N1206" i="260"/>
  <c r="K1138" i="260" a="1"/>
  <c r="K1138" i="260"/>
  <c r="O1177" i="260" a="1"/>
  <c r="O1177" i="260"/>
  <c r="G1235" i="260" a="1"/>
  <c r="G1235" i="260"/>
  <c r="N1304" i="260" a="1"/>
  <c r="N1304" i="260"/>
  <c r="N1237" i="260" a="1"/>
  <c r="N1237" i="260"/>
  <c r="O1143" i="260" a="1"/>
  <c r="O1143" i="260"/>
  <c r="J1338" i="260" a="1"/>
  <c r="J1338" i="260"/>
  <c r="M1255" i="260" a="1"/>
  <c r="M1255" i="260"/>
  <c r="O1351" i="260" a="1"/>
  <c r="O1351" i="260"/>
  <c r="N1182" i="260" a="1"/>
  <c r="N1182" i="260"/>
  <c r="N1154" i="260" a="1"/>
  <c r="N1154" i="260"/>
  <c r="I1329" i="260" a="1"/>
  <c r="I1329" i="260"/>
  <c r="L1336" i="260" a="1"/>
  <c r="L1336" i="260"/>
  <c r="L1113" i="260" a="1"/>
  <c r="L1113" i="260"/>
  <c r="H1273" i="260" a="1"/>
  <c r="H1273" i="260"/>
  <c r="N1251" i="260" a="1"/>
  <c r="N1251" i="260"/>
  <c r="J1363" i="260" a="1"/>
  <c r="J1363" i="260"/>
  <c r="O1270" i="260" a="1"/>
  <c r="O1270" i="260"/>
  <c r="N1115" i="260" a="1"/>
  <c r="N1115" i="260"/>
  <c r="I1114" i="260" a="1"/>
  <c r="I1114" i="260"/>
  <c r="G1375" i="260" a="1"/>
  <c r="G1375" i="260"/>
  <c r="H1370" i="260" a="1"/>
  <c r="H1370" i="260"/>
  <c r="G1150" i="260" a="1"/>
  <c r="G1150" i="260"/>
  <c r="J1320" i="260" a="1"/>
  <c r="J1320" i="260"/>
  <c r="O1277" i="260" a="1"/>
  <c r="O1277" i="260"/>
  <c r="N1241" i="260" a="1"/>
  <c r="N1241" i="260"/>
  <c r="I1182" i="260" a="1"/>
  <c r="I1182" i="260"/>
  <c r="J1353" i="260" a="1"/>
  <c r="J1353" i="260"/>
  <c r="J1149" i="260" a="1"/>
  <c r="J1149" i="260"/>
  <c r="N1371" i="260" a="1"/>
  <c r="N1371" i="260"/>
  <c r="I1181" i="260" a="1"/>
  <c r="I1181" i="260"/>
  <c r="K1310" i="260" a="1"/>
  <c r="K1310" i="260"/>
  <c r="N1213" i="260" a="1"/>
  <c r="N1213" i="260"/>
  <c r="J1153" i="260" a="1"/>
  <c r="J1153" i="260"/>
  <c r="J1376" i="260" a="1"/>
  <c r="J1376" i="260"/>
  <c r="N1186" i="260" a="1"/>
  <c r="N1186" i="260"/>
  <c r="N1210" i="260" a="1"/>
  <c r="N1210" i="260"/>
  <c r="J1319" i="260" a="1"/>
  <c r="J1319" i="260"/>
  <c r="I1159" i="260" a="1"/>
  <c r="I1159" i="260"/>
  <c r="K1121" i="260" a="1"/>
  <c r="K1121" i="260"/>
  <c r="N1263" i="260" a="1"/>
  <c r="N1263" i="260"/>
  <c r="H1118" i="260" a="1"/>
  <c r="H1118" i="260"/>
  <c r="G1299" i="260" a="1"/>
  <c r="G1299" i="260"/>
  <c r="O1248" i="260" a="1"/>
  <c r="O1248" i="260"/>
  <c r="O1301" i="260" a="1"/>
  <c r="O1301" i="260"/>
  <c r="K1223" i="260" a="1"/>
  <c r="K1223" i="260"/>
  <c r="O1357" i="260" a="1"/>
  <c r="O1357" i="260"/>
  <c r="L1307" i="260" a="1"/>
  <c r="L1307" i="260"/>
  <c r="J1277" i="260" a="1"/>
  <c r="J1277" i="260"/>
  <c r="N1322" i="260" a="1"/>
  <c r="N1322" i="260"/>
  <c r="H1346" i="260" a="1"/>
  <c r="H1346" i="260"/>
  <c r="O1360" i="260" a="1"/>
  <c r="O1360" i="260"/>
  <c r="J1122" i="260" a="1"/>
  <c r="J1122" i="260"/>
  <c r="K1273" i="260" a="1"/>
  <c r="K1273" i="260"/>
  <c r="H1135" i="260" a="1"/>
  <c r="H1135" i="260"/>
  <c r="K1303" i="260" a="1"/>
  <c r="K1303" i="260"/>
  <c r="N1311" i="260" a="1"/>
  <c r="N1311" i="260"/>
  <c r="G1116" i="260" a="1"/>
  <c r="G1116" i="260"/>
  <c r="H1182" i="260" a="1"/>
  <c r="H1182" i="260"/>
  <c r="N1117" i="260" a="1"/>
  <c r="N1117" i="260"/>
  <c r="K1155" i="260" a="1"/>
  <c r="K1155" i="260"/>
  <c r="G1314" i="260" a="1"/>
  <c r="G1314" i="260"/>
  <c r="J1230" i="260" a="1"/>
  <c r="J1230" i="260"/>
  <c r="I1220" i="260" a="1"/>
  <c r="I1220" i="260"/>
  <c r="N1344" i="260" a="1"/>
  <c r="N1344" i="260"/>
  <c r="L1159" i="260" a="1"/>
  <c r="L1159" i="260"/>
  <c r="N1123" i="260" a="1"/>
  <c r="N1123" i="260"/>
  <c r="I1315" i="260" a="1"/>
  <c r="I1315" i="260"/>
  <c r="H1216" i="260" a="1"/>
  <c r="H1216" i="260"/>
  <c r="K1326" i="260" a="1"/>
  <c r="K1326" i="260"/>
  <c r="N1137" i="260" a="1"/>
  <c r="N1137" i="260"/>
  <c r="O1176" i="260" a="1"/>
  <c r="O1176" i="260"/>
  <c r="I1363" i="260" a="1"/>
  <c r="I1363" i="260"/>
  <c r="K1156" i="260" a="1"/>
  <c r="K1156" i="260"/>
  <c r="G1244" i="260" a="1"/>
  <c r="G1244" i="260"/>
  <c r="N1171" i="260" a="1"/>
  <c r="N1171" i="260"/>
  <c r="J1340" i="260" a="1"/>
  <c r="J1340" i="260"/>
  <c r="O1299" i="260" a="1"/>
  <c r="O1299" i="260"/>
  <c r="N1252" i="260" a="1"/>
  <c r="N1252" i="260"/>
  <c r="I1317" i="260" a="1"/>
  <c r="I1317" i="260"/>
  <c r="G1265" i="260" a="1"/>
  <c r="G1265" i="260"/>
  <c r="L1353" i="260" a="1"/>
  <c r="L1353" i="260"/>
  <c r="G1303" i="260" a="1"/>
  <c r="G1303" i="260"/>
  <c r="J1251" i="260" a="1"/>
  <c r="J1251" i="260"/>
  <c r="O1327" i="260" a="1"/>
  <c r="O1327" i="260"/>
  <c r="N1372" i="260" a="1"/>
  <c r="N1372" i="260"/>
  <c r="G1270" i="260" a="1"/>
  <c r="G1270" i="260"/>
  <c r="O1180" i="260" a="1"/>
  <c r="O1180" i="260"/>
  <c r="N1177" i="260" a="1"/>
  <c r="N1177" i="260"/>
  <c r="I1184" i="260" a="1"/>
  <c r="I1184" i="260"/>
  <c r="N1317" i="260" a="1"/>
  <c r="N1317" i="260"/>
  <c r="O1278" i="260" a="1"/>
  <c r="O1278" i="260"/>
  <c r="J1358" i="260" a="1"/>
  <c r="J1358" i="260"/>
  <c r="N1258" i="260" a="1"/>
  <c r="N1258" i="260"/>
  <c r="N1333" i="260" a="1"/>
  <c r="N1333" i="260"/>
  <c r="O1253" i="260" a="1"/>
  <c r="O1253" i="260"/>
  <c r="N1334" i="260" a="1"/>
  <c r="N1334" i="260"/>
  <c r="N1178" i="260" a="1"/>
  <c r="N1178" i="260"/>
  <c r="H1211" i="260" a="1"/>
  <c r="H1211" i="260"/>
  <c r="J1164" i="260" a="1"/>
  <c r="J1164" i="260"/>
  <c r="I1252" i="260" a="1"/>
  <c r="I1252" i="260"/>
  <c r="I1346" i="260" a="1"/>
  <c r="I1346" i="260"/>
  <c r="J1350" i="260" a="1"/>
  <c r="J1350" i="260"/>
  <c r="I1263" i="260" a="1"/>
  <c r="I1263" i="260"/>
  <c r="N1155" i="260" a="1"/>
  <c r="N1155" i="260"/>
  <c r="I1147" i="260" a="1"/>
  <c r="I1147" i="260"/>
  <c r="N1239" i="260" a="1"/>
  <c r="N1239" i="260"/>
  <c r="K1316" i="260" a="1"/>
  <c r="K1316" i="260"/>
  <c r="L1267" i="260" a="1"/>
  <c r="L1267" i="260"/>
  <c r="O1149" i="260" a="1"/>
  <c r="O1149" i="260"/>
  <c r="J1167" i="260" a="1"/>
  <c r="J1167" i="260"/>
  <c r="I1225" i="260" a="1"/>
  <c r="I1225" i="260"/>
  <c r="G1221" i="260" a="1"/>
  <c r="G1221" i="260"/>
  <c r="J1321" i="260" a="1"/>
  <c r="J1321" i="260"/>
  <c r="N1143" i="260" a="1"/>
  <c r="N1143" i="260"/>
  <c r="N1146" i="260" a="1"/>
  <c r="N1146" i="260"/>
  <c r="N1307" i="260" a="1"/>
  <c r="N1307" i="260"/>
  <c r="J1121" i="260" a="1"/>
  <c r="J1121" i="260"/>
  <c r="G1230" i="260" a="1"/>
  <c r="G1230" i="260"/>
  <c r="O1134" i="260" a="1"/>
  <c r="O1134" i="260"/>
  <c r="H1377" i="260" a="1"/>
  <c r="H1377" i="260"/>
  <c r="J1339" i="260" a="1"/>
  <c r="J1339" i="260"/>
  <c r="J1236" i="260" a="1"/>
  <c r="J1236" i="260"/>
  <c r="N1232" i="260" a="1"/>
  <c r="N1232" i="260"/>
  <c r="G1356" i="260" a="1"/>
  <c r="G1356" i="260"/>
  <c r="L1340" i="260" a="1"/>
  <c r="L1340" i="260"/>
  <c r="J1278" i="260" a="1"/>
  <c r="J1278" i="260"/>
  <c r="O1358" i="260" a="1"/>
  <c r="O1358" i="260"/>
  <c r="N1268" i="260" a="1"/>
  <c r="N1268" i="260"/>
  <c r="I1218" i="260" a="1"/>
  <c r="I1218" i="260"/>
  <c r="G1160" i="260" a="1"/>
  <c r="G1160" i="260"/>
  <c r="K1265" i="260" a="1"/>
  <c r="K1265" i="260"/>
  <c r="L1337" i="260" a="1"/>
  <c r="L1337" i="260"/>
  <c r="G1120" i="260" a="1"/>
  <c r="G1120" i="260"/>
  <c r="I1352" i="260" a="1"/>
  <c r="I1352" i="260"/>
  <c r="J1343" i="260" a="1"/>
  <c r="J1343" i="260"/>
  <c r="O1272" i="260" a="1"/>
  <c r="O1272" i="260"/>
  <c r="N1225" i="260" a="1"/>
  <c r="N1225" i="260"/>
  <c r="I1322" i="260" a="1"/>
  <c r="I1322" i="260"/>
  <c r="G1321" i="260" a="1"/>
  <c r="G1321" i="260"/>
  <c r="K1166" i="260" a="1"/>
  <c r="K1166" i="260"/>
  <c r="H1171" i="260" a="1"/>
  <c r="H1171" i="260"/>
  <c r="N1128" i="260" a="1"/>
  <c r="N1128" i="260"/>
  <c r="N1326" i="260" a="1"/>
  <c r="N1326" i="260"/>
  <c r="G1233" i="260" a="1"/>
  <c r="G1233" i="260"/>
  <c r="N1130" i="260" a="1"/>
  <c r="N1130" i="260"/>
  <c r="O1252" i="260" a="1"/>
  <c r="O1252" i="260"/>
  <c r="N1353" i="260" a="1"/>
  <c r="N1353" i="260"/>
  <c r="I1156" i="260" a="1"/>
  <c r="I1156" i="260"/>
  <c r="H1153" i="260" a="1"/>
  <c r="H1153" i="260"/>
  <c r="N1162" i="260" a="1"/>
  <c r="N1162" i="260"/>
  <c r="N1114" i="260" a="1"/>
  <c r="N1114" i="260"/>
  <c r="J1138" i="260" a="1"/>
  <c r="J1138" i="260"/>
  <c r="N1345" i="260" a="1"/>
  <c r="N1345" i="260"/>
  <c r="I1359" i="260" a="1"/>
  <c r="I1359" i="260"/>
  <c r="L1127" i="260" a="1"/>
  <c r="L1127" i="260"/>
  <c r="O1160" i="260" a="1"/>
  <c r="O1160" i="260"/>
  <c r="J1366" i="260" a="1"/>
  <c r="J1366" i="260"/>
  <c r="J1228" i="260" a="1"/>
  <c r="J1228" i="260"/>
  <c r="J1356" i="260" a="1"/>
  <c r="J1356" i="260"/>
  <c r="J1373" i="260" a="1"/>
  <c r="J1373" i="260"/>
  <c r="O1269" i="260" a="1"/>
  <c r="O1269" i="260"/>
  <c r="O1337" i="260" a="1"/>
  <c r="O1337" i="260"/>
  <c r="I1172" i="260" a="1"/>
  <c r="I1172" i="260"/>
  <c r="G1148" i="260" a="1"/>
  <c r="G1148" i="260"/>
  <c r="K1258" i="260" a="1"/>
  <c r="K1258" i="260"/>
  <c r="H1150" i="260" a="1"/>
  <c r="H1150" i="260"/>
  <c r="H1246" i="260" a="1"/>
  <c r="H1246" i="260"/>
  <c r="L1343" i="260" a="1"/>
  <c r="L1343" i="260"/>
  <c r="J1307" i="260" a="1"/>
  <c r="J1307" i="260"/>
  <c r="K1173" i="260" a="1"/>
  <c r="K1173" i="260"/>
  <c r="J1117" i="260" a="1"/>
  <c r="J1117" i="260"/>
  <c r="O1375" i="260" a="1"/>
  <c r="O1375" i="260"/>
  <c r="I1221" i="260" a="1"/>
  <c r="I1221" i="260"/>
  <c r="I1113" i="260" a="1"/>
  <c r="I1113" i="260"/>
  <c r="K1160" i="260" a="1"/>
  <c r="K1160" i="260"/>
  <c r="J1247" i="260" a="1"/>
  <c r="J1247" i="260"/>
  <c r="O1249" i="260" a="1"/>
  <c r="O1249" i="260"/>
  <c r="I1271" i="260" a="1"/>
  <c r="I1271" i="260"/>
  <c r="L1167" i="260" a="1"/>
  <c r="L1167" i="260"/>
  <c r="J1268" i="260" a="1"/>
  <c r="J1268" i="260"/>
  <c r="O1258" i="260" a="1"/>
  <c r="O1258" i="260"/>
  <c r="I1343" i="260" a="1"/>
  <c r="I1343" i="260"/>
  <c r="I1334" i="260" a="1"/>
  <c r="I1334" i="260"/>
  <c r="L1133" i="260" a="1"/>
  <c r="L1133" i="260"/>
  <c r="H1244" i="260" a="1"/>
  <c r="H1244" i="260"/>
  <c r="J1266" i="260" a="1"/>
  <c r="J1266" i="260"/>
  <c r="G1153" i="260" a="1"/>
  <c r="G1153" i="260"/>
  <c r="J1155" i="260" a="1"/>
  <c r="J1155" i="260"/>
  <c r="I1143" i="260" a="1"/>
  <c r="I1143" i="260"/>
  <c r="J1260" i="260" a="1"/>
  <c r="J1260" i="260"/>
  <c r="O1232" i="260" a="1"/>
  <c r="O1232" i="260"/>
  <c r="O1335" i="260" a="1"/>
  <c r="O1335" i="260"/>
  <c r="I1314" i="260" a="1"/>
  <c r="I1314" i="260"/>
  <c r="G1222" i="260" a="1"/>
  <c r="G1222" i="260"/>
  <c r="L1277" i="260" a="1"/>
  <c r="L1277" i="260"/>
  <c r="H1304" i="260" a="1"/>
  <c r="H1304" i="260"/>
  <c r="I1242" i="260" a="1"/>
  <c r="I1242" i="260"/>
  <c r="J1177" i="260" a="1"/>
  <c r="J1177" i="260"/>
  <c r="H1270" i="260" a="1"/>
  <c r="H1270" i="260"/>
  <c r="M1374" i="260" a="1"/>
  <c r="M1374" i="260"/>
  <c r="I1112" i="260" a="1"/>
  <c r="I1112" i="260"/>
  <c r="I1235" i="260" a="1"/>
  <c r="I1235" i="260"/>
  <c r="J1369" i="260" a="1"/>
  <c r="J1369" i="260"/>
  <c r="J1141" i="260" a="1"/>
  <c r="J1141" i="260"/>
  <c r="O1208" i="260" a="1"/>
  <c r="O1208" i="260"/>
  <c r="N1165" i="260" a="1"/>
  <c r="N1165" i="260"/>
  <c r="I1265" i="260" a="1"/>
  <c r="I1265" i="260"/>
  <c r="G1220" i="260" a="1"/>
  <c r="G1220" i="260"/>
  <c r="K1313" i="260" a="1"/>
  <c r="K1313" i="260"/>
  <c r="H1354" i="260" a="1"/>
  <c r="H1354" i="260"/>
  <c r="H1365" i="260" a="1"/>
  <c r="H1365" i="260"/>
  <c r="L1219" i="260" a="1"/>
  <c r="L1219" i="260"/>
  <c r="N1181" i="260" a="1"/>
  <c r="N1181" i="260"/>
  <c r="J1245" i="260" a="1"/>
  <c r="J1245" i="260"/>
  <c r="J1157" i="260" a="1"/>
  <c r="J1157" i="260"/>
  <c r="O1349" i="260" a="1"/>
  <c r="O1349" i="260"/>
  <c r="N1256" i="260" a="1"/>
  <c r="N1256" i="260"/>
  <c r="I1342" i="260" a="1"/>
  <c r="I1342" i="260"/>
  <c r="G1211" i="260" a="1"/>
  <c r="G1211" i="260"/>
  <c r="H1329" i="260" a="1"/>
  <c r="H1329" i="260"/>
  <c r="O1220" i="260" a="1"/>
  <c r="O1220" i="260"/>
  <c r="J1178" i="260" a="1"/>
  <c r="J1178" i="260"/>
  <c r="J1317" i="260" a="1"/>
  <c r="J1317" i="260"/>
  <c r="O1366" i="260" a="1"/>
  <c r="O1366" i="260"/>
  <c r="N1133" i="260" a="1"/>
  <c r="N1133" i="260"/>
  <c r="I1241" i="260" a="1"/>
  <c r="I1241" i="260"/>
  <c r="G1156" i="260" a="1"/>
  <c r="G1156" i="260"/>
  <c r="L1152" i="260" a="1"/>
  <c r="L1152" i="260"/>
  <c r="L1135" i="260" a="1"/>
  <c r="L1135" i="260"/>
  <c r="G1170" i="260" a="1"/>
  <c r="G1170" i="260"/>
  <c r="J1240" i="260" a="1"/>
  <c r="J1240" i="260"/>
  <c r="O1231" i="260" a="1"/>
  <c r="O1231" i="260"/>
  <c r="N1328" i="260" a="1"/>
  <c r="N1328" i="260"/>
  <c r="N1141" i="260" a="1"/>
  <c r="N1141" i="260"/>
  <c r="I1362" i="260" a="1"/>
  <c r="I1362" i="260"/>
  <c r="G1339" i="260" a="1"/>
  <c r="G1339" i="260"/>
  <c r="K1176" i="260" a="1"/>
  <c r="K1176" i="260"/>
  <c r="H1162" i="260" a="1"/>
  <c r="H1162" i="260"/>
  <c r="O1321" i="260" a="1"/>
  <c r="O1321" i="260"/>
  <c r="I1328" i="260" a="1"/>
  <c r="I1328" i="260"/>
  <c r="K1183" i="260" a="1"/>
  <c r="K1183" i="260"/>
  <c r="N1305" i="260" a="1"/>
  <c r="N1305" i="260"/>
  <c r="J1126" i="260" a="1"/>
  <c r="J1126" i="260"/>
  <c r="J1146" i="260" a="1"/>
  <c r="J1146" i="260"/>
  <c r="O1308" i="260" a="1"/>
  <c r="O1308" i="260"/>
  <c r="N1255" i="260" a="1"/>
  <c r="N1255" i="260"/>
  <c r="I1132" i="260" a="1"/>
  <c r="I1132" i="260"/>
  <c r="G1121" i="260" a="1"/>
  <c r="G1121" i="260"/>
  <c r="L1143" i="260" a="1"/>
  <c r="L1143" i="260"/>
  <c r="J1361" i="260" a="1"/>
  <c r="J1361" i="260"/>
  <c r="O1141" i="260" a="1"/>
  <c r="O1141" i="260"/>
  <c r="N1149" i="260" a="1"/>
  <c r="N1149" i="260"/>
  <c r="J1304" i="260" a="1"/>
  <c r="J1304" i="260"/>
  <c r="I1188" i="260" a="1"/>
  <c r="I1188" i="260"/>
  <c r="M1214" i="260" a="1"/>
  <c r="M1214" i="260"/>
  <c r="J1362" i="260" a="1"/>
  <c r="J1362" i="260"/>
  <c r="G1163" i="260" a="1"/>
  <c r="G1163" i="260"/>
  <c r="J1222" i="260" a="1"/>
  <c r="J1222" i="260"/>
  <c r="G1135" i="260" a="1"/>
  <c r="G1135" i="260"/>
  <c r="N1279" i="260" a="1"/>
  <c r="N1279" i="260"/>
  <c r="O1279" i="260" a="1"/>
  <c r="O1279" i="260"/>
  <c r="M1350" i="260" a="1"/>
  <c r="M1350" i="260"/>
  <c r="O1136" i="260" a="1"/>
  <c r="O1136" i="260"/>
  <c r="N1180" i="260" a="1"/>
  <c r="N1180" i="260"/>
  <c r="J1131" i="260" a="1"/>
  <c r="J1131" i="260"/>
  <c r="J1232" i="260" a="1"/>
  <c r="J1232" i="260"/>
  <c r="J1246" i="260" a="1"/>
  <c r="J1246" i="260"/>
  <c r="O1126" i="260" a="1"/>
  <c r="O1126" i="260"/>
  <c r="O1174" i="260" a="1"/>
  <c r="O1174" i="260"/>
  <c r="O1323" i="260" a="1"/>
  <c r="O1323" i="260"/>
  <c r="O1344" i="260" a="1"/>
  <c r="O1344" i="260"/>
  <c r="N1129" i="260" a="1"/>
  <c r="N1129" i="260"/>
  <c r="N1262" i="260" a="1"/>
  <c r="N1262" i="260"/>
  <c r="N1354" i="260" a="1"/>
  <c r="N1354" i="260"/>
  <c r="N1147" i="260" a="1"/>
  <c r="N1147" i="260"/>
  <c r="I1258" i="260" a="1"/>
  <c r="I1258" i="260"/>
  <c r="I1301" i="260" a="1"/>
  <c r="I1301" i="260"/>
  <c r="I1211" i="260" a="1"/>
  <c r="I1211" i="260"/>
  <c r="G1250" i="260" a="1"/>
  <c r="G1250" i="260"/>
  <c r="G1238" i="260" a="1"/>
  <c r="G1238" i="260"/>
  <c r="L1368" i="260" a="1"/>
  <c r="L1368" i="260"/>
  <c r="L1120" i="260" a="1"/>
  <c r="L1120" i="260"/>
  <c r="K1189" i="260" a="1"/>
  <c r="K1189" i="260"/>
  <c r="K1158" i="260" a="1"/>
  <c r="K1158" i="260"/>
  <c r="H1274" i="260" a="1"/>
  <c r="H1274" i="260"/>
  <c r="G1272" i="260" a="1"/>
  <c r="G1272" i="260"/>
  <c r="L1369" i="260" a="1"/>
  <c r="L1369" i="260"/>
  <c r="K1363" i="260" a="1"/>
  <c r="K1363" i="260"/>
  <c r="H1218" i="260" a="1"/>
  <c r="H1218" i="260"/>
  <c r="K1179" i="260" a="1"/>
  <c r="K1179" i="260"/>
  <c r="G1267" i="260" a="1"/>
  <c r="G1267" i="260"/>
  <c r="K1137" i="260" a="1"/>
  <c r="K1137" i="260"/>
  <c r="J1125" i="260" a="1"/>
  <c r="J1125" i="260"/>
  <c r="O1173" i="260" a="1"/>
  <c r="O1173" i="260"/>
  <c r="I1223" i="260" a="1"/>
  <c r="I1223" i="260"/>
  <c r="G1276" i="260" a="1"/>
  <c r="G1276" i="260"/>
  <c r="H1140" i="260" a="1"/>
  <c r="H1140" i="260"/>
  <c r="J1111" i="260" a="1"/>
  <c r="J1111" i="260"/>
  <c r="J1233" i="260" a="1"/>
  <c r="J1233" i="260"/>
  <c r="J1181" i="260" a="1"/>
  <c r="J1181" i="260"/>
  <c r="O1359" i="260" a="1"/>
  <c r="O1359" i="260"/>
  <c r="O1181" i="260" a="1"/>
  <c r="O1181" i="260"/>
  <c r="O1246" i="260" a="1"/>
  <c r="O1246" i="260"/>
  <c r="O1140" i="260" a="1"/>
  <c r="O1140" i="260"/>
  <c r="N1132" i="260" a="1"/>
  <c r="N1132" i="260"/>
  <c r="N1315" i="260" a="1"/>
  <c r="N1315" i="260"/>
  <c r="N1308" i="260" a="1"/>
  <c r="N1308" i="260"/>
  <c r="N1157" i="260" a="1"/>
  <c r="N1157" i="260"/>
  <c r="I1119" i="260" a="1"/>
  <c r="I1119" i="260"/>
  <c r="I1206" i="260" a="1"/>
  <c r="I1206" i="260"/>
  <c r="I1127" i="260" a="1"/>
  <c r="I1127" i="260"/>
  <c r="I1337" i="260" a="1"/>
  <c r="I1337" i="260"/>
  <c r="G1300" i="260" a="1"/>
  <c r="G1300" i="260"/>
  <c r="L1229" i="260" a="1"/>
  <c r="L1229" i="260"/>
  <c r="K1334" i="260" a="1"/>
  <c r="K1334" i="260"/>
  <c r="K1170" i="260" a="1"/>
  <c r="K1170" i="260"/>
  <c r="L1270" i="260" a="1"/>
  <c r="L1270" i="260"/>
  <c r="J1302" i="260" a="1"/>
  <c r="J1302" i="260"/>
  <c r="N1319" i="260" a="1"/>
  <c r="N1319" i="260"/>
  <c r="I1247" i="260" a="1"/>
  <c r="I1247" i="260"/>
  <c r="K1330" i="260" a="1"/>
  <c r="K1330" i="260"/>
  <c r="J1242" i="260" a="1"/>
  <c r="J1242" i="260"/>
  <c r="J1151" i="260" a="1"/>
  <c r="J1151" i="260"/>
  <c r="J1309" i="260" a="1"/>
  <c r="J1309" i="260"/>
  <c r="J1337" i="260" a="1"/>
  <c r="J1337" i="260"/>
  <c r="O1316" i="260" a="1"/>
  <c r="O1316" i="260"/>
  <c r="O1271" i="260" a="1"/>
  <c r="O1271" i="260"/>
  <c r="O1165" i="260" a="1"/>
  <c r="O1165" i="260"/>
  <c r="N1361" i="260" a="1"/>
  <c r="N1361" i="260"/>
  <c r="N1351" i="260" a="1"/>
  <c r="N1351" i="260"/>
  <c r="N1269" i="260" a="1"/>
  <c r="N1269" i="260"/>
  <c r="N1136" i="260" a="1"/>
  <c r="N1136" i="260"/>
  <c r="I1326" i="260" a="1"/>
  <c r="I1326" i="260"/>
  <c r="I1370" i="260" a="1"/>
  <c r="I1370" i="260"/>
  <c r="I1137" i="260" a="1"/>
  <c r="I1137" i="260"/>
  <c r="I1142" i="260" a="1"/>
  <c r="I1142" i="260"/>
  <c r="G1254" i="260" a="1"/>
  <c r="G1254" i="260"/>
  <c r="G1330" i="260" a="1"/>
  <c r="G1330" i="260"/>
  <c r="L1214" i="260" a="1"/>
  <c r="L1214" i="260"/>
  <c r="L1149" i="260" a="1"/>
  <c r="L1149" i="260"/>
  <c r="H1368" i="260" a="1"/>
  <c r="H1368" i="260"/>
  <c r="K1327" i="260" a="1"/>
  <c r="K1327" i="260"/>
  <c r="O1352" i="260" a="1"/>
  <c r="O1352" i="260"/>
  <c r="N1142" i="260" a="1"/>
  <c r="N1142" i="260"/>
  <c r="L1363" i="260" a="1"/>
  <c r="L1363" i="260"/>
  <c r="J1132" i="260" a="1"/>
  <c r="J1132" i="260"/>
  <c r="J1211" i="260" a="1"/>
  <c r="J1211" i="260"/>
  <c r="J1129" i="260" a="1"/>
  <c r="J1129" i="260"/>
  <c r="J1262" i="260" a="1"/>
  <c r="J1262" i="260"/>
  <c r="O1340" i="260" a="1"/>
  <c r="O1340" i="260"/>
  <c r="O1339" i="260" a="1"/>
  <c r="O1339" i="260"/>
  <c r="O1367" i="260" a="1"/>
  <c r="O1367" i="260"/>
  <c r="O1331" i="260" a="1"/>
  <c r="O1331" i="260"/>
  <c r="N1248" i="260" a="1"/>
  <c r="N1248" i="260"/>
  <c r="N1340" i="260" a="1"/>
  <c r="N1340" i="260"/>
  <c r="N1205" i="260" a="1"/>
  <c r="N1205" i="260"/>
  <c r="I1187" i="260" a="1"/>
  <c r="I1187" i="260"/>
  <c r="I1120" i="260" a="1"/>
  <c r="I1120" i="260"/>
  <c r="I1176" i="260" a="1"/>
  <c r="I1176" i="260"/>
  <c r="I1170" i="260" a="1"/>
  <c r="I1170" i="260"/>
  <c r="G1368" i="260" a="1"/>
  <c r="G1368" i="260"/>
  <c r="G1245" i="260" a="1"/>
  <c r="G1245" i="260"/>
  <c r="L1225" i="260" a="1"/>
  <c r="L1225" i="260"/>
  <c r="L1154" i="260" a="1"/>
  <c r="L1154" i="260"/>
  <c r="K1252" i="260" a="1"/>
  <c r="K1252" i="260"/>
  <c r="K1143" i="260" a="1"/>
  <c r="K1143" i="260"/>
  <c r="H1249" i="260" a="1"/>
  <c r="H1249" i="260"/>
  <c r="J1255" i="260" a="1"/>
  <c r="J1255" i="260"/>
  <c r="J1206" i="260" a="1"/>
  <c r="J1206" i="260"/>
  <c r="O1318" i="260" a="1"/>
  <c r="O1318" i="260"/>
  <c r="O1130" i="260" a="1"/>
  <c r="O1130" i="260"/>
  <c r="N1127" i="260" a="1"/>
  <c r="N1127" i="260"/>
  <c r="N1250" i="260" a="1"/>
  <c r="N1250" i="260"/>
  <c r="I1183" i="260" a="1"/>
  <c r="I1183" i="260"/>
  <c r="I1376" i="260" a="1"/>
  <c r="I1376" i="260"/>
  <c r="L1362" i="260" a="1"/>
  <c r="L1362" i="260"/>
  <c r="H1128" i="260" a="1"/>
  <c r="H1128" i="260"/>
  <c r="J1331" i="260" a="1"/>
  <c r="J1331" i="260"/>
  <c r="N1187" i="260" a="1"/>
  <c r="N1187" i="260"/>
  <c r="I1161" i="260" a="1"/>
  <c r="I1161" i="260"/>
  <c r="L1209" i="260" a="1"/>
  <c r="L1209" i="260"/>
  <c r="H1260" i="260" a="1"/>
  <c r="H1260" i="260"/>
  <c r="J1354" i="260" a="1"/>
  <c r="J1354" i="260"/>
  <c r="J1273" i="260" a="1"/>
  <c r="J1273" i="260"/>
  <c r="J1272" i="260" a="1"/>
  <c r="J1272" i="260"/>
  <c r="O1256" i="260" a="1"/>
  <c r="O1256" i="260"/>
  <c r="O1132" i="260" a="1"/>
  <c r="O1132" i="260"/>
  <c r="O1162" i="260" a="1"/>
  <c r="O1162" i="260"/>
  <c r="O1112" i="260" a="1"/>
  <c r="O1112" i="260"/>
  <c r="N1172" i="260" a="1"/>
  <c r="N1172" i="260"/>
  <c r="N1243" i="260" a="1"/>
  <c r="N1243" i="260"/>
  <c r="N1120" i="260" a="1"/>
  <c r="N1120" i="260"/>
  <c r="N1158" i="260" a="1"/>
  <c r="N1158" i="260"/>
  <c r="I1167" i="260" a="1"/>
  <c r="I1167" i="260"/>
  <c r="I1364" i="260" a="1"/>
  <c r="I1364" i="260"/>
  <c r="I1162" i="260" a="1"/>
  <c r="I1162" i="260"/>
  <c r="G1130" i="260" a="1"/>
  <c r="G1130" i="260"/>
  <c r="L1278" i="260" a="1"/>
  <c r="L1278" i="260"/>
  <c r="L1248" i="260" a="1"/>
  <c r="L1248" i="260"/>
  <c r="K1274" i="260" a="1"/>
  <c r="K1274" i="260"/>
  <c r="K1358" i="260" a="1"/>
  <c r="K1358" i="260"/>
  <c r="H1236" i="260" a="1"/>
  <c r="H1236" i="260"/>
  <c r="H1145" i="260" a="1"/>
  <c r="H1145" i="260"/>
  <c r="J1347" i="260" a="1"/>
  <c r="J1347" i="260"/>
  <c r="O1236" i="260" a="1"/>
  <c r="O1236" i="260"/>
  <c r="O1163" i="260" a="1"/>
  <c r="O1163" i="260"/>
  <c r="N1247" i="260" a="1"/>
  <c r="N1247" i="260"/>
  <c r="N1257" i="260" a="1"/>
  <c r="N1257" i="260"/>
  <c r="I1282" i="260" a="1"/>
  <c r="I1282" i="260"/>
  <c r="I1351" i="260" a="1"/>
  <c r="I1351" i="260"/>
  <c r="K1336" i="260" a="1"/>
  <c r="K1336" i="260"/>
  <c r="J1168" i="260" a="1"/>
  <c r="J1168" i="260"/>
  <c r="O1144" i="260" a="1"/>
  <c r="O1144" i="260"/>
  <c r="I1236" i="260" a="1"/>
  <c r="I1236" i="260"/>
  <c r="L1326" i="260" a="1"/>
  <c r="L1326" i="260"/>
  <c r="O1263" i="260" a="1"/>
  <c r="O1263" i="260"/>
  <c r="I1264" i="260" a="1"/>
  <c r="I1264" i="260"/>
  <c r="M1372" i="260" a="1"/>
  <c r="M1372" i="260"/>
  <c r="N1211" i="260" a="1"/>
  <c r="N1211" i="260"/>
  <c r="H1189" i="260" a="1"/>
  <c r="H1189" i="260"/>
  <c r="H1143" i="260" a="1"/>
  <c r="H1143" i="260"/>
  <c r="M1215" i="260" a="1"/>
  <c r="M1215" i="260"/>
  <c r="N1222" i="260" a="1"/>
  <c r="N1222" i="260"/>
  <c r="O1268" i="260" a="1"/>
  <c r="O1268" i="260"/>
  <c r="O1305" i="260" a="1"/>
  <c r="O1305" i="260"/>
  <c r="I1302" i="260" a="1"/>
  <c r="I1302" i="260"/>
  <c r="J1147" i="260" a="1"/>
  <c r="J1147" i="260"/>
  <c r="N1227" i="260" a="1"/>
  <c r="N1227" i="260"/>
  <c r="G1159" i="260" a="1"/>
  <c r="G1159" i="260"/>
  <c r="N1350" i="260" a="1"/>
  <c r="N1350" i="260"/>
  <c r="O1342" i="260" a="1"/>
  <c r="O1342" i="260"/>
  <c r="I1272" i="260" a="1"/>
  <c r="I1272" i="260"/>
  <c r="H1132" i="260" a="1"/>
  <c r="H1132" i="260"/>
  <c r="N1215" i="260" a="1"/>
  <c r="N1215" i="260"/>
  <c r="O1338" i="260" a="1"/>
  <c r="O1338" i="260"/>
  <c r="J1212" i="260" a="1"/>
  <c r="J1212" i="260"/>
  <c r="I1173" i="260" a="1"/>
  <c r="I1173" i="260"/>
  <c r="I1136" i="260" a="1"/>
  <c r="I1136" i="260"/>
  <c r="I1353" i="260" a="1"/>
  <c r="I1353" i="260"/>
  <c r="I1145" i="260" a="1"/>
  <c r="I1145" i="260"/>
  <c r="G1181" i="260" a="1"/>
  <c r="G1181" i="260"/>
  <c r="L1360" i="260" a="1"/>
  <c r="L1360" i="260"/>
  <c r="L1370" i="260" a="1"/>
  <c r="L1370" i="260"/>
  <c r="K1318" i="260" a="1"/>
  <c r="K1318" i="260"/>
  <c r="H1312" i="260" a="1"/>
  <c r="H1312" i="260"/>
  <c r="H1359" i="260" a="1"/>
  <c r="H1359" i="260"/>
  <c r="O1133" i="260" a="1"/>
  <c r="O1133" i="260"/>
  <c r="I1299" i="260" a="1"/>
  <c r="I1299" i="260"/>
  <c r="L1212" i="260" a="1"/>
  <c r="L1212" i="260"/>
  <c r="J1112" i="260" a="1"/>
  <c r="J1112" i="260"/>
  <c r="J1315" i="260" a="1"/>
  <c r="J1315" i="260"/>
  <c r="J1310" i="260" a="1"/>
  <c r="J1310" i="260"/>
  <c r="J1158" i="260" a="1"/>
  <c r="J1158" i="260"/>
  <c r="O1265" i="260" a="1"/>
  <c r="O1265" i="260"/>
  <c r="O1154" i="260" a="1"/>
  <c r="O1154" i="260"/>
  <c r="O1124" i="260" a="1"/>
  <c r="O1124" i="260"/>
  <c r="O1147" i="260" a="1"/>
  <c r="O1147" i="260"/>
  <c r="I1369" i="260" a="1"/>
  <c r="I1369" i="260"/>
  <c r="I1311" i="260" a="1"/>
  <c r="I1311" i="260"/>
  <c r="I1274" i="260" a="1"/>
  <c r="I1274" i="260"/>
  <c r="I1186" i="260" a="1"/>
  <c r="I1186" i="260"/>
  <c r="G1212" i="260" a="1"/>
  <c r="G1212" i="260"/>
  <c r="G1365" i="260" a="1"/>
  <c r="G1365" i="260"/>
  <c r="L1373" i="260" a="1"/>
  <c r="L1373" i="260"/>
  <c r="L1137" i="260" a="1"/>
  <c r="L1137" i="260"/>
  <c r="K1306" i="260" a="1"/>
  <c r="K1306" i="260"/>
  <c r="K1335" i="260" a="1"/>
  <c r="K1335" i="260"/>
  <c r="H1350" i="260" a="1"/>
  <c r="H1350" i="260"/>
  <c r="J1368" i="260" a="1"/>
  <c r="J1368" i="260"/>
  <c r="J1300" i="260" a="1"/>
  <c r="J1300" i="260"/>
  <c r="O1312" i="260" a="1"/>
  <c r="O1312" i="260"/>
  <c r="O1261" i="260" a="1"/>
  <c r="O1261" i="260"/>
  <c r="I1152" i="260" a="1"/>
  <c r="I1152" i="260"/>
  <c r="I1373" i="260" a="1"/>
  <c r="I1373" i="260"/>
  <c r="L1151" i="260" a="1"/>
  <c r="L1151" i="260"/>
  <c r="H1205" i="260" a="1"/>
  <c r="H1205" i="260"/>
  <c r="O1319" i="260" a="1"/>
  <c r="O1319" i="260"/>
  <c r="I1237" i="260" a="1"/>
  <c r="I1237" i="260"/>
  <c r="L1321" i="260" a="1"/>
  <c r="L1321" i="260"/>
  <c r="H1222" i="260" a="1"/>
  <c r="H1222" i="260"/>
  <c r="J1234" i="260" a="1"/>
  <c r="J1234" i="260"/>
  <c r="J1224" i="260" a="1"/>
  <c r="J1224" i="260"/>
  <c r="J1188" i="260" a="1"/>
  <c r="J1188" i="260"/>
  <c r="O1230" i="260" a="1"/>
  <c r="O1230" i="260"/>
  <c r="O1221" i="260" a="1"/>
  <c r="O1221" i="260"/>
  <c r="O1328" i="260" a="1"/>
  <c r="O1328" i="260"/>
  <c r="O1302" i="260" a="1"/>
  <c r="O1302" i="260"/>
  <c r="I1226" i="260" a="1"/>
  <c r="I1226" i="260"/>
  <c r="I1275" i="260" a="1"/>
  <c r="I1275" i="260"/>
  <c r="I1209" i="260" a="1"/>
  <c r="I1209" i="260"/>
  <c r="G1345" i="260" a="1"/>
  <c r="G1345" i="260"/>
  <c r="G1328" i="260" a="1"/>
  <c r="G1328" i="260"/>
  <c r="L1354" i="260" a="1"/>
  <c r="L1354" i="260"/>
  <c r="L1357" i="260" a="1"/>
  <c r="L1357" i="260"/>
  <c r="K1300" i="260" a="1"/>
  <c r="K1300" i="260"/>
  <c r="K1247" i="260" a="1"/>
  <c r="K1247" i="260"/>
  <c r="H1210" i="260" a="1"/>
  <c r="H1210" i="260"/>
  <c r="J1279" i="260" a="1"/>
  <c r="J1279" i="260"/>
  <c r="J1344" i="260" a="1"/>
  <c r="J1344" i="260"/>
  <c r="O1187" i="260" a="1"/>
  <c r="O1187" i="260"/>
  <c r="O1273" i="260" a="1"/>
  <c r="O1273" i="260"/>
  <c r="N1368" i="260" a="1"/>
  <c r="N1368" i="260"/>
  <c r="N1300" i="260" a="1"/>
  <c r="N1300" i="260"/>
  <c r="I1212" i="260" a="1"/>
  <c r="I1212" i="260"/>
  <c r="I1131" i="260" a="1"/>
  <c r="I1131" i="260"/>
  <c r="H1355" i="260" a="1"/>
  <c r="H1355" i="260"/>
  <c r="J1335" i="260" a="1"/>
  <c r="J1335" i="260"/>
  <c r="N1276" i="260" a="1"/>
  <c r="N1276" i="260"/>
  <c r="I1228" i="260" a="1"/>
  <c r="I1228" i="260"/>
  <c r="L1245" i="260" a="1"/>
  <c r="L1245" i="260"/>
  <c r="J1170" i="260" a="1"/>
  <c r="J1170" i="260"/>
  <c r="O1333" i="260" a="1"/>
  <c r="O1333" i="260"/>
  <c r="G1133" i="260" a="1"/>
  <c r="G1133" i="260"/>
  <c r="M1355" i="260" a="1"/>
  <c r="M1355" i="260"/>
  <c r="I1325" i="260" a="1"/>
  <c r="I1325" i="260"/>
  <c r="I1280" i="260" a="1"/>
  <c r="I1280" i="260"/>
  <c r="J1238" i="260" a="1"/>
  <c r="J1238" i="260"/>
  <c r="I1309" i="260" a="1"/>
  <c r="I1309" i="260"/>
  <c r="O1245" i="260" a="1"/>
  <c r="O1245" i="260"/>
  <c r="K1340" i="260" a="1"/>
  <c r="K1340" i="260"/>
  <c r="N1167" i="260" a="1"/>
  <c r="N1167" i="260"/>
  <c r="H1147" i="260" a="1"/>
  <c r="H1147" i="260"/>
  <c r="J1130" i="260" a="1"/>
  <c r="J1130" i="260"/>
  <c r="O1324" i="260" a="1"/>
  <c r="O1324" i="260"/>
  <c r="G1147" i="260" a="1"/>
  <c r="G1147" i="260"/>
  <c r="I1320" i="260" a="1"/>
  <c r="I1320" i="260"/>
  <c r="H1344" i="260" a="1"/>
  <c r="H1344" i="260"/>
  <c r="J1179" i="260" a="1"/>
  <c r="J1179" i="260"/>
  <c r="J1180" i="260" a="1"/>
  <c r="J1180" i="260"/>
  <c r="J1327" i="260" a="1"/>
  <c r="J1327" i="260"/>
  <c r="O1205" i="260" a="1"/>
  <c r="O1205" i="260"/>
  <c r="O1346" i="260" a="1"/>
  <c r="O1346" i="260"/>
  <c r="O1119" i="260" a="1"/>
  <c r="O1119" i="260"/>
  <c r="O1330" i="260" a="1"/>
  <c r="O1330" i="260"/>
  <c r="N1343" i="260" a="1"/>
  <c r="N1343" i="260"/>
  <c r="N1218" i="260" a="1"/>
  <c r="N1218" i="260"/>
  <c r="N1362" i="260" a="1"/>
  <c r="N1362" i="260"/>
  <c r="I1229" i="260" a="1"/>
  <c r="I1229" i="260"/>
  <c r="I1361" i="260" a="1"/>
  <c r="I1361" i="260"/>
  <c r="I1312" i="260" a="1"/>
  <c r="I1312" i="260"/>
  <c r="I1356" i="260" a="1"/>
  <c r="I1356" i="260"/>
  <c r="G1343" i="260" a="1"/>
  <c r="G1343" i="260"/>
  <c r="G1271" i="260" a="1"/>
  <c r="G1271" i="260"/>
  <c r="L1243" i="260" a="1"/>
  <c r="L1243" i="260"/>
  <c r="L1144" i="260" a="1"/>
  <c r="L1144" i="260"/>
  <c r="K1129" i="260" a="1"/>
  <c r="K1129" i="260"/>
  <c r="H1255" i="260" a="1"/>
  <c r="H1255" i="260"/>
  <c r="H1226" i="260" a="1"/>
  <c r="H1226" i="260"/>
  <c r="L1347" i="260" a="1"/>
  <c r="L1347" i="260"/>
  <c r="L1333" i="260" a="1"/>
  <c r="L1333" i="260"/>
  <c r="K1154" i="260" a="1"/>
  <c r="K1154" i="260"/>
  <c r="H1225" i="260" a="1"/>
  <c r="H1225" i="260"/>
  <c r="H1310" i="260" a="1"/>
  <c r="H1310" i="260"/>
  <c r="G1252" i="260" a="1"/>
  <c r="G1252" i="260"/>
  <c r="K1332" i="260" a="1"/>
  <c r="K1332" i="260"/>
  <c r="J1349" i="260" a="1"/>
  <c r="J1349" i="260"/>
  <c r="N1170" i="260" a="1"/>
  <c r="N1170" i="260"/>
  <c r="I1245" i="260" a="1"/>
  <c r="I1245" i="260"/>
  <c r="L1237" i="260" a="1"/>
  <c r="L1237" i="260"/>
  <c r="J1227" i="260" a="1"/>
  <c r="J1227" i="260"/>
  <c r="J1328" i="260" a="1"/>
  <c r="J1328" i="260"/>
  <c r="J1150" i="260" a="1"/>
  <c r="J1150" i="260"/>
  <c r="J1119" i="260" a="1"/>
  <c r="J1119" i="260"/>
  <c r="O1237" i="260" a="1"/>
  <c r="O1237" i="260"/>
  <c r="O1182" i="260" a="1"/>
  <c r="O1182" i="260"/>
  <c r="O1184" i="260" a="1"/>
  <c r="O1184" i="260"/>
  <c r="O1304" i="260" a="1"/>
  <c r="O1304" i="260"/>
  <c r="N1267" i="260" a="1"/>
  <c r="N1267" i="260"/>
  <c r="N1139" i="260" a="1"/>
  <c r="N1139" i="260"/>
  <c r="N1273" i="260" a="1"/>
  <c r="N1273" i="260"/>
  <c r="N1335" i="260" a="1"/>
  <c r="N1335" i="260"/>
  <c r="I1140" i="260" a="1"/>
  <c r="I1140" i="260"/>
  <c r="I1118" i="260" a="1"/>
  <c r="I1118" i="260"/>
  <c r="I1208" i="260" a="1"/>
  <c r="I1208" i="260"/>
  <c r="G1152" i="260" a="1"/>
  <c r="G1152" i="260"/>
  <c r="G1129" i="260" a="1"/>
  <c r="G1129" i="260"/>
  <c r="L1158" i="260" a="1"/>
  <c r="L1158" i="260"/>
  <c r="H1129" i="260" a="1"/>
  <c r="H1129" i="260"/>
  <c r="H1328" i="260" a="1"/>
  <c r="H1328" i="260"/>
  <c r="L1263" i="260" a="1"/>
  <c r="L1263" i="260"/>
  <c r="J1221" i="260" a="1"/>
  <c r="J1221" i="260"/>
  <c r="N1240" i="260" a="1"/>
  <c r="N1240" i="260"/>
  <c r="G1167" i="260" a="1"/>
  <c r="G1167" i="260"/>
  <c r="H1146" i="260" a="1"/>
  <c r="H1146" i="260"/>
  <c r="J1313" i="260" a="1"/>
  <c r="J1313" i="260"/>
  <c r="J1323" i="260" a="1"/>
  <c r="J1323" i="260"/>
  <c r="J1239" i="260" a="1"/>
  <c r="J1239" i="260"/>
  <c r="O1121" i="260" a="1"/>
  <c r="O1121" i="260"/>
  <c r="O1111" i="260" a="1"/>
  <c r="O1111" i="260"/>
  <c r="O1368" i="260" a="1"/>
  <c r="O1368" i="260"/>
  <c r="O1235" i="260" a="1"/>
  <c r="O1235" i="260"/>
  <c r="N1265" i="260" a="1"/>
  <c r="N1265" i="260"/>
  <c r="N1281" i="260" a="1"/>
  <c r="N1281" i="260"/>
  <c r="N1245" i="260" a="1"/>
  <c r="N1245" i="260"/>
  <c r="N1329" i="260" a="1"/>
  <c r="N1329" i="260"/>
  <c r="I1135" i="260" a="1"/>
  <c r="I1135" i="260"/>
  <c r="I1153" i="260" a="1"/>
  <c r="I1153" i="260"/>
  <c r="I1318" i="260" a="1"/>
  <c r="I1318" i="260"/>
  <c r="I1149" i="260" a="1"/>
  <c r="I1149" i="260"/>
  <c r="G1342" i="260" a="1"/>
  <c r="G1342" i="260"/>
  <c r="L1121" i="260" a="1"/>
  <c r="L1121" i="260"/>
  <c r="L1134" i="260" a="1"/>
  <c r="L1134" i="260"/>
  <c r="K1276" i="260" a="1"/>
  <c r="K1276" i="260"/>
  <c r="H1164" i="260" a="1"/>
  <c r="H1164" i="260"/>
  <c r="H1120" i="260" a="1"/>
  <c r="H1120" i="260"/>
  <c r="O1311" i="260" a="1"/>
  <c r="O1311" i="260"/>
  <c r="I1243" i="260" a="1"/>
  <c r="I1243" i="260"/>
  <c r="K1124" i="260" a="1"/>
  <c r="K1124" i="260"/>
  <c r="J1185" i="260" a="1"/>
  <c r="J1185" i="260"/>
  <c r="J1283" i="260" a="1"/>
  <c r="J1283" i="260"/>
  <c r="J1271" i="260" a="1"/>
  <c r="J1271" i="260"/>
  <c r="J1333" i="260" a="1"/>
  <c r="J1333" i="260"/>
  <c r="O1365" i="260" a="1"/>
  <c r="O1365" i="260"/>
  <c r="O1156" i="260" a="1"/>
  <c r="O1156" i="260"/>
  <c r="O1225" i="260" a="1"/>
  <c r="O1225" i="260"/>
  <c r="N1274" i="260" a="1"/>
  <c r="N1274" i="260"/>
  <c r="N1111" i="260" a="1"/>
  <c r="N1111" i="260"/>
  <c r="N1224" i="260" a="1"/>
  <c r="N1224" i="260"/>
  <c r="N1355" i="260" a="1"/>
  <c r="N1355" i="260"/>
  <c r="I1270" i="260" a="1"/>
  <c r="I1270" i="260"/>
  <c r="I1273" i="260" a="1"/>
  <c r="I1273" i="260"/>
  <c r="I1377" i="260" a="1"/>
  <c r="I1377" i="260"/>
  <c r="I1357" i="260" a="1"/>
  <c r="I1357" i="260"/>
  <c r="G1358" i="260" a="1"/>
  <c r="G1358" i="260"/>
  <c r="G1142" i="260" a="1"/>
  <c r="G1142" i="260"/>
  <c r="L1205" i="260" a="1"/>
  <c r="L1205" i="260"/>
  <c r="K1319" i="260" a="1"/>
  <c r="K1319" i="260"/>
  <c r="K1232" i="260" a="1"/>
  <c r="K1232" i="260"/>
  <c r="H1363" i="260" a="1"/>
  <c r="H1363" i="260"/>
  <c r="H1126" i="260" a="1"/>
  <c r="H1126" i="260"/>
  <c r="J1314" i="260" a="1"/>
  <c r="J1314" i="260"/>
  <c r="J1166" i="260" a="1"/>
  <c r="J1166" i="260"/>
  <c r="O1259" i="260" a="1"/>
  <c r="O1259" i="260"/>
  <c r="O1310" i="260" a="1"/>
  <c r="O1310" i="260"/>
  <c r="N1264" i="260" a="1"/>
  <c r="N1264" i="260"/>
  <c r="N1135" i="260" a="1"/>
  <c r="N1135" i="260"/>
  <c r="I1134" i="260" a="1"/>
  <c r="I1134" i="260"/>
  <c r="I1307" i="260" a="1"/>
  <c r="I1307" i="260"/>
  <c r="L1150" i="260" a="1"/>
  <c r="L1150" i="260"/>
  <c r="J1256" i="260" a="1"/>
  <c r="J1256" i="260"/>
  <c r="O1317" i="260" a="1"/>
  <c r="O1317" i="260"/>
  <c r="N1156" i="260" a="1"/>
  <c r="N1156" i="260"/>
  <c r="I1139" i="260" a="1"/>
  <c r="I1139" i="260"/>
  <c r="L1315" i="260" a="1"/>
  <c r="L1315" i="260"/>
  <c r="H1331" i="260" a="1"/>
  <c r="H1331" i="260"/>
  <c r="J1217" i="260" a="1"/>
  <c r="J1217" i="260"/>
  <c r="J1165" i="260" a="1"/>
  <c r="J1165" i="260"/>
  <c r="J1367" i="260" a="1"/>
  <c r="J1367" i="260"/>
  <c r="O1186" i="260" a="1"/>
  <c r="O1186" i="260"/>
  <c r="O1362" i="260" a="1"/>
  <c r="O1362" i="260"/>
  <c r="O1280" i="260" a="1"/>
  <c r="O1280" i="260"/>
  <c r="O1157" i="260" a="1"/>
  <c r="O1157" i="260"/>
  <c r="N1150" i="260" a="1"/>
  <c r="N1150" i="260"/>
  <c r="N1358" i="260" a="1"/>
  <c r="N1358" i="260"/>
  <c r="N1228" i="260" a="1"/>
  <c r="N1228" i="260"/>
  <c r="N1337" i="260" a="1"/>
  <c r="N1337" i="260"/>
  <c r="I1354" i="260" a="1"/>
  <c r="I1354" i="260"/>
  <c r="I1371" i="260" a="1"/>
  <c r="I1371" i="260"/>
  <c r="I1224" i="260" a="1"/>
  <c r="I1224" i="260"/>
  <c r="G1216" i="260" a="1"/>
  <c r="G1216" i="260"/>
  <c r="G1111" i="260" a="1"/>
  <c r="G1111" i="260"/>
  <c r="L1173" i="260" a="1"/>
  <c r="L1173" i="260"/>
  <c r="L1125" i="260" a="1"/>
  <c r="L1125" i="260"/>
  <c r="K1174" i="260" a="1"/>
  <c r="K1174" i="260"/>
  <c r="K1343" i="260" a="1"/>
  <c r="K1343" i="260"/>
  <c r="H1258" i="260" a="1"/>
  <c r="H1258" i="260"/>
  <c r="J1123" i="260" a="1"/>
  <c r="J1123" i="260"/>
  <c r="J1124" i="260" a="1"/>
  <c r="J1124" i="260"/>
  <c r="O1267" i="260" a="1"/>
  <c r="O1267" i="260"/>
  <c r="O1175" i="260" a="1"/>
  <c r="O1175" i="260"/>
  <c r="N1346" i="260" a="1"/>
  <c r="N1346" i="260"/>
  <c r="N1176" i="260" a="1"/>
  <c r="N1176" i="260"/>
  <c r="I1179" i="260" a="1"/>
  <c r="I1179" i="260"/>
  <c r="I1366" i="260" a="1"/>
  <c r="I1366" i="260"/>
  <c r="H1158" i="260" a="1"/>
  <c r="H1158" i="260"/>
  <c r="O1178" i="260" a="1"/>
  <c r="O1178" i="260"/>
  <c r="N1234" i="260" a="1"/>
  <c r="N1234" i="260"/>
  <c r="I1305" i="260" a="1"/>
  <c r="I1305" i="260"/>
  <c r="K1328" i="260" a="1"/>
  <c r="K1328" i="260"/>
  <c r="J1257" i="260" a="1"/>
  <c r="J1257" i="260"/>
  <c r="N1175" i="260" a="1"/>
  <c r="N1175" i="260"/>
  <c r="L1271" i="260" a="1"/>
  <c r="L1271" i="260"/>
  <c r="O1217" i="260" a="1"/>
  <c r="O1217" i="260"/>
  <c r="I1368" i="260" a="1"/>
  <c r="I1368" i="260"/>
  <c r="I1155" i="260" a="1"/>
  <c r="I1155" i="260"/>
  <c r="N1365" i="260" a="1"/>
  <c r="N1365" i="260"/>
  <c r="O1135" i="260" a="1"/>
  <c r="O1135" i="260"/>
  <c r="I1157" i="260" a="1"/>
  <c r="I1157" i="260"/>
  <c r="J1269" i="260" a="1"/>
  <c r="J1269" i="260"/>
  <c r="O1254" i="260" a="1"/>
  <c r="O1254" i="260"/>
  <c r="M1137" i="260" a="1"/>
  <c r="M1137" i="260"/>
  <c r="N1349" i="260" a="1"/>
  <c r="N1349" i="260"/>
  <c r="O1214" i="260" a="1"/>
  <c r="O1214" i="260"/>
  <c r="J1160" i="260" a="1"/>
  <c r="J1160" i="260"/>
  <c r="N1163" i="260" a="1"/>
  <c r="N1163" i="260"/>
  <c r="K1266" i="260" a="1"/>
  <c r="K1266" i="260"/>
  <c r="J1140" i="260" a="1"/>
  <c r="J1140" i="260"/>
  <c r="O1172" i="260" a="1"/>
  <c r="O1172" i="260"/>
  <c r="O1241" i="260" a="1"/>
  <c r="O1241" i="260"/>
  <c r="J1116" i="260" a="1"/>
  <c r="J1116" i="260"/>
  <c r="J1137" i="260" a="1"/>
  <c r="J1137" i="260"/>
  <c r="O1213" i="260" a="1"/>
  <c r="O1213" i="260"/>
  <c r="I1327" i="260" a="1"/>
  <c r="I1327" i="260"/>
  <c r="G1357" i="260" a="1"/>
  <c r="G1357" i="260"/>
  <c r="K1229" i="260" a="1"/>
  <c r="K1229" i="260"/>
  <c r="L1299" i="260" a="1"/>
  <c r="L1299" i="260"/>
  <c r="K1228" i="260" a="1"/>
  <c r="K1228" i="260"/>
  <c r="J1241" i="260" a="1"/>
  <c r="J1241" i="260"/>
  <c r="J1357" i="260" a="1"/>
  <c r="J1357" i="260"/>
  <c r="O1309" i="260" a="1"/>
  <c r="O1309" i="260"/>
  <c r="I1300" i="260" a="1"/>
  <c r="I1300" i="260"/>
  <c r="G1253" i="260" a="1"/>
  <c r="G1253" i="260"/>
  <c r="H1232" i="260" a="1"/>
  <c r="H1232" i="260"/>
  <c r="K1168" i="260" a="1"/>
  <c r="K1168" i="260"/>
  <c r="L1227" i="260" a="1"/>
  <c r="L1227" i="260"/>
  <c r="J1371" i="260" a="1"/>
  <c r="J1371" i="260"/>
  <c r="O1257" i="260" a="1"/>
  <c r="O1257" i="260"/>
  <c r="O1262" i="260" a="1"/>
  <c r="O1262" i="260"/>
  <c r="I1171" i="260" a="1"/>
  <c r="I1171" i="260"/>
  <c r="G1259" i="260" a="1"/>
  <c r="G1259" i="260"/>
  <c r="K1239" i="260" a="1"/>
  <c r="K1239" i="260"/>
  <c r="J1308" i="260" a="1"/>
  <c r="J1308" i="260"/>
  <c r="H1342" i="260" a="1"/>
  <c r="H1342" i="260"/>
  <c r="J1301" i="260" a="1"/>
  <c r="J1301" i="260"/>
  <c r="I1210" i="260" a="1"/>
  <c r="I1210" i="260"/>
  <c r="L1265" i="260" a="1"/>
  <c r="L1265" i="260"/>
  <c r="K1238" i="260" a="1"/>
  <c r="K1238" i="260"/>
  <c r="J1364" i="260" a="1"/>
  <c r="J1364" i="260"/>
  <c r="K1215" i="260" a="1"/>
  <c r="K1215" i="260"/>
  <c r="O1314" i="260" a="1"/>
  <c r="O1314" i="260"/>
  <c r="K1376" i="260" a="1"/>
  <c r="K1376" i="260"/>
  <c r="J1258" i="260" a="1"/>
  <c r="J1258" i="260"/>
  <c r="O1281" i="260" a="1"/>
  <c r="O1281" i="260"/>
  <c r="I1340" i="260" a="1"/>
  <c r="I1340" i="260"/>
  <c r="I1355" i="260" a="1"/>
  <c r="I1355" i="260"/>
  <c r="L1232" i="260" a="1"/>
  <c r="L1232" i="260"/>
  <c r="K1329" i="260" a="1"/>
  <c r="K1329" i="260"/>
  <c r="J1377" i="260" a="1"/>
  <c r="J1377" i="260"/>
  <c r="O1374" i="260" a="1"/>
  <c r="O1374" i="260"/>
  <c r="K1131" i="260" a="1"/>
  <c r="K1131" i="260"/>
  <c r="O1183" i="260" a="1"/>
  <c r="O1183" i="260"/>
  <c r="I1269" i="260" a="1"/>
  <c r="I1269" i="260"/>
  <c r="O1315" i="260" a="1"/>
  <c r="O1315" i="260"/>
  <c r="I1214" i="260" a="1"/>
  <c r="I1214" i="260"/>
  <c r="J1318" i="260" a="1"/>
  <c r="J1318" i="260"/>
  <c r="O1207" i="260" a="1"/>
  <c r="O1207" i="260"/>
  <c r="N1323" i="260" a="1"/>
  <c r="N1323" i="260"/>
  <c r="I1239" i="260" a="1"/>
  <c r="I1239" i="260"/>
  <c r="I1148" i="260" a="1"/>
  <c r="I1148" i="260"/>
  <c r="L1129" i="260" a="1"/>
  <c r="L1129" i="260"/>
  <c r="H1267" i="260" a="1"/>
  <c r="H1267" i="260"/>
  <c r="K1236" i="260" a="1"/>
  <c r="K1236" i="260"/>
  <c r="H1269" i="260" a="1"/>
  <c r="H1269" i="260"/>
  <c r="O1206" i="260" a="1"/>
  <c r="O1206" i="260"/>
  <c r="K1162" i="260" a="1"/>
  <c r="K1162" i="260"/>
  <c r="J1254" i="260" a="1"/>
  <c r="J1254" i="260"/>
  <c r="O1283" i="260" a="1"/>
  <c r="O1283" i="260"/>
  <c r="N1359" i="260" a="1"/>
  <c r="N1359" i="260"/>
  <c r="I1231" i="260" a="1"/>
  <c r="I1231" i="260"/>
  <c r="I1189" i="260" a="1"/>
  <c r="I1189" i="260"/>
  <c r="K1133" i="260" a="1"/>
  <c r="K1133" i="260"/>
  <c r="H1322" i="260" a="1"/>
  <c r="H1322" i="260"/>
  <c r="L1266" i="260" a="1"/>
  <c r="L1266" i="260"/>
  <c r="J1118" i="260" a="1"/>
  <c r="J1118" i="260"/>
  <c r="O1171" i="260" a="1"/>
  <c r="O1171" i="260"/>
  <c r="N1216" i="260" a="1"/>
  <c r="N1216" i="260"/>
  <c r="I1313" i="260" a="1"/>
  <c r="I1313" i="260"/>
  <c r="I1205" i="260" a="1"/>
  <c r="I1205" i="260"/>
  <c r="L1181" i="260" a="1"/>
  <c r="L1181" i="260"/>
  <c r="J1208" i="260" a="1"/>
  <c r="J1208" i="260"/>
  <c r="H1122" i="260" a="1"/>
  <c r="H1122" i="260"/>
  <c r="J1175" i="260" a="1"/>
  <c r="J1175" i="260"/>
  <c r="O1151" i="260" a="1"/>
  <c r="O1151" i="260"/>
  <c r="N1366" i="260" a="1"/>
  <c r="N1366" i="260"/>
  <c r="I1259" i="260" a="1"/>
  <c r="I1259" i="260"/>
  <c r="G1175" i="260" a="1"/>
  <c r="G1175" i="260"/>
  <c r="L1242" i="260" a="1"/>
  <c r="L1242" i="260"/>
  <c r="H1279" i="260" a="1"/>
  <c r="H1279" i="260"/>
  <c r="J1223" i="260" a="1"/>
  <c r="J1223" i="260"/>
  <c r="N1173" i="260" a="1"/>
  <c r="N1173" i="260"/>
  <c r="G1122" i="260" a="1"/>
  <c r="G1122" i="260"/>
  <c r="O1115" i="260" a="1"/>
  <c r="O1115" i="260"/>
  <c r="K1177" i="260" a="1"/>
  <c r="K1177" i="260"/>
  <c r="J1186" i="260" a="1"/>
  <c r="J1186" i="260"/>
  <c r="O1138" i="260" a="1"/>
  <c r="O1138" i="260"/>
  <c r="N1244" i="260" a="1"/>
  <c r="N1244" i="260"/>
  <c r="I1279" i="260" a="1"/>
  <c r="I1279" i="260"/>
  <c r="I1262" i="260" a="1"/>
  <c r="I1262" i="260"/>
  <c r="L1238" i="260" a="1"/>
  <c r="L1238" i="260"/>
  <c r="H1227" i="260" a="1"/>
  <c r="H1227" i="260"/>
  <c r="O1353" i="260" a="1"/>
  <c r="O1353" i="260"/>
  <c r="I1219" i="260" a="1"/>
  <c r="I1219" i="260"/>
  <c r="O1170" i="260" a="1"/>
  <c r="O1170" i="260"/>
  <c r="H1163" i="260" a="1"/>
  <c r="H1163" i="260"/>
  <c r="I1341" i="260" a="1"/>
  <c r="I1341" i="260"/>
  <c r="J1113" i="260" a="1"/>
  <c r="J1113" i="260"/>
  <c r="J1189" i="260" a="1"/>
  <c r="J1189" i="260"/>
  <c r="J1249" i="260" a="1"/>
  <c r="J1249" i="260"/>
  <c r="J1144" i="260" a="1"/>
  <c r="J1144" i="260"/>
  <c r="O1139" i="260" a="1"/>
  <c r="O1139" i="260"/>
  <c r="O1215" i="260" a="1"/>
  <c r="O1215" i="260"/>
  <c r="O1300" i="260" a="1"/>
  <c r="O1300" i="260"/>
  <c r="N1369" i="260" a="1"/>
  <c r="N1369" i="260"/>
  <c r="N1302" i="260" a="1"/>
  <c r="N1302" i="260"/>
  <c r="N1235" i="260" a="1"/>
  <c r="N1235" i="260"/>
  <c r="N1306" i="260" a="1"/>
  <c r="N1306" i="260"/>
  <c r="I1304" i="260" a="1"/>
  <c r="I1304" i="260"/>
  <c r="I1207" i="260" a="1"/>
  <c r="I1207" i="260"/>
  <c r="I1319" i="260" a="1"/>
  <c r="I1319" i="260"/>
  <c r="G1279" i="260" a="1"/>
  <c r="G1279" i="260"/>
  <c r="G1275" i="260" a="1"/>
  <c r="G1275" i="260"/>
  <c r="L1339" i="260" a="1"/>
  <c r="L1339" i="260"/>
  <c r="L1233" i="260" a="1"/>
  <c r="L1233" i="260"/>
  <c r="K1271" i="260" a="1"/>
  <c r="K1271" i="260"/>
  <c r="K1128" i="260" a="1"/>
  <c r="K1128" i="260"/>
  <c r="H1188" i="260" a="1"/>
  <c r="H1188" i="260"/>
  <c r="H1157" i="260" a="1"/>
  <c r="H1157" i="260"/>
  <c r="L1280" i="260" a="1"/>
  <c r="L1280" i="260"/>
  <c r="K1282" i="260" a="1"/>
  <c r="K1282" i="260"/>
  <c r="H1278" i="260" a="1"/>
  <c r="H1278" i="260"/>
  <c r="K1219" i="260" a="1"/>
  <c r="K1219" i="260"/>
  <c r="H1220" i="260" a="1"/>
  <c r="H1220" i="260"/>
  <c r="L1186" i="260" a="1"/>
  <c r="L1186" i="260"/>
  <c r="H1316" i="260" a="1"/>
  <c r="H1316" i="260"/>
  <c r="O1348" i="260" a="1"/>
  <c r="O1348" i="260"/>
  <c r="N1310" i="260" a="1"/>
  <c r="N1310" i="260"/>
  <c r="G1370" i="260" a="1"/>
  <c r="G1370" i="260"/>
  <c r="K1182" i="260" a="1"/>
  <c r="K1182" i="260"/>
  <c r="J1218" i="260" a="1"/>
  <c r="J1218" i="260"/>
  <c r="J1136" i="260" a="1"/>
  <c r="J1136" i="260"/>
  <c r="J1115" i="260" a="1"/>
  <c r="J1115" i="260"/>
  <c r="J1332" i="260" a="1"/>
  <c r="J1332" i="260"/>
  <c r="O1189" i="260" a="1"/>
  <c r="O1189" i="260"/>
  <c r="O1238" i="260" a="1"/>
  <c r="O1238" i="260"/>
  <c r="O1239" i="260" a="1"/>
  <c r="O1239" i="260"/>
  <c r="N1277" i="260" a="1"/>
  <c r="N1277" i="260"/>
  <c r="N1320" i="260" a="1"/>
  <c r="N1320" i="260"/>
  <c r="N1236" i="260" a="1"/>
  <c r="N1236" i="260"/>
  <c r="N1377" i="260" a="1"/>
  <c r="N1377" i="260"/>
  <c r="I1374" i="260" a="1"/>
  <c r="I1374" i="260"/>
  <c r="I1122" i="260" a="1"/>
  <c r="I1122" i="260"/>
  <c r="I1260" i="260" a="1"/>
  <c r="I1260" i="260"/>
  <c r="I1330" i="260" a="1"/>
  <c r="I1330" i="260"/>
  <c r="G1247" i="260" a="1"/>
  <c r="G1247" i="260"/>
  <c r="L1162" i="260" a="1"/>
  <c r="L1162" i="260"/>
  <c r="K1130" i="260" a="1"/>
  <c r="K1130" i="260"/>
  <c r="H1336" i="260" a="1"/>
  <c r="H1336" i="260"/>
  <c r="G1301" i="260" a="1"/>
  <c r="G1301" i="260"/>
  <c r="H1334" i="260" a="1"/>
  <c r="H1334" i="260"/>
  <c r="O1251" i="260" a="1"/>
  <c r="O1251" i="260"/>
  <c r="I1276" i="260" a="1"/>
  <c r="I1276" i="260"/>
  <c r="L1335" i="260" a="1"/>
  <c r="L1335" i="260"/>
  <c r="J1265" i="260" a="1"/>
  <c r="J1265" i="260"/>
  <c r="J1281" i="260" a="1"/>
  <c r="J1281" i="260"/>
  <c r="J1276" i="260" a="1"/>
  <c r="J1276" i="260"/>
  <c r="J1142" i="260" a="1"/>
  <c r="J1142" i="260"/>
  <c r="O1264" i="260" a="1"/>
  <c r="O1264" i="260"/>
  <c r="O1167" i="260" a="1"/>
  <c r="O1167" i="260"/>
  <c r="O1216" i="260" a="1"/>
  <c r="O1216" i="260"/>
  <c r="O1146" i="260" a="1"/>
  <c r="O1146" i="260"/>
  <c r="N1374" i="260" a="1"/>
  <c r="N1374" i="260"/>
  <c r="N1219" i="260" a="1"/>
  <c r="N1219" i="260"/>
  <c r="N1342" i="260" a="1"/>
  <c r="N1342" i="260"/>
  <c r="I1150" i="260" a="1"/>
  <c r="I1150" i="260"/>
  <c r="I1268" i="260" a="1"/>
  <c r="I1268" i="260"/>
  <c r="I1232" i="260" a="1"/>
  <c r="I1232" i="260"/>
  <c r="I1165" i="260" a="1"/>
  <c r="I1165" i="260"/>
  <c r="G1213" i="260" a="1"/>
  <c r="G1213" i="260"/>
  <c r="G1224" i="260" a="1"/>
  <c r="G1224" i="260"/>
  <c r="L1375" i="260" a="1"/>
  <c r="L1375" i="260"/>
  <c r="L1119" i="260" a="1"/>
  <c r="L1119" i="260"/>
  <c r="L1261" i="260" a="1"/>
  <c r="L1261" i="260"/>
  <c r="J1359" i="260" a="1"/>
  <c r="J1359" i="260"/>
  <c r="N1124" i="260" a="1"/>
  <c r="N1124" i="260"/>
  <c r="G1137" i="260" a="1"/>
  <c r="G1137" i="260"/>
  <c r="J1299" i="260" a="1"/>
  <c r="J1299" i="260"/>
  <c r="J1171" i="260" a="1"/>
  <c r="J1171" i="260"/>
  <c r="J1264" i="260" a="1"/>
  <c r="J1264" i="260"/>
  <c r="J1135" i="260" a="1"/>
  <c r="J1135" i="260"/>
  <c r="O1347" i="260" a="1"/>
  <c r="O1347" i="260"/>
  <c r="O1210" i="260" a="1"/>
  <c r="O1210" i="260"/>
  <c r="O1179" i="260" a="1"/>
  <c r="O1179" i="260"/>
  <c r="O1222" i="260" a="1"/>
  <c r="O1222" i="260"/>
  <c r="N1373" i="260" a="1"/>
  <c r="N1373" i="260"/>
  <c r="N1168" i="260" a="1"/>
  <c r="N1168" i="260"/>
  <c r="N1278" i="260" a="1"/>
  <c r="N1278" i="260"/>
  <c r="N1144" i="260" a="1"/>
  <c r="N1144" i="260"/>
  <c r="I1244" i="260" a="1"/>
  <c r="I1244" i="260"/>
  <c r="I1151" i="260" a="1"/>
  <c r="I1151" i="260"/>
  <c r="I1163" i="260" a="1"/>
  <c r="I1163" i="260"/>
  <c r="G1369" i="260" a="1"/>
  <c r="G1369" i="260"/>
  <c r="G1168" i="260" a="1"/>
  <c r="G1168" i="260"/>
  <c r="L1251" i="260" a="1"/>
  <c r="L1251" i="260"/>
  <c r="L1122" i="260" a="1"/>
  <c r="L1122" i="260"/>
  <c r="K1325" i="260" a="1"/>
  <c r="K1325" i="260"/>
  <c r="K1315" i="260" a="1"/>
  <c r="K1315" i="260"/>
  <c r="H1127" i="260" a="1"/>
  <c r="H1127" i="260"/>
  <c r="H1283" i="260" a="1"/>
  <c r="H1283" i="260"/>
  <c r="J1169" i="260" a="1"/>
  <c r="J1169" i="260"/>
  <c r="J1143" i="260" a="1"/>
  <c r="J1143" i="260"/>
  <c r="O1307" i="260" a="1"/>
  <c r="O1307" i="260"/>
  <c r="N1275" i="260" a="1"/>
  <c r="N1275" i="260"/>
  <c r="N1229" i="260" a="1"/>
  <c r="N1229" i="260"/>
  <c r="I1348" i="260" a="1"/>
  <c r="I1348" i="260"/>
  <c r="I1281" i="260" a="1"/>
  <c r="I1281" i="260"/>
  <c r="G1134" i="260" a="1"/>
  <c r="G1134" i="260"/>
  <c r="K1157" i="260" a="1"/>
  <c r="K1157" i="260"/>
  <c r="J1183" i="260" a="1"/>
  <c r="J1183" i="260"/>
  <c r="O1223" i="260" a="1"/>
  <c r="O1223" i="260"/>
  <c r="I1115" i="260" a="1"/>
  <c r="I1115" i="260"/>
  <c r="G1187" i="260" a="1"/>
  <c r="G1187" i="260"/>
  <c r="K1314" i="260" a="1"/>
  <c r="K1314" i="260"/>
  <c r="J1244" i="260" a="1"/>
  <c r="J1244" i="260"/>
  <c r="J1267" i="260" a="1"/>
  <c r="J1267" i="260"/>
  <c r="J1133" i="260" a="1"/>
  <c r="J1133" i="260"/>
  <c r="O1282" i="260" a="1"/>
  <c r="O1282" i="260"/>
  <c r="O1129" i="260" a="1"/>
  <c r="O1129" i="260"/>
  <c r="O1212" i="260" a="1"/>
  <c r="O1212" i="260"/>
  <c r="N1184" i="260" a="1"/>
  <c r="N1184" i="260"/>
  <c r="N1113" i="260" a="1"/>
  <c r="N1113" i="260"/>
  <c r="N1153" i="260" a="1"/>
  <c r="N1153" i="260"/>
  <c r="N1367" i="260" a="1"/>
  <c r="N1367" i="260"/>
  <c r="I1349" i="260" a="1"/>
  <c r="I1349" i="260"/>
  <c r="I1240" i="260" a="1"/>
  <c r="I1240" i="260"/>
  <c r="I1283" i="260" a="1"/>
  <c r="I1283" i="260"/>
  <c r="I1331" i="260" a="1"/>
  <c r="I1331" i="260"/>
  <c r="G1320" i="260" a="1"/>
  <c r="G1320" i="260"/>
  <c r="G1366" i="260" a="1"/>
  <c r="G1366" i="260"/>
  <c r="L1155" i="260" a="1"/>
  <c r="L1155" i="260"/>
  <c r="L1334" i="260" a="1"/>
  <c r="L1334" i="260"/>
  <c r="K1220" i="260" a="1"/>
  <c r="K1220" i="260"/>
  <c r="H1276" i="260" a="1"/>
  <c r="H1276" i="260"/>
  <c r="H1112" i="260" a="1"/>
  <c r="H1112" i="260"/>
  <c r="J1303" i="260" a="1"/>
  <c r="J1303" i="260"/>
  <c r="O1243" i="260" a="1"/>
  <c r="O1243" i="260"/>
  <c r="O1336" i="260" a="1"/>
  <c r="O1336" i="260"/>
  <c r="N1280" i="260" a="1"/>
  <c r="N1280" i="260"/>
  <c r="I1238" i="260" a="1"/>
  <c r="I1238" i="260"/>
  <c r="I1233" i="260" a="1"/>
  <c r="I1233" i="260"/>
  <c r="L1312" i="260" a="1"/>
  <c r="L1312" i="260"/>
  <c r="J1172" i="260" a="1"/>
  <c r="J1172" i="260"/>
  <c r="O1169" i="260" a="1"/>
  <c r="O1169" i="260"/>
  <c r="N1188" i="260" a="1"/>
  <c r="N1188" i="260"/>
  <c r="I1335" i="260" a="1"/>
  <c r="I1335" i="260"/>
  <c r="O1166" i="260" a="1"/>
  <c r="O1166" i="260"/>
  <c r="I1365" i="260" a="1"/>
  <c r="I1365" i="260"/>
  <c r="I1215" i="260" a="1"/>
  <c r="I1215" i="260"/>
  <c r="J1127" i="260" a="1"/>
  <c r="J1127" i="260"/>
  <c r="N1299" i="260" a="1"/>
  <c r="N1299" i="260"/>
  <c r="L1189" i="260" a="1"/>
  <c r="L1189" i="260"/>
  <c r="I1267" i="260" a="1"/>
  <c r="I1267" i="260"/>
  <c r="J1235" i="260" a="1"/>
  <c r="J1235" i="260"/>
  <c r="N1301" i="260" a="1"/>
  <c r="N1301" i="260"/>
  <c r="L1306" i="260" a="1"/>
  <c r="L1306" i="260"/>
  <c r="M1264" i="260" a="1"/>
  <c r="M1264" i="260"/>
  <c r="N1260" i="260" a="1"/>
  <c r="N1260" i="260"/>
  <c r="J1305" i="260" a="1"/>
  <c r="J1305" i="260"/>
  <c r="O1128" i="260" a="1"/>
  <c r="O1128" i="260"/>
  <c r="I1321" i="260" a="1"/>
  <c r="I1321" i="260"/>
  <c r="O1114" i="260" a="1"/>
  <c r="O1114" i="260"/>
  <c r="I1261" i="260" a="1"/>
  <c r="I1261" i="260"/>
  <c r="N1272" i="260" a="1"/>
  <c r="N1272" i="260"/>
  <c r="N1209" i="260" a="1"/>
  <c r="N1209" i="260"/>
  <c r="I1180" i="260" a="1"/>
  <c r="I1180" i="260"/>
  <c r="O1158" i="260" a="1"/>
  <c r="O1158" i="260"/>
  <c r="J1345" i="260" a="1"/>
  <c r="J1345" i="260"/>
  <c r="O1303" i="260" a="1"/>
  <c r="O1303" i="260"/>
  <c r="I1213" i="260" a="1"/>
  <c r="I1213" i="260"/>
  <c r="I1332" i="260" a="1"/>
  <c r="I1332" i="260"/>
  <c r="L1170" i="260" a="1"/>
  <c r="L1170" i="260"/>
  <c r="H1301" i="260" a="1"/>
  <c r="H1301" i="260"/>
  <c r="K1373" i="260" a="1"/>
  <c r="K1373" i="260"/>
  <c r="H1262" i="260" a="1"/>
  <c r="H1262" i="260"/>
  <c r="H1208" i="260" a="1"/>
  <c r="H1208" i="260"/>
  <c r="I1175" i="260" a="1"/>
  <c r="I1175" i="260"/>
  <c r="J1324" i="260" a="1"/>
  <c r="J1324" i="260"/>
  <c r="O1242" i="260" a="1"/>
  <c r="O1242" i="260"/>
  <c r="O1334" i="260" a="1"/>
  <c r="O1334" i="260"/>
  <c r="I1178" i="260" a="1"/>
  <c r="I1178" i="260"/>
  <c r="G1141" i="260" a="1"/>
  <c r="G1141" i="260"/>
  <c r="H1172" i="260" a="1"/>
  <c r="H1172" i="260"/>
  <c r="O1355" i="260" a="1"/>
  <c r="O1355" i="260"/>
  <c r="J1114" i="260" a="1"/>
  <c r="J1114" i="260"/>
  <c r="J1316" i="260" a="1"/>
  <c r="J1316" i="260"/>
  <c r="O1343" i="260" a="1"/>
  <c r="O1343" i="260"/>
  <c r="I1130" i="260" a="1"/>
  <c r="I1130" i="260"/>
  <c r="G1176" i="260" a="1"/>
  <c r="G1176" i="260"/>
  <c r="L1254" i="260" a="1"/>
  <c r="L1254" i="260"/>
  <c r="G1274" i="260" a="1"/>
  <c r="G1274" i="260"/>
  <c r="I1345" i="260" a="1"/>
  <c r="I1345" i="260"/>
  <c r="J1173" i="260" a="1"/>
  <c r="J1173" i="260"/>
  <c r="O1152" i="260" a="1"/>
  <c r="O1152" i="260"/>
  <c r="O1164" i="260" a="1"/>
  <c r="O1164" i="260"/>
  <c r="I1303" i="260" a="1"/>
  <c r="I1303" i="260"/>
  <c r="G1210" i="260" a="1"/>
  <c r="G1210" i="260"/>
  <c r="K1350" i="260" a="1"/>
  <c r="K1350" i="260"/>
  <c r="H1271" i="260" a="1"/>
  <c r="H1271" i="260"/>
  <c r="O1376" i="260" a="1"/>
  <c r="O1376" i="260"/>
  <c r="O1260" i="260" a="1"/>
  <c r="O1260" i="260"/>
  <c r="I1216" i="260" a="1"/>
  <c r="I1216" i="260"/>
  <c r="J1162" i="260" a="1"/>
  <c r="J1162" i="260"/>
  <c r="J1330" i="260" a="1"/>
  <c r="J1330" i="260"/>
  <c r="O1218" i="260" a="1"/>
  <c r="O1218" i="260"/>
  <c r="I1177" i="260" a="1"/>
  <c r="I1177" i="260"/>
  <c r="G1206" i="260" a="1"/>
  <c r="G1206" i="260"/>
  <c r="K1188" i="260" a="1"/>
  <c r="K1188" i="260"/>
  <c r="J1220" i="260" a="1"/>
  <c r="J1220" i="260"/>
  <c r="O1370" i="260" a="1"/>
  <c r="O1370" i="260"/>
  <c r="O1371" i="260" a="1"/>
  <c r="O1371" i="260"/>
  <c r="O1356" i="260" a="1"/>
  <c r="O1356" i="260"/>
  <c r="I1310" i="260" a="1"/>
  <c r="I1310" i="260"/>
  <c r="J1209" i="260" a="1"/>
  <c r="J1209" i="260"/>
  <c r="I1251" i="260" a="1"/>
  <c r="I1251" i="260"/>
  <c r="J1229" i="260" a="1"/>
  <c r="J1229" i="260"/>
  <c r="I1144" i="260" a="1"/>
  <c r="I1144" i="260"/>
  <c r="J1312" i="260" a="1"/>
  <c r="J1312" i="260"/>
  <c r="I1126" i="260" a="1"/>
  <c r="I1126" i="260"/>
  <c r="O1131" i="260" a="1"/>
  <c r="O1131" i="260"/>
  <c r="L1328" i="260" a="1"/>
  <c r="L1328" i="260"/>
  <c r="J1243" i="260" a="1"/>
  <c r="J1243" i="260"/>
  <c r="O1377" i="260" a="1"/>
  <c r="O1377" i="260"/>
  <c r="N1324" i="260" a="1"/>
  <c r="N1324" i="260"/>
  <c r="N1169" i="260" a="1"/>
  <c r="N1169" i="260"/>
  <c r="I1185" i="260" a="1"/>
  <c r="I1185" i="260"/>
  <c r="L1117" i="260" a="1"/>
  <c r="L1117" i="260"/>
  <c r="K1272" i="260" a="1"/>
  <c r="K1272" i="260"/>
  <c r="L1176" i="260" a="1"/>
  <c r="L1176" i="260"/>
  <c r="K1127" i="260" a="1"/>
  <c r="K1127" i="260"/>
  <c r="H1137" i="260" a="1"/>
  <c r="H1137" i="260"/>
  <c r="I1141" i="260" a="1"/>
  <c r="I1141" i="260"/>
  <c r="J1154" i="260" a="1"/>
  <c r="J1154" i="260"/>
  <c r="O1363" i="260" a="1"/>
  <c r="O1363" i="260"/>
  <c r="N1230" i="260" a="1"/>
  <c r="N1230" i="260"/>
  <c r="N1212" i="260" a="1"/>
  <c r="N1212" i="260"/>
  <c r="I1324" i="260" a="1"/>
  <c r="I1324" i="260"/>
  <c r="L1131" i="260" a="1"/>
  <c r="L1131" i="260"/>
  <c r="H1148" i="260" a="1"/>
  <c r="H1148" i="260"/>
  <c r="I1372" i="260" a="1"/>
  <c r="I1372" i="260"/>
  <c r="J1210" i="260" a="1"/>
  <c r="J1210" i="260"/>
  <c r="O1150" i="260" a="1"/>
  <c r="O1150" i="260"/>
  <c r="O1159" i="260" a="1"/>
  <c r="O1159" i="260"/>
  <c r="N1338" i="260" a="1"/>
  <c r="N1338" i="260"/>
  <c r="I1250" i="260" a="1"/>
  <c r="I1250" i="260"/>
  <c r="G1269" i="260" a="1"/>
  <c r="G1269" i="260"/>
  <c r="K1147" i="260" a="1"/>
  <c r="K1147" i="260"/>
  <c r="N1238" i="260" a="1"/>
  <c r="N1238" i="260"/>
  <c r="J1374" i="260" a="1"/>
  <c r="J1374" i="260"/>
  <c r="O1274" i="260" a="1"/>
  <c r="O1274" i="260"/>
  <c r="O1247" i="260" a="1"/>
  <c r="O1247" i="260"/>
  <c r="N1140" i="260" a="1"/>
  <c r="N1140" i="260"/>
  <c r="I1338" i="260" a="1"/>
  <c r="I1338" i="260"/>
  <c r="L1358" i="260" a="1"/>
  <c r="L1358" i="260"/>
  <c r="J1355" i="260" a="1"/>
  <c r="J1355" i="260"/>
  <c r="O1332" i="260" a="1"/>
  <c r="O1332" i="260"/>
  <c r="I1111" i="260" a="1"/>
  <c r="I1111" i="260"/>
  <c r="J1274" i="260" a="1"/>
  <c r="J1274" i="260"/>
  <c r="G1177" i="260" a="1"/>
  <c r="G1177" i="260"/>
  <c r="J1253" i="260" a="1"/>
  <c r="J1253" i="260"/>
  <c r="O1326" i="260" a="1"/>
  <c r="O1326" i="260"/>
  <c r="N1309" i="260" a="1"/>
  <c r="N1309" i="260"/>
  <c r="N1119" i="260" a="1"/>
  <c r="N1119" i="260"/>
  <c r="I1154" i="260" a="1"/>
  <c r="I1154" i="260"/>
  <c r="G1227" i="260" a="1"/>
  <c r="G1227" i="260"/>
  <c r="K1268" i="260" a="1"/>
  <c r="K1268" i="260"/>
  <c r="J1139" i="260" a="1"/>
  <c r="J1139" i="260"/>
  <c r="N1151" i="260" a="1"/>
  <c r="N1151" i="260"/>
  <c r="L1255" i="260" a="1"/>
  <c r="L1255" i="260"/>
  <c r="N1254" i="260" a="1"/>
  <c r="N1254" i="260"/>
  <c r="O1320" i="260" a="1"/>
  <c r="O1320" i="260"/>
  <c r="H1307" i="260" a="1"/>
  <c r="H1307" i="260"/>
  <c r="N1112" i="260" a="1"/>
  <c r="N1112" i="260"/>
  <c r="J1159" i="260" a="1"/>
  <c r="J1159" i="260"/>
  <c r="J1325" i="260" a="1"/>
  <c r="J1325" i="260"/>
  <c r="I1306" i="260" a="1"/>
  <c r="I1306" i="260"/>
  <c r="N1331" i="260" a="1"/>
  <c r="N1331" i="260"/>
  <c r="J1365" i="260" a="1"/>
  <c r="J1365" i="260"/>
  <c r="J1263" i="260" a="1"/>
  <c r="J1263" i="260"/>
  <c r="J1326" i="260" a="1"/>
  <c r="J1326" i="260"/>
  <c r="J1148" i="260" a="1"/>
  <c r="J1148" i="260"/>
  <c r="O1211" i="260" a="1"/>
  <c r="O1211" i="260"/>
  <c r="O1244" i="260" a="1"/>
  <c r="O1244" i="260"/>
  <c r="O1224" i="260" a="1"/>
  <c r="O1224" i="260"/>
  <c r="N1183" i="260" a="1"/>
  <c r="N1183" i="260"/>
  <c r="N1316" i="260" a="1"/>
  <c r="N1316" i="260"/>
  <c r="N1341" i="260" a="1"/>
  <c r="N1341" i="260"/>
  <c r="N1159" i="260" a="1"/>
  <c r="N1159" i="260"/>
  <c r="I1375" i="260" a="1"/>
  <c r="I1375" i="260"/>
  <c r="I1116" i="260" a="1"/>
  <c r="I1116" i="260"/>
  <c r="I1123" i="260" a="1"/>
  <c r="I1123" i="260"/>
  <c r="G1266" i="260" a="1"/>
  <c r="G1266" i="260"/>
  <c r="G1324" i="260" a="1"/>
  <c r="G1324" i="260"/>
  <c r="L1128" i="260" a="1"/>
  <c r="L1128" i="260"/>
  <c r="L1376" i="260" a="1"/>
  <c r="L1376" i="260"/>
  <c r="K1348" i="260" a="1"/>
  <c r="K1348" i="260"/>
  <c r="K1119" i="260" a="1"/>
  <c r="K1119" i="260"/>
  <c r="H1282" i="260" a="1"/>
  <c r="H1282" i="260"/>
  <c r="H1159" i="260" a="1"/>
  <c r="H1159" i="260"/>
  <c r="L1180" i="260" a="1"/>
  <c r="L1180" i="260"/>
  <c r="K1357" i="260" a="1"/>
  <c r="K1357" i="260"/>
  <c r="H1356" i="260" a="1"/>
  <c r="H1356" i="260"/>
  <c r="K1370" i="260" a="1"/>
  <c r="K1370" i="260"/>
  <c r="H1376" i="260" a="1"/>
  <c r="H1376" i="260"/>
  <c r="L1147" i="260" a="1"/>
  <c r="L1147" i="260"/>
  <c r="J1225" i="260" a="1"/>
  <c r="J1225" i="260"/>
  <c r="O1255" i="260" a="1"/>
  <c r="O1255" i="260"/>
  <c r="N1303" i="260" a="1"/>
  <c r="N1303" i="260"/>
  <c r="G1186" i="260" a="1"/>
  <c r="G1186" i="260"/>
  <c r="K1263" i="260" a="1"/>
  <c r="K1263" i="260"/>
  <c r="J1128" i="260" a="1"/>
  <c r="J1128" i="260"/>
  <c r="J1306" i="260" a="1"/>
  <c r="J1306" i="260"/>
  <c r="J1215" i="260" a="1"/>
  <c r="J1215" i="260"/>
  <c r="J1336" i="260" a="1"/>
  <c r="J1336" i="260"/>
  <c r="O1275" i="260" a="1"/>
  <c r="O1275" i="260"/>
  <c r="O1123" i="260" a="1"/>
  <c r="O1123" i="260"/>
  <c r="O1350" i="260" a="1"/>
  <c r="O1350" i="260"/>
  <c r="N1325" i="260" a="1"/>
  <c r="N1325" i="260"/>
  <c r="N1116" i="260" a="1"/>
  <c r="N1116" i="260"/>
  <c r="N1166" i="260" a="1"/>
  <c r="N1166" i="260"/>
  <c r="N1253" i="260" a="1"/>
  <c r="N1253" i="260"/>
  <c r="I1257" i="260" a="1"/>
  <c r="I1257" i="260"/>
  <c r="I1168" i="260" a="1"/>
  <c r="I1168" i="260"/>
  <c r="I1277" i="260" a="1"/>
  <c r="I1277" i="260"/>
  <c r="I1333" i="260" a="1"/>
  <c r="I1333" i="260"/>
  <c r="G1261" i="260" a="1"/>
  <c r="G1261" i="260"/>
  <c r="L1206" i="260" a="1"/>
  <c r="L1206" i="260"/>
  <c r="K1136" i="260" a="1"/>
  <c r="K1136" i="260"/>
  <c r="K1262" i="260" a="1"/>
  <c r="K1262" i="260"/>
  <c r="G1124" i="260" a="1"/>
  <c r="G1124" i="260"/>
  <c r="J1280" i="260" a="1"/>
  <c r="J1280" i="260"/>
  <c r="O1345" i="260" a="1"/>
  <c r="O1345" i="260"/>
  <c r="I1160" i="260" a="1"/>
  <c r="I1160" i="260"/>
  <c r="K1320" i="260" a="1"/>
  <c r="K1320" i="260"/>
  <c r="J1174" i="260" a="1"/>
  <c r="J1174" i="260"/>
  <c r="J1156" i="260" a="1"/>
  <c r="J1156" i="260"/>
  <c r="J1219" i="260" a="1"/>
  <c r="J1219" i="260"/>
  <c r="J1145" i="260" a="1"/>
  <c r="J1145" i="260"/>
  <c r="O1116" i="260" a="1"/>
  <c r="O1116" i="260"/>
  <c r="O1137" i="260" a="1"/>
  <c r="O1137" i="260"/>
  <c r="O1234" i="260" a="1"/>
  <c r="O1234" i="260"/>
  <c r="N1233" i="260" a="1"/>
  <c r="N1233" i="260"/>
  <c r="N1122" i="260" a="1"/>
  <c r="N1122" i="260"/>
  <c r="N1161" i="260" a="1"/>
  <c r="N1161" i="260"/>
  <c r="N1259" i="260" a="1"/>
  <c r="N1259" i="260"/>
  <c r="I1360" i="260" a="1"/>
  <c r="I1360" i="260"/>
  <c r="I1344" i="260" a="1"/>
  <c r="I1344" i="260"/>
  <c r="I1222" i="260" a="1"/>
  <c r="I1222" i="260"/>
  <c r="I1316" i="260" a="1"/>
  <c r="I1316" i="260"/>
  <c r="G1322" i="260" a="1"/>
  <c r="G1322" i="260"/>
  <c r="G1317" i="260" a="1"/>
  <c r="G1317" i="260"/>
  <c r="L1356" i="260" a="1"/>
  <c r="L1356" i="260"/>
  <c r="L1145" i="260" a="1"/>
  <c r="L1145" i="260"/>
  <c r="H1347" i="260" a="1"/>
  <c r="H1347" i="260"/>
  <c r="K1345" i="260" a="1"/>
  <c r="K1345" i="260"/>
  <c r="O1266" i="260" a="1"/>
  <c r="O1266" i="260"/>
  <c r="N1360" i="260" a="1"/>
  <c r="N1360" i="260"/>
  <c r="G1307" i="260" a="1"/>
  <c r="G1307" i="260"/>
  <c r="J1352" i="260" a="1"/>
  <c r="J1352" i="260"/>
  <c r="J1152" i="260" a="1"/>
  <c r="J1152" i="260"/>
  <c r="J1322" i="260" a="1"/>
  <c r="J1322" i="260"/>
  <c r="J1282" i="260" a="1"/>
  <c r="J1282" i="260"/>
  <c r="O1209" i="260" a="1"/>
  <c r="O1209" i="260"/>
  <c r="O1153" i="260" a="1"/>
  <c r="O1153" i="260"/>
  <c r="O1127" i="260" a="1"/>
  <c r="O1127" i="260"/>
  <c r="O1306" i="260" a="1"/>
  <c r="O1306" i="260"/>
  <c r="N1231" i="260" a="1"/>
  <c r="N1231" i="260"/>
  <c r="N1348" i="260" a="1"/>
  <c r="N1348" i="260"/>
  <c r="N1246" i="260" a="1"/>
  <c r="N1246" i="260"/>
  <c r="N1148" i="260" a="1"/>
  <c r="N1148" i="260"/>
  <c r="I1164" i="260" a="1"/>
  <c r="I1164" i="260"/>
  <c r="I1266" i="260" a="1"/>
  <c r="I1266" i="260"/>
  <c r="I1129" i="260" a="1"/>
  <c r="I1129" i="260"/>
  <c r="G1241" i="260" a="1"/>
  <c r="G1241" i="260"/>
  <c r="G1352" i="260" a="1"/>
  <c r="G1352" i="260"/>
  <c r="L1138" i="260" a="1"/>
  <c r="L1138" i="260"/>
  <c r="L1187" i="260" a="1"/>
  <c r="L1187" i="260"/>
  <c r="K1234" i="260" a="1"/>
  <c r="K1234" i="260"/>
  <c r="K1367" i="260" a="1"/>
  <c r="K1367" i="260"/>
  <c r="H1251" i="260" a="1"/>
  <c r="H1251" i="260"/>
  <c r="H1330" i="260" a="1"/>
  <c r="H1330" i="260"/>
  <c r="J1248" i="260" a="1"/>
  <c r="J1248" i="260"/>
  <c r="J1334" i="260" a="1"/>
  <c r="J1334" i="260"/>
  <c r="O1250" i="260" a="1"/>
  <c r="O1250" i="260"/>
  <c r="N1214" i="260" a="1"/>
  <c r="N1214" i="260"/>
  <c r="N1347" i="260" a="1"/>
  <c r="N1347" i="260"/>
  <c r="I1121" i="260" a="1"/>
  <c r="I1121" i="260"/>
  <c r="I1230" i="260" a="1"/>
  <c r="I1230" i="260"/>
  <c r="G1131" i="260" a="1"/>
  <c r="G1131" i="260"/>
  <c r="H1277" i="260" a="1"/>
  <c r="H1277" i="260"/>
  <c r="J1259" i="260" a="1"/>
  <c r="J1259" i="260"/>
  <c r="O1148" i="260" a="1"/>
  <c r="O1148" i="260"/>
  <c r="I1278" i="260" a="1"/>
  <c r="I1278" i="260"/>
  <c r="G1331" i="260" a="1"/>
  <c r="G1331" i="260"/>
  <c r="H1339" i="260" a="1"/>
  <c r="H1339" i="260"/>
  <c r="J1216" i="260" a="1"/>
  <c r="J1216" i="260"/>
  <c r="J1163" i="260" a="1"/>
  <c r="J1163" i="260"/>
  <c r="J1182" i="260" a="1"/>
  <c r="J1182" i="260"/>
  <c r="O1161" i="260" a="1"/>
  <c r="O1161" i="260"/>
  <c r="O1276" i="260" a="1"/>
  <c r="O1276" i="260"/>
  <c r="O1372" i="260" a="1"/>
  <c r="O1372" i="260"/>
  <c r="O1322" i="260" a="1"/>
  <c r="O1322" i="260"/>
  <c r="N1226" i="260" a="1"/>
  <c r="N1226" i="260"/>
  <c r="N1376" i="260" a="1"/>
  <c r="N1376" i="260"/>
  <c r="N1118" i="260" a="1"/>
  <c r="N1118" i="260"/>
  <c r="N1283" i="260" a="1"/>
  <c r="N1283" i="260"/>
  <c r="I1339" i="260" a="1"/>
  <c r="I1339" i="260"/>
  <c r="I1253" i="260" a="1"/>
  <c r="I1253" i="260"/>
  <c r="I1347" i="260" a="1"/>
  <c r="I1347" i="260"/>
  <c r="I1146" i="260" a="1"/>
  <c r="I1146" i="260"/>
  <c r="G1282" i="260" a="1"/>
  <c r="G1282" i="260"/>
  <c r="G1334" i="260" a="1"/>
  <c r="G1334" i="260"/>
  <c r="L1323" i="260" a="1"/>
  <c r="L1323" i="260"/>
  <c r="K1126" i="260" a="1"/>
  <c r="K1126" i="260"/>
  <c r="K1186" i="260" a="1"/>
  <c r="K1186" i="260"/>
  <c r="H1173" i="260" a="1"/>
  <c r="H1173" i="260"/>
  <c r="O1229" i="260" a="1"/>
  <c r="O1229" i="260"/>
  <c r="O1120" i="260" a="1"/>
  <c r="O1120" i="260"/>
  <c r="N1270" i="260" a="1"/>
  <c r="N1270" i="260"/>
  <c r="N1208" i="260" a="1"/>
  <c r="N1208" i="260"/>
  <c r="I1350" i="260" a="1"/>
  <c r="I1350" i="260"/>
  <c r="I1138" i="260" a="1"/>
  <c r="I1138" i="260"/>
  <c r="K1368" i="260" a="1"/>
  <c r="K1368" i="260"/>
  <c r="J1375" i="260" a="1"/>
  <c r="J1375" i="260"/>
  <c r="O1219" i="260" a="1"/>
  <c r="O1219" i="260"/>
  <c r="I1358" i="260" a="1"/>
  <c r="I1358" i="260"/>
  <c r="O1185" i="260" a="1"/>
  <c r="O1185" i="260"/>
  <c r="I1248" i="260" a="1"/>
  <c r="I1248" i="260"/>
  <c r="L1275" i="260" a="1"/>
  <c r="L1275" i="260"/>
  <c r="J1261" i="260" a="1"/>
  <c r="J1261" i="260"/>
  <c r="N1221" i="260" a="1"/>
  <c r="N1221" i="260"/>
  <c r="L1355" i="260" a="1"/>
  <c r="L1355" i="260"/>
  <c r="J1329" i="260" a="1"/>
  <c r="J1329" i="260"/>
  <c r="N1266" i="260" a="1"/>
  <c r="N1266" i="260"/>
  <c r="I1117" i="260" a="1"/>
  <c r="I1117" i="260"/>
  <c r="J1187" i="260" a="1"/>
  <c r="J1187" i="260"/>
  <c r="O1122" i="260" a="1"/>
  <c r="O1122" i="260"/>
  <c r="I1336" i="260" a="1"/>
  <c r="I1336" i="260"/>
  <c r="I1246" i="260" a="1"/>
  <c r="I1246" i="260"/>
  <c r="M1316" i="260" a="1"/>
  <c r="M1316" i="260"/>
  <c r="G1350" i="260" a="1"/>
  <c r="G1350" i="260"/>
  <c r="L1211" i="260" a="1"/>
  <c r="L1211" i="260"/>
  <c r="K1347" i="260" a="1"/>
  <c r="K1347" i="260"/>
  <c r="J1348" i="260" a="1"/>
  <c r="J1348" i="260"/>
  <c r="K1365" i="260" a="1"/>
  <c r="K1365" i="260"/>
  <c r="M1349" i="260" a="1"/>
  <c r="M1349" i="260"/>
  <c r="J1360" i="260" a="1"/>
  <c r="J1360" i="260"/>
  <c r="J1134" i="260" a="1"/>
  <c r="J1134" i="260"/>
  <c r="M1365" i="260" a="1"/>
  <c r="M1365" i="260"/>
  <c r="G1304" i="260" a="1"/>
  <c r="G1304" i="260"/>
  <c r="L1164" i="260" a="1"/>
  <c r="L1164" i="260"/>
  <c r="K1118" i="260" a="1"/>
  <c r="K1118" i="260"/>
  <c r="H1229" i="260" a="1"/>
  <c r="H1229" i="260"/>
  <c r="J1214" i="260" a="1"/>
  <c r="J1214" i="260"/>
  <c r="H1217" i="260" a="1"/>
  <c r="H1217" i="260"/>
  <c r="H1174" i="260" a="1"/>
  <c r="H1174" i="260"/>
  <c r="H1183" i="260" a="1"/>
  <c r="H1183" i="260"/>
  <c r="H1142" i="260" a="1"/>
  <c r="H1142" i="260"/>
  <c r="G1180" i="260" a="1"/>
  <c r="G1180" i="260"/>
  <c r="L1274" i="260" a="1"/>
  <c r="L1274" i="260"/>
  <c r="L1262" i="260" a="1"/>
  <c r="L1262" i="260"/>
  <c r="K1178" i="260" a="1"/>
  <c r="K1178" i="260"/>
  <c r="K1307" i="260" a="1"/>
  <c r="K1307" i="260"/>
  <c r="H1161" i="260" a="1"/>
  <c r="H1161" i="260"/>
  <c r="H1154" i="260" a="1"/>
  <c r="H1154" i="260"/>
  <c r="G1207" i="260" a="1"/>
  <c r="G1207" i="260"/>
  <c r="G1335" i="260" a="1"/>
  <c r="G1335" i="260"/>
  <c r="L1234" i="260" a="1"/>
  <c r="L1234" i="260"/>
  <c r="K1264" i="260" a="1"/>
  <c r="K1264" i="260"/>
  <c r="K1309" i="260" a="1"/>
  <c r="K1309" i="260"/>
  <c r="H1257" i="260" a="1"/>
  <c r="H1257" i="260"/>
  <c r="H1245" i="260" a="1"/>
  <c r="H1245" i="260"/>
  <c r="M1362" i="260" a="1"/>
  <c r="M1362" i="260"/>
  <c r="M1169" i="260" a="1"/>
  <c r="M1169" i="260"/>
  <c r="G1256" i="260" a="1"/>
  <c r="G1256" i="260"/>
  <c r="L1240" i="260" a="1"/>
  <c r="L1240" i="260"/>
  <c r="K1308" i="260" a="1"/>
  <c r="K1308" i="260"/>
  <c r="H1166" i="260" a="1"/>
  <c r="H1166" i="260"/>
  <c r="M1321" i="260" a="1"/>
  <c r="M1321" i="260"/>
  <c r="M1163" i="260" a="1"/>
  <c r="M1163" i="260"/>
  <c r="G1242" i="260" a="1"/>
  <c r="G1242" i="260"/>
  <c r="L1218" i="260" a="1"/>
  <c r="L1218" i="260"/>
  <c r="K1364" i="260" a="1"/>
  <c r="K1364" i="260"/>
  <c r="H1180" i="260" a="1"/>
  <c r="H1180" i="260"/>
  <c r="G1364" i="260" a="1"/>
  <c r="G1364" i="260"/>
  <c r="L1157" i="260" a="1"/>
  <c r="L1157" i="260"/>
  <c r="H1315" i="260" a="1"/>
  <c r="H1315" i="260"/>
  <c r="G1329" i="260" a="1"/>
  <c r="G1329" i="260"/>
  <c r="H1367" i="260" a="1"/>
  <c r="H1367" i="260"/>
  <c r="H1185" i="260" a="1"/>
  <c r="H1185" i="260"/>
  <c r="H1254" i="260" a="1"/>
  <c r="H1254" i="260"/>
  <c r="M1252" i="260" a="1"/>
  <c r="M1252" i="260"/>
  <c r="M1144" i="260" a="1"/>
  <c r="M1144" i="260"/>
  <c r="L1302" i="260" a="1"/>
  <c r="L1302" i="260"/>
  <c r="H1179" i="260" a="1"/>
  <c r="H1179" i="260"/>
  <c r="M1354" i="260" a="1"/>
  <c r="M1354" i="260"/>
  <c r="M1250" i="260" a="1"/>
  <c r="M1250" i="260"/>
  <c r="M1168" i="260" a="1"/>
  <c r="M1168" i="260"/>
  <c r="L1226" i="260" a="1"/>
  <c r="L1226" i="260"/>
  <c r="H1317" i="260" a="1"/>
  <c r="H1317" i="260"/>
  <c r="L1308" i="260" a="1"/>
  <c r="L1308" i="260"/>
  <c r="M1185" i="260" a="1"/>
  <c r="M1185" i="260"/>
  <c r="M1188" i="260" a="1"/>
  <c r="M1188" i="260"/>
  <c r="G1305" i="260" a="1"/>
  <c r="G1305" i="260"/>
  <c r="K1324" i="260" a="1"/>
  <c r="K1324" i="260"/>
  <c r="H1318" i="260" a="1"/>
  <c r="H1318" i="260"/>
  <c r="M1234" i="260" a="1"/>
  <c r="M1234" i="260"/>
  <c r="M1152" i="260" a="1"/>
  <c r="M1152" i="260"/>
  <c r="G1182" i="260" a="1"/>
  <c r="G1182" i="260"/>
  <c r="L1361" i="260" a="1"/>
  <c r="L1361" i="260"/>
  <c r="K1139" i="260" a="1"/>
  <c r="K1139" i="260"/>
  <c r="L1231" i="260" a="1"/>
  <c r="L1231" i="260"/>
  <c r="H1256" i="260" a="1"/>
  <c r="H1256" i="260"/>
  <c r="L1309" i="260" a="1"/>
  <c r="L1309" i="260"/>
  <c r="K1281" i="260" a="1"/>
  <c r="K1281" i="260"/>
  <c r="L1300" i="260" a="1"/>
  <c r="L1300" i="260"/>
  <c r="G1228" i="260" a="1"/>
  <c r="G1228" i="260"/>
  <c r="G1249" i="260" a="1"/>
  <c r="G1249" i="260"/>
  <c r="G1281" i="260" a="1"/>
  <c r="G1281" i="260"/>
  <c r="L1322" i="260" a="1"/>
  <c r="L1322" i="260"/>
  <c r="L1258" i="260" a="1"/>
  <c r="L1258" i="260"/>
  <c r="L1184" i="260" a="1"/>
  <c r="L1184" i="260"/>
  <c r="K1184" i="260" a="1"/>
  <c r="K1184" i="260"/>
  <c r="K1255" i="260" a="1"/>
  <c r="K1255" i="260"/>
  <c r="K1377" i="260" a="1"/>
  <c r="K1377" i="260"/>
  <c r="H1186" i="260" a="1"/>
  <c r="H1186" i="260"/>
  <c r="H1311" i="260" a="1"/>
  <c r="H1311" i="260"/>
  <c r="H1335" i="260" a="1"/>
  <c r="H1335" i="260"/>
  <c r="L1213" i="260" a="1"/>
  <c r="L1213" i="260"/>
  <c r="L1130" i="260" a="1"/>
  <c r="L1130" i="260"/>
  <c r="K1362" i="260" a="1"/>
  <c r="K1362" i="260"/>
  <c r="K1159" i="260" a="1"/>
  <c r="K1159" i="260"/>
  <c r="H1300" i="260" a="1"/>
  <c r="H1300" i="260"/>
  <c r="K1246" i="260" a="1"/>
  <c r="K1246" i="260"/>
  <c r="H1209" i="260" a="1"/>
  <c r="H1209" i="260"/>
  <c r="G1372" i="260" a="1"/>
  <c r="G1372" i="260"/>
  <c r="K1280" i="260" a="1"/>
  <c r="K1280" i="260"/>
  <c r="L1316" i="260" a="1"/>
  <c r="L1316" i="260"/>
  <c r="H1131" i="260" a="1"/>
  <c r="H1131" i="260"/>
  <c r="G1323" i="260" a="1"/>
  <c r="G1323" i="260"/>
  <c r="G1248" i="260" a="1"/>
  <c r="G1248" i="260"/>
  <c r="L1341" i="260" a="1"/>
  <c r="L1341" i="260"/>
  <c r="K1227" i="260" a="1"/>
  <c r="K1227" i="260"/>
  <c r="H1280" i="260" a="1"/>
  <c r="H1280" i="260"/>
  <c r="H1176" i="260" a="1"/>
  <c r="H1176" i="260"/>
  <c r="H1309" i="260" a="1"/>
  <c r="H1309" i="260"/>
  <c r="L1276" i="260" a="1"/>
  <c r="L1276" i="260"/>
  <c r="G1236" i="260" a="1"/>
  <c r="G1236" i="260"/>
  <c r="G1217" i="260" a="1"/>
  <c r="G1217" i="260"/>
  <c r="G1363" i="260" a="1"/>
  <c r="G1363" i="260"/>
  <c r="G1362" i="260" a="1"/>
  <c r="G1362" i="260"/>
  <c r="G1327" i="260" a="1"/>
  <c r="G1327" i="260"/>
  <c r="G1376" i="260" a="1"/>
  <c r="G1376" i="260"/>
  <c r="G1371" i="260" a="1"/>
  <c r="G1371" i="260"/>
  <c r="G1219" i="260" a="1"/>
  <c r="G1219" i="260"/>
  <c r="G1145" i="260" a="1"/>
  <c r="G1145" i="260"/>
  <c r="L1241" i="260" a="1"/>
  <c r="L1241" i="260"/>
  <c r="L1169" i="260" a="1"/>
  <c r="L1169" i="260"/>
  <c r="L1372" i="260" a="1"/>
  <c r="L1372" i="260"/>
  <c r="L1324" i="260" a="1"/>
  <c r="L1324" i="260"/>
  <c r="L1221" i="260" a="1"/>
  <c r="L1221" i="260"/>
  <c r="L1314" i="260" a="1"/>
  <c r="L1314" i="260"/>
  <c r="L1156" i="260" a="1"/>
  <c r="L1156" i="260"/>
  <c r="K1161" i="260" a="1"/>
  <c r="K1161" i="260"/>
  <c r="K1113" i="260" a="1"/>
  <c r="K1113" i="260"/>
  <c r="K1205" i="260" a="1"/>
  <c r="K1205" i="260"/>
  <c r="H1275" i="260" a="1"/>
  <c r="H1275" i="260"/>
  <c r="H1155" i="260" a="1"/>
  <c r="H1155" i="260"/>
  <c r="H1357" i="260" a="1"/>
  <c r="H1357" i="260"/>
  <c r="G1173" i="260" a="1"/>
  <c r="G1173" i="260"/>
  <c r="L1172" i="260" a="1"/>
  <c r="L1172" i="260"/>
  <c r="K1321" i="260" a="1"/>
  <c r="K1321" i="260"/>
  <c r="H1241" i="260" a="1"/>
  <c r="H1241" i="260"/>
  <c r="G1171" i="260" a="1"/>
  <c r="G1171" i="260"/>
  <c r="L1247" i="260" a="1"/>
  <c r="L1247" i="260"/>
  <c r="K1275" i="260" a="1"/>
  <c r="K1275" i="260"/>
  <c r="K1251" i="260" a="1"/>
  <c r="K1251" i="260"/>
  <c r="G1255" i="260" a="1"/>
  <c r="G1255" i="260"/>
  <c r="G1377" i="260" a="1"/>
  <c r="G1377" i="260"/>
  <c r="G1205" i="260" a="1"/>
  <c r="G1205" i="260"/>
  <c r="G1139" i="260" a="1"/>
  <c r="G1139" i="260"/>
  <c r="G1128" i="260" a="1"/>
  <c r="G1128" i="260"/>
  <c r="G1229" i="260" a="1"/>
  <c r="G1229" i="260"/>
  <c r="G1188" i="260" a="1"/>
  <c r="G1188" i="260"/>
  <c r="G1149" i="260" a="1"/>
  <c r="G1149" i="260"/>
  <c r="L1165" i="260" a="1"/>
  <c r="L1165" i="260"/>
  <c r="L1174" i="260" a="1"/>
  <c r="L1174" i="260"/>
  <c r="L1311" i="260" a="1"/>
  <c r="L1311" i="260"/>
  <c r="L1352" i="260" a="1"/>
  <c r="L1352" i="260"/>
  <c r="L1253" i="260" a="1"/>
  <c r="L1253" i="260"/>
  <c r="L1313" i="260" a="1"/>
  <c r="L1313" i="260"/>
  <c r="L1142" i="260" a="1"/>
  <c r="L1142" i="260"/>
  <c r="K1165" i="260" a="1"/>
  <c r="K1165" i="260"/>
  <c r="K1180" i="260" a="1"/>
  <c r="K1180" i="260"/>
  <c r="K1344" i="260" a="1"/>
  <c r="K1344" i="260"/>
  <c r="K1172" i="260" a="1"/>
  <c r="K1172" i="260"/>
  <c r="K1116" i="260" a="1"/>
  <c r="K1116" i="260"/>
  <c r="K1230" i="260" a="1"/>
  <c r="K1230" i="260"/>
  <c r="K1261" i="260" a="1"/>
  <c r="K1261" i="260"/>
  <c r="H1181" i="260" a="1"/>
  <c r="H1181" i="260"/>
  <c r="H1358" i="260" a="1"/>
  <c r="H1358" i="260"/>
  <c r="H1340" i="260" a="1"/>
  <c r="H1340" i="260"/>
  <c r="H1136" i="260" a="1"/>
  <c r="H1136" i="260"/>
  <c r="H1215" i="260" a="1"/>
  <c r="H1215" i="260"/>
  <c r="H1230" i="260" a="1"/>
  <c r="H1230" i="260"/>
  <c r="H1302" i="260" a="1"/>
  <c r="H1302" i="260"/>
  <c r="H1333" i="260" a="1"/>
  <c r="H1333" i="260"/>
  <c r="G1353" i="260" a="1"/>
  <c r="G1353" i="260"/>
  <c r="G1119" i="260" a="1"/>
  <c r="G1119" i="260"/>
  <c r="L1256" i="260" a="1"/>
  <c r="L1256" i="260"/>
  <c r="K1269" i="260" a="1"/>
  <c r="K1269" i="260"/>
  <c r="K1254" i="260" a="1"/>
  <c r="K1254" i="260"/>
  <c r="H1177" i="260" a="1"/>
  <c r="H1177" i="260"/>
  <c r="H1306" i="260" a="1"/>
  <c r="H1306" i="260"/>
  <c r="G1115" i="260" a="1"/>
  <c r="G1115" i="260"/>
  <c r="G1237" i="260" a="1"/>
  <c r="G1237" i="260"/>
  <c r="L1367" i="260" a="1"/>
  <c r="L1367" i="260"/>
  <c r="L1269" i="260" a="1"/>
  <c r="L1269" i="260"/>
  <c r="K1212" i="260" a="1"/>
  <c r="K1212" i="260"/>
  <c r="K1333" i="260" a="1"/>
  <c r="K1333" i="260"/>
  <c r="H1242" i="260" a="1"/>
  <c r="H1242" i="260"/>
  <c r="G1117" i="260" a="1"/>
  <c r="G1117" i="260"/>
  <c r="G1263" i="260" a="1"/>
  <c r="G1263" i="260"/>
  <c r="G1232" i="260" a="1"/>
  <c r="G1232" i="260"/>
  <c r="G1258" i="260" a="1"/>
  <c r="G1258" i="260"/>
  <c r="G1208" i="260" a="1"/>
  <c r="G1208" i="260"/>
  <c r="G1215" i="260" a="1"/>
  <c r="G1215" i="260"/>
  <c r="G1262" i="260" a="1"/>
  <c r="G1262" i="260"/>
  <c r="L1348" i="260" a="1"/>
  <c r="L1348" i="260"/>
  <c r="L1188" i="260" a="1"/>
  <c r="L1188" i="260"/>
  <c r="L1160" i="260" a="1"/>
  <c r="L1160" i="260"/>
  <c r="L1230" i="260" a="1"/>
  <c r="L1230" i="260"/>
  <c r="L1319" i="260" a="1"/>
  <c r="L1319" i="260"/>
  <c r="L1246" i="260" a="1"/>
  <c r="L1246" i="260"/>
  <c r="L1222" i="260" a="1"/>
  <c r="L1222" i="260"/>
  <c r="K1171" i="260" a="1"/>
  <c r="K1171" i="260"/>
  <c r="K1237" i="260" a="1"/>
  <c r="K1237" i="260"/>
  <c r="K1242" i="260" a="1"/>
  <c r="K1242" i="260"/>
  <c r="K1317" i="260" a="1"/>
  <c r="K1317" i="260"/>
  <c r="K1245" i="260" a="1"/>
  <c r="K1245" i="260"/>
  <c r="K1208" i="260" a="1"/>
  <c r="K1208" i="260"/>
  <c r="K1302" i="260" a="1"/>
  <c r="K1302" i="260"/>
  <c r="K1144" i="260" a="1"/>
  <c r="K1144" i="260"/>
  <c r="H1160" i="260" a="1"/>
  <c r="H1160" i="260"/>
  <c r="H1224" i="260" a="1"/>
  <c r="H1224" i="260"/>
  <c r="H1264" i="260" a="1"/>
  <c r="H1264" i="260"/>
  <c r="H1139" i="260" a="1"/>
  <c r="H1139" i="260"/>
  <c r="H1212" i="260" a="1"/>
  <c r="H1212" i="260"/>
  <c r="H1121" i="260" a="1"/>
  <c r="H1121" i="260"/>
  <c r="H1223" i="260" a="1"/>
  <c r="H1223" i="260"/>
  <c r="H1337" i="260" a="1"/>
  <c r="H1337" i="260"/>
  <c r="G1355" i="260" a="1"/>
  <c r="G1355" i="260"/>
  <c r="G1308" i="260" a="1"/>
  <c r="G1308" i="260"/>
  <c r="L1365" i="260" a="1"/>
  <c r="L1365" i="260"/>
  <c r="K1231" i="260" a="1"/>
  <c r="K1231" i="260"/>
  <c r="K1225" i="260" a="1"/>
  <c r="K1225" i="260"/>
  <c r="H1348" i="260" a="1"/>
  <c r="H1348" i="260"/>
  <c r="H1115" i="260" a="1"/>
  <c r="H1115" i="260"/>
  <c r="G1185" i="260" a="1"/>
  <c r="G1185" i="260"/>
  <c r="G1132" i="260" a="1"/>
  <c r="G1132" i="260"/>
  <c r="L1132" i="260" a="1"/>
  <c r="L1132" i="260"/>
  <c r="L1279" i="260" a="1"/>
  <c r="L1279" i="260"/>
  <c r="K1366" i="260" a="1"/>
  <c r="K1366" i="260"/>
  <c r="K1337" i="260" a="1"/>
  <c r="K1337" i="260"/>
  <c r="H1213" i="260" a="1"/>
  <c r="H1213" i="260"/>
  <c r="H1168" i="260" a="1"/>
  <c r="H1168" i="260"/>
  <c r="M1246" i="260" a="1"/>
  <c r="M1246" i="260"/>
  <c r="M1322" i="260" a="1"/>
  <c r="M1322" i="260"/>
  <c r="G1277" i="260" a="1"/>
  <c r="G1277" i="260"/>
  <c r="L1116" i="260" a="1"/>
  <c r="L1116" i="260"/>
  <c r="K1123" i="260" a="1"/>
  <c r="K1123" i="260"/>
  <c r="H1259" i="260" a="1"/>
  <c r="H1259" i="260"/>
  <c r="H1268" i="260" a="1"/>
  <c r="H1268" i="260"/>
  <c r="M1262" i="260" a="1"/>
  <c r="M1262" i="260"/>
  <c r="M1336" i="260" a="1"/>
  <c r="M1336" i="260"/>
  <c r="G1361" i="260" a="1"/>
  <c r="G1361" i="260"/>
  <c r="L1342" i="260" a="1"/>
  <c r="L1342" i="260"/>
  <c r="K1249" i="260" a="1"/>
  <c r="K1249" i="260"/>
  <c r="H1371" i="260" a="1"/>
  <c r="H1371" i="260"/>
  <c r="G1189" i="260" a="1"/>
  <c r="G1189" i="260"/>
  <c r="K1181" i="260" a="1"/>
  <c r="K1181" i="260"/>
  <c r="L1332" i="260" a="1"/>
  <c r="L1332" i="260"/>
  <c r="L1273" i="260" a="1"/>
  <c r="L1273" i="260"/>
  <c r="M1300" i="260" a="1"/>
  <c r="M1300" i="260"/>
  <c r="G1278" i="260" a="1"/>
  <c r="G1278" i="260"/>
  <c r="M1257" i="260" a="1"/>
  <c r="M1257" i="260"/>
  <c r="M1207" i="260" a="1"/>
  <c r="M1207" i="260"/>
  <c r="G1264" i="260" a="1"/>
  <c r="G1264" i="260"/>
  <c r="K1149" i="260" a="1"/>
  <c r="K1149" i="260"/>
  <c r="L1224" i="260" a="1"/>
  <c r="L1224" i="260"/>
  <c r="K1187" i="260" a="1"/>
  <c r="K1187" i="260"/>
  <c r="G1151" i="260" a="1"/>
  <c r="G1151" i="260"/>
  <c r="M1170" i="260" a="1"/>
  <c r="M1170" i="260"/>
  <c r="M1232" i="260" a="1"/>
  <c r="M1232" i="260"/>
  <c r="M1351" i="260" a="1"/>
  <c r="M1351" i="260"/>
  <c r="M1308" i="260" a="1"/>
  <c r="M1308" i="260"/>
  <c r="M1301" i="260" a="1"/>
  <c r="M1301" i="260"/>
  <c r="G1234" i="260" a="1"/>
  <c r="G1234" i="260"/>
  <c r="L1210" i="260" a="1"/>
  <c r="L1210" i="260"/>
  <c r="M1150" i="260" a="1"/>
  <c r="M1150" i="260"/>
  <c r="K1135" i="260" a="1"/>
  <c r="K1135" i="260"/>
  <c r="M1129" i="260" a="1"/>
  <c r="M1129" i="260"/>
  <c r="M1223" i="260" a="1"/>
  <c r="M1223" i="260"/>
  <c r="G1113" i="260" a="1"/>
  <c r="G1113" i="260"/>
  <c r="L1136" i="260" a="1"/>
  <c r="L1136" i="260"/>
  <c r="K1338" i="260" a="1"/>
  <c r="K1338" i="260"/>
  <c r="H1214" i="260" a="1"/>
  <c r="H1214" i="260"/>
  <c r="M1346" i="260" a="1"/>
  <c r="M1346" i="260"/>
  <c r="G1223" i="260" a="1"/>
  <c r="G1223" i="260"/>
  <c r="M1184" i="260" a="1"/>
  <c r="M1184" i="260"/>
  <c r="L1244" i="260" a="1"/>
  <c r="L1244" i="260"/>
  <c r="G1315" i="260" a="1"/>
  <c r="G1315" i="260"/>
  <c r="H1219" i="260" a="1"/>
  <c r="H1219" i="260"/>
  <c r="G1351" i="260" a="1"/>
  <c r="G1351" i="260"/>
  <c r="L1349" i="260" a="1"/>
  <c r="L1349" i="260"/>
  <c r="G1218" i="260" a="1"/>
  <c r="G1218" i="260"/>
  <c r="G1127" i="260" a="1"/>
  <c r="G1127" i="260"/>
  <c r="G1318" i="260" a="1"/>
  <c r="G1318" i="260"/>
  <c r="G1313" i="260" a="1"/>
  <c r="G1313" i="260"/>
  <c r="G1157" i="260" a="1"/>
  <c r="G1157" i="260"/>
  <c r="L1223" i="260" a="1"/>
  <c r="L1223" i="260"/>
  <c r="L1175" i="260" a="1"/>
  <c r="L1175" i="260"/>
  <c r="L1185" i="260" a="1"/>
  <c r="L1185" i="260"/>
  <c r="L1282" i="260" a="1"/>
  <c r="L1282" i="260"/>
  <c r="K1214" i="260" a="1"/>
  <c r="K1214" i="260"/>
  <c r="K1371" i="260" a="1"/>
  <c r="K1371" i="260"/>
  <c r="K1164" i="260" a="1"/>
  <c r="K1164" i="260"/>
  <c r="K1122" i="260" a="1"/>
  <c r="K1122" i="260"/>
  <c r="H1373" i="260" a="1"/>
  <c r="H1373" i="260"/>
  <c r="H1117" i="260" a="1"/>
  <c r="H1117" i="260"/>
  <c r="H1261" i="260" a="1"/>
  <c r="H1261" i="260"/>
  <c r="H1323" i="260" a="1"/>
  <c r="H1323" i="260"/>
  <c r="H1167" i="260" a="1"/>
  <c r="H1167" i="260"/>
  <c r="G1260" i="260" a="1"/>
  <c r="G1260" i="260"/>
  <c r="L1264" i="260" a="1"/>
  <c r="L1264" i="260"/>
  <c r="L1344" i="260" a="1"/>
  <c r="L1344" i="260"/>
  <c r="K1372" i="260" a="1"/>
  <c r="K1372" i="260"/>
  <c r="K1210" i="260" a="1"/>
  <c r="K1210" i="260"/>
  <c r="K1349" i="260" a="1"/>
  <c r="K1349" i="260"/>
  <c r="H1248" i="260" a="1"/>
  <c r="H1248" i="260"/>
  <c r="H1253" i="260" a="1"/>
  <c r="H1253" i="260"/>
  <c r="H1169" i="260" a="1"/>
  <c r="H1169" i="260"/>
  <c r="K1175" i="260" a="1"/>
  <c r="K1175" i="260"/>
  <c r="K1331" i="260" a="1"/>
  <c r="K1331" i="260"/>
  <c r="H1353" i="260" a="1"/>
  <c r="H1353" i="260"/>
  <c r="H1141" i="260" a="1"/>
  <c r="H1141" i="260"/>
  <c r="G1143" i="260" a="1"/>
  <c r="G1143" i="260"/>
  <c r="L1166" i="260" a="1"/>
  <c r="L1166" i="260"/>
  <c r="K1250" i="260" a="1"/>
  <c r="K1250" i="260"/>
  <c r="H1221" i="260" a="1"/>
  <c r="H1221" i="260"/>
  <c r="H1151" i="260" a="1"/>
  <c r="H1151" i="260"/>
  <c r="G1374" i="260" a="1"/>
  <c r="G1374" i="260"/>
  <c r="L1364" i="260" a="1"/>
  <c r="L1364" i="260"/>
  <c r="K1253" i="260" a="1"/>
  <c r="K1253" i="260"/>
  <c r="H1125" i="260" a="1"/>
  <c r="H1125" i="260"/>
  <c r="G1354" i="260" a="1"/>
  <c r="G1354" i="260"/>
  <c r="G1326" i="260" a="1"/>
  <c r="G1326" i="260"/>
  <c r="G1225" i="260" a="1"/>
  <c r="G1225" i="260"/>
  <c r="G1336" i="260" a="1"/>
  <c r="G1336" i="260"/>
  <c r="L1111" i="260" a="1"/>
  <c r="L1111" i="260"/>
  <c r="K1355" i="260" a="1"/>
  <c r="K1355" i="260"/>
  <c r="K1375" i="260" a="1"/>
  <c r="K1375" i="260"/>
  <c r="H1366" i="260" a="1"/>
  <c r="H1366" i="260"/>
  <c r="K1279" i="260" a="1"/>
  <c r="K1279" i="260"/>
  <c r="K1207" i="260" a="1"/>
  <c r="K1207" i="260"/>
  <c r="H1308" i="260" a="1"/>
  <c r="H1308" i="260"/>
  <c r="G1231" i="260" a="1"/>
  <c r="G1231" i="260"/>
  <c r="K1217" i="260" a="1"/>
  <c r="K1217" i="260"/>
  <c r="H1325" i="260" a="1"/>
  <c r="H1325" i="260"/>
  <c r="L1338" i="260" a="1"/>
  <c r="L1338" i="260"/>
  <c r="K1114" i="260" a="1"/>
  <c r="K1114" i="260"/>
  <c r="H1152" i="260" a="1"/>
  <c r="H1152" i="260"/>
  <c r="G1309" i="260" a="1"/>
  <c r="G1309" i="260"/>
  <c r="G1140" i="260" a="1"/>
  <c r="G1140" i="260"/>
  <c r="G1251" i="260" a="1"/>
  <c r="G1251" i="260"/>
  <c r="G1114" i="260" a="1"/>
  <c r="G1114" i="260"/>
  <c r="G1359" i="260" a="1"/>
  <c r="G1359" i="260"/>
  <c r="G1319" i="260" a="1"/>
  <c r="G1319" i="260"/>
  <c r="G1144" i="260" a="1"/>
  <c r="G1144" i="260"/>
  <c r="L1257" i="260" a="1"/>
  <c r="L1257" i="260"/>
  <c r="L1123" i="260" a="1"/>
  <c r="L1123" i="260"/>
  <c r="L1171" i="260" a="1"/>
  <c r="L1171" i="260"/>
  <c r="L1216" i="260" a="1"/>
  <c r="L1216" i="260"/>
  <c r="L1377" i="260" a="1"/>
  <c r="L1377" i="260"/>
  <c r="L1236" i="260" a="1"/>
  <c r="L1236" i="260"/>
  <c r="L1329" i="260" a="1"/>
  <c r="L1329" i="260"/>
  <c r="K1211" i="260" a="1"/>
  <c r="K1211" i="260"/>
  <c r="K1152" i="260" a="1"/>
  <c r="K1152" i="260"/>
  <c r="K1167" i="260" a="1"/>
  <c r="K1167" i="260"/>
  <c r="K1352" i="260" a="1"/>
  <c r="K1352" i="260"/>
  <c r="K1244" i="260" a="1"/>
  <c r="K1244" i="260"/>
  <c r="K1248" i="260" a="1"/>
  <c r="K1248" i="260"/>
  <c r="K1260" i="260" a="1"/>
  <c r="K1260" i="260"/>
  <c r="H1351" i="260" a="1"/>
  <c r="H1351" i="260"/>
  <c r="H1165" i="260" a="1"/>
  <c r="H1165" i="260"/>
  <c r="H1124" i="260" a="1"/>
  <c r="H1124" i="260"/>
  <c r="H1111" i="260" a="1"/>
  <c r="H1111" i="260"/>
  <c r="H1123" i="260" a="1"/>
  <c r="H1123" i="260"/>
  <c r="H1206" i="260" a="1"/>
  <c r="H1206" i="260"/>
  <c r="H1252" i="260" a="1"/>
  <c r="H1252" i="260"/>
  <c r="G1280" i="260" a="1"/>
  <c r="G1280" i="260"/>
  <c r="G1332" i="260" a="1"/>
  <c r="G1332" i="260"/>
  <c r="L1304" i="260" a="1"/>
  <c r="L1304" i="260"/>
  <c r="L1140" i="260" a="1"/>
  <c r="L1140" i="260"/>
  <c r="L1260" i="260" a="1"/>
  <c r="L1260" i="260"/>
  <c r="L1283" i="260" a="1"/>
  <c r="L1283" i="260"/>
  <c r="K1213" i="260" a="1"/>
  <c r="K1213" i="260"/>
  <c r="K1322" i="260" a="1"/>
  <c r="K1322" i="260"/>
  <c r="K1216" i="260" a="1"/>
  <c r="K1216" i="260"/>
  <c r="K1342" i="260" a="1"/>
  <c r="K1342" i="260"/>
  <c r="H1362" i="260" a="1"/>
  <c r="H1362" i="260"/>
  <c r="H1231" i="260" a="1"/>
  <c r="H1231" i="260"/>
  <c r="H1265" i="260" a="1"/>
  <c r="H1265" i="260"/>
  <c r="H1207" i="260" a="1"/>
  <c r="H1207" i="260"/>
  <c r="H1144" i="260" a="1"/>
  <c r="H1144" i="260"/>
  <c r="K1356" i="260" a="1"/>
  <c r="K1356" i="260"/>
  <c r="K1221" i="260" a="1"/>
  <c r="K1221" i="260"/>
  <c r="H1233" i="260" a="1"/>
  <c r="H1233" i="260"/>
  <c r="H1175" i="260" a="1"/>
  <c r="H1175" i="260"/>
  <c r="H1170" i="260" a="1"/>
  <c r="H1170" i="260"/>
  <c r="H1332" i="260" a="1"/>
  <c r="H1332" i="260"/>
  <c r="G1373" i="260" a="1"/>
  <c r="G1373" i="260"/>
  <c r="L1345" i="260" a="1"/>
  <c r="L1345" i="260"/>
  <c r="L1366" i="260" a="1"/>
  <c r="L1366" i="260"/>
  <c r="K1270" i="260" a="1"/>
  <c r="K1270" i="260"/>
  <c r="K1169" i="260" a="1"/>
  <c r="K1169" i="260"/>
  <c r="H1319" i="260" a="1"/>
  <c r="H1319" i="260"/>
  <c r="H1341" i="260" a="1"/>
  <c r="H1341" i="260"/>
  <c r="G1239" i="260" a="1"/>
  <c r="G1239" i="260"/>
  <c r="L1317" i="260" a="1"/>
  <c r="L1317" i="260"/>
  <c r="K1311" i="260" a="1"/>
  <c r="K1311" i="260"/>
  <c r="K1361" i="260" a="1"/>
  <c r="K1361" i="260"/>
  <c r="H1281" i="260" a="1"/>
  <c r="H1281" i="260"/>
  <c r="H1263" i="260" a="1"/>
  <c r="H1263" i="260"/>
  <c r="G1340" i="260" a="1"/>
  <c r="G1340" i="260"/>
  <c r="G1268" i="260" a="1"/>
  <c r="G1268" i="260"/>
  <c r="G1360" i="260" a="1"/>
  <c r="G1360" i="260"/>
  <c r="G1243" i="260" a="1"/>
  <c r="G1243" i="260"/>
  <c r="G1166" i="260" a="1"/>
  <c r="G1166" i="260"/>
  <c r="G1310" i="260" a="1"/>
  <c r="G1310" i="260"/>
  <c r="L1220" i="260" a="1"/>
  <c r="L1220" i="260"/>
  <c r="L1327" i="260" a="1"/>
  <c r="L1327" i="260"/>
  <c r="L1126" i="260" a="1"/>
  <c r="L1126" i="260"/>
  <c r="K1339" i="260" a="1"/>
  <c r="K1339" i="260"/>
  <c r="K1233" i="260" a="1"/>
  <c r="K1233" i="260"/>
  <c r="K1346" i="260" a="1"/>
  <c r="K1346" i="260"/>
  <c r="H1266" i="260" a="1"/>
  <c r="H1266" i="260"/>
  <c r="H1360" i="260" a="1"/>
  <c r="H1360" i="260"/>
  <c r="H1345" i="260" a="1"/>
  <c r="H1345" i="260"/>
  <c r="K1150" i="260" a="1"/>
  <c r="K1150" i="260"/>
  <c r="K1312" i="260" a="1"/>
  <c r="K1312" i="260"/>
  <c r="H1243" i="260" a="1"/>
  <c r="H1243" i="260"/>
  <c r="H1327" i="260" a="1"/>
  <c r="H1327" i="260"/>
  <c r="G1125" i="260" a="1"/>
  <c r="G1125" i="260"/>
  <c r="L1112" i="260" a="1"/>
  <c r="L1112" i="260"/>
  <c r="K1117" i="260" a="1"/>
  <c r="K1117" i="260"/>
  <c r="H1352" i="260" a="1"/>
  <c r="H1352" i="260"/>
  <c r="G1179" i="260" a="1"/>
  <c r="G1179" i="260"/>
  <c r="L1346" i="260" a="1"/>
  <c r="L1346" i="260"/>
  <c r="K1134" i="260" a="1"/>
  <c r="K1134" i="260"/>
  <c r="H1320" i="260" a="1"/>
  <c r="H1320" i="260"/>
  <c r="G1246" i="260" a="1"/>
  <c r="G1246" i="260"/>
  <c r="G1154" i="260" a="1"/>
  <c r="G1154" i="260"/>
  <c r="G1161" i="260" a="1"/>
  <c r="G1161" i="260"/>
  <c r="G1138" i="260" a="1"/>
  <c r="G1138" i="260"/>
  <c r="G1341" i="260" a="1"/>
  <c r="G1341" i="260"/>
  <c r="G1118" i="260" a="1"/>
  <c r="G1118" i="260"/>
  <c r="G1347" i="260" a="1"/>
  <c r="G1347" i="260"/>
  <c r="G1337" i="260" a="1"/>
  <c r="G1337" i="260"/>
  <c r="L1208" i="260" a="1"/>
  <c r="L1208" i="260"/>
  <c r="L1351" i="260" a="1"/>
  <c r="L1351" i="260"/>
  <c r="L1320" i="260" a="1"/>
  <c r="L1320" i="260"/>
  <c r="L1371" i="260" a="1"/>
  <c r="L1371" i="260"/>
  <c r="L1168" i="260" a="1"/>
  <c r="L1168" i="260"/>
  <c r="L1183" i="260" a="1"/>
  <c r="L1183" i="260"/>
  <c r="L1330" i="260" a="1"/>
  <c r="L1330" i="260"/>
  <c r="K1115" i="260" a="1"/>
  <c r="K1115" i="260"/>
  <c r="K1243" i="260" a="1"/>
  <c r="K1243" i="260"/>
  <c r="K1259" i="260" a="1"/>
  <c r="K1259" i="260"/>
  <c r="H1239" i="260" a="1"/>
  <c r="H1239" i="260"/>
  <c r="H1338" i="260" a="1"/>
  <c r="H1338" i="260"/>
  <c r="G1226" i="260" a="1"/>
  <c r="G1226" i="260"/>
  <c r="G1146" i="260" a="1"/>
  <c r="G1146" i="260"/>
  <c r="L1252" i="260" a="1"/>
  <c r="L1252" i="260"/>
  <c r="K1353" i="260" a="1"/>
  <c r="K1353" i="260"/>
  <c r="G1136" i="260" a="1"/>
  <c r="G1136" i="260"/>
  <c r="L1318" i="260" a="1"/>
  <c r="L1318" i="260"/>
  <c r="K1256" i="260" a="1"/>
  <c r="K1256" i="260"/>
  <c r="H1343" i="260" a="1"/>
  <c r="H1343" i="260"/>
  <c r="G1165" i="260" a="1"/>
  <c r="G1165" i="260"/>
  <c r="G1283" i="260" a="1"/>
  <c r="G1283" i="260"/>
  <c r="G1344" i="260" a="1"/>
  <c r="G1344" i="260"/>
  <c r="G1257" i="260" a="1"/>
  <c r="G1257" i="260"/>
  <c r="G1311" i="260" a="1"/>
  <c r="G1311" i="260"/>
  <c r="G1209" i="260" a="1"/>
  <c r="G1209" i="260"/>
  <c r="G1169" i="260" a="1"/>
  <c r="G1169" i="260"/>
  <c r="L1124" i="260" a="1"/>
  <c r="L1124" i="260"/>
  <c r="L1217" i="260" a="1"/>
  <c r="L1217" i="260"/>
  <c r="L1228" i="260" a="1"/>
  <c r="L1228" i="260"/>
  <c r="L1303" i="260" a="1"/>
  <c r="L1303" i="260"/>
  <c r="L1207" i="260" a="1"/>
  <c r="L1207" i="260"/>
  <c r="L1163" i="260" a="1"/>
  <c r="L1163" i="260"/>
  <c r="L1310" i="260" a="1"/>
  <c r="L1310" i="260"/>
  <c r="L1146" i="260" a="1"/>
  <c r="L1146" i="260"/>
  <c r="K1120" i="260" a="1"/>
  <c r="K1120" i="260"/>
  <c r="K1277" i="260" a="1"/>
  <c r="K1277" i="260"/>
  <c r="K1222" i="260" a="1"/>
  <c r="K1222" i="260"/>
  <c r="K1209" i="260" a="1"/>
  <c r="K1209" i="260"/>
  <c r="K1369" i="260" a="1"/>
  <c r="K1369" i="260"/>
  <c r="K1218" i="260" a="1"/>
  <c r="K1218" i="260"/>
  <c r="K1141" i="260" a="1"/>
  <c r="K1141" i="260"/>
  <c r="H1349" i="260" a="1"/>
  <c r="H1349" i="260"/>
  <c r="H1133" i="260" a="1"/>
  <c r="H1133" i="260"/>
  <c r="H1130" i="260" a="1"/>
  <c r="H1130" i="260"/>
  <c r="H1138" i="260" a="1"/>
  <c r="H1138" i="260"/>
  <c r="H1314" i="260" a="1"/>
  <c r="H1314" i="260"/>
  <c r="H1178" i="260" a="1"/>
  <c r="H1178" i="260"/>
  <c r="H1303" i="260" a="1"/>
  <c r="H1303" i="260"/>
  <c r="H1149" i="260" a="1"/>
  <c r="H1149" i="260"/>
  <c r="G1155" i="260" a="1"/>
  <c r="G1155" i="260"/>
  <c r="L1359" i="260" a="1"/>
  <c r="L1359" i="260"/>
  <c r="L1301" i="260" a="1"/>
  <c r="L1301" i="260"/>
  <c r="K1299" i="260" a="1"/>
  <c r="K1299" i="260"/>
  <c r="K1360" i="260" a="1"/>
  <c r="K1360" i="260"/>
  <c r="H1234" i="260" a="1"/>
  <c r="H1234" i="260"/>
  <c r="G1172" i="260" a="1"/>
  <c r="G1172" i="260"/>
  <c r="G1123" i="260" a="1"/>
  <c r="G1123" i="260"/>
  <c r="L1114" i="260" a="1"/>
  <c r="L1114" i="260"/>
  <c r="L1141" i="260" a="1"/>
  <c r="L1141" i="260"/>
  <c r="K1241" i="260" a="1"/>
  <c r="K1241" i="260"/>
  <c r="H1250" i="260" a="1"/>
  <c r="H1250" i="260"/>
  <c r="H1374" i="260" a="1"/>
  <c r="H1374" i="260"/>
  <c r="G1214" i="260" a="1"/>
  <c r="G1214" i="260"/>
  <c r="G1183" i="260" a="1"/>
  <c r="G1183" i="260"/>
  <c r="G1112" i="260" a="1"/>
  <c r="G1112" i="260"/>
  <c r="G1178" i="260" a="1"/>
  <c r="G1178" i="260"/>
  <c r="G1316" i="260" a="1"/>
  <c r="G1316" i="260"/>
  <c r="G1349" i="260" a="1"/>
  <c r="G1349" i="260"/>
  <c r="G1158" i="260" a="1"/>
  <c r="G1158" i="260"/>
  <c r="L1235" i="260" a="1"/>
  <c r="L1235" i="260"/>
  <c r="L1139" i="260" a="1"/>
  <c r="L1139" i="260"/>
  <c r="L1374" i="260" a="1"/>
  <c r="L1374" i="260"/>
  <c r="L1215" i="260" a="1"/>
  <c r="L1215" i="260"/>
  <c r="L1281" i="260" a="1"/>
  <c r="L1281" i="260"/>
  <c r="L1178" i="260" a="1"/>
  <c r="L1178" i="260"/>
  <c r="L1305" i="260" a="1"/>
  <c r="L1305" i="260"/>
  <c r="K1257" i="260" a="1"/>
  <c r="K1257" i="260"/>
  <c r="K1374" i="260" a="1"/>
  <c r="K1374" i="260"/>
  <c r="K1151" i="260" a="1"/>
  <c r="K1151" i="260"/>
  <c r="K1132" i="260" a="1"/>
  <c r="K1132" i="260"/>
  <c r="K1163" i="260" a="1"/>
  <c r="K1163" i="260"/>
  <c r="K1359" i="260" a="1"/>
  <c r="K1359" i="260"/>
  <c r="K1283" i="260" a="1"/>
  <c r="K1283" i="260"/>
  <c r="K1148" i="260" a="1"/>
  <c r="K1148" i="260"/>
  <c r="H1375" i="260" a="1"/>
  <c r="H1375" i="260"/>
  <c r="H1369" i="260" a="1"/>
  <c r="H1369" i="260"/>
  <c r="H1240" i="260" a="1"/>
  <c r="H1240" i="260"/>
  <c r="H1238" i="260" a="1"/>
  <c r="H1238" i="260"/>
  <c r="H1324" i="260" a="1"/>
  <c r="H1324" i="260"/>
  <c r="H1116" i="260" a="1"/>
  <c r="H1116" i="260"/>
  <c r="H1305" i="260" a="1"/>
  <c r="H1305" i="260"/>
  <c r="G1184" i="260" a="1"/>
  <c r="G1184" i="260"/>
  <c r="G1306" i="260" a="1"/>
  <c r="G1306" i="260"/>
  <c r="L1250" i="260" a="1"/>
  <c r="L1250" i="260"/>
  <c r="K1111" i="260" a="1"/>
  <c r="K1111" i="260"/>
  <c r="K1235" i="260" a="1"/>
  <c r="K1235" i="260"/>
  <c r="H1372" i="260" a="1"/>
  <c r="H1372" i="260"/>
  <c r="H1313" i="260" a="1"/>
  <c r="H1313" i="260"/>
  <c r="G1273" i="260" a="1"/>
  <c r="G1273" i="260"/>
  <c r="G1126" i="260" a="1"/>
  <c r="G1126" i="260"/>
  <c r="L1325" i="260" a="1"/>
  <c r="L1325" i="260"/>
  <c r="L1331" i="260" a="1"/>
  <c r="L1331" i="260"/>
  <c r="K1267" i="260" a="1"/>
  <c r="K1267" i="260"/>
  <c r="H1361" i="260" a="1"/>
  <c r="H1361" i="260"/>
  <c r="H1156" i="260" a="1"/>
  <c r="H1156" i="260"/>
  <c r="M1371" i="260" a="1"/>
  <c r="M1371" i="260"/>
  <c r="M1114" i="260" a="1"/>
  <c r="M1114" i="260"/>
  <c r="G1325" i="260" a="1"/>
  <c r="G1325" i="260"/>
  <c r="L1177" i="260" a="1"/>
  <c r="L1177" i="260"/>
  <c r="K1142" i="260" a="1"/>
  <c r="K1142" i="260"/>
  <c r="M1182" i="260" a="1"/>
  <c r="M1182" i="260"/>
  <c r="M1299" i="260" a="1"/>
  <c r="M1299" i="260"/>
  <c r="G1164" i="260" a="1"/>
  <c r="G1164" i="260"/>
  <c r="L1182" i="260" a="1"/>
  <c r="L1182" i="260"/>
  <c r="K1304" i="260" a="1"/>
  <c r="K1304" i="260"/>
  <c r="H1247" i="260" a="1"/>
  <c r="H1247" i="260"/>
  <c r="L1161" i="260" a="1"/>
  <c r="L1161" i="260"/>
  <c r="H1299" i="260" a="1"/>
  <c r="H1299" i="260"/>
  <c r="G1174" i="260" a="1"/>
  <c r="G1174" i="260"/>
  <c r="K1153" i="260" a="1"/>
  <c r="K1153" i="260"/>
  <c r="K1323" i="260" a="1"/>
  <c r="K1323" i="260"/>
  <c r="M1166" i="260" a="1"/>
  <c r="M1166" i="260"/>
  <c r="K1206" i="260" a="1"/>
  <c r="K1206" i="260"/>
  <c r="M1370" i="260" a="1"/>
  <c r="M1370" i="260"/>
  <c r="M1326" i="260" a="1"/>
  <c r="M1326" i="260"/>
  <c r="L1268" i="260" a="1"/>
  <c r="L1268" i="260"/>
  <c r="H1228" i="260" a="1"/>
  <c r="H1228" i="260"/>
  <c r="K1351" i="260" a="1"/>
  <c r="K1351" i="260"/>
  <c r="H1184" i="260" a="1"/>
  <c r="H1184" i="260"/>
  <c r="K1125" i="260" a="1"/>
  <c r="K1125" i="260"/>
  <c r="M1342" i="260" a="1"/>
  <c r="M1342" i="260"/>
  <c r="M1176" i="260" a="1"/>
  <c r="M1176" i="260"/>
  <c r="G1162" i="260" a="1"/>
  <c r="G1162" i="260"/>
  <c r="H1272" i="260" a="1"/>
  <c r="H1272" i="260"/>
  <c r="M1173" i="260" a="1"/>
  <c r="M1173" i="260"/>
  <c r="M1279" i="260" a="1"/>
  <c r="M1279" i="260"/>
  <c r="G1346" i="260" a="1"/>
  <c r="G1346" i="260"/>
  <c r="L1148" i="260" a="1"/>
  <c r="L1148" i="260"/>
  <c r="G1338" i="260" a="1"/>
  <c r="G1338" i="260"/>
  <c r="M1266" i="260" a="1"/>
  <c r="M1266" i="260"/>
  <c r="K1140" i="260" a="1"/>
  <c r="K1140" i="260"/>
  <c r="H1235" i="260" a="1"/>
  <c r="H1235" i="260"/>
  <c r="M1269" i="260" a="1"/>
  <c r="M1269" i="260"/>
  <c r="K1278" i="260" a="1"/>
  <c r="K1278" i="260"/>
  <c r="M1118" i="260" a="1"/>
  <c r="M1118" i="260"/>
  <c r="M1111" i="260" a="1"/>
  <c r="M1111" i="260"/>
  <c r="K1226" i="260" a="1"/>
  <c r="K1226" i="260"/>
  <c r="M1311" i="260" a="1"/>
  <c r="M1311" i="260"/>
  <c r="H1114" i="260" a="1"/>
  <c r="H1114" i="260"/>
  <c r="M1348" i="260" a="1"/>
  <c r="M1348" i="260"/>
  <c r="M1249" i="260" a="1"/>
  <c r="M1249" i="260"/>
  <c r="M1268" i="260" a="1"/>
  <c r="M1268" i="260"/>
  <c r="M1242" i="260" a="1"/>
  <c r="M1242" i="260"/>
  <c r="M1113" i="260" a="1"/>
  <c r="M1113" i="260"/>
  <c r="M1138" i="260" a="1"/>
  <c r="M1138" i="260"/>
  <c r="M1254" i="260" a="1"/>
  <c r="M1254" i="260"/>
  <c r="M1361" i="260" a="1"/>
  <c r="M1361" i="260"/>
  <c r="M1377" i="260" a="1"/>
  <c r="M1377" i="260"/>
  <c r="M1335" i="260" a="1"/>
  <c r="M1335" i="260"/>
  <c r="M1226" i="260" a="1"/>
  <c r="M1226" i="260"/>
  <c r="M1181" i="260" a="1"/>
  <c r="M1181" i="260"/>
  <c r="M1128" i="260" a="1"/>
  <c r="M1128" i="260"/>
  <c r="M1303" i="260" a="1"/>
  <c r="M1303" i="260"/>
  <c r="M1318" i="260" a="1"/>
  <c r="M1318" i="260"/>
  <c r="M1358" i="260" a="1"/>
  <c r="M1358" i="260"/>
  <c r="M1221" i="260" a="1"/>
  <c r="M1221" i="260"/>
  <c r="M1332" i="260" a="1"/>
  <c r="M1332" i="260"/>
  <c r="M1180" i="260" a="1"/>
  <c r="M1180" i="260"/>
  <c r="M1276" i="260" a="1"/>
  <c r="M1276" i="260"/>
  <c r="M1127" i="260" a="1"/>
  <c r="M1127" i="260"/>
  <c r="M1167" i="260" a="1"/>
  <c r="M1167" i="260"/>
  <c r="M1225" i="260" a="1"/>
  <c r="M1225" i="260"/>
  <c r="M1177" i="260" a="1"/>
  <c r="M1177" i="260"/>
  <c r="M1344" i="260" a="1"/>
  <c r="M1344" i="260"/>
  <c r="M1329" i="260" a="1"/>
  <c r="M1329" i="260"/>
  <c r="M1229" i="260" a="1"/>
  <c r="M1229" i="260"/>
  <c r="M1267" i="260" a="1"/>
  <c r="M1267" i="260"/>
  <c r="M1172" i="260" a="1"/>
  <c r="M1172" i="260"/>
  <c r="M1218" i="260" a="1"/>
  <c r="M1218" i="260"/>
  <c r="M1304" i="260" a="1"/>
  <c r="M1304" i="260"/>
  <c r="M1310" i="260" a="1"/>
  <c r="M1310" i="260"/>
  <c r="M1164" i="260" a="1"/>
  <c r="M1164" i="260"/>
  <c r="M1243" i="260" a="1"/>
  <c r="M1243" i="260"/>
  <c r="M1333" i="260" a="1"/>
  <c r="M1333" i="260"/>
  <c r="M1275" i="260" a="1"/>
  <c r="M1275" i="260"/>
  <c r="M1338" i="260" a="1"/>
  <c r="M1338" i="260"/>
  <c r="M1341" i="260" a="1"/>
  <c r="M1341" i="260"/>
  <c r="M1282" i="260" a="1"/>
  <c r="M1282" i="260"/>
  <c r="M1130" i="260" a="1"/>
  <c r="M1130" i="260"/>
  <c r="M1258" i="260" a="1"/>
  <c r="M1258" i="260"/>
  <c r="M1178" i="260" a="1"/>
  <c r="M1178" i="260"/>
  <c r="M1330" i="260" a="1"/>
  <c r="M1330" i="260"/>
  <c r="M1273" i="260" a="1"/>
  <c r="M1273" i="260"/>
  <c r="M1151" i="260" a="1"/>
  <c r="M1151" i="260"/>
  <c r="M1174" i="260" a="1"/>
  <c r="M1174" i="260"/>
  <c r="M1240" i="260" a="1"/>
  <c r="M1240" i="260"/>
  <c r="M1283" i="260" a="1"/>
  <c r="M1283" i="260"/>
  <c r="M1120" i="260" a="1"/>
  <c r="M1120" i="260"/>
  <c r="M1116" i="260" a="1"/>
  <c r="M1116" i="260"/>
  <c r="M1315" i="260" a="1"/>
  <c r="M1315" i="260"/>
  <c r="M1334" i="260" a="1"/>
  <c r="M1334" i="260"/>
  <c r="M1230" i="260" a="1"/>
  <c r="M1230" i="260"/>
  <c r="M1312" i="260" a="1"/>
  <c r="M1312" i="260"/>
  <c r="M1309" i="260" a="1"/>
  <c r="M1309" i="260"/>
  <c r="M1360" i="260" a="1"/>
  <c r="M1360" i="260"/>
  <c r="M1307" i="260" a="1"/>
  <c r="M1307" i="260"/>
  <c r="M1277" i="260" a="1"/>
  <c r="M1277" i="260"/>
  <c r="M1253" i="260" a="1"/>
  <c r="M1253" i="260"/>
  <c r="M1278" i="260" a="1"/>
  <c r="M1278" i="260"/>
  <c r="M1324" i="260" a="1"/>
  <c r="M1324" i="260"/>
  <c r="M1224" i="260" a="1"/>
  <c r="M1224" i="260"/>
  <c r="M1359" i="260" a="1"/>
  <c r="M1359" i="260"/>
  <c r="M1313" i="260" a="1"/>
  <c r="M1313" i="260"/>
  <c r="M1281" i="260" a="1"/>
  <c r="M1281" i="260"/>
  <c r="M1121" i="260" a="1"/>
  <c r="M1121" i="260"/>
  <c r="M1373" i="260" a="1"/>
  <c r="M1373" i="260"/>
  <c r="M1271" i="260" a="1"/>
  <c r="M1271" i="260"/>
  <c r="M1141" i="260" a="1"/>
  <c r="M1141" i="260"/>
  <c r="M1134" i="260" a="1"/>
  <c r="M1134" i="260"/>
  <c r="M1125" i="260" a="1"/>
  <c r="M1125" i="260"/>
  <c r="M1352" i="260" a="1"/>
  <c r="M1352" i="260"/>
  <c r="M1245" i="260" a="1"/>
  <c r="M1245" i="260"/>
  <c r="M1165" i="260" a="1"/>
  <c r="M1165" i="260"/>
  <c r="M1115" i="260" a="1"/>
  <c r="M1115" i="260"/>
  <c r="M1156" i="260" a="1"/>
  <c r="M1156" i="260"/>
  <c r="M1217" i="260" a="1"/>
  <c r="M1217" i="260"/>
  <c r="M1302" i="260" a="1"/>
  <c r="M1302" i="260"/>
  <c r="M1171" i="260" a="1"/>
  <c r="M1171" i="260"/>
  <c r="M1124" i="260" a="1"/>
  <c r="M1124" i="260"/>
  <c r="M1208" i="260" a="1"/>
  <c r="M1208" i="260"/>
  <c r="M1139" i="260" a="1"/>
  <c r="M1139" i="260"/>
  <c r="M1235" i="260" a="1"/>
  <c r="M1235" i="260"/>
  <c r="M1343" i="260" a="1"/>
  <c r="M1343" i="260"/>
  <c r="M1119" i="260" a="1"/>
  <c r="M1119" i="260"/>
  <c r="M1148" i="260" a="1"/>
  <c r="M1148" i="260"/>
  <c r="M1265" i="260" a="1"/>
  <c r="M1265" i="260"/>
  <c r="M1146" i="260" a="1"/>
  <c r="M1146" i="260"/>
  <c r="M1160" i="260" a="1"/>
  <c r="M1160" i="260"/>
  <c r="M1314" i="260" a="1"/>
  <c r="M1314" i="260"/>
  <c r="M1345" i="260" a="1"/>
  <c r="M1345" i="260"/>
  <c r="M1206" i="260" a="1"/>
  <c r="M1206" i="260"/>
  <c r="M1241" i="260" a="1"/>
  <c r="M1241" i="260"/>
  <c r="M1187" i="260" a="1"/>
  <c r="M1187" i="260"/>
  <c r="M1261" i="260" a="1"/>
  <c r="M1261" i="260"/>
  <c r="M1126" i="260" a="1"/>
  <c r="M1126" i="260"/>
  <c r="M1205" i="260" a="1"/>
  <c r="M1205" i="260"/>
  <c r="M1210" i="260" a="1"/>
  <c r="M1210" i="260"/>
  <c r="M1272" i="260" a="1"/>
  <c r="M1272" i="260"/>
  <c r="M1233" i="260" a="1"/>
  <c r="M1233" i="260"/>
  <c r="M1319" i="260" a="1"/>
  <c r="M1319" i="260"/>
  <c r="M1375" i="260" a="1"/>
  <c r="M1375" i="260"/>
  <c r="M1189" i="260" a="1"/>
  <c r="M1189" i="260"/>
  <c r="M1337" i="260" a="1"/>
  <c r="M1337" i="260"/>
  <c r="M1248" i="260" a="1"/>
  <c r="M1248" i="260"/>
  <c r="M1132" i="260" a="1"/>
  <c r="M1132" i="260"/>
  <c r="M1213" i="260" a="1"/>
  <c r="M1213" i="260"/>
  <c r="M1154" i="260" a="1"/>
  <c r="M1154" i="260"/>
  <c r="M1368" i="260" a="1"/>
  <c r="M1368" i="260"/>
  <c r="M1153" i="260" a="1"/>
  <c r="M1153" i="260"/>
  <c r="M1340" i="260" a="1"/>
  <c r="M1340" i="260"/>
  <c r="M1263" i="260" a="1"/>
  <c r="M1263" i="260"/>
  <c r="M1222" i="260" a="1"/>
  <c r="M1222" i="260"/>
  <c r="M1306" i="260" a="1"/>
  <c r="M1306" i="260"/>
  <c r="M1227" i="260" a="1"/>
  <c r="M1227" i="260"/>
  <c r="M1122" i="260" a="1"/>
  <c r="M1122" i="260"/>
  <c r="M1331" i="260" a="1"/>
  <c r="M1331" i="260"/>
  <c r="M1260" i="260" a="1"/>
  <c r="M1260" i="260"/>
  <c r="M1147" i="260" a="1"/>
  <c r="M1147" i="260"/>
  <c r="M1183" i="260" a="1"/>
  <c r="M1183" i="260"/>
  <c r="M1228" i="260" a="1"/>
  <c r="M1228" i="260"/>
  <c r="M1211" i="260" a="1"/>
  <c r="M1211" i="260"/>
  <c r="M1356" i="260" a="1"/>
  <c r="M1356" i="260"/>
  <c r="M1256" i="260" a="1"/>
  <c r="M1256" i="260"/>
  <c r="M1212" i="260" a="1"/>
  <c r="M1212" i="260"/>
  <c r="M1353" i="260" a="1"/>
  <c r="M1353" i="260"/>
  <c r="M1159" i="260" a="1"/>
  <c r="M1159" i="260"/>
  <c r="M1136" i="260" a="1"/>
  <c r="M1136" i="260"/>
  <c r="M1236" i="260" a="1"/>
  <c r="M1236" i="260"/>
  <c r="M1175" i="260" a="1"/>
  <c r="M1175" i="260"/>
  <c r="M1135" i="260" a="1"/>
  <c r="M1135" i="260"/>
  <c r="M1131" i="260" a="1"/>
  <c r="M1131" i="260"/>
  <c r="M1186" i="260" a="1"/>
  <c r="M1186" i="260"/>
  <c r="M1239" i="260" a="1"/>
  <c r="M1239" i="260"/>
  <c r="M1157" i="260" a="1"/>
  <c r="M1157" i="260"/>
  <c r="M1367" i="260" a="1"/>
  <c r="M1367" i="260"/>
  <c r="M1143" i="260" a="1"/>
  <c r="M1143" i="260"/>
  <c r="M1274" i="260" a="1"/>
  <c r="M1274" i="260"/>
  <c r="M1220" i="260" a="1"/>
  <c r="M1220" i="260"/>
  <c r="M1363" i="260" a="1"/>
  <c r="M1363" i="260"/>
  <c r="M1162" i="260" a="1"/>
  <c r="M1162" i="260"/>
  <c r="M1364" i="260" a="1"/>
  <c r="M1364" i="260"/>
  <c r="M1280" i="260" a="1"/>
  <c r="M1280" i="260"/>
  <c r="M1317" i="260" a="1"/>
  <c r="M1317" i="260"/>
  <c r="M1209" i="260" a="1"/>
  <c r="M1209" i="260"/>
  <c r="M1328" i="260" a="1"/>
  <c r="M1328" i="260"/>
  <c r="M1117" i="260" a="1"/>
  <c r="M1117" i="260"/>
  <c r="M1251" i="260" a="1"/>
  <c r="M1251" i="260"/>
  <c r="M1369" i="260" a="1"/>
  <c r="M1369" i="260"/>
  <c r="M1123" i="260" a="1"/>
  <c r="M1123" i="260"/>
  <c r="M1325" i="260" a="1"/>
  <c r="M1325" i="260"/>
  <c r="M1158" i="260" a="1"/>
  <c r="M1158" i="260"/>
  <c r="M1347" i="260" a="1"/>
  <c r="M1347" i="260"/>
  <c r="M1133" i="260" a="1"/>
  <c r="M1133" i="260"/>
  <c r="M1376" i="260" a="1"/>
  <c r="M1376" i="260"/>
  <c r="M1366" i="260" a="1"/>
  <c r="M1366" i="260"/>
  <c r="M1320" i="260" a="1"/>
  <c r="M1320" i="260"/>
  <c r="M1216" i="260" a="1"/>
  <c r="M1216" i="260"/>
  <c r="M1179" i="260" a="1"/>
  <c r="M1179" i="260"/>
  <c r="M1305" i="260" a="1"/>
  <c r="M1305" i="260"/>
  <c r="M1339" i="260" a="1"/>
  <c r="M1339" i="260"/>
  <c r="M1231" i="260" a="1"/>
  <c r="M1231" i="260"/>
  <c r="M1238" i="260" a="1"/>
  <c r="M1238" i="260"/>
  <c r="M1155" i="260" a="1"/>
  <c r="M1155" i="260"/>
  <c r="M1140" i="260" a="1"/>
  <c r="M1140" i="260"/>
  <c r="M1219" i="260" a="1"/>
  <c r="M1219" i="260"/>
  <c r="M1112" i="260" a="1"/>
  <c r="M1112" i="260"/>
  <c r="M1142" i="260" a="1"/>
  <c r="M1142" i="260"/>
  <c r="M1357" i="260" a="1"/>
  <c r="M1357" i="260"/>
  <c r="M1247" i="260" a="1"/>
  <c r="M1247" i="260"/>
  <c r="M1259" i="260" a="1"/>
  <c r="M1259" i="260"/>
  <c r="M1244" i="260" a="1"/>
  <c r="M1244" i="260"/>
  <c r="M1270" i="260" a="1"/>
  <c r="M1270" i="260"/>
  <c r="M1161" i="260" a="1"/>
  <c r="M1161" i="260"/>
  <c r="M1327" i="260" a="1"/>
  <c r="M1327" i="260"/>
  <c r="M1323" i="260" a="1"/>
  <c r="M1323" i="260"/>
  <c r="M1237" i="260" a="1"/>
  <c r="M1237" i="260"/>
  <c r="N1293" i="260" a="1"/>
  <c r="N1293" i="260"/>
  <c r="J1290" i="260" a="1"/>
  <c r="J1290" i="260"/>
  <c r="I1193" i="260" a="1"/>
  <c r="I1193" i="260"/>
  <c r="L1292" i="260" a="1"/>
  <c r="N1292" i="260" a="1"/>
  <c r="N1292" i="260"/>
  <c r="J1386" i="260" a="1"/>
  <c r="J1386" i="260"/>
  <c r="N1384" i="260" a="1"/>
  <c r="N1384" i="260"/>
  <c r="J1292" i="260" a="1"/>
  <c r="J1292" i="260"/>
  <c r="N1386" i="260" a="1"/>
  <c r="N1386" i="260"/>
  <c r="N1193" i="260" a="1"/>
  <c r="N1193" i="260"/>
  <c r="J1195" i="260" a="1"/>
  <c r="J1195" i="260"/>
  <c r="N1286" i="260" a="1"/>
  <c r="N1286" i="260"/>
  <c r="N1287" i="260" a="1"/>
  <c r="N1287" i="260"/>
  <c r="J1192" i="260" a="1"/>
  <c r="J1192" i="260"/>
  <c r="L1386" i="260" a="1"/>
  <c r="L1386" i="260"/>
  <c r="L1289" i="260" a="1"/>
  <c r="L1289" i="260"/>
  <c r="N1194" i="260" a="1"/>
  <c r="N1194" i="260"/>
  <c r="N1381" i="260" a="1"/>
  <c r="N1381" i="260"/>
  <c r="N1196" i="260" a="1"/>
  <c r="N1196" i="260"/>
  <c r="I1199" i="260" a="1"/>
  <c r="I1199" i="260"/>
  <c r="J1291" i="260" a="1"/>
  <c r="J1291" i="260"/>
  <c r="J1196" i="260" a="1"/>
  <c r="J1196" i="260"/>
  <c r="I1387" i="260" a="1"/>
  <c r="I1387" i="260"/>
  <c r="J1387" i="260" a="1"/>
  <c r="J1387" i="260"/>
  <c r="I1288" i="260" a="1"/>
  <c r="I1288" i="260"/>
  <c r="N1387" i="260" a="1"/>
  <c r="N1387" i="260"/>
  <c r="N1199" i="260" a="1"/>
  <c r="N1199" i="260"/>
  <c r="H1287" i="260" a="1"/>
  <c r="H1287" i="260"/>
  <c r="K1380" i="260" a="1"/>
  <c r="K1380" i="260"/>
  <c r="I1289" i="260" a="1"/>
  <c r="I1289" i="260"/>
  <c r="I1381" i="260" a="1"/>
  <c r="I1381" i="260"/>
  <c r="G1380" i="260" a="1"/>
  <c r="G1380" i="260"/>
  <c r="K1289" i="260" a="1"/>
  <c r="K1289" i="260"/>
  <c r="G1192" i="260" a="1"/>
  <c r="G1192" i="260"/>
  <c r="O1386" i="260" a="1"/>
  <c r="O1386" i="260"/>
  <c r="O1384" i="260" a="1"/>
  <c r="O1384" i="260"/>
  <c r="O1382" i="260" a="1"/>
  <c r="O1382" i="260"/>
  <c r="O1293" i="260" a="1"/>
  <c r="O1293" i="260"/>
  <c r="G1292" i="260" a="1"/>
  <c r="G1292" i="260"/>
  <c r="G1386" i="260" a="1"/>
  <c r="G1386" i="260"/>
  <c r="K1199" i="260" a="1"/>
  <c r="K1199" i="260"/>
  <c r="K1196" i="260" a="1"/>
  <c r="K1196" i="260"/>
  <c r="O1383" i="260" a="1"/>
  <c r="O1383" i="260"/>
  <c r="H1382" i="260" a="1"/>
  <c r="H1382" i="260"/>
  <c r="H1385" i="260" a="1"/>
  <c r="H1385" i="260"/>
  <c r="H1383" i="260" a="1"/>
  <c r="H1383" i="260"/>
  <c r="O1291" i="260" a="1"/>
  <c r="O1291" i="260"/>
  <c r="K1387" i="260" a="1"/>
  <c r="K1387" i="260"/>
  <c r="O1195" i="260" a="1"/>
  <c r="O1195" i="260"/>
  <c r="J1383" i="260" a="1"/>
  <c r="J1383" i="260"/>
  <c r="L1380" i="260" a="1"/>
  <c r="L1380" i="260"/>
  <c r="O1290" i="260" a="1"/>
  <c r="O1290" i="260"/>
  <c r="O1198" i="260" a="1"/>
  <c r="O1198" i="260"/>
  <c r="N1380" i="260" a="1"/>
  <c r="N1380" i="260"/>
  <c r="I1291" i="260" a="1"/>
  <c r="I1291" i="260"/>
  <c r="I1383" i="260" a="1"/>
  <c r="I1383" i="260"/>
  <c r="K1288" i="260" a="1"/>
  <c r="K1288" i="260"/>
  <c r="I1196" i="260" a="1"/>
  <c r="I1196" i="260"/>
  <c r="I1286" i="260" a="1"/>
  <c r="I1286" i="260"/>
  <c r="J1289" i="260" a="1"/>
  <c r="J1289" i="260"/>
  <c r="N1198" i="260" a="1"/>
  <c r="N1198" i="260"/>
  <c r="N1289" i="260" a="1"/>
  <c r="N1289" i="260"/>
  <c r="N1290" i="260" a="1"/>
  <c r="N1290" i="260"/>
  <c r="O1287" i="260" a="1"/>
  <c r="O1287" i="260"/>
  <c r="I1382" i="260" a="1"/>
  <c r="I1382" i="260"/>
  <c r="J1293" i="260" a="1"/>
  <c r="J1293" i="260"/>
  <c r="O1380" i="260" a="1"/>
  <c r="O1380" i="260"/>
  <c r="O1194" i="260" a="1"/>
  <c r="O1194" i="260"/>
  <c r="K1193" i="260" a="1"/>
  <c r="K1193" i="260"/>
  <c r="O1292" i="260" a="1"/>
  <c r="O1292" i="260"/>
  <c r="J1193" i="260" a="1"/>
  <c r="J1193" i="260"/>
  <c r="I1380" i="260" a="1"/>
  <c r="I1380" i="260"/>
  <c r="J1199" i="260" a="1"/>
  <c r="J1199" i="260"/>
  <c r="I1194" i="260" a="1"/>
  <c r="I1194" i="260"/>
  <c r="I1195" i="260" a="1"/>
  <c r="I1195" i="260"/>
  <c r="J1380" i="260" a="1"/>
  <c r="J1380" i="260"/>
  <c r="J1287" i="260" a="1"/>
  <c r="J1287" i="260"/>
  <c r="N1385" i="260" a="1"/>
  <c r="N1385" i="260"/>
  <c r="L1381" i="260" a="1"/>
  <c r="L1381" i="260"/>
  <c r="J1286" i="260" a="1"/>
  <c r="J1286" i="260"/>
  <c r="J1381" i="260" a="1"/>
  <c r="J1381" i="260"/>
  <c r="O1193" i="260" a="1"/>
  <c r="O1193" i="260"/>
  <c r="I1386" i="260" a="1"/>
  <c r="I1386" i="260"/>
  <c r="J1288" i="260" a="1"/>
  <c r="J1288" i="260"/>
  <c r="N1382" i="260" a="1"/>
  <c r="N1382" i="260"/>
  <c r="I1293" i="260" a="1"/>
  <c r="I1293" i="260"/>
  <c r="L1385" i="260" a="1"/>
  <c r="L1385" i="260"/>
  <c r="N1197" i="260" a="1"/>
  <c r="N1197" i="260"/>
  <c r="J1382" i="260" a="1"/>
  <c r="J1382" i="260"/>
  <c r="O1288" i="260" a="1"/>
  <c r="O1288" i="260"/>
  <c r="I1290" i="260" a="1"/>
  <c r="I1290" i="260"/>
  <c r="N1291" i="260" a="1"/>
  <c r="N1291" i="260"/>
  <c r="K1198" i="260" a="1"/>
  <c r="K1198" i="260"/>
  <c r="J1385" i="260" a="1"/>
  <c r="J1385" i="260"/>
  <c r="I1287" i="260" a="1"/>
  <c r="I1287" i="260"/>
  <c r="I1197" i="260" a="1"/>
  <c r="I1197" i="260"/>
  <c r="J1194" i="260" a="1"/>
  <c r="J1194" i="260"/>
  <c r="O1289" i="260" a="1"/>
  <c r="O1289" i="260"/>
  <c r="O1196" i="260" a="1"/>
  <c r="O1196" i="260"/>
  <c r="O1199" i="260" a="1"/>
  <c r="O1199" i="260"/>
  <c r="J1197" i="260" a="1"/>
  <c r="J1197" i="260"/>
  <c r="G1384" i="260" a="1"/>
  <c r="G1384" i="260"/>
  <c r="I1192" i="260" a="1"/>
  <c r="I1192" i="260"/>
  <c r="O1381" i="260" a="1"/>
  <c r="O1381" i="260"/>
  <c r="I1198" i="260" a="1"/>
  <c r="I1198" i="260"/>
  <c r="N1288" i="260" a="1"/>
  <c r="N1288" i="260"/>
  <c r="I1384" i="260" a="1"/>
  <c r="I1384" i="260"/>
  <c r="O1387" i="260" a="1"/>
  <c r="O1387" i="260"/>
  <c r="O1286" i="260" a="1"/>
  <c r="O1286" i="260"/>
  <c r="N1195" i="260" a="1"/>
  <c r="N1195" i="260"/>
  <c r="I1385" i="260" a="1"/>
  <c r="I1385" i="260"/>
  <c r="N1383" i="260" a="1"/>
  <c r="N1383" i="260"/>
  <c r="O1197" i="260" a="1"/>
  <c r="O1197" i="260"/>
  <c r="J1198" i="260" a="1"/>
  <c r="J1198" i="260"/>
  <c r="J1384" i="260" a="1"/>
  <c r="J1384" i="260"/>
  <c r="O1192" i="260" a="1"/>
  <c r="O1192" i="260"/>
  <c r="O1385" i="260" a="1"/>
  <c r="O1385" i="260"/>
  <c r="K1384" i="260" a="1"/>
  <c r="K1384" i="260"/>
  <c r="N1192" i="260" a="1"/>
  <c r="N1192" i="260"/>
  <c r="G1385" i="260" a="1"/>
  <c r="G1385" i="260"/>
  <c r="I1292" i="260" a="1"/>
  <c r="I1292" i="260"/>
  <c r="L1292" i="260"/>
  <c r="G1381" i="260" a="1"/>
  <c r="G1381" i="260"/>
  <c r="G1198" i="260" a="1"/>
  <c r="G1198" i="260"/>
  <c r="K1385" i="260" a="1"/>
  <c r="K1385" i="260"/>
  <c r="H1289" i="260" a="1"/>
  <c r="H1289" i="260"/>
  <c r="G1290" i="260" a="1"/>
  <c r="G1290" i="260"/>
  <c r="L1383" i="260" a="1"/>
  <c r="L1383" i="260"/>
  <c r="K1287" i="260" a="1"/>
  <c r="K1287" i="260"/>
  <c r="K1382" i="260" a="1"/>
  <c r="K1382" i="260"/>
  <c r="K1194" i="260" a="1"/>
  <c r="K1194" i="260"/>
  <c r="H1380" i="260" a="1"/>
  <c r="H1380" i="260"/>
  <c r="G1289" i="260" a="1"/>
  <c r="G1289" i="260"/>
  <c r="L1384" i="260" a="1"/>
  <c r="L1384" i="260"/>
  <c r="L1293" i="260" a="1"/>
  <c r="L1293" i="260"/>
  <c r="H1195" i="260" a="1"/>
  <c r="H1195" i="260"/>
  <c r="L1193" i="260" a="1"/>
  <c r="L1193" i="260"/>
  <c r="G1382" i="260" a="1"/>
  <c r="G1382" i="260"/>
  <c r="G1195" i="260" a="1"/>
  <c r="G1195" i="260"/>
  <c r="G1383" i="260" a="1"/>
  <c r="G1383" i="260"/>
  <c r="M1196" i="260" a="1"/>
  <c r="M1196" i="260"/>
  <c r="H1387" i="260" a="1"/>
  <c r="H1387" i="260"/>
  <c r="G1196" i="260" a="1"/>
  <c r="G1196" i="260"/>
  <c r="L1199" i="260" a="1"/>
  <c r="L1199" i="260"/>
  <c r="H1293" i="260" a="1"/>
  <c r="H1293" i="260"/>
  <c r="G1286" i="260" a="1"/>
  <c r="G1286" i="260"/>
  <c r="K1292" i="260" a="1"/>
  <c r="K1292" i="260"/>
  <c r="G1287" i="260" a="1"/>
  <c r="G1287" i="260"/>
  <c r="H1381" i="260" a="1"/>
  <c r="H1381" i="260"/>
  <c r="G1293" i="260" a="1"/>
  <c r="G1293" i="260"/>
  <c r="L1287" i="260" a="1"/>
  <c r="L1287" i="260"/>
  <c r="G1288" i="260" a="1"/>
  <c r="G1288" i="260"/>
  <c r="K1195" i="260" a="1"/>
  <c r="K1195" i="260"/>
  <c r="L1197" i="260" a="1"/>
  <c r="L1197" i="260"/>
  <c r="G1193" i="260" a="1"/>
  <c r="G1193" i="260"/>
  <c r="K1192" i="260" a="1"/>
  <c r="K1192" i="260"/>
  <c r="K1293" i="260" a="1"/>
  <c r="K1293" i="260"/>
  <c r="G1194" i="260" a="1"/>
  <c r="G1194" i="260"/>
  <c r="L1196" i="260" a="1"/>
  <c r="L1196" i="260"/>
  <c r="L1195" i="260" a="1"/>
  <c r="L1195" i="260"/>
  <c r="G1197" i="260" a="1"/>
  <c r="G1197" i="260"/>
  <c r="H1384" i="260" a="1"/>
  <c r="H1384" i="260"/>
  <c r="H1194" i="260" a="1"/>
  <c r="H1194" i="260"/>
  <c r="L1192" i="260" a="1"/>
  <c r="L1192" i="260"/>
  <c r="H1199" i="260" a="1"/>
  <c r="H1199" i="260"/>
  <c r="K1381" i="260" a="1"/>
  <c r="K1381" i="260"/>
  <c r="G1291" i="260" a="1"/>
  <c r="G1291" i="260"/>
  <c r="H1292" i="260" a="1"/>
  <c r="H1292" i="260"/>
  <c r="K1286" i="260" a="1"/>
  <c r="K1286" i="260"/>
  <c r="H1198" i="260" a="1"/>
  <c r="H1198" i="260"/>
  <c r="L1382" i="260" a="1"/>
  <c r="L1382" i="260"/>
  <c r="L1290" i="260" a="1"/>
  <c r="L1290" i="260"/>
  <c r="K1197" i="260" a="1"/>
  <c r="K1197" i="260"/>
  <c r="L1291" i="260" a="1"/>
  <c r="L1291" i="260"/>
  <c r="H1290" i="260" a="1"/>
  <c r="H1290" i="260"/>
  <c r="H1197" i="260" a="1"/>
  <c r="H1197" i="260"/>
  <c r="L1286" i="260" a="1"/>
  <c r="L1286" i="260"/>
  <c r="L1194" i="260" a="1"/>
  <c r="L1194" i="260"/>
  <c r="H1193" i="260" a="1"/>
  <c r="H1193" i="260"/>
  <c r="L1198" i="260" a="1"/>
  <c r="L1198" i="260"/>
  <c r="K1291" i="260" a="1"/>
  <c r="K1291" i="260"/>
  <c r="L1288" i="260" a="1"/>
  <c r="L1288" i="260"/>
  <c r="H1386" i="260" a="1"/>
  <c r="H1386" i="260"/>
  <c r="G1387" i="260" a="1"/>
  <c r="G1387" i="260"/>
  <c r="H1196" i="260" a="1"/>
  <c r="H1196" i="260"/>
  <c r="H1286" i="260" a="1"/>
  <c r="H1286" i="260"/>
  <c r="G1199" i="260" a="1"/>
  <c r="G1199" i="260"/>
  <c r="K1290" i="260" a="1"/>
  <c r="K1290" i="260"/>
  <c r="L1387" i="260" a="1"/>
  <c r="L1387" i="260"/>
  <c r="K1383" i="260" a="1"/>
  <c r="K1383" i="260"/>
  <c r="H1288" i="260" a="1"/>
  <c r="H1288" i="260"/>
  <c r="K1386" i="260" a="1"/>
  <c r="K1386" i="260"/>
  <c r="H1291" i="260" a="1"/>
  <c r="H1291" i="260"/>
  <c r="H1192" i="260" a="1"/>
  <c r="H1192" i="260"/>
  <c r="M1291" i="260" a="1"/>
  <c r="M1291" i="260"/>
  <c r="M1384" i="260" a="1"/>
  <c r="M1384" i="260"/>
  <c r="M1195" i="260" a="1"/>
  <c r="M1195" i="260"/>
  <c r="M1194" i="260" a="1"/>
  <c r="M1194" i="260"/>
  <c r="M1385" i="260" a="1"/>
  <c r="M1385" i="260"/>
  <c r="M1293" i="260" a="1"/>
  <c r="M1293" i="260"/>
  <c r="M1386" i="260" a="1"/>
  <c r="M1386" i="260"/>
  <c r="M1380" i="260" a="1"/>
  <c r="M1380" i="260"/>
  <c r="M1290" i="260" a="1"/>
  <c r="M1290" i="260"/>
  <c r="M1193" i="260" a="1"/>
  <c r="M1193" i="260"/>
  <c r="M1383" i="260" a="1"/>
  <c r="M1383" i="260"/>
  <c r="M1381" i="260" a="1"/>
  <c r="M1381" i="260"/>
  <c r="M1287" i="260" a="1"/>
  <c r="M1287" i="260"/>
  <c r="M1382" i="260" a="1"/>
  <c r="M1382" i="260"/>
  <c r="M1289" i="260" a="1"/>
  <c r="M1289" i="260"/>
  <c r="M1286" i="260" a="1"/>
  <c r="M1286" i="260"/>
  <c r="M1192" i="260" a="1"/>
  <c r="M1192" i="260"/>
  <c r="M1199" i="260" a="1"/>
  <c r="M1199" i="260"/>
  <c r="M1387" i="260" a="1"/>
  <c r="M1387" i="260"/>
  <c r="M1198" i="260" a="1"/>
  <c r="M1198" i="260"/>
  <c r="M1292" i="260" a="1"/>
  <c r="M1292" i="260"/>
  <c r="M1288" i="260" a="1"/>
  <c r="M1288" i="260"/>
  <c r="M1197" i="260" a="1"/>
  <c r="M1197" i="260"/>
  <c r="N1389" i="260"/>
  <c r="N1817" i="260"/>
  <c r="N1295" i="260"/>
  <c r="N1816" i="260"/>
  <c r="H1295" i="260"/>
  <c r="H1816" i="260"/>
  <c r="I1201" i="260"/>
  <c r="I1815" i="260"/>
  <c r="J1201" i="260"/>
  <c r="J1815" i="260"/>
  <c r="K1389" i="260"/>
  <c r="K1817" i="260"/>
  <c r="N1201" i="260"/>
  <c r="N1815" i="260"/>
  <c r="J1295" i="260"/>
  <c r="J1816" i="260"/>
  <c r="I1389" i="260"/>
  <c r="I1817" i="260"/>
  <c r="I1295" i="260"/>
  <c r="I1816" i="260"/>
  <c r="O1389" i="260"/>
  <c r="O1817" i="260"/>
  <c r="L1389" i="260"/>
  <c r="L1817" i="260"/>
  <c r="O1201" i="260"/>
  <c r="O1815" i="260"/>
  <c r="H1201" i="260"/>
  <c r="H1815" i="260"/>
  <c r="M1389" i="260"/>
  <c r="M1817" i="260"/>
  <c r="L1201" i="260"/>
  <c r="L1815" i="260"/>
  <c r="G1201" i="260"/>
  <c r="G1815" i="260"/>
  <c r="L1295" i="260"/>
  <c r="L1816" i="260"/>
  <c r="K1295" i="260"/>
  <c r="K1816" i="260"/>
  <c r="K1201" i="260"/>
  <c r="K1815" i="260"/>
  <c r="G1295" i="260"/>
  <c r="G1816" i="260"/>
  <c r="G1389" i="260"/>
  <c r="G1817" i="260"/>
  <c r="H1389" i="260"/>
  <c r="H1817" i="260"/>
  <c r="J1389" i="260"/>
  <c r="J1817" i="260"/>
  <c r="O1295" i="260"/>
  <c r="O1816" i="260"/>
  <c r="M1201" i="260"/>
  <c r="M1815" i="260"/>
  <c r="M1295" i="260"/>
  <c r="M1816" i="260"/>
  <c r="G431" i="260" a="1"/>
  <c r="G431" i="260"/>
  <c r="G432" i="260" a="1"/>
  <c r="G432" i="260"/>
  <c r="G433" i="260" a="1"/>
  <c r="G433" i="260"/>
  <c r="G434" i="260" a="1"/>
  <c r="G435" i="260" a="1"/>
  <c r="G436" i="260" a="1"/>
  <c r="G437" i="260" a="1"/>
  <c r="G438" i="260" a="1"/>
  <c r="G434" i="260"/>
  <c r="G435" i="260"/>
  <c r="G436" i="260"/>
  <c r="G437" i="260"/>
  <c r="G438" i="260"/>
  <c r="G475" i="260" a="1"/>
  <c r="G475" i="260"/>
  <c r="G478" i="260" a="1"/>
  <c r="G478" i="260"/>
  <c r="G484" i="260"/>
  <c r="G487" i="260"/>
  <c r="G482" i="260"/>
  <c r="G492" i="260"/>
  <c r="G493" i="260"/>
  <c r="G494" i="260"/>
  <c r="G495" i="260"/>
  <c r="G496" i="260"/>
  <c r="G497" i="260"/>
  <c r="G498" i="260"/>
  <c r="G499" i="260"/>
  <c r="G491" i="260"/>
  <c r="F421" i="260" a="1"/>
  <c r="F421" i="260"/>
  <c r="G421" i="260" a="1"/>
  <c r="G421" i="260"/>
  <c r="G501" i="260"/>
  <c r="F422" i="260" a="1"/>
  <c r="F422" i="260"/>
  <c r="G422" i="260" a="1"/>
  <c r="G422" i="260"/>
  <c r="G502" i="260"/>
  <c r="F423" i="260" a="1"/>
  <c r="F423" i="260"/>
  <c r="G423" i="260" a="1"/>
  <c r="G423" i="260"/>
  <c r="G503" i="260"/>
  <c r="F424" i="260" a="1"/>
  <c r="F424" i="260"/>
  <c r="G424" i="260" a="1"/>
  <c r="G424" i="260"/>
  <c r="G504" i="260"/>
  <c r="F425" i="260" a="1"/>
  <c r="F425" i="260"/>
  <c r="G425" i="260" a="1"/>
  <c r="G425" i="260"/>
  <c r="G505" i="260"/>
  <c r="F426" i="260" a="1"/>
  <c r="F426" i="260"/>
  <c r="G426" i="260" a="1"/>
  <c r="G426" i="260"/>
  <c r="G506" i="260"/>
  <c r="F427" i="260" a="1"/>
  <c r="F427" i="260"/>
  <c r="G427" i="260" a="1"/>
  <c r="G427" i="260"/>
  <c r="G507" i="260"/>
  <c r="F428" i="260" a="1"/>
  <c r="F428" i="260"/>
  <c r="G428" i="260" a="1"/>
  <c r="G428" i="260"/>
  <c r="G508" i="260"/>
  <c r="G500" i="260"/>
  <c r="G510" i="260" a="1"/>
  <c r="G510" i="260"/>
  <c r="G756" i="260"/>
  <c r="H431" i="260" a="1"/>
  <c r="H431" i="260"/>
  <c r="H432" i="260" a="1"/>
  <c r="H432" i="260"/>
  <c r="H433" i="260" a="1"/>
  <c r="H433" i="260"/>
  <c r="H434" i="260" a="1"/>
  <c r="H435" i="260" a="1"/>
  <c r="H436" i="260" a="1"/>
  <c r="H437" i="260" a="1"/>
  <c r="H438" i="260" a="1"/>
  <c r="H434" i="260"/>
  <c r="H435" i="260"/>
  <c r="H436" i="260"/>
  <c r="H437" i="260"/>
  <c r="H438" i="260"/>
  <c r="H475" i="260" a="1"/>
  <c r="H475" i="260"/>
  <c r="H478" i="260" a="1"/>
  <c r="H478" i="260"/>
  <c r="H484" i="260"/>
  <c r="H487" i="260"/>
  <c r="H482" i="260"/>
  <c r="H492" i="260"/>
  <c r="H493" i="260"/>
  <c r="H494" i="260"/>
  <c r="H495" i="260"/>
  <c r="H496" i="260"/>
  <c r="H497" i="260"/>
  <c r="H498" i="260"/>
  <c r="H499" i="260"/>
  <c r="H491" i="260"/>
  <c r="H421" i="260" a="1"/>
  <c r="H421" i="260"/>
  <c r="H501" i="260"/>
  <c r="H422" i="260" a="1"/>
  <c r="H422" i="260"/>
  <c r="H502" i="260"/>
  <c r="H423" i="260" a="1"/>
  <c r="H423" i="260"/>
  <c r="H503" i="260"/>
  <c r="H424" i="260" a="1"/>
  <c r="H424" i="260"/>
  <c r="H504" i="260"/>
  <c r="H425" i="260" a="1"/>
  <c r="H425" i="260"/>
  <c r="H505" i="260"/>
  <c r="H426" i="260" a="1"/>
  <c r="H426" i="260"/>
  <c r="H506" i="260"/>
  <c r="H427" i="260" a="1"/>
  <c r="H427" i="260"/>
  <c r="H507" i="260"/>
  <c r="H428" i="260" a="1"/>
  <c r="H428" i="260"/>
  <c r="H508" i="260"/>
  <c r="H500" i="260"/>
  <c r="H510" i="260" a="1"/>
  <c r="H510" i="260"/>
  <c r="H756" i="260"/>
  <c r="I431" i="260" a="1"/>
  <c r="I431" i="260"/>
  <c r="I432" i="260" a="1"/>
  <c r="I432" i="260"/>
  <c r="I433" i="260" a="1"/>
  <c r="I433" i="260"/>
  <c r="I434" i="260" a="1"/>
  <c r="I435" i="260" a="1"/>
  <c r="I436" i="260" a="1"/>
  <c r="I437" i="260" a="1"/>
  <c r="I438" i="260" a="1"/>
  <c r="I434" i="260"/>
  <c r="I435" i="260"/>
  <c r="I436" i="260"/>
  <c r="I437" i="260"/>
  <c r="I438" i="260"/>
  <c r="I475" i="260" a="1"/>
  <c r="I475" i="260"/>
  <c r="I478" i="260" a="1"/>
  <c r="I478" i="260"/>
  <c r="I484" i="260"/>
  <c r="I487" i="260"/>
  <c r="I482" i="260"/>
  <c r="I492" i="260"/>
  <c r="I493" i="260"/>
  <c r="I494" i="260"/>
  <c r="I495" i="260"/>
  <c r="I496" i="260"/>
  <c r="I497" i="260"/>
  <c r="I498" i="260"/>
  <c r="I499" i="260"/>
  <c r="I491" i="260"/>
  <c r="I421" i="260" a="1"/>
  <c r="I421" i="260"/>
  <c r="I501" i="260"/>
  <c r="I422" i="260" a="1"/>
  <c r="I422" i="260"/>
  <c r="I502" i="260"/>
  <c r="I423" i="260" a="1"/>
  <c r="I423" i="260"/>
  <c r="I503" i="260"/>
  <c r="I424" i="260" a="1"/>
  <c r="I424" i="260"/>
  <c r="I504" i="260"/>
  <c r="I425" i="260" a="1"/>
  <c r="I425" i="260"/>
  <c r="I505" i="260"/>
  <c r="I426" i="260" a="1"/>
  <c r="I426" i="260"/>
  <c r="I506" i="260"/>
  <c r="I427" i="260" a="1"/>
  <c r="I427" i="260"/>
  <c r="I507" i="260"/>
  <c r="I428" i="260" a="1"/>
  <c r="I428" i="260"/>
  <c r="I508" i="260"/>
  <c r="I500" i="260"/>
  <c r="I510" i="260" a="1"/>
  <c r="I510" i="260"/>
  <c r="I756" i="260"/>
  <c r="J431" i="260" a="1"/>
  <c r="J431" i="260"/>
  <c r="J432" i="260" a="1"/>
  <c r="J432" i="260"/>
  <c r="J433" i="260" a="1"/>
  <c r="J433" i="260"/>
  <c r="J434" i="260" a="1"/>
  <c r="J435" i="260" a="1"/>
  <c r="J436" i="260" a="1"/>
  <c r="J437" i="260" a="1"/>
  <c r="J438" i="260" a="1"/>
  <c r="J434" i="260"/>
  <c r="J435" i="260"/>
  <c r="J436" i="260"/>
  <c r="J437" i="260"/>
  <c r="J438" i="260"/>
  <c r="J475" i="260" a="1"/>
  <c r="J475" i="260"/>
  <c r="J478" i="260" a="1"/>
  <c r="J478" i="260"/>
  <c r="J484" i="260"/>
  <c r="J487" i="260"/>
  <c r="J482" i="260"/>
  <c r="J492" i="260"/>
  <c r="J493" i="260"/>
  <c r="J494" i="260"/>
  <c r="J495" i="260"/>
  <c r="J496" i="260"/>
  <c r="J497" i="260"/>
  <c r="J498" i="260"/>
  <c r="J499" i="260"/>
  <c r="J491" i="260"/>
  <c r="J421" i="260" a="1"/>
  <c r="J421" i="260"/>
  <c r="J501" i="260"/>
  <c r="J422" i="260" a="1"/>
  <c r="J422" i="260"/>
  <c r="J502" i="260"/>
  <c r="J423" i="260" a="1"/>
  <c r="J423" i="260"/>
  <c r="J503" i="260"/>
  <c r="J424" i="260" a="1"/>
  <c r="J424" i="260"/>
  <c r="J504" i="260"/>
  <c r="J425" i="260" a="1"/>
  <c r="J425" i="260"/>
  <c r="J505" i="260"/>
  <c r="J426" i="260" a="1"/>
  <c r="J426" i="260"/>
  <c r="J506" i="260"/>
  <c r="J427" i="260" a="1"/>
  <c r="J427" i="260"/>
  <c r="J507" i="260"/>
  <c r="J428" i="260" a="1"/>
  <c r="J428" i="260"/>
  <c r="J508" i="260"/>
  <c r="J500" i="260"/>
  <c r="J510" i="260" a="1"/>
  <c r="J510" i="260"/>
  <c r="J756" i="260"/>
  <c r="K431" i="260" a="1"/>
  <c r="K431" i="260"/>
  <c r="K432" i="260" a="1"/>
  <c r="K432" i="260"/>
  <c r="K433" i="260" a="1"/>
  <c r="K433" i="260"/>
  <c r="K434" i="260" a="1"/>
  <c r="K435" i="260" a="1"/>
  <c r="K436" i="260" a="1"/>
  <c r="K437" i="260" a="1"/>
  <c r="K438" i="260" a="1"/>
  <c r="K434" i="260"/>
  <c r="K435" i="260"/>
  <c r="K436" i="260"/>
  <c r="K437" i="260"/>
  <c r="K438" i="260"/>
  <c r="K475" i="260" a="1"/>
  <c r="K475" i="260"/>
  <c r="K478" i="260" a="1"/>
  <c r="K478" i="260"/>
  <c r="K484" i="260"/>
  <c r="K487" i="260"/>
  <c r="K482" i="260"/>
  <c r="K492" i="260"/>
  <c r="K493" i="260"/>
  <c r="K494" i="260"/>
  <c r="K495" i="260"/>
  <c r="K496" i="260"/>
  <c r="K497" i="260"/>
  <c r="K498" i="260"/>
  <c r="K499" i="260"/>
  <c r="K491" i="260"/>
  <c r="K421" i="260" a="1"/>
  <c r="K421" i="260"/>
  <c r="K501" i="260"/>
  <c r="K422" i="260" a="1"/>
  <c r="K422" i="260"/>
  <c r="K502" i="260"/>
  <c r="K423" i="260" a="1"/>
  <c r="K423" i="260"/>
  <c r="K503" i="260"/>
  <c r="K424" i="260" a="1"/>
  <c r="K424" i="260"/>
  <c r="K504" i="260"/>
  <c r="K425" i="260" a="1"/>
  <c r="K425" i="260"/>
  <c r="K505" i="260"/>
  <c r="K426" i="260" a="1"/>
  <c r="K426" i="260"/>
  <c r="K506" i="260"/>
  <c r="K427" i="260" a="1"/>
  <c r="K427" i="260"/>
  <c r="K507" i="260"/>
  <c r="K428" i="260" a="1"/>
  <c r="K428" i="260"/>
  <c r="K508" i="260"/>
  <c r="K500" i="260"/>
  <c r="K510" i="260" a="1"/>
  <c r="K510" i="260"/>
  <c r="K756" i="260"/>
  <c r="L431" i="260" a="1"/>
  <c r="L431" i="260"/>
  <c r="L432" i="260" a="1"/>
  <c r="L432" i="260"/>
  <c r="L433" i="260" a="1"/>
  <c r="L433" i="260"/>
  <c r="L434" i="260" a="1"/>
  <c r="L435" i="260" a="1"/>
  <c r="L436" i="260" a="1"/>
  <c r="L437" i="260" a="1"/>
  <c r="L438" i="260" a="1"/>
  <c r="L434" i="260"/>
  <c r="L435" i="260"/>
  <c r="L436" i="260"/>
  <c r="L437" i="260"/>
  <c r="L438" i="260"/>
  <c r="L475" i="260" a="1"/>
  <c r="L475" i="260"/>
  <c r="L478" i="260" a="1"/>
  <c r="L478" i="260"/>
  <c r="L484" i="260"/>
  <c r="L487" i="260"/>
  <c r="L482" i="260"/>
  <c r="L492" i="260"/>
  <c r="L493" i="260"/>
  <c r="L494" i="260"/>
  <c r="L495" i="260"/>
  <c r="L496" i="260"/>
  <c r="L497" i="260"/>
  <c r="L498" i="260"/>
  <c r="L499" i="260"/>
  <c r="L491" i="260"/>
  <c r="L421" i="260" a="1"/>
  <c r="L421" i="260"/>
  <c r="L501" i="260"/>
  <c r="L422" i="260" a="1"/>
  <c r="L422" i="260"/>
  <c r="L502" i="260"/>
  <c r="L423" i="260" a="1"/>
  <c r="L423" i="260"/>
  <c r="L503" i="260"/>
  <c r="L424" i="260" a="1"/>
  <c r="L424" i="260"/>
  <c r="L504" i="260"/>
  <c r="L425" i="260" a="1"/>
  <c r="L425" i="260"/>
  <c r="L505" i="260"/>
  <c r="L426" i="260" a="1"/>
  <c r="L426" i="260"/>
  <c r="L506" i="260"/>
  <c r="L427" i="260" a="1"/>
  <c r="L427" i="260"/>
  <c r="L507" i="260"/>
  <c r="L428" i="260" a="1"/>
  <c r="L428" i="260"/>
  <c r="L508" i="260"/>
  <c r="L500" i="260"/>
  <c r="L510" i="260" a="1"/>
  <c r="L510" i="260"/>
  <c r="L756" i="260"/>
  <c r="M431" i="260" a="1"/>
  <c r="M431" i="260"/>
  <c r="M432" i="260" a="1"/>
  <c r="M432" i="260"/>
  <c r="M433" i="260" a="1"/>
  <c r="M433" i="260"/>
  <c r="M434" i="260" a="1"/>
  <c r="M435" i="260" a="1"/>
  <c r="M436" i="260" a="1"/>
  <c r="M437" i="260" a="1"/>
  <c r="M438" i="260" a="1"/>
  <c r="M434" i="260"/>
  <c r="M435" i="260"/>
  <c r="M436" i="260"/>
  <c r="M437" i="260"/>
  <c r="M438" i="260"/>
  <c r="M475" i="260" a="1"/>
  <c r="M475" i="260"/>
  <c r="M478" i="260" a="1"/>
  <c r="M478" i="260"/>
  <c r="M484" i="260"/>
  <c r="M487" i="260"/>
  <c r="M482" i="260"/>
  <c r="M492" i="260"/>
  <c r="M493" i="260"/>
  <c r="M494" i="260"/>
  <c r="M495" i="260"/>
  <c r="M496" i="260"/>
  <c r="M497" i="260"/>
  <c r="M498" i="260"/>
  <c r="M499" i="260"/>
  <c r="M491" i="260"/>
  <c r="M421" i="260" a="1"/>
  <c r="M421" i="260"/>
  <c r="M501" i="260"/>
  <c r="M422" i="260" a="1"/>
  <c r="M422" i="260"/>
  <c r="M502" i="260"/>
  <c r="M423" i="260" a="1"/>
  <c r="M423" i="260"/>
  <c r="M503" i="260"/>
  <c r="M424" i="260" a="1"/>
  <c r="M424" i="260"/>
  <c r="M504" i="260"/>
  <c r="M425" i="260" a="1"/>
  <c r="M425" i="260"/>
  <c r="M505" i="260"/>
  <c r="M426" i="260" a="1"/>
  <c r="M426" i="260"/>
  <c r="M506" i="260"/>
  <c r="M427" i="260" a="1"/>
  <c r="M427" i="260"/>
  <c r="M507" i="260"/>
  <c r="M428" i="260" a="1"/>
  <c r="M428" i="260"/>
  <c r="M508" i="260"/>
  <c r="M500" i="260"/>
  <c r="M510" i="260" a="1"/>
  <c r="M510" i="260"/>
  <c r="M756" i="260"/>
  <c r="N431" i="260" a="1"/>
  <c r="N431" i="260"/>
  <c r="N432" i="260" a="1"/>
  <c r="N432" i="260"/>
  <c r="N433" i="260" a="1"/>
  <c r="N433" i="260"/>
  <c r="N434" i="260" a="1"/>
  <c r="N435" i="260" a="1"/>
  <c r="N436" i="260" a="1"/>
  <c r="N437" i="260" a="1"/>
  <c r="N438" i="260" a="1"/>
  <c r="N434" i="260"/>
  <c r="N435" i="260"/>
  <c r="N436" i="260"/>
  <c r="N437" i="260"/>
  <c r="N438" i="260"/>
  <c r="N475" i="260" a="1"/>
  <c r="N475" i="260"/>
  <c r="N478" i="260" a="1"/>
  <c r="N478" i="260"/>
  <c r="N484" i="260"/>
  <c r="N487" i="260"/>
  <c r="N482" i="260"/>
  <c r="N492" i="260"/>
  <c r="N493" i="260"/>
  <c r="N494" i="260"/>
  <c r="N495" i="260"/>
  <c r="N496" i="260"/>
  <c r="N497" i="260"/>
  <c r="N498" i="260"/>
  <c r="N499" i="260"/>
  <c r="N491" i="260"/>
  <c r="N421" i="260" a="1"/>
  <c r="N421" i="260"/>
  <c r="N501" i="260"/>
  <c r="N422" i="260" a="1"/>
  <c r="N422" i="260"/>
  <c r="N502" i="260"/>
  <c r="N423" i="260" a="1"/>
  <c r="N423" i="260"/>
  <c r="N503" i="260"/>
  <c r="N424" i="260" a="1"/>
  <c r="N424" i="260"/>
  <c r="N504" i="260"/>
  <c r="N425" i="260" a="1"/>
  <c r="N425" i="260"/>
  <c r="N505" i="260"/>
  <c r="N426" i="260" a="1"/>
  <c r="N426" i="260"/>
  <c r="N506" i="260"/>
  <c r="N427" i="260" a="1"/>
  <c r="N427" i="260"/>
  <c r="N507" i="260"/>
  <c r="N428" i="260" a="1"/>
  <c r="N428" i="260"/>
  <c r="N508" i="260"/>
  <c r="N500" i="260"/>
  <c r="N510" i="260" a="1"/>
  <c r="N510" i="260"/>
  <c r="N756" i="260"/>
  <c r="O431" i="260" a="1"/>
  <c r="O431" i="260"/>
  <c r="O432" i="260" a="1"/>
  <c r="O432" i="260"/>
  <c r="O433" i="260" a="1"/>
  <c r="O433" i="260"/>
  <c r="O434" i="260" a="1"/>
  <c r="O435" i="260" a="1"/>
  <c r="O436" i="260" a="1"/>
  <c r="O437" i="260" a="1"/>
  <c r="O438" i="260" a="1"/>
  <c r="O434" i="260"/>
  <c r="O435" i="260"/>
  <c r="O436" i="260"/>
  <c r="O437" i="260"/>
  <c r="O438" i="260"/>
  <c r="O475" i="260" a="1"/>
  <c r="O475" i="260"/>
  <c r="O478" i="260" a="1"/>
  <c r="O478" i="260"/>
  <c r="O484" i="260"/>
  <c r="O487" i="260"/>
  <c r="O482" i="260"/>
  <c r="O492" i="260"/>
  <c r="O493" i="260"/>
  <c r="O494" i="260"/>
  <c r="O495" i="260"/>
  <c r="O496" i="260"/>
  <c r="O497" i="260"/>
  <c r="O498" i="260"/>
  <c r="O499" i="260"/>
  <c r="O491" i="260"/>
  <c r="O421" i="260" a="1"/>
  <c r="O421" i="260"/>
  <c r="O501" i="260"/>
  <c r="O422" i="260" a="1"/>
  <c r="O422" i="260"/>
  <c r="O502" i="260"/>
  <c r="O423" i="260" a="1"/>
  <c r="O423" i="260"/>
  <c r="O503" i="260"/>
  <c r="O424" i="260" a="1"/>
  <c r="O424" i="260"/>
  <c r="O504" i="260"/>
  <c r="O425" i="260" a="1"/>
  <c r="O425" i="260"/>
  <c r="O505" i="260"/>
  <c r="O426" i="260" a="1"/>
  <c r="O426" i="260"/>
  <c r="O506" i="260"/>
  <c r="O427" i="260" a="1"/>
  <c r="O427" i="260"/>
  <c r="O507" i="260"/>
  <c r="O428" i="260" a="1"/>
  <c r="O428" i="260"/>
  <c r="O508" i="260"/>
  <c r="O500" i="260"/>
  <c r="O510" i="260" a="1"/>
  <c r="O510" i="260"/>
  <c r="O756" i="260"/>
  <c r="G511" i="260" a="1"/>
  <c r="G511" i="260"/>
  <c r="G757" i="260"/>
  <c r="H511" i="260" a="1"/>
  <c r="H511" i="260"/>
  <c r="H757" i="260"/>
  <c r="I511" i="260" a="1"/>
  <c r="I511" i="260"/>
  <c r="I757" i="260"/>
  <c r="J511" i="260" a="1"/>
  <c r="J511" i="260"/>
  <c r="J757" i="260"/>
  <c r="K511" i="260" a="1"/>
  <c r="K511" i="260"/>
  <c r="K757" i="260"/>
  <c r="L511" i="260" a="1"/>
  <c r="L511" i="260"/>
  <c r="L757" i="260"/>
  <c r="M511" i="260" a="1"/>
  <c r="M511" i="260"/>
  <c r="M757" i="260"/>
  <c r="N511" i="260" a="1"/>
  <c r="N511" i="260"/>
  <c r="N757" i="260"/>
  <c r="O511" i="260" a="1"/>
  <c r="O511" i="260"/>
  <c r="O757" i="260"/>
  <c r="G512" i="260" a="1"/>
  <c r="G512" i="260"/>
  <c r="G758" i="260"/>
  <c r="H512" i="260" a="1"/>
  <c r="H512" i="260"/>
  <c r="H758" i="260"/>
  <c r="I512" i="260" a="1"/>
  <c r="I512" i="260"/>
  <c r="I758" i="260"/>
  <c r="J512" i="260" a="1"/>
  <c r="J512" i="260"/>
  <c r="J758" i="260"/>
  <c r="K512" i="260" a="1"/>
  <c r="K512" i="260"/>
  <c r="K758" i="260"/>
  <c r="L512" i="260" a="1"/>
  <c r="L512" i="260"/>
  <c r="L758" i="260"/>
  <c r="M512" i="260" a="1"/>
  <c r="M512" i="260"/>
  <c r="M758" i="260"/>
  <c r="N512" i="260" a="1"/>
  <c r="N512" i="260"/>
  <c r="N758" i="260"/>
  <c r="O512" i="260" a="1"/>
  <c r="O512" i="260"/>
  <c r="O758" i="260"/>
  <c r="G513" i="260" a="1"/>
  <c r="G513" i="260"/>
  <c r="G759" i="260"/>
  <c r="H513" i="260" a="1"/>
  <c r="H513" i="260"/>
  <c r="H759" i="260"/>
  <c r="I513" i="260" a="1"/>
  <c r="I513" i="260"/>
  <c r="I759" i="260"/>
  <c r="J513" i="260" a="1"/>
  <c r="J513" i="260"/>
  <c r="J759" i="260"/>
  <c r="K513" i="260" a="1"/>
  <c r="K513" i="260"/>
  <c r="K759" i="260"/>
  <c r="L513" i="260" a="1"/>
  <c r="L513" i="260"/>
  <c r="L759" i="260"/>
  <c r="M513" i="260" a="1"/>
  <c r="M513" i="260"/>
  <c r="M759" i="260"/>
  <c r="N513" i="260" a="1"/>
  <c r="N513" i="260"/>
  <c r="N759" i="260"/>
  <c r="O513" i="260" a="1"/>
  <c r="O513" i="260"/>
  <c r="O759" i="260"/>
  <c r="G514" i="260" a="1"/>
  <c r="G514" i="260"/>
  <c r="G760" i="260"/>
  <c r="H514" i="260" a="1"/>
  <c r="H514" i="260"/>
  <c r="H760" i="260"/>
  <c r="I514" i="260" a="1"/>
  <c r="I514" i="260"/>
  <c r="I760" i="260"/>
  <c r="J514" i="260" a="1"/>
  <c r="J514" i="260"/>
  <c r="J760" i="260"/>
  <c r="K514" i="260" a="1"/>
  <c r="K514" i="260"/>
  <c r="K760" i="260"/>
  <c r="L514" i="260" a="1"/>
  <c r="L514" i="260"/>
  <c r="L760" i="260"/>
  <c r="M514" i="260" a="1"/>
  <c r="M514" i="260"/>
  <c r="M760" i="260"/>
  <c r="N514" i="260" a="1"/>
  <c r="N514" i="260"/>
  <c r="N760" i="260"/>
  <c r="O514" i="260" a="1"/>
  <c r="O514" i="260"/>
  <c r="O760" i="260"/>
  <c r="G515" i="260" a="1"/>
  <c r="G515" i="260"/>
  <c r="G761" i="260"/>
  <c r="H515" i="260" a="1"/>
  <c r="H515" i="260"/>
  <c r="H761" i="260"/>
  <c r="I515" i="260" a="1"/>
  <c r="I515" i="260"/>
  <c r="I761" i="260"/>
  <c r="J515" i="260" a="1"/>
  <c r="J515" i="260"/>
  <c r="J761" i="260"/>
  <c r="K515" i="260" a="1"/>
  <c r="K515" i="260"/>
  <c r="K761" i="260"/>
  <c r="L515" i="260" a="1"/>
  <c r="L515" i="260"/>
  <c r="L761" i="260"/>
  <c r="M515" i="260" a="1"/>
  <c r="M515" i="260"/>
  <c r="M761" i="260"/>
  <c r="N515" i="260" a="1"/>
  <c r="N515" i="260"/>
  <c r="N761" i="260"/>
  <c r="O515" i="260" a="1"/>
  <c r="O515" i="260"/>
  <c r="O761" i="260"/>
  <c r="G516" i="260" a="1"/>
  <c r="G516" i="260"/>
  <c r="G762" i="260"/>
  <c r="H516" i="260" a="1"/>
  <c r="H516" i="260"/>
  <c r="H762" i="260"/>
  <c r="I516" i="260" a="1"/>
  <c r="I516" i="260"/>
  <c r="I762" i="260"/>
  <c r="J516" i="260" a="1"/>
  <c r="J516" i="260"/>
  <c r="J762" i="260"/>
  <c r="K516" i="260" a="1"/>
  <c r="K516" i="260"/>
  <c r="K762" i="260"/>
  <c r="L516" i="260" a="1"/>
  <c r="L516" i="260"/>
  <c r="L762" i="260"/>
  <c r="M516" i="260" a="1"/>
  <c r="M516" i="260"/>
  <c r="M762" i="260"/>
  <c r="N516" i="260" a="1"/>
  <c r="N516" i="260"/>
  <c r="N762" i="260"/>
  <c r="O516" i="260" a="1"/>
  <c r="O516" i="260"/>
  <c r="O762" i="260"/>
  <c r="G517" i="260" a="1"/>
  <c r="G517" i="260"/>
  <c r="G763" i="260"/>
  <c r="H517" i="260" a="1"/>
  <c r="H517" i="260"/>
  <c r="H763" i="260"/>
  <c r="I517" i="260" a="1"/>
  <c r="I517" i="260"/>
  <c r="I763" i="260"/>
  <c r="J517" i="260" a="1"/>
  <c r="J517" i="260"/>
  <c r="J763" i="260"/>
  <c r="K517" i="260" a="1"/>
  <c r="K517" i="260"/>
  <c r="K763" i="260"/>
  <c r="L517" i="260" a="1"/>
  <c r="L517" i="260"/>
  <c r="L763" i="260"/>
  <c r="M517" i="260" a="1"/>
  <c r="M517" i="260"/>
  <c r="M763" i="260"/>
  <c r="N517" i="260" a="1"/>
  <c r="N517" i="260"/>
  <c r="N763" i="260"/>
  <c r="O517" i="260" a="1"/>
  <c r="O517" i="260"/>
  <c r="O763" i="260"/>
  <c r="F850" i="260" a="1"/>
  <c r="F850" i="260"/>
  <c r="G850" i="260" a="1"/>
  <c r="G850" i="260"/>
  <c r="I850" i="260" a="1"/>
  <c r="I850" i="260"/>
  <c r="H850" i="260"/>
  <c r="K850" i="260" a="1"/>
  <c r="K850" i="260"/>
  <c r="J850" i="260"/>
  <c r="M850" i="260" a="1"/>
  <c r="M850" i="260"/>
  <c r="L850" i="260"/>
  <c r="O850" i="260" a="1"/>
  <c r="O850" i="260"/>
  <c r="N850" i="260"/>
  <c r="F851" i="260" a="1"/>
  <c r="G851" i="260" a="1"/>
  <c r="G851" i="260"/>
  <c r="I851" i="260" a="1"/>
  <c r="I851" i="260"/>
  <c r="H851" i="260"/>
  <c r="K851" i="260" a="1"/>
  <c r="K851" i="260"/>
  <c r="J851" i="260"/>
  <c r="M851" i="260" a="1"/>
  <c r="M851" i="260"/>
  <c r="L851" i="260"/>
  <c r="O851" i="260" a="1"/>
  <c r="O851" i="260"/>
  <c r="N851" i="260"/>
  <c r="F852" i="260" a="1"/>
  <c r="G852" i="260" a="1"/>
  <c r="G852" i="260"/>
  <c r="I852" i="260" a="1"/>
  <c r="I852" i="260"/>
  <c r="H852" i="260"/>
  <c r="K852" i="260" a="1"/>
  <c r="K852" i="260"/>
  <c r="J852" i="260"/>
  <c r="M852" i="260" a="1"/>
  <c r="M852" i="260"/>
  <c r="L852" i="260"/>
  <c r="O852" i="260" a="1"/>
  <c r="O852" i="260"/>
  <c r="N852" i="260"/>
  <c r="F853" i="260" a="1"/>
  <c r="G853" i="260" a="1"/>
  <c r="G853" i="260"/>
  <c r="I853" i="260" a="1"/>
  <c r="I853" i="260"/>
  <c r="H853" i="260"/>
  <c r="K853" i="260" a="1"/>
  <c r="K853" i="260"/>
  <c r="J853" i="260"/>
  <c r="M853" i="260" a="1"/>
  <c r="M853" i="260"/>
  <c r="L853" i="260"/>
  <c r="O853" i="260" a="1"/>
  <c r="O853" i="260"/>
  <c r="N853" i="260"/>
  <c r="F854" i="260" a="1"/>
  <c r="G854" i="260" a="1"/>
  <c r="G854" i="260"/>
  <c r="I854" i="260" a="1"/>
  <c r="I854" i="260"/>
  <c r="H854" i="260"/>
  <c r="K854" i="260" a="1"/>
  <c r="K854" i="260"/>
  <c r="J854" i="260"/>
  <c r="M854" i="260" a="1"/>
  <c r="M854" i="260"/>
  <c r="L854" i="260"/>
  <c r="O854" i="260" a="1"/>
  <c r="O854" i="260"/>
  <c r="N854" i="260"/>
  <c r="F855" i="260" a="1"/>
  <c r="G855" i="260" a="1"/>
  <c r="G855" i="260"/>
  <c r="I855" i="260" a="1"/>
  <c r="I855" i="260"/>
  <c r="H855" i="260"/>
  <c r="K855" i="260" a="1"/>
  <c r="K855" i="260"/>
  <c r="J855" i="260"/>
  <c r="M855" i="260" a="1"/>
  <c r="M855" i="260"/>
  <c r="L855" i="260"/>
  <c r="O855" i="260" a="1"/>
  <c r="O855" i="260"/>
  <c r="N855" i="260"/>
  <c r="F856" i="260" a="1"/>
  <c r="G856" i="260" a="1"/>
  <c r="G856" i="260"/>
  <c r="I856" i="260" a="1"/>
  <c r="I856" i="260"/>
  <c r="H856" i="260"/>
  <c r="K856" i="260" a="1"/>
  <c r="K856" i="260"/>
  <c r="J856" i="260"/>
  <c r="M856" i="260" a="1"/>
  <c r="M856" i="260"/>
  <c r="L856" i="260"/>
  <c r="O856" i="260" a="1"/>
  <c r="O856" i="260"/>
  <c r="N856" i="260"/>
  <c r="F857" i="260" a="1"/>
  <c r="G857" i="260" a="1"/>
  <c r="G857" i="260"/>
  <c r="I857" i="260" a="1"/>
  <c r="I857" i="260"/>
  <c r="H857" i="260"/>
  <c r="K857" i="260" a="1"/>
  <c r="K857" i="260"/>
  <c r="J857" i="260"/>
  <c r="M857" i="260" a="1"/>
  <c r="M857" i="260"/>
  <c r="L857" i="260"/>
  <c r="O857" i="260" a="1"/>
  <c r="O857" i="260"/>
  <c r="N857" i="260"/>
  <c r="F858" i="260" a="1"/>
  <c r="G858" i="260" a="1"/>
  <c r="G858" i="260"/>
  <c r="I858" i="260" a="1"/>
  <c r="I858" i="260"/>
  <c r="H858" i="260"/>
  <c r="K858" i="260" a="1"/>
  <c r="K858" i="260"/>
  <c r="J858" i="260"/>
  <c r="M858" i="260" a="1"/>
  <c r="M858" i="260"/>
  <c r="L858" i="260"/>
  <c r="O858" i="260" a="1"/>
  <c r="O858" i="260"/>
  <c r="N858" i="260"/>
  <c r="F859" i="260" a="1"/>
  <c r="G859" i="260" a="1"/>
  <c r="G859" i="260"/>
  <c r="I859" i="260" a="1"/>
  <c r="I859" i="260"/>
  <c r="H859" i="260"/>
  <c r="K859" i="260" a="1"/>
  <c r="K859" i="260"/>
  <c r="J859" i="260"/>
  <c r="M859" i="260" a="1"/>
  <c r="M859" i="260"/>
  <c r="L859" i="260"/>
  <c r="O859" i="260" a="1"/>
  <c r="O859" i="260"/>
  <c r="N859" i="260"/>
  <c r="F860" i="260" a="1"/>
  <c r="G860" i="260" a="1"/>
  <c r="G860" i="260"/>
  <c r="I860" i="260" a="1"/>
  <c r="I860" i="260"/>
  <c r="H860" i="260"/>
  <c r="K860" i="260" a="1"/>
  <c r="K860" i="260"/>
  <c r="J860" i="260"/>
  <c r="M860" i="260" a="1"/>
  <c r="M860" i="260"/>
  <c r="L860" i="260"/>
  <c r="O860" i="260" a="1"/>
  <c r="O860" i="260"/>
  <c r="N860" i="260"/>
  <c r="F861" i="260" a="1"/>
  <c r="G861" i="260" a="1"/>
  <c r="G861" i="260"/>
  <c r="I861" i="260" a="1"/>
  <c r="I861" i="260"/>
  <c r="H861" i="260"/>
  <c r="K861" i="260" a="1"/>
  <c r="K861" i="260"/>
  <c r="J861" i="260"/>
  <c r="M861" i="260" a="1"/>
  <c r="M861" i="260"/>
  <c r="L861" i="260"/>
  <c r="O861" i="260" a="1"/>
  <c r="O861" i="260"/>
  <c r="N861" i="260"/>
  <c r="F862" i="260" a="1"/>
  <c r="G862" i="260" a="1"/>
  <c r="G862" i="260"/>
  <c r="I862" i="260" a="1"/>
  <c r="I862" i="260"/>
  <c r="H862" i="260"/>
  <c r="K862" i="260" a="1"/>
  <c r="K862" i="260"/>
  <c r="J862" i="260"/>
  <c r="M862" i="260" a="1"/>
  <c r="M862" i="260"/>
  <c r="L862" i="260"/>
  <c r="O862" i="260" a="1"/>
  <c r="O862" i="260"/>
  <c r="N862" i="260"/>
  <c r="F863" i="260" a="1"/>
  <c r="G863" i="260" a="1"/>
  <c r="G863" i="260"/>
  <c r="I863" i="260" a="1"/>
  <c r="I863" i="260"/>
  <c r="H863" i="260"/>
  <c r="K863" i="260" a="1"/>
  <c r="K863" i="260"/>
  <c r="J863" i="260"/>
  <c r="M863" i="260" a="1"/>
  <c r="M863" i="260"/>
  <c r="L863" i="260"/>
  <c r="O863" i="260" a="1"/>
  <c r="O863" i="260"/>
  <c r="N863" i="260"/>
  <c r="F864" i="260" a="1"/>
  <c r="G864" i="260" a="1"/>
  <c r="G864" i="260"/>
  <c r="I864" i="260" a="1"/>
  <c r="I864" i="260"/>
  <c r="H864" i="260"/>
  <c r="K864" i="260" a="1"/>
  <c r="K864" i="260"/>
  <c r="J864" i="260"/>
  <c r="M864" i="260" a="1"/>
  <c r="M864" i="260"/>
  <c r="L864" i="260"/>
  <c r="O864" i="260" a="1"/>
  <c r="O864" i="260"/>
  <c r="N864" i="260"/>
  <c r="F865" i="260" a="1"/>
  <c r="G865" i="260" a="1"/>
  <c r="G865" i="260"/>
  <c r="I865" i="260" a="1"/>
  <c r="I865" i="260"/>
  <c r="H865" i="260"/>
  <c r="K865" i="260" a="1"/>
  <c r="K865" i="260"/>
  <c r="J865" i="260"/>
  <c r="M865" i="260" a="1"/>
  <c r="M865" i="260"/>
  <c r="L865" i="260"/>
  <c r="O865" i="260" a="1"/>
  <c r="O865" i="260"/>
  <c r="N865" i="260"/>
  <c r="F866" i="260" a="1"/>
  <c r="G866" i="260" a="1"/>
  <c r="G866" i="260"/>
  <c r="I866" i="260" a="1"/>
  <c r="I866" i="260"/>
  <c r="H866" i="260"/>
  <c r="K866" i="260" a="1"/>
  <c r="K866" i="260"/>
  <c r="J866" i="260"/>
  <c r="M866" i="260" a="1"/>
  <c r="M866" i="260"/>
  <c r="L866" i="260"/>
  <c r="O866" i="260" a="1"/>
  <c r="O866" i="260"/>
  <c r="N866" i="260"/>
  <c r="F867" i="260" a="1"/>
  <c r="G867" i="260" a="1"/>
  <c r="G867" i="260"/>
  <c r="I867" i="260" a="1"/>
  <c r="I867" i="260"/>
  <c r="H867" i="260"/>
  <c r="K867" i="260" a="1"/>
  <c r="K867" i="260"/>
  <c r="J867" i="260"/>
  <c r="M867" i="260" a="1"/>
  <c r="M867" i="260"/>
  <c r="L867" i="260"/>
  <c r="O867" i="260" a="1"/>
  <c r="O867" i="260"/>
  <c r="N867" i="260"/>
  <c r="F868" i="260" a="1"/>
  <c r="G868" i="260" a="1"/>
  <c r="G868" i="260"/>
  <c r="I868" i="260" a="1"/>
  <c r="I868" i="260"/>
  <c r="H868" i="260"/>
  <c r="K868" i="260" a="1"/>
  <c r="K868" i="260"/>
  <c r="J868" i="260"/>
  <c r="M868" i="260" a="1"/>
  <c r="M868" i="260"/>
  <c r="L868" i="260"/>
  <c r="O868" i="260" a="1"/>
  <c r="O868" i="260"/>
  <c r="N868" i="260"/>
  <c r="F869" i="260" a="1"/>
  <c r="G869" i="260" a="1"/>
  <c r="G869" i="260"/>
  <c r="I869" i="260" a="1"/>
  <c r="I869" i="260"/>
  <c r="H869" i="260"/>
  <c r="K869" i="260" a="1"/>
  <c r="K869" i="260"/>
  <c r="J869" i="260"/>
  <c r="M869" i="260" a="1"/>
  <c r="M869" i="260"/>
  <c r="L869" i="260"/>
  <c r="O869" i="260" a="1"/>
  <c r="O869" i="260"/>
  <c r="N869" i="260"/>
  <c r="F870" i="260" a="1"/>
  <c r="G870" i="260" a="1"/>
  <c r="G870" i="260"/>
  <c r="I870" i="260" a="1"/>
  <c r="I870" i="260"/>
  <c r="H870" i="260"/>
  <c r="K870" i="260" a="1"/>
  <c r="K870" i="260"/>
  <c r="J870" i="260"/>
  <c r="M870" i="260" a="1"/>
  <c r="M870" i="260"/>
  <c r="L870" i="260"/>
  <c r="O870" i="260" a="1"/>
  <c r="O870" i="260"/>
  <c r="N870" i="260"/>
  <c r="F871" i="260" a="1"/>
  <c r="G871" i="260" a="1"/>
  <c r="G871" i="260"/>
  <c r="I871" i="260" a="1"/>
  <c r="I871" i="260"/>
  <c r="H871" i="260"/>
  <c r="K871" i="260" a="1"/>
  <c r="K871" i="260"/>
  <c r="J871" i="260"/>
  <c r="M871" i="260" a="1"/>
  <c r="M871" i="260"/>
  <c r="L871" i="260"/>
  <c r="O871" i="260" a="1"/>
  <c r="O871" i="260"/>
  <c r="N871" i="260"/>
  <c r="F872" i="260" a="1"/>
  <c r="G872" i="260" a="1"/>
  <c r="G872" i="260"/>
  <c r="I872" i="260" a="1"/>
  <c r="I872" i="260"/>
  <c r="H872" i="260"/>
  <c r="K872" i="260" a="1"/>
  <c r="K872" i="260"/>
  <c r="J872" i="260"/>
  <c r="M872" i="260" a="1"/>
  <c r="M872" i="260"/>
  <c r="L872" i="260"/>
  <c r="O872" i="260" a="1"/>
  <c r="O872" i="260"/>
  <c r="N872" i="260"/>
  <c r="F873" i="260" a="1"/>
  <c r="G873" i="260" a="1"/>
  <c r="G873" i="260"/>
  <c r="I873" i="260" a="1"/>
  <c r="I873" i="260"/>
  <c r="H873" i="260"/>
  <c r="K873" i="260" a="1"/>
  <c r="K873" i="260"/>
  <c r="J873" i="260"/>
  <c r="M873" i="260" a="1"/>
  <c r="M873" i="260"/>
  <c r="L873" i="260"/>
  <c r="O873" i="260" a="1"/>
  <c r="O873" i="260"/>
  <c r="N873" i="260"/>
  <c r="F874" i="260" a="1"/>
  <c r="G874" i="260" a="1"/>
  <c r="G874" i="260"/>
  <c r="I874" i="260" a="1"/>
  <c r="I874" i="260"/>
  <c r="H874" i="260"/>
  <c r="K874" i="260" a="1"/>
  <c r="K874" i="260"/>
  <c r="J874" i="260"/>
  <c r="M874" i="260" a="1"/>
  <c r="M874" i="260"/>
  <c r="L874" i="260"/>
  <c r="O874" i="260" a="1"/>
  <c r="O874" i="260"/>
  <c r="N874" i="260"/>
  <c r="F875" i="260" a="1"/>
  <c r="G875" i="260" a="1"/>
  <c r="G875" i="260"/>
  <c r="I875" i="260" a="1"/>
  <c r="I875" i="260"/>
  <c r="H875" i="260"/>
  <c r="K875" i="260" a="1"/>
  <c r="K875" i="260"/>
  <c r="J875" i="260"/>
  <c r="M875" i="260" a="1"/>
  <c r="M875" i="260"/>
  <c r="L875" i="260"/>
  <c r="O875" i="260" a="1"/>
  <c r="O875" i="260"/>
  <c r="N875" i="260"/>
  <c r="F876" i="260" a="1"/>
  <c r="G876" i="260" a="1"/>
  <c r="G876" i="260"/>
  <c r="I876" i="260" a="1"/>
  <c r="I876" i="260"/>
  <c r="H876" i="260"/>
  <c r="K876" i="260" a="1"/>
  <c r="K876" i="260"/>
  <c r="J876" i="260"/>
  <c r="M876" i="260" a="1"/>
  <c r="M876" i="260"/>
  <c r="L876" i="260"/>
  <c r="O876" i="260" a="1"/>
  <c r="O876" i="260"/>
  <c r="N876" i="260"/>
  <c r="F877" i="260" a="1"/>
  <c r="G877" i="260" a="1"/>
  <c r="G877" i="260"/>
  <c r="I877" i="260" a="1"/>
  <c r="I877" i="260"/>
  <c r="H877" i="260"/>
  <c r="K877" i="260" a="1"/>
  <c r="K877" i="260"/>
  <c r="J877" i="260"/>
  <c r="M877" i="260" a="1"/>
  <c r="M877" i="260"/>
  <c r="L877" i="260"/>
  <c r="O877" i="260" a="1"/>
  <c r="O877" i="260"/>
  <c r="N877" i="260"/>
  <c r="F878" i="260" a="1"/>
  <c r="G878" i="260" a="1"/>
  <c r="G878" i="260"/>
  <c r="I878" i="260" a="1"/>
  <c r="I878" i="260"/>
  <c r="H878" i="260"/>
  <c r="K878" i="260" a="1"/>
  <c r="K878" i="260"/>
  <c r="J878" i="260"/>
  <c r="M878" i="260" a="1"/>
  <c r="M878" i="260"/>
  <c r="L878" i="260"/>
  <c r="O878" i="260" a="1"/>
  <c r="O878" i="260"/>
  <c r="N878" i="260"/>
  <c r="F879" i="260" a="1"/>
  <c r="G879" i="260" a="1"/>
  <c r="G879" i="260"/>
  <c r="I879" i="260" a="1"/>
  <c r="I879" i="260"/>
  <c r="H879" i="260"/>
  <c r="K879" i="260" a="1"/>
  <c r="K879" i="260"/>
  <c r="J879" i="260"/>
  <c r="M879" i="260" a="1"/>
  <c r="M879" i="260"/>
  <c r="L879" i="260"/>
  <c r="O879" i="260" a="1"/>
  <c r="O879" i="260"/>
  <c r="N879" i="260"/>
  <c r="F880" i="260" a="1"/>
  <c r="G880" i="260" a="1"/>
  <c r="G880" i="260"/>
  <c r="I880" i="260" a="1"/>
  <c r="I880" i="260"/>
  <c r="H880" i="260"/>
  <c r="K880" i="260" a="1"/>
  <c r="K880" i="260"/>
  <c r="J880" i="260"/>
  <c r="M880" i="260" a="1"/>
  <c r="M880" i="260"/>
  <c r="L880" i="260"/>
  <c r="O880" i="260" a="1"/>
  <c r="O880" i="260"/>
  <c r="N880" i="260"/>
  <c r="F881" i="260" a="1"/>
  <c r="G881" i="260" a="1"/>
  <c r="G881" i="260"/>
  <c r="I881" i="260" a="1"/>
  <c r="I881" i="260"/>
  <c r="H881" i="260"/>
  <c r="K881" i="260" a="1"/>
  <c r="K881" i="260"/>
  <c r="J881" i="260"/>
  <c r="M881" i="260" a="1"/>
  <c r="M881" i="260"/>
  <c r="L881" i="260"/>
  <c r="O881" i="260" a="1"/>
  <c r="O881" i="260"/>
  <c r="N881" i="260"/>
  <c r="F882" i="260" a="1"/>
  <c r="G882" i="260" a="1"/>
  <c r="G882" i="260"/>
  <c r="I882" i="260" a="1"/>
  <c r="I882" i="260"/>
  <c r="H882" i="260"/>
  <c r="K882" i="260" a="1"/>
  <c r="K882" i="260"/>
  <c r="J882" i="260"/>
  <c r="M882" i="260" a="1"/>
  <c r="M882" i="260"/>
  <c r="L882" i="260"/>
  <c r="O882" i="260" a="1"/>
  <c r="O882" i="260"/>
  <c r="N882" i="260"/>
  <c r="F883" i="260" a="1"/>
  <c r="G883" i="260" a="1"/>
  <c r="G883" i="260"/>
  <c r="I883" i="260" a="1"/>
  <c r="I883" i="260"/>
  <c r="H883" i="260"/>
  <c r="K883" i="260" a="1"/>
  <c r="K883" i="260"/>
  <c r="J883" i="260"/>
  <c r="M883" i="260" a="1"/>
  <c r="M883" i="260"/>
  <c r="L883" i="260"/>
  <c r="O883" i="260" a="1"/>
  <c r="O883" i="260"/>
  <c r="N883" i="260"/>
  <c r="F884" i="260" a="1"/>
  <c r="G884" i="260" a="1"/>
  <c r="G884" i="260"/>
  <c r="I884" i="260" a="1"/>
  <c r="I884" i="260"/>
  <c r="H884" i="260"/>
  <c r="K884" i="260" a="1"/>
  <c r="K884" i="260"/>
  <c r="J884" i="260"/>
  <c r="M884" i="260" a="1"/>
  <c r="M884" i="260"/>
  <c r="L884" i="260"/>
  <c r="O884" i="260" a="1"/>
  <c r="O884" i="260"/>
  <c r="N884" i="260"/>
  <c r="F885" i="260" a="1"/>
  <c r="G885" i="260" a="1"/>
  <c r="G885" i="260"/>
  <c r="I885" i="260" a="1"/>
  <c r="I885" i="260"/>
  <c r="H885" i="260"/>
  <c r="K885" i="260" a="1"/>
  <c r="K885" i="260"/>
  <c r="J885" i="260"/>
  <c r="M885" i="260" a="1"/>
  <c r="M885" i="260"/>
  <c r="L885" i="260"/>
  <c r="O885" i="260" a="1"/>
  <c r="O885" i="260"/>
  <c r="N885" i="260"/>
  <c r="F886" i="260" a="1"/>
  <c r="G886" i="260" a="1"/>
  <c r="G886" i="260"/>
  <c r="I886" i="260" a="1"/>
  <c r="I886" i="260"/>
  <c r="H886" i="260"/>
  <c r="K886" i="260" a="1"/>
  <c r="K886" i="260"/>
  <c r="J886" i="260"/>
  <c r="M886" i="260" a="1"/>
  <c r="M886" i="260"/>
  <c r="L886" i="260"/>
  <c r="O886" i="260" a="1"/>
  <c r="O886" i="260"/>
  <c r="N886" i="260"/>
  <c r="F887" i="260" a="1"/>
  <c r="G887" i="260" a="1"/>
  <c r="G887" i="260"/>
  <c r="I887" i="260" a="1"/>
  <c r="I887" i="260"/>
  <c r="H887" i="260"/>
  <c r="K887" i="260" a="1"/>
  <c r="K887" i="260"/>
  <c r="J887" i="260"/>
  <c r="M887" i="260" a="1"/>
  <c r="M887" i="260"/>
  <c r="L887" i="260"/>
  <c r="O887" i="260" a="1"/>
  <c r="O887" i="260"/>
  <c r="N887" i="260"/>
  <c r="F888" i="260" a="1"/>
  <c r="G888" i="260" a="1"/>
  <c r="G888" i="260"/>
  <c r="I888" i="260" a="1"/>
  <c r="I888" i="260"/>
  <c r="H888" i="260"/>
  <c r="K888" i="260" a="1"/>
  <c r="K888" i="260"/>
  <c r="J888" i="260"/>
  <c r="M888" i="260" a="1"/>
  <c r="M888" i="260"/>
  <c r="L888" i="260"/>
  <c r="O888" i="260" a="1"/>
  <c r="O888" i="260"/>
  <c r="N888" i="260"/>
  <c r="F889" i="260" a="1"/>
  <c r="G889" i="260" a="1"/>
  <c r="G889" i="260"/>
  <c r="I889" i="260" a="1"/>
  <c r="I889" i="260"/>
  <c r="H889" i="260"/>
  <c r="K889" i="260" a="1"/>
  <c r="K889" i="260"/>
  <c r="J889" i="260"/>
  <c r="M889" i="260" a="1"/>
  <c r="M889" i="260"/>
  <c r="L889" i="260"/>
  <c r="O889" i="260" a="1"/>
  <c r="O889" i="260"/>
  <c r="N889" i="260"/>
  <c r="F890" i="260" a="1"/>
  <c r="G890" i="260" a="1"/>
  <c r="G890" i="260"/>
  <c r="I890" i="260" a="1"/>
  <c r="I890" i="260"/>
  <c r="H890" i="260"/>
  <c r="K890" i="260" a="1"/>
  <c r="K890" i="260"/>
  <c r="J890" i="260"/>
  <c r="M890" i="260" a="1"/>
  <c r="M890" i="260"/>
  <c r="L890" i="260"/>
  <c r="O890" i="260" a="1"/>
  <c r="O890" i="260"/>
  <c r="N890" i="260"/>
  <c r="F891" i="260" a="1"/>
  <c r="G891" i="260" a="1"/>
  <c r="G891" i="260"/>
  <c r="I891" i="260" a="1"/>
  <c r="I891" i="260"/>
  <c r="H891" i="260"/>
  <c r="K891" i="260" a="1"/>
  <c r="K891" i="260"/>
  <c r="J891" i="260"/>
  <c r="M891" i="260" a="1"/>
  <c r="M891" i="260"/>
  <c r="L891" i="260"/>
  <c r="O891" i="260" a="1"/>
  <c r="O891" i="260"/>
  <c r="N891" i="260"/>
  <c r="F892" i="260" a="1"/>
  <c r="G892" i="260" a="1"/>
  <c r="G892" i="260"/>
  <c r="I892" i="260" a="1"/>
  <c r="I892" i="260"/>
  <c r="H892" i="260"/>
  <c r="K892" i="260" a="1"/>
  <c r="K892" i="260"/>
  <c r="J892" i="260"/>
  <c r="M892" i="260" a="1"/>
  <c r="M892" i="260"/>
  <c r="L892" i="260"/>
  <c r="O892" i="260" a="1"/>
  <c r="O892" i="260"/>
  <c r="N892" i="260"/>
  <c r="F893" i="260" a="1"/>
  <c r="G893" i="260" a="1"/>
  <c r="G893" i="260"/>
  <c r="I893" i="260" a="1"/>
  <c r="I893" i="260"/>
  <c r="H893" i="260"/>
  <c r="K893" i="260" a="1"/>
  <c r="K893" i="260"/>
  <c r="J893" i="260"/>
  <c r="M893" i="260" a="1"/>
  <c r="M893" i="260"/>
  <c r="L893" i="260"/>
  <c r="O893" i="260" a="1"/>
  <c r="O893" i="260"/>
  <c r="N893" i="260"/>
  <c r="F894" i="260" a="1"/>
  <c r="G894" i="260" a="1"/>
  <c r="G894" i="260"/>
  <c r="I894" i="260" a="1"/>
  <c r="I894" i="260"/>
  <c r="H894" i="260"/>
  <c r="K894" i="260" a="1"/>
  <c r="K894" i="260"/>
  <c r="J894" i="260"/>
  <c r="M894" i="260" a="1"/>
  <c r="M894" i="260"/>
  <c r="L894" i="260"/>
  <c r="O894" i="260" a="1"/>
  <c r="O894" i="260"/>
  <c r="N894" i="260"/>
  <c r="F895" i="260" a="1"/>
  <c r="G895" i="260" a="1"/>
  <c r="G895" i="260"/>
  <c r="I895" i="260" a="1"/>
  <c r="I895" i="260"/>
  <c r="H895" i="260"/>
  <c r="K895" i="260" a="1"/>
  <c r="K895" i="260"/>
  <c r="J895" i="260"/>
  <c r="M895" i="260" a="1"/>
  <c r="M895" i="260"/>
  <c r="L895" i="260"/>
  <c r="O895" i="260" a="1"/>
  <c r="O895" i="260"/>
  <c r="N895" i="260"/>
  <c r="F896" i="260" a="1"/>
  <c r="G896" i="260" a="1"/>
  <c r="G896" i="260"/>
  <c r="I896" i="260" a="1"/>
  <c r="I896" i="260"/>
  <c r="H896" i="260"/>
  <c r="K896" i="260" a="1"/>
  <c r="K896" i="260"/>
  <c r="J896" i="260"/>
  <c r="M896" i="260" a="1"/>
  <c r="M896" i="260"/>
  <c r="L896" i="260"/>
  <c r="O896" i="260" a="1"/>
  <c r="O896" i="260"/>
  <c r="N896" i="260"/>
  <c r="F897" i="260" a="1"/>
  <c r="G897" i="260" a="1"/>
  <c r="G897" i="260"/>
  <c r="I897" i="260" a="1"/>
  <c r="I897" i="260"/>
  <c r="H897" i="260"/>
  <c r="K897" i="260" a="1"/>
  <c r="K897" i="260"/>
  <c r="J897" i="260"/>
  <c r="M897" i="260" a="1"/>
  <c r="M897" i="260"/>
  <c r="L897" i="260"/>
  <c r="O897" i="260" a="1"/>
  <c r="O897" i="260"/>
  <c r="N897" i="260"/>
  <c r="F898" i="260" a="1"/>
  <c r="G898" i="260" a="1"/>
  <c r="G898" i="260"/>
  <c r="I898" i="260" a="1"/>
  <c r="I898" i="260"/>
  <c r="H898" i="260"/>
  <c r="K898" i="260" a="1"/>
  <c r="K898" i="260"/>
  <c r="J898" i="260"/>
  <c r="M898" i="260" a="1"/>
  <c r="M898" i="260"/>
  <c r="L898" i="260"/>
  <c r="O898" i="260" a="1"/>
  <c r="O898" i="260"/>
  <c r="N898" i="260"/>
  <c r="F899" i="260" a="1"/>
  <c r="G899" i="260" a="1"/>
  <c r="G899" i="260"/>
  <c r="I899" i="260" a="1"/>
  <c r="I899" i="260"/>
  <c r="H899" i="260"/>
  <c r="K899" i="260" a="1"/>
  <c r="K899" i="260"/>
  <c r="J899" i="260"/>
  <c r="M899" i="260" a="1"/>
  <c r="M899" i="260"/>
  <c r="L899" i="260"/>
  <c r="O899" i="260" a="1"/>
  <c r="O899" i="260"/>
  <c r="N899" i="260"/>
  <c r="F900" i="260" a="1"/>
  <c r="G900" i="260" a="1"/>
  <c r="G900" i="260"/>
  <c r="I900" i="260" a="1"/>
  <c r="I900" i="260"/>
  <c r="H900" i="260"/>
  <c r="K900" i="260" a="1"/>
  <c r="K900" i="260"/>
  <c r="J900" i="260"/>
  <c r="M900" i="260" a="1"/>
  <c r="M900" i="260"/>
  <c r="L900" i="260"/>
  <c r="O900" i="260" a="1"/>
  <c r="O900" i="260"/>
  <c r="N900" i="260"/>
  <c r="F901" i="260" a="1"/>
  <c r="G901" i="260" a="1"/>
  <c r="G901" i="260"/>
  <c r="I901" i="260" a="1"/>
  <c r="I901" i="260"/>
  <c r="H901" i="260"/>
  <c r="K901" i="260" a="1"/>
  <c r="K901" i="260"/>
  <c r="J901" i="260"/>
  <c r="M901" i="260" a="1"/>
  <c r="M901" i="260"/>
  <c r="L901" i="260"/>
  <c r="O901" i="260" a="1"/>
  <c r="O901" i="260"/>
  <c r="N901" i="260"/>
  <c r="F902" i="260" a="1"/>
  <c r="G902" i="260" a="1"/>
  <c r="G902" i="260"/>
  <c r="I902" i="260" a="1"/>
  <c r="I902" i="260"/>
  <c r="H902" i="260"/>
  <c r="K902" i="260" a="1"/>
  <c r="K902" i="260"/>
  <c r="J902" i="260"/>
  <c r="M902" i="260" a="1"/>
  <c r="M902" i="260"/>
  <c r="L902" i="260"/>
  <c r="O902" i="260" a="1"/>
  <c r="O902" i="260"/>
  <c r="N902" i="260"/>
  <c r="F903" i="260" a="1"/>
  <c r="G903" i="260" a="1"/>
  <c r="G903" i="260"/>
  <c r="I903" i="260" a="1"/>
  <c r="I903" i="260"/>
  <c r="H903" i="260"/>
  <c r="K903" i="260" a="1"/>
  <c r="K903" i="260"/>
  <c r="J903" i="260"/>
  <c r="M903" i="260" a="1"/>
  <c r="M903" i="260"/>
  <c r="L903" i="260"/>
  <c r="O903" i="260" a="1"/>
  <c r="O903" i="260"/>
  <c r="N903" i="260"/>
  <c r="F904" i="260" a="1"/>
  <c r="G904" i="260" a="1"/>
  <c r="G904" i="260"/>
  <c r="I904" i="260" a="1"/>
  <c r="I904" i="260"/>
  <c r="H904" i="260"/>
  <c r="K904" i="260" a="1"/>
  <c r="K904" i="260"/>
  <c r="J904" i="260"/>
  <c r="M904" i="260" a="1"/>
  <c r="M904" i="260"/>
  <c r="L904" i="260"/>
  <c r="O904" i="260" a="1"/>
  <c r="O904" i="260"/>
  <c r="N904" i="260"/>
  <c r="F905" i="260" a="1"/>
  <c r="G905" i="260" a="1"/>
  <c r="G905" i="260"/>
  <c r="I905" i="260" a="1"/>
  <c r="I905" i="260"/>
  <c r="H905" i="260"/>
  <c r="K905" i="260" a="1"/>
  <c r="K905" i="260"/>
  <c r="J905" i="260"/>
  <c r="M905" i="260" a="1"/>
  <c r="M905" i="260"/>
  <c r="L905" i="260"/>
  <c r="O905" i="260" a="1"/>
  <c r="O905" i="260"/>
  <c r="N905" i="260"/>
  <c r="F906" i="260" a="1"/>
  <c r="G906" i="260" a="1"/>
  <c r="G906" i="260"/>
  <c r="I906" i="260" a="1"/>
  <c r="I906" i="260"/>
  <c r="H906" i="260"/>
  <c r="K906" i="260" a="1"/>
  <c r="K906" i="260"/>
  <c r="J906" i="260"/>
  <c r="M906" i="260" a="1"/>
  <c r="M906" i="260"/>
  <c r="L906" i="260"/>
  <c r="O906" i="260" a="1"/>
  <c r="O906" i="260"/>
  <c r="N906" i="260"/>
  <c r="F907" i="260" a="1"/>
  <c r="G907" i="260" a="1"/>
  <c r="G907" i="260"/>
  <c r="I907" i="260" a="1"/>
  <c r="I907" i="260"/>
  <c r="H907" i="260"/>
  <c r="K907" i="260" a="1"/>
  <c r="K907" i="260"/>
  <c r="J907" i="260"/>
  <c r="M907" i="260" a="1"/>
  <c r="M907" i="260"/>
  <c r="L907" i="260"/>
  <c r="O907" i="260" a="1"/>
  <c r="O907" i="260"/>
  <c r="N907" i="260"/>
  <c r="F908" i="260" a="1"/>
  <c r="G908" i="260" a="1"/>
  <c r="G908" i="260"/>
  <c r="I908" i="260" a="1"/>
  <c r="I908" i="260"/>
  <c r="H908" i="260"/>
  <c r="K908" i="260" a="1"/>
  <c r="K908" i="260"/>
  <c r="J908" i="260"/>
  <c r="M908" i="260" a="1"/>
  <c r="M908" i="260"/>
  <c r="L908" i="260"/>
  <c r="O908" i="260" a="1"/>
  <c r="O908" i="260"/>
  <c r="N908" i="260"/>
  <c r="F909" i="260" a="1"/>
  <c r="G909" i="260" a="1"/>
  <c r="G909" i="260"/>
  <c r="I909" i="260" a="1"/>
  <c r="I909" i="260"/>
  <c r="H909" i="260"/>
  <c r="K909" i="260" a="1"/>
  <c r="K909" i="260"/>
  <c r="J909" i="260"/>
  <c r="M909" i="260" a="1"/>
  <c r="M909" i="260"/>
  <c r="L909" i="260"/>
  <c r="O909" i="260" a="1"/>
  <c r="O909" i="260"/>
  <c r="N909" i="260"/>
  <c r="F910" i="260" a="1"/>
  <c r="G910" i="260" a="1"/>
  <c r="G910" i="260"/>
  <c r="I910" i="260" a="1"/>
  <c r="I910" i="260"/>
  <c r="H910" i="260"/>
  <c r="K910" i="260" a="1"/>
  <c r="K910" i="260"/>
  <c r="J910" i="260"/>
  <c r="M910" i="260" a="1"/>
  <c r="M910" i="260"/>
  <c r="L910" i="260"/>
  <c r="O910" i="260" a="1"/>
  <c r="O910" i="260"/>
  <c r="N910" i="260"/>
  <c r="F911" i="260" a="1"/>
  <c r="G911" i="260" a="1"/>
  <c r="G911" i="260"/>
  <c r="I911" i="260" a="1"/>
  <c r="I911" i="260"/>
  <c r="H911" i="260"/>
  <c r="K911" i="260" a="1"/>
  <c r="K911" i="260"/>
  <c r="J911" i="260"/>
  <c r="M911" i="260" a="1"/>
  <c r="M911" i="260"/>
  <c r="L911" i="260"/>
  <c r="O911" i="260" a="1"/>
  <c r="O911" i="260"/>
  <c r="N911" i="260"/>
  <c r="F912" i="260" a="1"/>
  <c r="G912" i="260" a="1"/>
  <c r="G912" i="260"/>
  <c r="I912" i="260" a="1"/>
  <c r="I912" i="260"/>
  <c r="H912" i="260"/>
  <c r="K912" i="260" a="1"/>
  <c r="K912" i="260"/>
  <c r="J912" i="260"/>
  <c r="M912" i="260" a="1"/>
  <c r="M912" i="260"/>
  <c r="L912" i="260"/>
  <c r="O912" i="260" a="1"/>
  <c r="O912" i="260"/>
  <c r="N912" i="260"/>
  <c r="F913" i="260" a="1"/>
  <c r="G913" i="260" a="1"/>
  <c r="G913" i="260"/>
  <c r="I913" i="260" a="1"/>
  <c r="I913" i="260"/>
  <c r="H913" i="260"/>
  <c r="K913" i="260" a="1"/>
  <c r="K913" i="260"/>
  <c r="J913" i="260"/>
  <c r="M913" i="260" a="1"/>
  <c r="M913" i="260"/>
  <c r="L913" i="260"/>
  <c r="O913" i="260" a="1"/>
  <c r="O913" i="260"/>
  <c r="N913" i="260"/>
  <c r="F914" i="260" a="1"/>
  <c r="G914" i="260" a="1"/>
  <c r="G914" i="260"/>
  <c r="I914" i="260" a="1"/>
  <c r="I914" i="260"/>
  <c r="H914" i="260"/>
  <c r="K914" i="260" a="1"/>
  <c r="K914" i="260"/>
  <c r="J914" i="260"/>
  <c r="M914" i="260" a="1"/>
  <c r="M914" i="260"/>
  <c r="L914" i="260"/>
  <c r="O914" i="260" a="1"/>
  <c r="O914" i="260"/>
  <c r="N914" i="260"/>
  <c r="F915" i="260" a="1"/>
  <c r="G915" i="260" a="1"/>
  <c r="G915" i="260"/>
  <c r="I915" i="260" a="1"/>
  <c r="I915" i="260"/>
  <c r="H915" i="260"/>
  <c r="K915" i="260" a="1"/>
  <c r="K915" i="260"/>
  <c r="J915" i="260"/>
  <c r="M915" i="260" a="1"/>
  <c r="M915" i="260"/>
  <c r="L915" i="260"/>
  <c r="O915" i="260" a="1"/>
  <c r="O915" i="260"/>
  <c r="N915" i="260"/>
  <c r="F916" i="260" a="1"/>
  <c r="G916" i="260" a="1"/>
  <c r="G916" i="260"/>
  <c r="I916" i="260" a="1"/>
  <c r="I916" i="260"/>
  <c r="H916" i="260"/>
  <c r="K916" i="260" a="1"/>
  <c r="K916" i="260"/>
  <c r="J916" i="260"/>
  <c r="M916" i="260" a="1"/>
  <c r="M916" i="260"/>
  <c r="L916" i="260"/>
  <c r="O916" i="260" a="1"/>
  <c r="O916" i="260"/>
  <c r="N916" i="260"/>
  <c r="F917" i="260" a="1"/>
  <c r="G917" i="260" a="1"/>
  <c r="G917" i="260"/>
  <c r="I917" i="260" a="1"/>
  <c r="I917" i="260"/>
  <c r="H917" i="260"/>
  <c r="K917" i="260" a="1"/>
  <c r="K917" i="260"/>
  <c r="J917" i="260"/>
  <c r="M917" i="260" a="1"/>
  <c r="M917" i="260"/>
  <c r="L917" i="260"/>
  <c r="O917" i="260" a="1"/>
  <c r="O917" i="260"/>
  <c r="N917" i="260"/>
  <c r="F918" i="260" a="1"/>
  <c r="G918" i="260" a="1"/>
  <c r="G918" i="260"/>
  <c r="I918" i="260" a="1"/>
  <c r="I918" i="260"/>
  <c r="H918" i="260"/>
  <c r="K918" i="260" a="1"/>
  <c r="K918" i="260"/>
  <c r="J918" i="260"/>
  <c r="M918" i="260" a="1"/>
  <c r="M918" i="260"/>
  <c r="L918" i="260"/>
  <c r="O918" i="260" a="1"/>
  <c r="O918" i="260"/>
  <c r="N918" i="260"/>
  <c r="F919" i="260" a="1"/>
  <c r="G919" i="260" a="1"/>
  <c r="G919" i="260"/>
  <c r="I919" i="260" a="1"/>
  <c r="I919" i="260"/>
  <c r="H919" i="260"/>
  <c r="K919" i="260" a="1"/>
  <c r="K919" i="260"/>
  <c r="J919" i="260"/>
  <c r="M919" i="260" a="1"/>
  <c r="M919" i="260"/>
  <c r="L919" i="260"/>
  <c r="O919" i="260" a="1"/>
  <c r="O919" i="260"/>
  <c r="N919" i="260"/>
  <c r="F920" i="260" a="1"/>
  <c r="G920" i="260" a="1"/>
  <c r="G920" i="260"/>
  <c r="I920" i="260" a="1"/>
  <c r="I920" i="260"/>
  <c r="H920" i="260"/>
  <c r="K920" i="260" a="1"/>
  <c r="K920" i="260"/>
  <c r="J920" i="260"/>
  <c r="M920" i="260" a="1"/>
  <c r="M920" i="260"/>
  <c r="L920" i="260"/>
  <c r="O920" i="260" a="1"/>
  <c r="O920" i="260"/>
  <c r="N920" i="260"/>
  <c r="F921" i="260" a="1"/>
  <c r="G921" i="260" a="1"/>
  <c r="G921" i="260"/>
  <c r="I921" i="260" a="1"/>
  <c r="I921" i="260"/>
  <c r="H921" i="260"/>
  <c r="K921" i="260" a="1"/>
  <c r="K921" i="260"/>
  <c r="J921" i="260"/>
  <c r="M921" i="260" a="1"/>
  <c r="M921" i="260"/>
  <c r="L921" i="260"/>
  <c r="O921" i="260" a="1"/>
  <c r="O921" i="260"/>
  <c r="N921" i="260"/>
  <c r="F922" i="260" a="1"/>
  <c r="G922" i="260" a="1"/>
  <c r="G922" i="260"/>
  <c r="I922" i="260" a="1"/>
  <c r="I922" i="260"/>
  <c r="H922" i="260"/>
  <c r="K922" i="260" a="1"/>
  <c r="K922" i="260"/>
  <c r="J922" i="260"/>
  <c r="M922" i="260" a="1"/>
  <c r="M922" i="260"/>
  <c r="L922" i="260"/>
  <c r="O922" i="260" a="1"/>
  <c r="O922" i="260"/>
  <c r="N922" i="260"/>
  <c r="F923" i="260" a="1"/>
  <c r="G923" i="260" a="1"/>
  <c r="G923" i="260"/>
  <c r="I923" i="260" a="1"/>
  <c r="I923" i="260"/>
  <c r="H923" i="260"/>
  <c r="K923" i="260" a="1"/>
  <c r="K923" i="260"/>
  <c r="J923" i="260"/>
  <c r="M923" i="260" a="1"/>
  <c r="M923" i="260"/>
  <c r="L923" i="260"/>
  <c r="O923" i="260" a="1"/>
  <c r="O923" i="260"/>
  <c r="N923" i="260"/>
  <c r="F924" i="260" a="1"/>
  <c r="G924" i="260" a="1"/>
  <c r="G924" i="260"/>
  <c r="I924" i="260" a="1"/>
  <c r="I924" i="260"/>
  <c r="H924" i="260"/>
  <c r="K924" i="260" a="1"/>
  <c r="K924" i="260"/>
  <c r="J924" i="260"/>
  <c r="M924" i="260" a="1"/>
  <c r="M924" i="260"/>
  <c r="L924" i="260"/>
  <c r="O924" i="260" a="1"/>
  <c r="O924" i="260"/>
  <c r="N924" i="260"/>
  <c r="F925" i="260" a="1"/>
  <c r="G925" i="260" a="1"/>
  <c r="G925" i="260"/>
  <c r="I925" i="260" a="1"/>
  <c r="I925" i="260"/>
  <c r="H925" i="260"/>
  <c r="K925" i="260" a="1"/>
  <c r="K925" i="260"/>
  <c r="J925" i="260"/>
  <c r="M925" i="260" a="1"/>
  <c r="M925" i="260"/>
  <c r="L925" i="260"/>
  <c r="O925" i="260" a="1"/>
  <c r="O925" i="260"/>
  <c r="N925" i="260"/>
  <c r="F926" i="260" a="1"/>
  <c r="G926" i="260" a="1"/>
  <c r="G926" i="260"/>
  <c r="I926" i="260" a="1"/>
  <c r="I926" i="260"/>
  <c r="H926" i="260"/>
  <c r="K926" i="260" a="1"/>
  <c r="K926" i="260"/>
  <c r="J926" i="260"/>
  <c r="M926" i="260" a="1"/>
  <c r="M926" i="260"/>
  <c r="L926" i="260"/>
  <c r="O926" i="260" a="1"/>
  <c r="O926" i="260"/>
  <c r="N926" i="260"/>
  <c r="F927" i="260" a="1"/>
  <c r="G927" i="260" a="1"/>
  <c r="G927" i="260"/>
  <c r="I927" i="260" a="1"/>
  <c r="I927" i="260"/>
  <c r="H927" i="260"/>
  <c r="K927" i="260" a="1"/>
  <c r="K927" i="260"/>
  <c r="J927" i="260"/>
  <c r="M927" i="260" a="1"/>
  <c r="M927" i="260"/>
  <c r="L927" i="260"/>
  <c r="O927" i="260" a="1"/>
  <c r="O927" i="260"/>
  <c r="N927" i="260"/>
  <c r="F851" i="260"/>
  <c r="F852" i="260"/>
  <c r="F853" i="260"/>
  <c r="F854" i="260"/>
  <c r="F855" i="260"/>
  <c r="F856" i="260"/>
  <c r="F857" i="260"/>
  <c r="F858" i="260"/>
  <c r="F859" i="260"/>
  <c r="F860" i="260"/>
  <c r="F861" i="260"/>
  <c r="F862" i="260"/>
  <c r="F863" i="260"/>
  <c r="F864" i="260"/>
  <c r="F865" i="260"/>
  <c r="F866" i="260"/>
  <c r="F867" i="260"/>
  <c r="F868" i="260"/>
  <c r="F869" i="260"/>
  <c r="F870" i="260"/>
  <c r="F871" i="260"/>
  <c r="F872" i="260"/>
  <c r="F873" i="260"/>
  <c r="F874" i="260"/>
  <c r="F875" i="260"/>
  <c r="F876" i="260"/>
  <c r="F877" i="260"/>
  <c r="F878" i="260"/>
  <c r="F879" i="260"/>
  <c r="F880" i="260"/>
  <c r="F881" i="260"/>
  <c r="F882" i="260"/>
  <c r="F883" i="260"/>
  <c r="F884" i="260"/>
  <c r="F885" i="260"/>
  <c r="F886" i="260"/>
  <c r="F887" i="260"/>
  <c r="F888" i="260"/>
  <c r="F889" i="260"/>
  <c r="F890" i="260"/>
  <c r="F891" i="260"/>
  <c r="F892" i="260"/>
  <c r="F893" i="260"/>
  <c r="F894" i="260"/>
  <c r="F895" i="260"/>
  <c r="F896" i="260"/>
  <c r="F897" i="260"/>
  <c r="F898" i="260"/>
  <c r="F899" i="260"/>
  <c r="F900" i="260"/>
  <c r="F901" i="260"/>
  <c r="F902" i="260"/>
  <c r="F903" i="260"/>
  <c r="F904" i="260"/>
  <c r="F905" i="260"/>
  <c r="F906" i="260"/>
  <c r="F907" i="260"/>
  <c r="F908" i="260"/>
  <c r="F909" i="260"/>
  <c r="F910" i="260"/>
  <c r="F911" i="260"/>
  <c r="F912" i="260"/>
  <c r="F913" i="260"/>
  <c r="F914" i="260"/>
  <c r="F915" i="260"/>
  <c r="F916" i="260"/>
  <c r="F917" i="260"/>
  <c r="F918" i="260"/>
  <c r="F919" i="260"/>
  <c r="F920" i="260"/>
  <c r="F921" i="260"/>
  <c r="F922" i="260"/>
  <c r="F923" i="260"/>
  <c r="F924" i="260"/>
  <c r="F925" i="260"/>
  <c r="F926" i="260"/>
  <c r="F927" i="260"/>
  <c r="F933" i="260" a="1"/>
  <c r="F933" i="260"/>
  <c r="F934" i="260" a="1"/>
  <c r="F934" i="260"/>
  <c r="F935" i="260" a="1"/>
  <c r="F936" i="260" a="1"/>
  <c r="F937" i="260" a="1"/>
  <c r="F938" i="260" a="1"/>
  <c r="F939" i="260" a="1"/>
  <c r="F940" i="260" a="1"/>
  <c r="F941" i="260" a="1"/>
  <c r="F942" i="260" a="1"/>
  <c r="F943" i="260" a="1"/>
  <c r="F944" i="260" a="1"/>
  <c r="F945" i="260" a="1"/>
  <c r="F946" i="260" a="1"/>
  <c r="F947" i="260" a="1"/>
  <c r="F948" i="260" a="1"/>
  <c r="F949" i="260" a="1"/>
  <c r="F950" i="260" a="1"/>
  <c r="F951" i="260" a="1"/>
  <c r="F952" i="260" a="1"/>
  <c r="F953" i="260" a="1"/>
  <c r="F954" i="260" a="1"/>
  <c r="F955" i="260" a="1"/>
  <c r="F956" i="260" a="1"/>
  <c r="F957" i="260" a="1"/>
  <c r="F958" i="260" a="1"/>
  <c r="F959" i="260" a="1"/>
  <c r="F960" i="260" a="1"/>
  <c r="F961" i="260" a="1"/>
  <c r="F962" i="260" a="1"/>
  <c r="F963" i="260" a="1"/>
  <c r="F964" i="260" a="1"/>
  <c r="F965" i="260" a="1"/>
  <c r="F966" i="260" a="1"/>
  <c r="F967" i="260" a="1"/>
  <c r="F968" i="260" a="1"/>
  <c r="F969" i="260" a="1"/>
  <c r="F970" i="260" a="1"/>
  <c r="F971" i="260" a="1"/>
  <c r="F972" i="260" a="1"/>
  <c r="F973" i="260" a="1"/>
  <c r="F974" i="260" a="1"/>
  <c r="F975" i="260" a="1"/>
  <c r="F976" i="260" a="1"/>
  <c r="F977" i="260" a="1"/>
  <c r="F978" i="260" a="1"/>
  <c r="F979" i="260" a="1"/>
  <c r="F980" i="260" a="1"/>
  <c r="F981" i="260" a="1"/>
  <c r="F982" i="260" a="1"/>
  <c r="F983" i="260" a="1"/>
  <c r="F984" i="260" a="1"/>
  <c r="F985" i="260" a="1"/>
  <c r="F986" i="260" a="1"/>
  <c r="F987" i="260" a="1"/>
  <c r="F988" i="260" a="1"/>
  <c r="F989" i="260" a="1"/>
  <c r="F990" i="260" a="1"/>
  <c r="F991" i="260" a="1"/>
  <c r="F992" i="260" a="1"/>
  <c r="F993" i="260" a="1"/>
  <c r="F994" i="260" a="1"/>
  <c r="F995" i="260" a="1"/>
  <c r="F996" i="260" a="1"/>
  <c r="F997" i="260" a="1"/>
  <c r="F998" i="260" a="1"/>
  <c r="F999" i="260" a="1"/>
  <c r="F1000" i="260" a="1"/>
  <c r="F1001" i="260" a="1"/>
  <c r="F1002" i="260" a="1"/>
  <c r="F1003" i="260" a="1"/>
  <c r="F1004" i="260" a="1"/>
  <c r="F1005" i="260" a="1"/>
  <c r="F1006" i="260" a="1"/>
  <c r="F1007" i="260" a="1"/>
  <c r="F1008" i="260" a="1"/>
  <c r="F1009" i="260" a="1"/>
  <c r="F1010" i="260" a="1"/>
  <c r="F935" i="260"/>
  <c r="F936" i="260"/>
  <c r="F937" i="260"/>
  <c r="F938" i="260"/>
  <c r="F939" i="260"/>
  <c r="F940" i="260"/>
  <c r="F941" i="260"/>
  <c r="F942" i="260"/>
  <c r="F943" i="260"/>
  <c r="F944" i="260"/>
  <c r="F945" i="260"/>
  <c r="F946" i="260"/>
  <c r="F947" i="260"/>
  <c r="F948" i="260"/>
  <c r="F949" i="260"/>
  <c r="F950" i="260"/>
  <c r="F951" i="260"/>
  <c r="F952" i="260"/>
  <c r="F953" i="260"/>
  <c r="F954" i="260"/>
  <c r="F955" i="260"/>
  <c r="F956" i="260"/>
  <c r="F957" i="260"/>
  <c r="F958" i="260"/>
  <c r="F959" i="260"/>
  <c r="F960" i="260"/>
  <c r="F961" i="260"/>
  <c r="F962" i="260"/>
  <c r="F963" i="260"/>
  <c r="F964" i="260"/>
  <c r="F965" i="260"/>
  <c r="F966" i="260"/>
  <c r="F967" i="260"/>
  <c r="F968" i="260"/>
  <c r="F969" i="260"/>
  <c r="F970" i="260"/>
  <c r="F971" i="260"/>
  <c r="F972" i="260"/>
  <c r="F973" i="260"/>
  <c r="F974" i="260"/>
  <c r="F975" i="260"/>
  <c r="F976" i="260"/>
  <c r="F977" i="260"/>
  <c r="F978" i="260"/>
  <c r="F979" i="260"/>
  <c r="F980" i="260"/>
  <c r="F981" i="260"/>
  <c r="F982" i="260"/>
  <c r="F983" i="260"/>
  <c r="F984" i="260"/>
  <c r="F985" i="260"/>
  <c r="F986" i="260"/>
  <c r="F987" i="260"/>
  <c r="F988" i="260"/>
  <c r="F989" i="260"/>
  <c r="F990" i="260"/>
  <c r="F991" i="260"/>
  <c r="F992" i="260"/>
  <c r="F993" i="260"/>
  <c r="F994" i="260"/>
  <c r="F995" i="260"/>
  <c r="F996" i="260"/>
  <c r="F997" i="260"/>
  <c r="F998" i="260"/>
  <c r="F999" i="260"/>
  <c r="F1000" i="260"/>
  <c r="F1001" i="260"/>
  <c r="F1002" i="260"/>
  <c r="F1003" i="260"/>
  <c r="F1004" i="260"/>
  <c r="F1005" i="260"/>
  <c r="F1006" i="260"/>
  <c r="F1007" i="260"/>
  <c r="F1008" i="260"/>
  <c r="F1009" i="260"/>
  <c r="F1010" i="260"/>
  <c r="F1432" i="260" a="1"/>
  <c r="F1432" i="260"/>
  <c r="F1433" i="260" a="1"/>
  <c r="F1433" i="260"/>
  <c r="F1434" i="260" a="1"/>
  <c r="F1435" i="260" a="1"/>
  <c r="F1436" i="260" a="1"/>
  <c r="F1437" i="260" a="1"/>
  <c r="F1438" i="260" a="1"/>
  <c r="F1439" i="260" a="1"/>
  <c r="F1440" i="260" a="1"/>
  <c r="F1441" i="260" a="1"/>
  <c r="F1442" i="260" a="1"/>
  <c r="F1443" i="260" a="1"/>
  <c r="F1444" i="260" a="1"/>
  <c r="F1445" i="260" a="1"/>
  <c r="F1446" i="260" a="1"/>
  <c r="F1447" i="260" a="1"/>
  <c r="F1448" i="260" a="1"/>
  <c r="F1449" i="260" a="1"/>
  <c r="F1450" i="260" a="1"/>
  <c r="F1451" i="260" a="1"/>
  <c r="F1452" i="260" a="1"/>
  <c r="F1453" i="260" a="1"/>
  <c r="F1454" i="260" a="1"/>
  <c r="F1455" i="260" a="1"/>
  <c r="F1456" i="260" a="1"/>
  <c r="F1457" i="260" a="1"/>
  <c r="F1458" i="260" a="1"/>
  <c r="F1459" i="260" a="1"/>
  <c r="F1460" i="260" a="1"/>
  <c r="F1461" i="260" a="1"/>
  <c r="F1462" i="260" a="1"/>
  <c r="F1463" i="260" a="1"/>
  <c r="F1464" i="260" a="1"/>
  <c r="F1465" i="260" a="1"/>
  <c r="F1466" i="260" a="1"/>
  <c r="F1467" i="260" a="1"/>
  <c r="F1468" i="260" a="1"/>
  <c r="F1469" i="260" a="1"/>
  <c r="F1470" i="260" a="1"/>
  <c r="F1471" i="260" a="1"/>
  <c r="F1472" i="260" a="1"/>
  <c r="F1473" i="260" a="1"/>
  <c r="F1474" i="260" a="1"/>
  <c r="F1475" i="260" a="1"/>
  <c r="F1476" i="260" a="1"/>
  <c r="F1477" i="260" a="1"/>
  <c r="F1478" i="260" a="1"/>
  <c r="F1479" i="260" a="1"/>
  <c r="F1480" i="260" a="1"/>
  <c r="F1481" i="260" a="1"/>
  <c r="F1482" i="260" a="1"/>
  <c r="F1483" i="260" a="1"/>
  <c r="F1484" i="260" a="1"/>
  <c r="F1485" i="260" a="1"/>
  <c r="F1486" i="260" a="1"/>
  <c r="F1487" i="260" a="1"/>
  <c r="F1488" i="260" a="1"/>
  <c r="F1489" i="260" a="1"/>
  <c r="F1490" i="260" a="1"/>
  <c r="F1491" i="260" a="1"/>
  <c r="F1492" i="260" a="1"/>
  <c r="F1493" i="260" a="1"/>
  <c r="F1494" i="260" a="1"/>
  <c r="F1495" i="260" a="1"/>
  <c r="F1496" i="260" a="1"/>
  <c r="F1497" i="260" a="1"/>
  <c r="F1498" i="260" a="1"/>
  <c r="F1499" i="260" a="1"/>
  <c r="F1500" i="260" a="1"/>
  <c r="F1501" i="260" a="1"/>
  <c r="F1502" i="260" a="1"/>
  <c r="F1503" i="260" a="1"/>
  <c r="F1504" i="260" a="1"/>
  <c r="F1505" i="260" a="1"/>
  <c r="F1506" i="260" a="1"/>
  <c r="F1507" i="260" a="1"/>
  <c r="F1508" i="260" a="1"/>
  <c r="F1509" i="260" a="1"/>
  <c r="F1510" i="260" a="1"/>
  <c r="F1434" i="260"/>
  <c r="F1435" i="260"/>
  <c r="F1436" i="260"/>
  <c r="F1437" i="260"/>
  <c r="F1438" i="260"/>
  <c r="F1439" i="260"/>
  <c r="F1440" i="260"/>
  <c r="F1441" i="260"/>
  <c r="F1442" i="260"/>
  <c r="F1443" i="260"/>
  <c r="F1444" i="260"/>
  <c r="F1445" i="260"/>
  <c r="F1446" i="260"/>
  <c r="F1447" i="260"/>
  <c r="F1448" i="260"/>
  <c r="F1449" i="260"/>
  <c r="F1450" i="260"/>
  <c r="F1451" i="260"/>
  <c r="F1452" i="260"/>
  <c r="F1453" i="260"/>
  <c r="F1454" i="260"/>
  <c r="F1455" i="260"/>
  <c r="F1456" i="260"/>
  <c r="F1457" i="260"/>
  <c r="F1458" i="260"/>
  <c r="F1459" i="260"/>
  <c r="F1460" i="260"/>
  <c r="F1461" i="260"/>
  <c r="F1462" i="260"/>
  <c r="F1463" i="260"/>
  <c r="F1464" i="260"/>
  <c r="F1465" i="260"/>
  <c r="F1466" i="260"/>
  <c r="F1467" i="260"/>
  <c r="F1468" i="260"/>
  <c r="F1469" i="260"/>
  <c r="F1470" i="260"/>
  <c r="F1471" i="260"/>
  <c r="F1472" i="260"/>
  <c r="F1473" i="260"/>
  <c r="F1474" i="260"/>
  <c r="F1475" i="260"/>
  <c r="F1476" i="260"/>
  <c r="F1477" i="260"/>
  <c r="F1478" i="260"/>
  <c r="F1479" i="260"/>
  <c r="F1480" i="260"/>
  <c r="F1481" i="260"/>
  <c r="F1482" i="260"/>
  <c r="F1483" i="260"/>
  <c r="F1484" i="260"/>
  <c r="F1485" i="260"/>
  <c r="F1486" i="260"/>
  <c r="F1487" i="260"/>
  <c r="F1488" i="260"/>
  <c r="F1489" i="260"/>
  <c r="F1490" i="260"/>
  <c r="F1491" i="260"/>
  <c r="F1492" i="260"/>
  <c r="F1493" i="260"/>
  <c r="F1494" i="260"/>
  <c r="F1495" i="260"/>
  <c r="F1496" i="260"/>
  <c r="F1497" i="260"/>
  <c r="F1498" i="260"/>
  <c r="F1499" i="260"/>
  <c r="F1500" i="260"/>
  <c r="F1501" i="260"/>
  <c r="F1502" i="260"/>
  <c r="F1503" i="260"/>
  <c r="F1504" i="260"/>
  <c r="F1505" i="260"/>
  <c r="F1506" i="260"/>
  <c r="F1507" i="260"/>
  <c r="F1508" i="260"/>
  <c r="F1509" i="260"/>
  <c r="F1510" i="260"/>
  <c r="F1513" i="260" a="1"/>
  <c r="F1513" i="260"/>
  <c r="F1514" i="260" a="1"/>
  <c r="F1514" i="260"/>
  <c r="F1515" i="260" a="1"/>
  <c r="F1516" i="260" a="1"/>
  <c r="F1517" i="260" a="1"/>
  <c r="F1518" i="260" a="1"/>
  <c r="F1519" i="260" a="1"/>
  <c r="F1520" i="260" a="1"/>
  <c r="F1515" i="260"/>
  <c r="F1516" i="260"/>
  <c r="F1517" i="260"/>
  <c r="F1518" i="260"/>
  <c r="F1519" i="260"/>
  <c r="F1520" i="260"/>
  <c r="F1522" i="260"/>
  <c r="F1812" i="260"/>
  <c r="F1527" i="260" a="1"/>
  <c r="F1527" i="260"/>
  <c r="F1528" i="260" a="1"/>
  <c r="F1528" i="260"/>
  <c r="F1529" i="260" a="1"/>
  <c r="F1530" i="260" a="1"/>
  <c r="F1531" i="260" a="1"/>
  <c r="F1532" i="260" a="1"/>
  <c r="F1533" i="260" a="1"/>
  <c r="F1534" i="260" a="1"/>
  <c r="F1535" i="260" a="1"/>
  <c r="F1536" i="260" a="1"/>
  <c r="F1537" i="260" a="1"/>
  <c r="F1538" i="260" a="1"/>
  <c r="F1539" i="260" a="1"/>
  <c r="F1540" i="260" a="1"/>
  <c r="F1541" i="260" a="1"/>
  <c r="F1542" i="260" a="1"/>
  <c r="F1543" i="260" a="1"/>
  <c r="F1544" i="260" a="1"/>
  <c r="F1545" i="260" a="1"/>
  <c r="F1546" i="260" a="1"/>
  <c r="F1547" i="260" a="1"/>
  <c r="F1548" i="260" a="1"/>
  <c r="F1549" i="260" a="1"/>
  <c r="F1550" i="260" a="1"/>
  <c r="F1551" i="260" a="1"/>
  <c r="F1552" i="260" a="1"/>
  <c r="F1553" i="260" a="1"/>
  <c r="F1554" i="260" a="1"/>
  <c r="F1555" i="260" a="1"/>
  <c r="F1556" i="260" a="1"/>
  <c r="F1557" i="260" a="1"/>
  <c r="F1558" i="260" a="1"/>
  <c r="F1559" i="260" a="1"/>
  <c r="F1560" i="260" a="1"/>
  <c r="F1561" i="260" a="1"/>
  <c r="F1562" i="260" a="1"/>
  <c r="F1563" i="260" a="1"/>
  <c r="F1564" i="260" a="1"/>
  <c r="F1565" i="260" a="1"/>
  <c r="F1566" i="260" a="1"/>
  <c r="F1567" i="260" a="1"/>
  <c r="F1568" i="260" a="1"/>
  <c r="F1569" i="260" a="1"/>
  <c r="F1570" i="260" a="1"/>
  <c r="F1571" i="260" a="1"/>
  <c r="F1572" i="260" a="1"/>
  <c r="F1573" i="260" a="1"/>
  <c r="F1574" i="260" a="1"/>
  <c r="F1575" i="260" a="1"/>
  <c r="F1576" i="260" a="1"/>
  <c r="F1577" i="260" a="1"/>
  <c r="F1578" i="260" a="1"/>
  <c r="F1579" i="260" a="1"/>
  <c r="F1580" i="260" a="1"/>
  <c r="F1581" i="260" a="1"/>
  <c r="F1582" i="260" a="1"/>
  <c r="F1583" i="260" a="1"/>
  <c r="F1584" i="260" a="1"/>
  <c r="F1585" i="260" a="1"/>
  <c r="F1586" i="260" a="1"/>
  <c r="F1587" i="260" a="1"/>
  <c r="F1588" i="260" a="1"/>
  <c r="F1589" i="260" a="1"/>
  <c r="F1590" i="260" a="1"/>
  <c r="F1591" i="260" a="1"/>
  <c r="F1592" i="260" a="1"/>
  <c r="F1593" i="260" a="1"/>
  <c r="F1594" i="260" a="1"/>
  <c r="F1595" i="260" a="1"/>
  <c r="F1596" i="260" a="1"/>
  <c r="F1597" i="260" a="1"/>
  <c r="F1598" i="260" a="1"/>
  <c r="F1599" i="260" a="1"/>
  <c r="F1600" i="260" a="1"/>
  <c r="F1601" i="260" a="1"/>
  <c r="F1602" i="260" a="1"/>
  <c r="F1603" i="260" a="1"/>
  <c r="F1604" i="260" a="1"/>
  <c r="F1605" i="260" a="1"/>
  <c r="F1529" i="260"/>
  <c r="F1530" i="260"/>
  <c r="F1531" i="260"/>
  <c r="F1532" i="260"/>
  <c r="F1533" i="260"/>
  <c r="F1534" i="260"/>
  <c r="F1535" i="260"/>
  <c r="F1536" i="260"/>
  <c r="F1537" i="260"/>
  <c r="F1538" i="260"/>
  <c r="F1539" i="260"/>
  <c r="F1540" i="260"/>
  <c r="F1541" i="260"/>
  <c r="F1542" i="260"/>
  <c r="F1543" i="260"/>
  <c r="F1544" i="260"/>
  <c r="F1545" i="260"/>
  <c r="F1546" i="260"/>
  <c r="F1547" i="260"/>
  <c r="F1548" i="260"/>
  <c r="F1549" i="260"/>
  <c r="F1550" i="260"/>
  <c r="F1551" i="260"/>
  <c r="F1552" i="260"/>
  <c r="F1553" i="260"/>
  <c r="F1554" i="260"/>
  <c r="F1555" i="260"/>
  <c r="F1556" i="260"/>
  <c r="F1557" i="260"/>
  <c r="F1558" i="260"/>
  <c r="F1559" i="260"/>
  <c r="F1560" i="260"/>
  <c r="F1561" i="260"/>
  <c r="F1562" i="260"/>
  <c r="F1563" i="260"/>
  <c r="F1564" i="260"/>
  <c r="F1565" i="260"/>
  <c r="F1566" i="260"/>
  <c r="F1567" i="260"/>
  <c r="F1568" i="260"/>
  <c r="F1569" i="260"/>
  <c r="F1570" i="260"/>
  <c r="F1571" i="260"/>
  <c r="F1572" i="260"/>
  <c r="F1573" i="260"/>
  <c r="F1574" i="260"/>
  <c r="F1575" i="260"/>
  <c r="F1576" i="260"/>
  <c r="F1577" i="260"/>
  <c r="F1578" i="260"/>
  <c r="F1579" i="260"/>
  <c r="F1580" i="260"/>
  <c r="F1581" i="260"/>
  <c r="F1582" i="260"/>
  <c r="F1583" i="260"/>
  <c r="F1584" i="260"/>
  <c r="F1585" i="260"/>
  <c r="F1586" i="260"/>
  <c r="F1587" i="260"/>
  <c r="F1588" i="260"/>
  <c r="F1589" i="260"/>
  <c r="F1590" i="260"/>
  <c r="F1591" i="260"/>
  <c r="F1592" i="260"/>
  <c r="F1593" i="260"/>
  <c r="F1594" i="260"/>
  <c r="F1595" i="260"/>
  <c r="F1596" i="260"/>
  <c r="F1597" i="260"/>
  <c r="F1598" i="260"/>
  <c r="F1599" i="260"/>
  <c r="F1600" i="260"/>
  <c r="F1601" i="260"/>
  <c r="F1602" i="260"/>
  <c r="F1603" i="260"/>
  <c r="F1604" i="260"/>
  <c r="F1605" i="260"/>
  <c r="F1608" i="260" a="1"/>
  <c r="F1608" i="260"/>
  <c r="F1609" i="260" a="1"/>
  <c r="F1609" i="260"/>
  <c r="F1610" i="260" a="1"/>
  <c r="F1611" i="260" a="1"/>
  <c r="F1612" i="260" a="1"/>
  <c r="F1613" i="260" a="1"/>
  <c r="F1614" i="260" a="1"/>
  <c r="F1615" i="260" a="1"/>
  <c r="F1610" i="260"/>
  <c r="F1611" i="260"/>
  <c r="F1612" i="260"/>
  <c r="F1613" i="260"/>
  <c r="F1614" i="260"/>
  <c r="F1615" i="260"/>
  <c r="F1617" i="260"/>
  <c r="F1813" i="260"/>
  <c r="F1621" i="260" a="1"/>
  <c r="F1621" i="260"/>
  <c r="F1622" i="260" a="1"/>
  <c r="F1622" i="260"/>
  <c r="F1623" i="260" a="1"/>
  <c r="F1624" i="260" a="1"/>
  <c r="F1625" i="260" a="1"/>
  <c r="F1626" i="260" a="1"/>
  <c r="F1627" i="260" a="1"/>
  <c r="F1628" i="260" a="1"/>
  <c r="F1629" i="260" a="1"/>
  <c r="F1630" i="260" a="1"/>
  <c r="F1631" i="260" a="1"/>
  <c r="F1632" i="260" a="1"/>
  <c r="F1633" i="260" a="1"/>
  <c r="F1634" i="260" a="1"/>
  <c r="F1635" i="260" a="1"/>
  <c r="F1636" i="260" a="1"/>
  <c r="F1637" i="260" a="1"/>
  <c r="F1638" i="260" a="1"/>
  <c r="F1639" i="260" a="1"/>
  <c r="F1640" i="260" a="1"/>
  <c r="F1641" i="260" a="1"/>
  <c r="F1642" i="260" a="1"/>
  <c r="F1643" i="260" a="1"/>
  <c r="F1644" i="260" a="1"/>
  <c r="F1645" i="260" a="1"/>
  <c r="F1646" i="260" a="1"/>
  <c r="F1647" i="260" a="1"/>
  <c r="F1648" i="260" a="1"/>
  <c r="F1649" i="260" a="1"/>
  <c r="F1650" i="260" a="1"/>
  <c r="F1651" i="260" a="1"/>
  <c r="F1652" i="260" a="1"/>
  <c r="F1653" i="260" a="1"/>
  <c r="F1654" i="260" a="1"/>
  <c r="F1655" i="260" a="1"/>
  <c r="F1656" i="260" a="1"/>
  <c r="F1657" i="260" a="1"/>
  <c r="F1658" i="260" a="1"/>
  <c r="F1659" i="260" a="1"/>
  <c r="F1660" i="260" a="1"/>
  <c r="F1661" i="260" a="1"/>
  <c r="F1662" i="260" a="1"/>
  <c r="F1663" i="260" a="1"/>
  <c r="F1664" i="260" a="1"/>
  <c r="F1665" i="260" a="1"/>
  <c r="F1666" i="260" a="1"/>
  <c r="F1667" i="260" a="1"/>
  <c r="F1668" i="260" a="1"/>
  <c r="F1669" i="260" a="1"/>
  <c r="F1670" i="260" a="1"/>
  <c r="F1671" i="260" a="1"/>
  <c r="F1672" i="260" a="1"/>
  <c r="F1673" i="260" a="1"/>
  <c r="F1674" i="260" a="1"/>
  <c r="F1675" i="260" a="1"/>
  <c r="F1676" i="260" a="1"/>
  <c r="F1677" i="260" a="1"/>
  <c r="F1678" i="260" a="1"/>
  <c r="F1679" i="260" a="1"/>
  <c r="F1680" i="260" a="1"/>
  <c r="F1681" i="260" a="1"/>
  <c r="F1682" i="260" a="1"/>
  <c r="F1683" i="260" a="1"/>
  <c r="F1684" i="260" a="1"/>
  <c r="F1685" i="260" a="1"/>
  <c r="F1686" i="260" a="1"/>
  <c r="F1687" i="260" a="1"/>
  <c r="F1688" i="260" a="1"/>
  <c r="F1689" i="260" a="1"/>
  <c r="F1690" i="260" a="1"/>
  <c r="F1691" i="260" a="1"/>
  <c r="F1692" i="260" a="1"/>
  <c r="F1693" i="260" a="1"/>
  <c r="F1694" i="260" a="1"/>
  <c r="F1695" i="260" a="1"/>
  <c r="F1696" i="260" a="1"/>
  <c r="F1697" i="260" a="1"/>
  <c r="F1698" i="260" a="1"/>
  <c r="F1699" i="260" a="1"/>
  <c r="F1623" i="260"/>
  <c r="F1624" i="260"/>
  <c r="F1625" i="260"/>
  <c r="F1626" i="260"/>
  <c r="F1627" i="260"/>
  <c r="F1628" i="260"/>
  <c r="F1629" i="260"/>
  <c r="F1630" i="260"/>
  <c r="F1631" i="260"/>
  <c r="F1632" i="260"/>
  <c r="F1633" i="260"/>
  <c r="F1634" i="260"/>
  <c r="F1635" i="260"/>
  <c r="F1636" i="260"/>
  <c r="F1637" i="260"/>
  <c r="F1638" i="260"/>
  <c r="F1639" i="260"/>
  <c r="F1640" i="260"/>
  <c r="F1641" i="260"/>
  <c r="F1642" i="260"/>
  <c r="F1643" i="260"/>
  <c r="F1644" i="260"/>
  <c r="F1645" i="260"/>
  <c r="F1646" i="260"/>
  <c r="F1647" i="260"/>
  <c r="F1648" i="260"/>
  <c r="F1649" i="260"/>
  <c r="F1650" i="260"/>
  <c r="F1651" i="260"/>
  <c r="F1652" i="260"/>
  <c r="F1653" i="260"/>
  <c r="F1654" i="260"/>
  <c r="F1655" i="260"/>
  <c r="F1656" i="260"/>
  <c r="F1657" i="260"/>
  <c r="F1658" i="260"/>
  <c r="F1659" i="260"/>
  <c r="F1660" i="260"/>
  <c r="F1661" i="260"/>
  <c r="F1662" i="260"/>
  <c r="F1663" i="260"/>
  <c r="F1664" i="260"/>
  <c r="F1665" i="260"/>
  <c r="F1666" i="260"/>
  <c r="F1667" i="260"/>
  <c r="F1668" i="260"/>
  <c r="F1669" i="260"/>
  <c r="F1670" i="260"/>
  <c r="F1671" i="260"/>
  <c r="F1672" i="260"/>
  <c r="F1673" i="260"/>
  <c r="F1674" i="260"/>
  <c r="F1675" i="260"/>
  <c r="F1676" i="260"/>
  <c r="F1677" i="260"/>
  <c r="F1678" i="260"/>
  <c r="F1679" i="260"/>
  <c r="F1680" i="260"/>
  <c r="F1681" i="260"/>
  <c r="F1682" i="260"/>
  <c r="F1683" i="260"/>
  <c r="F1684" i="260"/>
  <c r="F1685" i="260"/>
  <c r="F1686" i="260"/>
  <c r="F1687" i="260"/>
  <c r="F1688" i="260"/>
  <c r="F1689" i="260"/>
  <c r="F1690" i="260"/>
  <c r="F1691" i="260"/>
  <c r="F1692" i="260"/>
  <c r="F1693" i="260"/>
  <c r="F1694" i="260"/>
  <c r="F1695" i="260"/>
  <c r="F1696" i="260"/>
  <c r="F1697" i="260"/>
  <c r="F1698" i="260"/>
  <c r="F1699" i="260"/>
  <c r="F1702" i="260" a="1"/>
  <c r="F1702" i="260"/>
  <c r="F1703" i="260" a="1"/>
  <c r="F1703" i="260"/>
  <c r="F1704" i="260" a="1"/>
  <c r="F1705" i="260" a="1"/>
  <c r="F1706" i="260" a="1"/>
  <c r="F1707" i="260" a="1"/>
  <c r="F1708" i="260" a="1"/>
  <c r="F1709" i="260" a="1"/>
  <c r="F1704" i="260"/>
  <c r="F1705" i="260"/>
  <c r="F1706" i="260"/>
  <c r="F1707" i="260"/>
  <c r="F1708" i="260"/>
  <c r="F1709" i="260"/>
  <c r="F1711" i="260"/>
  <c r="F1814" i="260"/>
  <c r="F1820" i="260"/>
  <c r="M972" i="260" a="1"/>
  <c r="M972" i="260"/>
  <c r="O972" i="260" a="1"/>
  <c r="O972" i="260"/>
  <c r="N972" i="260"/>
  <c r="G964" i="260" a="1"/>
  <c r="G964" i="260"/>
  <c r="I964" i="260" a="1"/>
  <c r="I964" i="260"/>
  <c r="H964" i="260"/>
  <c r="I998" i="260" a="1"/>
  <c r="I998" i="260"/>
  <c r="K998" i="260" a="1"/>
  <c r="K998" i="260"/>
  <c r="J998" i="260"/>
  <c r="M936" i="260" a="1"/>
  <c r="M936" i="260"/>
  <c r="O936" i="260" a="1"/>
  <c r="O936" i="260"/>
  <c r="N936" i="260"/>
  <c r="I969" i="260" a="1"/>
  <c r="I969" i="260"/>
  <c r="K969" i="260" a="1"/>
  <c r="K969" i="260"/>
  <c r="J969" i="260"/>
  <c r="G980" i="260" a="1"/>
  <c r="G980" i="260"/>
  <c r="I980" i="260" a="1"/>
  <c r="I980" i="260"/>
  <c r="H980" i="260"/>
  <c r="G994" i="260" a="1"/>
  <c r="G994" i="260"/>
  <c r="I994" i="260" a="1"/>
  <c r="I994" i="260"/>
  <c r="H994" i="260"/>
  <c r="G959" i="260" a="1"/>
  <c r="G959" i="260"/>
  <c r="I959" i="260" a="1"/>
  <c r="I959" i="260"/>
  <c r="H959" i="260"/>
  <c r="G941" i="260" a="1"/>
  <c r="G941" i="260"/>
  <c r="I941" i="260" a="1"/>
  <c r="I941" i="260"/>
  <c r="H941" i="260"/>
  <c r="M986" i="260" a="1"/>
  <c r="M986" i="260"/>
  <c r="O986" i="260" a="1"/>
  <c r="O986" i="260"/>
  <c r="N986" i="260"/>
  <c r="I973" i="260" a="1"/>
  <c r="I973" i="260"/>
  <c r="K973" i="260" a="1"/>
  <c r="K973" i="260"/>
  <c r="J973" i="260"/>
  <c r="K941" i="260" a="1"/>
  <c r="K941" i="260"/>
  <c r="M941" i="260" a="1"/>
  <c r="M941" i="260"/>
  <c r="L941" i="260"/>
  <c r="I992" i="260" a="1"/>
  <c r="I992" i="260"/>
  <c r="K992" i="260" a="1"/>
  <c r="K992" i="260"/>
  <c r="J992" i="260"/>
  <c r="K963" i="260" a="1"/>
  <c r="K963" i="260"/>
  <c r="M963" i="260" a="1"/>
  <c r="M963" i="260"/>
  <c r="L963" i="260"/>
  <c r="I952" i="260" a="1"/>
  <c r="I952" i="260"/>
  <c r="K952" i="260" a="1"/>
  <c r="K952" i="260"/>
  <c r="J952" i="260"/>
  <c r="G1000" i="260" a="1"/>
  <c r="G1000" i="260"/>
  <c r="I1000" i="260" a="1"/>
  <c r="I1000" i="260"/>
  <c r="H1000" i="260"/>
  <c r="K1004" i="260" a="1"/>
  <c r="K1004" i="260"/>
  <c r="M1004" i="260" a="1"/>
  <c r="M1004" i="260"/>
  <c r="L1004" i="260"/>
  <c r="G963" i="260" a="1"/>
  <c r="G963" i="260"/>
  <c r="I963" i="260" a="1"/>
  <c r="I963" i="260"/>
  <c r="H963" i="260"/>
  <c r="I976" i="260" a="1"/>
  <c r="I976" i="260"/>
  <c r="K976" i="260" a="1"/>
  <c r="K976" i="260"/>
  <c r="J976" i="260"/>
  <c r="I974" i="260" a="1"/>
  <c r="I974" i="260"/>
  <c r="K974" i="260" a="1"/>
  <c r="K974" i="260"/>
  <c r="J974" i="260"/>
  <c r="M971" i="260" a="1"/>
  <c r="M971" i="260"/>
  <c r="O971" i="260" a="1"/>
  <c r="O971" i="260"/>
  <c r="N971" i="260"/>
  <c r="M937" i="260" a="1"/>
  <c r="M937" i="260"/>
  <c r="O937" i="260" a="1"/>
  <c r="O937" i="260"/>
  <c r="N937" i="260"/>
  <c r="K934" i="260" a="1"/>
  <c r="K934" i="260"/>
  <c r="M934" i="260" a="1"/>
  <c r="M934" i="260"/>
  <c r="L934" i="260"/>
  <c r="K995" i="260" a="1"/>
  <c r="K995" i="260"/>
  <c r="M995" i="260" a="1"/>
  <c r="M995" i="260"/>
  <c r="L995" i="260"/>
  <c r="I978" i="260" a="1"/>
  <c r="I978" i="260"/>
  <c r="K978" i="260" a="1"/>
  <c r="K978" i="260"/>
  <c r="J978" i="260"/>
  <c r="G1003" i="260" a="1"/>
  <c r="G1003" i="260"/>
  <c r="I1003" i="260" a="1"/>
  <c r="I1003" i="260"/>
  <c r="H1003" i="260"/>
  <c r="M984" i="260" a="1"/>
  <c r="M984" i="260"/>
  <c r="O984" i="260" a="1"/>
  <c r="O984" i="260"/>
  <c r="N984" i="260"/>
  <c r="G1005" i="260" a="1"/>
  <c r="G1005" i="260"/>
  <c r="I1005" i="260" a="1"/>
  <c r="I1005" i="260"/>
  <c r="H1005" i="260"/>
  <c r="I993" i="260" a="1"/>
  <c r="I993" i="260"/>
  <c r="K993" i="260" a="1"/>
  <c r="K993" i="260"/>
  <c r="J993" i="260"/>
  <c r="G997" i="260" a="1"/>
  <c r="G997" i="260"/>
  <c r="I997" i="260" a="1"/>
  <c r="I997" i="260"/>
  <c r="H997" i="260"/>
  <c r="I1001" i="260" a="1"/>
  <c r="I1001" i="260"/>
  <c r="K1001" i="260" a="1"/>
  <c r="K1001" i="260"/>
  <c r="J1001" i="260"/>
  <c r="I972" i="260" a="1"/>
  <c r="I972" i="260"/>
  <c r="K972" i="260" a="1"/>
  <c r="K972" i="260"/>
  <c r="J972" i="260"/>
  <c r="K933" i="260" a="1"/>
  <c r="K933" i="260"/>
  <c r="M933" i="260" a="1"/>
  <c r="M933" i="260"/>
  <c r="L933" i="260"/>
  <c r="K1010" i="260" a="1"/>
  <c r="K1010" i="260"/>
  <c r="M1010" i="260" a="1"/>
  <c r="M1010" i="260"/>
  <c r="L1010" i="260"/>
  <c r="K1005" i="260" a="1"/>
  <c r="K1005" i="260"/>
  <c r="J1005" i="260"/>
  <c r="I1002" i="260" a="1"/>
  <c r="I1002" i="260"/>
  <c r="K1002" i="260" a="1"/>
  <c r="K1002" i="260"/>
  <c r="J1002" i="260"/>
  <c r="G940" i="260" a="1"/>
  <c r="G940" i="260"/>
  <c r="I940" i="260" a="1"/>
  <c r="I940" i="260"/>
  <c r="H940" i="260"/>
  <c r="I984" i="260" a="1"/>
  <c r="I984" i="260"/>
  <c r="K984" i="260" a="1"/>
  <c r="K984" i="260"/>
  <c r="J984" i="260"/>
  <c r="K942" i="260" a="1"/>
  <c r="K942" i="260"/>
  <c r="M942" i="260" a="1"/>
  <c r="M942" i="260"/>
  <c r="L942" i="260"/>
  <c r="G955" i="260" a="1"/>
  <c r="G955" i="260"/>
  <c r="I955" i="260" a="1"/>
  <c r="I955" i="260"/>
  <c r="H955" i="260"/>
  <c r="I957" i="260" a="1"/>
  <c r="I957" i="260"/>
  <c r="K957" i="260" a="1"/>
  <c r="K957" i="260"/>
  <c r="J957" i="260"/>
  <c r="I951" i="260" a="1"/>
  <c r="I951" i="260"/>
  <c r="K951" i="260" a="1"/>
  <c r="K951" i="260"/>
  <c r="J951" i="260"/>
  <c r="G933" i="260" a="1"/>
  <c r="G933" i="260"/>
  <c r="I933" i="260" a="1"/>
  <c r="I933" i="260"/>
  <c r="H933" i="260"/>
  <c r="K959" i="260" a="1"/>
  <c r="K959" i="260"/>
  <c r="M959" i="260" a="1"/>
  <c r="M959" i="260"/>
  <c r="L959" i="260"/>
  <c r="M998" i="260" a="1"/>
  <c r="M998" i="260"/>
  <c r="L998" i="260"/>
  <c r="I965" i="260" a="1"/>
  <c r="I965" i="260"/>
  <c r="K965" i="260" a="1"/>
  <c r="K965" i="260"/>
  <c r="J965" i="260"/>
  <c r="K1000" i="260" a="1"/>
  <c r="K1000" i="260"/>
  <c r="M1000" i="260" a="1"/>
  <c r="M1000" i="260"/>
  <c r="L1000" i="260"/>
  <c r="K991" i="260" a="1"/>
  <c r="K991" i="260"/>
  <c r="M991" i="260" a="1"/>
  <c r="M991" i="260"/>
  <c r="L991" i="260"/>
  <c r="O941" i="260" a="1"/>
  <c r="O941" i="260"/>
  <c r="N941" i="260"/>
  <c r="K960" i="260" a="1"/>
  <c r="K960" i="260"/>
  <c r="M960" i="260" a="1"/>
  <c r="M960" i="260"/>
  <c r="L960" i="260"/>
  <c r="G990" i="260" a="1"/>
  <c r="G990" i="260"/>
  <c r="I990" i="260" a="1"/>
  <c r="I990" i="260"/>
  <c r="H990" i="260"/>
  <c r="K1008" i="260" a="1"/>
  <c r="K1008" i="260"/>
  <c r="M1008" i="260" a="1"/>
  <c r="M1008" i="260"/>
  <c r="L1008" i="260"/>
  <c r="G967" i="260" a="1"/>
  <c r="G967" i="260"/>
  <c r="I967" i="260" a="1"/>
  <c r="I967" i="260"/>
  <c r="H967" i="260"/>
  <c r="M940" i="260" a="1"/>
  <c r="M940" i="260"/>
  <c r="O940" i="260" a="1"/>
  <c r="O940" i="260"/>
  <c r="N940" i="260"/>
  <c r="K937" i="260" a="1"/>
  <c r="K937" i="260"/>
  <c r="L937" i="260"/>
  <c r="K997" i="260" a="1"/>
  <c r="K997" i="260"/>
  <c r="M997" i="260" a="1"/>
  <c r="M997" i="260"/>
  <c r="L997" i="260"/>
  <c r="K950" i="260" a="1"/>
  <c r="K950" i="260"/>
  <c r="M950" i="260" a="1"/>
  <c r="M950" i="260"/>
  <c r="L950" i="260"/>
  <c r="I961" i="260" a="1"/>
  <c r="I961" i="260"/>
  <c r="K961" i="260" a="1"/>
  <c r="K961" i="260"/>
  <c r="J961" i="260"/>
  <c r="K958" i="260" a="1"/>
  <c r="K958" i="260"/>
  <c r="M958" i="260" a="1"/>
  <c r="M958" i="260"/>
  <c r="L958" i="260"/>
  <c r="G934" i="260" a="1"/>
  <c r="G934" i="260"/>
  <c r="I934" i="260" a="1"/>
  <c r="I934" i="260"/>
  <c r="H934" i="260"/>
  <c r="J1000" i="260"/>
  <c r="I966" i="260" a="1"/>
  <c r="I966" i="260"/>
  <c r="K966" i="260" a="1"/>
  <c r="K966" i="260"/>
  <c r="J966" i="260"/>
  <c r="M1001" i="260" a="1"/>
  <c r="M1001" i="260"/>
  <c r="L1001" i="260"/>
  <c r="G989" i="260" a="1"/>
  <c r="G989" i="260"/>
  <c r="I989" i="260" a="1"/>
  <c r="I989" i="260"/>
  <c r="H989" i="260"/>
  <c r="G984" i="260" a="1"/>
  <c r="G984" i="260"/>
  <c r="H984" i="260"/>
  <c r="I986" i="260" a="1"/>
  <c r="I986" i="260"/>
  <c r="K986" i="260" a="1"/>
  <c r="K986" i="260"/>
  <c r="J986" i="260"/>
  <c r="G961" i="260" a="1"/>
  <c r="G961" i="260"/>
  <c r="H961" i="260"/>
  <c r="I944" i="260" a="1"/>
  <c r="I944" i="260"/>
  <c r="K944" i="260" a="1"/>
  <c r="K944" i="260"/>
  <c r="J944" i="260"/>
  <c r="K945" i="260" a="1"/>
  <c r="K945" i="260"/>
  <c r="M945" i="260" a="1"/>
  <c r="M945" i="260"/>
  <c r="L945" i="260"/>
  <c r="G968" i="260" a="1"/>
  <c r="G968" i="260"/>
  <c r="I968" i="260" a="1"/>
  <c r="I968" i="260"/>
  <c r="H968" i="260"/>
  <c r="G969" i="260" a="1"/>
  <c r="G969" i="260"/>
  <c r="H969" i="260"/>
  <c r="I958" i="260" a="1"/>
  <c r="I958" i="260"/>
  <c r="J958" i="260"/>
  <c r="L972" i="260"/>
  <c r="K988" i="260" a="1"/>
  <c r="K988" i="260"/>
  <c r="M988" i="260" a="1"/>
  <c r="M988" i="260"/>
  <c r="L988" i="260"/>
  <c r="J963" i="260"/>
  <c r="K938" i="260" a="1"/>
  <c r="K938" i="260"/>
  <c r="M938" i="260" a="1"/>
  <c r="M938" i="260"/>
  <c r="L938" i="260"/>
  <c r="G973" i="260" a="1"/>
  <c r="G973" i="260"/>
  <c r="H973" i="260"/>
  <c r="M968" i="260" a="1"/>
  <c r="M968" i="260"/>
  <c r="O968" i="260" a="1"/>
  <c r="O968" i="260"/>
  <c r="N968" i="260"/>
  <c r="K953" i="260" a="1"/>
  <c r="K953" i="260"/>
  <c r="M953" i="260" a="1"/>
  <c r="M953" i="260"/>
  <c r="L953" i="260"/>
  <c r="G983" i="260" a="1"/>
  <c r="G983" i="260"/>
  <c r="I983" i="260" a="1"/>
  <c r="I983" i="260"/>
  <c r="H983" i="260"/>
  <c r="M978" i="260" a="1"/>
  <c r="M978" i="260"/>
  <c r="O978" i="260" a="1"/>
  <c r="O978" i="260"/>
  <c r="N978" i="260"/>
  <c r="M955" i="260" a="1"/>
  <c r="M955" i="260"/>
  <c r="O955" i="260" a="1"/>
  <c r="O955" i="260"/>
  <c r="N955" i="260"/>
  <c r="M1002" i="260" a="1"/>
  <c r="M1002" i="260"/>
  <c r="L1002" i="260"/>
  <c r="I999" i="260" a="1"/>
  <c r="I999" i="260"/>
  <c r="K999" i="260" a="1"/>
  <c r="K999" i="260"/>
  <c r="J999" i="260"/>
  <c r="K962" i="260" a="1"/>
  <c r="K962" i="260"/>
  <c r="M962" i="260" a="1"/>
  <c r="M962" i="260"/>
  <c r="L962" i="260"/>
  <c r="M952" i="260" a="1"/>
  <c r="M952" i="260"/>
  <c r="O952" i="260" a="1"/>
  <c r="O952" i="260"/>
  <c r="N952" i="260"/>
  <c r="G935" i="260" a="1"/>
  <c r="G935" i="260"/>
  <c r="I935" i="260" a="1"/>
  <c r="I935" i="260"/>
  <c r="H935" i="260"/>
  <c r="O991" i="260" a="1"/>
  <c r="O991" i="260"/>
  <c r="N991" i="260"/>
  <c r="O959" i="260" a="1"/>
  <c r="O959" i="260"/>
  <c r="N959" i="260"/>
  <c r="M969" i="260" a="1"/>
  <c r="M969" i="260"/>
  <c r="L969" i="260"/>
  <c r="O1001" i="260" a="1"/>
  <c r="O1001" i="260"/>
  <c r="N1001" i="260"/>
  <c r="G987" i="260" a="1"/>
  <c r="G987" i="260"/>
  <c r="I987" i="260" a="1"/>
  <c r="I987" i="260"/>
  <c r="H987" i="260"/>
  <c r="M965" i="260" a="1"/>
  <c r="M965" i="260"/>
  <c r="L965" i="260"/>
  <c r="O997" i="260" a="1"/>
  <c r="O997" i="260"/>
  <c r="N997" i="260"/>
  <c r="L986" i="260"/>
  <c r="J997" i="260"/>
  <c r="M964" i="260" a="1"/>
  <c r="M964" i="260"/>
  <c r="O964" i="260" a="1"/>
  <c r="O964" i="260"/>
  <c r="N964" i="260"/>
  <c r="O1004" i="260" a="1"/>
  <c r="O1004" i="260"/>
  <c r="N1004" i="260"/>
  <c r="O942" i="260" a="1"/>
  <c r="O942" i="260"/>
  <c r="N942" i="260"/>
  <c r="K987" i="260" a="1"/>
  <c r="K987" i="260"/>
  <c r="M987" i="260" a="1"/>
  <c r="M987" i="260"/>
  <c r="L987" i="260"/>
  <c r="K982" i="260" a="1"/>
  <c r="K982" i="260"/>
  <c r="M982" i="260" a="1"/>
  <c r="M982" i="260"/>
  <c r="L982" i="260"/>
  <c r="M992" i="260" a="1"/>
  <c r="M992" i="260"/>
  <c r="O992" i="260" a="1"/>
  <c r="O992" i="260"/>
  <c r="N992" i="260"/>
  <c r="I979" i="260" a="1"/>
  <c r="I979" i="260"/>
  <c r="K979" i="260" a="1"/>
  <c r="K979" i="260"/>
  <c r="J979" i="260"/>
  <c r="M974" i="260" a="1"/>
  <c r="M974" i="260"/>
  <c r="L974" i="260"/>
  <c r="I1006" i="260" a="1"/>
  <c r="I1006" i="260"/>
  <c r="K1006" i="260" a="1"/>
  <c r="K1006" i="260"/>
  <c r="J1006" i="260"/>
  <c r="K1003" i="260" a="1"/>
  <c r="K1003" i="260"/>
  <c r="M1003" i="260" a="1"/>
  <c r="M1003" i="260"/>
  <c r="L1003" i="260"/>
  <c r="M1005" i="260" a="1"/>
  <c r="M1005" i="260"/>
  <c r="L1005" i="260"/>
  <c r="I953" i="260" a="1"/>
  <c r="I953" i="260"/>
  <c r="J953" i="260"/>
  <c r="G957" i="260" a="1"/>
  <c r="G957" i="260"/>
  <c r="H957" i="260"/>
  <c r="K990" i="260" a="1"/>
  <c r="K990" i="260"/>
  <c r="J990" i="260"/>
  <c r="K980" i="260" a="1"/>
  <c r="K980" i="260"/>
  <c r="J980" i="260"/>
  <c r="K983" i="260" a="1"/>
  <c r="K983" i="260"/>
  <c r="J983" i="260"/>
  <c r="K946" i="260" a="1"/>
  <c r="K946" i="260"/>
  <c r="M946" i="260" a="1"/>
  <c r="M946" i="260"/>
  <c r="L946" i="260"/>
  <c r="K948" i="260" a="1"/>
  <c r="K948" i="260"/>
  <c r="M948" i="260" a="1"/>
  <c r="M948" i="260"/>
  <c r="L948" i="260"/>
  <c r="G996" i="260" a="1"/>
  <c r="G996" i="260"/>
  <c r="I996" i="260" a="1"/>
  <c r="I996" i="260"/>
  <c r="H996" i="260"/>
  <c r="G974" i="260" a="1"/>
  <c r="G974" i="260"/>
  <c r="H974" i="260"/>
  <c r="O1002" i="260" a="1"/>
  <c r="O1002" i="260"/>
  <c r="N1002" i="260"/>
  <c r="G966" i="260" a="1"/>
  <c r="G966" i="260"/>
  <c r="H966" i="260"/>
  <c r="I988" i="260" a="1"/>
  <c r="I988" i="260"/>
  <c r="J988" i="260"/>
  <c r="K935" i="260" a="1"/>
  <c r="K935" i="260"/>
  <c r="J935" i="260"/>
  <c r="O965" i="260" a="1"/>
  <c r="O965" i="260"/>
  <c r="N965" i="260"/>
  <c r="G950" i="260" a="1"/>
  <c r="G950" i="260"/>
  <c r="I950" i="260" a="1"/>
  <c r="I950" i="260"/>
  <c r="H950" i="260"/>
  <c r="K975" i="260" a="1"/>
  <c r="K975" i="260"/>
  <c r="M975" i="260" a="1"/>
  <c r="M975" i="260"/>
  <c r="L975" i="260"/>
  <c r="O934" i="260" a="1"/>
  <c r="O934" i="260"/>
  <c r="N934" i="260"/>
  <c r="I954" i="260" a="1"/>
  <c r="I954" i="260"/>
  <c r="K954" i="260" a="1"/>
  <c r="K954" i="260"/>
  <c r="J954" i="260"/>
  <c r="O1003" i="260" a="1"/>
  <c r="O1003" i="260"/>
  <c r="N1003" i="260"/>
  <c r="M939" i="260" a="1"/>
  <c r="M939" i="260"/>
  <c r="O939" i="260" a="1"/>
  <c r="O939" i="260"/>
  <c r="N939" i="260"/>
  <c r="I939" i="260" a="1"/>
  <c r="I939" i="260"/>
  <c r="K939" i="260" a="1"/>
  <c r="K939" i="260"/>
  <c r="J939" i="260"/>
  <c r="G939" i="260" a="1"/>
  <c r="G939" i="260"/>
  <c r="H939" i="260"/>
  <c r="G991" i="260" a="1"/>
  <c r="G991" i="260"/>
  <c r="I991" i="260" a="1"/>
  <c r="I991" i="260"/>
  <c r="H991" i="260"/>
  <c r="J991" i="260"/>
  <c r="M993" i="260" a="1"/>
  <c r="M993" i="260"/>
  <c r="O993" i="260" a="1"/>
  <c r="O993" i="260"/>
  <c r="N993" i="260"/>
  <c r="M994" i="260" a="1"/>
  <c r="M994" i="260"/>
  <c r="O994" i="260" a="1"/>
  <c r="O994" i="260"/>
  <c r="N994" i="260"/>
  <c r="K994" i="260" a="1"/>
  <c r="K994" i="260"/>
  <c r="L994" i="260"/>
  <c r="K977" i="260" a="1"/>
  <c r="K977" i="260"/>
  <c r="M977" i="260" a="1"/>
  <c r="M977" i="260"/>
  <c r="L977" i="260"/>
  <c r="I977" i="260" a="1"/>
  <c r="I977" i="260"/>
  <c r="J977" i="260"/>
  <c r="G981" i="260" a="1"/>
  <c r="G981" i="260"/>
  <c r="I981" i="260" a="1"/>
  <c r="I981" i="260"/>
  <c r="H981" i="260"/>
  <c r="K981" i="260" a="1"/>
  <c r="K981" i="260"/>
  <c r="J981" i="260"/>
  <c r="I956" i="260" a="1"/>
  <c r="I956" i="260"/>
  <c r="K956" i="260" a="1"/>
  <c r="K956" i="260"/>
  <c r="J956" i="260"/>
  <c r="L939" i="260"/>
  <c r="I1008" i="260" a="1"/>
  <c r="I1008" i="260"/>
  <c r="J1008" i="260"/>
  <c r="G1008" i="260" a="1"/>
  <c r="G1008" i="260"/>
  <c r="H1008" i="260"/>
  <c r="K970" i="260" a="1"/>
  <c r="K970" i="260"/>
  <c r="M970" i="260" a="1"/>
  <c r="M970" i="260"/>
  <c r="L970" i="260"/>
  <c r="K955" i="260" a="1"/>
  <c r="K955" i="260"/>
  <c r="J955" i="260"/>
  <c r="J934" i="260"/>
  <c r="M935" i="260" a="1"/>
  <c r="M935" i="260"/>
  <c r="L935" i="260"/>
  <c r="K989" i="260" a="1"/>
  <c r="K989" i="260"/>
  <c r="M989" i="260" a="1"/>
  <c r="M989" i="260"/>
  <c r="L989" i="260"/>
  <c r="K940" i="260" a="1"/>
  <c r="K940" i="260"/>
  <c r="L940" i="260"/>
  <c r="L978" i="260"/>
  <c r="J987" i="260"/>
  <c r="O977" i="260" a="1"/>
  <c r="O977" i="260"/>
  <c r="N977" i="260"/>
  <c r="G992" i="260" a="1"/>
  <c r="G992" i="260"/>
  <c r="H992" i="260"/>
  <c r="I942" i="260" a="1"/>
  <c r="I942" i="260"/>
  <c r="J942" i="260"/>
  <c r="I949" i="260" a="1"/>
  <c r="I949" i="260"/>
  <c r="K949" i="260" a="1"/>
  <c r="K949" i="260"/>
  <c r="J949" i="260"/>
  <c r="G970" i="260" a="1"/>
  <c r="G970" i="260"/>
  <c r="I970" i="260" a="1"/>
  <c r="I970" i="260"/>
  <c r="H970" i="260"/>
  <c r="G937" i="260" a="1"/>
  <c r="G937" i="260"/>
  <c r="I937" i="260" a="1"/>
  <c r="I937" i="260"/>
  <c r="H937" i="260"/>
  <c r="M999" i="260" a="1"/>
  <c r="M999" i="260"/>
  <c r="L999" i="260"/>
  <c r="G977" i="260" a="1"/>
  <c r="G977" i="260"/>
  <c r="H977" i="260"/>
  <c r="K971" i="260" a="1"/>
  <c r="K971" i="260"/>
  <c r="L971" i="260"/>
  <c r="G945" i="260" a="1"/>
  <c r="G945" i="260"/>
  <c r="I945" i="260" a="1"/>
  <c r="I945" i="260"/>
  <c r="H945" i="260"/>
  <c r="M949" i="260" a="1"/>
  <c r="M949" i="260"/>
  <c r="L949" i="260"/>
  <c r="M973" i="260" a="1"/>
  <c r="M973" i="260"/>
  <c r="L973" i="260"/>
  <c r="K967" i="260" a="1"/>
  <c r="K967" i="260"/>
  <c r="M967" i="260" a="1"/>
  <c r="M967" i="260"/>
  <c r="L967" i="260"/>
  <c r="M954" i="260" a="1"/>
  <c r="M954" i="260"/>
  <c r="O954" i="260" a="1"/>
  <c r="O954" i="260"/>
  <c r="N954" i="260"/>
  <c r="G958" i="260" a="1"/>
  <c r="G958" i="260"/>
  <c r="H958" i="260"/>
  <c r="O948" i="260" a="1"/>
  <c r="O948" i="260"/>
  <c r="N948" i="260"/>
  <c r="K996" i="260" a="1"/>
  <c r="K996" i="260"/>
  <c r="J996" i="260"/>
  <c r="K964" i="260" a="1"/>
  <c r="K964" i="260"/>
  <c r="J964" i="260"/>
  <c r="I982" i="260" a="1"/>
  <c r="I982" i="260"/>
  <c r="J982" i="260"/>
  <c r="I1009" i="260" a="1"/>
  <c r="I1009" i="260"/>
  <c r="K1009" i="260" a="1"/>
  <c r="K1009" i="260"/>
  <c r="J1009" i="260"/>
  <c r="J933" i="260"/>
  <c r="O975" i="260" a="1"/>
  <c r="O975" i="260"/>
  <c r="N975" i="260"/>
  <c r="G954" i="260" a="1"/>
  <c r="G954" i="260"/>
  <c r="H954" i="260"/>
  <c r="M1009" i="260" a="1"/>
  <c r="M1009" i="260"/>
  <c r="O1009" i="260" a="1"/>
  <c r="O1009" i="260"/>
  <c r="N1009" i="260"/>
  <c r="L964" i="260"/>
  <c r="O946" i="260" a="1"/>
  <c r="O946" i="260"/>
  <c r="N946" i="260"/>
  <c r="I985" i="260" a="1"/>
  <c r="I985" i="260"/>
  <c r="K985" i="260" a="1"/>
  <c r="K985" i="260"/>
  <c r="J985" i="260"/>
  <c r="K947" i="260" a="1"/>
  <c r="K947" i="260"/>
  <c r="M947" i="260" a="1"/>
  <c r="M947" i="260"/>
  <c r="L947" i="260"/>
  <c r="L955" i="260"/>
  <c r="M979" i="260" a="1"/>
  <c r="M979" i="260"/>
  <c r="L979" i="260"/>
  <c r="G962" i="260" a="1"/>
  <c r="G962" i="260"/>
  <c r="I962" i="260" a="1"/>
  <c r="I962" i="260"/>
  <c r="H962" i="260"/>
  <c r="I947" i="260" a="1"/>
  <c r="I947" i="260"/>
  <c r="J947" i="260"/>
  <c r="O988" i="260" a="1"/>
  <c r="O988" i="260"/>
  <c r="N988" i="260"/>
  <c r="O970" i="260" a="1"/>
  <c r="O970" i="260"/>
  <c r="N970" i="260"/>
  <c r="G946" i="260" a="1"/>
  <c r="G946" i="260"/>
  <c r="I946" i="260" a="1"/>
  <c r="I946" i="260"/>
  <c r="H946" i="260"/>
  <c r="J989" i="260"/>
  <c r="O958" i="260" a="1"/>
  <c r="O958" i="260"/>
  <c r="N958" i="260"/>
  <c r="O989" i="260" a="1"/>
  <c r="O989" i="260"/>
  <c r="N989" i="260"/>
  <c r="O935" i="260" a="1"/>
  <c r="O935" i="260"/>
  <c r="N935" i="260"/>
  <c r="K936" i="260" a="1"/>
  <c r="K936" i="260"/>
  <c r="L936" i="260"/>
  <c r="I938" i="260" a="1"/>
  <c r="I938" i="260"/>
  <c r="J938" i="260"/>
  <c r="O1010" i="260" a="1"/>
  <c r="O1010" i="260"/>
  <c r="N1010" i="260"/>
  <c r="O995" i="260" a="1"/>
  <c r="O995" i="260"/>
  <c r="N995" i="260"/>
  <c r="M956" i="260" a="1"/>
  <c r="M956" i="260"/>
  <c r="O956" i="260" a="1"/>
  <c r="O956" i="260"/>
  <c r="N956" i="260"/>
  <c r="G978" i="260" a="1"/>
  <c r="G978" i="260"/>
  <c r="H978" i="260"/>
  <c r="O945" i="260" a="1"/>
  <c r="O945" i="260"/>
  <c r="N945" i="260"/>
  <c r="I948" i="260" a="1"/>
  <c r="I948" i="260"/>
  <c r="J948" i="260"/>
  <c r="M980" i="260" a="1"/>
  <c r="M980" i="260"/>
  <c r="L980" i="260"/>
  <c r="M1006" i="260" a="1"/>
  <c r="M1006" i="260"/>
  <c r="O1006" i="260" a="1"/>
  <c r="O1006" i="260"/>
  <c r="N1006" i="260"/>
  <c r="M990" i="260" a="1"/>
  <c r="M990" i="260"/>
  <c r="L990" i="260"/>
  <c r="M966" i="260" a="1"/>
  <c r="M966" i="260"/>
  <c r="L966" i="260"/>
  <c r="G975" i="260" a="1"/>
  <c r="G975" i="260"/>
  <c r="I975" i="260" a="1"/>
  <c r="I975" i="260"/>
  <c r="H975" i="260"/>
  <c r="J946" i="260"/>
  <c r="I1004" i="260" a="1"/>
  <c r="I1004" i="260"/>
  <c r="J1004" i="260"/>
  <c r="J967" i="260"/>
  <c r="J940" i="260"/>
  <c r="G988" i="260" a="1"/>
  <c r="G988" i="260"/>
  <c r="H988" i="260"/>
  <c r="G971" i="260" a="1"/>
  <c r="G971" i="260"/>
  <c r="I971" i="260" a="1"/>
  <c r="I971" i="260"/>
  <c r="H971" i="260"/>
  <c r="O949" i="260" a="1"/>
  <c r="O949" i="260"/>
  <c r="N949" i="260"/>
  <c r="G1002" i="260" a="1"/>
  <c r="G1002" i="260"/>
  <c r="H1002" i="260"/>
  <c r="O990" i="260" a="1"/>
  <c r="O990" i="260"/>
  <c r="N990" i="260"/>
  <c r="J970" i="260"/>
  <c r="O938" i="260" a="1"/>
  <c r="O938" i="260"/>
  <c r="N938" i="260"/>
  <c r="M996" i="260" a="1"/>
  <c r="M996" i="260"/>
  <c r="L996" i="260"/>
  <c r="G1006" i="260" a="1"/>
  <c r="G1006" i="260"/>
  <c r="H1006" i="260"/>
  <c r="K968" i="260" a="1"/>
  <c r="K968" i="260"/>
  <c r="L968" i="260"/>
  <c r="I995" i="260" a="1"/>
  <c r="I995" i="260"/>
  <c r="J995" i="260"/>
  <c r="L1006" i="260"/>
  <c r="M983" i="260" a="1"/>
  <c r="M983" i="260"/>
  <c r="L983" i="260"/>
  <c r="G993" i="260" a="1"/>
  <c r="G993" i="260"/>
  <c r="H993" i="260"/>
  <c r="K943" i="260" a="1"/>
  <c r="K943" i="260"/>
  <c r="M943" i="260" a="1"/>
  <c r="M943" i="260"/>
  <c r="L943" i="260"/>
  <c r="O963" i="260" a="1"/>
  <c r="O963" i="260"/>
  <c r="N963" i="260"/>
  <c r="M976" i="260" a="1"/>
  <c r="M976" i="260"/>
  <c r="O976" i="260" a="1"/>
  <c r="O976" i="260"/>
  <c r="N976" i="260"/>
  <c r="K1007" i="260" a="1"/>
  <c r="K1007" i="260"/>
  <c r="M1007" i="260" a="1"/>
  <c r="M1007" i="260"/>
  <c r="L1007" i="260"/>
  <c r="I936" i="260" a="1"/>
  <c r="I936" i="260"/>
  <c r="J936" i="260"/>
  <c r="G948" i="260" a="1"/>
  <c r="G948" i="260"/>
  <c r="H948" i="260"/>
  <c r="M951" i="260" a="1"/>
  <c r="M951" i="260"/>
  <c r="L951" i="260"/>
  <c r="G995" i="260" a="1"/>
  <c r="G995" i="260"/>
  <c r="H995" i="260"/>
  <c r="L992" i="260"/>
  <c r="O1000" i="260" a="1"/>
  <c r="O1000" i="260"/>
  <c r="N1000" i="260"/>
  <c r="O1005" i="260" a="1"/>
  <c r="O1005" i="260"/>
  <c r="N1005" i="260"/>
  <c r="O980" i="260" a="1"/>
  <c r="O980" i="260"/>
  <c r="N980" i="260"/>
  <c r="O983" i="260" a="1"/>
  <c r="O983" i="260"/>
  <c r="N983" i="260"/>
  <c r="G942" i="260" a="1"/>
  <c r="G942" i="260"/>
  <c r="H942" i="260"/>
  <c r="M957" i="260" a="1"/>
  <c r="M957" i="260"/>
  <c r="L957" i="260"/>
  <c r="G998" i="260" a="1"/>
  <c r="G998" i="260"/>
  <c r="H998" i="260"/>
  <c r="O960" i="260" a="1"/>
  <c r="O960" i="260"/>
  <c r="N960" i="260"/>
  <c r="L956" i="260"/>
  <c r="O953" i="260" a="1"/>
  <c r="O953" i="260"/>
  <c r="N953" i="260"/>
  <c r="O957" i="260" a="1"/>
  <c r="O957" i="260"/>
  <c r="N957" i="260"/>
  <c r="G938" i="260" a="1"/>
  <c r="G938" i="260"/>
  <c r="H938" i="260"/>
  <c r="G1007" i="260" a="1"/>
  <c r="G1007" i="260"/>
  <c r="I1007" i="260" a="1"/>
  <c r="I1007" i="260"/>
  <c r="H1007" i="260"/>
  <c r="J950" i="260"/>
  <c r="O987" i="260" a="1"/>
  <c r="O987" i="260"/>
  <c r="N987" i="260"/>
  <c r="G943" i="260" a="1"/>
  <c r="G943" i="260"/>
  <c r="I943" i="260" a="1"/>
  <c r="I943" i="260"/>
  <c r="H943" i="260"/>
  <c r="O982" i="260" a="1"/>
  <c r="O982" i="260"/>
  <c r="N982" i="260"/>
  <c r="M985" i="260" a="1"/>
  <c r="M985" i="260"/>
  <c r="O985" i="260" a="1"/>
  <c r="O985" i="260"/>
  <c r="N985" i="260"/>
  <c r="O950" i="260" a="1"/>
  <c r="O950" i="260"/>
  <c r="N950" i="260"/>
  <c r="G972" i="260" a="1"/>
  <c r="G972" i="260"/>
  <c r="H972" i="260"/>
  <c r="O1008" i="260" a="1"/>
  <c r="O1008" i="260"/>
  <c r="N1008" i="260"/>
  <c r="G1009" i="260" a="1"/>
  <c r="G1009" i="260"/>
  <c r="H1009" i="260"/>
  <c r="J968" i="260"/>
  <c r="J975" i="260"/>
  <c r="J1007" i="260"/>
  <c r="O973" i="260" a="1"/>
  <c r="O973" i="260"/>
  <c r="N973" i="260"/>
  <c r="J937" i="260"/>
  <c r="L993" i="260"/>
  <c r="J971" i="260"/>
  <c r="G944" i="260" a="1"/>
  <c r="G944" i="260"/>
  <c r="H944" i="260"/>
  <c r="J1003" i="260"/>
  <c r="O966" i="260" a="1"/>
  <c r="O966" i="260"/>
  <c r="N966" i="260"/>
  <c r="G999" i="260" a="1"/>
  <c r="G999" i="260"/>
  <c r="H999" i="260"/>
  <c r="I1010" i="260" a="1"/>
  <c r="I1010" i="260"/>
  <c r="J1010" i="260"/>
  <c r="G985" i="260" a="1"/>
  <c r="G985" i="260"/>
  <c r="H985" i="260"/>
  <c r="O962" i="260" a="1"/>
  <c r="O962" i="260"/>
  <c r="N962" i="260"/>
  <c r="M981" i="260" a="1"/>
  <c r="M981" i="260"/>
  <c r="L981" i="260"/>
  <c r="G986" i="260" a="1"/>
  <c r="G986" i="260"/>
  <c r="H986" i="260"/>
  <c r="G982" i="260" a="1"/>
  <c r="G982" i="260"/>
  <c r="H982" i="260"/>
  <c r="G1004" i="260" a="1"/>
  <c r="G1004" i="260"/>
  <c r="H1004" i="260"/>
  <c r="J945" i="260"/>
  <c r="M944" i="260" a="1"/>
  <c r="M944" i="260"/>
  <c r="O944" i="260" a="1"/>
  <c r="O944" i="260"/>
  <c r="N944" i="260"/>
  <c r="G1010" i="260" a="1"/>
  <c r="G1010" i="260"/>
  <c r="H1010" i="260"/>
  <c r="L944" i="260"/>
  <c r="M961" i="260" a="1"/>
  <c r="M961" i="260"/>
  <c r="L961" i="260"/>
  <c r="O943" i="260" a="1"/>
  <c r="O943" i="260"/>
  <c r="N943" i="260"/>
  <c r="G936" i="260" a="1"/>
  <c r="G936" i="260"/>
  <c r="H936" i="260"/>
  <c r="J941" i="260"/>
  <c r="L984" i="260"/>
  <c r="G960" i="260" a="1"/>
  <c r="G960" i="260"/>
  <c r="I960" i="260" a="1"/>
  <c r="I960" i="260"/>
  <c r="H960" i="260"/>
  <c r="O947" i="260" a="1"/>
  <c r="O947" i="260"/>
  <c r="N947" i="260"/>
  <c r="J943" i="260"/>
  <c r="O996" i="260" a="1"/>
  <c r="O996" i="260"/>
  <c r="N996" i="260"/>
  <c r="O961" i="260" a="1"/>
  <c r="O961" i="260"/>
  <c r="N961" i="260"/>
  <c r="L985" i="260"/>
  <c r="J994" i="260"/>
  <c r="O1007" i="260" a="1"/>
  <c r="O1007" i="260"/>
  <c r="N1007" i="260"/>
  <c r="O974" i="260" a="1"/>
  <c r="O974" i="260"/>
  <c r="N974" i="260"/>
  <c r="J962" i="260"/>
  <c r="O933" i="260" a="1"/>
  <c r="O933" i="260"/>
  <c r="N933" i="260"/>
  <c r="O969" i="260" a="1"/>
  <c r="O969" i="260"/>
  <c r="N969" i="260"/>
  <c r="G951" i="260" a="1"/>
  <c r="G951" i="260"/>
  <c r="H951" i="260"/>
  <c r="O951" i="260" a="1"/>
  <c r="O951" i="260"/>
  <c r="N951" i="260"/>
  <c r="O999" i="260" a="1"/>
  <c r="O999" i="260"/>
  <c r="N999" i="260"/>
  <c r="J960" i="260"/>
  <c r="L976" i="260"/>
  <c r="L1009" i="260"/>
  <c r="L954" i="260"/>
  <c r="G976" i="260" a="1"/>
  <c r="G976" i="260"/>
  <c r="H976" i="260"/>
  <c r="G952" i="260" a="1"/>
  <c r="G952" i="260"/>
  <c r="H952" i="260"/>
  <c r="O967" i="260" a="1"/>
  <c r="O967" i="260"/>
  <c r="N967" i="260"/>
  <c r="G947" i="260" a="1"/>
  <c r="G947" i="260"/>
  <c r="H947" i="260"/>
  <c r="G965" i="260" a="1"/>
  <c r="G965" i="260"/>
  <c r="H965" i="260"/>
  <c r="O981" i="260" a="1"/>
  <c r="O981" i="260"/>
  <c r="N981" i="260"/>
  <c r="L952" i="260"/>
  <c r="G1001" i="260" a="1"/>
  <c r="G1001" i="260"/>
  <c r="H1001" i="260"/>
  <c r="O998" i="260" a="1"/>
  <c r="O998" i="260"/>
  <c r="N998" i="260"/>
  <c r="G956" i="260" a="1"/>
  <c r="G956" i="260"/>
  <c r="H956" i="260"/>
  <c r="O979" i="260" a="1"/>
  <c r="O979" i="260"/>
  <c r="N979" i="260"/>
  <c r="G953" i="260" a="1"/>
  <c r="G953" i="260"/>
  <c r="H953" i="260"/>
  <c r="G949" i="260" a="1"/>
  <c r="G949" i="260"/>
  <c r="H949" i="260"/>
  <c r="G979" i="260" a="1"/>
  <c r="G979" i="260"/>
  <c r="H979" i="260"/>
  <c r="J959" i="260"/>
  <c r="O733" i="260"/>
  <c r="O519" i="260" a="1"/>
  <c r="O519" i="260"/>
  <c r="O743" i="260"/>
  <c r="O734" i="260"/>
  <c r="O520" i="260" a="1"/>
  <c r="O520" i="260"/>
  <c r="O744" i="260"/>
  <c r="O735" i="260"/>
  <c r="O521" i="260" a="1"/>
  <c r="O521" i="260"/>
  <c r="O745" i="260"/>
  <c r="O736" i="260"/>
  <c r="O522" i="260" a="1"/>
  <c r="O522" i="260"/>
  <c r="O746" i="260"/>
  <c r="O737" i="260"/>
  <c r="O523" i="260" a="1"/>
  <c r="O523" i="260"/>
  <c r="O747" i="260"/>
  <c r="O738" i="260"/>
  <c r="O524" i="260" a="1"/>
  <c r="O524" i="260"/>
  <c r="O748" i="260"/>
  <c r="O739" i="260"/>
  <c r="O525" i="260" a="1"/>
  <c r="O525" i="260"/>
  <c r="O749" i="260"/>
  <c r="O740" i="260"/>
  <c r="O526" i="260" a="1"/>
  <c r="O526" i="260"/>
  <c r="O750" i="260"/>
  <c r="O751" i="260"/>
  <c r="O741" i="260"/>
  <c r="O752" i="260"/>
  <c r="G733" i="260"/>
  <c r="G519" i="260" a="1"/>
  <c r="G519" i="260"/>
  <c r="G743" i="260"/>
  <c r="G734" i="260"/>
  <c r="G520" i="260" a="1"/>
  <c r="G520" i="260"/>
  <c r="G744" i="260"/>
  <c r="G735" i="260"/>
  <c r="G521" i="260" a="1"/>
  <c r="G521" i="260"/>
  <c r="G745" i="260"/>
  <c r="G736" i="260"/>
  <c r="G522" i="260" a="1"/>
  <c r="G522" i="260"/>
  <c r="G746" i="260"/>
  <c r="G737" i="260"/>
  <c r="G523" i="260" a="1"/>
  <c r="G523" i="260"/>
  <c r="G747" i="260"/>
  <c r="G738" i="260"/>
  <c r="G524" i="260" a="1"/>
  <c r="G524" i="260"/>
  <c r="G748" i="260"/>
  <c r="G739" i="260"/>
  <c r="G525" i="260" a="1"/>
  <c r="G525" i="260"/>
  <c r="G749" i="260"/>
  <c r="G740" i="260"/>
  <c r="G526" i="260" a="1"/>
  <c r="G526" i="260"/>
  <c r="G750" i="260"/>
  <c r="G751" i="260"/>
  <c r="G741" i="260"/>
  <c r="G752" i="260"/>
  <c r="G784" i="260" a="1"/>
  <c r="G784" i="260"/>
  <c r="J733" i="260"/>
  <c r="J519" i="260" a="1"/>
  <c r="J519" i="260"/>
  <c r="J743" i="260"/>
  <c r="J734" i="260"/>
  <c r="J520" i="260" a="1"/>
  <c r="J520" i="260"/>
  <c r="J744" i="260"/>
  <c r="J735" i="260"/>
  <c r="J521" i="260" a="1"/>
  <c r="J521" i="260"/>
  <c r="J745" i="260"/>
  <c r="J736" i="260"/>
  <c r="J522" i="260" a="1"/>
  <c r="J522" i="260"/>
  <c r="J746" i="260"/>
  <c r="J737" i="260"/>
  <c r="J523" i="260" a="1"/>
  <c r="J523" i="260"/>
  <c r="J747" i="260"/>
  <c r="J738" i="260"/>
  <c r="J524" i="260" a="1"/>
  <c r="J524" i="260"/>
  <c r="J748" i="260"/>
  <c r="J739" i="260"/>
  <c r="J525" i="260" a="1"/>
  <c r="J525" i="260"/>
  <c r="J749" i="260"/>
  <c r="J740" i="260"/>
  <c r="J526" i="260" a="1"/>
  <c r="J526" i="260"/>
  <c r="J750" i="260"/>
  <c r="J751" i="260"/>
  <c r="J741" i="260"/>
  <c r="J752" i="260"/>
  <c r="G789" i="260" a="1"/>
  <c r="G789" i="260"/>
  <c r="G795" i="260" a="1"/>
  <c r="G795" i="260"/>
  <c r="G821" i="260" a="1"/>
  <c r="G821" i="260"/>
  <c r="G820" i="260" a="1"/>
  <c r="G820" i="260"/>
  <c r="G790" i="260" a="1"/>
  <c r="G790" i="260"/>
  <c r="G793" i="260" a="1"/>
  <c r="G793" i="260"/>
  <c r="L733" i="260"/>
  <c r="L519" i="260" a="1"/>
  <c r="L519" i="260"/>
  <c r="L743" i="260"/>
  <c r="L734" i="260"/>
  <c r="L520" i="260" a="1"/>
  <c r="L520" i="260"/>
  <c r="L744" i="260"/>
  <c r="L735" i="260"/>
  <c r="L521" i="260" a="1"/>
  <c r="L521" i="260"/>
  <c r="L745" i="260"/>
  <c r="L736" i="260"/>
  <c r="L522" i="260" a="1"/>
  <c r="L522" i="260"/>
  <c r="L746" i="260"/>
  <c r="L737" i="260"/>
  <c r="L523" i="260" a="1"/>
  <c r="L523" i="260"/>
  <c r="L747" i="260"/>
  <c r="L738" i="260"/>
  <c r="L524" i="260" a="1"/>
  <c r="L524" i="260"/>
  <c r="L748" i="260"/>
  <c r="L739" i="260"/>
  <c r="L525" i="260" a="1"/>
  <c r="L525" i="260"/>
  <c r="L749" i="260"/>
  <c r="L740" i="260"/>
  <c r="L526" i="260" a="1"/>
  <c r="L526" i="260"/>
  <c r="L750" i="260"/>
  <c r="L751" i="260"/>
  <c r="L741" i="260"/>
  <c r="L752" i="260"/>
  <c r="G780" i="260" a="1"/>
  <c r="G780" i="260"/>
  <c r="G809" i="260" a="1"/>
  <c r="G809" i="260"/>
  <c r="G814" i="260" a="1"/>
  <c r="G814" i="260"/>
  <c r="G770" i="260" a="1"/>
  <c r="G770" i="260"/>
  <c r="G833" i="260" a="1"/>
  <c r="G833" i="260"/>
  <c r="G839" i="260" a="1"/>
  <c r="G839" i="260"/>
  <c r="G810" i="260" a="1"/>
  <c r="G810" i="260"/>
  <c r="G813" i="260" a="1"/>
  <c r="G813" i="260"/>
  <c r="G831" i="260" a="1"/>
  <c r="G831" i="260"/>
  <c r="G830" i="260" a="1"/>
  <c r="G830" i="260"/>
  <c r="G804" i="260" a="1"/>
  <c r="G804" i="260"/>
  <c r="G845" i="260" a="1"/>
  <c r="G845" i="260"/>
  <c r="G838" i="260" a="1"/>
  <c r="G838" i="260"/>
  <c r="G811" i="260" a="1"/>
  <c r="G811" i="260"/>
  <c r="G782" i="260" a="1"/>
  <c r="G782" i="260"/>
  <c r="G823" i="260" a="1"/>
  <c r="G823" i="260"/>
  <c r="G842" i="260" a="1"/>
  <c r="G842" i="260"/>
  <c r="G835" i="260" a="1"/>
  <c r="G835" i="260"/>
  <c r="G783" i="260" a="1"/>
  <c r="G783" i="260"/>
  <c r="G841" i="260" a="1"/>
  <c r="G841" i="260"/>
  <c r="G791" i="260" a="1"/>
  <c r="G791" i="260"/>
  <c r="G812" i="260" a="1"/>
  <c r="G812" i="260"/>
  <c r="G818" i="260" a="1"/>
  <c r="G818" i="260"/>
  <c r="G824" i="260" a="1"/>
  <c r="G824" i="260"/>
  <c r="G828" i="260" a="1"/>
  <c r="G828" i="260"/>
  <c r="G843" i="260" a="1"/>
  <c r="G843" i="260"/>
  <c r="K509" i="260"/>
  <c r="J518" i="260"/>
  <c r="I509" i="260"/>
  <c r="N509" i="260"/>
  <c r="K519" i="260" a="1"/>
  <c r="K519" i="260"/>
  <c r="K520" i="260" a="1"/>
  <c r="K520" i="260"/>
  <c r="K521" i="260" a="1"/>
  <c r="K522" i="260" a="1"/>
  <c r="K523" i="260" a="1"/>
  <c r="K524" i="260" a="1"/>
  <c r="K525" i="260" a="1"/>
  <c r="K526" i="260" a="1"/>
  <c r="K521" i="260"/>
  <c r="K522" i="260"/>
  <c r="K523" i="260"/>
  <c r="K524" i="260"/>
  <c r="K525" i="260"/>
  <c r="K526" i="260"/>
  <c r="K518" i="260"/>
  <c r="J509" i="260"/>
  <c r="N519" i="260" a="1"/>
  <c r="N519" i="260"/>
  <c r="N520" i="260" a="1"/>
  <c r="N520" i="260"/>
  <c r="N521" i="260" a="1"/>
  <c r="N522" i="260" a="1"/>
  <c r="N523" i="260" a="1"/>
  <c r="N524" i="260" a="1"/>
  <c r="N525" i="260" a="1"/>
  <c r="N526" i="260" a="1"/>
  <c r="N521" i="260"/>
  <c r="N522" i="260"/>
  <c r="N523" i="260"/>
  <c r="N524" i="260"/>
  <c r="N525" i="260"/>
  <c r="N526" i="260"/>
  <c r="N518" i="260"/>
  <c r="L509" i="260"/>
  <c r="M519" i="260" a="1"/>
  <c r="M519" i="260"/>
  <c r="M520" i="260" a="1"/>
  <c r="M520" i="260"/>
  <c r="M521" i="260" a="1"/>
  <c r="M522" i="260" a="1"/>
  <c r="M523" i="260" a="1"/>
  <c r="M524" i="260" a="1"/>
  <c r="M525" i="260" a="1"/>
  <c r="M526" i="260" a="1"/>
  <c r="M521" i="260"/>
  <c r="M522" i="260"/>
  <c r="M523" i="260"/>
  <c r="M524" i="260"/>
  <c r="M525" i="260"/>
  <c r="M526" i="260"/>
  <c r="M518" i="260"/>
  <c r="I733" i="260"/>
  <c r="I519" i="260" a="1"/>
  <c r="I519" i="260"/>
  <c r="I743" i="260"/>
  <c r="I734" i="260"/>
  <c r="I520" i="260" a="1"/>
  <c r="I520" i="260"/>
  <c r="I744" i="260"/>
  <c r="I735" i="260"/>
  <c r="I521" i="260" a="1"/>
  <c r="I521" i="260"/>
  <c r="I745" i="260"/>
  <c r="I736" i="260"/>
  <c r="I522" i="260" a="1"/>
  <c r="I522" i="260"/>
  <c r="I746" i="260"/>
  <c r="I737" i="260"/>
  <c r="I523" i="260" a="1"/>
  <c r="I523" i="260"/>
  <c r="I747" i="260"/>
  <c r="I738" i="260"/>
  <c r="I524" i="260" a="1"/>
  <c r="I524" i="260"/>
  <c r="I748" i="260"/>
  <c r="I739" i="260"/>
  <c r="I525" i="260" a="1"/>
  <c r="I525" i="260"/>
  <c r="I749" i="260"/>
  <c r="I740" i="260"/>
  <c r="I526" i="260" a="1"/>
  <c r="I526" i="260"/>
  <c r="I750" i="260"/>
  <c r="I751" i="260"/>
  <c r="I741" i="260"/>
  <c r="I752" i="260"/>
  <c r="I518" i="260"/>
  <c r="H509" i="260"/>
  <c r="M509" i="260"/>
  <c r="L518" i="260"/>
  <c r="M733" i="260"/>
  <c r="M743" i="260"/>
  <c r="M734" i="260"/>
  <c r="M744" i="260"/>
  <c r="M735" i="260"/>
  <c r="M745" i="260"/>
  <c r="M736" i="260"/>
  <c r="M746" i="260"/>
  <c r="M737" i="260"/>
  <c r="M747" i="260"/>
  <c r="M738" i="260"/>
  <c r="M748" i="260"/>
  <c r="M739" i="260"/>
  <c r="M749" i="260"/>
  <c r="M740" i="260"/>
  <c r="M750" i="260"/>
  <c r="M751" i="260"/>
  <c r="M741" i="260"/>
  <c r="M752" i="260"/>
  <c r="O518" i="260"/>
  <c r="G509" i="260"/>
  <c r="H519" i="260" a="1"/>
  <c r="H519" i="260"/>
  <c r="H520" i="260" a="1"/>
  <c r="H520" i="260"/>
  <c r="H521" i="260" a="1"/>
  <c r="H522" i="260" a="1"/>
  <c r="H523" i="260" a="1"/>
  <c r="H524" i="260" a="1"/>
  <c r="H525" i="260" a="1"/>
  <c r="H526" i="260" a="1"/>
  <c r="H521" i="260"/>
  <c r="H522" i="260"/>
  <c r="H523" i="260"/>
  <c r="H524" i="260"/>
  <c r="H525" i="260"/>
  <c r="H526" i="260"/>
  <c r="H518" i="260"/>
  <c r="O509" i="260"/>
  <c r="G518" i="260"/>
  <c r="K814" i="260" a="1"/>
  <c r="K814" i="260"/>
  <c r="K838" i="260" a="1"/>
  <c r="K838" i="260"/>
  <c r="K781" i="260" a="1"/>
  <c r="K781" i="260"/>
  <c r="K733" i="260"/>
  <c r="K743" i="260"/>
  <c r="K734" i="260"/>
  <c r="K744" i="260"/>
  <c r="K735" i="260"/>
  <c r="K745" i="260"/>
  <c r="K736" i="260"/>
  <c r="K746" i="260"/>
  <c r="K737" i="260"/>
  <c r="K747" i="260"/>
  <c r="K738" i="260"/>
  <c r="K748" i="260"/>
  <c r="K739" i="260"/>
  <c r="K749" i="260"/>
  <c r="K740" i="260"/>
  <c r="K750" i="260"/>
  <c r="K751" i="260"/>
  <c r="K741" i="260"/>
  <c r="K752" i="260"/>
  <c r="H733" i="260"/>
  <c r="H743" i="260"/>
  <c r="H734" i="260"/>
  <c r="H744" i="260"/>
  <c r="H735" i="260"/>
  <c r="H745" i="260"/>
  <c r="H736" i="260"/>
  <c r="H746" i="260"/>
  <c r="H737" i="260"/>
  <c r="H747" i="260"/>
  <c r="H738" i="260"/>
  <c r="H748" i="260"/>
  <c r="H739" i="260"/>
  <c r="H749" i="260"/>
  <c r="H740" i="260"/>
  <c r="H750" i="260"/>
  <c r="H751" i="260"/>
  <c r="H741" i="260"/>
  <c r="H752" i="260"/>
  <c r="O828" i="260" a="1"/>
  <c r="O828" i="260"/>
  <c r="G785" i="260" a="1"/>
  <c r="G785" i="260"/>
  <c r="G844" i="260" a="1"/>
  <c r="G844" i="260"/>
  <c r="G773" i="260" a="1"/>
  <c r="G773" i="260"/>
  <c r="G829" i="260" a="1"/>
  <c r="G829" i="260"/>
  <c r="G822" i="260" a="1"/>
  <c r="G822" i="260"/>
  <c r="G798" i="260" a="1"/>
  <c r="G798" i="260"/>
  <c r="M775" i="260" a="1"/>
  <c r="M775" i="260"/>
  <c r="O775" i="260" a="1"/>
  <c r="O775" i="260"/>
  <c r="N775" i="260"/>
  <c r="M845" i="260" a="1"/>
  <c r="M845" i="260"/>
  <c r="O845" i="260" a="1"/>
  <c r="O845" i="260"/>
  <c r="N845" i="260"/>
  <c r="M804" i="260" a="1"/>
  <c r="M804" i="260"/>
  <c r="O804" i="260" a="1"/>
  <c r="O804" i="260"/>
  <c r="N804" i="260"/>
  <c r="M835" i="260" a="1"/>
  <c r="M835" i="260"/>
  <c r="O835" i="260" a="1"/>
  <c r="O835" i="260"/>
  <c r="N835" i="260"/>
  <c r="M810" i="260" a="1"/>
  <c r="M810" i="260"/>
  <c r="O810" i="260" a="1"/>
  <c r="O810" i="260"/>
  <c r="N810" i="260"/>
  <c r="N733" i="260"/>
  <c r="N743" i="260"/>
  <c r="N734" i="260"/>
  <c r="N744" i="260"/>
  <c r="N735" i="260"/>
  <c r="N745" i="260"/>
  <c r="N736" i="260"/>
  <c r="N746" i="260"/>
  <c r="N737" i="260"/>
  <c r="N747" i="260"/>
  <c r="N738" i="260"/>
  <c r="N748" i="260"/>
  <c r="N739" i="260"/>
  <c r="N749" i="260"/>
  <c r="N740" i="260"/>
  <c r="N750" i="260"/>
  <c r="N751" i="260"/>
  <c r="N741" i="260"/>
  <c r="N752" i="260"/>
  <c r="O785" i="260" a="1"/>
  <c r="O785" i="260"/>
  <c r="O795" i="260" a="1"/>
  <c r="O795" i="260"/>
  <c r="O825" i="260" a="1"/>
  <c r="O825" i="260"/>
  <c r="O815" i="260" a="1"/>
  <c r="O815" i="260"/>
  <c r="O805" i="260" a="1"/>
  <c r="O805" i="260"/>
  <c r="O814" i="260" a="1"/>
  <c r="O814" i="260"/>
  <c r="O784" i="260" a="1"/>
  <c r="O784" i="260"/>
  <c r="O824" i="260" a="1"/>
  <c r="O824" i="260"/>
  <c r="O794" i="260" a="1"/>
  <c r="O794" i="260"/>
  <c r="O844" i="260" a="1"/>
  <c r="O844" i="260"/>
  <c r="O774" i="260" a="1"/>
  <c r="O774" i="260"/>
  <c r="O823" i="260" a="1"/>
  <c r="O823" i="260"/>
  <c r="O834" i="260" a="1"/>
  <c r="O834" i="260"/>
  <c r="O783" i="260" a="1"/>
  <c r="O783" i="260"/>
  <c r="O843" i="260" a="1"/>
  <c r="O843" i="260"/>
  <c r="O793" i="260" a="1"/>
  <c r="O793" i="260"/>
  <c r="O813" i="260" a="1"/>
  <c r="O813" i="260"/>
  <c r="O803" i="260" a="1"/>
  <c r="O803" i="260"/>
  <c r="O773" i="260" a="1"/>
  <c r="O773" i="260"/>
  <c r="O799" i="260" a="1"/>
  <c r="O799" i="260"/>
  <c r="O792" i="260" a="1"/>
  <c r="O792" i="260"/>
  <c r="O841" i="260" a="1"/>
  <c r="O841" i="260"/>
  <c r="O812" i="260" a="1"/>
  <c r="O812" i="260"/>
  <c r="O782" i="260" a="1"/>
  <c r="O782" i="260"/>
  <c r="O770" i="260" a="1"/>
  <c r="O770" i="260"/>
  <c r="O781" i="260" a="1"/>
  <c r="O781" i="260"/>
  <c r="O779" i="260" a="1"/>
  <c r="O779" i="260"/>
  <c r="O840" i="260" a="1"/>
  <c r="O840" i="260"/>
  <c r="O801" i="260" a="1"/>
  <c r="O801" i="260"/>
  <c r="O788" i="260" a="1"/>
  <c r="O788" i="260"/>
  <c r="O818" i="260" a="1"/>
  <c r="O818" i="260"/>
  <c r="O808" i="260" a="1"/>
  <c r="O808" i="260"/>
  <c r="O822" i="260" a="1"/>
  <c r="O822" i="260"/>
  <c r="O790" i="260" a="1"/>
  <c r="O790" i="260"/>
  <c r="O811" i="260" a="1"/>
  <c r="O811" i="260"/>
  <c r="O831" i="260" a="1"/>
  <c r="O831" i="260"/>
  <c r="O833" i="260" a="1"/>
  <c r="O833" i="260"/>
  <c r="O798" i="260" a="1"/>
  <c r="O798" i="260"/>
  <c r="O820" i="260" a="1"/>
  <c r="O820" i="260"/>
  <c r="O821" i="260" a="1"/>
  <c r="O821" i="260"/>
  <c r="O789" i="260" a="1"/>
  <c r="O789" i="260"/>
  <c r="O780" i="260" a="1"/>
  <c r="O780" i="260"/>
  <c r="O842" i="260" a="1"/>
  <c r="O842" i="260"/>
  <c r="O838" i="260" a="1"/>
  <c r="O838" i="260"/>
  <c r="O809" i="260" a="1"/>
  <c r="O809" i="260"/>
  <c r="O802" i="260" a="1"/>
  <c r="O802" i="260"/>
  <c r="O772" i="260" a="1"/>
  <c r="O772" i="260"/>
  <c r="O829" i="260" a="1"/>
  <c r="O829" i="260"/>
  <c r="O839" i="260" a="1"/>
  <c r="O839" i="260"/>
  <c r="O771" i="260" a="1"/>
  <c r="O771" i="260"/>
  <c r="O832" i="260" a="1"/>
  <c r="O832" i="260"/>
  <c r="O769" i="260" a="1"/>
  <c r="O769" i="260"/>
  <c r="O778" i="260" a="1"/>
  <c r="O778" i="260"/>
  <c r="O819" i="260" a="1"/>
  <c r="O819" i="260"/>
  <c r="O791" i="260" a="1"/>
  <c r="O791" i="260"/>
  <c r="O830" i="260" a="1"/>
  <c r="O830" i="260"/>
  <c r="O800" i="260" a="1"/>
  <c r="O800" i="260"/>
  <c r="J473" i="260"/>
  <c r="G473" i="260"/>
  <c r="I473" i="260"/>
  <c r="H473" i="260"/>
  <c r="L473" i="260"/>
  <c r="O473" i="260"/>
  <c r="M473" i="260"/>
  <c r="N473" i="260"/>
  <c r="K473" i="260"/>
  <c r="M420" i="260"/>
  <c r="I420" i="260"/>
  <c r="G430" i="260"/>
  <c r="H420" i="260"/>
  <c r="N420" i="260"/>
  <c r="O420" i="260"/>
  <c r="N430" i="260"/>
  <c r="H430" i="260"/>
  <c r="K420" i="260"/>
  <c r="J430" i="260"/>
  <c r="G420" i="260"/>
  <c r="O430" i="260"/>
  <c r="L430" i="260"/>
  <c r="L420" i="260"/>
  <c r="J420" i="260"/>
  <c r="M430" i="260"/>
  <c r="K430" i="260"/>
  <c r="I430" i="260"/>
  <c r="F733" i="260"/>
  <c r="F743" i="260"/>
  <c r="F734" i="260"/>
  <c r="F744" i="260"/>
  <c r="F735" i="260"/>
  <c r="F745" i="260"/>
  <c r="F736" i="260"/>
  <c r="F746" i="260"/>
  <c r="F737" i="260"/>
  <c r="F747" i="260"/>
  <c r="F738" i="260"/>
  <c r="F748" i="260"/>
  <c r="F739" i="260"/>
  <c r="F749" i="260"/>
  <c r="F740" i="260"/>
  <c r="F750" i="260"/>
  <c r="F751" i="260"/>
  <c r="F741" i="260"/>
  <c r="F752" i="260"/>
  <c r="F420" i="260"/>
  <c r="I798" i="260" a="1"/>
  <c r="I798" i="260"/>
  <c r="H798" i="260"/>
  <c r="I822" i="260" a="1"/>
  <c r="I822" i="260"/>
  <c r="H822" i="260"/>
  <c r="I829" i="260" a="1"/>
  <c r="I829" i="260"/>
  <c r="H829" i="260"/>
  <c r="I773" i="260" a="1"/>
  <c r="I773" i="260"/>
  <c r="H773" i="260"/>
  <c r="I844" i="260" a="1"/>
  <c r="I844" i="260"/>
  <c r="H844" i="260"/>
  <c r="I785" i="260" a="1"/>
  <c r="I785" i="260"/>
  <c r="H785" i="260"/>
  <c r="M781" i="260" a="1"/>
  <c r="M781" i="260"/>
  <c r="L781" i="260"/>
  <c r="M838" i="260" a="1"/>
  <c r="M838" i="260"/>
  <c r="L838" i="260"/>
  <c r="M814" i="260" a="1"/>
  <c r="M814" i="260"/>
  <c r="L814" i="260"/>
  <c r="M803" i="260" a="1"/>
  <c r="M803" i="260"/>
  <c r="N803" i="260"/>
  <c r="N781" i="260"/>
  <c r="I843" i="260" a="1"/>
  <c r="I843" i="260"/>
  <c r="H843" i="260"/>
  <c r="K828" i="260" a="1"/>
  <c r="K828" i="260"/>
  <c r="M828" i="260" a="1"/>
  <c r="M828" i="260"/>
  <c r="L828" i="260"/>
  <c r="M774" i="260" a="1"/>
  <c r="M774" i="260"/>
  <c r="N774" i="260"/>
  <c r="M773" i="260" a="1"/>
  <c r="M773" i="260"/>
  <c r="N773" i="260"/>
  <c r="K789" i="260" a="1"/>
  <c r="K789" i="260"/>
  <c r="M789" i="260" a="1"/>
  <c r="M789" i="260"/>
  <c r="L789" i="260"/>
  <c r="K824" i="260" a="1"/>
  <c r="K824" i="260"/>
  <c r="M824" i="260" a="1"/>
  <c r="M824" i="260"/>
  <c r="L824" i="260"/>
  <c r="I828" i="260" a="1"/>
  <c r="I828" i="260"/>
  <c r="H828" i="260"/>
  <c r="K821" i="260" a="1"/>
  <c r="K821" i="260"/>
  <c r="M821" i="260" a="1"/>
  <c r="M821" i="260"/>
  <c r="L821" i="260"/>
  <c r="K791" i="260" a="1"/>
  <c r="K791" i="260"/>
  <c r="M791" i="260" a="1"/>
  <c r="M791" i="260"/>
  <c r="L791" i="260"/>
  <c r="I824" i="260" a="1"/>
  <c r="I824" i="260"/>
  <c r="H824" i="260"/>
  <c r="I818" i="260" a="1"/>
  <c r="I818" i="260"/>
  <c r="H818" i="260"/>
  <c r="I812" i="260" a="1"/>
  <c r="I812" i="260"/>
  <c r="H812" i="260"/>
  <c r="I791" i="260" a="1"/>
  <c r="I791" i="260"/>
  <c r="H791" i="260"/>
  <c r="M813" i="260" a="1"/>
  <c r="M813" i="260"/>
  <c r="N813" i="260"/>
  <c r="I825" i="260" a="1"/>
  <c r="I825" i="260"/>
  <c r="K825" i="260" a="1"/>
  <c r="K825" i="260"/>
  <c r="J825" i="260"/>
  <c r="I794" i="260" a="1"/>
  <c r="I794" i="260"/>
  <c r="K794" i="260" a="1"/>
  <c r="K794" i="260"/>
  <c r="J794" i="260"/>
  <c r="I819" i="260" a="1"/>
  <c r="I819" i="260"/>
  <c r="K819" i="260" a="1"/>
  <c r="K819" i="260"/>
  <c r="J819" i="260"/>
  <c r="I841" i="260" a="1"/>
  <c r="I841" i="260"/>
  <c r="H841" i="260"/>
  <c r="M830" i="260" a="1"/>
  <c r="M830" i="260"/>
  <c r="N830" i="260"/>
  <c r="I800" i="260" a="1"/>
  <c r="I800" i="260"/>
  <c r="K800" i="260" a="1"/>
  <c r="K800" i="260"/>
  <c r="J800" i="260"/>
  <c r="M839" i="260" a="1"/>
  <c r="M839" i="260"/>
  <c r="N839" i="260"/>
  <c r="I783" i="260" a="1"/>
  <c r="I783" i="260"/>
  <c r="H783" i="260"/>
  <c r="M805" i="260" a="1"/>
  <c r="M805" i="260"/>
  <c r="N805" i="260"/>
  <c r="I835" i="260" a="1"/>
  <c r="I835" i="260"/>
  <c r="H835" i="260"/>
  <c r="I842" i="260" a="1"/>
  <c r="I842" i="260"/>
  <c r="H842" i="260"/>
  <c r="M841" i="260" a="1"/>
  <c r="M841" i="260"/>
  <c r="N841" i="260"/>
  <c r="M818" i="260" a="1"/>
  <c r="M818" i="260"/>
  <c r="N818" i="260"/>
  <c r="K835" i="260" a="1"/>
  <c r="K835" i="260"/>
  <c r="L835" i="260"/>
  <c r="K829" i="260" a="1"/>
  <c r="K829" i="260"/>
  <c r="M829" i="260" a="1"/>
  <c r="M829" i="260"/>
  <c r="L829" i="260"/>
  <c r="M808" i="260" a="1"/>
  <c r="M808" i="260"/>
  <c r="N808" i="260"/>
  <c r="K801" i="260" a="1"/>
  <c r="K801" i="260"/>
  <c r="M801" i="260" a="1"/>
  <c r="M801" i="260"/>
  <c r="L801" i="260"/>
  <c r="K842" i="260" a="1"/>
  <c r="K842" i="260"/>
  <c r="M842" i="260" a="1"/>
  <c r="M842" i="260"/>
  <c r="L842" i="260"/>
  <c r="N838" i="260"/>
  <c r="K823" i="260" a="1"/>
  <c r="K823" i="260"/>
  <c r="M823" i="260" a="1"/>
  <c r="M823" i="260"/>
  <c r="L823" i="260"/>
  <c r="N821" i="260"/>
  <c r="M844" i="260" a="1"/>
  <c r="M844" i="260"/>
  <c r="N844" i="260"/>
  <c r="K815" i="260" a="1"/>
  <c r="K815" i="260"/>
  <c r="M815" i="260" a="1"/>
  <c r="M815" i="260"/>
  <c r="L815" i="260"/>
  <c r="K782" i="260" a="1"/>
  <c r="K782" i="260"/>
  <c r="M782" i="260" a="1"/>
  <c r="M782" i="260"/>
  <c r="L782" i="260"/>
  <c r="K802" i="260" a="1"/>
  <c r="K802" i="260"/>
  <c r="M802" i="260" a="1"/>
  <c r="M802" i="260"/>
  <c r="L802" i="260"/>
  <c r="I823" i="260" a="1"/>
  <c r="I823" i="260"/>
  <c r="H823" i="260"/>
  <c r="I782" i="260" a="1"/>
  <c r="I782" i="260"/>
  <c r="H782" i="260"/>
  <c r="M809" i="260" a="1"/>
  <c r="M809" i="260"/>
  <c r="N809" i="260"/>
  <c r="I803" i="260" a="1"/>
  <c r="I803" i="260"/>
  <c r="K803" i="260" a="1"/>
  <c r="K803" i="260"/>
  <c r="J803" i="260"/>
  <c r="I788" i="260" a="1"/>
  <c r="I788" i="260"/>
  <c r="K788" i="260" a="1"/>
  <c r="K788" i="260"/>
  <c r="J788" i="260"/>
  <c r="K790" i="260" a="1"/>
  <c r="K790" i="260"/>
  <c r="M790" i="260" a="1"/>
  <c r="M790" i="260"/>
  <c r="L790" i="260"/>
  <c r="K841" i="260" a="1"/>
  <c r="K841" i="260"/>
  <c r="L841" i="260"/>
  <c r="I811" i="260" a="1"/>
  <c r="I811" i="260"/>
  <c r="H811" i="260"/>
  <c r="I838" i="260" a="1"/>
  <c r="I838" i="260"/>
  <c r="H838" i="260"/>
  <c r="M812" i="260" a="1"/>
  <c r="M812" i="260"/>
  <c r="N812" i="260"/>
  <c r="K820" i="260" a="1"/>
  <c r="K820" i="260"/>
  <c r="M820" i="260" a="1"/>
  <c r="M820" i="260"/>
  <c r="L820" i="260"/>
  <c r="I845" i="260" a="1"/>
  <c r="I845" i="260"/>
  <c r="H845" i="260"/>
  <c r="I804" i="260" a="1"/>
  <c r="I804" i="260"/>
  <c r="H804" i="260"/>
  <c r="I830" i="260" a="1"/>
  <c r="I830" i="260"/>
  <c r="H830" i="260"/>
  <c r="I831" i="260" a="1"/>
  <c r="I831" i="260"/>
  <c r="H831" i="260"/>
  <c r="M833" i="260" a="1"/>
  <c r="M833" i="260"/>
  <c r="N833" i="260"/>
  <c r="I813" i="260" a="1"/>
  <c r="I813" i="260"/>
  <c r="H813" i="260"/>
  <c r="I840" i="260" a="1"/>
  <c r="I840" i="260"/>
  <c r="K840" i="260" a="1"/>
  <c r="K840" i="260"/>
  <c r="J840" i="260"/>
  <c r="J829" i="260"/>
  <c r="K830" i="260" a="1"/>
  <c r="K830" i="260"/>
  <c r="L830" i="260"/>
  <c r="N842" i="260"/>
  <c r="I832" i="260" a="1"/>
  <c r="I832" i="260"/>
  <c r="K832" i="260" a="1"/>
  <c r="K832" i="260"/>
  <c r="J832" i="260"/>
  <c r="K843" i="260" a="1"/>
  <c r="K843" i="260"/>
  <c r="M843" i="260" a="1"/>
  <c r="M843" i="260"/>
  <c r="L843" i="260"/>
  <c r="K831" i="260" a="1"/>
  <c r="K831" i="260"/>
  <c r="M831" i="260" a="1"/>
  <c r="M831" i="260"/>
  <c r="L831" i="260"/>
  <c r="K839" i="260" a="1"/>
  <c r="K839" i="260"/>
  <c r="L839" i="260"/>
  <c r="I810" i="260" a="1"/>
  <c r="I810" i="260"/>
  <c r="H810" i="260"/>
  <c r="I839" i="260" a="1"/>
  <c r="I839" i="260"/>
  <c r="H839" i="260"/>
  <c r="M840" i="260" a="1"/>
  <c r="M840" i="260"/>
  <c r="N840" i="260"/>
  <c r="M832" i="260" a="1"/>
  <c r="M832" i="260"/>
  <c r="N832" i="260"/>
  <c r="M819" i="260" a="1"/>
  <c r="M819" i="260"/>
  <c r="N819" i="260"/>
  <c r="I834" i="260" a="1"/>
  <c r="I834" i="260"/>
  <c r="K834" i="260" a="1"/>
  <c r="K834" i="260"/>
  <c r="J834" i="260"/>
  <c r="I833" i="260" a="1"/>
  <c r="I833" i="260"/>
  <c r="H833" i="260"/>
  <c r="K799" i="260" a="1"/>
  <c r="K799" i="260"/>
  <c r="M799" i="260" a="1"/>
  <c r="M799" i="260"/>
  <c r="L799" i="260"/>
  <c r="I770" i="260" a="1"/>
  <c r="I770" i="260"/>
  <c r="H770" i="260"/>
  <c r="M785" i="260" a="1"/>
  <c r="M785" i="260"/>
  <c r="N785" i="260"/>
  <c r="K805" i="260" a="1"/>
  <c r="K805" i="260"/>
  <c r="L805" i="260"/>
  <c r="K793" i="260" a="1"/>
  <c r="K793" i="260"/>
  <c r="M793" i="260" a="1"/>
  <c r="M793" i="260"/>
  <c r="L793" i="260"/>
  <c r="K779" i="260" a="1"/>
  <c r="K779" i="260"/>
  <c r="M779" i="260" a="1"/>
  <c r="M779" i="260"/>
  <c r="L779" i="260"/>
  <c r="K798" i="260" a="1"/>
  <c r="K798" i="260"/>
  <c r="M798" i="260" a="1"/>
  <c r="M798" i="260"/>
  <c r="L798" i="260"/>
  <c r="I814" i="260" a="1"/>
  <c r="I814" i="260"/>
  <c r="H814" i="260"/>
  <c r="I809" i="260" a="1"/>
  <c r="I809" i="260"/>
  <c r="H809" i="260"/>
  <c r="I780" i="260" a="1"/>
  <c r="I780" i="260"/>
  <c r="H780" i="260"/>
  <c r="N815" i="260"/>
  <c r="N824" i="260"/>
  <c r="N790" i="260"/>
  <c r="L803" i="260"/>
  <c r="I793" i="260" a="1"/>
  <c r="I793" i="260"/>
  <c r="H793" i="260"/>
  <c r="I790" i="260" a="1"/>
  <c r="I790" i="260"/>
  <c r="H790" i="260"/>
  <c r="I820" i="260" a="1"/>
  <c r="I820" i="260"/>
  <c r="H820" i="260"/>
  <c r="N801" i="260"/>
  <c r="M825" i="260" a="1"/>
  <c r="M825" i="260"/>
  <c r="L825" i="260"/>
  <c r="M800" i="260" a="1"/>
  <c r="M800" i="260"/>
  <c r="L800" i="260"/>
  <c r="J814" i="260"/>
  <c r="I802" i="260" a="1"/>
  <c r="I802" i="260"/>
  <c r="J802" i="260"/>
  <c r="K810" i="260" a="1"/>
  <c r="K810" i="260"/>
  <c r="L810" i="260"/>
  <c r="I821" i="260" a="1"/>
  <c r="I821" i="260"/>
  <c r="H821" i="260"/>
  <c r="K809" i="260" a="1"/>
  <c r="K809" i="260"/>
  <c r="J809" i="260"/>
  <c r="I792" i="260" a="1"/>
  <c r="I792" i="260"/>
  <c r="K792" i="260" a="1"/>
  <c r="K792" i="260"/>
  <c r="J792" i="260"/>
  <c r="M794" i="260" a="1"/>
  <c r="M794" i="260"/>
  <c r="L794" i="260"/>
  <c r="M792" i="260" a="1"/>
  <c r="M792" i="260"/>
  <c r="N792" i="260"/>
  <c r="J791" i="260"/>
  <c r="K778" i="260" a="1"/>
  <c r="K778" i="260"/>
  <c r="M778" i="260" a="1"/>
  <c r="M778" i="260"/>
  <c r="L778" i="260"/>
  <c r="I795" i="260" a="1"/>
  <c r="I795" i="260"/>
  <c r="H795" i="260"/>
  <c r="M772" i="260" a="1"/>
  <c r="M772" i="260"/>
  <c r="N772" i="260"/>
  <c r="M788" i="260" a="1"/>
  <c r="M788" i="260"/>
  <c r="N788" i="260"/>
  <c r="M770" i="260" a="1"/>
  <c r="M770" i="260"/>
  <c r="N770" i="260"/>
  <c r="I789" i="260" a="1"/>
  <c r="I789" i="260"/>
  <c r="H789" i="260"/>
  <c r="M795" i="260" a="1"/>
  <c r="M795" i="260"/>
  <c r="N795" i="260"/>
  <c r="N793" i="260"/>
  <c r="N791" i="260"/>
  <c r="I781" i="260" a="1"/>
  <c r="I781" i="260"/>
  <c r="J781" i="260"/>
  <c r="K784" i="260" a="1"/>
  <c r="K784" i="260"/>
  <c r="M784" i="260" a="1"/>
  <c r="M784" i="260"/>
  <c r="L784" i="260"/>
  <c r="M783" i="260" a="1"/>
  <c r="M783" i="260"/>
  <c r="N783" i="260"/>
  <c r="I784" i="260" a="1"/>
  <c r="I784" i="260"/>
  <c r="H784" i="260"/>
  <c r="M780" i="260" a="1"/>
  <c r="M780" i="260"/>
  <c r="N780" i="260"/>
  <c r="N778" i="260"/>
  <c r="I779" i="260" a="1"/>
  <c r="I779" i="260"/>
  <c r="J779" i="260"/>
  <c r="K785" i="260" a="1"/>
  <c r="K785" i="260"/>
  <c r="L785" i="260"/>
  <c r="K783" i="260" a="1"/>
  <c r="K783" i="260"/>
  <c r="J783" i="260"/>
  <c r="K773" i="260" a="1"/>
  <c r="K773" i="260"/>
  <c r="L773" i="260"/>
  <c r="K774" i="260" a="1"/>
  <c r="K774" i="260"/>
  <c r="L774" i="260"/>
  <c r="K769" i="260" a="1"/>
  <c r="K769" i="260"/>
  <c r="M769" i="260" a="1"/>
  <c r="M769" i="260"/>
  <c r="L769" i="260"/>
  <c r="K771" i="260" a="1"/>
  <c r="K771" i="260"/>
  <c r="M771" i="260" a="1"/>
  <c r="M771" i="260"/>
  <c r="L771" i="260"/>
  <c r="I774" i="260" a="1"/>
  <c r="I774" i="260"/>
  <c r="J774" i="260"/>
  <c r="K770" i="260" a="1"/>
  <c r="K770" i="260"/>
  <c r="L770" i="260"/>
  <c r="G769" i="260" a="1"/>
  <c r="G769" i="260"/>
  <c r="I769" i="260" a="1"/>
  <c r="I769" i="260"/>
  <c r="H769" i="260"/>
  <c r="N769" i="260"/>
  <c r="K775" i="260" a="1"/>
  <c r="K775" i="260"/>
  <c r="L775" i="260"/>
  <c r="L783" i="260"/>
  <c r="L792" i="260"/>
  <c r="L809" i="260"/>
  <c r="K808" i="260" a="1"/>
  <c r="K808" i="260"/>
  <c r="L808" i="260"/>
  <c r="G794" i="260" a="1"/>
  <c r="G794" i="260"/>
  <c r="H794" i="260"/>
  <c r="M834" i="260" a="1"/>
  <c r="M834" i="260"/>
  <c r="N834" i="260"/>
  <c r="M822" i="260" a="1"/>
  <c r="M822" i="260"/>
  <c r="N822" i="260"/>
  <c r="M811" i="260" a="1"/>
  <c r="M811" i="260"/>
  <c r="N811" i="260"/>
  <c r="I775" i="260" a="1"/>
  <c r="I775" i="260"/>
  <c r="J775" i="260"/>
  <c r="J828" i="260"/>
  <c r="J820" i="260"/>
  <c r="I808" i="260" a="1"/>
  <c r="I808" i="260"/>
  <c r="J808" i="260"/>
  <c r="K844" i="260" a="1"/>
  <c r="K844" i="260"/>
  <c r="L844" i="260"/>
  <c r="G825" i="260" a="1"/>
  <c r="G825" i="260"/>
  <c r="H825" i="260"/>
  <c r="G800" i="260" a="1"/>
  <c r="G800" i="260"/>
  <c r="H800" i="260"/>
  <c r="I805" i="260" a="1"/>
  <c r="I805" i="260"/>
  <c r="J805" i="260"/>
  <c r="J844" i="260"/>
  <c r="I772" i="260" a="1"/>
  <c r="I772" i="260"/>
  <c r="K772" i="260" a="1"/>
  <c r="K772" i="260"/>
  <c r="J772" i="260"/>
  <c r="I801" i="260" a="1"/>
  <c r="I801" i="260"/>
  <c r="J801" i="260"/>
  <c r="K845" i="260" a="1"/>
  <c r="K845" i="260"/>
  <c r="L845" i="260"/>
  <c r="L834" i="260"/>
  <c r="K818" i="260" a="1"/>
  <c r="K818" i="260"/>
  <c r="L818" i="260"/>
  <c r="K780" i="260" a="1"/>
  <c r="K780" i="260"/>
  <c r="L780" i="260"/>
  <c r="L840" i="260"/>
  <c r="G815" i="260" a="1"/>
  <c r="G815" i="260"/>
  <c r="I815" i="260" a="1"/>
  <c r="I815" i="260"/>
  <c r="H815" i="260"/>
  <c r="G832" i="260" a="1"/>
  <c r="G832" i="260"/>
  <c r="H832" i="260"/>
  <c r="G840" i="260" a="1"/>
  <c r="G840" i="260"/>
  <c r="H840" i="260"/>
  <c r="G819" i="260" a="1"/>
  <c r="G819" i="260"/>
  <c r="H819" i="260"/>
  <c r="N814" i="260"/>
  <c r="N823" i="260"/>
  <c r="N820" i="260"/>
  <c r="N779" i="260"/>
  <c r="N831" i="260"/>
  <c r="K804" i="260" a="1"/>
  <c r="K804" i="260"/>
  <c r="J804" i="260"/>
  <c r="J823" i="260"/>
  <c r="J830" i="260"/>
  <c r="K822" i="260" a="1"/>
  <c r="K822" i="260"/>
  <c r="J822" i="260"/>
  <c r="K833" i="260" a="1"/>
  <c r="K833" i="260"/>
  <c r="J833" i="260"/>
  <c r="J810" i="260"/>
  <c r="I799" i="260" a="1"/>
  <c r="I799" i="260"/>
  <c r="J799" i="260"/>
  <c r="I771" i="260" a="1"/>
  <c r="I771" i="260"/>
  <c r="J771" i="260"/>
  <c r="I778" i="260" a="1"/>
  <c r="I778" i="260"/>
  <c r="J778" i="260"/>
  <c r="K795" i="260" a="1"/>
  <c r="K795" i="260"/>
  <c r="L795" i="260"/>
  <c r="K811" i="260" a="1"/>
  <c r="K811" i="260"/>
  <c r="L811" i="260"/>
  <c r="L822" i="260"/>
  <c r="K812" i="260" a="1"/>
  <c r="K812" i="260"/>
  <c r="L812" i="260"/>
  <c r="G774" i="260" a="1"/>
  <c r="G774" i="260"/>
  <c r="H774" i="260"/>
  <c r="G803" i="260" a="1"/>
  <c r="G803" i="260"/>
  <c r="H803" i="260"/>
  <c r="G772" i="260" a="1"/>
  <c r="G772" i="260"/>
  <c r="H772" i="260"/>
  <c r="G801" i="260" a="1"/>
  <c r="G801" i="260"/>
  <c r="H801" i="260"/>
  <c r="G792" i="260" a="1"/>
  <c r="G792" i="260"/>
  <c r="H792" i="260"/>
  <c r="N771" i="260"/>
  <c r="N789" i="260"/>
  <c r="N782" i="260"/>
  <c r="J785" i="260"/>
  <c r="J784" i="260"/>
  <c r="J793" i="260"/>
  <c r="J821" i="260"/>
  <c r="J812" i="260"/>
  <c r="J769" i="260"/>
  <c r="J782" i="260"/>
  <c r="J780" i="260"/>
  <c r="G771" i="260" a="1"/>
  <c r="G771" i="260"/>
  <c r="H771" i="260"/>
  <c r="G781" i="260" a="1"/>
  <c r="G781" i="260"/>
  <c r="H781" i="260"/>
  <c r="N794" i="260"/>
  <c r="L832" i="260"/>
  <c r="L833" i="260"/>
  <c r="G775" i="260" a="1"/>
  <c r="G775" i="260"/>
  <c r="H775" i="260"/>
  <c r="G834" i="260" a="1"/>
  <c r="G834" i="260"/>
  <c r="H834" i="260"/>
  <c r="G808" i="260" a="1"/>
  <c r="G808" i="260"/>
  <c r="H808" i="260"/>
  <c r="G779" i="260" a="1"/>
  <c r="G779" i="260"/>
  <c r="H779" i="260"/>
  <c r="N825" i="260"/>
  <c r="N784" i="260"/>
  <c r="N799" i="260"/>
  <c r="N800" i="260"/>
  <c r="J845" i="260"/>
  <c r="J835" i="260"/>
  <c r="K813" i="260" a="1"/>
  <c r="K813" i="260"/>
  <c r="J813" i="260"/>
  <c r="J831" i="260"/>
  <c r="J770" i="260"/>
  <c r="J790" i="260"/>
  <c r="L772" i="260"/>
  <c r="N828" i="260"/>
  <c r="J815" i="260"/>
  <c r="J773" i="260"/>
  <c r="J838" i="260"/>
  <c r="L804" i="260"/>
  <c r="L813" i="260"/>
  <c r="L819" i="260"/>
  <c r="L788" i="260"/>
  <c r="G778" i="260" a="1"/>
  <c r="G778" i="260"/>
  <c r="H778" i="260"/>
  <c r="G805" i="260" a="1"/>
  <c r="G805" i="260"/>
  <c r="H805" i="260"/>
  <c r="G802" i="260" a="1"/>
  <c r="G802" i="260"/>
  <c r="H802" i="260"/>
  <c r="G799" i="260" a="1"/>
  <c r="G799" i="260"/>
  <c r="H799" i="260"/>
  <c r="G788" i="260" a="1"/>
  <c r="G788" i="260"/>
  <c r="H788" i="260"/>
  <c r="N843" i="260"/>
  <c r="N798" i="260"/>
  <c r="N802" i="260"/>
  <c r="N829" i="260"/>
  <c r="J795" i="260"/>
  <c r="J824" i="260"/>
  <c r="J843" i="260"/>
  <c r="J798" i="260"/>
  <c r="J842" i="260"/>
  <c r="J789" i="260"/>
  <c r="J818" i="260"/>
  <c r="J841" i="260"/>
  <c r="J811" i="260"/>
  <c r="J839" i="260"/>
  <c r="M768" i="260" a="1"/>
  <c r="M768" i="260"/>
  <c r="M1444" i="260" a="1"/>
  <c r="M1444" i="260"/>
  <c r="G768" i="260" a="1"/>
  <c r="G768" i="260"/>
  <c r="G1462" i="260" a="1"/>
  <c r="G1462" i="260"/>
  <c r="K768" i="260" a="1"/>
  <c r="K768" i="260"/>
  <c r="K1433" i="260" a="1"/>
  <c r="K1433" i="260"/>
  <c r="I768" i="260" a="1"/>
  <c r="I768" i="260"/>
  <c r="I1686" i="260" a="1"/>
  <c r="I1686" i="260"/>
  <c r="G1510" i="260" a="1"/>
  <c r="G1510" i="260"/>
  <c r="I1694" i="260" a="1"/>
  <c r="I1694" i="260"/>
  <c r="O768" i="260" a="1"/>
  <c r="O768" i="260"/>
  <c r="O1435" i="260" a="1"/>
  <c r="O1435" i="260"/>
  <c r="I1699" i="260" a="1"/>
  <c r="I1699" i="260"/>
  <c r="G1652" i="260" a="1"/>
  <c r="G1652" i="260"/>
  <c r="O1591" i="260" a="1"/>
  <c r="O1591" i="260"/>
  <c r="K1698" i="260" a="1"/>
  <c r="K1698" i="260"/>
  <c r="M1548" i="260" a="1"/>
  <c r="M1548" i="260"/>
  <c r="O1441" i="260" a="1"/>
  <c r="O1441" i="260"/>
  <c r="G1637" i="260" a="1"/>
  <c r="G1637" i="260"/>
  <c r="K1544" i="260" a="1"/>
  <c r="K1544" i="260"/>
  <c r="I1554" i="260" a="1"/>
  <c r="I1554" i="260"/>
  <c r="M1659" i="260" a="1"/>
  <c r="M1659" i="260"/>
  <c r="I1569" i="260" a="1"/>
  <c r="I1569" i="260"/>
  <c r="M1597" i="260" a="1"/>
  <c r="M1597" i="260"/>
  <c r="O1623" i="260" a="1"/>
  <c r="O1623" i="260"/>
  <c r="I1491" i="260" a="1"/>
  <c r="I1491" i="260"/>
  <c r="G1622" i="260" a="1"/>
  <c r="G1622" i="260"/>
  <c r="M1558" i="260" a="1"/>
  <c r="M1558" i="260"/>
  <c r="O1488" i="260" a="1"/>
  <c r="O1488" i="260"/>
  <c r="M1601" i="260" a="1"/>
  <c r="M1601" i="260"/>
  <c r="M1531" i="260" a="1"/>
  <c r="M1531" i="260"/>
  <c r="I1654" i="260" a="1"/>
  <c r="I1654" i="260"/>
  <c r="G1539" i="260" a="1"/>
  <c r="G1539" i="260"/>
  <c r="O1543" i="260" a="1"/>
  <c r="O1543" i="260"/>
  <c r="O1656" i="260" a="1"/>
  <c r="O1656" i="260"/>
  <c r="G1603" i="260" a="1"/>
  <c r="G1603" i="260"/>
  <c r="O1465" i="260" a="1"/>
  <c r="O1465" i="260"/>
  <c r="O1647" i="260" a="1"/>
  <c r="O1647" i="260"/>
  <c r="O1675" i="260" a="1"/>
  <c r="O1675" i="260"/>
  <c r="O1553" i="260" a="1"/>
  <c r="O1553" i="260"/>
  <c r="O1492" i="260" a="1"/>
  <c r="O1492" i="260"/>
  <c r="I1449" i="260" a="1"/>
  <c r="I1449" i="260"/>
  <c r="I1599" i="260" a="1"/>
  <c r="I1599" i="260"/>
  <c r="I1651" i="260" a="1"/>
  <c r="I1651" i="260"/>
  <c r="G1531" i="260" a="1"/>
  <c r="G1531" i="260"/>
  <c r="G1686" i="260" a="1"/>
  <c r="G1686" i="260"/>
  <c r="G1479" i="260" a="1"/>
  <c r="G1479" i="260"/>
  <c r="M1472" i="260" a="1"/>
  <c r="M1472" i="260"/>
  <c r="M1674" i="260" a="1"/>
  <c r="M1674" i="260"/>
  <c r="M1557" i="260" a="1"/>
  <c r="M1557" i="260"/>
  <c r="K1591" i="260" a="1"/>
  <c r="K1591" i="260"/>
  <c r="K1562" i="260" a="1"/>
  <c r="K1562" i="260"/>
  <c r="K1657" i="260" a="1"/>
  <c r="K1657" i="260"/>
  <c r="O1644" i="260" a="1"/>
  <c r="O1644" i="260"/>
  <c r="K1583" i="260" a="1"/>
  <c r="K1583" i="260"/>
  <c r="F1097" i="260" a="1"/>
  <c r="F1097" i="260"/>
  <c r="O1468" i="260" a="1"/>
  <c r="O1468" i="260"/>
  <c r="O1574" i="260" a="1"/>
  <c r="O1574" i="260"/>
  <c r="O1585" i="260" a="1"/>
  <c r="O1585" i="260"/>
  <c r="O1447" i="260" a="1"/>
  <c r="O1447" i="260"/>
  <c r="O1550" i="260" a="1"/>
  <c r="O1550" i="260"/>
  <c r="I1483" i="260" a="1"/>
  <c r="I1483" i="260"/>
  <c r="I1444" i="260" a="1"/>
  <c r="I1444" i="260"/>
  <c r="G1450" i="260" a="1"/>
  <c r="G1450" i="260"/>
  <c r="G1486" i="260" a="1"/>
  <c r="G1486" i="260"/>
  <c r="G1584" i="260" a="1"/>
  <c r="G1584" i="260"/>
  <c r="M1492" i="260" a="1"/>
  <c r="M1492" i="260"/>
  <c r="M1564" i="260" a="1"/>
  <c r="M1564" i="260"/>
  <c r="K1498" i="260" a="1"/>
  <c r="K1498" i="260"/>
  <c r="K1546" i="260" a="1"/>
  <c r="K1546" i="260"/>
  <c r="K1601" i="260" a="1"/>
  <c r="K1601" i="260"/>
  <c r="O1628" i="260" a="1"/>
  <c r="O1628" i="260"/>
  <c r="I1696" i="260" a="1"/>
  <c r="I1696" i="260"/>
  <c r="G1581" i="260" a="1"/>
  <c r="G1581" i="260"/>
  <c r="K1065" i="260" a="1"/>
  <c r="K1065" i="260"/>
  <c r="K1474" i="260" a="1"/>
  <c r="K1474" i="260"/>
  <c r="O1642" i="260" a="1"/>
  <c r="O1642" i="260"/>
  <c r="O1682" i="260" a="1"/>
  <c r="O1682" i="260"/>
  <c r="K1585" i="260" a="1"/>
  <c r="K1585" i="260"/>
  <c r="K1574" i="260" a="1"/>
  <c r="K1574" i="260"/>
  <c r="O1473" i="260" a="1"/>
  <c r="O1473" i="260"/>
  <c r="I1698" i="260" a="1"/>
  <c r="I1698" i="260"/>
  <c r="G1593" i="260" a="1"/>
  <c r="G1593" i="260"/>
  <c r="M1538" i="260" a="1"/>
  <c r="M1538" i="260"/>
  <c r="M1471" i="260" a="1"/>
  <c r="M1471" i="260"/>
  <c r="K1490" i="260" a="1"/>
  <c r="K1490" i="260"/>
  <c r="F1091" i="260" a="1"/>
  <c r="F1091" i="260"/>
  <c r="O1507" i="260" a="1"/>
  <c r="O1507" i="260"/>
  <c r="O1566" i="260" a="1"/>
  <c r="O1566" i="260"/>
  <c r="O1694" i="260" a="1"/>
  <c r="O1694" i="260"/>
  <c r="O1466" i="260" a="1"/>
  <c r="O1466" i="260"/>
  <c r="I1628" i="260" a="1"/>
  <c r="I1628" i="260"/>
  <c r="I1503" i="260" a="1"/>
  <c r="I1503" i="260"/>
  <c r="G1590" i="260" a="1"/>
  <c r="G1590" i="260"/>
  <c r="G1666" i="260" a="1"/>
  <c r="G1666" i="260"/>
  <c r="G1556" i="260" a="1"/>
  <c r="G1556" i="260"/>
  <c r="G1446" i="260" a="1"/>
  <c r="G1446" i="260"/>
  <c r="M1665" i="260" a="1"/>
  <c r="M1665" i="260"/>
  <c r="M1450" i="260" a="1"/>
  <c r="M1450" i="260"/>
  <c r="M1561" i="260" a="1"/>
  <c r="M1561" i="260"/>
  <c r="K1570" i="260" a="1"/>
  <c r="K1570" i="260"/>
  <c r="K1085" i="260" a="1"/>
  <c r="K1085" i="260"/>
  <c r="K1630" i="260" a="1"/>
  <c r="K1630" i="260"/>
  <c r="O1666" i="260" a="1"/>
  <c r="O1666" i="260"/>
  <c r="O1625" i="260" a="1"/>
  <c r="O1625" i="260"/>
  <c r="O1464" i="260" a="1"/>
  <c r="O1464" i="260"/>
  <c r="O1470" i="260" a="1"/>
  <c r="O1470" i="260"/>
  <c r="G1668" i="260" a="1"/>
  <c r="G1668" i="260"/>
  <c r="G1676" i="260" a="1"/>
  <c r="G1676" i="260"/>
  <c r="M1598" i="260" a="1"/>
  <c r="M1598" i="260"/>
  <c r="K1453" i="260" a="1"/>
  <c r="K1453" i="260"/>
  <c r="K1481" i="260" a="1"/>
  <c r="K1481" i="260"/>
  <c r="O1457" i="260" a="1"/>
  <c r="O1457" i="260"/>
  <c r="O1593" i="260" a="1"/>
  <c r="O1593" i="260"/>
  <c r="O1440" i="260" a="1"/>
  <c r="O1440" i="260"/>
  <c r="O1485" i="260" a="1"/>
  <c r="O1485" i="260"/>
  <c r="I1683" i="260" a="1"/>
  <c r="I1683" i="260"/>
  <c r="I1505" i="260" a="1"/>
  <c r="I1505" i="260"/>
  <c r="I1677" i="260" a="1"/>
  <c r="I1677" i="260"/>
  <c r="G1483" i="260" a="1"/>
  <c r="G1483" i="260"/>
  <c r="G1566" i="260" a="1"/>
  <c r="G1566" i="260"/>
  <c r="G1646" i="260" a="1"/>
  <c r="G1646" i="260"/>
  <c r="M1562" i="260" a="1"/>
  <c r="M1562" i="260"/>
  <c r="K1543" i="260" a="1"/>
  <c r="K1543" i="260"/>
  <c r="K1690" i="260" a="1"/>
  <c r="K1690" i="260"/>
  <c r="K1454" i="260" a="1"/>
  <c r="K1454" i="260"/>
  <c r="G1073" i="260" a="1"/>
  <c r="G1073" i="260"/>
  <c r="I1085" i="260" a="1"/>
  <c r="I1085" i="260"/>
  <c r="M1058" i="260" a="1"/>
  <c r="M1058" i="260"/>
  <c r="O1458" i="260" a="1"/>
  <c r="O1458" i="260"/>
  <c r="I1482" i="260" a="1"/>
  <c r="I1482" i="260"/>
  <c r="G1684" i="260" a="1"/>
  <c r="G1684" i="260"/>
  <c r="O1580" i="260" a="1"/>
  <c r="O1580" i="260"/>
  <c r="O1450" i="260" a="1"/>
  <c r="O1450" i="260"/>
  <c r="O1693" i="260" a="1"/>
  <c r="O1693" i="260"/>
  <c r="O1587" i="260" a="1"/>
  <c r="O1587" i="260"/>
  <c r="I1506" i="260" a="1"/>
  <c r="I1506" i="260"/>
  <c r="I1601" i="260" a="1"/>
  <c r="I1601" i="260"/>
  <c r="G1536" i="260" a="1"/>
  <c r="G1536" i="260"/>
  <c r="G1641" i="260" a="1"/>
  <c r="G1641" i="260"/>
  <c r="M1653" i="260" a="1"/>
  <c r="M1653" i="260"/>
  <c r="M1697" i="260" a="1"/>
  <c r="M1697" i="260"/>
  <c r="K1545" i="260" a="1"/>
  <c r="K1545" i="260"/>
  <c r="I1096" i="260" a="1"/>
  <c r="I1096" i="260"/>
  <c r="F1096" i="260" a="1"/>
  <c r="F1096" i="260"/>
  <c r="G1071" i="260" a="1"/>
  <c r="G1071" i="260"/>
  <c r="K1695" i="260" a="1"/>
  <c r="K1695" i="260"/>
  <c r="K1505" i="260" a="1"/>
  <c r="K1505" i="260"/>
  <c r="K1603" i="260" a="1"/>
  <c r="K1603" i="260"/>
  <c r="K1600" i="260" a="1"/>
  <c r="K1600" i="260"/>
  <c r="K1496" i="260" a="1"/>
  <c r="K1496" i="260"/>
  <c r="K1441" i="260" a="1"/>
  <c r="K1441" i="260"/>
  <c r="K1679" i="260" a="1"/>
  <c r="K1679" i="260"/>
  <c r="K1485" i="260" a="1"/>
  <c r="K1485" i="260"/>
  <c r="K1435" i="260" a="1"/>
  <c r="K1435" i="260"/>
  <c r="K1604" i="260" a="1"/>
  <c r="K1604" i="260"/>
  <c r="K1627" i="260" a="1"/>
  <c r="K1627" i="260"/>
  <c r="K1590" i="260" a="1"/>
  <c r="K1590" i="260"/>
  <c r="K1510" i="260" a="1"/>
  <c r="K1510" i="260"/>
  <c r="K1589" i="260" a="1"/>
  <c r="K1589" i="260"/>
  <c r="K1578" i="260" a="1"/>
  <c r="K1578" i="260"/>
  <c r="K1509" i="260" a="1"/>
  <c r="K1509" i="260"/>
  <c r="K1678" i="260" a="1"/>
  <c r="K1678" i="260"/>
  <c r="K1667" i="260" a="1"/>
  <c r="K1667" i="260"/>
  <c r="K1537" i="260" a="1"/>
  <c r="K1537" i="260"/>
  <c r="K1533" i="260" a="1"/>
  <c r="K1533" i="260"/>
  <c r="K1650" i="260" a="1"/>
  <c r="K1650" i="260"/>
  <c r="K1455" i="260" a="1"/>
  <c r="K1455" i="260"/>
  <c r="K1632" i="260" a="1"/>
  <c r="K1632" i="260"/>
  <c r="K1472" i="260" a="1"/>
  <c r="K1472" i="260"/>
  <c r="K1467" i="260" a="1"/>
  <c r="K1467" i="260"/>
  <c r="K1598" i="260" a="1"/>
  <c r="K1598" i="260"/>
  <c r="K1551" i="260" a="1"/>
  <c r="K1551" i="260"/>
  <c r="K1492" i="260" a="1"/>
  <c r="K1492" i="260"/>
  <c r="K1640" i="260" a="1"/>
  <c r="K1640" i="260"/>
  <c r="K1494" i="260" a="1"/>
  <c r="K1494" i="260"/>
  <c r="K1550" i="260" a="1"/>
  <c r="K1550" i="260"/>
  <c r="M1571" i="260" a="1"/>
  <c r="M1571" i="260"/>
  <c r="M1535" i="260" a="1"/>
  <c r="M1535" i="260"/>
  <c r="M1509" i="260" a="1"/>
  <c r="M1509" i="260"/>
  <c r="M1480" i="260" a="1"/>
  <c r="M1480" i="260"/>
  <c r="M1690" i="260" a="1"/>
  <c r="M1690" i="260"/>
  <c r="M1573" i="260" a="1"/>
  <c r="M1573" i="260"/>
  <c r="M1475" i="260" a="1"/>
  <c r="M1475" i="260"/>
  <c r="M1692" i="260" a="1"/>
  <c r="M1692" i="260"/>
  <c r="M1695" i="260" a="1"/>
  <c r="M1695" i="260"/>
  <c r="M1457" i="260" a="1"/>
  <c r="M1457" i="260"/>
  <c r="M1638" i="260" a="1"/>
  <c r="M1638" i="260"/>
  <c r="M1530" i="260" a="1"/>
  <c r="M1530" i="260"/>
  <c r="M1629" i="260" a="1"/>
  <c r="M1629" i="260"/>
  <c r="M1594" i="260" a="1"/>
  <c r="M1594" i="260"/>
  <c r="M1673" i="260" a="1"/>
  <c r="M1673" i="260"/>
  <c r="M1095" i="260" a="1"/>
  <c r="M1095" i="260"/>
  <c r="M1454" i="260" a="1"/>
  <c r="M1454" i="260"/>
  <c r="M1504" i="260" a="1"/>
  <c r="M1504" i="260"/>
  <c r="M1540" i="260" a="1"/>
  <c r="M1540" i="260"/>
  <c r="M1678" i="260" a="1"/>
  <c r="M1678" i="260"/>
  <c r="M1628" i="260" a="1"/>
  <c r="M1628" i="260"/>
  <c r="M1500" i="260" a="1"/>
  <c r="M1500" i="260"/>
  <c r="M1661" i="260" a="1"/>
  <c r="M1661" i="260"/>
  <c r="M1570" i="260" a="1"/>
  <c r="M1570" i="260"/>
  <c r="M1465" i="260" a="1"/>
  <c r="M1465" i="260"/>
  <c r="M1449" i="260" a="1"/>
  <c r="M1449" i="260"/>
  <c r="M1542" i="260" a="1"/>
  <c r="M1542" i="260"/>
  <c r="M1547" i="260" a="1"/>
  <c r="M1547" i="260"/>
  <c r="M1452" i="260" a="1"/>
  <c r="M1452" i="260"/>
  <c r="M1506" i="260" a="1"/>
  <c r="M1506" i="260"/>
  <c r="M1579" i="260" a="1"/>
  <c r="M1579" i="260"/>
  <c r="O1461" i="260" a="1"/>
  <c r="O1461" i="260"/>
  <c r="O1531" i="260" a="1"/>
  <c r="O1531" i="260"/>
  <c r="O1454" i="260" a="1"/>
  <c r="O1454" i="260"/>
  <c r="O1556" i="260" a="1"/>
  <c r="O1556" i="260"/>
  <c r="O1678" i="260" a="1"/>
  <c r="O1678" i="260"/>
  <c r="O1500" i="260" a="1"/>
  <c r="O1500" i="260"/>
  <c r="O1482" i="260" a="1"/>
  <c r="O1482" i="260"/>
  <c r="O1627" i="260" a="1"/>
  <c r="O1627" i="260"/>
  <c r="O1460" i="260" a="1"/>
  <c r="O1460" i="260"/>
  <c r="O1445" i="260" a="1"/>
  <c r="O1445" i="260"/>
  <c r="O1546" i="260" a="1"/>
  <c r="O1546" i="260"/>
  <c r="I1479" i="260" a="1"/>
  <c r="I1479" i="260"/>
  <c r="I1576" i="260" a="1"/>
  <c r="I1576" i="260"/>
  <c r="I1443" i="260" a="1"/>
  <c r="I1443" i="260"/>
  <c r="I1575" i="260" a="1"/>
  <c r="I1575" i="260"/>
  <c r="I1636" i="260" a="1"/>
  <c r="I1636" i="260"/>
  <c r="I1568" i="260" a="1"/>
  <c r="I1568" i="260"/>
  <c r="I1693" i="260" a="1"/>
  <c r="I1693" i="260"/>
  <c r="G1563" i="260" a="1"/>
  <c r="G1563" i="260"/>
  <c r="G1653" i="260" a="1"/>
  <c r="G1653" i="260"/>
  <c r="G1583" i="260" a="1"/>
  <c r="G1583" i="260"/>
  <c r="G1440" i="260" a="1"/>
  <c r="G1440" i="260"/>
  <c r="G1557" i="260" a="1"/>
  <c r="G1557" i="260"/>
  <c r="G1572" i="260" a="1"/>
  <c r="G1572" i="260"/>
  <c r="M1563" i="260" a="1"/>
  <c r="M1563" i="260"/>
  <c r="M1584" i="260" a="1"/>
  <c r="M1584" i="260"/>
  <c r="M1555" i="260" a="1"/>
  <c r="M1555" i="260"/>
  <c r="M1451" i="260" a="1"/>
  <c r="M1451" i="260"/>
  <c r="M1532" i="260" a="1"/>
  <c r="M1532" i="260"/>
  <c r="M1467" i="260" a="1"/>
  <c r="M1467" i="260"/>
  <c r="M1682" i="260" a="1"/>
  <c r="M1682" i="260"/>
  <c r="M1549" i="260" a="1"/>
  <c r="M1549" i="260"/>
  <c r="K1588" i="260" a="1"/>
  <c r="K1588" i="260"/>
  <c r="K1572" i="260" a="1"/>
  <c r="K1572" i="260"/>
  <c r="K1488" i="260" a="1"/>
  <c r="K1488" i="260"/>
  <c r="K1566" i="260" a="1"/>
  <c r="K1566" i="260"/>
  <c r="K1686" i="260" a="1"/>
  <c r="K1686" i="260"/>
  <c r="K1567" i="260" a="1"/>
  <c r="K1567" i="260"/>
  <c r="K1682" i="260" a="1"/>
  <c r="K1682" i="260"/>
  <c r="K1625" i="260" a="1"/>
  <c r="K1625" i="260"/>
  <c r="K1477" i="260" a="1"/>
  <c r="K1477" i="260"/>
  <c r="O1577" i="260" a="1"/>
  <c r="O1577" i="260"/>
  <c r="I1087" i="260" a="1"/>
  <c r="I1087" i="260"/>
  <c r="I1660" i="260" a="1"/>
  <c r="I1660" i="260"/>
  <c r="K1528" i="260" a="1"/>
  <c r="K1528" i="260"/>
  <c r="K1635" i="260" a="1"/>
  <c r="K1635" i="260"/>
  <c r="O1660" i="260" a="1"/>
  <c r="O1660" i="260"/>
  <c r="O1679" i="260" a="1"/>
  <c r="O1679" i="260"/>
  <c r="O1622" i="260" a="1"/>
  <c r="O1622" i="260"/>
  <c r="I1500" i="260" a="1"/>
  <c r="I1500" i="260"/>
  <c r="I1541" i="260" a="1"/>
  <c r="I1541" i="260"/>
  <c r="M1499" i="260" a="1"/>
  <c r="M1499" i="260"/>
  <c r="M1670" i="260" a="1"/>
  <c r="M1670" i="260"/>
  <c r="M1566" i="260" a="1"/>
  <c r="M1566" i="260"/>
  <c r="K1564" i="260" a="1"/>
  <c r="K1564" i="260"/>
  <c r="I1589" i="260" a="1"/>
  <c r="I1589" i="260"/>
  <c r="I1668" i="260" a="1"/>
  <c r="I1668" i="260"/>
  <c r="I1528" i="260" a="1"/>
  <c r="I1528" i="260"/>
  <c r="I1653" i="260" a="1"/>
  <c r="I1653" i="260"/>
  <c r="I1537" i="260" a="1"/>
  <c r="I1537" i="260"/>
  <c r="I1551" i="260" a="1"/>
  <c r="I1551" i="260"/>
  <c r="I1593" i="260" a="1"/>
  <c r="I1593" i="260"/>
  <c r="I1530" i="260" a="1"/>
  <c r="I1530" i="260"/>
  <c r="I1489" i="260" a="1"/>
  <c r="I1489" i="260"/>
  <c r="I1596" i="260" a="1"/>
  <c r="I1596" i="260"/>
  <c r="I1547" i="260" a="1"/>
  <c r="I1547" i="260"/>
  <c r="I1625" i="260" a="1"/>
  <c r="I1625" i="260"/>
  <c r="I1490" i="260" a="1"/>
  <c r="I1490" i="260"/>
  <c r="I1681" i="260" a="1"/>
  <c r="I1681" i="260"/>
  <c r="I1495" i="260" a="1"/>
  <c r="I1495" i="260"/>
  <c r="I1598" i="260" a="1"/>
  <c r="I1598" i="260"/>
  <c r="I1600" i="260" a="1"/>
  <c r="I1600" i="260"/>
  <c r="I1478" i="260" a="1"/>
  <c r="I1478" i="260"/>
  <c r="I1484" i="260" a="1"/>
  <c r="I1484" i="260"/>
  <c r="I1631" i="260" a="1"/>
  <c r="I1631" i="260"/>
  <c r="I1446" i="260" a="1"/>
  <c r="I1446" i="260"/>
  <c r="I1448" i="260" a="1"/>
  <c r="I1448" i="260"/>
  <c r="I1581" i="260" a="1"/>
  <c r="I1581" i="260"/>
  <c r="I1604" i="260" a="1"/>
  <c r="I1604" i="260"/>
  <c r="I1546" i="260" a="1"/>
  <c r="I1546" i="260"/>
  <c r="I1552" i="260" a="1"/>
  <c r="I1552" i="260"/>
  <c r="I1451" i="260" a="1"/>
  <c r="I1451" i="260"/>
  <c r="I1058" i="260" a="1"/>
  <c r="I1058" i="260"/>
  <c r="I1476" i="260" a="1"/>
  <c r="I1476" i="260"/>
  <c r="I1536" i="260" a="1"/>
  <c r="I1536" i="260"/>
  <c r="I1561" i="260" a="1"/>
  <c r="I1561" i="260"/>
  <c r="I1669" i="260" a="1"/>
  <c r="I1669" i="260"/>
  <c r="I1680" i="260" a="1"/>
  <c r="I1680" i="260"/>
  <c r="I1462" i="260" a="1"/>
  <c r="I1462" i="260"/>
  <c r="I1662" i="260" a="1"/>
  <c r="I1662" i="260"/>
  <c r="I1481" i="260" a="1"/>
  <c r="I1481" i="260"/>
  <c r="I1603" i="260" a="1"/>
  <c r="I1603" i="260"/>
  <c r="I1457" i="260" a="1"/>
  <c r="I1457" i="260"/>
  <c r="I1452" i="260" a="1"/>
  <c r="I1452" i="260"/>
  <c r="I1438" i="260" a="1"/>
  <c r="I1438" i="260"/>
  <c r="I1471" i="260" a="1"/>
  <c r="I1471" i="260"/>
  <c r="I1477" i="260" a="1"/>
  <c r="I1477" i="260"/>
  <c r="I1534" i="260" a="1"/>
  <c r="I1534" i="260"/>
  <c r="I1580" i="260" a="1"/>
  <c r="I1580" i="260"/>
  <c r="I1488" i="260" a="1"/>
  <c r="I1488" i="260"/>
  <c r="I1646" i="260" a="1"/>
  <c r="I1646" i="260"/>
  <c r="I1566" i="260" a="1"/>
  <c r="I1566" i="260"/>
  <c r="I1578" i="260" a="1"/>
  <c r="I1578" i="260"/>
  <c r="I1453" i="260" a="1"/>
  <c r="I1453" i="260"/>
  <c r="I1535" i="260" a="1"/>
  <c r="I1535" i="260"/>
  <c r="I1574" i="260" a="1"/>
  <c r="I1574" i="260"/>
  <c r="I1647" i="260" a="1"/>
  <c r="I1647" i="260"/>
  <c r="I1562" i="260" a="1"/>
  <c r="I1562" i="260"/>
  <c r="I1531" i="260" a="1"/>
  <c r="I1531" i="260"/>
  <c r="I1682" i="260" a="1"/>
  <c r="I1682" i="260"/>
  <c r="I1594" i="260" a="1"/>
  <c r="I1594" i="260"/>
  <c r="I1458" i="260" a="1"/>
  <c r="I1458" i="260"/>
  <c r="I1667" i="260" a="1"/>
  <c r="I1667" i="260"/>
  <c r="I1455" i="260" a="1"/>
  <c r="I1455" i="260"/>
  <c r="I1639" i="260" a="1"/>
  <c r="I1639" i="260"/>
  <c r="I1502" i="260" a="1"/>
  <c r="I1502" i="260"/>
  <c r="I1624" i="260" a="1"/>
  <c r="I1624" i="260"/>
  <c r="I1539" i="260" a="1"/>
  <c r="I1539" i="260"/>
  <c r="G1551" i="260" a="1"/>
  <c r="G1551" i="260"/>
  <c r="G1529" i="260" a="1"/>
  <c r="G1529" i="260"/>
  <c r="G1504" i="260" a="1"/>
  <c r="G1504" i="260"/>
  <c r="G1463" i="260" a="1"/>
  <c r="G1463" i="260"/>
  <c r="G1586" i="260" a="1"/>
  <c r="G1586" i="260"/>
  <c r="G1538" i="260" a="1"/>
  <c r="G1538" i="260"/>
  <c r="G1488" i="260" a="1"/>
  <c r="G1488" i="260"/>
  <c r="G1541" i="260" a="1"/>
  <c r="G1541" i="260"/>
  <c r="G1663" i="260" a="1"/>
  <c r="G1663" i="260"/>
  <c r="G1688" i="260" a="1"/>
  <c r="G1688" i="260"/>
  <c r="G1474" i="260" a="1"/>
  <c r="G1474" i="260"/>
  <c r="G1470" i="260" a="1"/>
  <c r="G1470" i="260"/>
  <c r="G1459" i="260" a="1"/>
  <c r="G1459" i="260"/>
  <c r="G1647" i="260" a="1"/>
  <c r="G1647" i="260"/>
  <c r="G1489" i="260" a="1"/>
  <c r="G1489" i="260"/>
  <c r="G1670" i="260" a="1"/>
  <c r="G1670" i="260"/>
  <c r="G1495" i="260" a="1"/>
  <c r="G1495" i="260"/>
  <c r="G1569" i="260" a="1"/>
  <c r="G1569" i="260"/>
  <c r="G1626" i="260" a="1"/>
  <c r="G1626" i="260"/>
  <c r="G1594" i="260" a="1"/>
  <c r="G1594" i="260"/>
  <c r="G1451" i="260" a="1"/>
  <c r="G1451" i="260"/>
  <c r="G1473" i="260" a="1"/>
  <c r="G1473" i="260"/>
  <c r="G1503" i="260" a="1"/>
  <c r="G1503" i="260"/>
  <c r="G1478" i="260" a="1"/>
  <c r="G1478" i="260"/>
  <c r="G1672" i="260" a="1"/>
  <c r="G1672" i="260"/>
  <c r="G1659" i="260" a="1"/>
  <c r="G1659" i="260"/>
  <c r="G1591" i="260" a="1"/>
  <c r="G1591" i="260"/>
  <c r="G1550" i="260" a="1"/>
  <c r="G1550" i="260"/>
  <c r="G1507" i="260" a="1"/>
  <c r="G1507" i="260"/>
  <c r="G1693" i="260" a="1"/>
  <c r="G1693" i="260"/>
  <c r="G1564" i="260" a="1"/>
  <c r="G1564" i="260"/>
  <c r="O1548" i="260" a="1"/>
  <c r="O1548" i="260"/>
  <c r="O1673" i="260" a="1"/>
  <c r="O1673" i="260"/>
  <c r="O1463" i="260" a="1"/>
  <c r="O1463" i="260"/>
  <c r="O1579" i="260" a="1"/>
  <c r="O1579" i="260"/>
  <c r="O1626" i="260" a="1"/>
  <c r="O1626" i="260"/>
  <c r="I1567" i="260" a="1"/>
  <c r="I1567" i="260"/>
  <c r="I1661" i="260" a="1"/>
  <c r="I1661" i="260"/>
  <c r="I1496" i="260" a="1"/>
  <c r="I1496" i="260"/>
  <c r="I1084" i="260" a="1"/>
  <c r="I1084" i="260"/>
  <c r="I1602" i="260" a="1"/>
  <c r="I1602" i="260"/>
  <c r="I1643" i="260" a="1"/>
  <c r="I1643" i="260"/>
  <c r="I1638" i="260" a="1"/>
  <c r="I1638" i="260"/>
  <c r="I1051" i="260" a="1"/>
  <c r="I1051" i="260"/>
  <c r="G1436" i="260" a="1"/>
  <c r="G1436" i="260"/>
  <c r="G1449" i="260" a="1"/>
  <c r="G1449" i="260"/>
  <c r="G1691" i="260" a="1"/>
  <c r="G1691" i="260"/>
  <c r="G1699" i="260" a="1"/>
  <c r="G1699" i="260"/>
  <c r="G1547" i="260" a="1"/>
  <c r="G1547" i="260"/>
  <c r="G1505" i="260" a="1"/>
  <c r="G1505" i="260"/>
  <c r="G1481" i="260" a="1"/>
  <c r="G1481" i="260"/>
  <c r="G1555" i="260" a="1"/>
  <c r="G1555" i="260"/>
  <c r="M1565" i="260" a="1"/>
  <c r="M1565" i="260"/>
  <c r="M1550" i="260" a="1"/>
  <c r="M1550" i="260"/>
  <c r="M1541" i="260" a="1"/>
  <c r="M1541" i="260"/>
  <c r="M1580" i="260" a="1"/>
  <c r="M1580" i="260"/>
  <c r="M1599" i="260" a="1"/>
  <c r="M1599" i="260"/>
  <c r="M1439" i="260" a="1"/>
  <c r="M1439" i="260"/>
  <c r="M1685" i="260" a="1"/>
  <c r="M1685" i="260"/>
  <c r="M1493" i="260" a="1"/>
  <c r="M1493" i="260"/>
  <c r="K1680" i="260" a="1"/>
  <c r="K1680" i="260"/>
  <c r="K1542" i="260" a="1"/>
  <c r="K1542" i="260"/>
  <c r="K1641" i="260" a="1"/>
  <c r="K1641" i="260"/>
  <c r="K1531" i="260" a="1"/>
  <c r="K1531" i="260"/>
  <c r="K1476" i="260" a="1"/>
  <c r="K1476" i="260"/>
  <c r="K1470" i="260" a="1"/>
  <c r="K1470" i="260"/>
  <c r="K1530" i="260" a="1"/>
  <c r="K1530" i="260"/>
  <c r="K1082" i="260" a="1"/>
  <c r="K1082" i="260"/>
  <c r="O1094" i="260" a="1"/>
  <c r="O1094" i="260"/>
  <c r="O1437" i="260" a="1"/>
  <c r="O1437" i="260"/>
  <c r="O1645" i="260" a="1"/>
  <c r="O1645" i="260"/>
  <c r="O1651" i="260" a="1"/>
  <c r="O1651" i="260"/>
  <c r="O1603" i="260" a="1"/>
  <c r="O1603" i="260"/>
  <c r="O1643" i="260" a="1"/>
  <c r="O1643" i="260"/>
  <c r="O1491" i="260" a="1"/>
  <c r="O1491" i="260"/>
  <c r="O1497" i="260" a="1"/>
  <c r="O1497" i="260"/>
  <c r="O1510" i="260" a="1"/>
  <c r="O1510" i="260"/>
  <c r="O1664" i="260" a="1"/>
  <c r="O1664" i="260"/>
  <c r="O1467" i="260" a="1"/>
  <c r="O1467" i="260"/>
  <c r="O1453" i="260" a="1"/>
  <c r="O1453" i="260"/>
  <c r="O1670" i="260" a="1"/>
  <c r="O1670" i="260"/>
  <c r="O1699" i="260" a="1"/>
  <c r="O1699" i="260"/>
  <c r="O1538" i="260" a="1"/>
  <c r="O1538" i="260"/>
  <c r="O1687" i="260" a="1"/>
  <c r="O1687" i="260"/>
  <c r="O1683" i="260" a="1"/>
  <c r="O1683" i="260"/>
  <c r="O1592" i="260" a="1"/>
  <c r="O1592" i="260"/>
  <c r="O1455" i="260" a="1"/>
  <c r="O1455" i="260"/>
  <c r="O1533" i="260" a="1"/>
  <c r="O1533" i="260"/>
  <c r="O1475" i="260" a="1"/>
  <c r="O1475" i="260"/>
  <c r="O1634" i="260" a="1"/>
  <c r="O1634" i="260"/>
  <c r="O1649" i="260" a="1"/>
  <c r="O1649" i="260"/>
  <c r="O1581" i="260" a="1"/>
  <c r="O1581" i="260"/>
  <c r="O1680" i="260" a="1"/>
  <c r="O1680" i="260"/>
  <c r="O1576" i="260" a="1"/>
  <c r="O1576" i="260"/>
  <c r="O1478" i="260" a="1"/>
  <c r="O1478" i="260"/>
  <c r="O1600" i="260" a="1"/>
  <c r="O1600" i="260"/>
  <c r="O1537" i="260" a="1"/>
  <c r="O1537" i="260"/>
  <c r="O1547" i="260" a="1"/>
  <c r="O1547" i="260"/>
  <c r="O1640" i="260" a="1"/>
  <c r="O1640" i="260"/>
  <c r="O1557" i="260" a="1"/>
  <c r="O1557" i="260"/>
  <c r="O1573" i="260" a="1"/>
  <c r="O1573" i="260"/>
  <c r="O1508" i="260" a="1"/>
  <c r="O1508" i="260"/>
  <c r="O1667" i="260" a="1"/>
  <c r="O1667" i="260"/>
  <c r="O1549" i="260" a="1"/>
  <c r="O1549" i="260"/>
  <c r="O1604" i="260" a="1"/>
  <c r="O1604" i="260"/>
  <c r="O1575" i="260" a="1"/>
  <c r="O1575" i="260"/>
  <c r="O1446" i="260" a="1"/>
  <c r="O1446" i="260"/>
  <c r="O1530" i="260" a="1"/>
  <c r="O1530" i="260"/>
  <c r="O1433" i="260" a="1"/>
  <c r="O1433" i="260"/>
  <c r="O1493" i="260" a="1"/>
  <c r="O1493" i="260"/>
  <c r="O1685" i="260" a="1"/>
  <c r="O1685" i="260"/>
  <c r="O1650" i="260" a="1"/>
  <c r="O1650" i="260"/>
  <c r="O1476" i="260" a="1"/>
  <c r="O1476" i="260"/>
  <c r="O1571" i="260" a="1"/>
  <c r="O1571" i="260"/>
  <c r="O1567" i="260" a="1"/>
  <c r="O1567" i="260"/>
  <c r="O1459" i="260" a="1"/>
  <c r="O1459" i="260"/>
  <c r="O1471" i="260" a="1"/>
  <c r="O1471" i="260"/>
  <c r="O1536" i="260" a="1"/>
  <c r="O1536" i="260"/>
  <c r="O1545" i="260" a="1"/>
  <c r="O1545" i="260"/>
  <c r="O1602" i="260" a="1"/>
  <c r="O1602" i="260"/>
  <c r="O1504" i="260" a="1"/>
  <c r="O1504" i="260"/>
  <c r="O1624" i="260" a="1"/>
  <c r="O1624" i="260"/>
  <c r="O1565" i="260" a="1"/>
  <c r="O1565" i="260"/>
  <c r="O1554" i="260" a="1"/>
  <c r="O1554" i="260"/>
  <c r="O1558" i="260" a="1"/>
  <c r="O1558" i="260"/>
  <c r="O1498" i="260" a="1"/>
  <c r="O1498" i="260"/>
  <c r="O1494" i="260" a="1"/>
  <c r="O1494" i="260"/>
  <c r="O1692" i="260" a="1"/>
  <c r="O1692" i="260"/>
  <c r="O1056" i="260" a="1"/>
  <c r="O1056" i="260"/>
  <c r="O1597" i="260" a="1"/>
  <c r="O1597" i="260"/>
  <c r="O1472" i="260" a="1"/>
  <c r="O1472" i="260"/>
  <c r="O1684" i="260" a="1"/>
  <c r="O1684" i="260"/>
  <c r="M1654" i="260" a="1"/>
  <c r="M1654" i="260"/>
  <c r="O1689" i="260" a="1"/>
  <c r="O1689" i="260"/>
  <c r="O1588" i="260" a="1"/>
  <c r="O1588" i="260"/>
  <c r="I1671" i="260" a="1"/>
  <c r="I1671" i="260"/>
  <c r="I1493" i="260" a="1"/>
  <c r="I1493" i="260"/>
  <c r="M1575" i="260" a="1"/>
  <c r="M1575" i="260"/>
  <c r="M1668" i="260" a="1"/>
  <c r="M1668" i="260"/>
  <c r="K1561" i="260" a="1"/>
  <c r="K1561" i="260"/>
  <c r="K1563" i="260" a="1"/>
  <c r="K1563" i="260"/>
  <c r="K1646" i="260" a="1"/>
  <c r="K1646" i="260"/>
  <c r="F1083" i="260" a="1"/>
  <c r="F1083" i="260"/>
  <c r="O1469" i="260" a="1"/>
  <c r="O1469" i="260"/>
  <c r="O1695" i="260" a="1"/>
  <c r="O1695" i="260"/>
  <c r="O1696" i="260" a="1"/>
  <c r="O1696" i="260"/>
  <c r="O1697" i="260" a="1"/>
  <c r="O1697" i="260"/>
  <c r="O1535" i="260" a="1"/>
  <c r="O1535" i="260"/>
  <c r="O1633" i="260" a="1"/>
  <c r="O1633" i="260"/>
  <c r="O1528" i="260" a="1"/>
  <c r="O1528" i="260"/>
  <c r="O1629" i="260" a="1"/>
  <c r="O1629" i="260"/>
  <c r="O1439" i="260" a="1"/>
  <c r="O1439" i="260"/>
  <c r="O1555" i="260" a="1"/>
  <c r="O1555" i="260"/>
  <c r="O1669" i="260" a="1"/>
  <c r="O1669" i="260"/>
  <c r="O1444" i="260" a="1"/>
  <c r="O1444" i="260"/>
  <c r="O1659" i="260" a="1"/>
  <c r="O1659" i="260"/>
  <c r="O1672" i="260" a="1"/>
  <c r="O1672" i="260"/>
  <c r="O1648" i="260" a="1"/>
  <c r="O1648" i="260"/>
  <c r="O1674" i="260" a="1"/>
  <c r="O1674" i="260"/>
  <c r="O1578" i="260" a="1"/>
  <c r="O1578" i="260"/>
  <c r="I1507" i="260" a="1"/>
  <c r="I1507" i="260"/>
  <c r="I1664" i="260" a="1"/>
  <c r="I1664" i="260"/>
  <c r="I1690" i="260" a="1"/>
  <c r="I1690" i="260"/>
  <c r="I1487" i="260" a="1"/>
  <c r="I1487" i="260"/>
  <c r="I1459" i="260" a="1"/>
  <c r="I1459" i="260"/>
  <c r="I1563" i="260" a="1"/>
  <c r="I1563" i="260"/>
  <c r="I1550" i="260" a="1"/>
  <c r="I1550" i="260"/>
  <c r="G1438" i="260" a="1"/>
  <c r="G1438" i="260"/>
  <c r="G1678" i="260" a="1"/>
  <c r="G1678" i="260"/>
  <c r="G1435" i="260" a="1"/>
  <c r="G1435" i="260"/>
  <c r="G1487" i="260" a="1"/>
  <c r="G1487" i="260"/>
  <c r="G1595" i="260" a="1"/>
  <c r="G1595" i="260"/>
  <c r="G1596" i="260" a="1"/>
  <c r="G1596" i="260"/>
  <c r="G1674" i="260" a="1"/>
  <c r="G1674" i="260"/>
  <c r="G1694" i="260" a="1"/>
  <c r="G1694" i="260"/>
  <c r="M1677" i="260" a="1"/>
  <c r="M1677" i="260"/>
  <c r="M1603" i="260" a="1"/>
  <c r="M1603" i="260"/>
  <c r="M1483" i="260" a="1"/>
  <c r="M1483" i="260"/>
  <c r="M1534" i="260" a="1"/>
  <c r="M1534" i="260"/>
  <c r="M1474" i="260" a="1"/>
  <c r="M1474" i="260"/>
  <c r="M1588" i="260" a="1"/>
  <c r="M1588" i="260"/>
  <c r="M1689" i="260" a="1"/>
  <c r="M1689" i="260"/>
  <c r="M1445" i="260" a="1"/>
  <c r="M1445" i="260"/>
  <c r="K1534" i="260" a="1"/>
  <c r="K1534" i="260"/>
  <c r="K1565" i="260" a="1"/>
  <c r="K1565" i="260"/>
  <c r="K1097" i="260" a="1"/>
  <c r="K1097" i="260"/>
  <c r="K1556" i="260" a="1"/>
  <c r="K1556" i="260"/>
  <c r="K1069" i="260" a="1"/>
  <c r="K1069" i="260"/>
  <c r="K1466" i="260" a="1"/>
  <c r="K1466" i="260"/>
  <c r="K1438" i="260" a="1"/>
  <c r="K1438" i="260"/>
  <c r="I1652" i="260" a="1"/>
  <c r="I1652" i="260"/>
  <c r="I1644" i="260" a="1"/>
  <c r="I1644" i="260"/>
  <c r="M1503" i="260" a="1"/>
  <c r="M1503" i="260"/>
  <c r="M1553" i="260" a="1"/>
  <c r="M1553" i="260"/>
  <c r="K1493" i="260" a="1"/>
  <c r="K1493" i="260"/>
  <c r="K1684" i="260" a="1"/>
  <c r="K1684" i="260"/>
  <c r="F1067" i="260" a="1"/>
  <c r="F1067" i="260"/>
  <c r="O1480" i="260" a="1"/>
  <c r="O1480" i="260"/>
  <c r="O1661" i="260" a="1"/>
  <c r="O1661" i="260"/>
  <c r="O1452" i="260" a="1"/>
  <c r="O1452" i="260"/>
  <c r="O1503" i="260" a="1"/>
  <c r="O1503" i="260"/>
  <c r="O1044" i="260" a="1"/>
  <c r="O1044" i="260"/>
  <c r="O1671" i="260" a="1"/>
  <c r="O1671" i="260"/>
  <c r="O1668" i="260" a="1"/>
  <c r="O1668" i="260"/>
  <c r="O1563" i="260" a="1"/>
  <c r="O1563" i="260"/>
  <c r="O1589" i="260" a="1"/>
  <c r="O1589" i="260"/>
  <c r="O1487" i="260" a="1"/>
  <c r="O1487" i="260"/>
  <c r="I1549" i="260" a="1"/>
  <c r="I1549" i="260"/>
  <c r="I1560" i="260" a="1"/>
  <c r="I1560" i="260"/>
  <c r="I1510" i="260" a="1"/>
  <c r="I1510" i="260"/>
  <c r="I1655" i="260" a="1"/>
  <c r="I1655" i="260"/>
  <c r="I1441" i="260" a="1"/>
  <c r="I1441" i="260"/>
  <c r="I1442" i="260" a="1"/>
  <c r="I1442" i="260"/>
  <c r="I1648" i="260" a="1"/>
  <c r="I1648" i="260"/>
  <c r="G1628" i="260" a="1"/>
  <c r="G1628" i="260"/>
  <c r="G1532" i="260" a="1"/>
  <c r="G1532" i="260"/>
  <c r="G1497" i="260" a="1"/>
  <c r="G1497" i="260"/>
  <c r="G1506" i="260" a="1"/>
  <c r="G1506" i="260"/>
  <c r="G1439" i="260" a="1"/>
  <c r="G1439" i="260"/>
  <c r="G1535" i="260" a="1"/>
  <c r="G1535" i="260"/>
  <c r="G1695" i="260" a="1"/>
  <c r="G1695" i="260"/>
  <c r="G1500" i="260" a="1"/>
  <c r="G1500" i="260"/>
  <c r="M1448" i="260" a="1"/>
  <c r="M1448" i="260"/>
  <c r="M1552" i="260" a="1"/>
  <c r="M1552" i="260"/>
  <c r="M1446" i="260" a="1"/>
  <c r="M1446" i="260"/>
  <c r="M1640" i="260" a="1"/>
  <c r="M1640" i="260"/>
  <c r="M1473" i="260" a="1"/>
  <c r="M1473" i="260"/>
  <c r="M1464" i="260" a="1"/>
  <c r="M1464" i="260"/>
  <c r="M1544" i="260" a="1"/>
  <c r="M1544" i="260"/>
  <c r="K1469" i="260" a="1"/>
  <c r="K1469" i="260"/>
  <c r="K1579" i="260" a="1"/>
  <c r="K1579" i="260"/>
  <c r="K1624" i="260" a="1"/>
  <c r="K1624" i="260"/>
  <c r="K1449" i="260" a="1"/>
  <c r="K1449" i="260"/>
  <c r="K1483" i="260" a="1"/>
  <c r="K1483" i="260"/>
  <c r="K1645" i="260" a="1"/>
  <c r="K1645" i="260"/>
  <c r="K1504" i="260" a="1"/>
  <c r="K1504" i="260"/>
  <c r="K1673" i="260" a="1"/>
  <c r="K1673" i="260"/>
  <c r="G1050" i="260" a="1"/>
  <c r="G1050" i="260"/>
  <c r="I1494" i="260" a="1"/>
  <c r="I1494" i="260"/>
  <c r="O1082" i="260" a="1"/>
  <c r="O1082" i="260"/>
  <c r="I1556" i="260" a="1"/>
  <c r="I1556" i="260"/>
  <c r="I1684" i="260" a="1"/>
  <c r="I1684" i="260"/>
  <c r="I1433" i="260" a="1"/>
  <c r="I1433" i="260"/>
  <c r="I1674" i="260" a="1"/>
  <c r="I1674" i="260"/>
  <c r="I1656" i="260" a="1"/>
  <c r="I1656" i="260"/>
  <c r="I1679" i="260" a="1"/>
  <c r="I1679" i="260"/>
  <c r="I1066" i="260" a="1"/>
  <c r="I1066" i="260"/>
  <c r="G1602" i="260" a="1"/>
  <c r="G1602" i="260"/>
  <c r="G1455" i="260" a="1"/>
  <c r="G1455" i="260"/>
  <c r="G1567" i="260" a="1"/>
  <c r="G1567" i="260"/>
  <c r="G1552" i="260" a="1"/>
  <c r="G1552" i="260"/>
  <c r="G1696" i="260" a="1"/>
  <c r="G1696" i="260"/>
  <c r="G1600" i="260" a="1"/>
  <c r="G1600" i="260"/>
  <c r="G1650" i="260" a="1"/>
  <c r="G1650" i="260"/>
  <c r="G1588" i="260" a="1"/>
  <c r="G1588" i="260"/>
  <c r="G1508" i="260" a="1"/>
  <c r="G1508" i="260"/>
  <c r="G1548" i="260" a="1"/>
  <c r="G1548" i="260"/>
  <c r="G1472" i="260" a="1"/>
  <c r="G1472" i="260"/>
  <c r="G1460" i="260" a="1"/>
  <c r="G1460" i="260"/>
  <c r="G1528" i="260" a="1"/>
  <c r="G1528" i="260"/>
  <c r="G1633" i="260" a="1"/>
  <c r="G1633" i="260"/>
  <c r="G1578" i="260" a="1"/>
  <c r="G1578" i="260"/>
  <c r="G1509" i="260" a="1"/>
  <c r="G1509" i="260"/>
  <c r="G1644" i="260" a="1"/>
  <c r="G1644" i="260"/>
  <c r="G1433" i="260" a="1"/>
  <c r="G1433" i="260"/>
  <c r="G1454" i="260" a="1"/>
  <c r="G1454" i="260"/>
  <c r="G1568" i="260" a="1"/>
  <c r="G1568" i="260"/>
  <c r="G1085" i="260" a="1"/>
  <c r="G1085" i="260"/>
  <c r="G1534" i="260" a="1"/>
  <c r="G1534" i="260"/>
  <c r="G1448" i="260" a="1"/>
  <c r="G1448" i="260"/>
  <c r="G1597" i="260" a="1"/>
  <c r="G1597" i="260"/>
  <c r="G1499" i="260" a="1"/>
  <c r="G1499" i="260"/>
  <c r="G1627" i="260" a="1"/>
  <c r="G1627" i="260"/>
  <c r="G1687" i="260" a="1"/>
  <c r="G1687" i="260"/>
  <c r="G1574" i="260" a="1"/>
  <c r="G1574" i="260"/>
  <c r="M1529" i="260" a="1"/>
  <c r="M1529" i="260"/>
  <c r="M1637" i="260" a="1"/>
  <c r="M1637" i="260"/>
  <c r="M1463" i="260" a="1"/>
  <c r="M1463" i="260"/>
  <c r="M1645" i="260" a="1"/>
  <c r="M1645" i="260"/>
  <c r="M1462" i="260" a="1"/>
  <c r="M1462" i="260"/>
  <c r="M1593" i="260" a="1"/>
  <c r="M1593" i="260"/>
  <c r="M1679" i="260" a="1"/>
  <c r="M1679" i="260"/>
  <c r="M1636" i="260" a="1"/>
  <c r="M1636" i="260"/>
  <c r="M1600" i="260" a="1"/>
  <c r="M1600" i="260"/>
  <c r="M1556" i="260" a="1"/>
  <c r="M1556" i="260"/>
  <c r="M1583" i="260" a="1"/>
  <c r="M1583" i="260"/>
  <c r="M1436" i="260" a="1"/>
  <c r="M1436" i="260"/>
  <c r="M1458" i="260" a="1"/>
  <c r="M1458" i="260"/>
  <c r="M1652" i="260" a="1"/>
  <c r="M1652" i="260"/>
  <c r="M1539" i="260" a="1"/>
  <c r="M1539" i="260"/>
  <c r="M1662" i="260" a="1"/>
  <c r="M1662" i="260"/>
  <c r="M1666" i="260" a="1"/>
  <c r="M1666" i="260"/>
  <c r="M1664" i="260" a="1"/>
  <c r="M1664" i="260"/>
  <c r="M1596" i="260" a="1"/>
  <c r="M1596" i="260"/>
  <c r="M1505" i="260" a="1"/>
  <c r="M1505" i="260"/>
  <c r="M1605" i="260" a="1"/>
  <c r="M1605" i="260"/>
  <c r="M1094" i="260" a="1"/>
  <c r="M1094" i="260"/>
  <c r="M1651" i="260" a="1"/>
  <c r="M1651" i="260"/>
  <c r="M1468" i="260" a="1"/>
  <c r="M1468" i="260"/>
  <c r="M1559" i="260" a="1"/>
  <c r="M1559" i="260"/>
  <c r="M1680" i="260" a="1"/>
  <c r="M1680" i="260"/>
  <c r="M1696" i="260" a="1"/>
  <c r="M1696" i="260"/>
  <c r="M1490" i="260" a="1"/>
  <c r="M1490" i="260"/>
  <c r="M1684" i="260" a="1"/>
  <c r="M1684" i="260"/>
  <c r="M1632" i="260" a="1"/>
  <c r="M1632" i="260"/>
  <c r="M1528" i="260" a="1"/>
  <c r="M1528" i="260"/>
  <c r="K1577" i="260" a="1"/>
  <c r="K1577" i="260"/>
  <c r="K1555" i="260" a="1"/>
  <c r="K1555" i="260"/>
  <c r="K1660" i="260" a="1"/>
  <c r="K1660" i="260"/>
  <c r="K1464" i="260" a="1"/>
  <c r="K1464" i="260"/>
  <c r="K1538" i="260" a="1"/>
  <c r="K1538" i="260"/>
  <c r="K1664" i="260" a="1"/>
  <c r="K1664" i="260"/>
  <c r="K1671" i="260" a="1"/>
  <c r="K1671" i="260"/>
  <c r="K1507" i="260" a="1"/>
  <c r="K1507" i="260"/>
  <c r="K1500" i="260" a="1"/>
  <c r="K1500" i="260"/>
  <c r="K1458" i="260" a="1"/>
  <c r="K1458" i="260"/>
  <c r="K1547" i="260" a="1"/>
  <c r="K1547" i="260"/>
  <c r="K1575" i="260" a="1"/>
  <c r="K1575" i="260"/>
  <c r="K1586" i="260" a="1"/>
  <c r="K1586" i="260"/>
  <c r="K1495" i="260" a="1"/>
  <c r="K1495" i="260"/>
  <c r="K1622" i="260" a="1"/>
  <c r="K1622" i="260"/>
  <c r="K1548" i="260" a="1"/>
  <c r="K1548" i="260"/>
  <c r="K1451" i="260" a="1"/>
  <c r="K1451" i="260"/>
  <c r="K1473" i="260" a="1"/>
  <c r="K1473" i="260"/>
  <c r="K1651" i="260" a="1"/>
  <c r="K1651" i="260"/>
  <c r="K1499" i="260" a="1"/>
  <c r="K1499" i="260"/>
  <c r="K1581" i="260" a="1"/>
  <c r="K1581" i="260"/>
  <c r="K1471" i="260" a="1"/>
  <c r="K1471" i="260"/>
  <c r="K1491" i="260" a="1"/>
  <c r="K1491" i="260"/>
  <c r="K1623" i="260" a="1"/>
  <c r="K1623" i="260"/>
  <c r="K1559" i="260" a="1"/>
  <c r="K1559" i="260"/>
  <c r="K1692" i="260" a="1"/>
  <c r="K1692" i="260"/>
  <c r="K1594" i="260" a="1"/>
  <c r="K1594" i="260"/>
  <c r="K1693" i="260" a="1"/>
  <c r="K1693" i="260"/>
  <c r="K1489" i="260" a="1"/>
  <c r="K1489" i="260"/>
  <c r="M1052" i="260" a="1"/>
  <c r="M1052" i="260"/>
  <c r="F1073" i="260" a="1"/>
  <c r="F1073" i="260"/>
  <c r="O1639" i="260" a="1"/>
  <c r="O1639" i="260"/>
  <c r="O1653" i="260" a="1"/>
  <c r="O1653" i="260"/>
  <c r="O1477" i="260" a="1"/>
  <c r="O1477" i="260"/>
  <c r="O1451" i="260" a="1"/>
  <c r="O1451" i="260"/>
  <c r="O1552" i="260" a="1"/>
  <c r="O1552" i="260"/>
  <c r="O1635" i="260" a="1"/>
  <c r="O1635" i="260"/>
  <c r="O1596" i="260" a="1"/>
  <c r="O1596" i="260"/>
  <c r="O1572" i="260" a="1"/>
  <c r="O1572" i="260"/>
  <c r="O1654" i="260" a="1"/>
  <c r="O1654" i="260"/>
  <c r="O1540" i="260" a="1"/>
  <c r="O1540" i="260"/>
  <c r="O1595" i="260" a="1"/>
  <c r="O1595" i="260"/>
  <c r="O1570" i="260" a="1"/>
  <c r="O1570" i="260"/>
  <c r="O1569" i="260" a="1"/>
  <c r="O1569" i="260"/>
  <c r="O1456" i="260" a="1"/>
  <c r="O1456" i="260"/>
  <c r="O1542" i="260" a="1"/>
  <c r="O1542" i="260"/>
  <c r="O1532" i="260" a="1"/>
  <c r="O1532" i="260"/>
  <c r="O1489" i="260" a="1"/>
  <c r="O1489" i="260"/>
  <c r="O1665" i="260" a="1"/>
  <c r="O1665" i="260"/>
  <c r="O1637" i="260" a="1"/>
  <c r="O1637" i="260"/>
  <c r="O1449" i="260" a="1"/>
  <c r="O1449" i="260"/>
  <c r="O1442" i="260" a="1"/>
  <c r="O1442" i="260"/>
  <c r="O1529" i="260" a="1"/>
  <c r="O1529" i="260"/>
  <c r="O1462" i="260" a="1"/>
  <c r="O1462" i="260"/>
  <c r="O1438" i="260" a="1"/>
  <c r="O1438" i="260"/>
  <c r="O1584" i="260" a="1"/>
  <c r="O1584" i="260"/>
  <c r="O1655" i="260" a="1"/>
  <c r="O1655" i="260"/>
  <c r="O1630" i="260" a="1"/>
  <c r="O1630" i="260"/>
  <c r="O1534" i="260" a="1"/>
  <c r="O1534" i="260"/>
  <c r="O1646" i="260" a="1"/>
  <c r="O1646" i="260"/>
  <c r="O1590" i="260" a="1"/>
  <c r="O1590" i="260"/>
  <c r="I1464" i="260" a="1"/>
  <c r="I1464" i="260"/>
  <c r="I1675" i="260" a="1"/>
  <c r="I1675" i="260"/>
  <c r="I1468" i="260" a="1"/>
  <c r="I1468" i="260"/>
  <c r="I1659" i="260" a="1"/>
  <c r="I1659" i="260"/>
  <c r="I1463" i="260" a="1"/>
  <c r="I1463" i="260"/>
  <c r="I1687" i="260" a="1"/>
  <c r="I1687" i="260"/>
  <c r="I1583" i="260" a="1"/>
  <c r="I1583" i="260"/>
  <c r="I1689" i="260" a="1"/>
  <c r="I1689" i="260"/>
  <c r="I1597" i="260" a="1"/>
  <c r="I1597" i="260"/>
  <c r="I1437" i="260" a="1"/>
  <c r="I1437" i="260"/>
  <c r="I1485" i="260" a="1"/>
  <c r="I1485" i="260"/>
  <c r="I1470" i="260" a="1"/>
  <c r="I1470" i="260"/>
  <c r="I1605" i="260" a="1"/>
  <c r="I1605" i="260"/>
  <c r="I1640" i="260" a="1"/>
  <c r="I1640" i="260"/>
  <c r="I1663" i="260" a="1"/>
  <c r="I1663" i="260"/>
  <c r="I1543" i="260" a="1"/>
  <c r="I1543" i="260"/>
  <c r="I1626" i="260" a="1"/>
  <c r="I1626" i="260"/>
  <c r="I1501" i="260" a="1"/>
  <c r="I1501" i="260"/>
  <c r="I1630" i="260" a="1"/>
  <c r="I1630" i="260"/>
  <c r="I1670" i="260" a="1"/>
  <c r="I1670" i="260"/>
  <c r="I1565" i="260" a="1"/>
  <c r="I1565" i="260"/>
  <c r="I1548" i="260" a="1"/>
  <c r="I1548" i="260"/>
  <c r="I1591" i="260" a="1"/>
  <c r="I1591" i="260"/>
  <c r="I1585" i="260" a="1"/>
  <c r="I1585" i="260"/>
  <c r="I1649" i="260" a="1"/>
  <c r="I1649" i="260"/>
  <c r="I1529" i="260" a="1"/>
  <c r="I1529" i="260"/>
  <c r="I1571" i="260" a="1"/>
  <c r="I1571" i="260"/>
  <c r="I1492" i="260" a="1"/>
  <c r="I1492" i="260"/>
  <c r="I1553" i="260" a="1"/>
  <c r="I1553" i="260"/>
  <c r="I1582" i="260" a="1"/>
  <c r="I1582" i="260"/>
  <c r="I1573" i="260" a="1"/>
  <c r="I1573" i="260"/>
  <c r="G1466" i="260" a="1"/>
  <c r="G1466" i="260"/>
  <c r="G1667" i="260" a="1"/>
  <c r="G1667" i="260"/>
  <c r="G1625" i="260" a="1"/>
  <c r="G1625" i="260"/>
  <c r="G1643" i="260" a="1"/>
  <c r="G1643" i="260"/>
  <c r="G1501" i="260" a="1"/>
  <c r="G1501" i="260"/>
  <c r="G1685" i="260" a="1"/>
  <c r="G1685" i="260"/>
  <c r="G1558" i="260" a="1"/>
  <c r="G1558" i="260"/>
  <c r="G1062" i="260" a="1"/>
  <c r="G1062" i="260"/>
  <c r="G1577" i="260" a="1"/>
  <c r="G1577" i="260"/>
  <c r="G1560" i="260" a="1"/>
  <c r="G1560" i="260"/>
  <c r="G1604" i="260" a="1"/>
  <c r="G1604" i="260"/>
  <c r="G1697" i="260" a="1"/>
  <c r="G1697" i="260"/>
  <c r="G1579" i="260" a="1"/>
  <c r="G1579" i="260"/>
  <c r="G1585" i="260" a="1"/>
  <c r="G1585" i="260"/>
  <c r="G1635" i="260" a="1"/>
  <c r="G1635" i="260"/>
  <c r="G1049" i="260" a="1"/>
  <c r="G1049" i="260"/>
  <c r="G1582" i="260" a="1"/>
  <c r="G1582" i="260"/>
  <c r="G1485" i="260" a="1"/>
  <c r="G1485" i="260"/>
  <c r="G1624" i="260" a="1"/>
  <c r="G1624" i="260"/>
  <c r="G1634" i="260" a="1"/>
  <c r="G1634" i="260"/>
  <c r="G1482" i="260" a="1"/>
  <c r="G1482" i="260"/>
  <c r="G1683" i="260" a="1"/>
  <c r="G1683" i="260"/>
  <c r="G1492" i="260" a="1"/>
  <c r="G1492" i="260"/>
  <c r="G1467" i="260" a="1"/>
  <c r="G1467" i="260"/>
  <c r="G1480" i="260" a="1"/>
  <c r="G1480" i="260"/>
  <c r="G1475" i="260" a="1"/>
  <c r="G1475" i="260"/>
  <c r="G1692" i="260" a="1"/>
  <c r="G1692" i="260"/>
  <c r="G1649" i="260" a="1"/>
  <c r="G1649" i="260"/>
  <c r="G1549" i="260" a="1"/>
  <c r="G1549" i="260"/>
  <c r="G1605" i="260" a="1"/>
  <c r="G1605" i="260"/>
  <c r="G1540" i="260" a="1"/>
  <c r="G1540" i="260"/>
  <c r="M1567" i="260" a="1"/>
  <c r="M1567" i="260"/>
  <c r="M1497" i="260" a="1"/>
  <c r="M1497" i="260"/>
  <c r="M1536" i="260" a="1"/>
  <c r="M1536" i="260"/>
  <c r="M1460" i="260" a="1"/>
  <c r="M1460" i="260"/>
  <c r="M1488" i="260" a="1"/>
  <c r="M1488" i="260"/>
  <c r="M1447" i="260" a="1"/>
  <c r="M1447" i="260"/>
  <c r="M1487" i="260" a="1"/>
  <c r="M1487" i="260"/>
  <c r="M1481" i="260" a="1"/>
  <c r="M1481" i="260"/>
  <c r="M1683" i="260" a="1"/>
  <c r="M1683" i="260"/>
  <c r="M1479" i="260" a="1"/>
  <c r="M1479" i="260"/>
  <c r="M1051" i="260" a="1"/>
  <c r="M1051" i="260"/>
  <c r="M1443" i="260" a="1"/>
  <c r="M1443" i="260"/>
  <c r="M1469" i="260" a="1"/>
  <c r="M1469" i="260"/>
  <c r="M1456" i="260" a="1"/>
  <c r="M1456" i="260"/>
  <c r="M1587" i="260" a="1"/>
  <c r="M1587" i="260"/>
  <c r="M1508" i="260" a="1"/>
  <c r="M1508" i="260"/>
  <c r="M1622" i="260" a="1"/>
  <c r="M1622" i="260"/>
  <c r="M1442" i="260" a="1"/>
  <c r="M1442" i="260"/>
  <c r="M1592" i="260" a="1"/>
  <c r="M1592" i="260"/>
  <c r="M1649" i="260" a="1"/>
  <c r="M1649" i="260"/>
  <c r="M1440" i="260" a="1"/>
  <c r="M1440" i="260"/>
  <c r="M1435" i="260" a="1"/>
  <c r="M1435" i="260"/>
  <c r="M1459" i="260" a="1"/>
  <c r="M1459" i="260"/>
  <c r="M1476" i="260" a="1"/>
  <c r="M1476" i="260"/>
  <c r="M1533" i="260" a="1"/>
  <c r="M1533" i="260"/>
  <c r="M1437" i="260" a="1"/>
  <c r="M1437" i="260"/>
  <c r="M1434" i="260" a="1"/>
  <c r="M1434" i="260"/>
  <c r="M1582" i="260" a="1"/>
  <c r="M1582" i="260"/>
  <c r="M1578" i="260" a="1"/>
  <c r="M1578" i="260"/>
  <c r="M1098" i="260" a="1"/>
  <c r="M1098" i="260"/>
  <c r="K1436" i="260" a="1"/>
  <c r="K1436" i="260"/>
  <c r="K1642" i="260" a="1"/>
  <c r="K1642" i="260"/>
  <c r="K1440" i="260" a="1"/>
  <c r="K1440" i="260"/>
  <c r="K1648" i="260" a="1"/>
  <c r="K1648" i="260"/>
  <c r="K1475" i="260" a="1"/>
  <c r="K1475" i="260"/>
  <c r="K1484" i="260" a="1"/>
  <c r="K1484" i="260"/>
  <c r="K1532" i="260" a="1"/>
  <c r="K1532" i="260"/>
  <c r="K1582" i="260" a="1"/>
  <c r="K1582" i="260"/>
  <c r="K1668" i="260" a="1"/>
  <c r="K1668" i="260"/>
  <c r="K1480" i="260" a="1"/>
  <c r="K1480" i="260"/>
  <c r="K1087" i="260" a="1"/>
  <c r="K1087" i="260"/>
  <c r="K1665" i="260" a="1"/>
  <c r="K1665" i="260"/>
  <c r="K1080" i="260" a="1"/>
  <c r="K1080" i="260"/>
  <c r="K1652" i="260" a="1"/>
  <c r="K1652" i="260"/>
  <c r="K1626" i="260" a="1"/>
  <c r="K1626" i="260"/>
  <c r="K1656" i="260" a="1"/>
  <c r="K1656" i="260"/>
  <c r="K1465" i="260" a="1"/>
  <c r="K1465" i="260"/>
  <c r="K1486" i="260" a="1"/>
  <c r="K1486" i="260"/>
  <c r="K1463" i="260" a="1"/>
  <c r="K1463" i="260"/>
  <c r="K1697" i="260" a="1"/>
  <c r="K1697" i="260"/>
  <c r="K1644" i="260" a="1"/>
  <c r="K1644" i="260"/>
  <c r="K1576" i="260" a="1"/>
  <c r="K1576" i="260"/>
  <c r="K1462" i="260" a="1"/>
  <c r="K1462" i="260"/>
  <c r="K1568" i="260" a="1"/>
  <c r="K1568" i="260"/>
  <c r="K1605" i="260" a="1"/>
  <c r="K1605" i="260"/>
  <c r="K1662" i="260" a="1"/>
  <c r="K1662" i="260"/>
  <c r="K1658" i="260" a="1"/>
  <c r="K1658" i="260"/>
  <c r="K1569" i="260" a="1"/>
  <c r="K1569" i="260"/>
  <c r="K1446" i="260" a="1"/>
  <c r="K1446" i="260"/>
  <c r="K1460" i="260" a="1"/>
  <c r="K1460" i="260"/>
  <c r="M1103" i="260" a="1"/>
  <c r="M1103" i="260"/>
  <c r="F1092" i="260" a="1"/>
  <c r="F1092" i="260"/>
  <c r="F1089" i="260" a="1"/>
  <c r="F1089" i="260"/>
  <c r="O1638" i="260" a="1"/>
  <c r="O1638" i="260"/>
  <c r="O1594" i="260" a="1"/>
  <c r="O1594" i="260"/>
  <c r="O1663" i="260" a="1"/>
  <c r="O1663" i="260"/>
  <c r="O1632" i="260" a="1"/>
  <c r="O1632" i="260"/>
  <c r="O1539" i="260" a="1"/>
  <c r="O1539" i="260"/>
  <c r="O1598" i="260" a="1"/>
  <c r="O1598" i="260"/>
  <c r="O1499" i="260" a="1"/>
  <c r="O1499" i="260"/>
  <c r="O1688" i="260" a="1"/>
  <c r="O1688" i="260"/>
  <c r="O1586" i="260" a="1"/>
  <c r="O1586" i="260"/>
  <c r="O1652" i="260" a="1"/>
  <c r="O1652" i="260"/>
  <c r="O1551" i="260" a="1"/>
  <c r="O1551" i="260"/>
  <c r="O1080" i="260" a="1"/>
  <c r="O1080" i="260"/>
  <c r="O1505" i="260" a="1"/>
  <c r="O1505" i="260"/>
  <c r="O1681" i="260" a="1"/>
  <c r="O1681" i="260"/>
  <c r="O1686" i="260" a="1"/>
  <c r="O1686" i="260"/>
  <c r="O1448" i="260" a="1"/>
  <c r="O1448" i="260"/>
  <c r="O1559" i="260" a="1"/>
  <c r="O1559" i="260"/>
  <c r="O1059" i="260" a="1"/>
  <c r="O1059" i="260"/>
  <c r="O1443" i="260" a="1"/>
  <c r="O1443" i="260"/>
  <c r="O1605" i="260" a="1"/>
  <c r="O1605" i="260"/>
  <c r="O1657" i="260" a="1"/>
  <c r="O1657" i="260"/>
  <c r="O1582" i="260" a="1"/>
  <c r="O1582" i="260"/>
  <c r="O1691" i="260" a="1"/>
  <c r="O1691" i="260"/>
  <c r="O1562" i="260" a="1"/>
  <c r="O1562" i="260"/>
  <c r="O1490" i="260" a="1"/>
  <c r="O1490" i="260"/>
  <c r="O1484" i="260" a="1"/>
  <c r="O1484" i="260"/>
  <c r="O1601" i="260" a="1"/>
  <c r="O1601" i="260"/>
  <c r="O1676" i="260" a="1"/>
  <c r="O1676" i="260"/>
  <c r="O1560" i="260" a="1"/>
  <c r="O1560" i="260"/>
  <c r="O1053" i="260" a="1"/>
  <c r="O1053" i="260"/>
  <c r="I1499" i="260" a="1"/>
  <c r="I1499" i="260"/>
  <c r="I1632" i="260" a="1"/>
  <c r="I1632" i="260"/>
  <c r="I1666" i="260" a="1"/>
  <c r="I1666" i="260"/>
  <c r="I1545" i="260" a="1"/>
  <c r="I1545" i="260"/>
  <c r="I1440" i="260" a="1"/>
  <c r="I1440" i="260"/>
  <c r="I1073" i="260" a="1"/>
  <c r="I1073" i="260"/>
  <c r="I1544" i="260" a="1"/>
  <c r="I1544" i="260"/>
  <c r="I1071" i="260" a="1"/>
  <c r="I1071" i="260"/>
  <c r="I1629" i="260" a="1"/>
  <c r="I1629" i="260"/>
  <c r="I1658" i="260" a="1"/>
  <c r="I1658" i="260"/>
  <c r="I1564" i="260" a="1"/>
  <c r="I1564" i="260"/>
  <c r="I1461" i="260" a="1"/>
  <c r="I1461" i="260"/>
  <c r="I1587" i="260" a="1"/>
  <c r="I1587" i="260"/>
  <c r="I1592" i="260" a="1"/>
  <c r="I1592" i="260"/>
  <c r="I1676" i="260" a="1"/>
  <c r="I1676" i="260"/>
  <c r="I1572" i="260" a="1"/>
  <c r="I1572" i="260"/>
  <c r="I1588" i="260" a="1"/>
  <c r="I1588" i="260"/>
  <c r="I1504" i="260" a="1"/>
  <c r="I1504" i="260"/>
  <c r="I1673" i="260" a="1"/>
  <c r="I1673" i="260"/>
  <c r="I1635" i="260" a="1"/>
  <c r="I1635" i="260"/>
  <c r="I1697" i="260" a="1"/>
  <c r="I1697" i="260"/>
  <c r="I1650" i="260" a="1"/>
  <c r="I1650" i="260"/>
  <c r="I1469" i="260" a="1"/>
  <c r="I1469" i="260"/>
  <c r="I1538" i="260" a="1"/>
  <c r="I1538" i="260"/>
  <c r="I1447" i="260" a="1"/>
  <c r="I1447" i="260"/>
  <c r="I1579" i="260" a="1"/>
  <c r="I1579" i="260"/>
  <c r="I1558" i="260" a="1"/>
  <c r="I1558" i="260"/>
  <c r="I1622" i="260" a="1"/>
  <c r="I1622" i="260"/>
  <c r="I1557" i="260" a="1"/>
  <c r="I1557" i="260"/>
  <c r="G1502" i="260" a="1"/>
  <c r="G1502" i="260"/>
  <c r="G1573" i="260" a="1"/>
  <c r="G1573" i="260"/>
  <c r="G1657" i="260" a="1"/>
  <c r="G1657" i="260"/>
  <c r="G1654" i="260" a="1"/>
  <c r="G1654" i="260"/>
  <c r="G1543" i="260" a="1"/>
  <c r="G1543" i="260"/>
  <c r="G1461" i="260" a="1"/>
  <c r="G1461" i="260"/>
  <c r="G1623" i="260" a="1"/>
  <c r="G1623" i="260"/>
  <c r="G1689" i="260" a="1"/>
  <c r="G1689" i="260"/>
  <c r="G1498" i="260" a="1"/>
  <c r="G1498" i="260"/>
  <c r="G1589" i="260" a="1"/>
  <c r="G1589" i="260"/>
  <c r="G1658" i="260" a="1"/>
  <c r="G1658" i="260"/>
  <c r="G1671" i="260" a="1"/>
  <c r="G1671" i="260"/>
  <c r="G1545" i="260" a="1"/>
  <c r="G1545" i="260"/>
  <c r="G1554" i="260" a="1"/>
  <c r="G1554" i="260"/>
  <c r="G1562" i="260" a="1"/>
  <c r="G1562" i="260"/>
  <c r="G1468" i="260" a="1"/>
  <c r="G1468" i="260"/>
  <c r="G1570" i="260" a="1"/>
  <c r="G1570" i="260"/>
  <c r="G1632" i="260" a="1"/>
  <c r="G1632" i="260"/>
  <c r="G1442" i="260" a="1"/>
  <c r="G1442" i="260"/>
  <c r="G1546" i="260" a="1"/>
  <c r="G1546" i="260"/>
  <c r="G1565" i="260" a="1"/>
  <c r="G1565" i="260"/>
  <c r="G1648" i="260" a="1"/>
  <c r="G1648" i="260"/>
  <c r="G1664" i="260" a="1"/>
  <c r="G1664" i="260"/>
  <c r="G1576" i="260" a="1"/>
  <c r="G1576" i="260"/>
  <c r="G1630" i="260" a="1"/>
  <c r="G1630" i="260"/>
  <c r="G1544" i="260" a="1"/>
  <c r="G1544" i="260"/>
  <c r="G1530" i="260" a="1"/>
  <c r="G1530" i="260"/>
  <c r="G1477" i="260" a="1"/>
  <c r="G1477" i="260"/>
  <c r="G1679" i="260" a="1"/>
  <c r="G1679" i="260"/>
  <c r="G1561" i="260" a="1"/>
  <c r="G1561" i="260"/>
  <c r="G1682" i="260" a="1"/>
  <c r="G1682" i="260"/>
  <c r="M1577" i="260" a="1"/>
  <c r="M1577" i="260"/>
  <c r="M1634" i="260" a="1"/>
  <c r="M1634" i="260"/>
  <c r="M1675" i="260" a="1"/>
  <c r="M1675" i="260"/>
  <c r="M1574" i="260" a="1"/>
  <c r="M1574" i="260"/>
  <c r="M1688" i="260" a="1"/>
  <c r="M1688" i="260"/>
  <c r="M1502" i="260" a="1"/>
  <c r="M1502" i="260"/>
  <c r="M1494" i="260" a="1"/>
  <c r="M1494" i="260"/>
  <c r="M1576" i="260" a="1"/>
  <c r="M1576" i="260"/>
  <c r="M1694" i="260" a="1"/>
  <c r="M1694" i="260"/>
  <c r="M1585" i="260" a="1"/>
  <c r="M1585" i="260"/>
  <c r="M1486" i="260" a="1"/>
  <c r="M1486" i="260"/>
  <c r="M1581" i="260" a="1"/>
  <c r="M1581" i="260"/>
  <c r="M1495" i="260" a="1"/>
  <c r="M1495" i="260"/>
  <c r="M1630" i="260" a="1"/>
  <c r="M1630" i="260"/>
  <c r="M1650" i="260" a="1"/>
  <c r="M1650" i="260"/>
  <c r="M1602" i="260" a="1"/>
  <c r="M1602" i="260"/>
  <c r="M1551" i="260" a="1"/>
  <c r="M1551" i="260"/>
  <c r="M1669" i="260" a="1"/>
  <c r="M1669" i="260"/>
  <c r="M1646" i="260" a="1"/>
  <c r="M1646" i="260"/>
  <c r="M1507" i="260" a="1"/>
  <c r="M1507" i="260"/>
  <c r="M1631" i="260" a="1"/>
  <c r="M1631" i="260"/>
  <c r="M1591" i="260" a="1"/>
  <c r="M1591" i="260"/>
  <c r="M1489" i="260" a="1"/>
  <c r="M1489" i="260"/>
  <c r="M1453" i="260" a="1"/>
  <c r="M1453" i="260"/>
  <c r="M1433" i="260" a="1"/>
  <c r="M1433" i="260"/>
  <c r="M1589" i="260" a="1"/>
  <c r="M1589" i="260"/>
  <c r="M1478" i="260" a="1"/>
  <c r="M1478" i="260"/>
  <c r="M1491" i="260" a="1"/>
  <c r="M1491" i="260"/>
  <c r="M1639" i="260" a="1"/>
  <c r="M1639" i="260"/>
  <c r="M1438" i="260" a="1"/>
  <c r="M1438" i="260"/>
  <c r="K1580" i="260" a="1"/>
  <c r="K1580" i="260"/>
  <c r="K1503" i="260" a="1"/>
  <c r="K1503" i="260"/>
  <c r="K1687" i="260" a="1"/>
  <c r="K1687" i="260"/>
  <c r="K1487" i="260" a="1"/>
  <c r="K1487" i="260"/>
  <c r="K1557" i="260" a="1"/>
  <c r="K1557" i="260"/>
  <c r="K1649" i="260" a="1"/>
  <c r="K1649" i="260"/>
  <c r="K1639" i="260" a="1"/>
  <c r="K1639" i="260"/>
  <c r="K1663" i="260" a="1"/>
  <c r="K1663" i="260"/>
  <c r="K1628" i="260" a="1"/>
  <c r="K1628" i="260"/>
  <c r="K1443" i="260" a="1"/>
  <c r="K1443" i="260"/>
  <c r="K1444" i="260" a="1"/>
  <c r="K1444" i="260"/>
  <c r="K1541" i="260" a="1"/>
  <c r="K1541" i="260"/>
  <c r="K1596" i="260" a="1"/>
  <c r="K1596" i="260"/>
  <c r="K1501" i="260" a="1"/>
  <c r="K1501" i="260"/>
  <c r="K1587" i="260" a="1"/>
  <c r="K1587" i="260"/>
  <c r="K1666" i="260" a="1"/>
  <c r="K1666" i="260"/>
  <c r="K1457" i="260" a="1"/>
  <c r="K1457" i="260"/>
  <c r="K1696" i="260" a="1"/>
  <c r="K1696" i="260"/>
  <c r="K1456" i="260" a="1"/>
  <c r="K1456" i="260"/>
  <c r="K1529" i="260" a="1"/>
  <c r="K1529" i="260"/>
  <c r="K1669" i="260" a="1"/>
  <c r="K1669" i="260"/>
  <c r="K1593" i="260" a="1"/>
  <c r="K1593" i="260"/>
  <c r="K1442" i="260" a="1"/>
  <c r="K1442" i="260"/>
  <c r="K1434" i="260" a="1"/>
  <c r="K1434" i="260"/>
  <c r="K1479" i="260" a="1"/>
  <c r="K1479" i="260"/>
  <c r="K1447" i="260" a="1"/>
  <c r="K1447" i="260"/>
  <c r="K1602" i="260" a="1"/>
  <c r="K1602" i="260"/>
  <c r="K1685" i="260" a="1"/>
  <c r="K1685" i="260"/>
  <c r="K1573" i="260" a="1"/>
  <c r="K1573" i="260"/>
  <c r="K1502" i="260" a="1"/>
  <c r="K1502" i="260"/>
  <c r="F1068" i="260" a="1"/>
  <c r="F1068" i="260"/>
  <c r="I1080" i="260" a="1"/>
  <c r="I1080" i="260"/>
  <c r="G1078" i="260" a="1"/>
  <c r="G1078" i="260"/>
  <c r="O1658" i="260" a="1"/>
  <c r="O1658" i="260"/>
  <c r="O1474" i="260" a="1"/>
  <c r="O1474" i="260"/>
  <c r="O1541" i="260" a="1"/>
  <c r="O1541" i="260"/>
  <c r="O1690" i="260" a="1"/>
  <c r="O1690" i="260"/>
  <c r="O1436" i="260" a="1"/>
  <c r="O1436" i="260"/>
  <c r="O1509" i="260" a="1"/>
  <c r="O1509" i="260"/>
  <c r="O1486" i="260" a="1"/>
  <c r="O1486" i="260"/>
  <c r="O1561" i="260" a="1"/>
  <c r="O1561" i="260"/>
  <c r="O1496" i="260" a="1"/>
  <c r="O1496" i="260"/>
  <c r="O1631" i="260" a="1"/>
  <c r="O1631" i="260"/>
  <c r="O1483" i="260" a="1"/>
  <c r="O1483" i="260"/>
  <c r="O1662" i="260" a="1"/>
  <c r="O1662" i="260"/>
  <c r="O1502" i="260" a="1"/>
  <c r="O1502" i="260"/>
  <c r="O1583" i="260" a="1"/>
  <c r="O1583" i="260"/>
  <c r="O1564" i="260" a="1"/>
  <c r="O1564" i="260"/>
  <c r="O1698" i="260" a="1"/>
  <c r="O1698" i="260"/>
  <c r="O1568" i="260" a="1"/>
  <c r="O1568" i="260"/>
  <c r="O1641" i="260" a="1"/>
  <c r="O1641" i="260"/>
  <c r="O1089" i="260" a="1"/>
  <c r="O1089" i="260"/>
  <c r="O1506" i="260" a="1"/>
  <c r="O1506" i="260"/>
  <c r="O1096" i="260" a="1"/>
  <c r="O1096" i="260"/>
  <c r="O1636" i="260" a="1"/>
  <c r="O1636" i="260"/>
  <c r="O1495" i="260" a="1"/>
  <c r="O1495" i="260"/>
  <c r="O1599" i="260" a="1"/>
  <c r="O1599" i="260"/>
  <c r="O1434" i="260" a="1"/>
  <c r="O1434" i="260"/>
  <c r="O1479" i="260" a="1"/>
  <c r="O1479" i="260"/>
  <c r="O1677" i="260" a="1"/>
  <c r="O1677" i="260"/>
  <c r="O1501" i="260" a="1"/>
  <c r="O1501" i="260"/>
  <c r="O1481" i="260" a="1"/>
  <c r="O1481" i="260"/>
  <c r="O1544" i="260" a="1"/>
  <c r="O1544" i="260"/>
  <c r="I1473" i="260" a="1"/>
  <c r="I1473" i="260"/>
  <c r="I1486" i="260" a="1"/>
  <c r="I1486" i="260"/>
  <c r="I1634" i="260" a="1"/>
  <c r="I1634" i="260"/>
  <c r="I1637" i="260" a="1"/>
  <c r="I1637" i="260"/>
  <c r="I1559" i="260" a="1"/>
  <c r="I1559" i="260"/>
  <c r="I1093" i="260" a="1"/>
  <c r="I1093" i="260"/>
  <c r="I1456" i="260" a="1"/>
  <c r="I1456" i="260"/>
  <c r="I1467" i="260" a="1"/>
  <c r="I1467" i="260"/>
  <c r="I1542" i="260" a="1"/>
  <c r="I1542" i="260"/>
  <c r="I1586" i="260" a="1"/>
  <c r="I1586" i="260"/>
  <c r="I1533" i="260" a="1"/>
  <c r="I1533" i="260"/>
  <c r="I1445" i="260" a="1"/>
  <c r="I1445" i="260"/>
  <c r="I1641" i="260" a="1"/>
  <c r="I1641" i="260"/>
  <c r="I1665" i="260" a="1"/>
  <c r="I1665" i="260"/>
  <c r="I1509" i="260" a="1"/>
  <c r="I1509" i="260"/>
  <c r="I1595" i="260" a="1"/>
  <c r="I1595" i="260"/>
  <c r="I1692" i="260" a="1"/>
  <c r="I1692" i="260"/>
  <c r="I1466" i="260" a="1"/>
  <c r="I1466" i="260"/>
  <c r="I1695" i="260" a="1"/>
  <c r="I1695" i="260"/>
  <c r="I1627" i="260" a="1"/>
  <c r="I1627" i="260"/>
  <c r="I1555" i="260" a="1"/>
  <c r="I1555" i="260"/>
  <c r="I1465" i="260" a="1"/>
  <c r="I1465" i="260"/>
  <c r="I1540" i="260" a="1"/>
  <c r="I1540" i="260"/>
  <c r="I1642" i="260" a="1"/>
  <c r="I1642" i="260"/>
  <c r="I1472" i="260" a="1"/>
  <c r="I1472" i="260"/>
  <c r="I1435" i="260" a="1"/>
  <c r="I1435" i="260"/>
  <c r="I1450" i="260" a="1"/>
  <c r="I1450" i="260"/>
  <c r="I1474" i="260" a="1"/>
  <c r="I1474" i="260"/>
  <c r="I1672" i="260" a="1"/>
  <c r="I1672" i="260"/>
  <c r="G1665" i="260" a="1"/>
  <c r="G1665" i="260"/>
  <c r="G1484" i="260" a="1"/>
  <c r="G1484" i="260"/>
  <c r="G1640" i="260" a="1"/>
  <c r="G1640" i="260"/>
  <c r="G1441" i="260" a="1"/>
  <c r="G1441" i="260"/>
  <c r="G1458" i="260" a="1"/>
  <c r="G1458" i="260"/>
  <c r="G1681" i="260" a="1"/>
  <c r="G1681" i="260"/>
  <c r="G1655" i="260" a="1"/>
  <c r="G1655" i="260"/>
  <c r="G1469" i="260" a="1"/>
  <c r="G1469" i="260"/>
  <c r="G1580" i="260" a="1"/>
  <c r="G1580" i="260"/>
  <c r="G1437" i="260" a="1"/>
  <c r="G1437" i="260"/>
  <c r="G1471" i="260" a="1"/>
  <c r="G1471" i="260"/>
  <c r="G1599" i="260" a="1"/>
  <c r="G1599" i="260"/>
  <c r="G1575" i="260" a="1"/>
  <c r="G1575" i="260"/>
  <c r="G1447" i="260" a="1"/>
  <c r="G1447" i="260"/>
  <c r="G1639" i="260" a="1"/>
  <c r="G1639" i="260"/>
  <c r="G1464" i="260" a="1"/>
  <c r="G1464" i="260"/>
  <c r="G1601" i="260" a="1"/>
  <c r="G1601" i="260"/>
  <c r="G1542" i="260" a="1"/>
  <c r="G1542" i="260"/>
  <c r="G1571" i="260" a="1"/>
  <c r="G1571" i="260"/>
  <c r="G1453" i="260" a="1"/>
  <c r="G1453" i="260"/>
  <c r="G1533" i="260" a="1"/>
  <c r="G1533" i="260"/>
  <c r="G1690" i="260" a="1"/>
  <c r="G1690" i="260"/>
  <c r="G1656" i="260" a="1"/>
  <c r="G1656" i="260"/>
  <c r="G1553" i="260" a="1"/>
  <c r="G1553" i="260"/>
  <c r="G1645" i="260" a="1"/>
  <c r="G1645" i="260"/>
  <c r="G1642" i="260" a="1"/>
  <c r="G1642" i="260"/>
  <c r="G1456" i="260" a="1"/>
  <c r="G1456" i="260"/>
  <c r="G1490" i="260" a="1"/>
  <c r="G1490" i="260"/>
  <c r="G1698" i="260" a="1"/>
  <c r="G1698" i="260"/>
  <c r="G1491" i="260" a="1"/>
  <c r="G1491" i="260"/>
  <c r="G1076" i="260" a="1"/>
  <c r="G1076" i="260"/>
  <c r="M1560" i="260" a="1"/>
  <c r="M1560" i="260"/>
  <c r="M1101" i="260" a="1"/>
  <c r="M1101" i="260"/>
  <c r="M1485" i="260" a="1"/>
  <c r="M1485" i="260"/>
  <c r="M1470" i="260" a="1"/>
  <c r="M1470" i="260"/>
  <c r="M1663" i="260" a="1"/>
  <c r="M1663" i="260"/>
  <c r="M1554" i="260" a="1"/>
  <c r="M1554" i="260"/>
  <c r="M1687" i="260" a="1"/>
  <c r="M1687" i="260"/>
  <c r="M1627" i="260" a="1"/>
  <c r="M1627" i="260"/>
  <c r="M1657" i="260" a="1"/>
  <c r="M1657" i="260"/>
  <c r="M1641" i="260" a="1"/>
  <c r="M1641" i="260"/>
  <c r="M1595" i="260" a="1"/>
  <c r="M1595" i="260"/>
  <c r="M1699" i="260" a="1"/>
  <c r="M1699" i="260"/>
  <c r="M1643" i="260" a="1"/>
  <c r="M1643" i="260"/>
  <c r="M1623" i="260" a="1"/>
  <c r="M1623" i="260"/>
  <c r="M1655" i="260" a="1"/>
  <c r="M1655" i="260"/>
  <c r="M1455" i="260" a="1"/>
  <c r="M1455" i="260"/>
  <c r="M1537" i="260" a="1"/>
  <c r="M1537" i="260"/>
  <c r="M1656" i="260" a="1"/>
  <c r="M1656" i="260"/>
  <c r="M1658" i="260" a="1"/>
  <c r="M1658" i="260"/>
  <c r="M1498" i="260" a="1"/>
  <c r="M1498" i="260"/>
  <c r="M1569" i="260" a="1"/>
  <c r="M1569" i="260"/>
  <c r="M1660" i="260" a="1"/>
  <c r="M1660" i="260"/>
  <c r="M1546" i="260" a="1"/>
  <c r="M1546" i="260"/>
  <c r="M1625" i="260" a="1"/>
  <c r="M1625" i="260"/>
  <c r="M1441" i="260" a="1"/>
  <c r="M1441" i="260"/>
  <c r="M1477" i="260" a="1"/>
  <c r="M1477" i="260"/>
  <c r="M1543" i="260" a="1"/>
  <c r="M1543" i="260"/>
  <c r="M1676" i="260" a="1"/>
  <c r="M1676" i="260"/>
  <c r="M1586" i="260" a="1"/>
  <c r="M1586" i="260"/>
  <c r="M1501" i="260" a="1"/>
  <c r="M1501" i="260"/>
  <c r="K1448" i="260" a="1"/>
  <c r="K1448" i="260"/>
  <c r="K1506" i="260" a="1"/>
  <c r="K1506" i="260"/>
  <c r="K1659" i="260" a="1"/>
  <c r="K1659" i="260"/>
  <c r="K1554" i="260" a="1"/>
  <c r="K1554" i="260"/>
  <c r="K1637" i="260" a="1"/>
  <c r="K1637" i="260"/>
  <c r="K1683" i="260" a="1"/>
  <c r="K1683" i="260"/>
  <c r="K1558" i="260" a="1"/>
  <c r="K1558" i="260"/>
  <c r="K1439" i="260" a="1"/>
  <c r="K1439" i="260"/>
  <c r="K1699" i="260" a="1"/>
  <c r="K1699" i="260"/>
  <c r="K1661" i="260" a="1"/>
  <c r="K1661" i="260"/>
  <c r="K1549" i="260" a="1"/>
  <c r="K1549" i="260"/>
  <c r="K1560" i="260" a="1"/>
  <c r="K1560" i="260"/>
  <c r="K1445" i="260" a="1"/>
  <c r="K1445" i="260"/>
  <c r="K1655" i="260" a="1"/>
  <c r="K1655" i="260"/>
  <c r="K1631" i="260" a="1"/>
  <c r="K1631" i="260"/>
  <c r="K1452" i="260" a="1"/>
  <c r="K1452" i="260"/>
  <c r="K1677" i="260" a="1"/>
  <c r="K1677" i="260"/>
  <c r="K1437" i="260" a="1"/>
  <c r="K1437" i="260"/>
  <c r="K1634" i="260" a="1"/>
  <c r="K1634" i="260"/>
  <c r="K1672" i="260" a="1"/>
  <c r="K1672" i="260"/>
  <c r="K1676" i="260" a="1"/>
  <c r="K1676" i="260"/>
  <c r="K1638" i="260" a="1"/>
  <c r="K1638" i="260"/>
  <c r="K1670" i="260" a="1"/>
  <c r="K1670" i="260"/>
  <c r="K1643" i="260" a="1"/>
  <c r="K1643" i="260"/>
  <c r="K1653" i="260" a="1"/>
  <c r="K1653" i="260"/>
  <c r="K1571" i="260" a="1"/>
  <c r="K1571" i="260"/>
  <c r="K1681" i="260" a="1"/>
  <c r="K1681" i="260"/>
  <c r="K1459" i="260" a="1"/>
  <c r="K1459" i="260"/>
  <c r="F1087" i="260" a="1"/>
  <c r="F1087" i="260"/>
  <c r="M1049" i="260" a="1"/>
  <c r="M1049" i="260"/>
  <c r="I1497" i="260" a="1"/>
  <c r="I1497" i="260"/>
  <c r="I1439" i="260" a="1"/>
  <c r="I1439" i="260"/>
  <c r="I1436" i="260" a="1"/>
  <c r="I1436" i="260"/>
  <c r="I1691" i="260" a="1"/>
  <c r="I1691" i="260"/>
  <c r="I1688" i="260" a="1"/>
  <c r="I1688" i="260"/>
  <c r="I1577" i="260" a="1"/>
  <c r="I1577" i="260"/>
  <c r="I1678" i="260" a="1"/>
  <c r="I1678" i="260"/>
  <c r="I1475" i="260" a="1"/>
  <c r="I1475" i="260"/>
  <c r="I1434" i="260" a="1"/>
  <c r="I1434" i="260"/>
  <c r="I1480" i="260" a="1"/>
  <c r="I1480" i="260"/>
  <c r="I1623" i="260" a="1"/>
  <c r="I1623" i="260"/>
  <c r="I1657" i="260" a="1"/>
  <c r="I1657" i="260"/>
  <c r="I1460" i="260" a="1"/>
  <c r="I1460" i="260"/>
  <c r="I1584" i="260" a="1"/>
  <c r="I1584" i="260"/>
  <c r="I1590" i="260" a="1"/>
  <c r="I1590" i="260"/>
  <c r="I1532" i="260" a="1"/>
  <c r="I1532" i="260"/>
  <c r="I1570" i="260" a="1"/>
  <c r="I1570" i="260"/>
  <c r="I1633" i="260" a="1"/>
  <c r="I1633" i="260"/>
  <c r="I1454" i="260" a="1"/>
  <c r="I1454" i="260"/>
  <c r="I1508" i="260" a="1"/>
  <c r="I1508" i="260"/>
  <c r="I1498" i="260" a="1"/>
  <c r="I1498" i="260"/>
  <c r="I1685" i="260" a="1"/>
  <c r="I1685" i="260"/>
  <c r="I1645" i="260" a="1"/>
  <c r="I1645" i="260"/>
  <c r="G1494" i="260" a="1"/>
  <c r="G1494" i="260"/>
  <c r="G1457" i="260" a="1"/>
  <c r="G1457" i="260"/>
  <c r="G1638" i="260" a="1"/>
  <c r="G1638" i="260"/>
  <c r="G1662" i="260" a="1"/>
  <c r="G1662" i="260"/>
  <c r="G1629" i="260" a="1"/>
  <c r="G1629" i="260"/>
  <c r="G1680" i="260" a="1"/>
  <c r="G1680" i="260"/>
  <c r="G1592" i="260" a="1"/>
  <c r="G1592" i="260"/>
  <c r="G1465" i="260" a="1"/>
  <c r="G1465" i="260"/>
  <c r="G1444" i="260" a="1"/>
  <c r="G1444" i="260"/>
  <c r="G1636" i="260" a="1"/>
  <c r="G1636" i="260"/>
  <c r="G1434" i="260" a="1"/>
  <c r="G1434" i="260"/>
  <c r="G1537" i="260" a="1"/>
  <c r="G1537" i="260"/>
  <c r="G1493" i="260" a="1"/>
  <c r="G1493" i="260"/>
  <c r="G1598" i="260" a="1"/>
  <c r="G1598" i="260"/>
  <c r="G1651" i="260" a="1"/>
  <c r="G1651" i="260"/>
  <c r="G1673" i="260" a="1"/>
  <c r="G1673" i="260"/>
  <c r="G1443" i="260" a="1"/>
  <c r="G1443" i="260"/>
  <c r="G1669" i="260" a="1"/>
  <c r="G1669" i="260"/>
  <c r="G1496" i="260" a="1"/>
  <c r="G1496" i="260"/>
  <c r="G1476" i="260" a="1"/>
  <c r="G1476" i="260"/>
  <c r="G1445" i="260" a="1"/>
  <c r="G1445" i="260"/>
  <c r="G1661" i="260" a="1"/>
  <c r="G1661" i="260"/>
  <c r="G1069" i="260" a="1"/>
  <c r="G1069" i="260"/>
  <c r="G1559" i="260" a="1"/>
  <c r="G1559" i="260"/>
  <c r="G1675" i="260" a="1"/>
  <c r="G1675" i="260"/>
  <c r="G1631" i="260" a="1"/>
  <c r="G1631" i="260"/>
  <c r="G1660" i="260" a="1"/>
  <c r="G1660" i="260"/>
  <c r="G1452" i="260" a="1"/>
  <c r="G1452" i="260"/>
  <c r="G1587" i="260" a="1"/>
  <c r="G1587" i="260"/>
  <c r="G1677" i="260" a="1"/>
  <c r="G1677" i="260"/>
  <c r="M1691" i="260" a="1"/>
  <c r="M1691" i="260"/>
  <c r="M1048" i="260" a="1"/>
  <c r="M1048" i="260"/>
  <c r="M1604" i="260" a="1"/>
  <c r="M1604" i="260"/>
  <c r="M1466" i="260" a="1"/>
  <c r="M1466" i="260"/>
  <c r="M1590" i="260" a="1"/>
  <c r="M1590" i="260"/>
  <c r="M1693" i="260" a="1"/>
  <c r="M1693" i="260"/>
  <c r="M1633" i="260" a="1"/>
  <c r="M1633" i="260"/>
  <c r="M1461" i="260" a="1"/>
  <c r="M1461" i="260"/>
  <c r="M1510" i="260" a="1"/>
  <c r="M1510" i="260"/>
  <c r="M1624" i="260" a="1"/>
  <c r="M1624" i="260"/>
  <c r="M1496" i="260" a="1"/>
  <c r="M1496" i="260"/>
  <c r="M1681" i="260" a="1"/>
  <c r="M1681" i="260"/>
  <c r="M1568" i="260" a="1"/>
  <c r="M1568" i="260"/>
  <c r="M1572" i="260" a="1"/>
  <c r="M1572" i="260"/>
  <c r="M1671" i="260" a="1"/>
  <c r="M1671" i="260"/>
  <c r="M1635" i="260" a="1"/>
  <c r="M1635" i="260"/>
  <c r="M1545" i="260" a="1"/>
  <c r="M1545" i="260"/>
  <c r="M1647" i="260" a="1"/>
  <c r="M1647" i="260"/>
  <c r="M1672" i="260" a="1"/>
  <c r="M1672" i="260"/>
  <c r="M1644" i="260" a="1"/>
  <c r="M1644" i="260"/>
  <c r="M1069" i="260" a="1"/>
  <c r="M1069" i="260"/>
  <c r="M1482" i="260" a="1"/>
  <c r="M1482" i="260"/>
  <c r="M1698" i="260" a="1"/>
  <c r="M1698" i="260"/>
  <c r="M1667" i="260" a="1"/>
  <c r="M1667" i="260"/>
  <c r="M1648" i="260" a="1"/>
  <c r="M1648" i="260"/>
  <c r="M1686" i="260" a="1"/>
  <c r="M1686" i="260"/>
  <c r="M1642" i="260" a="1"/>
  <c r="M1642" i="260"/>
  <c r="M1626" i="260" a="1"/>
  <c r="M1626" i="260"/>
  <c r="M1484" i="260" a="1"/>
  <c r="M1484" i="260"/>
  <c r="K1629" i="260" a="1"/>
  <c r="K1629" i="260"/>
  <c r="K1092" i="260" a="1"/>
  <c r="K1092" i="260"/>
  <c r="K1636" i="260" a="1"/>
  <c r="K1636" i="260"/>
  <c r="K1468" i="260" a="1"/>
  <c r="K1468" i="260"/>
  <c r="K1478" i="260" a="1"/>
  <c r="K1478" i="260"/>
  <c r="K1540" i="260" a="1"/>
  <c r="K1540" i="260"/>
  <c r="K1595" i="260" a="1"/>
  <c r="K1595" i="260"/>
  <c r="K1599" i="260" a="1"/>
  <c r="K1599" i="260"/>
  <c r="K1539" i="260" a="1"/>
  <c r="K1539" i="260"/>
  <c r="K1552" i="260" a="1"/>
  <c r="K1552" i="260"/>
  <c r="K1497" i="260" a="1"/>
  <c r="K1497" i="260"/>
  <c r="K1694" i="260" a="1"/>
  <c r="K1694" i="260"/>
  <c r="K1553" i="260" a="1"/>
  <c r="K1553" i="260"/>
  <c r="K1592" i="260" a="1"/>
  <c r="K1592" i="260"/>
  <c r="K1535" i="260" a="1"/>
  <c r="K1535" i="260"/>
  <c r="K1584" i="260" a="1"/>
  <c r="K1584" i="260"/>
  <c r="K1508" i="260" a="1"/>
  <c r="K1508" i="260"/>
  <c r="K1461" i="260" a="1"/>
  <c r="K1461" i="260"/>
  <c r="K1450" i="260" a="1"/>
  <c r="K1450" i="260"/>
  <c r="K1536" i="260" a="1"/>
  <c r="K1536" i="260"/>
  <c r="K1654" i="260" a="1"/>
  <c r="K1654" i="260"/>
  <c r="K1674" i="260" a="1"/>
  <c r="K1674" i="260"/>
  <c r="K1647" i="260" a="1"/>
  <c r="K1647" i="260"/>
  <c r="K1597" i="260" a="1"/>
  <c r="K1597" i="260"/>
  <c r="K1688" i="260" a="1"/>
  <c r="K1688" i="260"/>
  <c r="K1675" i="260" a="1"/>
  <c r="K1675" i="260"/>
  <c r="K1689" i="260" a="1"/>
  <c r="K1689" i="260"/>
  <c r="K1633" i="260" a="1"/>
  <c r="K1633" i="260"/>
  <c r="K1482" i="260" a="1"/>
  <c r="K1482" i="260"/>
  <c r="K1691" i="260" a="1"/>
  <c r="K1691" i="260"/>
  <c r="K1075" i="260" a="1"/>
  <c r="K1075" i="260"/>
  <c r="F1065" i="260" a="1"/>
  <c r="F1065" i="260"/>
  <c r="F1104" i="260" a="1"/>
  <c r="F1104" i="260"/>
  <c r="I1045" i="260" a="1"/>
  <c r="I1045" i="260"/>
  <c r="I1061" i="260" a="1"/>
  <c r="I1061" i="260"/>
  <c r="I1072" i="260" a="1"/>
  <c r="I1072" i="260"/>
  <c r="I1079" i="260" a="1"/>
  <c r="I1079" i="260"/>
  <c r="G1067" i="260" a="1"/>
  <c r="G1067" i="260"/>
  <c r="G1055" i="260" a="1"/>
  <c r="G1055" i="260"/>
  <c r="G1079" i="260" a="1"/>
  <c r="G1079" i="260"/>
  <c r="G1056" i="260" a="1"/>
  <c r="G1056" i="260"/>
  <c r="G1095" i="260" a="1"/>
  <c r="G1095" i="260"/>
  <c r="G1077" i="260" a="1"/>
  <c r="G1077" i="260"/>
  <c r="G1063" i="260" a="1"/>
  <c r="G1063" i="260"/>
  <c r="G1052" i="260" a="1"/>
  <c r="G1052" i="260"/>
  <c r="M1081" i="260" a="1"/>
  <c r="M1081" i="260"/>
  <c r="M1096" i="260" a="1"/>
  <c r="M1096" i="260"/>
  <c r="M1084" i="260" a="1"/>
  <c r="M1084" i="260"/>
  <c r="M1062" i="260" a="1"/>
  <c r="M1062" i="260"/>
  <c r="M1087" i="260" a="1"/>
  <c r="M1087" i="260"/>
  <c r="M1046" i="260" a="1"/>
  <c r="M1046" i="260"/>
  <c r="M1072" i="260" a="1"/>
  <c r="M1072" i="260"/>
  <c r="K1088" i="260" a="1"/>
  <c r="K1088" i="260"/>
  <c r="K1072" i="260" a="1"/>
  <c r="K1072" i="260"/>
  <c r="K1063" i="260" a="1"/>
  <c r="K1063" i="260"/>
  <c r="K1074" i="260" a="1"/>
  <c r="K1074" i="260"/>
  <c r="K1071" i="260" a="1"/>
  <c r="K1071" i="260"/>
  <c r="K1061" i="260" a="1"/>
  <c r="K1061" i="260"/>
  <c r="K1050" i="260" a="1"/>
  <c r="K1050" i="260"/>
  <c r="K1077" i="260" a="1"/>
  <c r="K1077" i="260"/>
  <c r="K1056" i="260" a="1"/>
  <c r="K1056" i="260"/>
  <c r="F1046" i="260" a="1"/>
  <c r="F1046" i="260"/>
  <c r="F1074" i="260" a="1"/>
  <c r="F1074" i="260"/>
  <c r="F1049" i="260" a="1"/>
  <c r="F1049" i="260"/>
  <c r="F1061" i="260" a="1"/>
  <c r="F1061" i="260"/>
  <c r="F1059" i="260" a="1"/>
  <c r="F1059" i="260"/>
  <c r="F1093" i="260" a="1"/>
  <c r="F1093" i="260"/>
  <c r="F1062" i="260" a="1"/>
  <c r="F1062" i="260"/>
  <c r="F1069" i="260" a="1"/>
  <c r="F1069" i="260"/>
  <c r="O1060" i="260" a="1"/>
  <c r="O1060" i="260"/>
  <c r="O1091" i="260" a="1"/>
  <c r="O1091" i="260"/>
  <c r="O1066" i="260" a="1"/>
  <c r="O1066" i="260"/>
  <c r="O1097" i="260" a="1"/>
  <c r="O1097" i="260"/>
  <c r="O1051" i="260" a="1"/>
  <c r="O1051" i="260"/>
  <c r="O1054" i="260" a="1"/>
  <c r="O1054" i="260"/>
  <c r="O1065" i="260" a="1"/>
  <c r="O1065" i="260"/>
  <c r="O1075" i="260" a="1"/>
  <c r="O1075" i="260"/>
  <c r="I1065" i="260" a="1"/>
  <c r="I1065" i="260"/>
  <c r="I1055" i="260" a="1"/>
  <c r="I1055" i="260"/>
  <c r="I1048" i="260" a="1"/>
  <c r="I1048" i="260"/>
  <c r="I1064" i="260" a="1"/>
  <c r="I1064" i="260"/>
  <c r="I1090" i="260" a="1"/>
  <c r="I1090" i="260"/>
  <c r="I1068" i="260" a="1"/>
  <c r="I1068" i="260"/>
  <c r="I1092" i="260" a="1"/>
  <c r="I1092" i="260"/>
  <c r="G1058" i="260" a="1"/>
  <c r="G1058" i="260"/>
  <c r="G1059" i="260" a="1"/>
  <c r="G1059" i="260"/>
  <c r="G1089" i="260" a="1"/>
  <c r="G1089" i="260"/>
  <c r="G1093" i="260" a="1"/>
  <c r="G1093" i="260"/>
  <c r="G1094" i="260" a="1"/>
  <c r="G1094" i="260"/>
  <c r="G1066" i="260" a="1"/>
  <c r="G1066" i="260"/>
  <c r="G1088" i="260" a="1"/>
  <c r="G1088" i="260"/>
  <c r="G1097" i="260" a="1"/>
  <c r="G1097" i="260"/>
  <c r="M1079" i="260" a="1"/>
  <c r="M1079" i="260"/>
  <c r="M1091" i="260" a="1"/>
  <c r="M1091" i="260"/>
  <c r="M1082" i="260" a="1"/>
  <c r="M1082" i="260"/>
  <c r="M1102" i="260" a="1"/>
  <c r="M1102" i="260"/>
  <c r="M1066" i="260" a="1"/>
  <c r="M1066" i="260"/>
  <c r="M1073" i="260" a="1"/>
  <c r="M1073" i="260"/>
  <c r="M1068" i="260" a="1"/>
  <c r="M1068" i="260"/>
  <c r="M1053" i="260" a="1"/>
  <c r="M1053" i="260"/>
  <c r="K1076" i="260" a="1"/>
  <c r="K1076" i="260"/>
  <c r="K1068" i="260" a="1"/>
  <c r="K1068" i="260"/>
  <c r="K1086" i="260" a="1"/>
  <c r="K1086" i="260"/>
  <c r="K1081" i="260" a="1"/>
  <c r="K1081" i="260"/>
  <c r="K1067" i="260" a="1"/>
  <c r="K1067" i="260"/>
  <c r="K1098" i="260" a="1"/>
  <c r="K1098" i="260"/>
  <c r="K1100" i="260" a="1"/>
  <c r="K1100" i="260"/>
  <c r="K1090" i="260" a="1"/>
  <c r="K1090" i="260"/>
  <c r="K1099" i="260" a="1"/>
  <c r="K1099" i="260"/>
  <c r="F1102" i="260" a="1"/>
  <c r="F1102" i="260"/>
  <c r="F1080" i="260" a="1"/>
  <c r="F1080" i="260"/>
  <c r="O1057" i="260" a="1"/>
  <c r="O1057" i="260"/>
  <c r="I1099" i="260" a="1"/>
  <c r="I1099" i="260"/>
  <c r="I1082" i="260" a="1"/>
  <c r="I1082" i="260"/>
  <c r="I1083" i="260" a="1"/>
  <c r="I1083" i="260"/>
  <c r="F1066" i="260" a="1"/>
  <c r="F1066" i="260"/>
  <c r="F1082" i="260" a="1"/>
  <c r="F1082" i="260"/>
  <c r="F1058" i="260" a="1"/>
  <c r="F1058" i="260"/>
  <c r="O1076" i="260" a="1"/>
  <c r="O1076" i="260"/>
  <c r="I1103" i="260" a="1"/>
  <c r="I1103" i="260"/>
  <c r="I1095" i="260" a="1"/>
  <c r="I1095" i="260"/>
  <c r="G1054" i="260" a="1"/>
  <c r="G1054" i="260"/>
  <c r="G1051" i="260" a="1"/>
  <c r="G1051" i="260"/>
  <c r="G1086" i="260" a="1"/>
  <c r="G1086" i="260"/>
  <c r="G1081" i="260" a="1"/>
  <c r="G1081" i="260"/>
  <c r="G1064" i="260" a="1"/>
  <c r="G1064" i="260"/>
  <c r="M1077" i="260" a="1"/>
  <c r="M1077" i="260"/>
  <c r="M1085" i="260" a="1"/>
  <c r="M1085" i="260"/>
  <c r="M1104" i="260" a="1"/>
  <c r="M1104" i="260"/>
  <c r="K1046" i="260" a="1"/>
  <c r="K1046" i="260"/>
  <c r="K1052" i="260" a="1"/>
  <c r="K1052" i="260"/>
  <c r="F1078" i="260" a="1"/>
  <c r="F1078" i="260"/>
  <c r="F1052" i="260" a="1"/>
  <c r="F1052" i="260"/>
  <c r="O1071" i="260" a="1"/>
  <c r="O1071" i="260"/>
  <c r="O1073" i="260" a="1"/>
  <c r="O1073" i="260"/>
  <c r="O1095" i="260" a="1"/>
  <c r="O1095" i="260"/>
  <c r="O1062" i="260" a="1"/>
  <c r="O1062" i="260"/>
  <c r="I1081" i="260" a="1"/>
  <c r="I1081" i="260"/>
  <c r="I1094" i="260" a="1"/>
  <c r="I1094" i="260"/>
  <c r="I1047" i="260" a="1"/>
  <c r="I1047" i="260"/>
  <c r="G1045" i="260" a="1"/>
  <c r="G1045" i="260"/>
  <c r="G1047" i="260" a="1"/>
  <c r="G1047" i="260"/>
  <c r="M1071" i="260" a="1"/>
  <c r="M1071" i="260"/>
  <c r="M1064" i="260" a="1"/>
  <c r="M1064" i="260"/>
  <c r="M1061" i="260" a="1"/>
  <c r="M1061" i="260"/>
  <c r="K1094" i="260" a="1"/>
  <c r="K1094" i="260"/>
  <c r="F1088" i="260" a="1"/>
  <c r="F1088" i="260"/>
  <c r="F1100" i="260" a="1"/>
  <c r="F1100" i="260"/>
  <c r="O1092" i="260" a="1"/>
  <c r="O1092" i="260"/>
  <c r="O1061" i="260" a="1"/>
  <c r="O1061" i="260"/>
  <c r="O1102" i="260" a="1"/>
  <c r="O1102" i="260"/>
  <c r="I1052" i="260" a="1"/>
  <c r="I1052" i="260"/>
  <c r="F1101" i="260" a="1"/>
  <c r="F1101" i="260"/>
  <c r="F1050" i="260" a="1"/>
  <c r="F1050" i="260"/>
  <c r="O1103" i="260" a="1"/>
  <c r="O1103" i="260"/>
  <c r="O1087" i="260" a="1"/>
  <c r="O1087" i="260"/>
  <c r="O1081" i="260" a="1"/>
  <c r="O1081" i="260"/>
  <c r="O1077" i="260" a="1"/>
  <c r="O1077" i="260"/>
  <c r="I1050" i="260" a="1"/>
  <c r="I1050" i="260"/>
  <c r="G1104" i="260" a="1"/>
  <c r="G1104" i="260"/>
  <c r="M1056" i="260" a="1"/>
  <c r="M1056" i="260"/>
  <c r="M1100" i="260" a="1"/>
  <c r="M1100" i="260"/>
  <c r="K1095" i="260" a="1"/>
  <c r="K1095" i="260"/>
  <c r="K1101" i="260" a="1"/>
  <c r="K1101" i="260"/>
  <c r="K1051" i="260" a="1"/>
  <c r="K1051" i="260"/>
  <c r="K1091" i="260" a="1"/>
  <c r="K1091" i="260"/>
  <c r="F1048" i="260" a="1"/>
  <c r="F1048" i="260"/>
  <c r="F1053" i="260" a="1"/>
  <c r="F1053" i="260"/>
  <c r="F1103" i="260" a="1"/>
  <c r="F1103" i="260"/>
  <c r="O1048" i="260" a="1"/>
  <c r="O1048" i="260"/>
  <c r="O1083" i="260" a="1"/>
  <c r="O1083" i="260"/>
  <c r="O1063" i="260" a="1"/>
  <c r="O1063" i="260"/>
  <c r="O1074" i="260" a="1"/>
  <c r="O1074" i="260"/>
  <c r="I1078" i="260" a="1"/>
  <c r="I1078" i="260"/>
  <c r="G1061" i="260" a="1"/>
  <c r="G1061" i="260"/>
  <c r="G1102" i="260" a="1"/>
  <c r="G1102" i="260"/>
  <c r="M1089" i="260" a="1"/>
  <c r="M1089" i="260"/>
  <c r="M1090" i="260" a="1"/>
  <c r="M1090" i="260"/>
  <c r="M1099" i="260" a="1"/>
  <c r="M1099" i="260"/>
  <c r="M1076" i="260" a="1"/>
  <c r="M1076" i="260"/>
  <c r="K1057" i="260" a="1"/>
  <c r="K1057" i="260"/>
  <c r="K1103" i="260" a="1"/>
  <c r="K1103" i="260"/>
  <c r="K1093" i="260" a="1"/>
  <c r="K1093" i="260"/>
  <c r="F1072" i="260" a="1"/>
  <c r="F1072" i="260"/>
  <c r="F1064" i="260" a="1"/>
  <c r="F1064" i="260"/>
  <c r="F1060" i="260" a="1"/>
  <c r="F1060" i="260"/>
  <c r="F1086" i="260" a="1"/>
  <c r="F1086" i="260"/>
  <c r="F1057" i="260" a="1"/>
  <c r="F1057" i="260"/>
  <c r="F1075" i="260" a="1"/>
  <c r="F1075" i="260"/>
  <c r="F1051" i="260" a="1"/>
  <c r="F1051" i="260"/>
  <c r="F1045" i="260" a="1"/>
  <c r="F1045" i="260"/>
  <c r="O1084" i="260" a="1"/>
  <c r="O1084" i="260"/>
  <c r="O1072" i="260" a="1"/>
  <c r="O1072" i="260"/>
  <c r="O1067" i="260" a="1"/>
  <c r="O1067" i="260"/>
  <c r="O1052" i="260" a="1"/>
  <c r="O1052" i="260"/>
  <c r="O1058" i="260" a="1"/>
  <c r="O1058" i="260"/>
  <c r="O1090" i="260" a="1"/>
  <c r="O1090" i="260"/>
  <c r="O1046" i="260" a="1"/>
  <c r="O1046" i="260"/>
  <c r="O1068" i="260" a="1"/>
  <c r="O1068" i="260"/>
  <c r="O1101" i="260" a="1"/>
  <c r="O1101" i="260"/>
  <c r="O1086" i="260" a="1"/>
  <c r="O1086" i="260"/>
  <c r="I1070" i="260" a="1"/>
  <c r="I1070" i="260"/>
  <c r="I1059" i="260" a="1"/>
  <c r="I1059" i="260"/>
  <c r="I1046" i="260" a="1"/>
  <c r="I1046" i="260"/>
  <c r="I1097" i="260" a="1"/>
  <c r="I1097" i="260"/>
  <c r="I1091" i="260" a="1"/>
  <c r="I1091" i="260"/>
  <c r="I1076" i="260" a="1"/>
  <c r="I1076" i="260"/>
  <c r="G1096" i="260" a="1"/>
  <c r="G1096" i="260"/>
  <c r="G1087" i="260" a="1"/>
  <c r="G1087" i="260"/>
  <c r="G1082" i="260" a="1"/>
  <c r="G1082" i="260"/>
  <c r="G1083" i="260" a="1"/>
  <c r="G1083" i="260"/>
  <c r="G1044" i="260" a="1"/>
  <c r="G1044" i="260"/>
  <c r="G1068" i="260" a="1"/>
  <c r="G1068" i="260"/>
  <c r="G1075" i="260" a="1"/>
  <c r="G1075" i="260"/>
  <c r="M1067" i="260" a="1"/>
  <c r="M1067" i="260"/>
  <c r="M1088" i="260" a="1"/>
  <c r="M1088" i="260"/>
  <c r="M1080" i="260" a="1"/>
  <c r="M1080" i="260"/>
  <c r="M1074" i="260" a="1"/>
  <c r="M1074" i="260"/>
  <c r="M1050" i="260" a="1"/>
  <c r="M1050" i="260"/>
  <c r="M1045" i="260" a="1"/>
  <c r="M1045" i="260"/>
  <c r="M1055" i="260" a="1"/>
  <c r="M1055" i="260"/>
  <c r="K1084" i="260" a="1"/>
  <c r="K1084" i="260"/>
  <c r="K1045" i="260" a="1"/>
  <c r="K1045" i="260"/>
  <c r="K1049" i="260" a="1"/>
  <c r="K1049" i="260"/>
  <c r="K1060" i="260" a="1"/>
  <c r="K1060" i="260"/>
  <c r="K1102" i="260" a="1"/>
  <c r="K1102" i="260"/>
  <c r="K1048" i="260" a="1"/>
  <c r="K1048" i="260"/>
  <c r="F1071" i="260" a="1"/>
  <c r="F1071" i="260"/>
  <c r="F1054" i="260" a="1"/>
  <c r="F1054" i="260"/>
  <c r="F1055" i="260" a="1"/>
  <c r="F1055" i="260"/>
  <c r="F1085" i="260" a="1"/>
  <c r="F1085" i="260"/>
  <c r="F1056" i="260" a="1"/>
  <c r="F1056" i="260"/>
  <c r="F1094" i="260" a="1"/>
  <c r="F1094" i="260"/>
  <c r="F1084" i="260" a="1"/>
  <c r="F1084" i="260"/>
  <c r="F1077" i="260" a="1"/>
  <c r="F1077" i="260"/>
  <c r="O1100" i="260" a="1"/>
  <c r="O1100" i="260"/>
  <c r="O1045" i="260" a="1"/>
  <c r="O1045" i="260"/>
  <c r="O1088" i="260" a="1"/>
  <c r="O1088" i="260"/>
  <c r="O1079" i="260" a="1"/>
  <c r="O1079" i="260"/>
  <c r="O1098" i="260" a="1"/>
  <c r="O1098" i="260"/>
  <c r="O1049" i="260" a="1"/>
  <c r="O1049" i="260"/>
  <c r="I1088" i="260" a="1"/>
  <c r="I1088" i="260"/>
  <c r="I1060" i="260" a="1"/>
  <c r="I1060" i="260"/>
  <c r="I1062" i="260" a="1"/>
  <c r="I1062" i="260"/>
  <c r="I1063" i="260" a="1"/>
  <c r="I1063" i="260"/>
  <c r="I1067" i="260" a="1"/>
  <c r="I1067" i="260"/>
  <c r="I1044" i="260" a="1"/>
  <c r="I1044" i="260"/>
  <c r="I1069" i="260" a="1"/>
  <c r="I1069" i="260"/>
  <c r="I1074" i="260" a="1"/>
  <c r="I1074" i="260"/>
  <c r="I1089" i="260" a="1"/>
  <c r="I1089" i="260"/>
  <c r="G1084" i="260" a="1"/>
  <c r="G1084" i="260"/>
  <c r="G1074" i="260" a="1"/>
  <c r="G1074" i="260"/>
  <c r="G1070" i="260" a="1"/>
  <c r="G1070" i="260"/>
  <c r="G1099" i="260" a="1"/>
  <c r="G1099" i="260"/>
  <c r="G1091" i="260" a="1"/>
  <c r="G1091" i="260"/>
  <c r="G1046" i="260" a="1"/>
  <c r="G1046" i="260"/>
  <c r="G1090" i="260" a="1"/>
  <c r="G1090" i="260"/>
  <c r="M1059" i="260" a="1"/>
  <c r="M1059" i="260"/>
  <c r="M1057" i="260" a="1"/>
  <c r="M1057" i="260"/>
  <c r="M1070" i="260" a="1"/>
  <c r="M1070" i="260"/>
  <c r="M1063" i="260" a="1"/>
  <c r="M1063" i="260"/>
  <c r="M1047" i="260" a="1"/>
  <c r="M1047" i="260"/>
  <c r="M1075" i="260" a="1"/>
  <c r="M1075" i="260"/>
  <c r="M1092" i="260" a="1"/>
  <c r="M1092" i="260"/>
  <c r="M1078" i="260" a="1"/>
  <c r="M1078" i="260"/>
  <c r="K1053" i="260" a="1"/>
  <c r="K1053" i="260"/>
  <c r="K1055" i="260" a="1"/>
  <c r="K1055" i="260"/>
  <c r="K1044" i="260" a="1"/>
  <c r="K1044" i="260"/>
  <c r="K1047" i="260" a="1"/>
  <c r="K1047" i="260"/>
  <c r="K1070" i="260" a="1"/>
  <c r="K1070" i="260"/>
  <c r="K1096" i="260" a="1"/>
  <c r="K1096" i="260"/>
  <c r="K1089" i="260" a="1"/>
  <c r="K1089" i="260"/>
  <c r="F1099" i="260" a="1"/>
  <c r="F1099" i="260"/>
  <c r="F1090" i="260" a="1"/>
  <c r="F1090" i="260"/>
  <c r="O1078" i="260" a="1"/>
  <c r="O1078" i="260"/>
  <c r="O1064" i="260" a="1"/>
  <c r="O1064" i="260"/>
  <c r="I1102" i="260" a="1"/>
  <c r="I1102" i="260"/>
  <c r="F1076" i="260" a="1"/>
  <c r="F1076" i="260"/>
  <c r="O1085" i="260" a="1"/>
  <c r="O1085" i="260"/>
  <c r="O1047" i="260" a="1"/>
  <c r="O1047" i="260"/>
  <c r="I1086" i="260" a="1"/>
  <c r="I1086" i="260"/>
  <c r="I1049" i="260" a="1"/>
  <c r="I1049" i="260"/>
  <c r="I1075" i="260" a="1"/>
  <c r="I1075" i="260"/>
  <c r="G1098" i="260" a="1"/>
  <c r="G1098" i="260"/>
  <c r="G1101" i="260" a="1"/>
  <c r="G1101" i="260"/>
  <c r="M1097" i="260" a="1"/>
  <c r="M1097" i="260"/>
  <c r="M1054" i="260" a="1"/>
  <c r="M1054" i="260"/>
  <c r="M1065" i="260" a="1"/>
  <c r="M1065" i="260"/>
  <c r="K1066" i="260" a="1"/>
  <c r="K1066" i="260"/>
  <c r="K1054" i="260" a="1"/>
  <c r="K1054" i="260"/>
  <c r="K1083" i="260" a="1"/>
  <c r="K1083" i="260"/>
  <c r="F1047" i="260" a="1"/>
  <c r="F1047" i="260"/>
  <c r="I1101" i="260" a="1"/>
  <c r="I1101" i="260"/>
  <c r="I1098" i="260" a="1"/>
  <c r="I1098" i="260"/>
  <c r="G1092" i="260" a="1"/>
  <c r="G1092" i="260"/>
  <c r="G1060" i="260" a="1"/>
  <c r="G1060" i="260"/>
  <c r="G1048" i="260" a="1"/>
  <c r="G1048" i="260"/>
  <c r="G1072" i="260" a="1"/>
  <c r="G1072" i="260"/>
  <c r="K1062" i="260" a="1"/>
  <c r="K1062" i="260"/>
  <c r="K1078" i="260" a="1"/>
  <c r="K1078" i="260"/>
  <c r="K1058" i="260" a="1"/>
  <c r="K1058" i="260"/>
  <c r="F1070" i="260" a="1"/>
  <c r="F1070" i="260"/>
  <c r="F1063" i="260" a="1"/>
  <c r="F1063" i="260"/>
  <c r="F1081" i="260" a="1"/>
  <c r="F1081" i="260"/>
  <c r="F1079" i="260" a="1"/>
  <c r="F1079" i="260"/>
  <c r="F1095" i="260" a="1"/>
  <c r="F1095" i="260"/>
  <c r="F1098" i="260" a="1"/>
  <c r="F1098" i="260"/>
  <c r="F1044" i="260" a="1"/>
  <c r="F1044" i="260"/>
  <c r="O1055" i="260" a="1"/>
  <c r="O1055" i="260"/>
  <c r="O1093" i="260" a="1"/>
  <c r="O1093" i="260"/>
  <c r="O1050" i="260" a="1"/>
  <c r="O1050" i="260"/>
  <c r="O1070" i="260" a="1"/>
  <c r="O1070" i="260"/>
  <c r="O1099" i="260" a="1"/>
  <c r="O1099" i="260"/>
  <c r="O1104" i="260" a="1"/>
  <c r="O1104" i="260"/>
  <c r="O1069" i="260" a="1"/>
  <c r="O1069" i="260"/>
  <c r="I1057" i="260" a="1"/>
  <c r="I1057" i="260"/>
  <c r="I1077" i="260" a="1"/>
  <c r="I1077" i="260"/>
  <c r="I1054" i="260" a="1"/>
  <c r="I1054" i="260"/>
  <c r="I1056" i="260" a="1"/>
  <c r="I1056" i="260"/>
  <c r="I1053" i="260" a="1"/>
  <c r="I1053" i="260"/>
  <c r="I1104" i="260" a="1"/>
  <c r="I1104" i="260"/>
  <c r="I1100" i="260" a="1"/>
  <c r="I1100" i="260"/>
  <c r="G1053" i="260" a="1"/>
  <c r="G1053" i="260"/>
  <c r="G1100" i="260" a="1"/>
  <c r="G1100" i="260"/>
  <c r="G1057" i="260" a="1"/>
  <c r="G1057" i="260"/>
  <c r="G1103" i="260" a="1"/>
  <c r="G1103" i="260"/>
  <c r="G1065" i="260" a="1"/>
  <c r="G1065" i="260"/>
  <c r="G1080" i="260" a="1"/>
  <c r="G1080" i="260"/>
  <c r="M1083" i="260" a="1"/>
  <c r="M1083" i="260"/>
  <c r="M1060" i="260" a="1"/>
  <c r="M1060" i="260"/>
  <c r="M1086" i="260" a="1"/>
  <c r="M1086" i="260"/>
  <c r="M1093" i="260" a="1"/>
  <c r="M1093" i="260"/>
  <c r="M1044" i="260" a="1"/>
  <c r="M1044" i="260"/>
  <c r="K1059" i="260" a="1"/>
  <c r="K1059" i="260"/>
  <c r="K1104" i="260" a="1"/>
  <c r="K1104" i="260"/>
  <c r="K1073" i="260" a="1"/>
  <c r="K1073" i="260"/>
  <c r="K1064" i="260" a="1"/>
  <c r="K1064" i="260"/>
  <c r="K1079" i="260" a="1"/>
  <c r="K1079" i="260"/>
  <c r="L768" i="260"/>
  <c r="L1671" i="260" a="1"/>
  <c r="L1671" i="260"/>
  <c r="N768" i="260"/>
  <c r="N1640" i="260" a="1"/>
  <c r="N1640" i="260"/>
  <c r="H768" i="260"/>
  <c r="H1499" i="260" a="1"/>
  <c r="H1499" i="260"/>
  <c r="J768" i="260"/>
  <c r="J1436" i="260" a="1"/>
  <c r="J1436" i="260"/>
  <c r="J1555" i="260" a="1"/>
  <c r="J1555" i="260"/>
  <c r="J1661" i="260" a="1"/>
  <c r="J1661" i="260"/>
  <c r="H1439" i="260" a="1"/>
  <c r="H1439" i="260"/>
  <c r="H1576" i="260" a="1"/>
  <c r="H1576" i="260"/>
  <c r="H1471" i="260" a="1"/>
  <c r="H1471" i="260"/>
  <c r="L1574" i="260" a="1"/>
  <c r="L1574" i="260"/>
  <c r="J1543" i="260" a="1"/>
  <c r="J1543" i="260"/>
  <c r="N1628" i="260" a="1"/>
  <c r="N1628" i="260"/>
  <c r="N1669" i="260" a="1"/>
  <c r="N1669" i="260"/>
  <c r="H1502" i="260" a="1"/>
  <c r="H1502" i="260"/>
  <c r="H1489" i="260" a="1"/>
  <c r="H1489" i="260"/>
  <c r="L1534" i="260" a="1"/>
  <c r="L1534" i="260"/>
  <c r="N1497" i="260" a="1"/>
  <c r="N1497" i="260"/>
  <c r="L1601" i="260" a="1"/>
  <c r="L1601" i="260"/>
  <c r="L1455" i="260" a="1"/>
  <c r="L1455" i="260"/>
  <c r="J1453" i="260" a="1"/>
  <c r="J1453" i="260"/>
  <c r="N1645" i="260" a="1"/>
  <c r="N1645" i="260"/>
  <c r="J1549" i="260" a="1"/>
  <c r="J1549" i="260"/>
  <c r="L1552" i="260" a="1"/>
  <c r="L1552" i="260"/>
  <c r="N1459" i="260" a="1"/>
  <c r="N1459" i="260"/>
  <c r="L1476" i="260" a="1"/>
  <c r="L1476" i="260"/>
  <c r="N1626" i="260" a="1"/>
  <c r="N1626" i="260"/>
  <c r="L1663" i="260" a="1"/>
  <c r="L1663" i="260"/>
  <c r="N1444" i="260" a="1"/>
  <c r="N1444" i="260"/>
  <c r="H1585" i="260" a="1"/>
  <c r="H1585" i="260"/>
  <c r="H1549" i="260" a="1"/>
  <c r="H1549" i="260"/>
  <c r="H1444" i="260" a="1"/>
  <c r="H1444" i="260"/>
  <c r="N1506" i="260" a="1"/>
  <c r="N1506" i="260"/>
  <c r="N1496" i="260" a="1"/>
  <c r="N1496" i="260"/>
  <c r="N1503" i="260" a="1"/>
  <c r="N1503" i="260"/>
  <c r="J1557" i="260" a="1"/>
  <c r="J1557" i="260"/>
  <c r="H1556" i="260" a="1"/>
  <c r="H1556" i="260"/>
  <c r="H1482" i="260" a="1"/>
  <c r="H1482" i="260"/>
  <c r="H1671" i="260" a="1"/>
  <c r="H1671" i="260"/>
  <c r="H1629" i="260" a="1"/>
  <c r="H1629" i="260"/>
  <c r="H1696" i="260" a="1"/>
  <c r="H1696" i="260"/>
  <c r="H1505" i="260" a="1"/>
  <c r="H1505" i="260"/>
  <c r="H1561" i="260" a="1"/>
  <c r="H1561" i="260"/>
  <c r="L1665" i="260" a="1"/>
  <c r="L1665" i="260"/>
  <c r="L1580" i="260" a="1"/>
  <c r="L1580" i="260"/>
  <c r="L1478" i="260" a="1"/>
  <c r="L1478" i="260"/>
  <c r="L1468" i="260" a="1"/>
  <c r="L1468" i="260"/>
  <c r="L1459" i="260" a="1"/>
  <c r="L1459" i="260"/>
  <c r="L1435" i="260" a="1"/>
  <c r="L1435" i="260"/>
  <c r="L1446" i="260" a="1"/>
  <c r="L1446" i="260"/>
  <c r="N1674" i="260" a="1"/>
  <c r="N1674" i="260"/>
  <c r="N1530" i="260" a="1"/>
  <c r="N1530" i="260"/>
  <c r="N1549" i="260" a="1"/>
  <c r="N1549" i="260"/>
  <c r="N1629" i="260" a="1"/>
  <c r="N1629" i="260"/>
  <c r="N1699" i="260" a="1"/>
  <c r="N1699" i="260"/>
  <c r="N1632" i="260" a="1"/>
  <c r="N1632" i="260"/>
  <c r="N1439" i="260" a="1"/>
  <c r="N1439" i="260"/>
  <c r="J1571" i="260" a="1"/>
  <c r="J1571" i="260"/>
  <c r="J1644" i="260" a="1"/>
  <c r="J1644" i="260"/>
  <c r="J1592" i="260" a="1"/>
  <c r="J1592" i="260"/>
  <c r="J1488" i="260" a="1"/>
  <c r="J1488" i="260"/>
  <c r="H1494" i="260" a="1"/>
  <c r="H1494" i="260"/>
  <c r="H1456" i="260" a="1"/>
  <c r="H1456" i="260"/>
  <c r="L1676" i="260" a="1"/>
  <c r="L1676" i="260"/>
  <c r="L1496" i="260" a="1"/>
  <c r="L1496" i="260"/>
  <c r="L1498" i="260" a="1"/>
  <c r="L1498" i="260"/>
  <c r="N1656" i="260" a="1"/>
  <c r="N1656" i="260"/>
  <c r="J1559" i="260" a="1"/>
  <c r="J1559" i="260"/>
  <c r="H1436" i="260" a="1"/>
  <c r="H1436" i="260"/>
  <c r="H1592" i="260" a="1"/>
  <c r="H1592" i="260"/>
  <c r="L1595" i="260" a="1"/>
  <c r="L1595" i="260"/>
  <c r="L1475" i="260" a="1"/>
  <c r="L1475" i="260"/>
  <c r="L1628" i="260" a="1"/>
  <c r="L1628" i="260"/>
  <c r="L1545" i="260" a="1"/>
  <c r="L1545" i="260"/>
  <c r="L1555" i="260" a="1"/>
  <c r="L1555" i="260"/>
  <c r="N1662" i="260" a="1"/>
  <c r="N1662" i="260"/>
  <c r="N1657" i="260" a="1"/>
  <c r="N1657" i="260"/>
  <c r="N1529" i="260" a="1"/>
  <c r="N1529" i="260"/>
  <c r="N1481" i="260" a="1"/>
  <c r="N1481" i="260"/>
  <c r="N1479" i="260" a="1"/>
  <c r="N1479" i="260"/>
  <c r="N1462" i="260" a="1"/>
  <c r="N1462" i="260"/>
  <c r="N1691" i="260" a="1"/>
  <c r="N1691" i="260"/>
  <c r="J1603" i="260" a="1"/>
  <c r="J1603" i="260"/>
  <c r="J1439" i="260" a="1"/>
  <c r="J1439" i="260"/>
  <c r="J1440" i="260" a="1"/>
  <c r="J1440" i="260"/>
  <c r="J1625" i="260" a="1"/>
  <c r="J1625" i="260"/>
  <c r="N1096" i="260" a="1"/>
  <c r="N1096" i="260"/>
  <c r="J1052" i="260" a="1"/>
  <c r="J1052" i="260"/>
  <c r="N1102" i="260" a="1"/>
  <c r="N1102" i="260"/>
  <c r="H1493" i="260" a="1"/>
  <c r="H1493" i="260"/>
  <c r="H1623" i="260" a="1"/>
  <c r="H1623" i="260"/>
  <c r="H1446" i="260" a="1"/>
  <c r="H1446" i="260"/>
  <c r="L1602" i="260" a="1"/>
  <c r="L1602" i="260"/>
  <c r="L1677" i="260" a="1"/>
  <c r="L1677" i="260"/>
  <c r="L1565" i="260" a="1"/>
  <c r="L1565" i="260"/>
  <c r="N1453" i="260" a="1"/>
  <c r="N1453" i="260"/>
  <c r="N1542" i="260" a="1"/>
  <c r="N1542" i="260"/>
  <c r="N1466" i="260" a="1"/>
  <c r="N1466" i="260"/>
  <c r="J1472" i="260" a="1"/>
  <c r="J1472" i="260"/>
  <c r="H1653" i="260" a="1"/>
  <c r="H1653" i="260"/>
  <c r="H1435" i="260" a="1"/>
  <c r="H1435" i="260"/>
  <c r="H1473" i="260" a="1"/>
  <c r="H1473" i="260"/>
  <c r="L1660" i="260" a="1"/>
  <c r="L1660" i="260"/>
  <c r="H1462" i="260" a="1"/>
  <c r="H1462" i="260"/>
  <c r="H1687" i="260" a="1"/>
  <c r="H1687" i="260"/>
  <c r="H1578" i="260" a="1"/>
  <c r="H1578" i="260"/>
  <c r="L1536" i="260" a="1"/>
  <c r="L1536" i="260"/>
  <c r="L1600" i="260" a="1"/>
  <c r="L1600" i="260"/>
  <c r="L1501" i="260" a="1"/>
  <c r="L1501" i="260"/>
  <c r="L1433" i="260" a="1"/>
  <c r="L1433" i="260"/>
  <c r="L1510" i="260" a="1"/>
  <c r="L1510" i="260"/>
  <c r="N1571" i="260" a="1"/>
  <c r="N1571" i="260"/>
  <c r="N1646" i="260" a="1"/>
  <c r="N1646" i="260"/>
  <c r="N1625" i="260" a="1"/>
  <c r="N1625" i="260"/>
  <c r="J1441" i="260" a="1"/>
  <c r="J1441" i="260"/>
  <c r="J1462" i="260" a="1"/>
  <c r="J1462" i="260"/>
  <c r="J1673" i="260" a="1"/>
  <c r="J1673" i="260"/>
  <c r="M1621" i="260" a="1"/>
  <c r="M1621" i="260"/>
  <c r="M1705" i="260" a="1"/>
  <c r="M1705" i="260"/>
  <c r="H1665" i="260" a="1"/>
  <c r="H1665" i="260"/>
  <c r="H1508" i="260" a="1"/>
  <c r="H1508" i="260"/>
  <c r="H1442" i="260" a="1"/>
  <c r="H1442" i="260"/>
  <c r="H1487" i="260" a="1"/>
  <c r="H1487" i="260"/>
  <c r="H1581" i="260" a="1"/>
  <c r="H1581" i="260"/>
  <c r="H1450" i="260" a="1"/>
  <c r="H1450" i="260"/>
  <c r="H1460" i="260" a="1"/>
  <c r="H1460" i="260"/>
  <c r="L1494" i="260" a="1"/>
  <c r="L1494" i="260"/>
  <c r="L1482" i="260" a="1"/>
  <c r="L1482" i="260"/>
  <c r="L1590" i="260" a="1"/>
  <c r="L1590" i="260"/>
  <c r="L1450" i="260" a="1"/>
  <c r="L1450" i="260"/>
  <c r="L1686" i="260" a="1"/>
  <c r="L1686" i="260"/>
  <c r="L1540" i="260" a="1"/>
  <c r="L1540" i="260"/>
  <c r="L1472" i="260" a="1"/>
  <c r="L1472" i="260"/>
  <c r="L1439" i="260" a="1"/>
  <c r="L1439" i="260"/>
  <c r="N1591" i="260" a="1"/>
  <c r="N1591" i="260"/>
  <c r="N1468" i="260" a="1"/>
  <c r="N1468" i="260"/>
  <c r="N1440" i="260" a="1"/>
  <c r="N1440" i="260"/>
  <c r="N1574" i="260" a="1"/>
  <c r="N1574" i="260"/>
  <c r="N1564" i="260" a="1"/>
  <c r="N1564" i="260"/>
  <c r="N1566" i="260" a="1"/>
  <c r="N1566" i="260"/>
  <c r="J1433" i="260" a="1"/>
  <c r="J1433" i="260"/>
  <c r="J1631" i="260" a="1"/>
  <c r="J1631" i="260"/>
  <c r="J1540" i="260" a="1"/>
  <c r="J1540" i="260"/>
  <c r="N1460" i="260" a="1"/>
  <c r="N1460" i="260"/>
  <c r="J1566" i="260" a="1"/>
  <c r="J1566" i="260"/>
  <c r="G1621" i="260" a="1"/>
  <c r="G1621" i="260"/>
  <c r="G1709" i="260" a="1"/>
  <c r="G1709" i="260"/>
  <c r="M1527" i="260" a="1"/>
  <c r="M1527" i="260"/>
  <c r="M1610" i="260" a="1"/>
  <c r="M1610" i="260"/>
  <c r="G1432" i="260" a="1"/>
  <c r="G1432" i="260"/>
  <c r="G1517" i="260" a="1"/>
  <c r="G1517" i="260"/>
  <c r="H1563" i="260" a="1"/>
  <c r="H1563" i="260"/>
  <c r="H1637" i="260" a="1"/>
  <c r="H1637" i="260"/>
  <c r="L1583" i="260" a="1"/>
  <c r="L1583" i="260"/>
  <c r="H1568" i="260" a="1"/>
  <c r="H1568" i="260"/>
  <c r="H1698" i="260" a="1"/>
  <c r="H1698" i="260"/>
  <c r="H1484" i="260" a="1"/>
  <c r="H1484" i="260"/>
  <c r="H1535" i="260" a="1"/>
  <c r="H1535" i="260"/>
  <c r="L1598" i="260" a="1"/>
  <c r="L1598" i="260"/>
  <c r="L1652" i="260" a="1"/>
  <c r="L1652" i="260"/>
  <c r="L1560" i="260" a="1"/>
  <c r="L1560" i="260"/>
  <c r="N1569" i="260" a="1"/>
  <c r="N1569" i="260"/>
  <c r="N1572" i="260" a="1"/>
  <c r="N1572" i="260"/>
  <c r="N1689" i="260" a="1"/>
  <c r="N1689" i="260"/>
  <c r="N1562" i="260" a="1"/>
  <c r="N1562" i="260"/>
  <c r="J1466" i="260" a="1"/>
  <c r="J1466" i="260"/>
  <c r="J1682" i="260" a="1"/>
  <c r="J1682" i="260"/>
  <c r="H1667" i="260" a="1"/>
  <c r="H1667" i="260"/>
  <c r="H1496" i="260" a="1"/>
  <c r="H1496" i="260"/>
  <c r="H1533" i="260" a="1"/>
  <c r="H1533" i="260"/>
  <c r="H1445" i="260" a="1"/>
  <c r="H1445" i="260"/>
  <c r="H1559" i="260" a="1"/>
  <c r="H1559" i="260"/>
  <c r="H1510" i="260" a="1"/>
  <c r="H1510" i="260"/>
  <c r="H1622" i="260" a="1"/>
  <c r="H1622" i="260"/>
  <c r="H1569" i="260" a="1"/>
  <c r="H1569" i="260"/>
  <c r="L1653" i="260" a="1"/>
  <c r="L1653" i="260"/>
  <c r="L1506" i="260" a="1"/>
  <c r="L1506" i="260"/>
  <c r="L1633" i="260" a="1"/>
  <c r="L1633" i="260"/>
  <c r="L1604" i="260" a="1"/>
  <c r="L1604" i="260"/>
  <c r="L1623" i="260" a="1"/>
  <c r="L1623" i="260"/>
  <c r="L1596" i="260" a="1"/>
  <c r="L1596" i="260"/>
  <c r="L1479" i="260" a="1"/>
  <c r="L1479" i="260"/>
  <c r="N1684" i="260" a="1"/>
  <c r="N1684" i="260"/>
  <c r="N1438" i="260" a="1"/>
  <c r="N1438" i="260"/>
  <c r="N1631" i="260" a="1"/>
  <c r="N1631" i="260"/>
  <c r="N1641" i="260" a="1"/>
  <c r="N1641" i="260"/>
  <c r="N1698" i="260" a="1"/>
  <c r="N1698" i="260"/>
  <c r="N1693" i="260" a="1"/>
  <c r="N1693" i="260"/>
  <c r="N1559" i="260" a="1"/>
  <c r="N1559" i="260"/>
  <c r="N1653" i="260" a="1"/>
  <c r="N1653" i="260"/>
  <c r="J1463" i="260" a="1"/>
  <c r="J1463" i="260"/>
  <c r="J1639" i="260" a="1"/>
  <c r="J1639" i="260"/>
  <c r="J1601" i="260" a="1"/>
  <c r="J1601" i="260"/>
  <c r="L1062" i="260" a="1"/>
  <c r="L1062" i="260"/>
  <c r="J1583" i="260" a="1"/>
  <c r="J1583" i="260"/>
  <c r="H1457" i="260" a="1"/>
  <c r="H1457" i="260"/>
  <c r="N1635" i="260" a="1"/>
  <c r="N1635" i="260"/>
  <c r="H1507" i="260" a="1"/>
  <c r="H1507" i="260"/>
  <c r="H1479" i="260" a="1"/>
  <c r="H1479" i="260"/>
  <c r="H1584" i="260" a="1"/>
  <c r="H1584" i="260"/>
  <c r="H1440" i="260" a="1"/>
  <c r="H1440" i="260"/>
  <c r="H1651" i="260" a="1"/>
  <c r="H1651" i="260"/>
  <c r="H1474" i="260" a="1"/>
  <c r="H1474" i="260"/>
  <c r="H1437" i="260" a="1"/>
  <c r="H1437" i="260"/>
  <c r="L1635" i="260" a="1"/>
  <c r="L1635" i="260"/>
  <c r="L1483" i="260" a="1"/>
  <c r="L1483" i="260"/>
  <c r="L1681" i="260" a="1"/>
  <c r="L1681" i="260"/>
  <c r="L1585" i="260" a="1"/>
  <c r="L1585" i="260"/>
  <c r="L1497" i="260" a="1"/>
  <c r="L1497" i="260"/>
  <c r="L1495" i="260" a="1"/>
  <c r="L1495" i="260"/>
  <c r="N1623" i="260" a="1"/>
  <c r="N1623" i="260"/>
  <c r="N1434" i="260" a="1"/>
  <c r="N1434" i="260"/>
  <c r="N1637" i="260" a="1"/>
  <c r="N1637" i="260"/>
  <c r="N1531" i="260" a="1"/>
  <c r="N1531" i="260"/>
  <c r="N1457" i="260" a="1"/>
  <c r="N1457" i="260"/>
  <c r="N1675" i="260" a="1"/>
  <c r="N1675" i="260"/>
  <c r="N1483" i="260" a="1"/>
  <c r="N1483" i="260"/>
  <c r="J1457" i="260" a="1"/>
  <c r="J1457" i="260"/>
  <c r="J1496" i="260" a="1"/>
  <c r="J1496" i="260"/>
  <c r="J1505" i="260" a="1"/>
  <c r="J1505" i="260"/>
  <c r="N1080" i="260" a="1"/>
  <c r="N1080" i="260"/>
  <c r="L1080" i="260" a="1"/>
  <c r="L1080" i="260"/>
  <c r="H1096" i="260" a="1"/>
  <c r="H1096" i="260"/>
  <c r="H1099" i="260" a="1"/>
  <c r="H1099" i="260"/>
  <c r="H1070" i="260" a="1"/>
  <c r="H1070" i="260"/>
  <c r="L1057" i="260" a="1"/>
  <c r="L1057" i="260"/>
  <c r="L1094" i="260" a="1"/>
  <c r="L1094" i="260"/>
  <c r="G1519" i="260" a="1"/>
  <c r="G1519" i="260"/>
  <c r="I1621" i="260" a="1"/>
  <c r="I1621" i="260"/>
  <c r="I1707" i="260" a="1"/>
  <c r="I1707" i="260"/>
  <c r="I1704" i="260" a="1"/>
  <c r="I1704" i="260"/>
  <c r="I1527" i="260" a="1"/>
  <c r="I1527" i="260"/>
  <c r="I1610" i="260" a="1"/>
  <c r="I1610" i="260"/>
  <c r="I1611" i="260" a="1"/>
  <c r="I1611" i="260"/>
  <c r="I1615" i="260" a="1"/>
  <c r="I1615" i="260"/>
  <c r="I1613" i="260" a="1"/>
  <c r="I1613" i="260"/>
  <c r="I1612" i="260" a="1"/>
  <c r="I1612" i="260"/>
  <c r="I1614" i="260" a="1"/>
  <c r="I1614" i="260"/>
  <c r="I1609" i="260" a="1"/>
  <c r="I1609" i="260"/>
  <c r="M1432" i="260" a="1"/>
  <c r="M1432" i="260"/>
  <c r="M1518" i="260" a="1"/>
  <c r="M1518" i="260"/>
  <c r="M1609" i="260" a="1"/>
  <c r="M1609" i="260"/>
  <c r="M1612" i="260" a="1"/>
  <c r="M1612" i="260"/>
  <c r="G1708" i="260" a="1"/>
  <c r="G1708" i="260"/>
  <c r="G1706" i="260" a="1"/>
  <c r="G1706" i="260"/>
  <c r="G1704" i="260" a="1"/>
  <c r="G1704" i="260"/>
  <c r="G1707" i="260" a="1"/>
  <c r="G1707" i="260"/>
  <c r="K1621" i="260" a="1"/>
  <c r="K1621" i="260"/>
  <c r="K1705" i="260" a="1"/>
  <c r="K1705" i="260"/>
  <c r="I1432" i="260" a="1"/>
  <c r="I1432" i="260"/>
  <c r="I1516" i="260" a="1"/>
  <c r="I1516" i="260"/>
  <c r="I1518" i="260" a="1"/>
  <c r="I1518" i="260"/>
  <c r="I1514" i="260" a="1"/>
  <c r="I1514" i="260"/>
  <c r="I1519" i="260" a="1"/>
  <c r="I1519" i="260"/>
  <c r="O1621" i="260" a="1"/>
  <c r="O1621" i="260"/>
  <c r="O1707" i="260" a="1"/>
  <c r="O1707" i="260"/>
  <c r="I1703" i="260" a="1"/>
  <c r="I1703" i="260"/>
  <c r="K1706" i="260" a="1"/>
  <c r="K1706" i="260"/>
  <c r="O1527" i="260" a="1"/>
  <c r="O1527" i="260"/>
  <c r="O1615" i="260" a="1"/>
  <c r="O1615" i="260"/>
  <c r="O1704" i="260" a="1"/>
  <c r="O1704" i="260"/>
  <c r="K1432" i="260" a="1"/>
  <c r="K1432" i="260"/>
  <c r="K1516" i="260" a="1"/>
  <c r="K1516" i="260"/>
  <c r="K1517" i="260" a="1"/>
  <c r="K1517" i="260"/>
  <c r="K1515" i="260" a="1"/>
  <c r="K1515" i="260"/>
  <c r="K1520" i="260" a="1"/>
  <c r="K1520" i="260"/>
  <c r="K1519" i="260" a="1"/>
  <c r="K1519" i="260"/>
  <c r="K1514" i="260" a="1"/>
  <c r="K1514" i="260"/>
  <c r="K1518" i="260" a="1"/>
  <c r="K1518" i="260"/>
  <c r="O1432" i="260" a="1"/>
  <c r="O1432" i="260"/>
  <c r="O1518" i="260" a="1"/>
  <c r="O1518" i="260"/>
  <c r="O1519" i="260" a="1"/>
  <c r="O1519" i="260"/>
  <c r="O1515" i="260" a="1"/>
  <c r="O1515" i="260"/>
  <c r="O1520" i="260" a="1"/>
  <c r="O1520" i="260"/>
  <c r="O1517" i="260" a="1"/>
  <c r="O1517" i="260"/>
  <c r="O1516" i="260" a="1"/>
  <c r="O1516" i="260"/>
  <c r="O1514" i="260" a="1"/>
  <c r="O1514" i="260"/>
  <c r="O1610" i="260" a="1"/>
  <c r="O1610" i="260"/>
  <c r="G1527" i="260" a="1"/>
  <c r="G1527" i="260"/>
  <c r="G1614" i="260" a="1"/>
  <c r="G1614" i="260"/>
  <c r="G1613" i="260" a="1"/>
  <c r="G1613" i="260"/>
  <c r="K1527" i="260" a="1"/>
  <c r="K1527" i="260"/>
  <c r="K1611" i="260" a="1"/>
  <c r="K1611" i="260"/>
  <c r="K1614" i="260" a="1"/>
  <c r="K1614" i="260"/>
  <c r="K1615" i="260" a="1"/>
  <c r="K1615" i="260"/>
  <c r="K1610" i="260" a="1"/>
  <c r="K1610" i="260"/>
  <c r="K1612" i="260" a="1"/>
  <c r="K1612" i="260"/>
  <c r="K1613" i="260" a="1"/>
  <c r="K1613" i="260"/>
  <c r="K1609" i="260" a="1"/>
  <c r="K1609" i="260"/>
  <c r="O1611" i="260" a="1"/>
  <c r="O1611" i="260"/>
  <c r="M1703" i="260" a="1"/>
  <c r="M1703" i="260"/>
  <c r="M1708" i="260" a="1"/>
  <c r="M1708" i="260"/>
  <c r="M1704" i="260" a="1"/>
  <c r="M1704" i="260"/>
  <c r="O1708" i="260" a="1"/>
  <c r="O1708" i="260"/>
  <c r="M1611" i="260" a="1"/>
  <c r="M1611" i="260"/>
  <c r="I1520" i="260" a="1"/>
  <c r="I1520" i="260"/>
  <c r="M1516" i="260" a="1"/>
  <c r="M1516" i="260"/>
  <c r="M1515" i="260" a="1"/>
  <c r="M1515" i="260"/>
  <c r="M1517" i="260" a="1"/>
  <c r="M1517" i="260"/>
  <c r="J1546" i="260" a="1"/>
  <c r="J1546" i="260"/>
  <c r="J1695" i="260" a="1"/>
  <c r="J1695" i="260"/>
  <c r="J1635" i="260" a="1"/>
  <c r="J1635" i="260"/>
  <c r="J1497" i="260" a="1"/>
  <c r="J1497" i="260"/>
  <c r="J1660" i="260" a="1"/>
  <c r="J1660" i="260"/>
  <c r="J1536" i="260" a="1"/>
  <c r="J1536" i="260"/>
  <c r="J1649" i="260" a="1"/>
  <c r="J1649" i="260"/>
  <c r="J1678" i="260" a="1"/>
  <c r="J1678" i="260"/>
  <c r="J1652" i="260" a="1"/>
  <c r="J1652" i="260"/>
  <c r="J1645" i="260" a="1"/>
  <c r="J1645" i="260"/>
  <c r="J1446" i="260" a="1"/>
  <c r="J1446" i="260"/>
  <c r="J1671" i="260" a="1"/>
  <c r="J1671" i="260"/>
  <c r="J1646" i="260" a="1"/>
  <c r="J1646" i="260"/>
  <c r="J1684" i="260" a="1"/>
  <c r="J1684" i="260"/>
  <c r="J1532" i="260" a="1"/>
  <c r="J1532" i="260"/>
  <c r="J1589" i="260" a="1"/>
  <c r="J1589" i="260"/>
  <c r="J1483" i="260" a="1"/>
  <c r="J1483" i="260"/>
  <c r="J1458" i="260" a="1"/>
  <c r="J1458" i="260"/>
  <c r="J1698" i="260" a="1"/>
  <c r="J1698" i="260"/>
  <c r="J1450" i="260" a="1"/>
  <c r="J1450" i="260"/>
  <c r="J1568" i="260" a="1"/>
  <c r="J1568" i="260"/>
  <c r="J1562" i="260" a="1"/>
  <c r="J1562" i="260"/>
  <c r="J1500" i="260" a="1"/>
  <c r="J1500" i="260"/>
  <c r="J1541" i="260" a="1"/>
  <c r="J1541" i="260"/>
  <c r="J1534" i="260" a="1"/>
  <c r="J1534" i="260"/>
  <c r="J1448" i="260" a="1"/>
  <c r="J1448" i="260"/>
  <c r="J1663" i="260" a="1"/>
  <c r="J1663" i="260"/>
  <c r="J1452" i="260" a="1"/>
  <c r="J1452" i="260"/>
  <c r="M1613" i="260" a="1"/>
  <c r="M1613" i="260"/>
  <c r="H1467" i="260" a="1"/>
  <c r="H1467" i="260"/>
  <c r="H1672" i="260" a="1"/>
  <c r="H1672" i="260"/>
  <c r="H1501" i="260" a="1"/>
  <c r="H1501" i="260"/>
  <c r="H1560" i="260" a="1"/>
  <c r="H1560" i="260"/>
  <c r="H1639" i="260" a="1"/>
  <c r="H1639" i="260"/>
  <c r="H1491" i="260" a="1"/>
  <c r="H1491" i="260"/>
  <c r="H1681" i="260" a="1"/>
  <c r="H1681" i="260"/>
  <c r="H1597" i="260" a="1"/>
  <c r="H1597" i="260"/>
  <c r="H1678" i="260" a="1"/>
  <c r="H1678" i="260"/>
  <c r="H1627" i="260" a="1"/>
  <c r="H1627" i="260"/>
  <c r="H1555" i="260" a="1"/>
  <c r="H1555" i="260"/>
  <c r="H1503" i="260" a="1"/>
  <c r="H1503" i="260"/>
  <c r="H1497" i="260" a="1"/>
  <c r="H1497" i="260"/>
  <c r="H1679" i="260" a="1"/>
  <c r="H1679" i="260"/>
  <c r="H1465" i="260" a="1"/>
  <c r="H1465" i="260"/>
  <c r="H1650" i="260" a="1"/>
  <c r="H1650" i="260"/>
  <c r="H1552" i="260" a="1"/>
  <c r="H1552" i="260"/>
  <c r="H1573" i="260" a="1"/>
  <c r="H1573" i="260"/>
  <c r="H1643" i="260" a="1"/>
  <c r="H1643" i="260"/>
  <c r="H1677" i="260" a="1"/>
  <c r="H1677" i="260"/>
  <c r="H1530" i="260" a="1"/>
  <c r="H1530" i="260"/>
  <c r="H1566" i="260" a="1"/>
  <c r="H1566" i="260"/>
  <c r="H1583" i="260" a="1"/>
  <c r="H1583" i="260"/>
  <c r="H1459" i="260" a="1"/>
  <c r="H1459" i="260"/>
  <c r="H1545" i="260" a="1"/>
  <c r="H1545" i="260"/>
  <c r="H1548" i="260" a="1"/>
  <c r="H1548" i="260"/>
  <c r="H1593" i="260" a="1"/>
  <c r="H1593" i="260"/>
  <c r="H1641" i="260" a="1"/>
  <c r="H1641" i="260"/>
  <c r="H1638" i="260" a="1"/>
  <c r="H1638" i="260"/>
  <c r="H1054" i="260" a="1"/>
  <c r="H1054" i="260"/>
  <c r="I1517" i="260" a="1"/>
  <c r="I1517" i="260"/>
  <c r="K1708" i="260" a="1"/>
  <c r="K1708" i="260"/>
  <c r="M1707" i="260" a="1"/>
  <c r="M1707" i="260"/>
  <c r="G1615" i="260" a="1"/>
  <c r="G1615" i="260"/>
  <c r="I1709" i="260" a="1"/>
  <c r="I1709" i="260"/>
  <c r="L1466" i="260" a="1"/>
  <c r="L1466" i="260"/>
  <c r="L1559" i="260" a="1"/>
  <c r="L1559" i="260"/>
  <c r="L1554" i="260" a="1"/>
  <c r="L1554" i="260"/>
  <c r="L1436" i="260" a="1"/>
  <c r="L1436" i="260"/>
  <c r="L1500" i="260" a="1"/>
  <c r="L1500" i="260"/>
  <c r="L1588" i="260" a="1"/>
  <c r="L1588" i="260"/>
  <c r="L1447" i="260" a="1"/>
  <c r="L1447" i="260"/>
  <c r="L1645" i="260" a="1"/>
  <c r="L1645" i="260"/>
  <c r="L1597" i="260" a="1"/>
  <c r="L1597" i="260"/>
  <c r="L1553" i="260" a="1"/>
  <c r="L1553" i="260"/>
  <c r="L1485" i="260" a="1"/>
  <c r="L1485" i="260"/>
  <c r="L1488" i="260" a="1"/>
  <c r="L1488" i="260"/>
  <c r="L1546" i="260" a="1"/>
  <c r="L1546" i="260"/>
  <c r="L1661" i="260" a="1"/>
  <c r="L1661" i="260"/>
  <c r="L1452" i="260" a="1"/>
  <c r="L1452" i="260"/>
  <c r="L1697" i="260" a="1"/>
  <c r="L1697" i="260"/>
  <c r="L1690" i="260" a="1"/>
  <c r="L1690" i="260"/>
  <c r="L1562" i="260" a="1"/>
  <c r="L1562" i="260"/>
  <c r="L1648" i="260" a="1"/>
  <c r="L1648" i="260"/>
  <c r="L1486" i="260" a="1"/>
  <c r="L1486" i="260"/>
  <c r="L1579" i="260" a="1"/>
  <c r="L1579" i="260"/>
  <c r="L1493" i="260" a="1"/>
  <c r="L1493" i="260"/>
  <c r="L1489" i="260" a="1"/>
  <c r="L1489" i="260"/>
  <c r="L1692" i="260" a="1"/>
  <c r="L1692" i="260"/>
  <c r="L1572" i="260" a="1"/>
  <c r="L1572" i="260"/>
  <c r="L1437" i="260" a="1"/>
  <c r="L1437" i="260"/>
  <c r="L1669" i="260" a="1"/>
  <c r="L1669" i="260"/>
  <c r="L1556" i="260" a="1"/>
  <c r="L1556" i="260"/>
  <c r="L1578" i="260" a="1"/>
  <c r="L1578" i="260"/>
  <c r="L1672" i="260" a="1"/>
  <c r="L1672" i="260"/>
  <c r="L1100" i="260" a="1"/>
  <c r="L1100" i="260"/>
  <c r="N1678" i="260" a="1"/>
  <c r="N1678" i="260"/>
  <c r="N1435" i="260" a="1"/>
  <c r="N1435" i="260"/>
  <c r="N1661" i="260" a="1"/>
  <c r="N1661" i="260"/>
  <c r="N1477" i="260" a="1"/>
  <c r="N1477" i="260"/>
  <c r="N1630" i="260" a="1"/>
  <c r="N1630" i="260"/>
  <c r="N1676" i="260" a="1"/>
  <c r="N1676" i="260"/>
  <c r="N1672" i="260" a="1"/>
  <c r="N1672" i="260"/>
  <c r="N1508" i="260" a="1"/>
  <c r="N1508" i="260"/>
  <c r="N1558" i="260" a="1"/>
  <c r="N1558" i="260"/>
  <c r="N1437" i="260" a="1"/>
  <c r="N1437" i="260"/>
  <c r="N1494" i="260" a="1"/>
  <c r="N1494" i="260"/>
  <c r="N1685" i="260" a="1"/>
  <c r="N1685" i="260"/>
  <c r="N1532" i="260" a="1"/>
  <c r="N1532" i="260"/>
  <c r="N1596" i="260" a="1"/>
  <c r="N1596" i="260"/>
  <c r="N1681" i="260" a="1"/>
  <c r="N1681" i="260"/>
  <c r="N1473" i="260" a="1"/>
  <c r="N1473" i="260"/>
  <c r="N1660" i="260" a="1"/>
  <c r="N1660" i="260"/>
  <c r="N1485" i="260" a="1"/>
  <c r="N1485" i="260"/>
  <c r="N1664" i="260" a="1"/>
  <c r="N1664" i="260"/>
  <c r="N1490" i="260" a="1"/>
  <c r="N1490" i="260"/>
  <c r="N1536" i="260" a="1"/>
  <c r="N1536" i="260"/>
  <c r="N1448" i="260" a="1"/>
  <c r="N1448" i="260"/>
  <c r="N1489" i="260" a="1"/>
  <c r="N1489" i="260"/>
  <c r="N1472" i="260" a="1"/>
  <c r="N1472" i="260"/>
  <c r="N1545" i="260" a="1"/>
  <c r="N1545" i="260"/>
  <c r="N1683" i="260" a="1"/>
  <c r="N1683" i="260"/>
  <c r="N1540" i="260" a="1"/>
  <c r="N1540" i="260"/>
  <c r="N1480" i="260" a="1"/>
  <c r="N1480" i="260"/>
  <c r="N1045" i="260" a="1"/>
  <c r="N1045" i="260"/>
  <c r="G1518" i="260" a="1"/>
  <c r="G1518" i="260"/>
  <c r="O1613" i="260" a="1"/>
  <c r="O1613" i="260"/>
  <c r="M1519" i="260" a="1"/>
  <c r="M1519" i="260"/>
  <c r="G1705" i="260" a="1"/>
  <c r="G1705" i="260"/>
  <c r="J1487" i="260" a="1"/>
  <c r="J1487" i="260"/>
  <c r="J1643" i="260" a="1"/>
  <c r="J1643" i="260"/>
  <c r="J1653" i="260" a="1"/>
  <c r="J1653" i="260"/>
  <c r="J1560" i="260" a="1"/>
  <c r="J1560" i="260"/>
  <c r="J1558" i="260" a="1"/>
  <c r="J1558" i="260"/>
  <c r="J1491" i="260" a="1"/>
  <c r="J1491" i="260"/>
  <c r="J1690" i="260" a="1"/>
  <c r="J1690" i="260"/>
  <c r="J1479" i="260" a="1"/>
  <c r="J1479" i="260"/>
  <c r="J1672" i="260" a="1"/>
  <c r="J1672" i="260"/>
  <c r="J1689" i="260" a="1"/>
  <c r="J1689" i="260"/>
  <c r="J1442" i="260" a="1"/>
  <c r="J1442" i="260"/>
  <c r="J1597" i="260" a="1"/>
  <c r="J1597" i="260"/>
  <c r="J1471" i="260" a="1"/>
  <c r="J1471" i="260"/>
  <c r="J1574" i="260" a="1"/>
  <c r="J1574" i="260"/>
  <c r="J1650" i="260" a="1"/>
  <c r="J1650" i="260"/>
  <c r="J1577" i="260" a="1"/>
  <c r="J1577" i="260"/>
  <c r="J1648" i="260" a="1"/>
  <c r="J1648" i="260"/>
  <c r="J1556" i="260" a="1"/>
  <c r="J1556" i="260"/>
  <c r="J1447" i="260" a="1"/>
  <c r="J1447" i="260"/>
  <c r="J1693" i="260" a="1"/>
  <c r="J1693" i="260"/>
  <c r="J1529" i="260" a="1"/>
  <c r="J1529" i="260"/>
  <c r="J1475" i="260" a="1"/>
  <c r="J1475" i="260"/>
  <c r="J1697" i="260" a="1"/>
  <c r="J1697" i="260"/>
  <c r="J1627" i="260" a="1"/>
  <c r="J1627" i="260"/>
  <c r="J1573" i="260" a="1"/>
  <c r="J1573" i="260"/>
  <c r="J1600" i="260" a="1"/>
  <c r="J1600" i="260"/>
  <c r="J1538" i="260" a="1"/>
  <c r="J1538" i="260"/>
  <c r="J1537" i="260" a="1"/>
  <c r="J1537" i="260"/>
  <c r="J1657" i="260" a="1"/>
  <c r="J1657" i="260"/>
  <c r="O1703" i="260" a="1"/>
  <c r="O1703" i="260"/>
  <c r="M1614" i="260" a="1"/>
  <c r="M1614" i="260"/>
  <c r="H1675" i="260" a="1"/>
  <c r="H1675" i="260"/>
  <c r="H1488" i="260" a="1"/>
  <c r="H1488" i="260"/>
  <c r="H1485" i="260" a="1"/>
  <c r="H1485" i="260"/>
  <c r="H1558" i="260" a="1"/>
  <c r="H1558" i="260"/>
  <c r="H1480" i="260" a="1"/>
  <c r="H1480" i="260"/>
  <c r="H1586" i="260" a="1"/>
  <c r="H1586" i="260"/>
  <c r="H1694" i="260" a="1"/>
  <c r="H1694" i="260"/>
  <c r="L1473" i="260" a="1"/>
  <c r="L1473" i="260"/>
  <c r="L1541" i="260" a="1"/>
  <c r="L1541" i="260"/>
  <c r="L1627" i="260" a="1"/>
  <c r="L1627" i="260"/>
  <c r="L1456" i="260" a="1"/>
  <c r="L1456" i="260"/>
  <c r="L1503" i="260" a="1"/>
  <c r="L1503" i="260"/>
  <c r="L1693" i="260" a="1"/>
  <c r="L1693" i="260"/>
  <c r="L1491" i="260" a="1"/>
  <c r="L1491" i="260"/>
  <c r="N1543" i="260" a="1"/>
  <c r="N1543" i="260"/>
  <c r="N1563" i="260" a="1"/>
  <c r="N1563" i="260"/>
  <c r="N1673" i="260" a="1"/>
  <c r="N1673" i="260"/>
  <c r="N1593" i="260" a="1"/>
  <c r="N1593" i="260"/>
  <c r="N1658" i="260" a="1"/>
  <c r="N1658" i="260"/>
  <c r="N1575" i="260" a="1"/>
  <c r="N1575" i="260"/>
  <c r="N1471" i="260" a="1"/>
  <c r="N1471" i="260"/>
  <c r="N1589" i="260" a="1"/>
  <c r="N1589" i="260"/>
  <c r="O1612" i="260" a="1"/>
  <c r="O1612" i="260"/>
  <c r="J1658" i="260" a="1"/>
  <c r="J1658" i="260"/>
  <c r="J1655" i="260" a="1"/>
  <c r="J1655" i="260"/>
  <c r="J1438" i="260" a="1"/>
  <c r="J1438" i="260"/>
  <c r="J1634" i="260" a="1"/>
  <c r="J1634" i="260"/>
  <c r="J1474" i="260" a="1"/>
  <c r="J1474" i="260"/>
  <c r="J1501" i="260" a="1"/>
  <c r="J1501" i="260"/>
  <c r="J1591" i="260" a="1"/>
  <c r="J1591" i="260"/>
  <c r="H1072" i="260" a="1"/>
  <c r="H1072" i="260"/>
  <c r="H1580" i="260" a="1"/>
  <c r="H1580" i="260"/>
  <c r="H1603" i="260" a="1"/>
  <c r="H1603" i="260"/>
  <c r="H1532" i="260" a="1"/>
  <c r="H1532" i="260"/>
  <c r="H1541" i="260" a="1"/>
  <c r="H1541" i="260"/>
  <c r="H1477" i="260" a="1"/>
  <c r="H1477" i="260"/>
  <c r="H1443" i="260" a="1"/>
  <c r="H1443" i="260"/>
  <c r="H1067" i="260" a="1"/>
  <c r="H1067" i="260"/>
  <c r="L1674" i="260" a="1"/>
  <c r="L1674" i="260"/>
  <c r="L1499" i="260" a="1"/>
  <c r="L1499" i="260"/>
  <c r="L1564" i="260" a="1"/>
  <c r="L1564" i="260"/>
  <c r="L1460" i="260" a="1"/>
  <c r="L1460" i="260"/>
  <c r="L1542" i="260" a="1"/>
  <c r="L1542" i="260"/>
  <c r="L1467" i="260" a="1"/>
  <c r="L1467" i="260"/>
  <c r="L1458" i="260" a="1"/>
  <c r="L1458" i="260"/>
  <c r="L1061" i="260" a="1"/>
  <c r="L1061" i="260"/>
  <c r="N1445" i="260" a="1"/>
  <c r="N1445" i="260"/>
  <c r="N1484" i="260" a="1"/>
  <c r="N1484" i="260"/>
  <c r="N1577" i="260" a="1"/>
  <c r="N1577" i="260"/>
  <c r="N1580" i="260" a="1"/>
  <c r="N1580" i="260"/>
  <c r="N1670" i="260" a="1"/>
  <c r="N1670" i="260"/>
  <c r="N1666" i="260" a="1"/>
  <c r="N1666" i="260"/>
  <c r="N1592" i="260" a="1"/>
  <c r="N1592" i="260"/>
  <c r="G1515" i="260" a="1"/>
  <c r="G1515" i="260"/>
  <c r="M1520" i="260" a="1"/>
  <c r="M1520" i="260"/>
  <c r="J1492" i="260" a="1"/>
  <c r="J1492" i="260"/>
  <c r="J1668" i="260" a="1"/>
  <c r="J1668" i="260"/>
  <c r="J1683" i="260" a="1"/>
  <c r="J1683" i="260"/>
  <c r="J1699" i="260" a="1"/>
  <c r="J1699" i="260"/>
  <c r="J1506" i="260" a="1"/>
  <c r="J1506" i="260"/>
  <c r="J1544" i="260" a="1"/>
  <c r="J1544" i="260"/>
  <c r="J1476" i="260" a="1"/>
  <c r="J1476" i="260"/>
  <c r="O1705" i="260" a="1"/>
  <c r="O1705" i="260"/>
  <c r="J1091" i="260" a="1"/>
  <c r="J1091" i="260"/>
  <c r="H1685" i="260" a="1"/>
  <c r="H1685" i="260"/>
  <c r="H1571" i="260" a="1"/>
  <c r="H1571" i="260"/>
  <c r="H1635" i="260" a="1"/>
  <c r="H1635" i="260"/>
  <c r="H1434" i="260" a="1"/>
  <c r="H1434" i="260"/>
  <c r="H1590" i="260" a="1"/>
  <c r="H1590" i="260"/>
  <c r="H1469" i="260" a="1"/>
  <c r="H1469" i="260"/>
  <c r="H1433" i="260" a="1"/>
  <c r="H1433" i="260"/>
  <c r="H1452" i="260" a="1"/>
  <c r="H1452" i="260"/>
  <c r="H1528" i="260" a="1"/>
  <c r="H1528" i="260"/>
  <c r="H1478" i="260" a="1"/>
  <c r="H1478" i="260"/>
  <c r="H1543" i="260" a="1"/>
  <c r="H1543" i="260"/>
  <c r="I1706" i="260" a="1"/>
  <c r="I1706" i="260"/>
  <c r="L1470" i="260" a="1"/>
  <c r="L1470" i="260"/>
  <c r="L1575" i="260" a="1"/>
  <c r="L1575" i="260"/>
  <c r="L1442" i="260" a="1"/>
  <c r="L1442" i="260"/>
  <c r="L1673" i="260" a="1"/>
  <c r="L1673" i="260"/>
  <c r="L1453" i="260" a="1"/>
  <c r="L1453" i="260"/>
  <c r="L1438" i="260" a="1"/>
  <c r="L1438" i="260"/>
  <c r="L1443" i="260" a="1"/>
  <c r="L1443" i="260"/>
  <c r="L1654" i="260" a="1"/>
  <c r="L1654" i="260"/>
  <c r="L1492" i="260" a="1"/>
  <c r="L1492" i="260"/>
  <c r="L1563" i="260" a="1"/>
  <c r="L1563" i="260"/>
  <c r="L1657" i="260" a="1"/>
  <c r="L1657" i="260"/>
  <c r="L1477" i="260" a="1"/>
  <c r="L1477" i="260"/>
  <c r="N1697" i="260" a="1"/>
  <c r="N1697" i="260"/>
  <c r="N1651" i="260" a="1"/>
  <c r="N1651" i="260"/>
  <c r="N1682" i="260" a="1"/>
  <c r="N1682" i="260"/>
  <c r="N1556" i="260" a="1"/>
  <c r="N1556" i="260"/>
  <c r="N1507" i="260" a="1"/>
  <c r="N1507" i="260"/>
  <c r="N1436" i="260" a="1"/>
  <c r="N1436" i="260"/>
  <c r="N1491" i="260" a="1"/>
  <c r="N1491" i="260"/>
  <c r="N1587" i="260" a="1"/>
  <c r="N1587" i="260"/>
  <c r="N1476" i="260" a="1"/>
  <c r="N1476" i="260"/>
  <c r="N1475" i="260" a="1"/>
  <c r="N1475" i="260"/>
  <c r="N1486" i="260" a="1"/>
  <c r="N1486" i="260"/>
  <c r="N1083" i="260" a="1"/>
  <c r="N1083" i="260"/>
  <c r="J1531" i="260" a="1"/>
  <c r="J1531" i="260"/>
  <c r="J1552" i="260" a="1"/>
  <c r="J1552" i="260"/>
  <c r="J1470" i="260" a="1"/>
  <c r="J1470" i="260"/>
  <c r="J1680" i="260" a="1"/>
  <c r="J1680" i="260"/>
  <c r="J1676" i="260" a="1"/>
  <c r="J1676" i="260"/>
  <c r="J1434" i="260" a="1"/>
  <c r="J1434" i="260"/>
  <c r="J1539" i="260" a="1"/>
  <c r="J1539" i="260"/>
  <c r="J1550" i="260" a="1"/>
  <c r="J1550" i="260"/>
  <c r="J1580" i="260" a="1"/>
  <c r="J1580" i="260"/>
  <c r="J1502" i="260" a="1"/>
  <c r="J1502" i="260"/>
  <c r="J1451" i="260" a="1"/>
  <c r="J1451" i="260"/>
  <c r="H1463" i="260" a="1"/>
  <c r="H1463" i="260"/>
  <c r="H1547" i="260" a="1"/>
  <c r="H1547" i="260"/>
  <c r="H1598" i="260" a="1"/>
  <c r="H1598" i="260"/>
  <c r="H1602" i="260" a="1"/>
  <c r="H1602" i="260"/>
  <c r="H1625" i="260" a="1"/>
  <c r="H1625" i="260"/>
  <c r="H1546" i="260" a="1"/>
  <c r="H1546" i="260"/>
  <c r="H1624" i="260" a="1"/>
  <c r="H1624" i="260"/>
  <c r="H1536" i="260" a="1"/>
  <c r="H1536" i="260"/>
  <c r="H1575" i="260" a="1"/>
  <c r="H1575" i="260"/>
  <c r="H1594" i="260" a="1"/>
  <c r="H1594" i="260"/>
  <c r="H1692" i="260" a="1"/>
  <c r="H1692" i="260"/>
  <c r="H1544" i="260" a="1"/>
  <c r="H1544" i="260"/>
  <c r="G1612" i="260" a="1"/>
  <c r="G1612" i="260"/>
  <c r="L1462" i="260" a="1"/>
  <c r="L1462" i="260"/>
  <c r="L1694" i="260" a="1"/>
  <c r="L1694" i="260"/>
  <c r="L1576" i="260" a="1"/>
  <c r="L1576" i="260"/>
  <c r="L1667" i="260" a="1"/>
  <c r="L1667" i="260"/>
  <c r="L1451" i="260" a="1"/>
  <c r="L1451" i="260"/>
  <c r="L1529" i="260" a="1"/>
  <c r="L1529" i="260"/>
  <c r="L1662" i="260" a="1"/>
  <c r="L1662" i="260"/>
  <c r="L1636" i="260" a="1"/>
  <c r="L1636" i="260"/>
  <c r="L1502" i="260" a="1"/>
  <c r="L1502" i="260"/>
  <c r="L1474" i="260" a="1"/>
  <c r="L1474" i="260"/>
  <c r="L1664" i="260" a="1"/>
  <c r="L1664" i="260"/>
  <c r="L1530" i="260" a="1"/>
  <c r="L1530" i="260"/>
  <c r="N1650" i="260" a="1"/>
  <c r="N1650" i="260"/>
  <c r="N1538" i="260" a="1"/>
  <c r="N1538" i="260"/>
  <c r="N1560" i="260" a="1"/>
  <c r="N1560" i="260"/>
  <c r="N1624" i="260" a="1"/>
  <c r="N1624" i="260"/>
  <c r="N1599" i="260" a="1"/>
  <c r="N1599" i="260"/>
  <c r="N1467" i="260" a="1"/>
  <c r="N1467" i="260"/>
  <c r="N1636" i="260" a="1"/>
  <c r="N1636" i="260"/>
  <c r="N1528" i="260" a="1"/>
  <c r="N1528" i="260"/>
  <c r="N1478" i="260" a="1"/>
  <c r="N1478" i="260"/>
  <c r="N1590" i="260" a="1"/>
  <c r="N1590" i="260"/>
  <c r="N1567" i="260" a="1"/>
  <c r="N1567" i="260"/>
  <c r="O1614" i="260" a="1"/>
  <c r="O1614" i="260"/>
  <c r="J1594" i="260" a="1"/>
  <c r="J1594" i="260"/>
  <c r="J1670" i="260" a="1"/>
  <c r="J1670" i="260"/>
  <c r="J1477" i="260" a="1"/>
  <c r="J1477" i="260"/>
  <c r="J1561" i="260" a="1"/>
  <c r="J1561" i="260"/>
  <c r="J1473" i="260" a="1"/>
  <c r="J1473" i="260"/>
  <c r="J1575" i="260" a="1"/>
  <c r="J1575" i="260"/>
  <c r="J1628" i="260" a="1"/>
  <c r="J1628" i="260"/>
  <c r="J1569" i="260" a="1"/>
  <c r="J1569" i="260"/>
  <c r="J1572" i="260" a="1"/>
  <c r="J1572" i="260"/>
  <c r="J1654" i="260" a="1"/>
  <c r="J1654" i="260"/>
  <c r="J1651" i="260" a="1"/>
  <c r="J1651" i="260"/>
  <c r="H1538" i="260" a="1"/>
  <c r="H1538" i="260"/>
  <c r="H1475" i="260" a="1"/>
  <c r="H1475" i="260"/>
  <c r="H1577" i="260" a="1"/>
  <c r="H1577" i="260"/>
  <c r="H1562" i="260" a="1"/>
  <c r="H1562" i="260"/>
  <c r="H1648" i="260" a="1"/>
  <c r="H1648" i="260"/>
  <c r="H1636" i="260" a="1"/>
  <c r="H1636" i="260"/>
  <c r="H1492" i="260" a="1"/>
  <c r="H1492" i="260"/>
  <c r="H1659" i="260" a="1"/>
  <c r="H1659" i="260"/>
  <c r="H1550" i="260" a="1"/>
  <c r="H1550" i="260"/>
  <c r="H1601" i="260" a="1"/>
  <c r="H1601" i="260"/>
  <c r="H1596" i="260" a="1"/>
  <c r="H1596" i="260"/>
  <c r="H1504" i="260" a="1"/>
  <c r="H1504" i="260"/>
  <c r="H1654" i="260" a="1"/>
  <c r="H1654" i="260"/>
  <c r="H1686" i="260" a="1"/>
  <c r="H1686" i="260"/>
  <c r="H1531" i="260" a="1"/>
  <c r="H1531" i="260"/>
  <c r="H1582" i="260" a="1"/>
  <c r="H1582" i="260"/>
  <c r="H1454" i="260" a="1"/>
  <c r="H1454" i="260"/>
  <c r="H1565" i="260" a="1"/>
  <c r="H1565" i="260"/>
  <c r="H1645" i="260" a="1"/>
  <c r="H1645" i="260"/>
  <c r="H1699" i="260" a="1"/>
  <c r="H1699" i="260"/>
  <c r="H1644" i="260" a="1"/>
  <c r="H1644" i="260"/>
  <c r="H1472" i="260" a="1"/>
  <c r="H1472" i="260"/>
  <c r="H1468" i="260" a="1"/>
  <c r="H1468" i="260"/>
  <c r="H1540" i="260" a="1"/>
  <c r="H1540" i="260"/>
  <c r="H1684" i="260" a="1"/>
  <c r="H1684" i="260"/>
  <c r="H1662" i="260" a="1"/>
  <c r="H1662" i="260"/>
  <c r="H1589" i="260" a="1"/>
  <c r="H1589" i="260"/>
  <c r="H1652" i="260" a="1"/>
  <c r="H1652" i="260"/>
  <c r="H1570" i="260" a="1"/>
  <c r="H1570" i="260"/>
  <c r="H1661" i="260" a="1"/>
  <c r="H1661" i="260"/>
  <c r="H1079" i="260" a="1"/>
  <c r="H1079" i="260"/>
  <c r="I1515" i="260" a="1"/>
  <c r="I1515" i="260"/>
  <c r="K1709" i="260" a="1"/>
  <c r="K1709" i="260"/>
  <c r="M1709" i="260" a="1"/>
  <c r="M1709" i="260"/>
  <c r="G1611" i="260" a="1"/>
  <c r="G1611" i="260"/>
  <c r="L1589" i="260" a="1"/>
  <c r="L1589" i="260"/>
  <c r="L1638" i="260" a="1"/>
  <c r="L1638" i="260"/>
  <c r="L1532" i="260" a="1"/>
  <c r="L1532" i="260"/>
  <c r="L1666" i="260" a="1"/>
  <c r="L1666" i="260"/>
  <c r="L1632" i="260" a="1"/>
  <c r="L1632" i="260"/>
  <c r="L1539" i="260" a="1"/>
  <c r="L1539" i="260"/>
  <c r="L1487" i="260" a="1"/>
  <c r="L1487" i="260"/>
  <c r="L1444" i="260" a="1"/>
  <c r="L1444" i="260"/>
  <c r="L1678" i="260" a="1"/>
  <c r="L1678" i="260"/>
  <c r="L1573" i="260" a="1"/>
  <c r="L1573" i="260"/>
  <c r="L1535" i="260" a="1"/>
  <c r="L1535" i="260"/>
  <c r="L1685" i="260" a="1"/>
  <c r="L1685" i="260"/>
  <c r="L1586" i="260" a="1"/>
  <c r="L1586" i="260"/>
  <c r="L1599" i="260" a="1"/>
  <c r="L1599" i="260"/>
  <c r="L1481" i="260" a="1"/>
  <c r="L1481" i="260"/>
  <c r="L1603" i="260" a="1"/>
  <c r="L1603" i="260"/>
  <c r="L1658" i="260" a="1"/>
  <c r="L1658" i="260"/>
  <c r="L1449" i="260" a="1"/>
  <c r="L1449" i="260"/>
  <c r="L1649" i="260" a="1"/>
  <c r="L1649" i="260"/>
  <c r="L1689" i="260" a="1"/>
  <c r="L1689" i="260"/>
  <c r="L1557" i="260" a="1"/>
  <c r="L1557" i="260"/>
  <c r="L1568" i="260" a="1"/>
  <c r="L1568" i="260"/>
  <c r="L1463" i="260" a="1"/>
  <c r="L1463" i="260"/>
  <c r="L1567" i="260" a="1"/>
  <c r="L1567" i="260"/>
  <c r="L1655" i="260" a="1"/>
  <c r="L1655" i="260"/>
  <c r="L1691" i="260" a="1"/>
  <c r="L1691" i="260"/>
  <c r="L1471" i="260" a="1"/>
  <c r="L1471" i="260"/>
  <c r="L1640" i="260" a="1"/>
  <c r="L1640" i="260"/>
  <c r="L1551" i="260" a="1"/>
  <c r="L1551" i="260"/>
  <c r="L1076" i="260" a="1"/>
  <c r="L1076" i="260"/>
  <c r="N1598" i="260" a="1"/>
  <c r="N1598" i="260"/>
  <c r="N1690" i="260" a="1"/>
  <c r="N1690" i="260"/>
  <c r="N1488" i="260" a="1"/>
  <c r="N1488" i="260"/>
  <c r="N1686" i="260" a="1"/>
  <c r="N1686" i="260"/>
  <c r="N1433" i="260" a="1"/>
  <c r="N1433" i="260"/>
  <c r="N1573" i="260" a="1"/>
  <c r="N1573" i="260"/>
  <c r="N1455" i="260" a="1"/>
  <c r="N1455" i="260"/>
  <c r="N1622" i="260" a="1"/>
  <c r="N1622" i="260"/>
  <c r="N1500" i="260" a="1"/>
  <c r="N1500" i="260"/>
  <c r="N1578" i="260" a="1"/>
  <c r="N1578" i="260"/>
  <c r="N1639" i="260" a="1"/>
  <c r="N1639" i="260"/>
  <c r="N1492" i="260" a="1"/>
  <c r="N1492" i="260"/>
  <c r="N1581" i="260" a="1"/>
  <c r="N1581" i="260"/>
  <c r="N1595" i="260" a="1"/>
  <c r="N1595" i="260"/>
  <c r="N1463" i="260" a="1"/>
  <c r="N1463" i="260"/>
  <c r="N1482" i="260" a="1"/>
  <c r="N1482" i="260"/>
  <c r="N1652" i="260" a="1"/>
  <c r="N1652" i="260"/>
  <c r="N1553" i="260" a="1"/>
  <c r="N1553" i="260"/>
  <c r="N1557" i="260" a="1"/>
  <c r="N1557" i="260"/>
  <c r="N1679" i="260" a="1"/>
  <c r="N1679" i="260"/>
  <c r="N1604" i="260" a="1"/>
  <c r="N1604" i="260"/>
  <c r="N1544" i="260" a="1"/>
  <c r="N1544" i="260"/>
  <c r="N1634" i="260" a="1"/>
  <c r="N1634" i="260"/>
  <c r="N1583" i="260" a="1"/>
  <c r="N1583" i="260"/>
  <c r="N1450" i="260" a="1"/>
  <c r="N1450" i="260"/>
  <c r="N1534" i="260" a="1"/>
  <c r="N1534" i="260"/>
  <c r="N1647" i="260" a="1"/>
  <c r="N1647" i="260"/>
  <c r="N1547" i="260" a="1"/>
  <c r="N1547" i="260"/>
  <c r="N1454" i="260" a="1"/>
  <c r="N1454" i="260"/>
  <c r="N1047" i="260" a="1"/>
  <c r="N1047" i="260"/>
  <c r="G1516" i="260" a="1"/>
  <c r="G1516" i="260"/>
  <c r="O1609" i="260" a="1"/>
  <c r="O1609" i="260"/>
  <c r="G1703" i="260" a="1"/>
  <c r="G1703" i="260"/>
  <c r="J1554" i="260" a="1"/>
  <c r="J1554" i="260"/>
  <c r="J1533" i="260" a="1"/>
  <c r="J1533" i="260"/>
  <c r="J1692" i="260" a="1"/>
  <c r="J1692" i="260"/>
  <c r="J1542" i="260" a="1"/>
  <c r="J1542" i="260"/>
  <c r="J1498" i="260" a="1"/>
  <c r="J1498" i="260"/>
  <c r="J1685" i="260" a="1"/>
  <c r="J1685" i="260"/>
  <c r="J1478" i="260" a="1"/>
  <c r="J1478" i="260"/>
  <c r="J1587" i="260" a="1"/>
  <c r="J1587" i="260"/>
  <c r="J1490" i="260" a="1"/>
  <c r="J1490" i="260"/>
  <c r="J1666" i="260" a="1"/>
  <c r="J1666" i="260"/>
  <c r="J1623" i="260" a="1"/>
  <c r="J1623" i="260"/>
  <c r="J1632" i="260" a="1"/>
  <c r="J1632" i="260"/>
  <c r="J1565" i="260" a="1"/>
  <c r="J1565" i="260"/>
  <c r="J1582" i="260" a="1"/>
  <c r="J1582" i="260"/>
  <c r="J1595" i="260" a="1"/>
  <c r="J1595" i="260"/>
  <c r="J1584" i="260" a="1"/>
  <c r="J1584" i="260"/>
  <c r="J1482" i="260" a="1"/>
  <c r="J1482" i="260"/>
  <c r="J1669" i="260" a="1"/>
  <c r="J1669" i="260"/>
  <c r="J1553" i="260" a="1"/>
  <c r="J1553" i="260"/>
  <c r="J1642" i="260" a="1"/>
  <c r="J1642" i="260"/>
  <c r="J1586" i="260" a="1"/>
  <c r="J1586" i="260"/>
  <c r="J1461" i="260" a="1"/>
  <c r="J1461" i="260"/>
  <c r="J1636" i="260" a="1"/>
  <c r="J1636" i="260"/>
  <c r="J1694" i="260" a="1"/>
  <c r="J1694" i="260"/>
  <c r="J1548" i="260" a="1"/>
  <c r="J1548" i="260"/>
  <c r="J1686" i="260" a="1"/>
  <c r="J1686" i="260"/>
  <c r="J1656" i="260" a="1"/>
  <c r="J1656" i="260"/>
  <c r="J1495" i="260" a="1"/>
  <c r="J1495" i="260"/>
  <c r="O1709" i="260" a="1"/>
  <c r="O1709" i="260"/>
  <c r="H1449" i="260" a="1"/>
  <c r="H1449" i="260"/>
  <c r="H1500" i="260" a="1"/>
  <c r="H1500" i="260"/>
  <c r="H1458" i="260" a="1"/>
  <c r="H1458" i="260"/>
  <c r="H1529" i="260" a="1"/>
  <c r="H1529" i="260"/>
  <c r="H1670" i="260" a="1"/>
  <c r="H1670" i="260"/>
  <c r="H1551" i="260" a="1"/>
  <c r="H1551" i="260"/>
  <c r="H1509" i="260" a="1"/>
  <c r="H1509" i="260"/>
  <c r="H1695" i="260" a="1"/>
  <c r="H1695" i="260"/>
  <c r="H1682" i="260" a="1"/>
  <c r="H1682" i="260"/>
  <c r="H1647" i="260" a="1"/>
  <c r="H1647" i="260"/>
  <c r="H1689" i="260" a="1"/>
  <c r="H1689" i="260"/>
  <c r="H1047" i="260" a="1"/>
  <c r="H1047" i="260"/>
  <c r="K1703" i="260" a="1"/>
  <c r="K1703" i="260"/>
  <c r="G1610" i="260" a="1"/>
  <c r="G1610" i="260"/>
  <c r="L1631" i="260" a="1"/>
  <c r="L1631" i="260"/>
  <c r="L1490" i="260" a="1"/>
  <c r="L1490" i="260"/>
  <c r="L1484" i="260" a="1"/>
  <c r="L1484" i="260"/>
  <c r="L1591" i="260" a="1"/>
  <c r="L1591" i="260"/>
  <c r="L1549" i="260" a="1"/>
  <c r="L1549" i="260"/>
  <c r="L1464" i="260" a="1"/>
  <c r="L1464" i="260"/>
  <c r="L1434" i="260" a="1"/>
  <c r="L1434" i="260"/>
  <c r="L1571" i="260" a="1"/>
  <c r="L1571" i="260"/>
  <c r="L1624" i="260" a="1"/>
  <c r="L1624" i="260"/>
  <c r="L1531" i="260" a="1"/>
  <c r="L1531" i="260"/>
  <c r="L1547" i="260" a="1"/>
  <c r="L1547" i="260"/>
  <c r="L1073" i="260" a="1"/>
  <c r="L1073" i="260"/>
  <c r="N1452" i="260" a="1"/>
  <c r="N1452" i="260"/>
  <c r="N1665" i="260" a="1"/>
  <c r="N1665" i="260"/>
  <c r="N1464" i="260" a="1"/>
  <c r="N1464" i="260"/>
  <c r="N1505" i="260" a="1"/>
  <c r="N1505" i="260"/>
  <c r="N1688" i="260" a="1"/>
  <c r="N1688" i="260"/>
  <c r="N1551" i="260" a="1"/>
  <c r="N1551" i="260"/>
  <c r="N1585" i="260" a="1"/>
  <c r="N1585" i="260"/>
  <c r="N1555" i="260" a="1"/>
  <c r="N1555" i="260"/>
  <c r="N1644" i="260" a="1"/>
  <c r="N1644" i="260"/>
  <c r="N1442" i="260" a="1"/>
  <c r="N1442" i="260"/>
  <c r="G1520" i="260" a="1"/>
  <c r="G1520" i="260"/>
  <c r="J1641" i="260" a="1"/>
  <c r="J1641" i="260"/>
  <c r="J1459" i="260" a="1"/>
  <c r="J1459" i="260"/>
  <c r="J1599" i="260" a="1"/>
  <c r="J1599" i="260"/>
  <c r="J1545" i="260" a="1"/>
  <c r="J1545" i="260"/>
  <c r="J1576" i="260" a="1"/>
  <c r="J1576" i="260"/>
  <c r="J1465" i="260" a="1"/>
  <c r="J1465" i="260"/>
  <c r="J1688" i="260" a="1"/>
  <c r="J1688" i="260"/>
  <c r="J1454" i="260" a="1"/>
  <c r="J1454" i="260"/>
  <c r="J1469" i="260" a="1"/>
  <c r="J1469" i="260"/>
  <c r="J1659" i="260" a="1"/>
  <c r="J1659" i="260"/>
  <c r="M1615" i="260" a="1"/>
  <c r="M1615" i="260"/>
  <c r="H1626" i="260" a="1"/>
  <c r="H1626" i="260"/>
  <c r="H1599" i="260" a="1"/>
  <c r="H1599" i="260"/>
  <c r="H1587" i="260" a="1"/>
  <c r="H1587" i="260"/>
  <c r="H1632" i="260" a="1"/>
  <c r="H1632" i="260"/>
  <c r="H1673" i="260" a="1"/>
  <c r="H1673" i="260"/>
  <c r="H1660" i="260" a="1"/>
  <c r="H1660" i="260"/>
  <c r="H1595" i="260" a="1"/>
  <c r="H1595" i="260"/>
  <c r="H1656" i="260" a="1"/>
  <c r="H1656" i="260"/>
  <c r="H1640" i="260" a="1"/>
  <c r="H1640" i="260"/>
  <c r="H1600" i="260" a="1"/>
  <c r="H1600" i="260"/>
  <c r="H1646" i="260" a="1"/>
  <c r="H1646" i="260"/>
  <c r="H1663" i="260" a="1"/>
  <c r="H1663" i="260"/>
  <c r="K1707" i="260" a="1"/>
  <c r="K1707" i="260"/>
  <c r="M1706" i="260" a="1"/>
  <c r="M1706" i="260"/>
  <c r="I1705" i="260" a="1"/>
  <c r="I1705" i="260"/>
  <c r="L1584" i="260" a="1"/>
  <c r="L1584" i="260"/>
  <c r="L1561" i="260" a="1"/>
  <c r="L1561" i="260"/>
  <c r="L1441" i="260" a="1"/>
  <c r="L1441" i="260"/>
  <c r="L1457" i="260" a="1"/>
  <c r="L1457" i="260"/>
  <c r="L1642" i="260" a="1"/>
  <c r="L1642" i="260"/>
  <c r="L1528" i="260" a="1"/>
  <c r="L1528" i="260"/>
  <c r="L1548" i="260" a="1"/>
  <c r="L1548" i="260"/>
  <c r="L1622" i="260" a="1"/>
  <c r="L1622" i="260"/>
  <c r="L1679" i="260" a="1"/>
  <c r="L1679" i="260"/>
  <c r="L1637" i="260" a="1"/>
  <c r="L1637" i="260"/>
  <c r="N1541" i="260" a="1"/>
  <c r="N1541" i="260"/>
  <c r="N1603" i="260" a="1"/>
  <c r="N1603" i="260"/>
  <c r="N1627" i="260" a="1"/>
  <c r="N1627" i="260"/>
  <c r="N1499" i="260" a="1"/>
  <c r="N1499" i="260"/>
  <c r="N1461" i="260" a="1"/>
  <c r="N1461" i="260"/>
  <c r="N1552" i="260" a="1"/>
  <c r="N1552" i="260"/>
  <c r="N1449" i="260" a="1"/>
  <c r="N1449" i="260"/>
  <c r="N1605" i="260" a="1"/>
  <c r="N1605" i="260"/>
  <c r="N1687" i="260" a="1"/>
  <c r="N1687" i="260"/>
  <c r="N1568" i="260" a="1"/>
  <c r="N1568" i="260"/>
  <c r="N1441" i="260" a="1"/>
  <c r="N1441" i="260"/>
  <c r="N1087" i="260" a="1"/>
  <c r="N1087" i="260"/>
  <c r="J1590" i="260" a="1"/>
  <c r="J1590" i="260"/>
  <c r="J1647" i="260" a="1"/>
  <c r="J1647" i="260"/>
  <c r="J1563" i="260" a="1"/>
  <c r="J1563" i="260"/>
  <c r="J1528" i="260" a="1"/>
  <c r="J1528" i="260"/>
  <c r="J1509" i="260" a="1"/>
  <c r="J1509" i="260"/>
  <c r="J1443" i="260" a="1"/>
  <c r="J1443" i="260"/>
  <c r="J1564" i="260" a="1"/>
  <c r="J1564" i="260"/>
  <c r="J1481" i="260" a="1"/>
  <c r="J1481" i="260"/>
  <c r="J1638" i="260" a="1"/>
  <c r="J1638" i="260"/>
  <c r="J1510" i="260" a="1"/>
  <c r="J1510" i="260"/>
  <c r="J1687" i="260" a="1"/>
  <c r="J1687" i="260"/>
  <c r="J1585" i="260" a="1"/>
  <c r="J1585" i="260"/>
  <c r="H1634" i="260" a="1"/>
  <c r="H1634" i="260"/>
  <c r="H1447" i="260" a="1"/>
  <c r="H1447" i="260"/>
  <c r="H1453" i="260" a="1"/>
  <c r="H1453" i="260"/>
  <c r="H1564" i="260" a="1"/>
  <c r="H1564" i="260"/>
  <c r="H1697" i="260" a="1"/>
  <c r="H1697" i="260"/>
  <c r="H1630" i="260" a="1"/>
  <c r="H1630" i="260"/>
  <c r="H1481" i="260" a="1"/>
  <c r="H1481" i="260"/>
  <c r="H1470" i="260" a="1"/>
  <c r="H1470" i="260"/>
  <c r="H1534" i="260" a="1"/>
  <c r="H1534" i="260"/>
  <c r="H1451" i="260" a="1"/>
  <c r="H1451" i="260"/>
  <c r="H1631" i="260" a="1"/>
  <c r="H1631" i="260"/>
  <c r="H1588" i="260" a="1"/>
  <c r="H1588" i="260"/>
  <c r="H1658" i="260" a="1"/>
  <c r="H1658" i="260"/>
  <c r="H1461" i="260" a="1"/>
  <c r="H1461" i="260"/>
  <c r="H1567" i="260" a="1"/>
  <c r="H1567" i="260"/>
  <c r="H1655" i="260" a="1"/>
  <c r="H1655" i="260"/>
  <c r="H1683" i="260" a="1"/>
  <c r="H1683" i="260"/>
  <c r="H1579" i="260" a="1"/>
  <c r="H1579" i="260"/>
  <c r="H1666" i="260" a="1"/>
  <c r="H1666" i="260"/>
  <c r="H1657" i="260" a="1"/>
  <c r="H1657" i="260"/>
  <c r="H1476" i="260" a="1"/>
  <c r="H1476" i="260"/>
  <c r="H1464" i="260" a="1"/>
  <c r="H1464" i="260"/>
  <c r="H1557" i="260" a="1"/>
  <c r="H1557" i="260"/>
  <c r="H1633" i="260" a="1"/>
  <c r="H1633" i="260"/>
  <c r="H1438" i="260" a="1"/>
  <c r="H1438" i="260"/>
  <c r="H1495" i="260" a="1"/>
  <c r="H1495" i="260"/>
  <c r="H1490" i="260" a="1"/>
  <c r="H1490" i="260"/>
  <c r="H1642" i="260" a="1"/>
  <c r="H1642" i="260"/>
  <c r="H1075" i="260" a="1"/>
  <c r="H1075" i="260"/>
  <c r="K1704" i="260" a="1"/>
  <c r="K1704" i="260"/>
  <c r="G1609" i="260" a="1"/>
  <c r="G1609" i="260"/>
  <c r="I1708" i="260" a="1"/>
  <c r="I1708" i="260"/>
  <c r="L1594" i="260" a="1"/>
  <c r="L1594" i="260"/>
  <c r="L1644" i="260" a="1"/>
  <c r="L1644" i="260"/>
  <c r="L1508" i="260" a="1"/>
  <c r="L1508" i="260"/>
  <c r="L1656" i="260" a="1"/>
  <c r="L1656" i="260"/>
  <c r="L1675" i="260" a="1"/>
  <c r="L1675" i="260"/>
  <c r="L1577" i="260" a="1"/>
  <c r="L1577" i="260"/>
  <c r="L1698" i="260" a="1"/>
  <c r="L1698" i="260"/>
  <c r="L1469" i="260" a="1"/>
  <c r="L1469" i="260"/>
  <c r="L1668" i="260" a="1"/>
  <c r="L1668" i="260"/>
  <c r="L1592" i="260" a="1"/>
  <c r="L1592" i="260"/>
  <c r="L1626" i="260" a="1"/>
  <c r="L1626" i="260"/>
  <c r="L1699" i="260" a="1"/>
  <c r="L1699" i="260"/>
  <c r="L1646" i="260" a="1"/>
  <c r="L1646" i="260"/>
  <c r="L1695" i="260" a="1"/>
  <c r="L1695" i="260"/>
  <c r="L1581" i="260" a="1"/>
  <c r="L1581" i="260"/>
  <c r="L1688" i="260" a="1"/>
  <c r="L1688" i="260"/>
  <c r="L1647" i="260" a="1"/>
  <c r="L1647" i="260"/>
  <c r="L1659" i="260" a="1"/>
  <c r="L1659" i="260"/>
  <c r="L1651" i="260" a="1"/>
  <c r="L1651" i="260"/>
  <c r="L1683" i="260" a="1"/>
  <c r="L1683" i="260"/>
  <c r="L1480" i="260" a="1"/>
  <c r="L1480" i="260"/>
  <c r="L1543" i="260" a="1"/>
  <c r="L1543" i="260"/>
  <c r="L1448" i="260" a="1"/>
  <c r="L1448" i="260"/>
  <c r="L1569" i="260" a="1"/>
  <c r="L1569" i="260"/>
  <c r="L1670" i="260" a="1"/>
  <c r="L1670" i="260"/>
  <c r="L1461" i="260" a="1"/>
  <c r="L1461" i="260"/>
  <c r="L1538" i="260" a="1"/>
  <c r="L1538" i="260"/>
  <c r="L1445" i="260" a="1"/>
  <c r="L1445" i="260"/>
  <c r="L1566" i="260" a="1"/>
  <c r="L1566" i="260"/>
  <c r="L1537" i="260" a="1"/>
  <c r="L1537" i="260"/>
  <c r="N1469" i="260" a="1"/>
  <c r="N1469" i="260"/>
  <c r="N1597" i="260" a="1"/>
  <c r="N1597" i="260"/>
  <c r="N1655" i="260" a="1"/>
  <c r="N1655" i="260"/>
  <c r="N1498" i="260" a="1"/>
  <c r="N1498" i="260"/>
  <c r="N1671" i="260" a="1"/>
  <c r="N1671" i="260"/>
  <c r="N1509" i="260" a="1"/>
  <c r="N1509" i="260"/>
  <c r="N1561" i="260" a="1"/>
  <c r="N1561" i="260"/>
  <c r="N1692" i="260" a="1"/>
  <c r="N1692" i="260"/>
  <c r="N1447" i="260" a="1"/>
  <c r="N1447" i="260"/>
  <c r="N1602" i="260" a="1"/>
  <c r="N1602" i="260"/>
  <c r="N1510" i="260" a="1"/>
  <c r="N1510" i="260"/>
  <c r="N1570" i="260" a="1"/>
  <c r="N1570" i="260"/>
  <c r="N1458" i="260" a="1"/>
  <c r="N1458" i="260"/>
  <c r="N1539" i="260" a="1"/>
  <c r="N1539" i="260"/>
  <c r="N1554" i="260" a="1"/>
  <c r="N1554" i="260"/>
  <c r="N1633" i="260" a="1"/>
  <c r="N1633" i="260"/>
  <c r="N1501" i="260" a="1"/>
  <c r="N1501" i="260"/>
  <c r="N1576" i="260" a="1"/>
  <c r="N1576" i="260"/>
  <c r="N1565" i="260" a="1"/>
  <c r="N1565" i="260"/>
  <c r="N1446" i="260" a="1"/>
  <c r="N1446" i="260"/>
  <c r="N1677" i="260" a="1"/>
  <c r="N1677" i="260"/>
  <c r="N1443" i="260" a="1"/>
  <c r="N1443" i="260"/>
  <c r="N1680" i="260" a="1"/>
  <c r="N1680" i="260"/>
  <c r="N1659" i="260" a="1"/>
  <c r="N1659" i="260"/>
  <c r="N1502" i="260" a="1"/>
  <c r="N1502" i="260"/>
  <c r="N1594" i="260" a="1"/>
  <c r="N1594" i="260"/>
  <c r="N1584" i="260" a="1"/>
  <c r="N1584" i="260"/>
  <c r="N1663" i="260" a="1"/>
  <c r="N1663" i="260"/>
  <c r="N1487" i="260" a="1"/>
  <c r="N1487" i="260"/>
  <c r="N1648" i="260" a="1"/>
  <c r="N1648" i="260"/>
  <c r="N1057" i="260" a="1"/>
  <c r="N1057" i="260"/>
  <c r="G1514" i="260" a="1"/>
  <c r="G1514" i="260"/>
  <c r="M1514" i="260" a="1"/>
  <c r="M1514" i="260"/>
  <c r="J1570" i="260" a="1"/>
  <c r="J1570" i="260"/>
  <c r="J1507" i="260" a="1"/>
  <c r="J1507" i="260"/>
  <c r="J1598" i="260" a="1"/>
  <c r="J1598" i="260"/>
  <c r="J1484" i="260" a="1"/>
  <c r="J1484" i="260"/>
  <c r="J1504" i="260" a="1"/>
  <c r="J1504" i="260"/>
  <c r="J1679" i="260" a="1"/>
  <c r="J1679" i="260"/>
  <c r="J1508" i="260" a="1"/>
  <c r="J1508" i="260"/>
  <c r="J1489" i="260" a="1"/>
  <c r="J1489" i="260"/>
  <c r="J1578" i="260" a="1"/>
  <c r="J1578" i="260"/>
  <c r="J1581" i="260" a="1"/>
  <c r="J1581" i="260"/>
  <c r="J1535" i="260" a="1"/>
  <c r="J1535" i="260"/>
  <c r="J1493" i="260" a="1"/>
  <c r="J1493" i="260"/>
  <c r="J1593" i="260" a="1"/>
  <c r="J1593" i="260"/>
  <c r="J1551" i="260" a="1"/>
  <c r="J1551" i="260"/>
  <c r="J1667" i="260" a="1"/>
  <c r="J1667" i="260"/>
  <c r="J1499" i="260" a="1"/>
  <c r="J1499" i="260"/>
  <c r="J1449" i="260" a="1"/>
  <c r="J1449" i="260"/>
  <c r="J1681" i="260" a="1"/>
  <c r="J1681" i="260"/>
  <c r="J1480" i="260" a="1"/>
  <c r="J1480" i="260"/>
  <c r="J1696" i="260" a="1"/>
  <c r="J1696" i="260"/>
  <c r="J1675" i="260" a="1"/>
  <c r="J1675" i="260"/>
  <c r="J1455" i="260" a="1"/>
  <c r="J1455" i="260"/>
  <c r="J1468" i="260" a="1"/>
  <c r="J1468" i="260"/>
  <c r="J1665" i="260" a="1"/>
  <c r="J1665" i="260"/>
  <c r="J1633" i="260" a="1"/>
  <c r="J1633" i="260"/>
  <c r="J1677" i="260" a="1"/>
  <c r="J1677" i="260"/>
  <c r="J1588" i="260" a="1"/>
  <c r="J1588" i="260"/>
  <c r="J1662" i="260" a="1"/>
  <c r="J1662" i="260"/>
  <c r="J1664" i="260" a="1"/>
  <c r="J1664" i="260"/>
  <c r="O1706" i="260" a="1"/>
  <c r="O1706" i="260"/>
  <c r="H1553" i="260" a="1"/>
  <c r="H1553" i="260"/>
  <c r="H1554" i="260" a="1"/>
  <c r="H1554" i="260"/>
  <c r="H1664" i="260" a="1"/>
  <c r="H1664" i="260"/>
  <c r="H1691" i="260" a="1"/>
  <c r="H1691" i="260"/>
  <c r="H1674" i="260" a="1"/>
  <c r="H1674" i="260"/>
  <c r="H1605" i="260" a="1"/>
  <c r="H1605" i="260"/>
  <c r="H1693" i="260" a="1"/>
  <c r="H1693" i="260"/>
  <c r="H1466" i="260" a="1"/>
  <c r="H1466" i="260"/>
  <c r="H1539" i="260" a="1"/>
  <c r="H1539" i="260"/>
  <c r="H1669" i="260" a="1"/>
  <c r="H1669" i="260"/>
  <c r="H1649" i="260" a="1"/>
  <c r="H1649" i="260"/>
  <c r="H1572" i="260" a="1"/>
  <c r="H1572" i="260"/>
  <c r="H1537" i="260" a="1"/>
  <c r="H1537" i="260"/>
  <c r="H1506" i="260" a="1"/>
  <c r="H1506" i="260"/>
  <c r="H1676" i="260" a="1"/>
  <c r="H1676" i="260"/>
  <c r="H1455" i="260" a="1"/>
  <c r="H1455" i="260"/>
  <c r="H1542" i="260" a="1"/>
  <c r="H1542" i="260"/>
  <c r="H1690" i="260" a="1"/>
  <c r="H1690" i="260"/>
  <c r="H1680" i="260" a="1"/>
  <c r="H1680" i="260"/>
  <c r="H1574" i="260" a="1"/>
  <c r="H1574" i="260"/>
  <c r="H1483" i="260" a="1"/>
  <c r="H1483" i="260"/>
  <c r="H1498" i="260" a="1"/>
  <c r="H1498" i="260"/>
  <c r="H1668" i="260" a="1"/>
  <c r="H1668" i="260"/>
  <c r="H1604" i="260" a="1"/>
  <c r="H1604" i="260"/>
  <c r="H1486" i="260" a="1"/>
  <c r="H1486" i="260"/>
  <c r="H1688" i="260" a="1"/>
  <c r="H1688" i="260"/>
  <c r="H1448" i="260" a="1"/>
  <c r="H1448" i="260"/>
  <c r="H1441" i="260" a="1"/>
  <c r="H1441" i="260"/>
  <c r="H1628" i="260" a="1"/>
  <c r="H1628" i="260"/>
  <c r="H1591" i="260" a="1"/>
  <c r="H1591" i="260"/>
  <c r="L1570" i="260" a="1"/>
  <c r="L1570" i="260"/>
  <c r="L1639" i="260" a="1"/>
  <c r="L1639" i="260"/>
  <c r="L1680" i="260" a="1"/>
  <c r="L1680" i="260"/>
  <c r="L1643" i="260" a="1"/>
  <c r="L1643" i="260"/>
  <c r="L1504" i="260" a="1"/>
  <c r="L1504" i="260"/>
  <c r="L1587" i="260" a="1"/>
  <c r="L1587" i="260"/>
  <c r="L1533" i="260" a="1"/>
  <c r="L1533" i="260"/>
  <c r="L1465" i="260" a="1"/>
  <c r="L1465" i="260"/>
  <c r="L1630" i="260" a="1"/>
  <c r="L1630" i="260"/>
  <c r="L1687" i="260" a="1"/>
  <c r="L1687" i="260"/>
  <c r="L1650" i="260" a="1"/>
  <c r="L1650" i="260"/>
  <c r="L1625" i="260" a="1"/>
  <c r="L1625" i="260"/>
  <c r="L1454" i="260" a="1"/>
  <c r="L1454" i="260"/>
  <c r="L1550" i="260" a="1"/>
  <c r="L1550" i="260"/>
  <c r="L1544" i="260" a="1"/>
  <c r="L1544" i="260"/>
  <c r="L1440" i="260" a="1"/>
  <c r="L1440" i="260"/>
  <c r="L1696" i="260" a="1"/>
  <c r="L1696" i="260"/>
  <c r="L1634" i="260" a="1"/>
  <c r="L1634" i="260"/>
  <c r="L1629" i="260" a="1"/>
  <c r="L1629" i="260"/>
  <c r="L1505" i="260" a="1"/>
  <c r="L1505" i="260"/>
  <c r="L1507" i="260" a="1"/>
  <c r="L1507" i="260"/>
  <c r="L1582" i="260" a="1"/>
  <c r="L1582" i="260"/>
  <c r="L1641" i="260" a="1"/>
  <c r="L1641" i="260"/>
  <c r="L1605" i="260" a="1"/>
  <c r="L1605" i="260"/>
  <c r="L1682" i="260" a="1"/>
  <c r="L1682" i="260"/>
  <c r="L1684" i="260" a="1"/>
  <c r="L1684" i="260"/>
  <c r="L1593" i="260" a="1"/>
  <c r="L1593" i="260"/>
  <c r="L1509" i="260" a="1"/>
  <c r="L1509" i="260"/>
  <c r="L1558" i="260" a="1"/>
  <c r="L1558" i="260"/>
  <c r="N1465" i="260" a="1"/>
  <c r="N1465" i="260"/>
  <c r="N1451" i="260" a="1"/>
  <c r="N1451" i="260"/>
  <c r="N1495" i="260" a="1"/>
  <c r="N1495" i="260"/>
  <c r="N1548" i="260" a="1"/>
  <c r="N1548" i="260"/>
  <c r="N1582" i="260" a="1"/>
  <c r="N1582" i="260"/>
  <c r="N1654" i="260" a="1"/>
  <c r="N1654" i="260"/>
  <c r="N1600" i="260" a="1"/>
  <c r="N1600" i="260"/>
  <c r="N1642" i="260" a="1"/>
  <c r="N1642" i="260"/>
  <c r="N1667" i="260" a="1"/>
  <c r="N1667" i="260"/>
  <c r="N1579" i="260" a="1"/>
  <c r="N1579" i="260"/>
  <c r="N1601" i="260" a="1"/>
  <c r="N1601" i="260"/>
  <c r="N1537" i="260" a="1"/>
  <c r="N1537" i="260"/>
  <c r="N1696" i="260" a="1"/>
  <c r="N1696" i="260"/>
  <c r="N1504" i="260" a="1"/>
  <c r="N1504" i="260"/>
  <c r="N1695" i="260" a="1"/>
  <c r="N1695" i="260"/>
  <c r="N1546" i="260" a="1"/>
  <c r="N1546" i="260"/>
  <c r="N1668" i="260" a="1"/>
  <c r="N1668" i="260"/>
  <c r="N1474" i="260" a="1"/>
  <c r="N1474" i="260"/>
  <c r="N1588" i="260" a="1"/>
  <c r="N1588" i="260"/>
  <c r="N1493" i="260" a="1"/>
  <c r="N1493" i="260"/>
  <c r="N1649" i="260" a="1"/>
  <c r="N1649" i="260"/>
  <c r="N1643" i="260" a="1"/>
  <c r="N1643" i="260"/>
  <c r="N1470" i="260" a="1"/>
  <c r="N1470" i="260"/>
  <c r="N1550" i="260" a="1"/>
  <c r="N1550" i="260"/>
  <c r="N1456" i="260" a="1"/>
  <c r="N1456" i="260"/>
  <c r="N1535" i="260" a="1"/>
  <c r="N1535" i="260"/>
  <c r="N1586" i="260" a="1"/>
  <c r="N1586" i="260"/>
  <c r="N1533" i="260" a="1"/>
  <c r="N1533" i="260"/>
  <c r="N1638" i="260" a="1"/>
  <c r="N1638" i="260"/>
  <c r="N1694" i="260" a="1"/>
  <c r="N1694" i="260"/>
  <c r="J1467" i="260" a="1"/>
  <c r="J1467" i="260"/>
  <c r="J1637" i="260" a="1"/>
  <c r="J1637" i="260"/>
  <c r="J1485" i="260" a="1"/>
  <c r="J1485" i="260"/>
  <c r="J1629" i="260" a="1"/>
  <c r="J1629" i="260"/>
  <c r="J1605" i="260" a="1"/>
  <c r="J1605" i="260"/>
  <c r="J1530" i="260" a="1"/>
  <c r="J1530" i="260"/>
  <c r="J1444" i="260" a="1"/>
  <c r="J1444" i="260"/>
  <c r="J1640" i="260" a="1"/>
  <c r="J1640" i="260"/>
  <c r="J1437" i="260" a="1"/>
  <c r="J1437" i="260"/>
  <c r="J1596" i="260" a="1"/>
  <c r="J1596" i="260"/>
  <c r="J1486" i="260" a="1"/>
  <c r="J1486" i="260"/>
  <c r="J1691" i="260" a="1"/>
  <c r="J1691" i="260"/>
  <c r="J1547" i="260" a="1"/>
  <c r="J1547" i="260"/>
  <c r="J1626" i="260" a="1"/>
  <c r="J1626" i="260"/>
  <c r="J1579" i="260" a="1"/>
  <c r="J1579" i="260"/>
  <c r="J1503" i="260" a="1"/>
  <c r="J1503" i="260"/>
  <c r="J1674" i="260" a="1"/>
  <c r="J1674" i="260"/>
  <c r="J1456" i="260" a="1"/>
  <c r="J1456" i="260"/>
  <c r="J1604" i="260" a="1"/>
  <c r="J1604" i="260"/>
  <c r="J1460" i="260" a="1"/>
  <c r="J1460" i="260"/>
  <c r="J1602" i="260" a="1"/>
  <c r="J1602" i="260"/>
  <c r="J1435" i="260" a="1"/>
  <c r="J1435" i="260"/>
  <c r="J1464" i="260" a="1"/>
  <c r="J1464" i="260"/>
  <c r="J1567" i="260" a="1"/>
  <c r="J1567" i="260"/>
  <c r="J1445" i="260" a="1"/>
  <c r="J1445" i="260"/>
  <c r="J1624" i="260" a="1"/>
  <c r="J1624" i="260"/>
  <c r="J1630" i="260" a="1"/>
  <c r="J1630" i="260"/>
  <c r="J1494" i="260" a="1"/>
  <c r="J1494" i="260"/>
  <c r="J1622" i="260" a="1"/>
  <c r="J1622" i="260"/>
  <c r="J1061" i="260" a="1"/>
  <c r="J1061" i="260"/>
  <c r="L1087" i="260" a="1"/>
  <c r="L1087" i="260"/>
  <c r="L1093" i="260" a="1"/>
  <c r="L1093" i="260"/>
  <c r="L1101" i="260" a="1"/>
  <c r="L1101" i="260"/>
  <c r="L1068" i="260" a="1"/>
  <c r="L1068" i="260"/>
  <c r="L1086" i="260" a="1"/>
  <c r="L1086" i="260"/>
  <c r="L1069" i="260" a="1"/>
  <c r="L1069" i="260"/>
  <c r="L1084" i="260" a="1"/>
  <c r="L1084" i="260"/>
  <c r="L1070" i="260" a="1"/>
  <c r="L1070" i="260"/>
  <c r="L1059" i="260" a="1"/>
  <c r="L1059" i="260"/>
  <c r="L1071" i="260" a="1"/>
  <c r="L1071" i="260"/>
  <c r="L1046" i="260" a="1"/>
  <c r="L1046" i="260"/>
  <c r="L1053" i="260" a="1"/>
  <c r="L1053" i="260"/>
  <c r="L1055" i="260" a="1"/>
  <c r="L1055" i="260"/>
  <c r="L1104" i="260" a="1"/>
  <c r="L1104" i="260"/>
  <c r="L1083" i="260" a="1"/>
  <c r="L1083" i="260"/>
  <c r="L1056" i="260" a="1"/>
  <c r="L1056" i="260"/>
  <c r="L1066" i="260" a="1"/>
  <c r="L1066" i="260"/>
  <c r="L1065" i="260" a="1"/>
  <c r="L1065" i="260"/>
  <c r="L1098" i="260" a="1"/>
  <c r="L1098" i="260"/>
  <c r="L1091" i="260" a="1"/>
  <c r="L1091" i="260"/>
  <c r="L1048" i="260" a="1"/>
  <c r="L1048" i="260"/>
  <c r="L1099" i="260" a="1"/>
  <c r="L1099" i="260"/>
  <c r="L1077" i="260" a="1"/>
  <c r="L1077" i="260"/>
  <c r="L1054" i="260" a="1"/>
  <c r="L1054" i="260"/>
  <c r="L1067" i="260" a="1"/>
  <c r="L1067" i="260"/>
  <c r="L1079" i="260" a="1"/>
  <c r="L1079" i="260"/>
  <c r="L1063" i="260" a="1"/>
  <c r="L1063" i="260"/>
  <c r="L1050" i="260" a="1"/>
  <c r="L1050" i="260"/>
  <c r="L1078" i="260" a="1"/>
  <c r="L1078" i="260"/>
  <c r="L1097" i="260" a="1"/>
  <c r="L1097" i="260"/>
  <c r="L1052" i="260" a="1"/>
  <c r="L1052" i="260"/>
  <c r="L1102" i="260" a="1"/>
  <c r="L1102" i="260"/>
  <c r="L1090" i="260" a="1"/>
  <c r="L1090" i="260"/>
  <c r="L1075" i="260" a="1"/>
  <c r="L1075" i="260"/>
  <c r="L1082" i="260" a="1"/>
  <c r="L1082" i="260"/>
  <c r="L1096" i="260" a="1"/>
  <c r="L1096" i="260"/>
  <c r="L1081" i="260" a="1"/>
  <c r="L1081" i="260"/>
  <c r="L1074" i="260" a="1"/>
  <c r="L1074" i="260"/>
  <c r="L1072" i="260" a="1"/>
  <c r="L1072" i="260"/>
  <c r="L1095" i="260" a="1"/>
  <c r="L1095" i="260"/>
  <c r="L1058" i="260" a="1"/>
  <c r="L1058" i="260"/>
  <c r="L1044" i="260" a="1"/>
  <c r="L1044" i="260"/>
  <c r="L1051" i="260" a="1"/>
  <c r="L1051" i="260"/>
  <c r="L1064" i="260" a="1"/>
  <c r="L1064" i="260"/>
  <c r="L1060" i="260" a="1"/>
  <c r="L1060" i="260"/>
  <c r="L1085" i="260" a="1"/>
  <c r="L1085" i="260"/>
  <c r="L1088" i="260" a="1"/>
  <c r="L1088" i="260"/>
  <c r="L1089" i="260" a="1"/>
  <c r="L1089" i="260"/>
  <c r="L1047" i="260" a="1"/>
  <c r="L1047" i="260"/>
  <c r="L1045" i="260" a="1"/>
  <c r="L1045" i="260"/>
  <c r="L1049" i="260" a="1"/>
  <c r="L1049" i="260"/>
  <c r="H1085" i="260" a="1"/>
  <c r="H1085" i="260"/>
  <c r="J1073" i="260" a="1"/>
  <c r="J1073" i="260"/>
  <c r="J1045" i="260" a="1"/>
  <c r="J1045" i="260"/>
  <c r="J1063" i="260" a="1"/>
  <c r="J1063" i="260"/>
  <c r="H1057" i="260" a="1"/>
  <c r="H1057" i="260"/>
  <c r="H1088" i="260" a="1"/>
  <c r="H1088" i="260"/>
  <c r="H1084" i="260" a="1"/>
  <c r="H1084" i="260"/>
  <c r="H1076" i="260" a="1"/>
  <c r="H1076" i="260"/>
  <c r="H1052" i="260" a="1"/>
  <c r="H1052" i="260"/>
  <c r="H1056" i="260" a="1"/>
  <c r="H1056" i="260"/>
  <c r="H1095" i="260" a="1"/>
  <c r="H1095" i="260"/>
  <c r="H1063" i="260" a="1"/>
  <c r="H1063" i="260"/>
  <c r="H1049" i="260" a="1"/>
  <c r="H1049" i="260"/>
  <c r="H1091" i="260" a="1"/>
  <c r="H1091" i="260"/>
  <c r="H1092" i="260" a="1"/>
  <c r="H1092" i="260"/>
  <c r="H1062" i="260" a="1"/>
  <c r="H1062" i="260"/>
  <c r="H1053" i="260" a="1"/>
  <c r="H1053" i="260"/>
  <c r="H1046" i="260" a="1"/>
  <c r="H1046" i="260"/>
  <c r="H1104" i="260" a="1"/>
  <c r="H1104" i="260"/>
  <c r="H1086" i="260" a="1"/>
  <c r="H1086" i="260"/>
  <c r="H1073" i="260" a="1"/>
  <c r="H1073" i="260"/>
  <c r="H1048" i="260" a="1"/>
  <c r="H1048" i="260"/>
  <c r="H1103" i="260" a="1"/>
  <c r="H1103" i="260"/>
  <c r="H1045" i="260" a="1"/>
  <c r="H1045" i="260"/>
  <c r="H1055" i="260" a="1"/>
  <c r="H1055" i="260"/>
  <c r="H1064" i="260" a="1"/>
  <c r="H1064" i="260"/>
  <c r="H1100" i="260" a="1"/>
  <c r="H1100" i="260"/>
  <c r="H1050" i="260" a="1"/>
  <c r="H1050" i="260"/>
  <c r="H1065" i="260" a="1"/>
  <c r="H1065" i="260"/>
  <c r="H1060" i="260" a="1"/>
  <c r="H1060" i="260"/>
  <c r="H1089" i="260" a="1"/>
  <c r="H1089" i="260"/>
  <c r="H1082" i="260" a="1"/>
  <c r="H1082" i="260"/>
  <c r="N1052" i="260" a="1"/>
  <c r="N1052" i="260"/>
  <c r="N1084" i="260" a="1"/>
  <c r="N1084" i="260"/>
  <c r="N1103" i="260" a="1"/>
  <c r="N1103" i="260"/>
  <c r="N1068" i="260" a="1"/>
  <c r="N1068" i="260"/>
  <c r="N1090" i="260" a="1"/>
  <c r="N1090" i="260"/>
  <c r="N1067" i="260" a="1"/>
  <c r="N1067" i="260"/>
  <c r="N1098" i="260" a="1"/>
  <c r="N1098" i="260"/>
  <c r="N1079" i="260" a="1"/>
  <c r="N1079" i="260"/>
  <c r="N1092" i="260" a="1"/>
  <c r="N1092" i="260"/>
  <c r="N1066" i="260" a="1"/>
  <c r="N1066" i="260"/>
  <c r="N1086" i="260" a="1"/>
  <c r="N1086" i="260"/>
  <c r="N1073" i="260" a="1"/>
  <c r="N1073" i="260"/>
  <c r="N1069" i="260" a="1"/>
  <c r="N1069" i="260"/>
  <c r="N1064" i="260" a="1"/>
  <c r="N1064" i="260"/>
  <c r="N1055" i="260" a="1"/>
  <c r="N1055" i="260"/>
  <c r="H1080" i="260" a="1"/>
  <c r="H1080" i="260"/>
  <c r="H1090" i="260" a="1"/>
  <c r="H1090" i="260"/>
  <c r="L1092" i="260" a="1"/>
  <c r="L1092" i="260"/>
  <c r="H1058" i="260" a="1"/>
  <c r="H1058" i="260"/>
  <c r="H1059" i="260" a="1"/>
  <c r="H1059" i="260"/>
  <c r="L1103" i="260" a="1"/>
  <c r="L1103" i="260"/>
  <c r="J1071" i="260" a="1"/>
  <c r="J1071" i="260"/>
  <c r="J1103" i="260" a="1"/>
  <c r="J1103" i="260"/>
  <c r="J1096" i="260" a="1"/>
  <c r="J1096" i="260"/>
  <c r="J1072" i="260" a="1"/>
  <c r="J1072" i="260"/>
  <c r="J1065" i="260" a="1"/>
  <c r="J1065" i="260"/>
  <c r="H1068" i="260" a="1"/>
  <c r="H1068" i="260"/>
  <c r="H1081" i="260" a="1"/>
  <c r="H1081" i="260"/>
  <c r="H1101" i="260" a="1"/>
  <c r="H1101" i="260"/>
  <c r="J1089" i="260" a="1"/>
  <c r="J1089" i="260"/>
  <c r="J1055" i="260" a="1"/>
  <c r="J1055" i="260"/>
  <c r="J1062" i="260" a="1"/>
  <c r="J1062" i="260"/>
  <c r="J1084" i="260" a="1"/>
  <c r="J1084" i="260"/>
  <c r="J1054" i="260" a="1"/>
  <c r="J1054" i="260"/>
  <c r="H1044" i="260" a="1"/>
  <c r="H1044" i="260"/>
  <c r="N1100" i="260" a="1"/>
  <c r="N1100" i="260"/>
  <c r="N1072" i="260" a="1"/>
  <c r="N1072" i="260"/>
  <c r="N1051" i="260" a="1"/>
  <c r="N1051" i="260"/>
  <c r="N1077" i="260" a="1"/>
  <c r="N1077" i="260"/>
  <c r="N1101" i="260" a="1"/>
  <c r="N1101" i="260"/>
  <c r="N1099" i="260" a="1"/>
  <c r="N1099" i="260"/>
  <c r="N1104" i="260" a="1"/>
  <c r="N1104" i="260"/>
  <c r="N1060" i="260" a="1"/>
  <c r="N1060" i="260"/>
  <c r="N1078" i="260" a="1"/>
  <c r="N1078" i="260"/>
  <c r="N1054" i="260" a="1"/>
  <c r="N1054" i="260"/>
  <c r="N1050" i="260" a="1"/>
  <c r="N1050" i="260"/>
  <c r="N1095" i="260" a="1"/>
  <c r="N1095" i="260"/>
  <c r="N1062" i="260" a="1"/>
  <c r="N1062" i="260"/>
  <c r="N1085" i="260" a="1"/>
  <c r="N1085" i="260"/>
  <c r="N1076" i="260" a="1"/>
  <c r="N1076" i="260"/>
  <c r="N1088" i="260" a="1"/>
  <c r="N1088" i="260"/>
  <c r="N1053" i="260" a="1"/>
  <c r="N1053" i="260"/>
  <c r="N1065" i="260" a="1"/>
  <c r="N1065" i="260"/>
  <c r="N1093" i="260" a="1"/>
  <c r="N1093" i="260"/>
  <c r="N1061" i="260" a="1"/>
  <c r="N1061" i="260"/>
  <c r="N1063" i="260" a="1"/>
  <c r="N1063" i="260"/>
  <c r="N1070" i="260" a="1"/>
  <c r="N1070" i="260"/>
  <c r="N1094" i="260" a="1"/>
  <c r="N1094" i="260"/>
  <c r="J1048" i="260" a="1"/>
  <c r="J1048" i="260"/>
  <c r="J1079" i="260" a="1"/>
  <c r="J1079" i="260"/>
  <c r="J1075" i="260" a="1"/>
  <c r="J1075" i="260"/>
  <c r="J1102" i="260" a="1"/>
  <c r="J1102" i="260"/>
  <c r="J1053" i="260" a="1"/>
  <c r="J1053" i="260"/>
  <c r="J1074" i="260" a="1"/>
  <c r="J1074" i="260"/>
  <c r="J1058" i="260" a="1"/>
  <c r="J1058" i="260"/>
  <c r="J1057" i="260" a="1"/>
  <c r="J1057" i="260"/>
  <c r="J1097" i="260" a="1"/>
  <c r="J1097" i="260"/>
  <c r="J1078" i="260" a="1"/>
  <c r="J1078" i="260"/>
  <c r="J1050" i="260" a="1"/>
  <c r="J1050" i="260"/>
  <c r="J1059" i="260" a="1"/>
  <c r="J1059" i="260"/>
  <c r="J1083" i="260" a="1"/>
  <c r="J1083" i="260"/>
  <c r="J1076" i="260" a="1"/>
  <c r="J1076" i="260"/>
  <c r="J1051" i="260" a="1"/>
  <c r="J1051" i="260"/>
  <c r="N1074" i="260" a="1"/>
  <c r="N1074" i="260"/>
  <c r="N1082" i="260" a="1"/>
  <c r="N1082" i="260"/>
  <c r="N1059" i="260" a="1"/>
  <c r="N1059" i="260"/>
  <c r="J1095" i="260" a="1"/>
  <c r="J1095" i="260"/>
  <c r="J1064" i="260" a="1"/>
  <c r="J1064" i="260"/>
  <c r="J1099" i="260" a="1"/>
  <c r="J1099" i="260"/>
  <c r="J1093" i="260" a="1"/>
  <c r="J1093" i="260"/>
  <c r="N1089" i="260" a="1"/>
  <c r="N1089" i="260"/>
  <c r="N1097" i="260" a="1"/>
  <c r="N1097" i="260"/>
  <c r="N1044" i="260" a="1"/>
  <c r="N1044" i="260"/>
  <c r="N1058" i="260" a="1"/>
  <c r="N1058" i="260"/>
  <c r="N1048" i="260" a="1"/>
  <c r="N1048" i="260"/>
  <c r="J1088" i="260" a="1"/>
  <c r="J1088" i="260"/>
  <c r="J1049" i="260" a="1"/>
  <c r="J1049" i="260"/>
  <c r="J1056" i="260" a="1"/>
  <c r="J1056" i="260"/>
  <c r="J1060" i="260" a="1"/>
  <c r="J1060" i="260"/>
  <c r="J1087" i="260" a="1"/>
  <c r="J1087" i="260"/>
  <c r="J1066" i="260" a="1"/>
  <c r="J1066" i="260"/>
  <c r="J1101" i="260" a="1"/>
  <c r="J1101" i="260"/>
  <c r="J1085" i="260" a="1"/>
  <c r="J1085" i="260"/>
  <c r="J1081" i="260" a="1"/>
  <c r="J1081" i="260"/>
  <c r="J1082" i="260" a="1"/>
  <c r="J1082" i="260"/>
  <c r="J1094" i="260" a="1"/>
  <c r="J1094" i="260"/>
  <c r="J1090" i="260" a="1"/>
  <c r="J1090" i="260"/>
  <c r="H1071" i="260" a="1"/>
  <c r="H1071" i="260"/>
  <c r="H1094" i="260" a="1"/>
  <c r="H1094" i="260"/>
  <c r="H1097" i="260" a="1"/>
  <c r="H1097" i="260"/>
  <c r="H1069" i="260" a="1"/>
  <c r="H1069" i="260"/>
  <c r="H1077" i="260" a="1"/>
  <c r="H1077" i="260"/>
  <c r="H1102" i="260" a="1"/>
  <c r="H1102" i="260"/>
  <c r="H1093" i="260" a="1"/>
  <c r="H1093" i="260"/>
  <c r="H1061" i="260" a="1"/>
  <c r="H1061" i="260"/>
  <c r="J1080" i="260" a="1"/>
  <c r="J1080" i="260"/>
  <c r="J1086" i="260" a="1"/>
  <c r="J1086" i="260"/>
  <c r="J1046" i="260" a="1"/>
  <c r="J1046" i="260"/>
  <c r="J1070" i="260" a="1"/>
  <c r="J1070" i="260"/>
  <c r="J1044" i="260" a="1"/>
  <c r="J1044" i="260"/>
  <c r="J1069" i="260" a="1"/>
  <c r="J1069" i="260"/>
  <c r="J1104" i="260" a="1"/>
  <c r="J1104" i="260"/>
  <c r="H1087" i="260" a="1"/>
  <c r="H1087" i="260"/>
  <c r="H1051" i="260" a="1"/>
  <c r="H1051" i="260"/>
  <c r="H1074" i="260" a="1"/>
  <c r="H1074" i="260"/>
  <c r="H1066" i="260" a="1"/>
  <c r="H1066" i="260"/>
  <c r="H1098" i="260" a="1"/>
  <c r="H1098" i="260"/>
  <c r="H1078" i="260" a="1"/>
  <c r="H1078" i="260"/>
  <c r="H1083" i="260" a="1"/>
  <c r="H1083" i="260"/>
  <c r="N1091" i="260" a="1"/>
  <c r="N1091" i="260"/>
  <c r="N1056" i="260" a="1"/>
  <c r="N1056" i="260"/>
  <c r="N1081" i="260" a="1"/>
  <c r="N1081" i="260"/>
  <c r="N1046" i="260" a="1"/>
  <c r="N1046" i="260"/>
  <c r="N1049" i="260" a="1"/>
  <c r="N1049" i="260"/>
  <c r="N1071" i="260" a="1"/>
  <c r="N1071" i="260"/>
  <c r="N1075" i="260" a="1"/>
  <c r="N1075" i="260"/>
  <c r="J1068" i="260" a="1"/>
  <c r="J1068" i="260"/>
  <c r="J1092" i="260" a="1"/>
  <c r="J1092" i="260"/>
  <c r="J1067" i="260" a="1"/>
  <c r="J1067" i="260"/>
  <c r="J1100" i="260" a="1"/>
  <c r="J1100" i="260"/>
  <c r="J1077" i="260" a="1"/>
  <c r="J1077" i="260"/>
  <c r="J1098" i="260" a="1"/>
  <c r="J1098" i="260"/>
  <c r="J1047" i="260" a="1"/>
  <c r="J1047" i="260"/>
  <c r="O1043" i="260" a="1"/>
  <c r="O1043" i="260"/>
  <c r="O1802" i="260" a="1"/>
  <c r="O1802" i="260"/>
  <c r="M1043" i="260" a="1"/>
  <c r="M1043" i="260"/>
  <c r="M1802" i="260" a="1"/>
  <c r="M1802" i="260"/>
  <c r="I1043" i="260" a="1"/>
  <c r="I1043" i="260"/>
  <c r="I1802" i="260" a="1"/>
  <c r="I1802" i="260"/>
  <c r="G1043" i="260" a="1"/>
  <c r="G1043" i="260"/>
  <c r="G1802" i="260" a="1"/>
  <c r="G1802" i="260"/>
  <c r="O1797" i="260" a="1"/>
  <c r="O1797" i="260"/>
  <c r="O1798" i="260" a="1"/>
  <c r="O1798" i="260"/>
  <c r="O1799" i="260" a="1"/>
  <c r="O1799" i="260"/>
  <c r="O1800" i="260" a="1"/>
  <c r="O1800" i="260"/>
  <c r="O1801" i="260" a="1"/>
  <c r="O1801" i="260"/>
  <c r="I1797" i="260" a="1"/>
  <c r="I1797" i="260"/>
  <c r="I1798" i="260" a="1"/>
  <c r="I1798" i="260"/>
  <c r="I1799" i="260" a="1"/>
  <c r="I1799" i="260"/>
  <c r="I1800" i="260" a="1"/>
  <c r="I1800" i="260"/>
  <c r="I1801" i="260" a="1"/>
  <c r="I1801" i="260"/>
  <c r="G1797" i="260" a="1"/>
  <c r="G1797" i="260"/>
  <c r="G1798" i="260" a="1"/>
  <c r="G1798" i="260"/>
  <c r="G1799" i="260" a="1"/>
  <c r="G1799" i="260"/>
  <c r="G1800" i="260" a="1"/>
  <c r="G1800" i="260"/>
  <c r="G1801" i="260" a="1"/>
  <c r="G1801" i="260"/>
  <c r="M1797" i="260" a="1"/>
  <c r="M1797" i="260"/>
  <c r="M1798" i="260" a="1"/>
  <c r="M1798" i="260"/>
  <c r="M1799" i="260" a="1"/>
  <c r="M1799" i="260"/>
  <c r="M1800" i="260" a="1"/>
  <c r="M1800" i="260"/>
  <c r="M1801" i="260" a="1"/>
  <c r="M1801" i="260"/>
  <c r="K1043" i="260" a="1"/>
  <c r="K1043" i="260"/>
  <c r="K1797" i="260" a="1"/>
  <c r="K1797" i="260"/>
  <c r="K1798" i="260" a="1"/>
  <c r="K1798" i="260"/>
  <c r="K1799" i="260" a="1"/>
  <c r="K1799" i="260"/>
  <c r="K1800" i="260" a="1"/>
  <c r="K1800" i="260"/>
  <c r="K1801" i="260" a="1"/>
  <c r="K1801" i="260"/>
  <c r="K1802" i="260" a="1"/>
  <c r="K1802" i="260"/>
  <c r="H1527" i="260" a="1"/>
  <c r="H1527" i="260"/>
  <c r="H1613" i="260" a="1"/>
  <c r="H1613" i="260"/>
  <c r="L1621" i="260" a="1"/>
  <c r="L1621" i="260"/>
  <c r="L1705" i="260" a="1"/>
  <c r="L1705" i="260"/>
  <c r="J1527" i="260" a="1"/>
  <c r="J1527" i="260"/>
  <c r="J1611" i="260" a="1"/>
  <c r="J1611" i="260"/>
  <c r="N1527" i="260" a="1"/>
  <c r="N1527" i="260"/>
  <c r="N1612" i="260" a="1"/>
  <c r="N1612" i="260"/>
  <c r="N1609" i="260" a="1"/>
  <c r="N1609" i="260"/>
  <c r="N1432" i="260" a="1"/>
  <c r="N1432" i="260"/>
  <c r="N1517" i="260" a="1"/>
  <c r="N1517" i="260"/>
  <c r="N1516" i="260" a="1"/>
  <c r="N1516" i="260"/>
  <c r="N1518" i="260" a="1"/>
  <c r="N1518" i="260"/>
  <c r="N1515" i="260" a="1"/>
  <c r="N1515" i="260"/>
  <c r="N1519" i="260" a="1"/>
  <c r="N1519" i="260"/>
  <c r="N1514" i="260" a="1"/>
  <c r="N1514" i="260"/>
  <c r="N1520" i="260" a="1"/>
  <c r="N1520" i="260"/>
  <c r="L1432" i="260" a="1"/>
  <c r="L1432" i="260"/>
  <c r="L1519" i="260" a="1"/>
  <c r="L1519" i="260"/>
  <c r="L1520" i="260" a="1"/>
  <c r="L1520" i="260"/>
  <c r="L1514" i="260" a="1"/>
  <c r="L1514" i="260"/>
  <c r="J1432" i="260" a="1"/>
  <c r="J1432" i="260"/>
  <c r="J1517" i="260" a="1"/>
  <c r="J1517" i="260"/>
  <c r="J1518" i="260" a="1"/>
  <c r="J1518" i="260"/>
  <c r="J1615" i="260" a="1"/>
  <c r="J1615" i="260"/>
  <c r="L1527" i="260" a="1"/>
  <c r="L1527" i="260"/>
  <c r="L1609" i="260" a="1"/>
  <c r="L1609" i="260"/>
  <c r="L1610" i="260" a="1"/>
  <c r="L1610" i="260"/>
  <c r="N1621" i="260" a="1"/>
  <c r="N1621" i="260"/>
  <c r="N1705" i="260" a="1"/>
  <c r="N1705" i="260"/>
  <c r="H1621" i="260" a="1"/>
  <c r="H1621" i="260"/>
  <c r="H1709" i="260" a="1"/>
  <c r="H1709" i="260"/>
  <c r="H1705" i="260" a="1"/>
  <c r="H1705" i="260"/>
  <c r="H1609" i="260" a="1"/>
  <c r="H1609" i="260"/>
  <c r="H1611" i="260" a="1"/>
  <c r="H1611" i="260"/>
  <c r="N1614" i="260" a="1"/>
  <c r="N1614" i="260"/>
  <c r="J1515" i="260" a="1"/>
  <c r="J1515" i="260"/>
  <c r="L1706" i="260" a="1"/>
  <c r="L1706" i="260"/>
  <c r="L1708" i="260" a="1"/>
  <c r="L1708" i="260"/>
  <c r="L1703" i="260" a="1"/>
  <c r="L1703" i="260"/>
  <c r="L1709" i="260" a="1"/>
  <c r="L1709" i="260"/>
  <c r="L1707" i="260" a="1"/>
  <c r="L1707" i="260"/>
  <c r="L1704" i="260" a="1"/>
  <c r="L1704" i="260"/>
  <c r="N1704" i="260" a="1"/>
  <c r="N1704" i="260"/>
  <c r="N1709" i="260" a="1"/>
  <c r="N1709" i="260"/>
  <c r="H1432" i="260" a="1"/>
  <c r="H1432" i="260"/>
  <c r="H1518" i="260" a="1"/>
  <c r="H1518" i="260"/>
  <c r="H1517" i="260" a="1"/>
  <c r="H1517" i="260"/>
  <c r="H1520" i="260" a="1"/>
  <c r="H1520" i="260"/>
  <c r="H1515" i="260" a="1"/>
  <c r="H1515" i="260"/>
  <c r="H1519" i="260" a="1"/>
  <c r="H1519" i="260"/>
  <c r="H1514" i="260" a="1"/>
  <c r="H1514" i="260"/>
  <c r="H1516" i="260" a="1"/>
  <c r="H1516" i="260"/>
  <c r="H1614" i="260" a="1"/>
  <c r="H1614" i="260"/>
  <c r="J1621" i="260" a="1"/>
  <c r="J1621" i="260"/>
  <c r="J1708" i="260" a="1"/>
  <c r="J1708" i="260"/>
  <c r="J1707" i="260" a="1"/>
  <c r="J1707" i="260"/>
  <c r="J1704" i="260" a="1"/>
  <c r="J1704" i="260"/>
  <c r="J1709" i="260" a="1"/>
  <c r="J1709" i="260"/>
  <c r="J1703" i="260" a="1"/>
  <c r="J1703" i="260"/>
  <c r="L1612" i="260" a="1"/>
  <c r="L1612" i="260"/>
  <c r="L1517" i="260" a="1"/>
  <c r="L1517" i="260"/>
  <c r="J1706" i="260" a="1"/>
  <c r="J1706" i="260"/>
  <c r="L1611" i="260" a="1"/>
  <c r="L1611" i="260"/>
  <c r="H1610" i="260" a="1"/>
  <c r="H1610" i="260"/>
  <c r="N1706" i="260" a="1"/>
  <c r="N1706" i="260"/>
  <c r="J1705" i="260" a="1"/>
  <c r="J1705" i="260"/>
  <c r="J1514" i="260" a="1"/>
  <c r="J1514" i="260"/>
  <c r="H1706" i="260" a="1"/>
  <c r="H1706" i="260"/>
  <c r="J1519" i="260" a="1"/>
  <c r="J1519" i="260"/>
  <c r="H1704" i="260" a="1"/>
  <c r="H1704" i="260"/>
  <c r="L1515" i="260" a="1"/>
  <c r="L1515" i="260"/>
  <c r="J1612" i="260" a="1"/>
  <c r="J1612" i="260"/>
  <c r="N1611" i="260" a="1"/>
  <c r="N1611" i="260"/>
  <c r="L1614" i="260" a="1"/>
  <c r="L1614" i="260"/>
  <c r="H1707" i="260" a="1"/>
  <c r="H1707" i="260"/>
  <c r="N1707" i="260" a="1"/>
  <c r="N1707" i="260"/>
  <c r="J1613" i="260" a="1"/>
  <c r="J1613" i="260"/>
  <c r="N1613" i="260" a="1"/>
  <c r="N1613" i="260"/>
  <c r="J1614" i="260" a="1"/>
  <c r="J1614" i="260"/>
  <c r="L1613" i="260" a="1"/>
  <c r="L1613" i="260"/>
  <c r="H1615" i="260" a="1"/>
  <c r="H1615" i="260"/>
  <c r="H1708" i="260" a="1"/>
  <c r="H1708" i="260"/>
  <c r="N1703" i="260" a="1"/>
  <c r="N1703" i="260"/>
  <c r="L1518" i="260" a="1"/>
  <c r="L1518" i="260"/>
  <c r="J1520" i="260" a="1"/>
  <c r="J1520" i="260"/>
  <c r="J1610" i="260" a="1"/>
  <c r="J1610" i="260"/>
  <c r="N1610" i="260" a="1"/>
  <c r="N1610" i="260"/>
  <c r="N1708" i="260" a="1"/>
  <c r="N1708" i="260"/>
  <c r="L1615" i="260" a="1"/>
  <c r="L1615" i="260"/>
  <c r="H1612" i="260" a="1"/>
  <c r="H1612" i="260"/>
  <c r="H1703" i="260" a="1"/>
  <c r="H1703" i="260"/>
  <c r="L1516" i="260" a="1"/>
  <c r="L1516" i="260"/>
  <c r="J1516" i="260" a="1"/>
  <c r="J1516" i="260"/>
  <c r="J1609" i="260" a="1"/>
  <c r="J1609" i="260"/>
  <c r="N1615" i="260" a="1"/>
  <c r="N1615" i="260"/>
  <c r="F1043" i="260" a="1"/>
  <c r="F1043" i="260"/>
  <c r="F1797" i="260" a="1"/>
  <c r="F1797" i="260"/>
  <c r="F1798" i="260" a="1"/>
  <c r="F1798" i="260"/>
  <c r="F1799" i="260" a="1"/>
  <c r="F1799" i="260"/>
  <c r="F1800" i="260" a="1"/>
  <c r="F1800" i="260"/>
  <c r="F1801" i="260" a="1"/>
  <c r="F1801" i="260"/>
  <c r="F1802" i="260" a="1"/>
  <c r="F1802" i="260"/>
  <c r="F1796" i="260"/>
  <c r="F1804" i="260"/>
  <c r="J1043" i="260" a="1"/>
  <c r="J1043" i="260"/>
  <c r="J1802" i="260" a="1"/>
  <c r="J1802" i="260"/>
  <c r="J1797" i="260" a="1"/>
  <c r="J1797" i="260"/>
  <c r="J1798" i="260" a="1"/>
  <c r="J1798" i="260"/>
  <c r="J1799" i="260" a="1"/>
  <c r="J1799" i="260"/>
  <c r="J1800" i="260" a="1"/>
  <c r="J1800" i="260"/>
  <c r="J1801" i="260" a="1"/>
  <c r="J1801" i="260"/>
  <c r="I1513" i="260" a="1"/>
  <c r="I1513" i="260"/>
  <c r="I1522" i="260"/>
  <c r="I1812" i="260"/>
  <c r="I1608" i="260" a="1"/>
  <c r="I1608" i="260"/>
  <c r="I1617" i="260"/>
  <c r="I1813" i="260"/>
  <c r="I1702" i="260" a="1"/>
  <c r="I1702" i="260"/>
  <c r="I1711" i="260"/>
  <c r="I1814" i="260"/>
  <c r="M1513" i="260" a="1"/>
  <c r="M1513" i="260"/>
  <c r="M1522" i="260"/>
  <c r="M1812" i="260"/>
  <c r="M1608" i="260" a="1"/>
  <c r="M1608" i="260"/>
  <c r="M1617" i="260"/>
  <c r="M1813" i="260"/>
  <c r="M1702" i="260" a="1"/>
  <c r="M1702" i="260"/>
  <c r="M1711" i="260"/>
  <c r="M1814" i="260"/>
  <c r="N1043" i="260" a="1"/>
  <c r="N1043" i="260"/>
  <c r="N1802" i="260" a="1"/>
  <c r="N1802" i="260"/>
  <c r="G1513" i="260" a="1"/>
  <c r="G1513" i="260"/>
  <c r="G1522" i="260"/>
  <c r="G1812" i="260"/>
  <c r="G1608" i="260" a="1"/>
  <c r="G1608" i="260"/>
  <c r="G1617" i="260"/>
  <c r="G1813" i="260"/>
  <c r="G1702" i="260" a="1"/>
  <c r="G1702" i="260"/>
  <c r="G1711" i="260"/>
  <c r="G1814" i="260"/>
  <c r="L1043" i="260" a="1"/>
  <c r="L1043" i="260"/>
  <c r="L1797" i="260" a="1"/>
  <c r="L1797" i="260"/>
  <c r="L1798" i="260" a="1"/>
  <c r="L1798" i="260"/>
  <c r="L1799" i="260" a="1"/>
  <c r="L1799" i="260"/>
  <c r="L1800" i="260" a="1"/>
  <c r="L1800" i="260"/>
  <c r="L1801" i="260" a="1"/>
  <c r="L1801" i="260"/>
  <c r="L1802" i="260" a="1"/>
  <c r="L1802" i="260"/>
  <c r="H1043" i="260" a="1"/>
  <c r="H1043" i="260"/>
  <c r="H1802" i="260" a="1"/>
  <c r="H1802" i="260"/>
  <c r="O1513" i="260" a="1"/>
  <c r="O1513" i="260"/>
  <c r="O1522" i="260"/>
  <c r="O1812" i="260"/>
  <c r="O1608" i="260" a="1"/>
  <c r="O1608" i="260"/>
  <c r="O1617" i="260"/>
  <c r="O1813" i="260"/>
  <c r="O1702" i="260" a="1"/>
  <c r="O1702" i="260"/>
  <c r="O1711" i="260"/>
  <c r="O1814" i="260"/>
  <c r="O1796" i="260"/>
  <c r="N1797" i="260" a="1"/>
  <c r="N1797" i="260"/>
  <c r="N1798" i="260" a="1"/>
  <c r="N1798" i="260"/>
  <c r="N1799" i="260" a="1"/>
  <c r="N1799" i="260"/>
  <c r="N1800" i="260" a="1"/>
  <c r="N1800" i="260"/>
  <c r="N1801" i="260" a="1"/>
  <c r="N1801" i="260"/>
  <c r="I1796" i="260"/>
  <c r="G1796" i="260"/>
  <c r="M1796" i="260"/>
  <c r="H1797" i="260" a="1"/>
  <c r="H1797" i="260"/>
  <c r="H1798" i="260" a="1"/>
  <c r="H1798" i="260"/>
  <c r="H1799" i="260" a="1"/>
  <c r="H1799" i="260"/>
  <c r="H1800" i="260" a="1"/>
  <c r="H1800" i="260"/>
  <c r="H1801" i="260" a="1"/>
  <c r="H1801" i="260"/>
  <c r="O1804" i="260"/>
  <c r="I1804" i="260"/>
  <c r="M1804" i="260"/>
  <c r="K1796" i="260"/>
  <c r="K1513" i="260" a="1"/>
  <c r="K1513" i="260"/>
  <c r="K1522" i="260"/>
  <c r="K1812" i="260"/>
  <c r="K1608" i="260" a="1"/>
  <c r="K1608" i="260"/>
  <c r="K1617" i="260"/>
  <c r="K1813" i="260"/>
  <c r="K1702" i="260" a="1"/>
  <c r="K1702" i="260"/>
  <c r="K1711" i="260"/>
  <c r="K1814" i="260"/>
  <c r="G1804" i="260"/>
  <c r="G1820" i="260"/>
  <c r="K1820" i="260"/>
  <c r="K1804" i="260"/>
  <c r="O1820" i="260"/>
  <c r="M1820" i="260"/>
  <c r="I1820" i="260"/>
  <c r="J1513" i="260" a="1"/>
  <c r="J1513" i="260"/>
  <c r="J1522" i="260"/>
  <c r="J1812" i="260"/>
  <c r="J1608" i="260" a="1"/>
  <c r="J1608" i="260"/>
  <c r="J1617" i="260"/>
  <c r="J1813" i="260"/>
  <c r="J1702" i="260" a="1"/>
  <c r="J1702" i="260"/>
  <c r="J1711" i="260"/>
  <c r="J1814" i="260"/>
  <c r="J1796" i="260"/>
  <c r="J1804" i="260"/>
  <c r="L1796" i="260"/>
  <c r="L1513" i="260" a="1"/>
  <c r="L1513" i="260"/>
  <c r="L1522" i="260"/>
  <c r="L1812" i="260"/>
  <c r="L1608" i="260" a="1"/>
  <c r="L1608" i="260"/>
  <c r="L1617" i="260"/>
  <c r="L1813" i="260"/>
  <c r="L1702" i="260" a="1"/>
  <c r="L1702" i="260"/>
  <c r="L1711" i="260"/>
  <c r="L1814" i="260"/>
  <c r="N1513" i="260" a="1"/>
  <c r="N1513" i="260"/>
  <c r="N1522" i="260"/>
  <c r="N1812" i="260"/>
  <c r="N1608" i="260" a="1"/>
  <c r="N1608" i="260"/>
  <c r="N1617" i="260"/>
  <c r="N1813" i="260"/>
  <c r="N1702" i="260" a="1"/>
  <c r="N1702" i="260"/>
  <c r="N1711" i="260"/>
  <c r="N1814" i="260"/>
  <c r="H1513" i="260" a="1"/>
  <c r="H1513" i="260"/>
  <c r="H1522" i="260"/>
  <c r="H1812" i="260"/>
  <c r="H1608" i="260" a="1"/>
  <c r="H1608" i="260"/>
  <c r="H1617" i="260"/>
  <c r="H1813" i="260"/>
  <c r="H1702" i="260" a="1"/>
  <c r="H1702" i="260"/>
  <c r="H1711" i="260"/>
  <c r="H1814" i="260"/>
  <c r="N1796" i="260"/>
  <c r="H1796" i="260"/>
  <c r="L1804" i="260"/>
  <c r="N1804" i="260"/>
  <c r="J1820" i="260"/>
  <c r="N1820" i="260"/>
  <c r="H1820" i="260"/>
  <c r="L1820" i="260"/>
  <c r="H1804" i="260"/>
</calcChain>
</file>

<file path=xl/comments1.xml><?xml version="1.0" encoding="utf-8"?>
<comments xmlns="http://schemas.openxmlformats.org/spreadsheetml/2006/main">
  <authors>
    <author>Bryce McCall</author>
    <author>Fadiel Ahjum</author>
  </authors>
  <commentList>
    <comment ref="BG22" authorId="0">
      <text>
        <r>
          <rPr>
            <b/>
            <sz val="9"/>
            <color indexed="81"/>
            <rFont val="Tahoma"/>
            <family val="2"/>
          </rPr>
          <t>Bryce McCall:</t>
        </r>
        <r>
          <rPr>
            <sz val="9"/>
            <color indexed="81"/>
            <rFont val="Tahoma"/>
            <family val="2"/>
          </rPr>
          <t xml:space="preserve">
from dmd prj from here
</t>
        </r>
      </text>
    </comment>
    <comment ref="BL38" authorId="1">
      <text>
        <r>
          <rPr>
            <b/>
            <sz val="9"/>
            <color indexed="81"/>
            <rFont val="Tahoma"/>
            <family val="2"/>
          </rPr>
          <t xml:space="preserve">Dummy data
</t>
        </r>
      </text>
    </comment>
  </commentList>
</comments>
</file>

<file path=xl/comments2.xml><?xml version="1.0" encoding="utf-8"?>
<comments xmlns="http://schemas.openxmlformats.org/spreadsheetml/2006/main">
  <authors>
    <author>Bruno Merven</author>
  </authors>
  <commentList>
    <comment ref="AH172" authorId="0">
      <text>
        <r>
          <rPr>
            <b/>
            <sz val="8"/>
            <color indexed="81"/>
            <rFont val="Tahoma"/>
            <family val="2"/>
          </rPr>
          <t>Bruno Merven:</t>
        </r>
        <r>
          <rPr>
            <sz val="8"/>
            <color indexed="81"/>
            <rFont val="Tahoma"/>
            <family val="2"/>
          </rPr>
          <t xml:space="preserve">
Estimates from Alfred while we wait for CGE update.</t>
        </r>
      </text>
    </comment>
  </commentList>
</comments>
</file>

<file path=xl/comments3.xml><?xml version="1.0" encoding="utf-8"?>
<comments xmlns="http://schemas.openxmlformats.org/spreadsheetml/2006/main">
  <authors>
    <author>Fadiel Ahjum</author>
    <author>Bruno Merven</author>
  </authors>
  <commentList>
    <comment ref="M12" authorId="0">
      <text>
        <r>
          <rPr>
            <b/>
            <sz val="9"/>
            <color indexed="81"/>
            <rFont val="Tahoma"/>
            <family val="2"/>
          </rPr>
          <t>Fadiel Ahjum:</t>
        </r>
        <r>
          <rPr>
            <sz val="9"/>
            <color indexed="81"/>
            <rFont val="Tahoma"/>
            <family val="2"/>
          </rPr>
          <t xml:space="preserve">
Updated after chat with bruno. Clean coal value was used instead of gross coal value.</t>
        </r>
      </text>
    </comment>
    <comment ref="M13" authorId="0">
      <text>
        <r>
          <rPr>
            <b/>
            <sz val="9"/>
            <color indexed="81"/>
            <rFont val="Tahoma"/>
            <family val="2"/>
          </rPr>
          <t>Fadiel Ahjum:</t>
        </r>
        <r>
          <rPr>
            <sz val="9"/>
            <color indexed="81"/>
            <rFont val="Tahoma"/>
            <family val="2"/>
          </rPr>
          <t xml:space="preserve">
Gas material  for CTL is nil in SATIM</t>
        </r>
      </text>
    </comment>
    <comment ref="R13" authorId="0">
      <text>
        <r>
          <rPr>
            <b/>
            <sz val="9"/>
            <color indexed="81"/>
            <rFont val="Tahoma"/>
            <family val="2"/>
          </rPr>
          <t>Fadiel Ahjum:</t>
        </r>
        <r>
          <rPr>
            <sz val="9"/>
            <color indexed="81"/>
            <rFont val="Tahoma"/>
            <family val="2"/>
          </rPr>
          <t xml:space="preserve">
SASOL total Ngas (Secunda + Sasolburg)</t>
        </r>
      </text>
    </comment>
    <comment ref="E16" authorId="0">
      <text>
        <r>
          <rPr>
            <b/>
            <sz val="9"/>
            <color indexed="81"/>
            <rFont val="Tahoma"/>
            <family val="2"/>
          </rPr>
          <t>Fadiel Ahjum:</t>
        </r>
        <r>
          <rPr>
            <sz val="9"/>
            <color indexed="81"/>
            <rFont val="Tahoma"/>
            <family val="2"/>
          </rPr>
          <t xml:space="preserve">
DoE value for liquefaction transformation</t>
        </r>
      </text>
    </comment>
    <comment ref="M34" authorId="0">
      <text>
        <r>
          <rPr>
            <b/>
            <sz val="9"/>
            <color indexed="81"/>
            <rFont val="Tahoma"/>
            <family val="2"/>
          </rPr>
          <t>Fadiel Ahjum:</t>
        </r>
        <r>
          <rPr>
            <sz val="9"/>
            <color indexed="81"/>
            <rFont val="Tahoma"/>
            <family val="2"/>
          </rPr>
          <t xml:space="preserve">
</t>
        </r>
      </text>
    </comment>
    <comment ref="O36" authorId="0">
      <text>
        <r>
          <rPr>
            <b/>
            <sz val="9"/>
            <color indexed="81"/>
            <rFont val="Tahoma"/>
            <family val="2"/>
          </rPr>
          <t xml:space="preserve">Original efficiency value:
</t>
        </r>
      </text>
    </comment>
    <comment ref="M38" authorId="0">
      <text>
        <r>
          <rPr>
            <b/>
            <sz val="9"/>
            <color indexed="81"/>
            <rFont val="Tahoma"/>
            <family val="2"/>
          </rPr>
          <t>Fadiel Ahjum:</t>
        </r>
        <r>
          <rPr>
            <sz val="9"/>
            <color indexed="81"/>
            <rFont val="Tahoma"/>
            <family val="2"/>
          </rPr>
          <t xml:space="preserve">
Based on electricity input.</t>
        </r>
      </text>
    </comment>
    <comment ref="N38" authorId="0">
      <text>
        <r>
          <rPr>
            <b/>
            <sz val="9"/>
            <color indexed="81"/>
            <rFont val="Tahoma"/>
            <family val="2"/>
          </rPr>
          <t>Fadiel Ahjum:</t>
        </r>
        <r>
          <rPr>
            <sz val="9"/>
            <color indexed="81"/>
            <rFont val="Tahoma"/>
            <family val="2"/>
          </rPr>
          <t xml:space="preserve">
based on fuel input </t>
        </r>
      </text>
    </comment>
    <comment ref="O39" authorId="0">
      <text>
        <r>
          <rPr>
            <b/>
            <sz val="9"/>
            <color indexed="81"/>
            <rFont val="Tahoma"/>
            <family val="2"/>
          </rPr>
          <t>Fadiel Ahjum:</t>
        </r>
        <r>
          <rPr>
            <sz val="9"/>
            <color indexed="81"/>
            <rFont val="Tahoma"/>
            <family val="2"/>
          </rPr>
          <t xml:space="preserve">
No Gas material usage in SATIM so this is set to zero for base year
</t>
        </r>
      </text>
    </comment>
    <comment ref="P39" authorId="0">
      <text>
        <r>
          <rPr>
            <b/>
            <sz val="9"/>
            <color indexed="81"/>
            <rFont val="Tahoma"/>
            <family val="2"/>
          </rPr>
          <t>Fadiel Ahjum:</t>
        </r>
        <r>
          <rPr>
            <sz val="9"/>
            <color indexed="81"/>
            <rFont val="Tahoma"/>
            <family val="2"/>
          </rPr>
          <t xml:space="preserve">
2010 value onwards</t>
        </r>
      </text>
    </comment>
    <comment ref="O42" authorId="0">
      <text>
        <r>
          <rPr>
            <b/>
            <sz val="9"/>
            <color indexed="81"/>
            <rFont val="Tahoma"/>
            <family val="2"/>
          </rPr>
          <t>Fadiel Ahjum:</t>
        </r>
        <r>
          <rPr>
            <sz val="9"/>
            <color indexed="81"/>
            <rFont val="Tahoma"/>
            <family val="2"/>
          </rPr>
          <t xml:space="preserve">
From eskom only
</t>
        </r>
      </text>
    </comment>
    <comment ref="B79" authorId="1">
      <text>
        <r>
          <rPr>
            <b/>
            <sz val="8"/>
            <color indexed="81"/>
            <rFont val="Tahoma"/>
            <family val="2"/>
          </rPr>
          <t>Bruno Merven:</t>
        </r>
        <r>
          <rPr>
            <sz val="8"/>
            <color indexed="81"/>
            <rFont val="Tahoma"/>
            <family val="2"/>
          </rPr>
          <t xml:space="preserve">
Assumes 63% of Natref attributed to Sasol</t>
        </r>
      </text>
    </comment>
    <comment ref="B82" authorId="1">
      <text>
        <r>
          <rPr>
            <b/>
            <sz val="8"/>
            <color indexed="81"/>
            <rFont val="Tahoma"/>
            <family val="2"/>
          </rPr>
          <t>Bruno Merven:</t>
        </r>
        <r>
          <rPr>
            <sz val="8"/>
            <color indexed="81"/>
            <rFont val="Tahoma"/>
            <family val="2"/>
          </rPr>
          <t xml:space="preserve">
Total output including Sasol + ELFTOTAL</t>
        </r>
      </text>
    </comment>
    <comment ref="B114" authorId="1">
      <text>
        <r>
          <rPr>
            <b/>
            <sz val="8"/>
            <color indexed="81"/>
            <rFont val="Tahoma"/>
            <family val="2"/>
          </rPr>
          <t>Bruno Merven:</t>
        </r>
        <r>
          <rPr>
            <sz val="8"/>
            <color indexed="81"/>
            <rFont val="Tahoma"/>
            <family val="2"/>
          </rPr>
          <t xml:space="preserve">
The inclusion or exclusion of electricity costs needs to be looked at again.</t>
        </r>
      </text>
    </comment>
    <comment ref="H122" authorId="0">
      <text>
        <r>
          <rPr>
            <sz val="9"/>
            <color indexed="81"/>
            <rFont val="Tahoma"/>
            <family val="2"/>
          </rPr>
          <t>1 barrel of oil (LHV) ≈
5.70 GJ (IEA def.)
5.86 GJ (global avg.)
Iain Staffell, University of Birmingham, UK 2011</t>
        </r>
      </text>
    </comment>
    <comment ref="N170" authorId="1">
      <text>
        <r>
          <rPr>
            <b/>
            <sz val="8"/>
            <color indexed="81"/>
            <rFont val="Tahoma"/>
            <family val="2"/>
          </rPr>
          <t>Bruno Merven:</t>
        </r>
        <r>
          <rPr>
            <sz val="8"/>
            <color indexed="81"/>
            <rFont val="Tahoma"/>
            <family val="2"/>
          </rPr>
          <t xml:space="preserve">
Table 2.6 in C.A. Lewis: Fuel and Energy Production Emission Factors (MEET Project Task number 3.4)</t>
        </r>
      </text>
    </comment>
    <comment ref="N194" authorId="1">
      <text>
        <r>
          <rPr>
            <b/>
            <sz val="8"/>
            <color indexed="81"/>
            <rFont val="Tahoma"/>
            <family val="2"/>
          </rPr>
          <t>Bruno Merven:</t>
        </r>
        <r>
          <rPr>
            <sz val="8"/>
            <color indexed="81"/>
            <rFont val="Tahoma"/>
            <family val="2"/>
          </rPr>
          <t xml:space="preserve">
Assume a 10% improvement on existing refineries</t>
        </r>
      </text>
    </comment>
    <comment ref="E203" authorId="0">
      <text>
        <r>
          <rPr>
            <sz val="9"/>
            <color indexed="81"/>
            <rFont val="Tahoma"/>
            <family val="2"/>
          </rPr>
          <t>~100MW
Christo Cloete (PetroSA) pers. Comm. to Adrian Stone (August,2013)</t>
        </r>
      </text>
    </comment>
    <comment ref="L203" authorId="0">
      <text>
        <r>
          <rPr>
            <b/>
            <sz val="9"/>
            <color indexed="81"/>
            <rFont val="Tahoma"/>
            <family val="2"/>
          </rPr>
          <t>Fadiel Ahjum:</t>
        </r>
        <r>
          <rPr>
            <sz val="9"/>
            <color indexed="81"/>
            <rFont val="Tahoma"/>
            <family val="2"/>
          </rPr>
          <t xml:space="preserve">
Nominal. Get data from bruno
</t>
        </r>
      </text>
    </comment>
    <comment ref="L204" authorId="0">
      <text>
        <r>
          <rPr>
            <b/>
            <sz val="9"/>
            <color indexed="81"/>
            <rFont val="Tahoma"/>
            <family val="2"/>
          </rPr>
          <t>Fadiel Ahjum:</t>
        </r>
        <r>
          <rPr>
            <sz val="9"/>
            <color indexed="81"/>
            <rFont val="Tahoma"/>
            <family val="2"/>
          </rPr>
          <t xml:space="preserve">
nominal value
</t>
        </r>
      </text>
    </comment>
    <comment ref="D206" authorId="1">
      <text>
        <r>
          <rPr>
            <b/>
            <sz val="8"/>
            <color indexed="81"/>
            <rFont val="Tahoma"/>
            <family val="2"/>
          </rPr>
          <t>Bruno Merven:</t>
        </r>
        <r>
          <rPr>
            <sz val="8"/>
            <color indexed="81"/>
            <rFont val="Tahoma"/>
            <family val="2"/>
          </rPr>
          <t xml:space="preserve">
Petrol SA annual report has 11.36MMbbl =11.36*0.136*42.66=65PJ!</t>
        </r>
      </text>
    </comment>
    <comment ref="E207" authorId="1">
      <text>
        <r>
          <rPr>
            <b/>
            <sz val="8"/>
            <color indexed="81"/>
            <rFont val="Tahoma"/>
            <family val="2"/>
          </rPr>
          <t>Bruno Merven:</t>
        </r>
        <r>
          <rPr>
            <sz val="8"/>
            <color indexed="81"/>
            <rFont val="Tahoma"/>
            <family val="2"/>
          </rPr>
          <t xml:space="preserve">
LTMS had 88%</t>
        </r>
      </text>
    </comment>
  </commentList>
</comments>
</file>

<file path=xl/comments4.xml><?xml version="1.0" encoding="utf-8"?>
<comments xmlns="http://schemas.openxmlformats.org/spreadsheetml/2006/main">
  <authors>
    <author>Fadiel Ahjum</author>
    <author>01418624</author>
  </authors>
  <commentList>
    <comment ref="E7" authorId="0">
      <text>
        <r>
          <rPr>
            <b/>
            <sz val="9"/>
            <color indexed="81"/>
            <rFont val="Tahoma"/>
            <family val="2"/>
          </rPr>
          <t>Fadiel Ahjum:</t>
        </r>
        <r>
          <rPr>
            <sz val="9"/>
            <color indexed="81"/>
            <rFont val="Tahoma"/>
            <family val="2"/>
          </rPr>
          <t xml:space="preserve">
SATIM 2006</t>
        </r>
      </text>
    </comment>
    <comment ref="O13" authorId="1">
      <text>
        <r>
          <rPr>
            <b/>
            <sz val="9"/>
            <color indexed="81"/>
            <rFont val="Tahoma"/>
            <family val="2"/>
          </rPr>
          <t>01418624:</t>
        </r>
        <r>
          <rPr>
            <sz val="9"/>
            <color indexed="81"/>
            <rFont val="Tahoma"/>
            <family val="2"/>
          </rPr>
          <t xml:space="preserve">
make sure that you have the correct emission factors
</t>
        </r>
      </text>
    </comment>
    <comment ref="E17" authorId="0">
      <text>
        <r>
          <rPr>
            <sz val="9"/>
            <color indexed="81"/>
            <rFont val="Tahoma"/>
            <family val="2"/>
          </rPr>
          <t xml:space="preserve"> IPCC-1A  stationary combustion:default emissions</t>
        </r>
      </text>
    </comment>
    <comment ref="C31" authorId="1">
      <text>
        <r>
          <rPr>
            <b/>
            <sz val="9"/>
            <color indexed="81"/>
            <rFont val="Tahoma"/>
            <family val="2"/>
          </rPr>
          <t>01418624:</t>
        </r>
        <r>
          <rPr>
            <sz val="9"/>
            <color indexed="81"/>
            <rFont val="Tahoma"/>
            <family val="2"/>
          </rPr>
          <t xml:space="preserve">
used to convert L/100 km</t>
        </r>
      </text>
    </comment>
    <comment ref="E138" authorId="0">
      <text>
        <r>
          <rPr>
            <sz val="9"/>
            <color indexed="81"/>
            <rFont val="Tahoma"/>
            <family val="2"/>
          </rPr>
          <t>ETSAP - Technology Brief S01
S</t>
        </r>
        <r>
          <rPr>
            <i/>
            <sz val="9"/>
            <color indexed="81"/>
            <rFont val="Tahoma"/>
            <family val="2"/>
          </rPr>
          <t xml:space="preserve">yngas Production from Coal, </t>
        </r>
        <r>
          <rPr>
            <sz val="9"/>
            <color indexed="81"/>
            <rFont val="Tahoma"/>
            <family val="2"/>
          </rPr>
          <t>(IEA,</t>
        </r>
        <r>
          <rPr>
            <sz val="9"/>
            <color indexed="81"/>
            <rFont val="Tahoma"/>
            <family val="2"/>
          </rPr>
          <t>2010)</t>
        </r>
      </text>
    </comment>
    <comment ref="E139" authorId="0">
      <text>
        <r>
          <rPr>
            <sz val="9"/>
            <color indexed="81"/>
            <rFont val="Tahoma"/>
            <family val="2"/>
          </rPr>
          <t>ETSAP - Technology Brief S02</t>
        </r>
        <r>
          <rPr>
            <i/>
            <sz val="9"/>
            <color indexed="81"/>
            <rFont val="Tahoma"/>
            <family val="2"/>
          </rPr>
          <t xml:space="preserve">
Liquid Fuels Production from Coal &amp; Gas </t>
        </r>
        <r>
          <rPr>
            <sz val="9"/>
            <color indexed="81"/>
            <rFont val="Tahoma"/>
            <family val="2"/>
          </rPr>
          <t>(IEA,2010)</t>
        </r>
      </text>
    </comment>
  </commentList>
</comments>
</file>

<file path=xl/comments5.xml><?xml version="1.0" encoding="utf-8"?>
<comments xmlns="http://schemas.openxmlformats.org/spreadsheetml/2006/main">
  <authors>
    <author>Hughes</author>
    <author>Bruno Merven</author>
    <author>Fadiel Ahjum</author>
    <author>Alison hughes</author>
  </authors>
  <commentList>
    <comment ref="F7" authorId="0">
      <text>
        <r>
          <rPr>
            <b/>
            <sz val="8"/>
            <color indexed="81"/>
            <rFont val="Tahoma"/>
            <family val="2"/>
          </rPr>
          <t>Hughes:</t>
        </r>
        <r>
          <rPr>
            <sz val="8"/>
            <color indexed="81"/>
            <rFont val="Tahoma"/>
            <family val="2"/>
          </rPr>
          <t xml:space="preserve">
Difference mainly in Eskom data being higher could be lower, not sure, calcs on report tables sheet</t>
        </r>
      </text>
    </comment>
    <comment ref="C11" authorId="1">
      <text>
        <r>
          <rPr>
            <b/>
            <sz val="8"/>
            <color indexed="81"/>
            <rFont val="Tahoma"/>
            <family val="2"/>
          </rPr>
          <t>Bruno Merven:</t>
        </r>
        <r>
          <rPr>
            <sz val="8"/>
            <color indexed="81"/>
            <rFont val="Tahoma"/>
            <family val="2"/>
          </rPr>
          <t xml:space="preserve">
Need to check how much of that coal actually gets burnt</t>
        </r>
      </text>
    </comment>
    <comment ref="F12" authorId="1">
      <text>
        <r>
          <rPr>
            <b/>
            <sz val="8"/>
            <color indexed="81"/>
            <rFont val="Tahoma"/>
            <family val="2"/>
          </rPr>
          <t>Bruno Merven:</t>
        </r>
        <r>
          <rPr>
            <sz val="8"/>
            <color indexed="81"/>
            <rFont val="Tahoma"/>
            <family val="2"/>
          </rPr>
          <t xml:space="preserve">
Sales to Refineries and Sasol SSF subtracted</t>
        </r>
      </text>
    </comment>
    <comment ref="G12" authorId="1">
      <text>
        <r>
          <rPr>
            <b/>
            <sz val="8"/>
            <color indexed="81"/>
            <rFont val="Tahoma"/>
            <family val="2"/>
          </rPr>
          <t>Bruno Merven:</t>
        </r>
        <r>
          <rPr>
            <sz val="8"/>
            <color indexed="81"/>
            <rFont val="Tahoma"/>
            <family val="2"/>
          </rPr>
          <t xml:space="preserve">
this could do with a check to make sure non of it is going to Sasol SSF</t>
        </r>
      </text>
    </comment>
    <comment ref="BC20" authorId="2">
      <text>
        <r>
          <rPr>
            <b/>
            <sz val="9"/>
            <color indexed="81"/>
            <rFont val="Tahoma"/>
            <family val="2"/>
          </rPr>
          <t>Fadiel Ahjum:</t>
        </r>
        <r>
          <rPr>
            <sz val="9"/>
            <color indexed="81"/>
            <rFont val="Tahoma"/>
            <family val="2"/>
          </rPr>
          <t xml:space="preserve">
IAEA report only projects up to 2032.
Data is kept constant from thereon.</t>
        </r>
      </text>
    </comment>
    <comment ref="BF78" authorId="2">
      <text>
        <r>
          <rPr>
            <b/>
            <sz val="9"/>
            <color indexed="81"/>
            <rFont val="Tahoma"/>
            <family val="2"/>
          </rPr>
          <t xml:space="preserve">Bruno Merven: 
</t>
        </r>
        <r>
          <rPr>
            <sz val="9"/>
            <color indexed="81"/>
            <rFont val="Tahoma"/>
            <family val="2"/>
          </rPr>
          <t>Based on 20% Boiler fuel improvement potential in LTMS</t>
        </r>
      </text>
    </comment>
    <comment ref="AT79" authorId="2">
      <text>
        <r>
          <rPr>
            <b/>
            <sz val="9"/>
            <color indexed="81"/>
            <rFont val="Tahoma"/>
            <family val="2"/>
          </rPr>
          <t xml:space="preserve">Bruno Merven: 
</t>
        </r>
        <r>
          <rPr>
            <sz val="9"/>
            <color indexed="81"/>
            <rFont val="Tahoma"/>
            <family val="2"/>
          </rPr>
          <t>Based on 20% Boiler fuel improvement potential in LTMS</t>
        </r>
      </text>
    </comment>
    <comment ref="AX79" authorId="2">
      <text>
        <r>
          <rPr>
            <b/>
            <sz val="9"/>
            <color indexed="81"/>
            <rFont val="Tahoma"/>
            <family val="2"/>
          </rPr>
          <t>Fadiel Ahjum:</t>
        </r>
        <r>
          <rPr>
            <sz val="9"/>
            <color indexed="81"/>
            <rFont val="Tahoma"/>
            <family val="2"/>
          </rPr>
          <t xml:space="preserve">
 Relative to LTMS maximum potential </t>
        </r>
      </text>
    </comment>
    <comment ref="A87" authorId="3">
      <text>
        <r>
          <rPr>
            <b/>
            <sz val="9"/>
            <color indexed="81"/>
            <rFont val="Verdana"/>
            <family val="2"/>
          </rPr>
          <t>Alison hughes:</t>
        </r>
        <r>
          <rPr>
            <sz val="9"/>
            <color indexed="81"/>
            <rFont val="Verdana"/>
            <family val="2"/>
          </rPr>
          <t xml:space="preserve">
Only used in I&amp;S and dummy until we have a better idea what coking coal contributes to heatings</t>
        </r>
      </text>
    </comment>
    <comment ref="F96" authorId="1">
      <text>
        <r>
          <rPr>
            <b/>
            <sz val="8"/>
            <color indexed="81"/>
            <rFont val="Tahoma"/>
            <family val="2"/>
          </rPr>
          <t>Bruno Merven:</t>
        </r>
        <r>
          <rPr>
            <sz val="8"/>
            <color indexed="81"/>
            <rFont val="Tahoma"/>
            <family val="2"/>
          </rPr>
          <t xml:space="preserve">
From load curve data</t>
        </r>
      </text>
    </comment>
    <comment ref="P96" authorId="1">
      <text>
        <r>
          <rPr>
            <b/>
            <sz val="8"/>
            <color indexed="81"/>
            <rFont val="Tahoma"/>
            <family val="2"/>
          </rPr>
          <t>Bruno Merven:</t>
        </r>
        <r>
          <rPr>
            <sz val="8"/>
            <color indexed="81"/>
            <rFont val="Tahoma"/>
            <family val="2"/>
          </rPr>
          <t xml:space="preserve">
must equal "" if no fuel constraint imposed.</t>
        </r>
      </text>
    </comment>
    <comment ref="F117" authorId="1">
      <text>
        <r>
          <rPr>
            <b/>
            <sz val="8"/>
            <color indexed="81"/>
            <rFont val="Tahoma"/>
            <family val="2"/>
          </rPr>
          <t>Bruno Merven:</t>
        </r>
        <r>
          <rPr>
            <sz val="8"/>
            <color indexed="81"/>
            <rFont val="Tahoma"/>
            <family val="2"/>
          </rPr>
          <t xml:space="preserve">
From load curve data</t>
        </r>
      </text>
    </comment>
    <comment ref="E258" authorId="2">
      <text>
        <r>
          <rPr>
            <b/>
            <sz val="9"/>
            <color indexed="81"/>
            <rFont val="Tahoma"/>
            <family val="2"/>
          </rPr>
          <t>Fadiel Ahjum:</t>
        </r>
        <r>
          <rPr>
            <sz val="9"/>
            <color indexed="81"/>
            <rFont val="Tahoma"/>
            <family val="2"/>
          </rPr>
          <t xml:space="preserve">
0.3: http://www.ietd.iipnetwork.org/content/combined-heat-and-power-chp-generation.
0.2: [dingle,p46,2012]
</t>
        </r>
      </text>
    </comment>
    <comment ref="F258" authorId="2">
      <text>
        <r>
          <rPr>
            <sz val="9"/>
            <color indexed="81"/>
            <rFont val="Tahoma"/>
            <family val="2"/>
          </rPr>
          <t>moderate value based on:
http://www.ietd.iipnetwork.org/content/combined-heat-and-power-chp-generation</t>
        </r>
      </text>
    </comment>
    <comment ref="BT258" authorId="2">
      <text>
        <r>
          <rPr>
            <b/>
            <sz val="9"/>
            <color indexed="81"/>
            <rFont val="Tahoma"/>
            <family val="2"/>
          </rPr>
          <t>Fadiel Ahjum:</t>
        </r>
        <r>
          <rPr>
            <sz val="9"/>
            <color indexed="81"/>
            <rFont val="Tahoma"/>
            <family val="2"/>
          </rPr>
          <t xml:space="preserve">
conservative value</t>
        </r>
      </text>
    </comment>
    <comment ref="E263" authorId="2">
      <text>
        <r>
          <rPr>
            <b/>
            <sz val="9"/>
            <color indexed="81"/>
            <rFont val="Tahoma"/>
            <family val="2"/>
          </rPr>
          <t>Table10 (Dingle, 2012, p66)</t>
        </r>
      </text>
    </comment>
    <comment ref="I263" authorId="2">
      <text>
        <r>
          <rPr>
            <b/>
            <sz val="9"/>
            <color indexed="81"/>
            <rFont val="Tahoma"/>
            <family val="2"/>
          </rPr>
          <t>~ 20% of final demand which is similar to that qoted by NERSA [1]</t>
        </r>
      </text>
    </comment>
    <comment ref="J263" authorId="2">
      <text>
        <r>
          <rPr>
            <sz val="9"/>
            <color indexed="81"/>
            <rFont val="Tahoma"/>
            <family val="2"/>
          </rPr>
          <t>~ 20% of final demand which is similar to that qoted by NERSA [1]</t>
        </r>
      </text>
    </comment>
    <comment ref="N263" authorId="2">
      <text>
        <r>
          <rPr>
            <b/>
            <sz val="9"/>
            <color indexed="81"/>
            <rFont val="Tahoma"/>
            <family val="2"/>
          </rPr>
          <t xml:space="preserve">SATIM= 100MWe
</t>
        </r>
      </text>
    </comment>
    <comment ref="N264" authorId="2">
      <text>
        <r>
          <rPr>
            <b/>
            <sz val="9"/>
            <color indexed="81"/>
            <rFont val="Tahoma"/>
            <family val="2"/>
          </rPr>
          <t xml:space="preserve">SATIM: 228MWe
</t>
        </r>
      </text>
    </comment>
    <comment ref="B270" authorId="2">
      <text>
        <r>
          <rPr>
            <b/>
            <sz val="9"/>
            <color indexed="81"/>
            <rFont val="Tahoma"/>
            <family val="2"/>
          </rPr>
          <t>Fadiel Ahjum:</t>
        </r>
        <r>
          <rPr>
            <sz val="9"/>
            <color indexed="81"/>
            <rFont val="Tahoma"/>
            <family val="2"/>
          </rPr>
          <t xml:space="preserve">
 46 MW added in 2008 </t>
        </r>
      </text>
    </comment>
    <comment ref="B271" authorId="2">
      <text>
        <r>
          <rPr>
            <b/>
            <sz val="9"/>
            <color indexed="81"/>
            <rFont val="Tahoma"/>
            <family val="2"/>
          </rPr>
          <t>Fadiel Ahjum:</t>
        </r>
        <r>
          <rPr>
            <sz val="9"/>
            <color indexed="81"/>
            <rFont val="Tahoma"/>
            <family val="2"/>
          </rPr>
          <t xml:space="preserve">
plus 47 MW in 2014 ?
http://www.mondigroup.com/desktopdefault.aspx/tabid-2305/</t>
        </r>
      </text>
    </comment>
  </commentList>
</comments>
</file>

<file path=xl/comments6.xml><?xml version="1.0" encoding="utf-8"?>
<comments xmlns="http://schemas.openxmlformats.org/spreadsheetml/2006/main">
  <authors>
    <author>Fadiel Ahjum</author>
  </authors>
  <commentList>
    <comment ref="F58" authorId="0">
      <text>
        <r>
          <rPr>
            <b/>
            <sz val="9"/>
            <color indexed="81"/>
            <rFont val="Tahoma"/>
            <family val="2"/>
          </rPr>
          <t>Set MAX value here. Intermediate trajectories are interpolated.</t>
        </r>
      </text>
    </comment>
    <comment ref="F62" authorId="0">
      <text>
        <r>
          <rPr>
            <b/>
            <sz val="9"/>
            <color indexed="81"/>
            <rFont val="Tahoma"/>
            <family val="2"/>
          </rPr>
          <t>Set MAX value here. Intermediate trajectories are interpolated.</t>
        </r>
      </text>
    </comment>
    <comment ref="E473" authorId="0">
      <text>
        <r>
          <rPr>
            <b/>
            <sz val="9"/>
            <color indexed="81"/>
            <rFont val="Tahoma"/>
            <family val="2"/>
          </rPr>
          <t>of useful heat</t>
        </r>
      </text>
    </comment>
    <comment ref="F931" authorId="0">
      <text>
        <r>
          <rPr>
            <b/>
            <sz val="9"/>
            <color indexed="81"/>
            <rFont val="Tahoma"/>
            <family val="2"/>
          </rPr>
          <t>Fadiel Ahjum:</t>
        </r>
        <r>
          <rPr>
            <sz val="9"/>
            <color indexed="81"/>
            <rFont val="Tahoma"/>
            <family val="2"/>
          </rPr>
          <t xml:space="preserve">
Fadiel Ahjum:
in case efficicncies are not specficied  because lookup fuel types are not used.</t>
        </r>
      </text>
    </comment>
  </commentList>
</comments>
</file>

<file path=xl/sharedStrings.xml><?xml version="1.0" encoding="utf-8"?>
<sst xmlns="http://schemas.openxmlformats.org/spreadsheetml/2006/main" count="10529" uniqueCount="2634">
  <si>
    <t>Nuclear</t>
  </si>
  <si>
    <t>Wind</t>
  </si>
  <si>
    <t>Wave</t>
  </si>
  <si>
    <t>Geothermal</t>
  </si>
  <si>
    <t>Electricity</t>
  </si>
  <si>
    <t>H.01</t>
  </si>
  <si>
    <t>N.01</t>
  </si>
  <si>
    <t>R.02</t>
  </si>
  <si>
    <t>R.03</t>
  </si>
  <si>
    <t>R.04</t>
  </si>
  <si>
    <t>R.05</t>
  </si>
  <si>
    <t>R.06</t>
  </si>
  <si>
    <t>I.01</t>
  </si>
  <si>
    <t>Gas</t>
  </si>
  <si>
    <t>Solar</t>
  </si>
  <si>
    <t>Heat</t>
  </si>
  <si>
    <t>Energy vectors</t>
  </si>
  <si>
    <t>Hydro</t>
  </si>
  <si>
    <t>Conversion losses</t>
  </si>
  <si>
    <t>Distribution losses and own use</t>
  </si>
  <si>
    <t xml:space="preserve">Transport </t>
  </si>
  <si>
    <t>Balancing</t>
  </si>
  <si>
    <t>Unallocated</t>
  </si>
  <si>
    <t>Food</t>
  </si>
  <si>
    <t>R.01</t>
  </si>
  <si>
    <t>X.01</t>
  </si>
  <si>
    <t>X.02</t>
  </si>
  <si>
    <t>T.01</t>
  </si>
  <si>
    <t>T.02</t>
  </si>
  <si>
    <t>T.03</t>
  </si>
  <si>
    <t>T.04</t>
  </si>
  <si>
    <t>F.01</t>
  </si>
  <si>
    <t>Industry</t>
  </si>
  <si>
    <t>V.01</t>
  </si>
  <si>
    <t>V.02</t>
  </si>
  <si>
    <t>V.03</t>
  </si>
  <si>
    <t>Net imports</t>
  </si>
  <si>
    <t>V.04</t>
  </si>
  <si>
    <t>V.05</t>
  </si>
  <si>
    <t>Renewables</t>
  </si>
  <si>
    <t>Commercial</t>
  </si>
  <si>
    <t>Waste</t>
  </si>
  <si>
    <t>W.01</t>
  </si>
  <si>
    <t>L.01</t>
  </si>
  <si>
    <t>Losses</t>
  </si>
  <si>
    <t>Y.01</t>
  </si>
  <si>
    <t>Y.02</t>
  </si>
  <si>
    <t>Z.01</t>
  </si>
  <si>
    <t>Solid hydrocarbons</t>
  </si>
  <si>
    <t>Liquid hydrocarbons</t>
  </si>
  <si>
    <t>C.01</t>
  </si>
  <si>
    <t>C.02</t>
  </si>
  <si>
    <t>C.03</t>
  </si>
  <si>
    <t>Electricity (delivered to end user)</t>
  </si>
  <si>
    <t>Tidal</t>
  </si>
  <si>
    <t>Supply</t>
  </si>
  <si>
    <t>Demand</t>
  </si>
  <si>
    <t>I</t>
  </si>
  <si>
    <t>Vector</t>
  </si>
  <si>
    <t>Description</t>
  </si>
  <si>
    <t>Comment</t>
  </si>
  <si>
    <t>Category</t>
  </si>
  <si>
    <t>Subcategory</t>
  </si>
  <si>
    <t>Code</t>
  </si>
  <si>
    <t>Joules</t>
  </si>
  <si>
    <t>Unit</t>
  </si>
  <si>
    <t>PJ</t>
  </si>
  <si>
    <t>TWh</t>
  </si>
  <si>
    <t>kWh</t>
  </si>
  <si>
    <t>Mtoe</t>
  </si>
  <si>
    <t>toe</t>
  </si>
  <si>
    <t>therm</t>
  </si>
  <si>
    <t>Btu</t>
  </si>
  <si>
    <t>calorie</t>
  </si>
  <si>
    <t>GW y</t>
  </si>
  <si>
    <t>Unit.PJ</t>
  </si>
  <si>
    <t>Unit.kWh</t>
  </si>
  <si>
    <t>Unit.TWh</t>
  </si>
  <si>
    <t>Unit.toe</t>
  </si>
  <si>
    <t>Unit.Mtoe</t>
  </si>
  <si>
    <t>Unit.therm</t>
  </si>
  <si>
    <t>Unit.Btu</t>
  </si>
  <si>
    <t>Unit.calorie</t>
  </si>
  <si>
    <t>Unit.GWyear</t>
  </si>
  <si>
    <t>R.07</t>
  </si>
  <si>
    <t>Biomatter</t>
  </si>
  <si>
    <t>Hydrogen</t>
  </si>
  <si>
    <t>V.06</t>
  </si>
  <si>
    <t>[1]</t>
  </si>
  <si>
    <t>TJ</t>
  </si>
  <si>
    <t>Unit.TJ</t>
  </si>
  <si>
    <t>Conversion Calculator</t>
  </si>
  <si>
    <t>is equivalent to</t>
  </si>
  <si>
    <t>Cooking</t>
  </si>
  <si>
    <t>[2]</t>
  </si>
  <si>
    <t>[3]</t>
  </si>
  <si>
    <t>Lighting</t>
  </si>
  <si>
    <t>Other</t>
  </si>
  <si>
    <t>Compressed air</t>
  </si>
  <si>
    <t>Refrigeration</t>
  </si>
  <si>
    <t>Gaseous waste</t>
  </si>
  <si>
    <t>Coal</t>
  </si>
  <si>
    <t>Total</t>
  </si>
  <si>
    <t>Transfers</t>
  </si>
  <si>
    <t>Pumped storage</t>
  </si>
  <si>
    <t>Chemicals</t>
  </si>
  <si>
    <t>National navigation</t>
  </si>
  <si>
    <t>Agriculture</t>
  </si>
  <si>
    <t>ktoe</t>
  </si>
  <si>
    <t>Unit.ktoe</t>
  </si>
  <si>
    <t>Sector</t>
  </si>
  <si>
    <t>Water heating</t>
  </si>
  <si>
    <t>-</t>
  </si>
  <si>
    <t>Landfill gas</t>
  </si>
  <si>
    <t>Liquid</t>
  </si>
  <si>
    <t>Production</t>
  </si>
  <si>
    <t>Transport</t>
  </si>
  <si>
    <t>Includes syngas (coke oven gas)</t>
  </si>
  <si>
    <t>Carbon-based fuels</t>
  </si>
  <si>
    <t>Blast furnace gas</t>
  </si>
  <si>
    <t>Coke oven gas</t>
  </si>
  <si>
    <t>Natural gas</t>
  </si>
  <si>
    <t>kWh/p/d (UK)</t>
  </si>
  <si>
    <t>Unit.kWh.p.d</t>
  </si>
  <si>
    <t xml:space="preserve"> </t>
  </si>
  <si>
    <t>Coke breeze</t>
  </si>
  <si>
    <t>Other manufactured solid fuel</t>
  </si>
  <si>
    <t>Coal (weighted average of all consumers)</t>
  </si>
  <si>
    <t>GJ</t>
  </si>
  <si>
    <t>Unit.GJ</t>
  </si>
  <si>
    <t>Coke</t>
  </si>
  <si>
    <t>Solid fuels</t>
  </si>
  <si>
    <t>Gasses</t>
  </si>
  <si>
    <t>Natural gas consumed</t>
  </si>
  <si>
    <t>Sewage gas</t>
  </si>
  <si>
    <t>Gross calorific values of selected fuels</t>
  </si>
  <si>
    <t>MJ</t>
  </si>
  <si>
    <t>Unit.MJ</t>
  </si>
  <si>
    <t>GWh</t>
  </si>
  <si>
    <t>Unit.GWh</t>
  </si>
  <si>
    <t>Name</t>
  </si>
  <si>
    <t>Name in formulae</t>
  </si>
  <si>
    <t>Petajoules</t>
  </si>
  <si>
    <t>Terajoules</t>
  </si>
  <si>
    <t>Gigajoules</t>
  </si>
  <si>
    <t>Megajoules</t>
  </si>
  <si>
    <t>Kilowatt-hours</t>
  </si>
  <si>
    <t>Kilowatt-hours per person per day</t>
  </si>
  <si>
    <t>Terawatt-hours</t>
  </si>
  <si>
    <t>Gigawatt-hours</t>
  </si>
  <si>
    <t>Tonnes of oil equivalent</t>
  </si>
  <si>
    <t>Kilotonnes of oil equivalent</t>
  </si>
  <si>
    <t>Megatonnes of oil equivalent</t>
  </si>
  <si>
    <t>Therms</t>
  </si>
  <si>
    <t>British Thermal Unit</t>
  </si>
  <si>
    <t>Calorie (NOT food calorie)</t>
  </si>
  <si>
    <t>Gigawatt-years</t>
  </si>
  <si>
    <t>Electricity (supplied to grid)</t>
  </si>
  <si>
    <t>Includes solid manufactured fuels (eg, coke)</t>
  </si>
  <si>
    <t>Includes refined liquid biofuels</t>
  </si>
  <si>
    <t>Heat as an energy source for heat pumps</t>
  </si>
  <si>
    <t>[4]</t>
  </si>
  <si>
    <t>Notes</t>
  </si>
  <si>
    <t>The energy content of the steam generated in the reactor</t>
  </si>
  <si>
    <t>Geosequestration</t>
  </si>
  <si>
    <t>[5]</t>
  </si>
  <si>
    <t>Industrial processes</t>
  </si>
  <si>
    <t>International</t>
  </si>
  <si>
    <t>Hydrocarbon fuel power generation</t>
  </si>
  <si>
    <t>Nuclear power generation</t>
  </si>
  <si>
    <t>National renewable power generation</t>
  </si>
  <si>
    <t>CCGT</t>
  </si>
  <si>
    <t>Nuclear power stations</t>
  </si>
  <si>
    <t>Combustion emissions factors</t>
  </si>
  <si>
    <t>Industrial coal</t>
  </si>
  <si>
    <t>Diesel</t>
  </si>
  <si>
    <t>Commodity selected</t>
  </si>
  <si>
    <t>Heat energy as an energy transport vector (Includes Heat Sold in DUKES terminology)</t>
  </si>
  <si>
    <t>Gaseous hydrocarbons</t>
  </si>
  <si>
    <t>Global warming potentials</t>
  </si>
  <si>
    <t>GWP</t>
  </si>
  <si>
    <t>Carbon dioxide</t>
  </si>
  <si>
    <t>Methane</t>
  </si>
  <si>
    <t>Nitrous oxide</t>
  </si>
  <si>
    <t>HFCs</t>
  </si>
  <si>
    <t>PFCs</t>
  </si>
  <si>
    <r>
      <t>SF</t>
    </r>
    <r>
      <rPr>
        <vertAlign val="subscript"/>
        <sz val="10"/>
        <color theme="1"/>
        <rFont val="Cambria"/>
        <family val="1"/>
        <scheme val="minor"/>
      </rPr>
      <t>6</t>
    </r>
  </si>
  <si>
    <t>140 to 11,700</t>
  </si>
  <si>
    <t>6,500 to 9,200</t>
  </si>
  <si>
    <t>Source:</t>
  </si>
  <si>
    <t>UK GHG Inventory 2009, Table 1.1</t>
  </si>
  <si>
    <t>Note:</t>
  </si>
  <si>
    <r>
      <t>CO</t>
    </r>
    <r>
      <rPr>
        <b/>
        <vertAlign val="subscript"/>
        <sz val="10"/>
        <color theme="1"/>
        <rFont val="Cambria"/>
        <family val="1"/>
        <scheme val="minor"/>
      </rPr>
      <t>2</t>
    </r>
    <r>
      <rPr>
        <b/>
        <sz val="10"/>
        <color theme="1"/>
        <rFont val="Cambria"/>
        <family val="1"/>
        <scheme val="minor"/>
      </rPr>
      <t xml:space="preserve"> (Mt)</t>
    </r>
  </si>
  <si>
    <r>
      <t>CH</t>
    </r>
    <r>
      <rPr>
        <b/>
        <vertAlign val="subscript"/>
        <sz val="10"/>
        <color theme="1"/>
        <rFont val="Cambria"/>
        <family val="1"/>
        <scheme val="minor"/>
      </rPr>
      <t>4</t>
    </r>
    <r>
      <rPr>
        <b/>
        <sz val="10"/>
        <color theme="1"/>
        <rFont val="Cambria"/>
        <family val="1"/>
        <scheme val="minor"/>
      </rPr>
      <t xml:space="preserve"> (Mt CO</t>
    </r>
    <r>
      <rPr>
        <b/>
        <vertAlign val="subscript"/>
        <sz val="10"/>
        <color theme="1"/>
        <rFont val="Cambria"/>
        <family val="1"/>
        <scheme val="minor"/>
      </rPr>
      <t>2</t>
    </r>
    <r>
      <rPr>
        <b/>
        <sz val="10"/>
        <color theme="1"/>
        <rFont val="Cambria"/>
        <family val="1"/>
        <scheme val="minor"/>
      </rPr>
      <t>e)</t>
    </r>
  </si>
  <si>
    <r>
      <t>N</t>
    </r>
    <r>
      <rPr>
        <b/>
        <vertAlign val="subscript"/>
        <sz val="10"/>
        <color theme="1"/>
        <rFont val="Cambria"/>
        <family val="1"/>
        <scheme val="minor"/>
      </rPr>
      <t>2</t>
    </r>
    <r>
      <rPr>
        <b/>
        <sz val="10"/>
        <color theme="1"/>
        <rFont val="Cambria"/>
        <family val="1"/>
        <scheme val="minor"/>
      </rPr>
      <t>O (Mt CO</t>
    </r>
    <r>
      <rPr>
        <b/>
        <vertAlign val="subscript"/>
        <sz val="10"/>
        <color theme="1"/>
        <rFont val="Cambria"/>
        <family val="1"/>
        <scheme val="minor"/>
      </rPr>
      <t>2</t>
    </r>
    <r>
      <rPr>
        <b/>
        <sz val="10"/>
        <color theme="1"/>
        <rFont val="Cambria"/>
        <family val="1"/>
        <scheme val="minor"/>
      </rPr>
      <t>e)</t>
    </r>
  </si>
  <si>
    <t>Workstreams</t>
  </si>
  <si>
    <t>Workstream</t>
  </si>
  <si>
    <t>Comments</t>
  </si>
  <si>
    <t>XIV</t>
  </si>
  <si>
    <t>XIII</t>
  </si>
  <si>
    <t>H2 Production</t>
  </si>
  <si>
    <t>Outputs</t>
  </si>
  <si>
    <t>2007</t>
  </si>
  <si>
    <t>2010</t>
  </si>
  <si>
    <t>Energy is measured in:</t>
  </si>
  <si>
    <t>Power is measured in:</t>
  </si>
  <si>
    <t>Energy conversions</t>
  </si>
  <si>
    <t>Power conversions</t>
  </si>
  <si>
    <t>Watts</t>
  </si>
  <si>
    <t>GW</t>
  </si>
  <si>
    <t>kW</t>
  </si>
  <si>
    <t>Gigawatts</t>
  </si>
  <si>
    <t>Kilowatts</t>
  </si>
  <si>
    <t>Unit.GW</t>
  </si>
  <si>
    <t>Unit.kW</t>
  </si>
  <si>
    <t>MW</t>
  </si>
  <si>
    <t>Megawatts</t>
  </si>
  <si>
    <t>Unit.MW</t>
  </si>
  <si>
    <t>Mtoe/y</t>
  </si>
  <si>
    <t>Mtoe per year</t>
  </si>
  <si>
    <t>Unit.Mtoe.y</t>
  </si>
  <si>
    <t>Time conversions</t>
  </si>
  <si>
    <t>Seconds</t>
  </si>
  <si>
    <t>y</t>
  </si>
  <si>
    <t>Year</t>
  </si>
  <si>
    <t>Unit.year</t>
  </si>
  <si>
    <t>Fuel</t>
  </si>
  <si>
    <t>Notes:</t>
  </si>
  <si>
    <t>2015</t>
  </si>
  <si>
    <t>2020</t>
  </si>
  <si>
    <t>2025</t>
  </si>
  <si>
    <t>2030</t>
  </si>
  <si>
    <t>2035</t>
  </si>
  <si>
    <t>2040</t>
  </si>
  <si>
    <t>2045</t>
  </si>
  <si>
    <t>2050</t>
  </si>
  <si>
    <t>Energy produced and required</t>
  </si>
  <si>
    <t>Methodology</t>
  </si>
  <si>
    <t>Equivalent to</t>
  </si>
  <si>
    <t>J</t>
  </si>
  <si>
    <t>Unit.J</t>
  </si>
  <si>
    <t>W</t>
  </si>
  <si>
    <t>Unit.W</t>
  </si>
  <si>
    <t>Modules</t>
  </si>
  <si>
    <t>I.a</t>
  </si>
  <si>
    <t>Module</t>
  </si>
  <si>
    <t>WS Code</t>
  </si>
  <si>
    <t>Primary source</t>
  </si>
  <si>
    <t>Fossil fuels</t>
  </si>
  <si>
    <t>V.07</t>
  </si>
  <si>
    <t>V.08</t>
  </si>
  <si>
    <t>V.09</t>
  </si>
  <si>
    <t>II.a</t>
  </si>
  <si>
    <t>Capacity</t>
  </si>
  <si>
    <t>Load factor</t>
  </si>
  <si>
    <t>Electricity grid distribution</t>
  </si>
  <si>
    <t>VII.b</t>
  </si>
  <si>
    <t>Fixed assumptions</t>
  </si>
  <si>
    <t>VII.c</t>
  </si>
  <si>
    <t>Y.03</t>
  </si>
  <si>
    <t>III.b</t>
  </si>
  <si>
    <t>Natural flow hydro (ie, excludes pumped storage)</t>
  </si>
  <si>
    <t>III.c</t>
  </si>
  <si>
    <t>III.d</t>
  </si>
  <si>
    <t>Derived assumptions</t>
  </si>
  <si>
    <t>Households</t>
  </si>
  <si>
    <t>Component</t>
  </si>
  <si>
    <t>Technology</t>
  </si>
  <si>
    <t>×</t>
  </si>
  <si>
    <t>=</t>
  </si>
  <si>
    <t>%</t>
  </si>
  <si>
    <t>District heating</t>
  </si>
  <si>
    <t>Heat transport</t>
  </si>
  <si>
    <t>I.b</t>
  </si>
  <si>
    <t>Onshore wind</t>
  </si>
  <si>
    <t>XI.a</t>
  </si>
  <si>
    <t>Emissions</t>
  </si>
  <si>
    <t>XII.a</t>
  </si>
  <si>
    <t>Liquids</t>
  </si>
  <si>
    <t>Petroleum products (weighted average)</t>
  </si>
  <si>
    <t>DUKES 2009 (figures are for fuels in 2008)</t>
  </si>
  <si>
    <t>kg / litre</t>
  </si>
  <si>
    <t>Motor spirit</t>
  </si>
  <si>
    <t>Diesel (DERV)</t>
  </si>
  <si>
    <t>Densities of selected fuels</t>
  </si>
  <si>
    <t>Liquid fuels</t>
  </si>
  <si>
    <t>DUKES 2009, Annex A</t>
  </si>
  <si>
    <t>Motor spirit (all grades)</t>
  </si>
  <si>
    <t>DERV</t>
  </si>
  <si>
    <t>XII.b</t>
  </si>
  <si>
    <t>XII.c</t>
  </si>
  <si>
    <t>Aviation turbine fuel (ATF)</t>
  </si>
  <si>
    <t>Includes plant and animal biomass</t>
  </si>
  <si>
    <t>H2</t>
  </si>
  <si>
    <t>Includes manure, sewage sludge, domestic food waste</t>
  </si>
  <si>
    <t>V.10</t>
  </si>
  <si>
    <t>XIII.a</t>
  </si>
  <si>
    <t>IX.c</t>
  </si>
  <si>
    <t>X.a</t>
  </si>
  <si>
    <t>X.b</t>
  </si>
  <si>
    <t>Commercial lighting, appliances, and catering</t>
  </si>
  <si>
    <t>XII.d</t>
  </si>
  <si>
    <t>International aviation</t>
  </si>
  <si>
    <t>Domestic aviation</t>
  </si>
  <si>
    <t>XII.e</t>
  </si>
  <si>
    <t>XII.f</t>
  </si>
  <si>
    <t>XIV.a</t>
  </si>
  <si>
    <t>V.a</t>
  </si>
  <si>
    <t>T.05</t>
  </si>
  <si>
    <t>T.06</t>
  </si>
  <si>
    <t>International shipping</t>
  </si>
  <si>
    <t>Fossil fuel production</t>
  </si>
  <si>
    <t>XV.a</t>
  </si>
  <si>
    <t>IV.a</t>
  </si>
  <si>
    <t>VIII.a</t>
  </si>
  <si>
    <t>Electricity distribution, storage, and balancing</t>
  </si>
  <si>
    <t>Y.04</t>
  </si>
  <si>
    <t>Y.05</t>
  </si>
  <si>
    <t>Y.06</t>
  </si>
  <si>
    <t>Reserves</t>
  </si>
  <si>
    <t>Q.01</t>
  </si>
  <si>
    <t>Q.02</t>
  </si>
  <si>
    <t>Q.03</t>
  </si>
  <si>
    <t>Coal reserves</t>
  </si>
  <si>
    <t>Oil reserves</t>
  </si>
  <si>
    <t>XVI</t>
  </si>
  <si>
    <t>XVI.a</t>
  </si>
  <si>
    <t>XVI.b</t>
  </si>
  <si>
    <t>Fossil fuel transfers</t>
  </si>
  <si>
    <t>Road transport</t>
  </si>
  <si>
    <t>Rail transport</t>
  </si>
  <si>
    <t>Gas reserves</t>
  </si>
  <si>
    <t>A.01</t>
  </si>
  <si>
    <t>Food and biomatter production</t>
  </si>
  <si>
    <t>Crude oil (weighted average)</t>
  </si>
  <si>
    <t>Natural gas produced</t>
  </si>
  <si>
    <t>IPCC Sector</t>
  </si>
  <si>
    <t>Fuel Combustion</t>
  </si>
  <si>
    <t>Industrial Processes</t>
  </si>
  <si>
    <t>Solvent and Other Product Use</t>
  </si>
  <si>
    <t>Land Use, Land-Use Change and Forestry</t>
  </si>
  <si>
    <t>Sector_code</t>
  </si>
  <si>
    <t>Sector_description</t>
  </si>
  <si>
    <t>IPCC Emissions Sectors</t>
  </si>
  <si>
    <t>X1</t>
  </si>
  <si>
    <t>X2</t>
  </si>
  <si>
    <t>Greenhouse gasses</t>
  </si>
  <si>
    <t>GHG_code</t>
  </si>
  <si>
    <t>GHG_description</t>
  </si>
  <si>
    <t>CO2</t>
  </si>
  <si>
    <t>CH4</t>
  </si>
  <si>
    <t>N2O</t>
  </si>
  <si>
    <t>F</t>
  </si>
  <si>
    <t>CO_2</t>
  </si>
  <si>
    <t>CH_4</t>
  </si>
  <si>
    <t>N_2O</t>
  </si>
  <si>
    <t>HFCs, PFCs, and SF_6</t>
  </si>
  <si>
    <t>1B</t>
  </si>
  <si>
    <t>1A</t>
  </si>
  <si>
    <t>Fugitive Emissions from Fuels</t>
  </si>
  <si>
    <t>Assumed combustion emissions factors</t>
  </si>
  <si>
    <t>Industrial coal EF</t>
  </si>
  <si>
    <t>Diesel EF</t>
  </si>
  <si>
    <t>Natural gas EF</t>
  </si>
  <si>
    <t>GHG</t>
  </si>
  <si>
    <t>X3</t>
  </si>
  <si>
    <t>% pa</t>
  </si>
  <si>
    <t>Metals</t>
  </si>
  <si>
    <t>Minerals</t>
  </si>
  <si>
    <t>See module writeup for explanation and assumptions</t>
  </si>
  <si>
    <t>Compute process emissions</t>
  </si>
  <si>
    <t>(i)</t>
  </si>
  <si>
    <t>(ii)</t>
  </si>
  <si>
    <t>(iii)</t>
  </si>
  <si>
    <t>(iv)</t>
  </si>
  <si>
    <t>Compute combustion emissions</t>
  </si>
  <si>
    <t>3. COMBUSTION EMISSIONS</t>
  </si>
  <si>
    <t>Not applicable to the UK</t>
  </si>
  <si>
    <t>Natural Gas</t>
  </si>
  <si>
    <t>Includes distribution losses for gas</t>
  </si>
  <si>
    <t>Electricity Generation</t>
  </si>
  <si>
    <t>Nuclear fission</t>
  </si>
  <si>
    <t>Assumption</t>
  </si>
  <si>
    <t>Value</t>
  </si>
  <si>
    <t>Conversion efficiency</t>
  </si>
  <si>
    <t>Efficiency</t>
  </si>
  <si>
    <t>IV.b</t>
  </si>
  <si>
    <t>Domestic solar thermal</t>
  </si>
  <si>
    <t>V.11</t>
  </si>
  <si>
    <t>Solar thermal heat, used for hot water</t>
  </si>
  <si>
    <t>XVII</t>
  </si>
  <si>
    <t>District heating effective demand</t>
  </si>
  <si>
    <t>XVII.a</t>
  </si>
  <si>
    <t>Converts heat demand to equivalent electric demand</t>
  </si>
  <si>
    <t>Trajectory</t>
  </si>
  <si>
    <t>Trajectory choice</t>
  </si>
  <si>
    <t>Trajectory selection</t>
  </si>
  <si>
    <t>Domestic passenger transport</t>
  </si>
  <si>
    <t>Domestic freight</t>
  </si>
  <si>
    <t>CAR</t>
  </si>
  <si>
    <t>BUS</t>
  </si>
  <si>
    <t>ICE</t>
  </si>
  <si>
    <t>EV</t>
  </si>
  <si>
    <t>FCV</t>
  </si>
  <si>
    <r>
      <t xml:space="preserve">In our model, </t>
    </r>
    <r>
      <rPr>
        <i/>
        <sz val="10"/>
        <color theme="1"/>
        <rFont val="Cambria"/>
        <family val="1"/>
        <scheme val="minor"/>
      </rPr>
      <t>includes</t>
    </r>
    <r>
      <rPr>
        <sz val="10"/>
        <color theme="1"/>
        <rFont val="Cambria"/>
        <family val="1"/>
        <scheme val="minor"/>
      </rPr>
      <t xml:space="preserve"> biofuel combustion emissions. See sector X2</t>
    </r>
  </si>
  <si>
    <t>Sequestration due to bioenergy crops should be included under X2</t>
  </si>
  <si>
    <t>X1 is not an IPCC sectoral code. Includes domestic aviation</t>
  </si>
  <si>
    <t>Oil and petroleum products</t>
  </si>
  <si>
    <t>A</t>
  </si>
  <si>
    <t>C</t>
  </si>
  <si>
    <t>D</t>
  </si>
  <si>
    <t>Solid</t>
  </si>
  <si>
    <t>Source</t>
  </si>
  <si>
    <r>
      <t>Mt CO</t>
    </r>
    <r>
      <rPr>
        <b/>
        <vertAlign val="subscript"/>
        <sz val="10"/>
        <color theme="1"/>
        <rFont val="Cambria"/>
        <family val="1"/>
        <scheme val="minor"/>
      </rPr>
      <t>2</t>
    </r>
    <r>
      <rPr>
        <b/>
        <sz val="10"/>
        <color theme="1"/>
        <rFont val="Cambria"/>
        <family val="1"/>
        <scheme val="minor"/>
      </rPr>
      <t>e</t>
    </r>
  </si>
  <si>
    <t>All forms of waste</t>
  </si>
  <si>
    <t>V.12</t>
  </si>
  <si>
    <t>E</t>
  </si>
  <si>
    <t>G</t>
  </si>
  <si>
    <t>Growth, pa</t>
  </si>
  <si>
    <t>Compute energy demand by vector</t>
  </si>
  <si>
    <t>2. PROCESS EMISSIONS</t>
  </si>
  <si>
    <t>Growth in process emissions intensity</t>
  </si>
  <si>
    <t>Process emissions intensity</t>
  </si>
  <si>
    <t>Multiple of 2007 emissions per unit output index</t>
  </si>
  <si>
    <t>Total F-gases</t>
  </si>
  <si>
    <r>
      <t>Total N</t>
    </r>
    <r>
      <rPr>
        <b/>
        <vertAlign val="subscript"/>
        <sz val="10"/>
        <color theme="1"/>
        <rFont val="Cambria"/>
        <family val="1"/>
        <scheme val="minor"/>
      </rPr>
      <t>2</t>
    </r>
    <r>
      <rPr>
        <b/>
        <sz val="10"/>
        <color theme="1"/>
        <rFont val="Cambria"/>
        <family val="1"/>
        <scheme val="minor"/>
      </rPr>
      <t>O</t>
    </r>
  </si>
  <si>
    <r>
      <t>Total CH</t>
    </r>
    <r>
      <rPr>
        <b/>
        <vertAlign val="subscript"/>
        <sz val="10"/>
        <color theme="1"/>
        <rFont val="Cambria"/>
        <family val="1"/>
        <scheme val="minor"/>
      </rPr>
      <t>4</t>
    </r>
  </si>
  <si>
    <r>
      <t>Total CO</t>
    </r>
    <r>
      <rPr>
        <b/>
        <vertAlign val="subscript"/>
        <sz val="10"/>
        <color theme="1"/>
        <rFont val="Cambria"/>
        <family val="1"/>
        <scheme val="minor"/>
      </rPr>
      <t>2</t>
    </r>
  </si>
  <si>
    <t>4.CCS</t>
  </si>
  <si>
    <t>fraction captured</t>
  </si>
  <si>
    <t>Total CO2 emitted, combustion, excl. "Other"</t>
  </si>
  <si>
    <t>CO2 captured, combustion</t>
  </si>
  <si>
    <t>CO2 captured, process</t>
  </si>
  <si>
    <t>Total CO2 emitted, process emissions</t>
  </si>
  <si>
    <t>X2 is not an IPCC sectoral code. CO2 "credit" from bioenergy</t>
  </si>
  <si>
    <t>IV.c</t>
  </si>
  <si>
    <t>Distributed renewable power generation</t>
  </si>
  <si>
    <t>Nuclear power</t>
  </si>
  <si>
    <t>Cooling</t>
  </si>
  <si>
    <t>Heating and cooling</t>
  </si>
  <si>
    <t>Heat energy demand (eg, for space heating, water heating) and cooling</t>
  </si>
  <si>
    <t>Used as a holding vector for converting demand net production into imports</t>
  </si>
  <si>
    <t>Includes refined petroleums</t>
  </si>
  <si>
    <t>III.a.1</t>
  </si>
  <si>
    <t>III.a.2</t>
  </si>
  <si>
    <t>V.13</t>
  </si>
  <si>
    <t>Includes wood, straw, and other plant-based biomass, wood chips, garden waste, and MSW. Does not include energy crops, including SRC</t>
  </si>
  <si>
    <t>International Aviation and Shipping</t>
  </si>
  <si>
    <t>Energy supply and demand</t>
  </si>
  <si>
    <t>Low</t>
  </si>
  <si>
    <t>High</t>
  </si>
  <si>
    <t>X3 is not an IPPC sectoral code. All CCS, including industry</t>
  </si>
  <si>
    <t>Carbon capture</t>
  </si>
  <si>
    <t>Bioenergy credit</t>
  </si>
  <si>
    <t>Area conversions</t>
  </si>
  <si>
    <t>ha</t>
  </si>
  <si>
    <t>Hectares</t>
  </si>
  <si>
    <t>Unit.ha</t>
  </si>
  <si>
    <t>Acres</t>
  </si>
  <si>
    <t>acres</t>
  </si>
  <si>
    <t>Unit.acre</t>
  </si>
  <si>
    <t>km^2</t>
  </si>
  <si>
    <t>m^2</t>
  </si>
  <si>
    <t>Square kilometres</t>
  </si>
  <si>
    <t>Square metres</t>
  </si>
  <si>
    <t>Unit.km2</t>
  </si>
  <si>
    <t>Unit.m2</t>
  </si>
  <si>
    <t>Wales</t>
  </si>
  <si>
    <t>Unit.Wales</t>
  </si>
  <si>
    <t>Area is measured in:</t>
  </si>
  <si>
    <t>PHEV</t>
  </si>
  <si>
    <t>Availability</t>
  </si>
  <si>
    <t>Days</t>
  </si>
  <si>
    <t>Unit.day</t>
  </si>
  <si>
    <t>d</t>
  </si>
  <si>
    <t>h</t>
  </si>
  <si>
    <t>Hours</t>
  </si>
  <si>
    <t>Unit.hour</t>
  </si>
  <si>
    <t>m</t>
  </si>
  <si>
    <t>Minutes</t>
  </si>
  <si>
    <t>Unit.minute</t>
  </si>
  <si>
    <t>Power to energy conversion</t>
  </si>
  <si>
    <t>Average power for given energy</t>
  </si>
  <si>
    <t>Conversion.to.average.power</t>
  </si>
  <si>
    <t>From unit</t>
  </si>
  <si>
    <t>To unit</t>
  </si>
  <si>
    <t>Factor</t>
  </si>
  <si>
    <t>Annual energy for given power</t>
  </si>
  <si>
    <t>Conversion.to.annual.energy</t>
  </si>
  <si>
    <t>Energy per second for given power</t>
  </si>
  <si>
    <t>Conversion.to.energy.per.second</t>
  </si>
  <si>
    <t>M ha</t>
  </si>
  <si>
    <t>Million hectares</t>
  </si>
  <si>
    <t>Unit.Mha</t>
  </si>
  <si>
    <t>Includes use of energy in agriculture</t>
  </si>
  <si>
    <t>Forestry</t>
  </si>
  <si>
    <t>Balancing imports</t>
  </si>
  <si>
    <t>(Not used)</t>
  </si>
  <si>
    <t>Coal and fossil waste</t>
  </si>
  <si>
    <t>Environmental heat</t>
  </si>
  <si>
    <t>Energy crops (second generation)</t>
  </si>
  <si>
    <t>V.14</t>
  </si>
  <si>
    <t>Second-generation crops grown for energy use</t>
  </si>
  <si>
    <t>First-generation crops grown for energy use</t>
  </si>
  <si>
    <t>V.15</t>
  </si>
  <si>
    <t>Methane from waste</t>
  </si>
  <si>
    <t>Energy crops (first generation)</t>
  </si>
  <si>
    <t>Bioenergy</t>
  </si>
  <si>
    <t>Agriculture and land use</t>
  </si>
  <si>
    <t>Example pathways</t>
  </si>
  <si>
    <t>(Derived from data in "Constants")</t>
  </si>
  <si>
    <t>Food consumption [UNUSED]</t>
  </si>
  <si>
    <t>Domestic aviation [UNUSED - see XII.a]</t>
  </si>
  <si>
    <t>National navigation [UNUSED - see XII.a]</t>
  </si>
  <si>
    <t>Total food consumption. Not presently used</t>
  </si>
  <si>
    <t>1 (or A)</t>
  </si>
  <si>
    <t>2 (or B)</t>
  </si>
  <si>
    <t>3 (or C)</t>
  </si>
  <si>
    <t>Biomass</t>
  </si>
  <si>
    <t>Livestock Management</t>
  </si>
  <si>
    <t>CCS</t>
  </si>
  <si>
    <t>Information</t>
  </si>
  <si>
    <t>Information type</t>
  </si>
  <si>
    <t>B.01</t>
  </si>
  <si>
    <t>Installed Capacity</t>
  </si>
  <si>
    <t>Number of units</t>
  </si>
  <si>
    <t>Information summary</t>
  </si>
  <si>
    <t xml:space="preserve">Installed Capacity </t>
  </si>
  <si>
    <t>B.02</t>
  </si>
  <si>
    <t>B.03</t>
  </si>
  <si>
    <t>H2 Production for Transport</t>
  </si>
  <si>
    <t>B.04</t>
  </si>
  <si>
    <t>Residential</t>
  </si>
  <si>
    <t>mcm/d</t>
  </si>
  <si>
    <t>mcm/d natural gas</t>
  </si>
  <si>
    <t>Unit.mcm.d</t>
  </si>
  <si>
    <t>Edible biomass</t>
  </si>
  <si>
    <t>Dry biomass and waste</t>
  </si>
  <si>
    <t>Wet biomass and waste</t>
  </si>
  <si>
    <t>Gas oversupply (imports)</t>
  </si>
  <si>
    <t>Electricity oversupply (imports)</t>
  </si>
  <si>
    <t>Petroleum products oversupply</t>
  </si>
  <si>
    <t>Coal oversupply (imports)</t>
  </si>
  <si>
    <t>Oil and petroleum products oversupply (imports)</t>
  </si>
  <si>
    <t>4 (or D)</t>
  </si>
  <si>
    <t>Area</t>
  </si>
  <si>
    <t>UK Land area</t>
  </si>
  <si>
    <t>UK Sea area</t>
  </si>
  <si>
    <t>B.05</t>
  </si>
  <si>
    <t>Land area overseas</t>
  </si>
  <si>
    <t>B.06</t>
  </si>
  <si>
    <t>Length</t>
  </si>
  <si>
    <t>Length of wave front</t>
  </si>
  <si>
    <t>Other waste</t>
  </si>
  <si>
    <t>CHP</t>
  </si>
  <si>
    <t>Power Generation</t>
  </si>
  <si>
    <t>CO2e</t>
  </si>
  <si>
    <t>Imported Electricity</t>
  </si>
  <si>
    <t>Electricity Balancing &amp; Other</t>
  </si>
  <si>
    <t>Energy Security Contextual Data</t>
  </si>
  <si>
    <t>Trajectory Descriptions (slightly longer for story tab)</t>
  </si>
  <si>
    <t>Hydroelectric power stations</t>
  </si>
  <si>
    <t>bcm</t>
  </si>
  <si>
    <t>unit.bcm</t>
  </si>
  <si>
    <t>Biomass/Coal power stations</t>
  </si>
  <si>
    <t>ONCE YOU'VE MADE YOUR CHOICES PRESS F9</t>
  </si>
  <si>
    <t>Billion Cubic Metres (Gas)</t>
  </si>
  <si>
    <t>C1.Low</t>
  </si>
  <si>
    <t>Low estimate of capital costs</t>
  </si>
  <si>
    <t>C2.Low</t>
  </si>
  <si>
    <t>Low estimate of operating costs</t>
  </si>
  <si>
    <t>C3.Low</t>
  </si>
  <si>
    <t>Low estimate of fuel costs</t>
  </si>
  <si>
    <t>C1.High</t>
  </si>
  <si>
    <t>High estimate of capital costs</t>
  </si>
  <si>
    <t>C2.High</t>
  </si>
  <si>
    <t>High estimate of operating costs</t>
  </si>
  <si>
    <t>C3.High</t>
  </si>
  <si>
    <t>High estimate of fuel costs</t>
  </si>
  <si>
    <t>Cost vectors</t>
  </si>
  <si>
    <t>Discounting</t>
  </si>
  <si>
    <t>Discount factor</t>
  </si>
  <si>
    <t>Cost conversions</t>
  </si>
  <si>
    <t>£</t>
  </si>
  <si>
    <t>£trn</t>
  </si>
  <si>
    <t>2010 trillion british pounds</t>
  </si>
  <si>
    <t>TGBP</t>
  </si>
  <si>
    <t>£bn</t>
  </si>
  <si>
    <t>2010 billion british pounds</t>
  </si>
  <si>
    <t>GGBP</t>
  </si>
  <si>
    <t>£m</t>
  </si>
  <si>
    <t>2010 million british pounds</t>
  </si>
  <si>
    <t>MGBP</t>
  </si>
  <si>
    <t>£k</t>
  </si>
  <si>
    <t>2010 thousand british pounds</t>
  </si>
  <si>
    <t>kGBP</t>
  </si>
  <si>
    <t>2010 british pounds</t>
  </si>
  <si>
    <t>GBP</t>
  </si>
  <si>
    <t>Cost assumptions</t>
  </si>
  <si>
    <t>Capital costs</t>
  </si>
  <si>
    <t>Operating costs</t>
  </si>
  <si>
    <t>Money is measured in:</t>
  </si>
  <si>
    <t>Costs</t>
  </si>
  <si>
    <t>Mboe</t>
  </si>
  <si>
    <t>Million barrels of oil equivalent</t>
  </si>
  <si>
    <t>Unit.Mboe</t>
  </si>
  <si>
    <t>$/bbl</t>
  </si>
  <si>
    <t>2009 US dollars</t>
  </si>
  <si>
    <t>USD2009_</t>
  </si>
  <si>
    <t>boe</t>
  </si>
  <si>
    <t>Barrel of oil equivalent</t>
  </si>
  <si>
    <t>Unit.boe</t>
  </si>
  <si>
    <t>Capital</t>
  </si>
  <si>
    <t>Operating</t>
  </si>
  <si>
    <t>years</t>
  </si>
  <si>
    <t>Years</t>
  </si>
  <si>
    <t>For information</t>
  </si>
  <si>
    <t>Life</t>
  </si>
  <si>
    <t>Recycling</t>
  </si>
  <si>
    <t>Euro2002</t>
  </si>
  <si>
    <t>2002 Euros</t>
  </si>
  <si>
    <t>Euro2002_</t>
  </si>
  <si>
    <t>Volume conversions</t>
  </si>
  <si>
    <t>UK Gallon</t>
  </si>
  <si>
    <t>Litres per UK gallon</t>
  </si>
  <si>
    <t>Conversion.UKgallons.to.litres</t>
  </si>
  <si>
    <t>Litres</t>
  </si>
  <si>
    <t>US Gallon</t>
  </si>
  <si>
    <t>Litres per US gallon</t>
  </si>
  <si>
    <t>Conversion.USgallons.to.litres</t>
  </si>
  <si>
    <t>Cost of industrial CCS capture</t>
  </si>
  <si>
    <t>Fixed costs of industrial CCS capture</t>
  </si>
  <si>
    <t>Infrastructure Costs</t>
  </si>
  <si>
    <t>Variable plant O&amp;M</t>
  </si>
  <si>
    <t>Distribution and capture</t>
  </si>
  <si>
    <t>Energy equiv. of total emissions captured</t>
  </si>
  <si>
    <t>L</t>
  </si>
  <si>
    <t>Capital cost of industrial CCS capture</t>
  </si>
  <si>
    <t>H</t>
  </si>
  <si>
    <t>Operating cost of industrial CCS capture</t>
  </si>
  <si>
    <t>Cost of industrial processes by fuel type</t>
  </si>
  <si>
    <t>4. COSTS</t>
  </si>
  <si>
    <t>B.07</t>
  </si>
  <si>
    <t>B.08</t>
  </si>
  <si>
    <t>Shiftable electricity demand</t>
  </si>
  <si>
    <t>B.09</t>
  </si>
  <si>
    <t>Additional electricity at peak</t>
  </si>
  <si>
    <t>Power</t>
  </si>
  <si>
    <t>B.10</t>
  </si>
  <si>
    <t>Temperature related additional electricity demand</t>
  </si>
  <si>
    <t>Ethanol</t>
  </si>
  <si>
    <t>Jet Fuel</t>
  </si>
  <si>
    <t>B.11</t>
  </si>
  <si>
    <t>Interconnector capacity</t>
  </si>
  <si>
    <t>MWh</t>
  </si>
  <si>
    <t>Megawatt-hours</t>
  </si>
  <si>
    <t>Unit.MWh</t>
  </si>
  <si>
    <t>Rate</t>
  </si>
  <si>
    <t>1990</t>
  </si>
  <si>
    <t>1991</t>
  </si>
  <si>
    <t>1992</t>
  </si>
  <si>
    <t>1993</t>
  </si>
  <si>
    <t>1994</t>
  </si>
  <si>
    <t>1995</t>
  </si>
  <si>
    <t>1996</t>
  </si>
  <si>
    <t>1997</t>
  </si>
  <si>
    <t>1998</t>
  </si>
  <si>
    <t>1999</t>
  </si>
  <si>
    <t>2000</t>
  </si>
  <si>
    <t>2001</t>
  </si>
  <si>
    <t>2002</t>
  </si>
  <si>
    <t>2003</t>
  </si>
  <si>
    <t>2004</t>
  </si>
  <si>
    <t>2005</t>
  </si>
  <si>
    <t>2006</t>
  </si>
  <si>
    <t>2008</t>
  </si>
  <si>
    <t>2009</t>
  </si>
  <si>
    <t>GDP Deflator</t>
  </si>
  <si>
    <t>Calendar year 2010 = 100</t>
  </si>
  <si>
    <t>Financing costs for different sectors</t>
  </si>
  <si>
    <t>Discount rate (User Defined)</t>
  </si>
  <si>
    <t>XVIII</t>
  </si>
  <si>
    <t>TOTAL</t>
  </si>
  <si>
    <t>Net Capex</t>
  </si>
  <si>
    <t>Opex (ex fuel)</t>
  </si>
  <si>
    <t>Impact of choice of energy efficiency trajectory</t>
  </si>
  <si>
    <t>Cost of production by sector</t>
  </si>
  <si>
    <t>2050 % cost increase per unit production (low)</t>
  </si>
  <si>
    <t>2050 % cost increase per unit production (high)</t>
  </si>
  <si>
    <t>Incremental cost of abatement</t>
  </si>
  <si>
    <t>B.12</t>
  </si>
  <si>
    <t>Balancing capacity used</t>
  </si>
  <si>
    <t>% of available</t>
  </si>
  <si>
    <t>IX.a.Heating</t>
  </si>
  <si>
    <t>IX.a.Insulation</t>
  </si>
  <si>
    <t>XII.a.ICE</t>
  </si>
  <si>
    <t>XII.a.HEV</t>
  </si>
  <si>
    <t>XII.a.EV</t>
  </si>
  <si>
    <t>XII.a.FCV</t>
  </si>
  <si>
    <t>XII.a.Rail</t>
  </si>
  <si>
    <t>XII.a.Air</t>
  </si>
  <si>
    <t>NB: Interest rates are REAL</t>
  </si>
  <si>
    <t>HH</t>
  </si>
  <si>
    <t>VI.b.Bioenergy</t>
  </si>
  <si>
    <t>VI.b.Waste</t>
  </si>
  <si>
    <t>XII.a.Bike</t>
  </si>
  <si>
    <t>LIMIT</t>
  </si>
  <si>
    <t>YOUR CHOICE</t>
  </si>
  <si>
    <t>Trajectory Descriptions</t>
  </si>
  <si>
    <t xml:space="preserve">This page contains the translations of the different codes used in the model (e.g., N.01 is energy from  uranium). </t>
  </si>
  <si>
    <t>To the right of this page are the emissions codes and the cost codes</t>
  </si>
  <si>
    <t>This sheet contains assumptions that are common to many sheets. In particular, lower down the page are assumptions about discount rates and costs of finance.</t>
  </si>
  <si>
    <t>This page contains standard assuptions. In particular, lower down the page are the emissions per unit of energy from coal, natural gas and oil.</t>
  </si>
  <si>
    <t>AQ.01</t>
  </si>
  <si>
    <t>AQ.02</t>
  </si>
  <si>
    <t>AQ.03</t>
  </si>
  <si>
    <t>AQ.04</t>
  </si>
  <si>
    <t>PM10</t>
  </si>
  <si>
    <t>NMVOC</t>
  </si>
  <si>
    <t>NOX</t>
  </si>
  <si>
    <t>SO2</t>
  </si>
  <si>
    <t>PM10 emission factors</t>
  </si>
  <si>
    <t>NOX emission factors</t>
  </si>
  <si>
    <t>SO2 emission factors</t>
  </si>
  <si>
    <t>kt</t>
  </si>
  <si>
    <t>NMVOC emission factors</t>
  </si>
  <si>
    <t>Baseline AQ Process emissions (2015)</t>
  </si>
  <si>
    <t>Baseline AQ Process emissions (2020)</t>
  </si>
  <si>
    <t>Column1</t>
  </si>
  <si>
    <t>$2009</t>
  </si>
  <si>
    <t>$2010</t>
  </si>
  <si>
    <t>2010 US dollars</t>
  </si>
  <si>
    <t>USD2010_</t>
  </si>
  <si>
    <t>XVIII.a</t>
  </si>
  <si>
    <t>Storage of captured CO2</t>
  </si>
  <si>
    <t>kte/yr</t>
  </si>
  <si>
    <t>Greenhouse gas emissions</t>
  </si>
  <si>
    <t>Other emissions to the atmosphere from combustion</t>
  </si>
  <si>
    <t>Other emissions to the atmosphere from process gases</t>
  </si>
  <si>
    <t>Process emissions growth</t>
  </si>
  <si>
    <t>Multiple of 2007 emissions</t>
  </si>
  <si>
    <t>Air Quality vectors</t>
  </si>
  <si>
    <t>C1.Point</t>
  </si>
  <si>
    <t>Point estimate of capital costs</t>
  </si>
  <si>
    <t>C2.Point</t>
  </si>
  <si>
    <t>C3.Point</t>
  </si>
  <si>
    <t>Point estimate of fuel costs</t>
  </si>
  <si>
    <t>Point estimate of operating costs</t>
  </si>
  <si>
    <t>Ratios of biomass combustion emissions to fossil fuel combustion emissions</t>
  </si>
  <si>
    <t>Fueltype</t>
  </si>
  <si>
    <t>?</t>
  </si>
  <si>
    <t>M</t>
  </si>
  <si>
    <t>Point Estimate</t>
  </si>
  <si>
    <t>To work properly, years should be a multiple of 5</t>
  </si>
  <si>
    <t>Biofuel</t>
  </si>
  <si>
    <t>Imported natural gas for electricity and heat. Imported oil for vehicles.</t>
  </si>
  <si>
    <t>total</t>
  </si>
  <si>
    <t>South Africa</t>
  </si>
  <si>
    <t>Base Year Energy Balance</t>
  </si>
  <si>
    <t>Base Year</t>
  </si>
  <si>
    <t>Base-year final energy aggregated by sector fuel</t>
  </si>
  <si>
    <t>Entry #</t>
  </si>
  <si>
    <t>Fuel #</t>
  </si>
  <si>
    <t>R</t>
  </si>
  <si>
    <t>Biomass Wood</t>
  </si>
  <si>
    <t>Oil LPG</t>
  </si>
  <si>
    <t>Sectoral Fuel Names</t>
  </si>
  <si>
    <t>RES</t>
  </si>
  <si>
    <t>Emission Factors</t>
  </si>
  <si>
    <t>kt/PJ</t>
  </si>
  <si>
    <t>Carbon Dioxide</t>
  </si>
  <si>
    <t>Nitrous Oxide</t>
  </si>
  <si>
    <t>Sulphur Gases</t>
  </si>
  <si>
    <t>SOX</t>
  </si>
  <si>
    <t>Nitrogen Gases</t>
  </si>
  <si>
    <t>Distribution Losses</t>
  </si>
  <si>
    <t>Distribution Capacity (estimate)</t>
  </si>
  <si>
    <t>PJa</t>
  </si>
  <si>
    <t>End use demands</t>
  </si>
  <si>
    <t>K</t>
  </si>
  <si>
    <t>Space Heating</t>
  </si>
  <si>
    <t>Water Heating</t>
  </si>
  <si>
    <t>O</t>
  </si>
  <si>
    <t>End-use Fractional Shares by Sub-sector</t>
  </si>
  <si>
    <t>Demand ID</t>
  </si>
  <si>
    <t>End-use Final Energy Consumption by Sub-sector (PJ)</t>
  </si>
  <si>
    <t>Paraffin</t>
  </si>
  <si>
    <t>LPG</t>
  </si>
  <si>
    <t>TechDesc</t>
  </si>
  <si>
    <t>TechName</t>
  </si>
  <si>
    <t>Comm-IN</t>
  </si>
  <si>
    <t>Comm-Out</t>
  </si>
  <si>
    <t>EFF</t>
  </si>
  <si>
    <t>AFA</t>
  </si>
  <si>
    <t>STOCK</t>
  </si>
  <si>
    <t>INVCOST</t>
  </si>
  <si>
    <t>Technology Name</t>
  </si>
  <si>
    <t>Input Commodity</t>
  </si>
  <si>
    <t>Useful Energy Service</t>
  </si>
  <si>
    <t>Utlisation</t>
  </si>
  <si>
    <t>Lifetime</t>
  </si>
  <si>
    <t>Existing Installed Cap.</t>
  </si>
  <si>
    <t>Investment Cost</t>
  </si>
  <si>
    <t>Base Year Technology Share</t>
  </si>
  <si>
    <t>Final Energy</t>
  </si>
  <si>
    <t>Useful Energy</t>
  </si>
  <si>
    <t>Tech Data Source</t>
  </si>
  <si>
    <t>\I: Units</t>
  </si>
  <si>
    <t>(sum OUT/IN)</t>
  </si>
  <si>
    <t>(Fraction)</t>
  </si>
  <si>
    <t>(Years)</t>
  </si>
  <si>
    <t>(PJa)</t>
  </si>
  <si>
    <t>(%)</t>
  </si>
  <si>
    <t>(PJ)</t>
  </si>
  <si>
    <t>\I:</t>
  </si>
  <si>
    <t>Income</t>
  </si>
  <si>
    <t>Middle Income</t>
  </si>
  <si>
    <t>Low Income</t>
  </si>
  <si>
    <t>Household Population</t>
  </si>
  <si>
    <t>Total Population</t>
  </si>
  <si>
    <t>Residential Cooking</t>
  </si>
  <si>
    <t>RES.K</t>
  </si>
  <si>
    <t>RES.L</t>
  </si>
  <si>
    <t>RES.H</t>
  </si>
  <si>
    <t>RES.W</t>
  </si>
  <si>
    <t>RES.R</t>
  </si>
  <si>
    <t>RES.O</t>
  </si>
  <si>
    <t>RES.N</t>
  </si>
  <si>
    <t>K.01</t>
  </si>
  <si>
    <t xml:space="preserve">Lighting </t>
  </si>
  <si>
    <t>Residential Water Heating</t>
  </si>
  <si>
    <t>Residential Refridgeration</t>
  </si>
  <si>
    <t>Refridgeration</t>
  </si>
  <si>
    <t>Residential Other Use</t>
  </si>
  <si>
    <t>Other uses</t>
  </si>
  <si>
    <t>Z.02</t>
  </si>
  <si>
    <t>Commerce</t>
  </si>
  <si>
    <t>Oil Diesel</t>
  </si>
  <si>
    <t>Oil HFO</t>
  </si>
  <si>
    <t>COM</t>
  </si>
  <si>
    <t>End-use Shares by Fuel - All sourced from Interim report (other than LPG)</t>
  </si>
  <si>
    <t>U2006</t>
  </si>
  <si>
    <t>Sector code</t>
  </si>
  <si>
    <t>Sector description</t>
  </si>
  <si>
    <t>share</t>
  </si>
  <si>
    <t>Residential Lighting</t>
  </si>
  <si>
    <t>H.02</t>
  </si>
  <si>
    <t>H.03</t>
  </si>
  <si>
    <t>Other Use</t>
  </si>
  <si>
    <t>Z.03</t>
  </si>
  <si>
    <t>Residential Non Energy Use</t>
  </si>
  <si>
    <t>Non Energy Use</t>
  </si>
  <si>
    <t>H.04</t>
  </si>
  <si>
    <t>Overall Appliance mixture improvement</t>
  </si>
  <si>
    <t xml:space="preserve">RES </t>
  </si>
  <si>
    <t>Electrification</t>
  </si>
  <si>
    <t>CH</t>
  </si>
  <si>
    <t>CC</t>
  </si>
  <si>
    <t>CK</t>
  </si>
  <si>
    <t>CL</t>
  </si>
  <si>
    <t>CR</t>
  </si>
  <si>
    <t>CW</t>
  </si>
  <si>
    <t>CO</t>
  </si>
  <si>
    <t>Residential/Commercial</t>
  </si>
  <si>
    <t>Residential Space Heating</t>
  </si>
  <si>
    <t>COM.A</t>
  </si>
  <si>
    <t>All demands</t>
  </si>
  <si>
    <t>Commercial Sector</t>
  </si>
  <si>
    <t>Subtotal</t>
  </si>
  <si>
    <t>GAS</t>
  </si>
  <si>
    <t>SUV</t>
  </si>
  <si>
    <t>Minibus</t>
  </si>
  <si>
    <t>BRT</t>
  </si>
  <si>
    <t>Metro Rail</t>
  </si>
  <si>
    <t>Gautrain</t>
  </si>
  <si>
    <t>T</t>
  </si>
  <si>
    <t>TRA</t>
  </si>
  <si>
    <t>Row #</t>
  </si>
  <si>
    <t>LCV</t>
  </si>
  <si>
    <t>ELC</t>
  </si>
  <si>
    <t>HFO</t>
  </si>
  <si>
    <t/>
  </si>
  <si>
    <t>COA</t>
  </si>
  <si>
    <t>COK</t>
  </si>
  <si>
    <t>OKE</t>
  </si>
  <si>
    <t>OHF</t>
  </si>
  <si>
    <t>ODS</t>
  </si>
  <si>
    <t>OLP</t>
  </si>
  <si>
    <t>BIW</t>
  </si>
  <si>
    <t>BIB</t>
  </si>
  <si>
    <t>WAS</t>
  </si>
  <si>
    <t>IND</t>
  </si>
  <si>
    <t>IND.01</t>
  </si>
  <si>
    <t>Industrial Electrical Plant</t>
  </si>
  <si>
    <t>IND.02</t>
  </si>
  <si>
    <t>Industrial  Boilers, Chemical and Transport</t>
  </si>
  <si>
    <t>Combined Heat and Power</t>
  </si>
  <si>
    <t>V.16</t>
  </si>
  <si>
    <t>Gasoline</t>
  </si>
  <si>
    <t>Lower Limit</t>
  </si>
  <si>
    <t>Base Year Tech Share</t>
  </si>
  <si>
    <t>Upper Limit</t>
  </si>
  <si>
    <t>L2050</t>
  </si>
  <si>
    <t>L2030</t>
  </si>
  <si>
    <t>L2010</t>
  </si>
  <si>
    <t>U2050</t>
  </si>
  <si>
    <t>U2030</t>
  </si>
  <si>
    <t>U2010</t>
  </si>
  <si>
    <t>Start</t>
  </si>
  <si>
    <t>OGS</t>
  </si>
  <si>
    <t>IOTR</t>
  </si>
  <si>
    <t>IOTS</t>
  </si>
  <si>
    <t>IOTE</t>
  </si>
  <si>
    <t>IOTO</t>
  </si>
  <si>
    <t>IOTF</t>
  </si>
  <si>
    <t>IOTP</t>
  </si>
  <si>
    <t>IOTH</t>
  </si>
  <si>
    <t>IOTC</t>
  </si>
  <si>
    <t>IOTL</t>
  </si>
  <si>
    <t>IOTA</t>
  </si>
  <si>
    <t>IOTK</t>
  </si>
  <si>
    <t>IPPS</t>
  </si>
  <si>
    <t>IPPE</t>
  </si>
  <si>
    <t>IPPO</t>
  </si>
  <si>
    <t>IPPF</t>
  </si>
  <si>
    <t>IPPP</t>
  </si>
  <si>
    <t>IPPH</t>
  </si>
  <si>
    <t>IPPC</t>
  </si>
  <si>
    <t>IPPL</t>
  </si>
  <si>
    <t>IPPA</t>
  </si>
  <si>
    <t>IPPK</t>
  </si>
  <si>
    <t>IFBS</t>
  </si>
  <si>
    <t>IFBE</t>
  </si>
  <si>
    <t>IFBO</t>
  </si>
  <si>
    <t>IFBF</t>
  </si>
  <si>
    <t>IFBP</t>
  </si>
  <si>
    <t>IFBH</t>
  </si>
  <si>
    <t>IFBC</t>
  </si>
  <si>
    <t>IFBL</t>
  </si>
  <si>
    <t>IFBA</t>
  </si>
  <si>
    <t>IFBK</t>
  </si>
  <si>
    <t>INMS</t>
  </si>
  <si>
    <t>INME</t>
  </si>
  <si>
    <t>INMO</t>
  </si>
  <si>
    <t>INMF</t>
  </si>
  <si>
    <t>INMP</t>
  </si>
  <si>
    <t>INMH</t>
  </si>
  <si>
    <t>INMC</t>
  </si>
  <si>
    <t>INML</t>
  </si>
  <si>
    <t>INMA</t>
  </si>
  <si>
    <t>INMK</t>
  </si>
  <si>
    <t>INFS</t>
  </si>
  <si>
    <t>INFE</t>
  </si>
  <si>
    <t>INFO</t>
  </si>
  <si>
    <t>INFF</t>
  </si>
  <si>
    <t>INFP</t>
  </si>
  <si>
    <t>INFH</t>
  </si>
  <si>
    <t>INFC</t>
  </si>
  <si>
    <t>INFL</t>
  </si>
  <si>
    <t>INFA</t>
  </si>
  <si>
    <t>INFK</t>
  </si>
  <si>
    <t>ICPS</t>
  </si>
  <si>
    <t>ICPE</t>
  </si>
  <si>
    <t>ICPO</t>
  </si>
  <si>
    <t>ICPF</t>
  </si>
  <si>
    <t>ICPP</t>
  </si>
  <si>
    <t>ICPH</t>
  </si>
  <si>
    <t>ICPC</t>
  </si>
  <si>
    <t>ICPL</t>
  </si>
  <si>
    <t>ICPA</t>
  </si>
  <si>
    <t>ICPK</t>
  </si>
  <si>
    <t>IISS</t>
  </si>
  <si>
    <t>IISE</t>
  </si>
  <si>
    <t>IISO</t>
  </si>
  <si>
    <t>IISF</t>
  </si>
  <si>
    <t>IISP</t>
  </si>
  <si>
    <t>IISH</t>
  </si>
  <si>
    <t>IISC</t>
  </si>
  <si>
    <t>IISL</t>
  </si>
  <si>
    <t>IISA</t>
  </si>
  <si>
    <t>IISK</t>
  </si>
  <si>
    <t>IMIR</t>
  </si>
  <si>
    <t>IMIS</t>
  </si>
  <si>
    <t>IMIE</t>
  </si>
  <si>
    <t>IMIO</t>
  </si>
  <si>
    <t>IMIF</t>
  </si>
  <si>
    <t>IMIP</t>
  </si>
  <si>
    <t>IMIH</t>
  </si>
  <si>
    <t>IMIC</t>
  </si>
  <si>
    <t>IMIL</t>
  </si>
  <si>
    <t>IMIA</t>
  </si>
  <si>
    <t>IMIK</t>
  </si>
  <si>
    <t>boiler/process heating</t>
  </si>
  <si>
    <t>S</t>
  </si>
  <si>
    <t>Electrochemical</t>
  </si>
  <si>
    <t>Other motive</t>
  </si>
  <si>
    <t>Fans</t>
  </si>
  <si>
    <t>Pumping</t>
  </si>
  <si>
    <t>P</t>
  </si>
  <si>
    <t>HVAC</t>
  </si>
  <si>
    <t>Elec Heating</t>
  </si>
  <si>
    <t>OT</t>
  </si>
  <si>
    <t>Pulp &amp; Paper Products  -323</t>
  </si>
  <si>
    <t>PP</t>
  </si>
  <si>
    <t>Food, Beverage &amp; Tabacco  - 30</t>
  </si>
  <si>
    <t>FB</t>
  </si>
  <si>
    <t>N.M.M Products  -34</t>
  </si>
  <si>
    <t>NM</t>
  </si>
  <si>
    <t>Precious &amp; Non-Ferrous metals  - 352</t>
  </si>
  <si>
    <t>NF</t>
  </si>
  <si>
    <t>Chemicals  -33</t>
  </si>
  <si>
    <t>CP</t>
  </si>
  <si>
    <t>Iron  &amp; Steel  - 351</t>
  </si>
  <si>
    <t>IS</t>
  </si>
  <si>
    <t>Mining SIC2</t>
  </si>
  <si>
    <t>MI</t>
  </si>
  <si>
    <t>Value added</t>
  </si>
  <si>
    <t>Physical output</t>
  </si>
  <si>
    <t>Activity Measure</t>
  </si>
  <si>
    <t>Base year = 100%</t>
  </si>
  <si>
    <t>System Efficiency</t>
  </si>
  <si>
    <t>Power:Heat Ratio</t>
  </si>
  <si>
    <t>Plant Type</t>
  </si>
  <si>
    <t>CHP Technology (Generic)</t>
  </si>
  <si>
    <t>INDODS</t>
  </si>
  <si>
    <t>IOTRODS-E</t>
  </si>
  <si>
    <t>Industry-Other-Transport - Oil Diesel - Existing</t>
  </si>
  <si>
    <t>INDWAS</t>
  </si>
  <si>
    <t>IOTSWAS-E</t>
  </si>
  <si>
    <t>Industry-Other-boiler/process heating - Waste - Existing</t>
  </si>
  <si>
    <t>INDELC</t>
  </si>
  <si>
    <t>IOTSELC-E</t>
  </si>
  <si>
    <t>Industry-Other-boiler/process heating - Electricity - Existing</t>
  </si>
  <si>
    <t>INDOLP</t>
  </si>
  <si>
    <t>IOTSOLP-E</t>
  </si>
  <si>
    <t>Industry-Other-boiler/process heating - Oil LPG - Existing</t>
  </si>
  <si>
    <t>INDOHF</t>
  </si>
  <si>
    <t>IOTSOHF-E</t>
  </si>
  <si>
    <t>Industry-Other-boiler/process heating - Oil HFO - Existing</t>
  </si>
  <si>
    <t>INDGAS</t>
  </si>
  <si>
    <t>IOTSGAS-E</t>
  </si>
  <si>
    <t>Industry-Other-boiler/process heating - Gas - Existing</t>
  </si>
  <si>
    <t>INDCOA</t>
  </si>
  <si>
    <t>IOTSCOA-E</t>
  </si>
  <si>
    <t>Industry-Other-boiler/process heating - Coal - Existing</t>
  </si>
  <si>
    <t>\I:boiler/process heating</t>
  </si>
  <si>
    <t>IOTEELC-E</t>
  </si>
  <si>
    <t>Industry-Other-Electrochemical - Electricity</t>
  </si>
  <si>
    <t>IOTOELC-E</t>
  </si>
  <si>
    <t>Industry-Other-Other motive - Electricity</t>
  </si>
  <si>
    <t>IOTFELC-E</t>
  </si>
  <si>
    <t>Industry-Other-Fans - Electricity</t>
  </si>
  <si>
    <t>IOTPELC-E</t>
  </si>
  <si>
    <t>Industry-Other-Pumping - Electricity</t>
  </si>
  <si>
    <t>IOTHELC-E</t>
  </si>
  <si>
    <t>Industry-Other-HVAC - Electricity</t>
  </si>
  <si>
    <t>IOTCELC-E</t>
  </si>
  <si>
    <t>Industry-Other-Cooling - Electricity</t>
  </si>
  <si>
    <t>IOTLELC-E</t>
  </si>
  <si>
    <t>Industry-Other-Lighting - Electricity</t>
  </si>
  <si>
    <t>IOTAELC-E</t>
  </si>
  <si>
    <t>Industry-Other-Compressed air - Electricity</t>
  </si>
  <si>
    <t>IOTKELC-E</t>
  </si>
  <si>
    <t>Industry-Other-Elec Heating - Electricity</t>
  </si>
  <si>
    <t>\I:Technology Description</t>
  </si>
  <si>
    <t>IPPSWAS-E</t>
  </si>
  <si>
    <t>Industry-Pulp &amp; Paper Products  -323-boiler/process heating - Waste - Existing</t>
  </si>
  <si>
    <t>INDBIW</t>
  </si>
  <si>
    <t>IPPSBIW-E</t>
  </si>
  <si>
    <t>Industry-Pulp &amp; Paper Products  -323-boiler/process heating - Biomass Wood - Existing</t>
  </si>
  <si>
    <t>IPPSELC-E</t>
  </si>
  <si>
    <t>Industry-Pulp &amp; Paper Products  -323-boiler/process heating - Electricity - Existing</t>
  </si>
  <si>
    <t>IPPSOLP-E</t>
  </si>
  <si>
    <t>Industry-Pulp &amp; Paper Products  -323-boiler/process heating - Oil LPG - Existing</t>
  </si>
  <si>
    <t>IPPSOHF-E</t>
  </si>
  <si>
    <t>Industry-Pulp &amp; Paper Products  -323-boiler/process heating - Oil HFO - Existing</t>
  </si>
  <si>
    <t>IPPSGAS-E</t>
  </si>
  <si>
    <t>Industry-Pulp &amp; Paper Products  -323-boiler/process heating - Gas - Existing</t>
  </si>
  <si>
    <t>IPPSCOA-E</t>
  </si>
  <si>
    <t>Industry-Pulp &amp; Paper Products  -323-boiler/process heating - Coal - Existing</t>
  </si>
  <si>
    <t>IPPEELC-E</t>
  </si>
  <si>
    <t>Industry-Pulp &amp; Paper Products  -323-Electrochemical - Electricity</t>
  </si>
  <si>
    <t>IPPOELC-E</t>
  </si>
  <si>
    <t>Industry-Pulp &amp; Paper Products  -323-Other motive - Electricity</t>
  </si>
  <si>
    <t>IPPFELC-E</t>
  </si>
  <si>
    <t>Industry-Pulp &amp; Paper Products  -323-Fans - Electricity</t>
  </si>
  <si>
    <t>IPPPELC-E</t>
  </si>
  <si>
    <t>Industry-Pulp &amp; Paper Products  -323-Pumping - Electricity</t>
  </si>
  <si>
    <t>IPPHELC-E</t>
  </si>
  <si>
    <t>Industry-Pulp &amp; Paper Products  -323-HVAC - Electricity</t>
  </si>
  <si>
    <t>IPPCELC-E</t>
  </si>
  <si>
    <t>Industry-Pulp &amp; Paper Products  -323-Cooling - Electricity</t>
  </si>
  <si>
    <t>IPPLELC-E</t>
  </si>
  <si>
    <t>Industry-Pulp &amp; Paper Products  -323-Lighting - Electricity</t>
  </si>
  <si>
    <t>IPPAELC-E</t>
  </si>
  <si>
    <t>Industry-Pulp &amp; Paper Products  -323-461 - Electricity</t>
  </si>
  <si>
    <t>IPPKELC-E</t>
  </si>
  <si>
    <t>Industry-Pulp &amp; Paper Products  -323-Elec Heating - Electricity</t>
  </si>
  <si>
    <t>IFBSWAS-E</t>
  </si>
  <si>
    <t>Industry-Food, Beverage &amp; Tabacco  - 30-boiler/process heating - Waste - Existing</t>
  </si>
  <si>
    <t>INDBIB</t>
  </si>
  <si>
    <t>IFBSBIB-E</t>
  </si>
  <si>
    <t>Industry-Food, Beverage &amp; Tabacco  - 30-boiler/process heating - Biomass bagasse - Existing</t>
  </si>
  <si>
    <t>IFBSELC-E</t>
  </si>
  <si>
    <t>Industry-Food, Beverage &amp; Tabacco  - 30-boiler/process heating - Electricity - Existing</t>
  </si>
  <si>
    <t>IFBSOLP-E</t>
  </si>
  <si>
    <t>Industry-Food, Beverage &amp; Tabacco  - 30-boiler/process heating - Oil LPG - Existing</t>
  </si>
  <si>
    <t>IFBSOHF-E</t>
  </si>
  <si>
    <t>Industry-Food, Beverage &amp; Tabacco  - 30-boiler/process heating - Oil HFO - Existing</t>
  </si>
  <si>
    <t>IFBSGAS-E</t>
  </si>
  <si>
    <t>Industry-Food, Beverage &amp; Tabacco  - 30-boiler/process heating - Gas - Existing</t>
  </si>
  <si>
    <t>IFBSCOA-E</t>
  </si>
  <si>
    <t>Industry-Food, Beverage &amp; Tabacco  - 30-boiler/process heating - Coal - Existing</t>
  </si>
  <si>
    <t>IFBEELC-E</t>
  </si>
  <si>
    <t>Industry-Food, Beverage &amp; Tabacco  - 30-Electrochemical - Electricity</t>
  </si>
  <si>
    <t>IFBOELC-E</t>
  </si>
  <si>
    <t>Industry-Food, Beverage &amp; Tabacco  - 30-Other motive - Electricity</t>
  </si>
  <si>
    <t>IFBFELC-E</t>
  </si>
  <si>
    <t>Industry-Food, Beverage &amp; Tabacco  - 30-Fans - Electricity</t>
  </si>
  <si>
    <t>IFBPELC-E</t>
  </si>
  <si>
    <t>Industry-Food, Beverage &amp; Tabacco  - 30-Pumping - Electricity</t>
  </si>
  <si>
    <t>IFBHELC-E</t>
  </si>
  <si>
    <t>Industry-Food, Beverage &amp; Tabacco  - 30-HVAC - Electricity</t>
  </si>
  <si>
    <t>IFBCELC-E</t>
  </si>
  <si>
    <t>Industry-Food, Beverage &amp; Tabacco  - 30-Cooling - Electricity</t>
  </si>
  <si>
    <t>IFBLELC-E</t>
  </si>
  <si>
    <t>Industry-Food, Beverage &amp; Tabacco  - 30-Lighting - Electricity</t>
  </si>
  <si>
    <t>IFBAELC-E</t>
  </si>
  <si>
    <t>Industry-Food, Beverage &amp; Tabacco  - 30-Compressed air - Electricity</t>
  </si>
  <si>
    <t>IFBKELC-E</t>
  </si>
  <si>
    <t>Industry-Food, Beverage &amp; Tabacco  - 30-Elec Heating - Electricity</t>
  </si>
  <si>
    <t>INMSWAS-E</t>
  </si>
  <si>
    <t>Industry-N.M.M Products  -34-boiler/process heating - Waste - Existing</t>
  </si>
  <si>
    <t>INMSELC-E</t>
  </si>
  <si>
    <t>Industry-N.M.M Products  -34-boiler/process heating - Electricity - Existing</t>
  </si>
  <si>
    <t>INMSOLP-E</t>
  </si>
  <si>
    <t>Industry-N.M.M Products  -34-boiler/process heating - Oil LPG - Existing</t>
  </si>
  <si>
    <t>INMSOHF-E</t>
  </si>
  <si>
    <t>Industry-N.M.M Products  -34-boiler/process heating - Oil HFO - Existing</t>
  </si>
  <si>
    <t>INMSGAS-E</t>
  </si>
  <si>
    <t>Industry-N.M.M Products  -34-boiler/process heating - Gas - Existing</t>
  </si>
  <si>
    <t>INMSCOA-E</t>
  </si>
  <si>
    <t>Industry-N.M.M Products  -34-boiler/process heating - Coal - Existing</t>
  </si>
  <si>
    <t>INMEELC-E</t>
  </si>
  <si>
    <t>Industry-N.M.M Products  -34-Electrochemical - Electricity</t>
  </si>
  <si>
    <t>INMOELC-E</t>
  </si>
  <si>
    <t>Industry-N.M.M Products  -34-Other motive - Electricity</t>
  </si>
  <si>
    <t>INMFELC-E</t>
  </si>
  <si>
    <t>Industry-N.M.M Products  -34-Fans - Electricity</t>
  </si>
  <si>
    <t>INMPELC-E</t>
  </si>
  <si>
    <t>Industry-N.M.M Products  -34-Pumping - Electricity</t>
  </si>
  <si>
    <t>INMHELC-E</t>
  </si>
  <si>
    <t>Industry-N.M.M Products  -34-HVAC - Electricity</t>
  </si>
  <si>
    <t>INMCELC-E</t>
  </si>
  <si>
    <t>Industry-N.M.M Products  -34-Cooling - Electricity</t>
  </si>
  <si>
    <t>INMLELC-E</t>
  </si>
  <si>
    <t>Industry-N.M.M Products  -34-Lighting - Electricity</t>
  </si>
  <si>
    <t>INMAELC-E</t>
  </si>
  <si>
    <t>Industry-N.M.M Products  -34-Compressed air - Electricity</t>
  </si>
  <si>
    <t>INMKELC-E</t>
  </si>
  <si>
    <t>Industry-N.M.M Products  -34-Elec Heating - Electricity</t>
  </si>
  <si>
    <t>INFSWAS-E</t>
  </si>
  <si>
    <t>Industry-Precious &amp; Non-Ferrous metals  - 352-boiler/process heating - Waste - Existing</t>
  </si>
  <si>
    <t>INFSELC-E</t>
  </si>
  <si>
    <t>Industry-Precious &amp; Non-Ferrous metals  - 352-boiler/process heating - Electricity - Existing</t>
  </si>
  <si>
    <t>INFSOLP-E</t>
  </si>
  <si>
    <t>Industry-Precious &amp; Non-Ferrous metals  - 352-boiler/process heating - Oil LPG - Existing</t>
  </si>
  <si>
    <t>INFSOHF-E</t>
  </si>
  <si>
    <t>Industry-Precious &amp; Non-Ferrous metals  - 352-boiler/process heating - Oil HFO - Existing</t>
  </si>
  <si>
    <t>INFSGAS-E</t>
  </si>
  <si>
    <t>Industry-Precious &amp; Non-Ferrous metals  - 352-boiler/process heating - Gas - Existing</t>
  </si>
  <si>
    <t>INFSCOA-E</t>
  </si>
  <si>
    <t>Industry-Precious &amp; Non-Ferrous metals  - 352-boiler/process heating - Coal - Existing</t>
  </si>
  <si>
    <t>INFEELC-E</t>
  </si>
  <si>
    <t>Industry-Precious &amp; Non-Ferrous metals  - 352-Electrochemical - Electricity</t>
  </si>
  <si>
    <t>INFOELC-E</t>
  </si>
  <si>
    <t>Industry-Precious &amp; Non-Ferrous metals  - 352-Other motive - Electricity</t>
  </si>
  <si>
    <t>INFFELC-E</t>
  </si>
  <si>
    <t>Industry-Precious &amp; Non-Ferrous metals  - 352-Fans - Electricity</t>
  </si>
  <si>
    <t>INFPELC-E</t>
  </si>
  <si>
    <t>Industry-Precious &amp; Non-Ferrous metals  - 352-Pumping - Electricity</t>
  </si>
  <si>
    <t>INFHELC-E</t>
  </si>
  <si>
    <t>Industry-Precious &amp; Non-Ferrous metals  - 352-HVAC - Electricity</t>
  </si>
  <si>
    <t>INFCELC-E</t>
  </si>
  <si>
    <t>Industry-Precious &amp; Non-Ferrous metals  - 352-Cooling - Electricity</t>
  </si>
  <si>
    <t>INFLELC-E</t>
  </si>
  <si>
    <t>Industry-Precious &amp; Non-Ferrous metals  - 352-Lighting - Electricity</t>
  </si>
  <si>
    <t>INFAELC-E</t>
  </si>
  <si>
    <t>Industry-Precious &amp; Non-Ferrous metals  - 352-Compressed air - Electricity</t>
  </si>
  <si>
    <t>INFKELC-E</t>
  </si>
  <si>
    <t>Industry-Precious &amp; Non-Ferrous metals  - 352-Elec Heating - Electricity</t>
  </si>
  <si>
    <t>ICPSWAS-E</t>
  </si>
  <si>
    <t>Industry-Chemicals  -33-boiler/process heating - Waste - Existing</t>
  </si>
  <si>
    <t>ICPSELC-E</t>
  </si>
  <si>
    <t>Industry-Chemicals  -33-boiler/process heating - Electricity - Existing</t>
  </si>
  <si>
    <t>ICPSOLP-E</t>
  </si>
  <si>
    <t>Industry-Chemicals  -33-boiler/process heating - Oil LPG - Existing</t>
  </si>
  <si>
    <t>ICPSOHF-E</t>
  </si>
  <si>
    <t>Industry-Chemicals  -33-boiler/process heating - Oil HFO - Existing</t>
  </si>
  <si>
    <t>ICPSGAS-E</t>
  </si>
  <si>
    <t>Industry-Chemicals  -33-boiler/process heating - Gas - Existing</t>
  </si>
  <si>
    <t>ICPSCOA-E</t>
  </si>
  <si>
    <t>Industry-Chemicals  -33-boiler/process heating - Coal - Existing</t>
  </si>
  <si>
    <t>ICPEELC-E</t>
  </si>
  <si>
    <t>Industry-Chemicals  -33-Electrochemical - Electricity</t>
  </si>
  <si>
    <t>ICPOELC-E</t>
  </si>
  <si>
    <t>Industry-Chemicals  -33-Other motive - Electricity</t>
  </si>
  <si>
    <t>ICPFELC-E</t>
  </si>
  <si>
    <t>Industry-Chemicals  -33-Fans - Electricity</t>
  </si>
  <si>
    <t>ICPPELC-E</t>
  </si>
  <si>
    <t>Industry-Chemicals  -33-Pumping - Electricity</t>
  </si>
  <si>
    <t>ICPHELC-E</t>
  </si>
  <si>
    <t>Industry-Chemicals  -33-HVAC - Electricity</t>
  </si>
  <si>
    <t>ICPCELC-E</t>
  </si>
  <si>
    <t>Industry-Chemicals  -33-Cooling - Electricity</t>
  </si>
  <si>
    <t>ICPLELC-E</t>
  </si>
  <si>
    <t>Industry-Chemicals  -33-Lighting - Electricity</t>
  </si>
  <si>
    <t>ICPAELC-E</t>
  </si>
  <si>
    <t>Industry-Chemicals  -33-Compressed air - Electricity</t>
  </si>
  <si>
    <t>ICPKELC-E</t>
  </si>
  <si>
    <t>Industry-Chemicals  -33-Elec Heating - Electricity</t>
  </si>
  <si>
    <t>IIST</t>
  </si>
  <si>
    <t>IISTGAS-E</t>
  </si>
  <si>
    <t>Industry-Iron  &amp; Steel  - 351-Process agent - Gas - Existing</t>
  </si>
  <si>
    <t>INDCOK</t>
  </si>
  <si>
    <t>IISTCOK-E</t>
  </si>
  <si>
    <t>Industry-Iron  &amp; Steel  - 351-Process agent - Coking Coal - Existing</t>
  </si>
  <si>
    <t>\I:Chemical</t>
  </si>
  <si>
    <t>IISSWAS-E</t>
  </si>
  <si>
    <t>Industry-Iron  &amp; Steel  - 351-boiler/process heating - Waste - Existing</t>
  </si>
  <si>
    <t>IISSELC-E</t>
  </si>
  <si>
    <t>Industry-Iron  &amp; Steel  - 351-boiler/process heating - Electricity - Existing</t>
  </si>
  <si>
    <t>IISSOLP-E</t>
  </si>
  <si>
    <t>Industry-Iron  &amp; Steel  - 351-boiler/process heating - Oil LPG - Existing</t>
  </si>
  <si>
    <t>IISSOHF-E</t>
  </si>
  <si>
    <t>Industry-Iron  &amp; Steel  - 351-boiler/process heating - Oil HFO - Existing</t>
  </si>
  <si>
    <t>IISSGAS-E</t>
  </si>
  <si>
    <t>Industry-Iron  &amp; Steel  - 351-boiler/process heating - Gas - Existing</t>
  </si>
  <si>
    <t>IISSCOA-E</t>
  </si>
  <si>
    <t>Industry-Iron  &amp; Steel  - 351-boiler/process heating - Coal - Existing</t>
  </si>
  <si>
    <t>IISEELC-E</t>
  </si>
  <si>
    <t>Industry-Iron  &amp; Steel  - 351-Electrochemical - Electricity</t>
  </si>
  <si>
    <t>IISOELC-E</t>
  </si>
  <si>
    <t>Industry-Iron  &amp; Steel  - 351-Other motive - Electricity</t>
  </si>
  <si>
    <t>IISFELC-E</t>
  </si>
  <si>
    <t>Industry-Iron  &amp; Steel  - 351-Fans - Electricity</t>
  </si>
  <si>
    <t>IISPELC-E</t>
  </si>
  <si>
    <t>Industry-Iron  &amp; Steel  - 351-Pumping - Electricity</t>
  </si>
  <si>
    <t>IISHELC-E</t>
  </si>
  <si>
    <t>Industry-Iron  &amp; Steel  - 351-HVAC - Electricity</t>
  </si>
  <si>
    <t>IISCELC-E</t>
  </si>
  <si>
    <t>Industry-Iron  &amp; Steel  - 351-Cooling - Electricity</t>
  </si>
  <si>
    <t>IISLELC-E</t>
  </si>
  <si>
    <t>Industry-Iron  &amp; Steel  - 351-Lighting - Electricity</t>
  </si>
  <si>
    <t>IISAELC-E</t>
  </si>
  <si>
    <t>Industry-Iron  &amp; Steel  - 351-Compressed air - Electricity</t>
  </si>
  <si>
    <t>IISKELC-E</t>
  </si>
  <si>
    <t>Industry-Iron  &amp; Steel  - 351-Elec Heating - Electricity</t>
  </si>
  <si>
    <t>IMIRODS-E</t>
  </si>
  <si>
    <t>Industry-Mining SIC2-Transport - Oil Diesel - Existing</t>
  </si>
  <si>
    <t>\I:Transport</t>
  </si>
  <si>
    <t>IMISWAS-E</t>
  </si>
  <si>
    <t>Industry-Mining SIC2-boiler/process heating - Waste - Existing</t>
  </si>
  <si>
    <t>IMISELC-E</t>
  </si>
  <si>
    <t>Industry-Mining SIC2-boiler/process heating - Electricity - Existing</t>
  </si>
  <si>
    <t>IMISOLP-E</t>
  </si>
  <si>
    <t>Industry-Mining SIC2-boiler/process heating - Oil LPG - Existing</t>
  </si>
  <si>
    <t>IMISOHF-E</t>
  </si>
  <si>
    <t>Industry-Mining SIC2-boiler/process heating - Oil HFO - Existing</t>
  </si>
  <si>
    <t>IMISGAS-E</t>
  </si>
  <si>
    <t>Industry-Mining SIC2-boiler/process heating - Gas - Existing</t>
  </si>
  <si>
    <t>IMISCOA-E</t>
  </si>
  <si>
    <t>Industry-Mining SIC2-boiler/process heating - Coal - Existing</t>
  </si>
  <si>
    <t>IMIEELC-E</t>
  </si>
  <si>
    <t>Industry-Mining SIC2-Electrochemical - Electricity</t>
  </si>
  <si>
    <t>IMIOELC-E</t>
  </si>
  <si>
    <t>Industry-Mining SIC2-Other motive - Electricity</t>
  </si>
  <si>
    <t>IMIFELC-E</t>
  </si>
  <si>
    <t>Industry-Mining SIC2-Fans - Electricity</t>
  </si>
  <si>
    <t>IMIPELC-E</t>
  </si>
  <si>
    <t>Industry-Mining SIC2-Pumping - Electricity</t>
  </si>
  <si>
    <t>IMIHELC-E</t>
  </si>
  <si>
    <t>Industry-Mining SIC2-HVAC - Electricity</t>
  </si>
  <si>
    <t>IMICELC-E</t>
  </si>
  <si>
    <t>Industry-Mining SIC2-Cooling - Electricity</t>
  </si>
  <si>
    <t>IMILELC-E</t>
  </si>
  <si>
    <t>Industry-Mining SIC2-Lighting - Electricity</t>
  </si>
  <si>
    <t>IMIAELC-E</t>
  </si>
  <si>
    <t>Industry-Mining SIC2-Compressed air - Electricity</t>
  </si>
  <si>
    <t>IMIKELC-E</t>
  </si>
  <si>
    <t>Industry-Mining SIC2-Elec Heating - Electricity</t>
  </si>
  <si>
    <t>YEAR</t>
  </si>
  <si>
    <t>E2032</t>
  </si>
  <si>
    <t>E2028</t>
  </si>
  <si>
    <t>E2024</t>
  </si>
  <si>
    <t>E2020</t>
  </si>
  <si>
    <t>E2016</t>
  </si>
  <si>
    <t>E2012</t>
  </si>
  <si>
    <t>E2006</t>
  </si>
  <si>
    <t>L2006</t>
  </si>
  <si>
    <t>Scenarios</t>
  </si>
  <si>
    <t>Base Efficiency</t>
  </si>
  <si>
    <t>Share</t>
  </si>
  <si>
    <t>Standards</t>
  </si>
  <si>
    <t>Auditing</t>
  </si>
  <si>
    <t>Finance</t>
  </si>
  <si>
    <t>NEEA</t>
  </si>
  <si>
    <t>Boiler Fuel Lower Limits</t>
  </si>
  <si>
    <t>Boiler Fuel Upper Limits</t>
  </si>
  <si>
    <t>Process agent</t>
  </si>
  <si>
    <t>Boiler heat</t>
  </si>
  <si>
    <t>Compressed Air</t>
  </si>
  <si>
    <t>High Temp Heat</t>
  </si>
  <si>
    <t>c</t>
  </si>
  <si>
    <t>trajectory</t>
  </si>
  <si>
    <t>Chemical</t>
  </si>
  <si>
    <t>Boiler/process heating</t>
  </si>
  <si>
    <t>Check</t>
  </si>
  <si>
    <t>Demand_Code</t>
  </si>
  <si>
    <t>Demand_Name</t>
  </si>
  <si>
    <t>Sector Savings Summary</t>
  </si>
  <si>
    <t>Sector_Code</t>
  </si>
  <si>
    <t>Sector_Name</t>
  </si>
  <si>
    <t>DOE energy balance</t>
  </si>
  <si>
    <t>* Fuel #</t>
  </si>
  <si>
    <t>Biomass Bagasse</t>
  </si>
  <si>
    <t>Coking coal</t>
  </si>
  <si>
    <t>SACC</t>
  </si>
  <si>
    <t>COMBUSTION</t>
  </si>
  <si>
    <t>PROCESS</t>
  </si>
  <si>
    <t>note: iferror in formulae avoids compotational errors associated with blank cells</t>
  </si>
  <si>
    <t xml:space="preserve"> final demand</t>
  </si>
  <si>
    <t>final demand</t>
  </si>
  <si>
    <t>"=iferror(SUM(share)/SUM(efficiency),0)"</t>
  </si>
  <si>
    <t xml:space="preserve">for each subsector and year = PROCESS HEAT * tech share" </t>
  </si>
  <si>
    <t>useful demand non-CHP boilers</t>
  </si>
  <si>
    <t>final demand: CHP by fuel share</t>
  </si>
  <si>
    <t>=  useful subsector heat demand  less CHP supplied</t>
  </si>
  <si>
    <t>final demand: Electrical Plant</t>
  </si>
  <si>
    <t>Compute Other (e.g. diesel and process chemicals) energy demand</t>
  </si>
  <si>
    <t>Compute CHP energy demand</t>
  </si>
  <si>
    <t>Compute process heat energy demand less CHP share</t>
  </si>
  <si>
    <t>Compute electrical plant energy demand less CHP share</t>
  </si>
  <si>
    <t>SATIM Fuel Code</t>
  </si>
  <si>
    <t>Process Heat</t>
  </si>
  <si>
    <t>Electrical Plant</t>
  </si>
  <si>
    <t>Iron  &amp; Steel  - 352</t>
  </si>
  <si>
    <t>Mining SIC3</t>
  </si>
  <si>
    <t>Chemicals, Transport &amp; Other</t>
  </si>
  <si>
    <t>End-use Demands</t>
  </si>
  <si>
    <t>Useful demand</t>
  </si>
  <si>
    <t xml:space="preserve">Source: SATIM industrial sector emissions data. </t>
  </si>
  <si>
    <t>IND.a</t>
  </si>
  <si>
    <r>
      <t>Mt CO</t>
    </r>
    <r>
      <rPr>
        <b/>
        <vertAlign val="subscript"/>
        <sz val="10"/>
        <rFont val="Cambria"/>
        <family val="1"/>
        <scheme val="minor"/>
      </rPr>
      <t>2</t>
    </r>
    <r>
      <rPr>
        <b/>
        <sz val="10"/>
        <rFont val="Cambria"/>
        <family val="1"/>
        <scheme val="minor"/>
      </rPr>
      <t>e</t>
    </r>
  </si>
  <si>
    <t>SATIM Code</t>
  </si>
  <si>
    <t>Industry Total</t>
  </si>
  <si>
    <t xml:space="preserve">Baseline useful energy consumption </t>
  </si>
  <si>
    <t xml:space="preserve">Baseline final energy consumption </t>
  </si>
  <si>
    <t>Trajectory summary</t>
  </si>
  <si>
    <t>Other Waste</t>
  </si>
  <si>
    <t>LTMS</t>
  </si>
  <si>
    <t>CG</t>
  </si>
  <si>
    <t>CT</t>
  </si>
  <si>
    <t>Public Lights</t>
  </si>
  <si>
    <t>Public Water</t>
  </si>
  <si>
    <t>Public lights</t>
  </si>
  <si>
    <t>Public water</t>
  </si>
  <si>
    <t>CSP</t>
  </si>
  <si>
    <t>Coal and biomass</t>
  </si>
  <si>
    <t>Centralised PV</t>
  </si>
  <si>
    <t>OAG</t>
  </si>
  <si>
    <t>WND</t>
  </si>
  <si>
    <t>SOL</t>
  </si>
  <si>
    <t>OTH</t>
  </si>
  <si>
    <t>OCR</t>
  </si>
  <si>
    <t>NUC</t>
  </si>
  <si>
    <t>HYD</t>
  </si>
  <si>
    <t>HEN</t>
  </si>
  <si>
    <t>HEE</t>
  </si>
  <si>
    <t>HET</t>
  </si>
  <si>
    <t>GRR</t>
  </si>
  <si>
    <t>GHP</t>
  </si>
  <si>
    <t>GHR</t>
  </si>
  <si>
    <t>GIP</t>
  </si>
  <si>
    <t>GIR</t>
  </si>
  <si>
    <t>GNP</t>
  </si>
  <si>
    <t>GNR</t>
  </si>
  <si>
    <t>GLT</t>
  </si>
  <si>
    <t>GLI</t>
  </si>
  <si>
    <t>GLR</t>
  </si>
  <si>
    <t>GAR</t>
  </si>
  <si>
    <t>GSP</t>
  </si>
  <si>
    <t>GMS</t>
  </si>
  <si>
    <t>GMM</t>
  </si>
  <si>
    <t>EPN</t>
  </si>
  <si>
    <t>EPE</t>
  </si>
  <si>
    <t>ELCC</t>
  </si>
  <si>
    <t>CMN</t>
  </si>
  <si>
    <t>CME</t>
  </si>
  <si>
    <t>CLN</t>
  </si>
  <si>
    <t>CLR</t>
  </si>
  <si>
    <t>CLE</t>
  </si>
  <si>
    <t>CLD</t>
  </si>
  <si>
    <t>BIO</t>
  </si>
  <si>
    <r>
      <t>NOX(Mt CO</t>
    </r>
    <r>
      <rPr>
        <b/>
        <vertAlign val="subscript"/>
        <sz val="10"/>
        <color theme="1"/>
        <rFont val="Cambria"/>
        <family val="1"/>
        <scheme val="minor"/>
      </rPr>
      <t>2</t>
    </r>
    <r>
      <rPr>
        <b/>
        <sz val="10"/>
        <color theme="1"/>
        <rFont val="Cambria"/>
        <family val="1"/>
        <scheme val="minor"/>
      </rPr>
      <t>e)</t>
    </r>
  </si>
  <si>
    <r>
      <t>SOX(Mt CO</t>
    </r>
    <r>
      <rPr>
        <b/>
        <vertAlign val="subscript"/>
        <sz val="10"/>
        <color theme="1"/>
        <rFont val="Cambria"/>
        <family val="1"/>
        <scheme val="minor"/>
      </rPr>
      <t>2</t>
    </r>
    <r>
      <rPr>
        <b/>
        <sz val="10"/>
        <color theme="1"/>
        <rFont val="Cambria"/>
        <family val="1"/>
        <scheme val="minor"/>
      </rPr>
      <t>e)</t>
    </r>
  </si>
  <si>
    <t>BID</t>
  </si>
  <si>
    <t>BIE</t>
  </si>
  <si>
    <t>BIG</t>
  </si>
  <si>
    <t>P10R</t>
  </si>
  <si>
    <t>NMVR</t>
  </si>
  <si>
    <t>CMOR</t>
  </si>
  <si>
    <t>NOXR</t>
  </si>
  <si>
    <t>SOXR</t>
  </si>
  <si>
    <t>N2OR</t>
  </si>
  <si>
    <t>CH4R</t>
  </si>
  <si>
    <t>CO2R</t>
  </si>
  <si>
    <t>P10S</t>
  </si>
  <si>
    <t>NMVS</t>
  </si>
  <si>
    <t>CMOX</t>
  </si>
  <si>
    <t>NOXS</t>
  </si>
  <si>
    <t>SOXS</t>
  </si>
  <si>
    <t>N2OS</t>
  </si>
  <si>
    <t>CH4S</t>
  </si>
  <si>
    <t>CO2S</t>
  </si>
  <si>
    <t>PM10 Region</t>
  </si>
  <si>
    <t>NMVOCs Region</t>
  </si>
  <si>
    <t>Carbon monoxide Region</t>
  </si>
  <si>
    <t>Nitrogen gases Region</t>
  </si>
  <si>
    <t>Sulphur gases Region</t>
  </si>
  <si>
    <t>Nitrous Oxide Region</t>
  </si>
  <si>
    <t>Methane Region</t>
  </si>
  <si>
    <t>Carbon dioxide Region</t>
  </si>
  <si>
    <t>PM10 South Africa</t>
  </si>
  <si>
    <t>NMVOCs South Africa</t>
  </si>
  <si>
    <t>Carbon monoxide South Africa</t>
  </si>
  <si>
    <t>Nitrogen gases South Africa</t>
  </si>
  <si>
    <t>Sulphur gases South Africa</t>
  </si>
  <si>
    <t>Nitrous Oxide South Africa</t>
  </si>
  <si>
    <t>Methane South Africa</t>
  </si>
  <si>
    <t>Carbon dioxide South Africa</t>
  </si>
  <si>
    <t>Source GHG: IPPC National GHG Guideline 2006 - kTon/PJ = ton/TJ</t>
  </si>
  <si>
    <t>Domestic transportation</t>
  </si>
  <si>
    <t>Average</t>
  </si>
  <si>
    <t>GDP</t>
  </si>
  <si>
    <t>Lighting, Water heating, Appliances</t>
  </si>
  <si>
    <t>Space heating, Refridgeration, cooking</t>
  </si>
  <si>
    <t>Petroleum CTL</t>
  </si>
  <si>
    <t>Petroleum GTL</t>
  </si>
  <si>
    <t>Energy Data for Existing Sasol and Other Refineries in 2006 as well as Future Projects</t>
  </si>
  <si>
    <t>Key</t>
  </si>
  <si>
    <t>Available/Sourced Data Input</t>
  </si>
  <si>
    <t>Real Discount Rate</t>
  </si>
  <si>
    <t>Result to be used in model</t>
  </si>
  <si>
    <t>Raw Data - SASOL Existing</t>
  </si>
  <si>
    <t>Model Input Data Sasol Existing</t>
  </si>
  <si>
    <t>UCTLCMEIN-E</t>
  </si>
  <si>
    <t>LTMS model data</t>
  </si>
  <si>
    <t>Coal Use</t>
  </si>
  <si>
    <t>emis factors (LTMS)</t>
  </si>
  <si>
    <t>ktCO2</t>
  </si>
  <si>
    <t>Total Coal Mined</t>
  </si>
  <si>
    <t>Mton</t>
  </si>
  <si>
    <t>Analyst Book Dec 2006</t>
  </si>
  <si>
    <t>Synthetic Fuels</t>
  </si>
  <si>
    <t>DSL</t>
  </si>
  <si>
    <t>Coal Material Input</t>
  </si>
  <si>
    <t>FAL</t>
  </si>
  <si>
    <t>Synfuels</t>
  </si>
  <si>
    <t>Gas Material Input</t>
  </si>
  <si>
    <t>JFL</t>
  </si>
  <si>
    <t>Export</t>
  </si>
  <si>
    <t>External Dom Use</t>
  </si>
  <si>
    <t>Gas Heat Input</t>
  </si>
  <si>
    <t>MRG</t>
  </si>
  <si>
    <t>Coal Steam (process heat)</t>
  </si>
  <si>
    <t>PAR</t>
  </si>
  <si>
    <t>Coal Calorific Value Estimation</t>
  </si>
  <si>
    <t>Coal Steam (Stoich)</t>
  </si>
  <si>
    <t>PET</t>
  </si>
  <si>
    <t>Synfuel Material Use (DAF)</t>
  </si>
  <si>
    <t>kton</t>
  </si>
  <si>
    <t>Sustainability Report 2009</t>
  </si>
  <si>
    <t>Coal Steam (Power Gen)</t>
  </si>
  <si>
    <t>Dry Ash Free to Run of Mine ratio [DAF:ROM]</t>
  </si>
  <si>
    <t>Pers Comm Sasol</t>
  </si>
  <si>
    <t>Total Heat Input</t>
  </si>
  <si>
    <t>SSF Material Use (ROM)</t>
  </si>
  <si>
    <t>Elc from Eskom (Indirect Emissions)</t>
  </si>
  <si>
    <t>Energy Use (ROM)</t>
  </si>
  <si>
    <t>Self Generated Electricity</t>
  </si>
  <si>
    <t>Total Coal Energy Input</t>
  </si>
  <si>
    <t>Total Utility Emissions</t>
  </si>
  <si>
    <t>Coal Calorific Value (Synfuels)</t>
  </si>
  <si>
    <t>GJ/ton</t>
  </si>
  <si>
    <t>Total Direct Emissions</t>
  </si>
  <si>
    <t>Process Emissions</t>
  </si>
  <si>
    <t>Sasol Coal Boilers Efficiency Estimation</t>
  </si>
  <si>
    <t>Energy Products Output</t>
  </si>
  <si>
    <t>Efficiency Calculation</t>
  </si>
  <si>
    <t>Avgas</t>
  </si>
  <si>
    <t>Lloyd PJD 2001</t>
  </si>
  <si>
    <t>Energy Content of Steam:</t>
  </si>
  <si>
    <t>MJ/ton</t>
  </si>
  <si>
    <t>CO2 emissions from steam:</t>
  </si>
  <si>
    <t>tonsCO2/tonSt</t>
  </si>
  <si>
    <t>Methane Rich Gas</t>
  </si>
  <si>
    <t>tonsCO2/TJ</t>
  </si>
  <si>
    <t>Kerosene/Jet Fuel/paraffin</t>
  </si>
  <si>
    <t>CO2 emission from coal:</t>
  </si>
  <si>
    <t>Efficiency:</t>
  </si>
  <si>
    <t>Gasoline/Petrol</t>
  </si>
  <si>
    <t>KJ/kg</t>
  </si>
  <si>
    <t>kgC/kg</t>
  </si>
  <si>
    <t>kgCO2/kg</t>
  </si>
  <si>
    <t>kgCO2/GJ</t>
  </si>
  <si>
    <t>Non Energy (alcohols)</t>
  </si>
  <si>
    <t>Ethanol:</t>
  </si>
  <si>
    <t>Steam use</t>
  </si>
  <si>
    <t>Steam</t>
  </si>
  <si>
    <t>Total Energy Input</t>
  </si>
  <si>
    <t>Share of Steam going to Power Gen</t>
  </si>
  <si>
    <t>Steam going to Power Generation</t>
  </si>
  <si>
    <t>UCTLCMEIN-EEFF</t>
  </si>
  <si>
    <t>Overall Efficiency</t>
  </si>
  <si>
    <t>Installed Capacity Sasolburg (Chemicals)</t>
  </si>
  <si>
    <t>ESI Stats</t>
  </si>
  <si>
    <t>Input Shares (energy)</t>
  </si>
  <si>
    <t>Installed Capacity Secunda (SSF)</t>
  </si>
  <si>
    <t>UCTLCMEIN-ECME</t>
  </si>
  <si>
    <t>UCTLCMEIN-EGMM</t>
  </si>
  <si>
    <t>Steam going to Power Gen Chem (Sasolburg)</t>
  </si>
  <si>
    <t>Other steam going to Chemicals (Sasolburg)</t>
  </si>
  <si>
    <t>UCTLCMEIN-EHEE</t>
  </si>
  <si>
    <t>Steam Input (Stoich+heat)</t>
  </si>
  <si>
    <t>UCTLCMEIN-EELC</t>
  </si>
  <si>
    <t>Electricity Input</t>
  </si>
  <si>
    <t>Total steam going to SSF</t>
  </si>
  <si>
    <t>Output Shares (energy)</t>
  </si>
  <si>
    <t>Share of Steam used in SSF Process (Stoich)</t>
  </si>
  <si>
    <t>UCTLCMEIN-EOAG</t>
  </si>
  <si>
    <t>Steam used in SSF Process (Stoic)</t>
  </si>
  <si>
    <t>UCTLCMEIN-EODS</t>
  </si>
  <si>
    <t>Steam used for Power Gen</t>
  </si>
  <si>
    <t>UCTLCMEIN-EGRR</t>
  </si>
  <si>
    <t>Steam used for Process heat</t>
  </si>
  <si>
    <t>UCTLCMEIN-EOKE</t>
  </si>
  <si>
    <t>UCTLCMEIN-EOLP</t>
  </si>
  <si>
    <t>Electricity Use</t>
  </si>
  <si>
    <t>UCTLCMEIN-EOGS</t>
  </si>
  <si>
    <t>Total Electricity Purchased</t>
  </si>
  <si>
    <t>UCTLCMEIN-EOTH</t>
  </si>
  <si>
    <t>International share</t>
  </si>
  <si>
    <t>Mining share</t>
  </si>
  <si>
    <t>UCTLCMEIN-ECO2</t>
  </si>
  <si>
    <t>Process emission factor CO2</t>
  </si>
  <si>
    <t>kton/PJout</t>
  </si>
  <si>
    <t>Chemicas share</t>
  </si>
  <si>
    <t>UCTLCMEIN-ECH4</t>
  </si>
  <si>
    <t>Process emission factor CH4</t>
  </si>
  <si>
    <t>Natref share</t>
  </si>
  <si>
    <t>UCTLCMEIN-EAFA</t>
  </si>
  <si>
    <t>Synfuels share</t>
  </si>
  <si>
    <t>UCTLCMEIN-ERESID</t>
  </si>
  <si>
    <t>RESID</t>
  </si>
  <si>
    <t>Capacity (in terms of energy products)</t>
  </si>
  <si>
    <t>PJ/annum</t>
  </si>
  <si>
    <t>UCTLCMEIN-EVAROM</t>
  </si>
  <si>
    <t>VAROM</t>
  </si>
  <si>
    <t>Operating Costs (excl.fuel)</t>
  </si>
  <si>
    <t>mR/PJ</t>
  </si>
  <si>
    <t>Purchased Electricity</t>
  </si>
  <si>
    <t>UCTLCMEIN-ELC_2006</t>
  </si>
  <si>
    <t>LC_2006</t>
  </si>
  <si>
    <t>Levelised Cost of products (current fuel price)</t>
  </si>
  <si>
    <t>R/GJ</t>
  </si>
  <si>
    <t>UCTLCMEIN-ELC_Future</t>
  </si>
  <si>
    <t>LC_Future</t>
  </si>
  <si>
    <t>Levelised Cost of products (IRP fuel price)</t>
  </si>
  <si>
    <t>Mining</t>
  </si>
  <si>
    <t>Natref</t>
  </si>
  <si>
    <t>UREFOCRIN-E</t>
  </si>
  <si>
    <t>Material Input: Crude (ii)</t>
  </si>
  <si>
    <t>[Other Refineries]</t>
  </si>
  <si>
    <t>Total Input</t>
  </si>
  <si>
    <t>Generated Electricity</t>
  </si>
  <si>
    <t>Sustainability report 2006</t>
  </si>
  <si>
    <t>Lloyd PJD 2001 scaled by change of capacity (91-108 '000 bbl/day)</t>
  </si>
  <si>
    <t>Efficiency (steam to elc)</t>
  </si>
  <si>
    <t>Efficiency (coal to elc)</t>
  </si>
  <si>
    <t>Natural Gas Use</t>
  </si>
  <si>
    <t>Non Energy Products</t>
  </si>
  <si>
    <t>Total Natural Gas</t>
  </si>
  <si>
    <t>Synfuel Material Use</t>
  </si>
  <si>
    <t>UREFOCRIN-EEFF</t>
  </si>
  <si>
    <t>Chemicals Material Use</t>
  </si>
  <si>
    <t>Chemicals Heat</t>
  </si>
  <si>
    <t>UREFOCRIN-EOCR</t>
  </si>
  <si>
    <t>UREFOCRIN-EELC</t>
  </si>
  <si>
    <t>Crude Oil Natref</t>
  </si>
  <si>
    <t>Material Input (Crude)</t>
  </si>
  <si>
    <t>kTons (ktoe)</t>
  </si>
  <si>
    <t>UREFOCRIN-EODS</t>
  </si>
  <si>
    <t>Energy Density of Crude</t>
  </si>
  <si>
    <t>TJ/ktoe</t>
  </si>
  <si>
    <t>DOE EB 2006</t>
  </si>
  <si>
    <t>UREFOCRIN-EOHF</t>
  </si>
  <si>
    <t>Energy input Crude (i)</t>
  </si>
  <si>
    <t>UREFOCRIN-EOKE</t>
  </si>
  <si>
    <t>m3</t>
  </si>
  <si>
    <t>UREFOCRIN-EOLP</t>
  </si>
  <si>
    <t>Density of Crude</t>
  </si>
  <si>
    <t>t/m3</t>
  </si>
  <si>
    <t>Lloyd, PJD, 2001. The South African Petroleum Industry: A Review, Energy Research Institute, University of Cape Town</t>
  </si>
  <si>
    <t>UREFOCRIN-EOGS</t>
  </si>
  <si>
    <t>Energy input Crude (ii)</t>
  </si>
  <si>
    <t>UREFOCRIN-EOTH</t>
  </si>
  <si>
    <t>UREFOCRIN-ECO2</t>
  </si>
  <si>
    <t>UREFOCRIN-EAFA</t>
  </si>
  <si>
    <t>UREFOCRIN-ERESID</t>
  </si>
  <si>
    <t>Emissions 2006 (From "CY2006 slide for SSF direct emissions")</t>
  </si>
  <si>
    <t>CH4 (T)</t>
  </si>
  <si>
    <t>N2O (T)</t>
  </si>
  <si>
    <t>CO2 direct (kt)</t>
  </si>
  <si>
    <t>CO2 Indirect (kT)</t>
  </si>
  <si>
    <t>UREFOCRIN-EVAROM</t>
  </si>
  <si>
    <t>Operating Costs</t>
  </si>
  <si>
    <t>UREFOCRIN-ELC_2006</t>
  </si>
  <si>
    <t>Levelised Cost Product (no capital - 2006)</t>
  </si>
  <si>
    <t>UREFOCRIN-ELC_Future</t>
  </si>
  <si>
    <t>Levelised cost Product (100$/bbl, IRP)</t>
  </si>
  <si>
    <t>Energy Input</t>
  </si>
  <si>
    <t>Fuel Prices (2005 Rands)</t>
  </si>
  <si>
    <t>Steam (process heat)</t>
  </si>
  <si>
    <t>Conversion from 2006 to 2005 Rands</t>
  </si>
  <si>
    <t>Steam (Power Gen)</t>
  </si>
  <si>
    <t>Conversion from 2010 to 2006 Rands</t>
  </si>
  <si>
    <t>Electricity Purchased</t>
  </si>
  <si>
    <t>Conversion from 2003 to 2005 Rands</t>
  </si>
  <si>
    <t>Gas (heat)</t>
  </si>
  <si>
    <t>SSF Coal Price</t>
  </si>
  <si>
    <t>R/ton</t>
  </si>
  <si>
    <t>Natural Gas Material Input</t>
  </si>
  <si>
    <t>IRP Coal Price</t>
  </si>
  <si>
    <t>IRP</t>
  </si>
  <si>
    <t>Chemicals Coal Price</t>
  </si>
  <si>
    <t>Heat (natural gas)</t>
  </si>
  <si>
    <t>Mozambique Natual Gas Price</t>
  </si>
  <si>
    <t>Other Direct (Process emission?)</t>
  </si>
  <si>
    <t>kTCO2</t>
  </si>
  <si>
    <t>IRP LNG Price</t>
  </si>
  <si>
    <t>KTCH4</t>
  </si>
  <si>
    <t>Average Crude Price in 2006</t>
  </si>
  <si>
    <t>http://www.marketoracle.co.uk/Article5902.html</t>
  </si>
  <si>
    <t>KTN2O</t>
  </si>
  <si>
    <t>Average Exchange Rate 2006</t>
  </si>
  <si>
    <t>R/$</t>
  </si>
  <si>
    <t>http://www.chartflow.com/fx/historybasic.asp</t>
  </si>
  <si>
    <t>1 barrel = 0.136 tons = 42.66*.136 GJ</t>
  </si>
  <si>
    <t>GJ/bbl</t>
  </si>
  <si>
    <t>Crude Price (100$/bbl)</t>
  </si>
  <si>
    <t>Electricity Price</t>
  </si>
  <si>
    <t>IRP Electricity Price</t>
  </si>
  <si>
    <t>Natref (excl. Fuel)</t>
  </si>
  <si>
    <t>SSF (incl. Fuel)</t>
  </si>
  <si>
    <t>mR</t>
  </si>
  <si>
    <t>Coal Costs (excl. elc gen)</t>
  </si>
  <si>
    <t>Natural Gas Costs</t>
  </si>
  <si>
    <t>Electricity Costs</t>
  </si>
  <si>
    <t>SSF (excl. Fuel)</t>
  </si>
  <si>
    <t>Raw Data - Sasol New CTL (Mafutha)</t>
  </si>
  <si>
    <t>Model Input Data - Sasol New CTL (Mafutha)</t>
  </si>
  <si>
    <t>UCTLCMNIN-N</t>
  </si>
  <si>
    <t>UCTLCMNIN-NRESID</t>
  </si>
  <si>
    <t>Capacity of new CTL</t>
  </si>
  <si>
    <t>PJ/a</t>
  </si>
  <si>
    <t>bbl/day</t>
  </si>
  <si>
    <t>UCTLCMNIN-NEFF</t>
  </si>
  <si>
    <t>Assume a 5% improvement in overall efficiency compared to Secunda</t>
  </si>
  <si>
    <t>Product Split</t>
  </si>
  <si>
    <t>(in energy terms)</t>
  </si>
  <si>
    <t>Coal Steam Efficiency</t>
  </si>
  <si>
    <t>Assume a 5% improvement on boiler efficiency</t>
  </si>
  <si>
    <t>UCTLCMNIN-NCMN</t>
  </si>
  <si>
    <t>UCTLCMNIN-NGMM</t>
  </si>
  <si>
    <t>UCTLCMNIN-NHEN</t>
  </si>
  <si>
    <t>UCTLCMNIN-NELC</t>
  </si>
  <si>
    <t>Output Product Split (energy)</t>
  </si>
  <si>
    <t>UCTLCMNIN-NOAG</t>
  </si>
  <si>
    <t>Total Investment Cost</t>
  </si>
  <si>
    <t>Billions</t>
  </si>
  <si>
    <t>UCTLCMNIN-NODS</t>
  </si>
  <si>
    <t>UCTLCMNIN-NGRR</t>
  </si>
  <si>
    <t>UCTLCMNIN-NOKE</t>
  </si>
  <si>
    <t>UCTLCMNIN-NOLP</t>
  </si>
  <si>
    <t>UCTLCMNIN-NOGS</t>
  </si>
  <si>
    <t>UCTLCMNIN-NOTH</t>
  </si>
  <si>
    <t>UCTLCMNIN-NCO2</t>
  </si>
  <si>
    <t>UCTLCMNIN-NCH4</t>
  </si>
  <si>
    <t>UCTLCMNIN-NAFA</t>
  </si>
  <si>
    <t>UCTLCMNIN-NStart</t>
  </si>
  <si>
    <t>First Year</t>
  </si>
  <si>
    <t>UCTLCMNIN-NINVCOST</t>
  </si>
  <si>
    <t>mR/Pja</t>
  </si>
  <si>
    <t>UCTLCMNIN-NVAROM</t>
  </si>
  <si>
    <t>Running Cost</t>
  </si>
  <si>
    <t>UCTLCMNIN-NLife</t>
  </si>
  <si>
    <t>Weighted avg fuel (current fuel price)</t>
  </si>
  <si>
    <t>UCTLCMNIN-NLC_2006</t>
  </si>
  <si>
    <t>Weighted avg fuel (IRP fuel price)</t>
  </si>
  <si>
    <t>UCTLCMNIN-NLC_Future</t>
  </si>
  <si>
    <t>Raw Data - Other Refineries</t>
  </si>
  <si>
    <t>Model Input Data - Other Refineries</t>
  </si>
  <si>
    <t>SACC Input Data - Combined Refineries (coastal &amp; inland)</t>
  </si>
  <si>
    <t>Coastal Crude Refineries - Existing</t>
  </si>
  <si>
    <t>Coastal Crude Refineries</t>
  </si>
  <si>
    <t>UREFOCRCO-E</t>
  </si>
  <si>
    <t>Total Crude Oil Imported</t>
  </si>
  <si>
    <t>Energy Balance 2006</t>
  </si>
  <si>
    <t>Domestic Production of Crude</t>
  </si>
  <si>
    <t>availibility</t>
  </si>
  <si>
    <t>Methane Rich Gas Input</t>
  </si>
  <si>
    <t>Sasol Gas Sales</t>
  </si>
  <si>
    <t>UREFOCRCO-EGRR</t>
  </si>
  <si>
    <t>Methane Rich Gas Input Share</t>
  </si>
  <si>
    <t>Estimate based on Natref</t>
  </si>
  <si>
    <t>UREFOCRCO-EELC</t>
  </si>
  <si>
    <t>Electricity Input Share</t>
  </si>
  <si>
    <t>Crude Input</t>
  </si>
  <si>
    <t>UREFOCRCO-EOCR</t>
  </si>
  <si>
    <t>Material Input Crude Share</t>
  </si>
  <si>
    <t>Crude</t>
  </si>
  <si>
    <t>UREFOCRCO-EEFF</t>
  </si>
  <si>
    <t>Energy Products Output Share</t>
  </si>
  <si>
    <t>AvGas</t>
  </si>
  <si>
    <t>UREFOCRCO-EOAG</t>
  </si>
  <si>
    <t>UREFOCRCO-EODS</t>
  </si>
  <si>
    <t>UREFOCRCO-EOHF</t>
  </si>
  <si>
    <t>Kerosene/jet fuel/paraffin</t>
  </si>
  <si>
    <t>UREFOCRCO-EOKE</t>
  </si>
  <si>
    <t>UREFOCRCO-EOLP</t>
  </si>
  <si>
    <t>UREFOCRCO-EOGS</t>
  </si>
  <si>
    <t>Other non energy</t>
  </si>
  <si>
    <t>UREFOCRCO-EOTH</t>
  </si>
  <si>
    <t>Total products</t>
  </si>
  <si>
    <t>UREFOCRCO-EAFA</t>
  </si>
  <si>
    <t>Total energy products</t>
  </si>
  <si>
    <t>UREFOCRCO-ECO2</t>
  </si>
  <si>
    <t>kt/Pjout</t>
  </si>
  <si>
    <t>UREFOCRCO-ERESID</t>
  </si>
  <si>
    <t>Running Costs</t>
  </si>
  <si>
    <t>UREFOCRCO-EVAROM</t>
  </si>
  <si>
    <t>UREFOCRCO-ELC_2006</t>
  </si>
  <si>
    <t>UREFOCRCO-ELC_Future</t>
  </si>
  <si>
    <t>Coastal Crude Refineries - New (Mthombo)</t>
  </si>
  <si>
    <t>UREFOCRCO-N</t>
  </si>
  <si>
    <t>DOE, PROJECT MTHOMBO UPDATE FOR SELECT COMMITTEE FOR ECONOMIC DEVELOPMENT, Jan 2011</t>
  </si>
  <si>
    <t>Pja</t>
  </si>
  <si>
    <t>UREFOCRCO-NStart</t>
  </si>
  <si>
    <t>Capital Cost</t>
  </si>
  <si>
    <t>bR2010</t>
  </si>
  <si>
    <t>UREFOCRCO-NGRR</t>
  </si>
  <si>
    <t>bR2005</t>
  </si>
  <si>
    <t>UREFOCRCO-NELC</t>
  </si>
  <si>
    <t>Energy Products Output Share (flexible)</t>
  </si>
  <si>
    <t>UREFOCRCO-NOCR</t>
  </si>
  <si>
    <t>Diesel (up)</t>
  </si>
  <si>
    <t>UREFOCRCO-NEFF</t>
  </si>
  <si>
    <t>Kerosene/jet fuel/paraffin (up)</t>
  </si>
  <si>
    <t>UREFOCRCO-NOAG</t>
  </si>
  <si>
    <t>LPG (up)</t>
  </si>
  <si>
    <t>UREFOCRCO-NODS</t>
  </si>
  <si>
    <t>Gasoline (up)</t>
  </si>
  <si>
    <t>UREFOCRCO-NOHF</t>
  </si>
  <si>
    <t>UREFOCRCO-NOKE</t>
  </si>
  <si>
    <t>UREFOCRCO-NOLP</t>
  </si>
  <si>
    <t>UREFOCRCO-NOGS</t>
  </si>
  <si>
    <t>UREFOCRCO-NOTH</t>
  </si>
  <si>
    <t>UREFOCRCO-NAFA</t>
  </si>
  <si>
    <t>UREFOCRCO-NRESID</t>
  </si>
  <si>
    <t>UREFOCRCO-NCO2</t>
  </si>
  <si>
    <t>UREFOCRCO-NVAROM</t>
  </si>
  <si>
    <t>mR/Pj</t>
  </si>
  <si>
    <t>UREFOCRCO-NINVCOST</t>
  </si>
  <si>
    <t>UREFOCRCO-NLife</t>
  </si>
  <si>
    <t>UREFOCRCO-NLC_2006</t>
  </si>
  <si>
    <t>UREFOCRCO-NLC_Future</t>
  </si>
  <si>
    <t>GTL Existing - Petro SA</t>
  </si>
  <si>
    <t>UGTLGMMCO-E</t>
  </si>
  <si>
    <t>UGTLGMMCO-EGMM</t>
  </si>
  <si>
    <t>Material Input Gas Share</t>
  </si>
  <si>
    <t>Grid Electricity</t>
  </si>
  <si>
    <t>Total Domestic Gas Input</t>
  </si>
  <si>
    <t>Product Output</t>
  </si>
  <si>
    <t>Petro SA Annual report 2006</t>
  </si>
  <si>
    <t>UGTLGMMCO-EEFF</t>
  </si>
  <si>
    <t>UGTLGMMCO-EOAG</t>
  </si>
  <si>
    <t>UGTLGMMCO-EODS</t>
  </si>
  <si>
    <t>UGTLGMMCO-EOHF</t>
  </si>
  <si>
    <t>UGTLGMMCO-EOKE</t>
  </si>
  <si>
    <t>UGTLGMMCO-EOLP</t>
  </si>
  <si>
    <t>UGTLGMMCO-EOGS</t>
  </si>
  <si>
    <t>UGTLGMMCO-EOTH</t>
  </si>
  <si>
    <t>UGTLGMMCO-EAFA</t>
  </si>
  <si>
    <t>UGTLGMMCO-ERESID</t>
  </si>
  <si>
    <t>UGTLGMMCO-EVAROM</t>
  </si>
  <si>
    <t>UGTLGMMCO-ELC_2006</t>
  </si>
  <si>
    <t>Total Energy Products</t>
  </si>
  <si>
    <t>UGTLGMMCO-ELC_Future</t>
  </si>
  <si>
    <t>Summary</t>
  </si>
  <si>
    <t>Sasol CTL</t>
  </si>
  <si>
    <t>Inland Crude Existing</t>
  </si>
  <si>
    <t>Coastal Crude Existing</t>
  </si>
  <si>
    <t>PetroSA GTL</t>
  </si>
  <si>
    <t>Mafutha</t>
  </si>
  <si>
    <t>Mthombo</t>
  </si>
  <si>
    <t>Capacity in terms of outpus</t>
  </si>
  <si>
    <t>Running Costs per unit of output</t>
  </si>
  <si>
    <t>mR/PJa</t>
  </si>
  <si>
    <t>Lev. Cost of Production (in 2006)</t>
  </si>
  <si>
    <t>Lev. Cost of production (with IRP/100$/bbl)</t>
  </si>
  <si>
    <r>
      <t>Mt CO</t>
    </r>
    <r>
      <rPr>
        <vertAlign val="subscript"/>
        <sz val="10"/>
        <color rgb="FFFF0000"/>
        <rFont val="Cambria"/>
        <family val="1"/>
        <scheme val="minor"/>
      </rPr>
      <t>2</t>
    </r>
    <r>
      <rPr>
        <sz val="10"/>
        <color rgb="FFFF0000"/>
        <rFont val="Cambria"/>
        <family val="1"/>
        <scheme val="minor"/>
      </rPr>
      <t>e</t>
    </r>
  </si>
  <si>
    <t xml:space="preserve">Electricity </t>
  </si>
  <si>
    <t>Electrical plant: EE potential</t>
  </si>
  <si>
    <t>SASA nersa presentation</t>
  </si>
  <si>
    <t>Mondi</t>
  </si>
  <si>
    <t>MWt</t>
  </si>
  <si>
    <t>MWe</t>
  </si>
  <si>
    <t>SATIM fuel code</t>
  </si>
  <si>
    <t>Output index is based on CGE Output and is indexed to 2006=100</t>
  </si>
  <si>
    <t>Relative to existing. Based on 20% Boiler fuel improvement potential in LTMS. Applied across sectors.</t>
  </si>
  <si>
    <t xml:space="preserve">Focussed  on the impact of a migration to  gas and generic waste as alternative fuels. Year 2050 increase relative to base year. </t>
  </si>
  <si>
    <t>base year</t>
  </si>
  <si>
    <t>linear interpolation scaling factor</t>
  </si>
  <si>
    <t xml:space="preserve">= 1/CHP efficiency  *  fuel_type share * (CHP electricty + heat demand) </t>
  </si>
  <si>
    <t>Note: base year refers to fixed assumptions.</t>
  </si>
  <si>
    <t>Mt/PJ</t>
  </si>
  <si>
    <t>Fossil Fuel supply</t>
  </si>
  <si>
    <t>Heavy Fuel Oil</t>
  </si>
  <si>
    <t>Coking coal EF</t>
  </si>
  <si>
    <t>SWH scenario</t>
  </si>
  <si>
    <t>a</t>
  </si>
  <si>
    <t>b</t>
  </si>
  <si>
    <t>SASOL total</t>
  </si>
  <si>
    <t>MJ/kg (Net CalorificValue)</t>
  </si>
  <si>
    <t>Total Material Input</t>
  </si>
  <si>
    <t xml:space="preserve">Total Coal  </t>
  </si>
  <si>
    <t>Total Output</t>
  </si>
  <si>
    <t>Material Input Share</t>
  </si>
  <si>
    <t>Total Products Output</t>
  </si>
  <si>
    <t>total products (TJ)</t>
  </si>
  <si>
    <t>total non-energy product  (TJ)</t>
  </si>
  <si>
    <t>production capacity (PJ)</t>
  </si>
  <si>
    <t>overall efficiency</t>
  </si>
  <si>
    <t>Material input as % of total product</t>
  </si>
  <si>
    <t>Crude: conversion loss</t>
  </si>
  <si>
    <t>Efficiency Improvement</t>
  </si>
  <si>
    <t>Assumed process emissions factors</t>
  </si>
  <si>
    <t>SATIM description</t>
  </si>
  <si>
    <t>Synfuel material</t>
  </si>
  <si>
    <t xml:space="preserve">Biomass </t>
  </si>
  <si>
    <t>Mostly wood</t>
  </si>
  <si>
    <t>Supply of biomass for fuel and other</t>
  </si>
  <si>
    <t>Industrial Wastes EF</t>
  </si>
  <si>
    <t>Emissons Type</t>
  </si>
  <si>
    <t>1d. OTHER</t>
  </si>
  <si>
    <t>CHP type</t>
  </si>
  <si>
    <t>1c.</t>
  </si>
  <si>
    <t>1b. PROCESS HEAT DEMAND</t>
  </si>
  <si>
    <t>1a.  ELECTRICITY DEMAND</t>
  </si>
  <si>
    <t>Useable fraction</t>
  </si>
  <si>
    <t>CHP Type</t>
  </si>
  <si>
    <t>Waste heat recovery</t>
  </si>
  <si>
    <t>Penetration</t>
  </si>
  <si>
    <t>CHP implementation</t>
  </si>
  <si>
    <t>CHP parameters</t>
  </si>
  <si>
    <t>UK Vector</t>
  </si>
  <si>
    <t>Aviation gasoline</t>
  </si>
  <si>
    <t xml:space="preserve">Assumptions: </t>
  </si>
  <si>
    <t>Aviation fuel</t>
  </si>
  <si>
    <t>Municipal wastes (non-biomass fraction)</t>
  </si>
  <si>
    <t>AGR</t>
  </si>
  <si>
    <t>TRAN</t>
  </si>
  <si>
    <t>Occupancy</t>
  </si>
  <si>
    <t xml:space="preserve">Load Factor </t>
  </si>
  <si>
    <t>South African Electricity generation</t>
  </si>
  <si>
    <t xml:space="preserve">Coal and CCS </t>
  </si>
  <si>
    <t>Public Services</t>
  </si>
  <si>
    <t>Existing Building Retrofits for HVAC and Lights</t>
  </si>
  <si>
    <t>Existing Building tech shares mix</t>
  </si>
  <si>
    <t>New Building code Strength</t>
  </si>
  <si>
    <t>TRA.a</t>
  </si>
  <si>
    <t>TRA.b</t>
  </si>
  <si>
    <t>Liquid Fuel Supply</t>
  </si>
  <si>
    <t>CHP share of demand above base year</t>
  </si>
  <si>
    <t>Petroleum Crude Refineries</t>
  </si>
  <si>
    <t>BIO.SUP</t>
  </si>
  <si>
    <t>FOS</t>
  </si>
  <si>
    <t>FOS.SUP</t>
  </si>
  <si>
    <t>FOS.CTL</t>
  </si>
  <si>
    <t>FOS.GTL</t>
  </si>
  <si>
    <t>FOS.REF</t>
  </si>
  <si>
    <t>Mode Shift</t>
  </si>
  <si>
    <t>CHP penetration (by Trajectory)</t>
  </si>
  <si>
    <t>Steam Turbine</t>
  </si>
  <si>
    <t>Source: South African TIMES (SATIM) energy model industrial sector data.</t>
  </si>
  <si>
    <t>Combined Efficiency</t>
  </si>
  <si>
    <t>Top-cycle modifier</t>
  </si>
  <si>
    <t>Heat Recovery Potential</t>
  </si>
  <si>
    <t>Reality Check!</t>
  </si>
  <si>
    <t>Industrial growth index</t>
  </si>
  <si>
    <t>Potential of final to useful  energy ratio:</t>
  </si>
  <si>
    <t>Efficiency of heat recovery power generation</t>
  </si>
  <si>
    <r>
      <t>e</t>
    </r>
    <r>
      <rPr>
        <vertAlign val="subscript"/>
        <sz val="10"/>
        <color theme="1"/>
        <rFont val="Calibri"/>
        <family val="2"/>
        <scheme val="major"/>
      </rPr>
      <t>HRP</t>
    </r>
  </si>
  <si>
    <t>Useful heat adjustor for top-cycle CHP</t>
  </si>
  <si>
    <t>Conceptually top-cycle CHP can represent other prime movers, such as reciprocating engines, using the top-cycle CHP modifier to  set the proportion of useful heat  generated.</t>
  </si>
  <si>
    <t>If ratio &lt;=1 then bottom-cycle CHP otherwise top-cycle CHP</t>
  </si>
  <si>
    <t>Commercial - Cooling - Electricity - Chiller - Existing</t>
  </si>
  <si>
    <t>Commercial - Cooling - Electricity - Central - Existing</t>
  </si>
  <si>
    <t>Commercial - Cooling - Electricity - Heat Pump - Existing</t>
  </si>
  <si>
    <t>Commercial - Cooling - Electricity - Room - Existing</t>
  </si>
  <si>
    <t>Commercial - Cooling - Electricity - Central - New</t>
  </si>
  <si>
    <t>Commercial - Cooling - Electricity - Heat Pump - New</t>
  </si>
  <si>
    <t>Commercial - Space Heating - Coal - Existing</t>
  </si>
  <si>
    <t>Commercial - Space Heating - Electricity - Existing</t>
  </si>
  <si>
    <t>Commercial - Space Heating - Electricity - New</t>
  </si>
  <si>
    <t>Commercial - Cooking - Oil LPG - Existing</t>
  </si>
  <si>
    <t>Commercial - Lighting - Electricity - CFL - Existing</t>
  </si>
  <si>
    <t>Commercial - Lighting - Electricity - FLU - Existing</t>
  </si>
  <si>
    <t>Commercial - Lighting - Electricity - HAL - Existing</t>
  </si>
  <si>
    <t>Commercial - Lighting - Electricity - HID - Existing</t>
  </si>
  <si>
    <t>Commercial - Lighting - Electricity - INC - Existing</t>
  </si>
  <si>
    <t>Commercial - Lighting - Electricity - LED - New</t>
  </si>
  <si>
    <t>Commercial - Refrigeration - Electricity - Existing</t>
  </si>
  <si>
    <t>Commercial - Refrigeration - Electricity - New</t>
  </si>
  <si>
    <t>Commercial - Water Heating - Electricity - Existing</t>
  </si>
  <si>
    <t>Commercial - Water Heating - Coal - Existing</t>
  </si>
  <si>
    <t>Commercial - Water Heating - Oil LPG - Existing</t>
  </si>
  <si>
    <t>Commercial - Water Heating - Electricity - New</t>
  </si>
  <si>
    <t>Commercial - Water Heating - Electricity - HP -New</t>
  </si>
  <si>
    <t>Commercial - Public Lights - Electricity - INC - Existing</t>
  </si>
  <si>
    <t>Commercial - Public Lights - Electricity - HAL - Existing</t>
  </si>
  <si>
    <t>Commercial - Public Lights - Electricity - HPM - Existing</t>
  </si>
  <si>
    <t>Commercial - Public Lights - Electricity - HPS - Existing</t>
  </si>
  <si>
    <t>Commercial - Public Lights - Electricity - MHL - Existing</t>
  </si>
  <si>
    <t>Commercial - Public Lights - Electricity - LED - New</t>
  </si>
  <si>
    <t>Commercial - Public Water - Electricity - 0 - Existing</t>
  </si>
  <si>
    <t>Commercial - Other - Coal - Existing</t>
  </si>
  <si>
    <t>Commercial - Other - Oil Diesel - Existing</t>
  </si>
  <si>
    <t>Commercial - Other - Electricity - Existing</t>
  </si>
  <si>
    <t>Commercial - Other - Gas - Existing</t>
  </si>
  <si>
    <t>Commercial - Other - Oil Gasoline - Existing</t>
  </si>
  <si>
    <t>Commercial - Other - Oil HFO - Existing</t>
  </si>
  <si>
    <t>Commercial - Other - Oil Paraffin - Existing</t>
  </si>
  <si>
    <t>Passenger Travel</t>
  </si>
  <si>
    <t>Freight Transportation</t>
  </si>
  <si>
    <t>AGL</t>
  </si>
  <si>
    <t>Agriculture and Land use</t>
  </si>
  <si>
    <t xml:space="preserve">Land Use </t>
  </si>
  <si>
    <t>bcf</t>
  </si>
  <si>
    <t>Unit.bcf</t>
  </si>
  <si>
    <t>Billion cubic feet (natural gas)</t>
  </si>
  <si>
    <t>Nuke</t>
  </si>
  <si>
    <t>RE</t>
  </si>
  <si>
    <t>RE.a</t>
  </si>
  <si>
    <t>RE.b</t>
  </si>
  <si>
    <t>RE.c</t>
  </si>
  <si>
    <t>Therm.a</t>
  </si>
  <si>
    <t>Therm.b</t>
  </si>
  <si>
    <t>Therm</t>
  </si>
  <si>
    <t>Thermal hydrocarbon powered stations</t>
  </si>
  <si>
    <t>H2prod</t>
  </si>
  <si>
    <t>RE.d</t>
  </si>
  <si>
    <t>RE.e</t>
  </si>
  <si>
    <t>Decentralised PV</t>
  </si>
  <si>
    <t>OCGT</t>
  </si>
  <si>
    <t>ElcDSB</t>
  </si>
  <si>
    <t>ElcDSB.i</t>
  </si>
  <si>
    <t xml:space="preserve">Electricity distribution, storage and balancing </t>
  </si>
  <si>
    <t>Electricity imports and exports</t>
  </si>
  <si>
    <t>Coal PF Eskom Large Existing</t>
  </si>
  <si>
    <t>Coal PF Eskom Large Dry Existing</t>
  </si>
  <si>
    <t>Coal PF Eskom Small Existing</t>
  </si>
  <si>
    <t>Coal PF Munic Existing</t>
  </si>
  <si>
    <t>ElcDSB.s</t>
  </si>
  <si>
    <t>Electricity storage scheme</t>
  </si>
  <si>
    <t>website/industry-page here</t>
  </si>
  <si>
    <t>LTMS adjustment factor</t>
  </si>
  <si>
    <t>COMCOA</t>
  </si>
  <si>
    <t>COMODS</t>
  </si>
  <si>
    <t>COMELC</t>
  </si>
  <si>
    <t>COMGAS</t>
  </si>
  <si>
    <t>COMOGS</t>
  </si>
  <si>
    <t>COMOHF</t>
  </si>
  <si>
    <t>COMOKE</t>
  </si>
  <si>
    <t>COMOLP</t>
  </si>
  <si>
    <t>Koeberg</t>
  </si>
  <si>
    <t xml:space="preserve"> Electrical plant energy efficiency</t>
  </si>
  <si>
    <t>Industrial boiler/furnace fuel migration: fuel share increase by year 2050 [3]</t>
  </si>
  <si>
    <t>Industrial boiler/furnace fuel migration to gas and/or waste</t>
  </si>
  <si>
    <t>Mossel Bay</t>
  </si>
  <si>
    <t>ElcDSB.d</t>
  </si>
  <si>
    <t>RED</t>
  </si>
  <si>
    <t>Electricity Import</t>
  </si>
  <si>
    <t>Mid-income</t>
  </si>
  <si>
    <t>High-income</t>
  </si>
  <si>
    <t>Low-income</t>
  </si>
  <si>
    <t>Household Real Consumption (billion Rands)</t>
  </si>
  <si>
    <t>xALLHHD</t>
  </si>
  <si>
    <t>xPOOR</t>
  </si>
  <si>
    <t>xxhhd-0</t>
  </si>
  <si>
    <t>xxhhd-1</t>
  </si>
  <si>
    <t>xxhhd-2</t>
  </si>
  <si>
    <t>xxhhd-3</t>
  </si>
  <si>
    <t>xxhhd-4</t>
  </si>
  <si>
    <t>xNPOOR</t>
  </si>
  <si>
    <t>xxhhd-5</t>
  </si>
  <si>
    <t>xxhhd-6</t>
  </si>
  <si>
    <t>xxhhd-7</t>
  </si>
  <si>
    <t>xxhhd-8</t>
  </si>
  <si>
    <t>xxHHD-9</t>
  </si>
  <si>
    <t>hhd-91</t>
  </si>
  <si>
    <t>xxhhd-9-1</t>
  </si>
  <si>
    <t>hhd-92</t>
  </si>
  <si>
    <t>xxhhd-9-21</t>
  </si>
  <si>
    <t>hhd-93</t>
  </si>
  <si>
    <t>xxhhd-9-22</t>
  </si>
  <si>
    <t>hhd-94</t>
  </si>
  <si>
    <t>xxhhd-9-23</t>
  </si>
  <si>
    <t>hhd-95</t>
  </si>
  <si>
    <t>xxhhd-9-24</t>
  </si>
  <si>
    <t>Population within household categories</t>
  </si>
  <si>
    <t>hhd-0</t>
  </si>
  <si>
    <t>hhd-1</t>
  </si>
  <si>
    <t>hhd-2</t>
  </si>
  <si>
    <t>hhd-3</t>
  </si>
  <si>
    <t>hhd-4</t>
  </si>
  <si>
    <t>hhd-5</t>
  </si>
  <si>
    <t>hhd-6</t>
  </si>
  <si>
    <t>hhd-7</t>
  </si>
  <si>
    <t>hhd-8</t>
  </si>
  <si>
    <t>hhd-9</t>
  </si>
  <si>
    <t>From IES 2005</t>
  </si>
  <si>
    <t>hhdclass</t>
  </si>
  <si>
    <t>pw</t>
  </si>
  <si>
    <t>hw</t>
  </si>
  <si>
    <t>Hshld size</t>
  </si>
  <si>
    <t>hhd0</t>
  </si>
  <si>
    <t>hhd1</t>
  </si>
  <si>
    <t>hhd2</t>
  </si>
  <si>
    <t>hhd3</t>
  </si>
  <si>
    <t>hhd4</t>
  </si>
  <si>
    <t>hhd5</t>
  </si>
  <si>
    <t>hhd6</t>
  </si>
  <si>
    <t>hhd7</t>
  </si>
  <si>
    <t>hhd8</t>
  </si>
  <si>
    <t>hhd91</t>
  </si>
  <si>
    <t>hhd92</t>
  </si>
  <si>
    <t>hhd93</t>
  </si>
  <si>
    <t>hhd94</t>
  </si>
  <si>
    <t>hhd95</t>
  </si>
  <si>
    <t>People</t>
  </si>
  <si>
    <t>Household population (thousand households)</t>
  </si>
  <si>
    <t>low</t>
  </si>
  <si>
    <t>mid</t>
  </si>
  <si>
    <t>high</t>
  </si>
  <si>
    <t>Per Household consumption (thousand rands/household per year)</t>
  </si>
  <si>
    <t>Income Group - approach 1</t>
  </si>
  <si>
    <t>LEP Categories</t>
  </si>
  <si>
    <t>up. Incom.bd</t>
  </si>
  <si>
    <t>up.cons.bd</t>
  </si>
  <si>
    <t>High Income</t>
  </si>
  <si>
    <t>Income Group - approach 2</t>
  </si>
  <si>
    <t>Household Average Income</t>
  </si>
  <si>
    <t>Indexed Household Average Income</t>
  </si>
  <si>
    <t>0-19200</t>
  </si>
  <si>
    <t>Low Income HH Population Share</t>
  </si>
  <si>
    <t>19201-76800</t>
  </si>
  <si>
    <t>Middle Income HH Population Share</t>
  </si>
  <si>
    <t>76801-</t>
  </si>
  <si>
    <t>High Income HH Population Share</t>
  </si>
  <si>
    <t>Total no. of household (millions)</t>
  </si>
  <si>
    <t>0 -19 200</t>
  </si>
  <si>
    <t>Low Income HH Population</t>
  </si>
  <si>
    <t>19 201 - 76 800</t>
  </si>
  <si>
    <t>Middle Income HH Population</t>
  </si>
  <si>
    <t>76 801-</t>
  </si>
  <si>
    <t>High Income HH Population</t>
  </si>
  <si>
    <t>Average Income of Low Income group</t>
  </si>
  <si>
    <t>Assumed GR-  Low Income group</t>
  </si>
  <si>
    <t>Average Income for Medium Income group</t>
  </si>
  <si>
    <t>Assumed GR-  Medium Income group</t>
  </si>
  <si>
    <t>Average Income for High Income group</t>
  </si>
  <si>
    <t>Assumed GR- High Income group</t>
  </si>
  <si>
    <t>Average Income across all groups</t>
  </si>
  <si>
    <t>Growth rate of Average income</t>
  </si>
  <si>
    <t>2005 prices</t>
  </si>
  <si>
    <t xml:space="preserve">GDP </t>
  </si>
  <si>
    <t>Household size</t>
  </si>
  <si>
    <t>gdp per hh</t>
  </si>
  <si>
    <t>Growth rate of GDP per hh</t>
  </si>
  <si>
    <t xml:space="preserve">Growth rate of average income per hh is equal to the growth rate of GDP </t>
  </si>
  <si>
    <t>2007 community survey data</t>
  </si>
  <si>
    <t>households</t>
  </si>
  <si>
    <t>shares(%)</t>
  </si>
  <si>
    <t>Low Income electrified</t>
  </si>
  <si>
    <t>4089009.00</t>
  </si>
  <si>
    <t>Low income non electrified</t>
  </si>
  <si>
    <t>1654030.00</t>
  </si>
  <si>
    <t>5743039.00</t>
  </si>
  <si>
    <t>0.46</t>
  </si>
  <si>
    <t>Middle income electrified</t>
  </si>
  <si>
    <t>3553678.00</t>
  </si>
  <si>
    <t>Middle income non electrified</t>
  </si>
  <si>
    <t>747667.00</t>
  </si>
  <si>
    <t>4301345.00</t>
  </si>
  <si>
    <t>0.34</t>
  </si>
  <si>
    <t>High income (non electrified included)</t>
  </si>
  <si>
    <t>2456226.00</t>
  </si>
  <si>
    <t>0.20</t>
  </si>
  <si>
    <t>12500610.00</t>
  </si>
  <si>
    <t>Lower Income in 2007</t>
  </si>
  <si>
    <t>R1-R4 800</t>
  </si>
  <si>
    <t>R4 801-R9 600</t>
  </si>
  <si>
    <t>R9601-R19 200</t>
  </si>
  <si>
    <t>avg income</t>
  </si>
  <si>
    <t>avg income over all</t>
  </si>
  <si>
    <t>Mid Income in 2007</t>
  </si>
  <si>
    <t>19200-76800</t>
  </si>
  <si>
    <t>R19 201-R38 400</t>
  </si>
  <si>
    <t>R38 401-R76 800</t>
  </si>
  <si>
    <t>High Income in 2007</t>
  </si>
  <si>
    <t>76800+</t>
  </si>
  <si>
    <t>R76 801-R153 600</t>
  </si>
  <si>
    <t>R153 601-R307 200</t>
  </si>
  <si>
    <t>R307 201-R614 400</t>
  </si>
  <si>
    <t>R614 401-R1 228 800</t>
  </si>
  <si>
    <t>R1 228 801-R2 457 600</t>
  </si>
  <si>
    <t>R2 457 601 or more</t>
  </si>
  <si>
    <t>split:</t>
  </si>
  <si>
    <t>Population by group</t>
  </si>
  <si>
    <t>Millions</t>
  </si>
  <si>
    <t>from DMPRJ</t>
  </si>
  <si>
    <t>curve a</t>
  </si>
  <si>
    <t>curve b</t>
  </si>
  <si>
    <t>EE year</t>
  </si>
  <si>
    <t>scale adjustment:</t>
  </si>
  <si>
    <t>Curve selection</t>
  </si>
  <si>
    <t>Output 2006</t>
  </si>
  <si>
    <t># units</t>
  </si>
  <si>
    <t>Max unit capacity</t>
  </si>
  <si>
    <t>Total Cap before 2010</t>
  </si>
  <si>
    <t>Return to service schedule - MW added2010</t>
  </si>
  <si>
    <t>Return to service schedule - MW added2011</t>
  </si>
  <si>
    <t>Return to service schedule - MW added2012</t>
  </si>
  <si>
    <t>Return to service schedule - MW added2013</t>
  </si>
  <si>
    <t>Planned Outage Rate</t>
  </si>
  <si>
    <t>Forced Outage rate</t>
  </si>
  <si>
    <t>Contribution to Peak</t>
  </si>
  <si>
    <t>Availability factor</t>
  </si>
  <si>
    <t>Maximum availability</t>
  </si>
  <si>
    <t>Variable Costs</t>
  </si>
  <si>
    <t>Fixed Costs</t>
  </si>
  <si>
    <t>Year online</t>
  </si>
  <si>
    <t>Life of Plant</t>
  </si>
  <si>
    <t>Known retirements</t>
  </si>
  <si>
    <t>Retirement year</t>
  </si>
  <si>
    <t>Water use</t>
  </si>
  <si>
    <t>Name of Station</t>
  </si>
  <si>
    <t>IRP2010 - T.12</t>
  </si>
  <si>
    <t>IRP2010 - T.13</t>
  </si>
  <si>
    <t>IRP2010 - T.14</t>
  </si>
  <si>
    <t>IRP2010 - T.15</t>
  </si>
  <si>
    <t>Camden</t>
  </si>
  <si>
    <t>Grootvlei</t>
  </si>
  <si>
    <t>Komati</t>
  </si>
  <si>
    <t>Arnot</t>
  </si>
  <si>
    <t>Duvha</t>
  </si>
  <si>
    <t>Hendrina</t>
  </si>
  <si>
    <t>Kendal</t>
  </si>
  <si>
    <t>Kriel</t>
  </si>
  <si>
    <t>Lethabo</t>
  </si>
  <si>
    <t>Majuba Dry</t>
  </si>
  <si>
    <t>Majuba Wet</t>
  </si>
  <si>
    <t>Matimba</t>
  </si>
  <si>
    <t>Matla</t>
  </si>
  <si>
    <t>Tutuka</t>
  </si>
  <si>
    <t>Kelvin "A"</t>
  </si>
  <si>
    <t>Kelvin "B"</t>
  </si>
  <si>
    <t>Pretoria West</t>
  </si>
  <si>
    <t>Rooiwal</t>
  </si>
  <si>
    <t>Sasol Infrachem</t>
  </si>
  <si>
    <t>Sasol SSF</t>
  </si>
  <si>
    <t>Acacia</t>
  </si>
  <si>
    <t>OCGT liquid fuels Existing</t>
  </si>
  <si>
    <t xml:space="preserve">Atlantis </t>
  </si>
  <si>
    <t>Port Rex</t>
  </si>
  <si>
    <t>Cahora Bassa</t>
  </si>
  <si>
    <t>Hydro Existing Region</t>
  </si>
  <si>
    <t>Mini Hydros</t>
  </si>
  <si>
    <t>Hydro existing South Africa</t>
  </si>
  <si>
    <t>Gariep</t>
  </si>
  <si>
    <t>Vanderkloof</t>
  </si>
  <si>
    <t>Nuclear Existing</t>
  </si>
  <si>
    <t>Residual Capacity</t>
  </si>
  <si>
    <t>just coal</t>
  </si>
  <si>
    <t>Weighted average</t>
  </si>
  <si>
    <t>Coal Power stations</t>
  </si>
  <si>
    <t xml:space="preserve">% of coal </t>
  </si>
  <si>
    <t>Hydro local</t>
  </si>
  <si>
    <t>% of hydro</t>
  </si>
  <si>
    <t>Weighted</t>
  </si>
  <si>
    <t>Hydro imported capacity</t>
  </si>
  <si>
    <t>% of OCGT</t>
  </si>
  <si>
    <t>Sasol co fired</t>
  </si>
  <si>
    <t>% co fired sasol</t>
  </si>
  <si>
    <t>Biomass/Coal CHPs Existing - Pulp and Paper</t>
  </si>
  <si>
    <t>Gas CHPs Existing</t>
  </si>
  <si>
    <t>Complex techs</t>
  </si>
  <si>
    <t>Percentage savings</t>
  </si>
  <si>
    <t>SACC  DEA revision v01</t>
  </si>
  <si>
    <t>Policy - Standards</t>
  </si>
  <si>
    <t>percentage savings</t>
  </si>
  <si>
    <t>Measure</t>
  </si>
  <si>
    <t>ALL</t>
  </si>
  <si>
    <t>ERC IEE (2011)</t>
  </si>
  <si>
    <t>Energy efficiency index  for electrical plant</t>
  </si>
  <si>
    <t>baseline</t>
  </si>
  <si>
    <t xml:space="preserve">=  useful subsector share * "effective efficiency" </t>
  </si>
  <si>
    <t>where "effective efficiency" refers to aggregate inefficiency of electrical plant  in base year</t>
  </si>
  <si>
    <t>=  baseline*efficiency gains - CHP share</t>
  </si>
  <si>
    <t>Power to heat conversion ratio</t>
  </si>
  <si>
    <t>Industrial energy intensity</t>
  </si>
  <si>
    <t>Standards-2</t>
  </si>
  <si>
    <t>Standards-3</t>
  </si>
  <si>
    <t>CHP share</t>
  </si>
  <si>
    <t>Efficiency of non-CHP boiler/furnace systems</t>
  </si>
  <si>
    <t>Fuel share of non-CHP boiler/furnace systems</t>
  </si>
  <si>
    <t>Efficiency of conventional boiler/furnace systems</t>
  </si>
  <si>
    <t>Fuel share of coventional boiler/furnace systems</t>
  </si>
  <si>
    <t xml:space="preserve"> Boiler/Furnace systems energy efficiency improvement [2]</t>
  </si>
  <si>
    <t>final demand for non-CHP boiler/furnace systems</t>
  </si>
  <si>
    <t>System efficiency limit</t>
  </si>
  <si>
    <t>Policy - Standards-3</t>
  </si>
  <si>
    <t>Policy - Standards-2</t>
  </si>
  <si>
    <t>Policy - NEEA</t>
  </si>
  <si>
    <t xml:space="preserve">Boilers/Furnace systems: EE potential </t>
  </si>
  <si>
    <t xml:space="preserve">Boiler/Furnace systems: EE potential </t>
  </si>
  <si>
    <t>Industrial activity</t>
  </si>
  <si>
    <t>SACC year alignment</t>
  </si>
  <si>
    <t>Non-Ferrous metals  - 352</t>
  </si>
  <si>
    <t>EE savings scaling curve</t>
  </si>
  <si>
    <t>Growth for sectors</t>
  </si>
  <si>
    <t>Industrial energy demand index index [1]</t>
  </si>
  <si>
    <t>Industry-Mining SIC2</t>
  </si>
  <si>
    <t>Industry-Iron  &amp; Steel  - 351</t>
  </si>
  <si>
    <t>Industry-Chemicals  -33</t>
  </si>
  <si>
    <t>Industry-Precious &amp; Non-Ferrous metals  - 352</t>
  </si>
  <si>
    <t>Industry-N.M.M Products  -34</t>
  </si>
  <si>
    <t>Industry-Food, Beverage &amp; Tabacco  - 30</t>
  </si>
  <si>
    <t>Industry-Pulp &amp; Paper Products  -323</t>
  </si>
  <si>
    <t>Industry-Other</t>
  </si>
  <si>
    <t>Population growth</t>
  </si>
  <si>
    <t>Economic growth</t>
  </si>
  <si>
    <t>Needs to be changed to South Africa</t>
  </si>
  <si>
    <t>this will change</t>
  </si>
  <si>
    <t>Energy efficiency of plant</t>
  </si>
  <si>
    <t>Linked to economic growth path trajectory</t>
  </si>
  <si>
    <t>Residential and commercial Solar PV</t>
  </si>
  <si>
    <t>Relative to base year</t>
  </si>
  <si>
    <t>Compute costs</t>
  </si>
  <si>
    <t>Jet Kerosene</t>
  </si>
  <si>
    <t>HCV</t>
  </si>
  <si>
    <t>MCV</t>
  </si>
  <si>
    <t>NOTES HERE</t>
  </si>
  <si>
    <t>MJ/L</t>
  </si>
  <si>
    <t>Aviation Gasoline</t>
  </si>
  <si>
    <t>Heavy Fuel</t>
  </si>
  <si>
    <t>Reduced travel demand</t>
  </si>
  <si>
    <t>Required Reserve Margin</t>
  </si>
  <si>
    <t xml:space="preserve">MW data from student assignment (NPC). </t>
  </si>
  <si>
    <t>GDPXY - Year-on-year growth in real GDP by factor cost (From CGE)</t>
  </si>
  <si>
    <t>Inital Share</t>
  </si>
  <si>
    <t>xGDP</t>
  </si>
  <si>
    <t>AGRICULTURE</t>
  </si>
  <si>
    <t>xAGR</t>
  </si>
  <si>
    <t>xxagri</t>
  </si>
  <si>
    <t>Biomass feedstock</t>
  </si>
  <si>
    <t>xxbiom</t>
  </si>
  <si>
    <t>xxfore</t>
  </si>
  <si>
    <t>Fisheries</t>
  </si>
  <si>
    <t>xxfish</t>
  </si>
  <si>
    <t>INDUSTRY</t>
  </si>
  <si>
    <t>xINDU</t>
  </si>
  <si>
    <t>MINING</t>
  </si>
  <si>
    <t>xMINE</t>
  </si>
  <si>
    <t>Coal mining</t>
  </si>
  <si>
    <t>xxcoal</t>
  </si>
  <si>
    <t>Natural gas mining</t>
  </si>
  <si>
    <t>xxngas</t>
  </si>
  <si>
    <t>Other mining</t>
  </si>
  <si>
    <t>xxomin</t>
  </si>
  <si>
    <t>MANUFACTURING</t>
  </si>
  <si>
    <t>xMANU</t>
  </si>
  <si>
    <t xml:space="preserve">FOOD </t>
  </si>
  <si>
    <t>xFOOD</t>
  </si>
  <si>
    <t>Food processing</t>
  </si>
  <si>
    <t>xxfood</t>
  </si>
  <si>
    <t>Beverages and tobacco</t>
  </si>
  <si>
    <t>xxbevt</t>
  </si>
  <si>
    <t>TEXTILES</t>
  </si>
  <si>
    <t>xTEXT</t>
  </si>
  <si>
    <t>Textiles</t>
  </si>
  <si>
    <t>xxtext</t>
  </si>
  <si>
    <t>Clothing</t>
  </si>
  <si>
    <t>xxclth</t>
  </si>
  <si>
    <t>Leather products</t>
  </si>
  <si>
    <t>xxleat</t>
  </si>
  <si>
    <t>Footwear</t>
  </si>
  <si>
    <t>xxfoot</t>
  </si>
  <si>
    <t>WOOD &amp; PAPER</t>
  </si>
  <si>
    <t>xWPPR</t>
  </si>
  <si>
    <t>Wood products</t>
  </si>
  <si>
    <t>xxwood</t>
  </si>
  <si>
    <t>Paper</t>
  </si>
  <si>
    <t>xxpapr</t>
  </si>
  <si>
    <t>Printing and publishing</t>
  </si>
  <si>
    <t>xxprnt</t>
  </si>
  <si>
    <t>PETROLEUM REFINING</t>
  </si>
  <si>
    <t>xPETR</t>
  </si>
  <si>
    <t>Crude oil based petrol</t>
  </si>
  <si>
    <t>xxxoil</t>
  </si>
  <si>
    <t>Coal to liquid petrol</t>
  </si>
  <si>
    <t>xxxctl</t>
  </si>
  <si>
    <t>Gas to liquid petrol</t>
  </si>
  <si>
    <t>xxxgtl</t>
  </si>
  <si>
    <t>Biofuels</t>
  </si>
  <si>
    <t>xxxbio</t>
  </si>
  <si>
    <t>CHEMICALS</t>
  </si>
  <si>
    <t>xCHEM</t>
  </si>
  <si>
    <t>Basic chemicals</t>
  </si>
  <si>
    <t>xxbchm</t>
  </si>
  <si>
    <t>Other chemicals</t>
  </si>
  <si>
    <t>xxochm</t>
  </si>
  <si>
    <t>Rubber products</t>
  </si>
  <si>
    <t>xxrubb</t>
  </si>
  <si>
    <t>Plastic products</t>
  </si>
  <si>
    <t>xxplas</t>
  </si>
  <si>
    <t>NONMETALLIC MINERALS</t>
  </si>
  <si>
    <t>xNMET</t>
  </si>
  <si>
    <t>Glass products</t>
  </si>
  <si>
    <t>xxglas</t>
  </si>
  <si>
    <t>Non-metals</t>
  </si>
  <si>
    <t>xxnmet</t>
  </si>
  <si>
    <t>METALS</t>
  </si>
  <si>
    <t>XMETL</t>
  </si>
  <si>
    <t>Iron and steel</t>
  </si>
  <si>
    <t>xxiron</t>
  </si>
  <si>
    <t>Nonferrous metals</t>
  </si>
  <si>
    <t>xxnfrm</t>
  </si>
  <si>
    <t>Metal products</t>
  </si>
  <si>
    <t>xxmetp</t>
  </si>
  <si>
    <t>MACHINERY</t>
  </si>
  <si>
    <t>xMACH</t>
  </si>
  <si>
    <t>Machinery</t>
  </si>
  <si>
    <t>xxmach</t>
  </si>
  <si>
    <t>Electrical machinery</t>
  </si>
  <si>
    <t>xxemch</t>
  </si>
  <si>
    <t>Scientific equipment</t>
  </si>
  <si>
    <t>xxsequ</t>
  </si>
  <si>
    <t>VEHICLES &amp; TRANSPORT EQ</t>
  </si>
  <si>
    <t>xVEHI</t>
  </si>
  <si>
    <t>Vehicles</t>
  </si>
  <si>
    <t>xxvehi</t>
  </si>
  <si>
    <t>Other transport equipment</t>
  </si>
  <si>
    <t>xxtequ</t>
  </si>
  <si>
    <t>OTHER MANUFACTURING</t>
  </si>
  <si>
    <t>xOMAN</t>
  </si>
  <si>
    <t>Furniture</t>
  </si>
  <si>
    <t>xxfurn</t>
  </si>
  <si>
    <t>Other manufacturing</t>
  </si>
  <si>
    <t>xxoman</t>
  </si>
  <si>
    <t>xxrcyc</t>
  </si>
  <si>
    <t>OTHER INDUSTRY</t>
  </si>
  <si>
    <t>xOIND</t>
  </si>
  <si>
    <t>ELEC</t>
  </si>
  <si>
    <t>ELECTRICITY</t>
  </si>
  <si>
    <t>XELEC</t>
  </si>
  <si>
    <t>Coal-based power</t>
  </si>
  <si>
    <t>xxxcoa</t>
  </si>
  <si>
    <t>xxxnuc</t>
  </si>
  <si>
    <t>Hydropower</t>
  </si>
  <si>
    <t>xxxhyd</t>
  </si>
  <si>
    <t>Renewables power</t>
  </si>
  <si>
    <t>xxxren</t>
  </si>
  <si>
    <t>Waste-based power generation</t>
  </si>
  <si>
    <t>xxxwas</t>
  </si>
  <si>
    <t>Gas power</t>
  </si>
  <si>
    <t>xxxgas</t>
  </si>
  <si>
    <t>Water distribution</t>
  </si>
  <si>
    <t>xxwatr</t>
  </si>
  <si>
    <t>Construction</t>
  </si>
  <si>
    <t>xxcons</t>
  </si>
  <si>
    <t>SERVICES</t>
  </si>
  <si>
    <t>xSERV</t>
  </si>
  <si>
    <t>TRADE AND CATERING</t>
  </si>
  <si>
    <t>xTRAD</t>
  </si>
  <si>
    <t>Trade services</t>
  </si>
  <si>
    <t>xxtrad</t>
  </si>
  <si>
    <t>Hotels and catering</t>
  </si>
  <si>
    <t>xxhotl</t>
  </si>
  <si>
    <t>TRANSPORT &amp; COMMUNICATION</t>
  </si>
  <si>
    <t>xTRCM</t>
  </si>
  <si>
    <t>Transport services</t>
  </si>
  <si>
    <t>xxtran</t>
  </si>
  <si>
    <t>Communication</t>
  </si>
  <si>
    <t>xxcomm</t>
  </si>
  <si>
    <t>Financial services</t>
  </si>
  <si>
    <t>xxfsrv</t>
  </si>
  <si>
    <t>Business services</t>
  </si>
  <si>
    <t>xxbsrv</t>
  </si>
  <si>
    <t>Government services</t>
  </si>
  <si>
    <t>xxgsrv</t>
  </si>
  <si>
    <t>Other services and producers</t>
  </si>
  <si>
    <t>xxosrv</t>
  </si>
  <si>
    <t>Sectoral GDP Indexed to initial share for LEP sectors</t>
  </si>
  <si>
    <t>Growth for LEP sectors</t>
  </si>
  <si>
    <t>Elasticities to GDP</t>
  </si>
  <si>
    <t>Sport Utility Vehicle</t>
  </si>
  <si>
    <t>Bus Rapid Transit System</t>
  </si>
  <si>
    <t>Internal Combustion Engine</t>
  </si>
  <si>
    <t>Electric Vehicle</t>
  </si>
  <si>
    <t>Fuel cell or Hydrogen vehicle</t>
  </si>
  <si>
    <t>Plug-in Hybrid Vehicle</t>
  </si>
  <si>
    <t xml:space="preserve">Natural Gas </t>
  </si>
  <si>
    <t>Kerosene</t>
  </si>
  <si>
    <t>JOKE</t>
  </si>
  <si>
    <t xml:space="preserve">Liquids </t>
  </si>
  <si>
    <t>Diesel (ODS)</t>
  </si>
  <si>
    <t>Gasoline (OGS)</t>
  </si>
  <si>
    <t>Hydrogen (FCV)</t>
  </si>
  <si>
    <t>CNG (GAS)</t>
  </si>
  <si>
    <t>Biodiesel (BIO)</t>
  </si>
  <si>
    <t>Ethanol (ETH)</t>
  </si>
  <si>
    <t>Electric (EV)</t>
  </si>
  <si>
    <t xml:space="preserve">Source: </t>
  </si>
  <si>
    <t>Conventional Car</t>
  </si>
  <si>
    <t>Minibus Taxis</t>
  </si>
  <si>
    <t xml:space="preserve">Conventional Bus </t>
  </si>
  <si>
    <t>Metropolitan Rail (mainly in Cape Town, Gauteng and Durban)</t>
  </si>
  <si>
    <t xml:space="preserve">High Speed Rail in Gauteng </t>
  </si>
  <si>
    <t>Electricity in demand sectors</t>
  </si>
  <si>
    <t>Kerosene (Paraffin)</t>
  </si>
  <si>
    <t>Liqufied Petroleum</t>
  </si>
  <si>
    <t>GDP growth from transport sector</t>
  </si>
  <si>
    <t>Light duty trucks</t>
  </si>
  <si>
    <t>Medium duty trucks</t>
  </si>
  <si>
    <t>Electrical system</t>
  </si>
  <si>
    <t>WST</t>
  </si>
  <si>
    <t xml:space="preserve">Waste </t>
  </si>
  <si>
    <t xml:space="preserve">Note that coal is used as a back coomodity where fuel shares are indequate to meet demand </t>
  </si>
  <si>
    <t>[1] SOUTH AFRICA RENEWABLE ENERGY SECTOR – NERSA PROGRESS &amp; CHALLENGES, 2011</t>
  </si>
  <si>
    <t xml:space="preserve">SAPPI </t>
  </si>
  <si>
    <t>[2] CO-GENERATION IN SAPPI’S PULP &amp; PAPER MILLS, 2008</t>
  </si>
  <si>
    <t>Richards Bay</t>
  </si>
  <si>
    <t>The Proposed Mondi Mill Expansion (RHDHV, 2013)</t>
  </si>
  <si>
    <t>Merebank</t>
  </si>
  <si>
    <t>IRP revision2 draft version 8, 2010</t>
  </si>
  <si>
    <t>Felixton</t>
  </si>
  <si>
    <t>Umhlathuze</t>
  </si>
  <si>
    <t>primary commodity</t>
  </si>
  <si>
    <t>make up commodity (coal)</t>
  </si>
  <si>
    <t xml:space="preserve">% make up commodity (coal) </t>
  </si>
  <si>
    <t>existing utilisation</t>
  </si>
  <si>
    <t>FB: installed capacity (Tongaat HulettTongaat - Hullet Group)</t>
  </si>
  <si>
    <t xml:space="preserve">PP: installed capacity </t>
  </si>
  <si>
    <t>2006 final demand  (PJ)</t>
  </si>
  <si>
    <t>Fuel share of CHP</t>
  </si>
  <si>
    <t>Fuel share of CHP in base year [3]</t>
  </si>
  <si>
    <t>2006 CHP elec (PJ) Ee</t>
  </si>
  <si>
    <t>2006 CHP heat (PJ) Et</t>
  </si>
  <si>
    <t>CHP Heat</t>
  </si>
  <si>
    <t>CHP Electricity</t>
  </si>
  <si>
    <t>7 (a)</t>
  </si>
  <si>
    <t>7 (b)</t>
  </si>
  <si>
    <t>Commercial - Cooling</t>
  </si>
  <si>
    <t>Commercial - Space Heating</t>
  </si>
  <si>
    <t>Commercial - Cooking</t>
  </si>
  <si>
    <t>Commercial - Lighting</t>
  </si>
  <si>
    <t>Commercial - Refrigeration</t>
  </si>
  <si>
    <t>Commercial - Water Heating</t>
  </si>
  <si>
    <t>Commercial - Public Lights</t>
  </si>
  <si>
    <t>Commercial - Public Water</t>
  </si>
  <si>
    <t>Commercial - Other</t>
  </si>
  <si>
    <t>Household electrification</t>
  </si>
  <si>
    <t>Business</t>
  </si>
  <si>
    <t>Cubic feet to cubic meter</t>
  </si>
  <si>
    <t>k =</t>
  </si>
  <si>
    <t>constant</t>
  </si>
  <si>
    <t xml:space="preserve">Ideally this constant would come from curve fitting. </t>
  </si>
  <si>
    <t>Billion Cubic feet</t>
  </si>
  <si>
    <t xml:space="preserve">R = </t>
  </si>
  <si>
    <t>Bcm</t>
  </si>
  <si>
    <t>Billion Cubic meters</t>
  </si>
  <si>
    <t>% recoverable</t>
  </si>
  <si>
    <t>Qinf</t>
  </si>
  <si>
    <t>total that will be extracted</t>
  </si>
  <si>
    <t>t1/2</t>
  </si>
  <si>
    <t>year in which half of reserve is depleted</t>
  </si>
  <si>
    <t>n</t>
  </si>
  <si>
    <t>year</t>
  </si>
  <si>
    <t xml:space="preserve">Verhulst equation </t>
  </si>
  <si>
    <t>total production</t>
  </si>
  <si>
    <t>eNaTiS website: http://www.enatis.com/index.php/statistics/13-live-vehicle-population</t>
  </si>
  <si>
    <t xml:space="preserve">Statistics South Africa, Community Survey 2007. http://www.statssa.gov.za/community_new/content.asp  </t>
  </si>
  <si>
    <t>Diesel*</t>
  </si>
  <si>
    <t>* ERC Transport Study</t>
  </si>
  <si>
    <t>Gasoline*</t>
  </si>
  <si>
    <t xml:space="preserve">Denoted </t>
  </si>
  <si>
    <t>Merven, B., Stone, A., &amp; Hughes, A. (2012). Long Term Energy Needs of the South African Transport Sector – Part 1. Working Paper, Energy Research Centre, University of Cape Town.</t>
  </si>
  <si>
    <t>Reference in Sheet</t>
  </si>
  <si>
    <t>HGN</t>
  </si>
  <si>
    <t xml:space="preserve"> LPG</t>
  </si>
  <si>
    <t>Calculator Fuel Names</t>
  </si>
  <si>
    <t>Gasoline2</t>
  </si>
  <si>
    <t>*ERC, 2012. Transport Study</t>
  </si>
  <si>
    <t>Source: *</t>
  </si>
  <si>
    <t>[c]</t>
  </si>
  <si>
    <t>Department of Energy, 2006. Accessed at: http://www.energy.gov.za/files/energyStats_frame.html. On 17 January 2013</t>
  </si>
  <si>
    <t xml:space="preserve">NAAMSA commercial data. To get the original data please call 012 3232980 or email :  naamsa@iafrica.com
 </t>
  </si>
  <si>
    <t>http://www.gautrain.co.za/about/services/look-feel/look-and-feel/</t>
  </si>
  <si>
    <t>[number]</t>
  </si>
  <si>
    <t>e.g [1]</t>
  </si>
  <si>
    <t>Example</t>
  </si>
  <si>
    <t>CSIR. (2007). The fourth Annual State of Logistics Survey for South Africa. Pretoria: CSIR Built Environment. http://www.csir.co.za/sol/</t>
  </si>
  <si>
    <t>[6]</t>
  </si>
  <si>
    <t xml:space="preserve">http://www.metrorail.co.za/National_Facts.html </t>
  </si>
  <si>
    <t>[7]</t>
  </si>
  <si>
    <t>[8]</t>
  </si>
  <si>
    <t>Assumptions on Lever 1</t>
  </si>
  <si>
    <t>Assumptions on Lever 2</t>
  </si>
  <si>
    <t>Assumptions on Lever 3</t>
  </si>
  <si>
    <t>Assumptions on Lever 4</t>
  </si>
  <si>
    <t>Assumptions on Lever 5</t>
  </si>
  <si>
    <t>[9]</t>
  </si>
  <si>
    <t>[10]</t>
  </si>
  <si>
    <t>[11]</t>
  </si>
  <si>
    <t>[12]</t>
  </si>
  <si>
    <t>[13]</t>
  </si>
  <si>
    <t>[14]</t>
  </si>
  <si>
    <t>[15]</t>
  </si>
  <si>
    <t>[16]</t>
  </si>
  <si>
    <t>calculated</t>
  </si>
  <si>
    <t>Reference Guide</t>
  </si>
  <si>
    <t>calculated value</t>
  </si>
  <si>
    <t>Evans, C., Cheah, L., Heywood, J. &amp; Bandivadekar, A., 2007. Factor of Two: Halving the Fuel Consumption of New U.S. Automobiles by 2035, Cambridge: Massachusetts Institute of Technology.</t>
  </si>
  <si>
    <t>[17]</t>
  </si>
  <si>
    <t>[com]</t>
  </si>
  <si>
    <t>[assu]</t>
  </si>
  <si>
    <t>assumed by the modeller, to be determined by stakeholders or experts</t>
  </si>
  <si>
    <r>
      <t xml:space="preserve">He, . H. &amp; Maxwell, R., 2012. </t>
    </r>
    <r>
      <rPr>
        <i/>
        <sz val="10.5"/>
        <color theme="1"/>
        <rFont val="Times New Roman"/>
        <family val="1"/>
      </rPr>
      <t xml:space="preserve">In-use Testing for CO2 and Fuel Economy in the United States, </t>
    </r>
    <r>
      <rPr>
        <sz val="10.5"/>
        <color theme="1"/>
        <rFont val="Times New Roman"/>
        <family val="1"/>
      </rPr>
      <t>Washington: The International Council of Clean Transport.</t>
    </r>
  </si>
  <si>
    <r>
      <t xml:space="preserve">CSIR, 2003 - 2012. </t>
    </r>
    <r>
      <rPr>
        <i/>
        <sz val="10.5"/>
        <color theme="1"/>
        <rFont val="Times New Roman"/>
        <family val="1"/>
      </rPr>
      <t xml:space="preserve">State of Logistics Reports 2003 - 2012, </t>
    </r>
    <r>
      <rPr>
        <sz val="10.5"/>
        <color theme="1"/>
        <rFont val="Times New Roman"/>
        <family val="1"/>
      </rPr>
      <t>Stellenbosch: s.n. CSIR, 2004. www.csir.co.za. [Online].Available at: http://www.csir.co.za/sol/docs/SOL2004-1.pdf.[Accessed 17 January 2014].</t>
    </r>
  </si>
  <si>
    <r>
      <t xml:space="preserve">CSIR, 2005. </t>
    </r>
    <r>
      <rPr>
        <i/>
        <sz val="10.5"/>
        <color theme="1"/>
        <rFont val="Times New Roman"/>
        <family val="1"/>
      </rPr>
      <t xml:space="preserve">www.csir.co.za. </t>
    </r>
    <r>
      <rPr>
        <sz val="10.5"/>
        <color theme="1"/>
        <rFont val="Times New Roman"/>
        <family val="1"/>
      </rPr>
      <t>[Online]. Available at: http://www.csir.co.za/sol/docs/2005_SOL_survey_final_Dec5.pdf.[Accessed 17 January 2014].</t>
    </r>
  </si>
  <si>
    <r>
      <t xml:space="preserve">CSIR, 2006. </t>
    </r>
    <r>
      <rPr>
        <i/>
        <sz val="10.5"/>
        <color theme="1"/>
        <rFont val="Times New Roman"/>
        <family val="1"/>
      </rPr>
      <t xml:space="preserve">http://researchspace.csir.co.za/dspace/. </t>
    </r>
    <r>
      <rPr>
        <sz val="10.5"/>
        <color theme="1"/>
        <rFont val="Times New Roman"/>
        <family val="1"/>
      </rPr>
      <t>[Online]. Available at: http://researchspace.csir.co.za/dspace/bitstream/10204/1139/1/Ittman_2006.pdf.[Accessed 17 January 2014].</t>
    </r>
  </si>
  <si>
    <r>
      <t xml:space="preserve">CSIR, 2007. </t>
    </r>
    <r>
      <rPr>
        <i/>
        <sz val="10.5"/>
        <color theme="1"/>
        <rFont val="Times New Roman"/>
        <family val="1"/>
      </rPr>
      <t xml:space="preserve">www.csir.co.za. </t>
    </r>
    <r>
      <rPr>
        <sz val="10.5"/>
        <color theme="1"/>
        <rFont val="Times New Roman"/>
        <family val="1"/>
      </rPr>
      <t>[Online]. Available at: http://www.csir.co.za/sol/docs/SOL_final_CSIR_IL.pdf. [Accessed 17 January 2014].</t>
    </r>
  </si>
  <si>
    <r>
      <t xml:space="preserve">CSIR, 2008. </t>
    </r>
    <r>
      <rPr>
        <i/>
        <sz val="10.5"/>
        <color theme="1"/>
        <rFont val="Times New Roman"/>
        <family val="1"/>
      </rPr>
      <t xml:space="preserve">www.csir.co.za. </t>
    </r>
    <r>
      <rPr>
        <sz val="10.5"/>
        <color theme="1"/>
        <rFont val="Times New Roman"/>
        <family val="1"/>
      </rPr>
      <t>[Online]. Available at: http://www.csir.co.za/sol/docs/SOL_2008.pdf. [Accessed 17 January 2014].</t>
    </r>
  </si>
  <si>
    <r>
      <t xml:space="preserve">CSIR, 2009. </t>
    </r>
    <r>
      <rPr>
        <i/>
        <sz val="10.5"/>
        <color theme="1"/>
        <rFont val="Times New Roman"/>
        <family val="1"/>
      </rPr>
      <t xml:space="preserve">www.csir.co.za. </t>
    </r>
    <r>
      <rPr>
        <sz val="10.5"/>
        <color theme="1"/>
        <rFont val="Times New Roman"/>
        <family val="1"/>
      </rPr>
      <t>[Online]. Available at: http://www.csir.co.za/sol/docs/6th_SoL_survey_web_final.pdf. [Accessed 17 January 2014]</t>
    </r>
  </si>
  <si>
    <r>
      <t xml:space="preserve">CSIR, 2010. </t>
    </r>
    <r>
      <rPr>
        <i/>
        <sz val="10.5"/>
        <color theme="1"/>
        <rFont val="Times New Roman"/>
        <family val="1"/>
      </rPr>
      <t xml:space="preserve">www.csir.co.za. </t>
    </r>
    <r>
      <rPr>
        <sz val="10.5"/>
        <color theme="1"/>
        <rFont val="Times New Roman"/>
        <family val="1"/>
      </rPr>
      <t>[Online]. Available at: http://www.csir.co.za/sol/docs/7th_SoL_2010_March.pdf. [Accessed 17 January 2014].</t>
    </r>
  </si>
  <si>
    <r>
      <t xml:space="preserve">CSIR, 2011. </t>
    </r>
    <r>
      <rPr>
        <i/>
        <sz val="10.5"/>
        <color theme="1"/>
        <rFont val="Times New Roman"/>
        <family val="1"/>
      </rPr>
      <t xml:space="preserve">www.csir.co.za. </t>
    </r>
    <r>
      <rPr>
        <sz val="10.5"/>
        <color theme="1"/>
        <rFont val="Times New Roman"/>
        <family val="1"/>
      </rPr>
      <t>[Online]. Available at: http://www.csir.co.za/sol/docs/8th%20SoL%202011_23May2012.pdf. [Accessed 17 January 2014].</t>
    </r>
  </si>
  <si>
    <r>
      <t xml:space="preserve">CSIR, 2012. </t>
    </r>
    <r>
      <rPr>
        <i/>
        <sz val="10.5"/>
        <color theme="1"/>
        <rFont val="Times New Roman"/>
        <family val="1"/>
      </rPr>
      <t xml:space="preserve">www.csir.co.za. </t>
    </r>
    <r>
      <rPr>
        <sz val="10.5"/>
        <color theme="1"/>
        <rFont val="Times New Roman"/>
        <family val="1"/>
      </rPr>
      <t>[Online]. Available at: http://www.csir.co.za/sol/docs/final_9th%20SoL%20for%20web.pdf.[Accessed 17 January 2014].</t>
    </r>
  </si>
  <si>
    <t xml:space="preserve">http://www.fueleconomy.gov/feg/download.shtml </t>
  </si>
  <si>
    <t>Sheet were the reference is used/related</t>
  </si>
  <si>
    <t>[18]</t>
  </si>
  <si>
    <t>[19]</t>
  </si>
  <si>
    <t>[20]</t>
  </si>
  <si>
    <t>[21]</t>
  </si>
  <si>
    <t>[22]</t>
  </si>
  <si>
    <t>[23]</t>
  </si>
  <si>
    <t>[24]</t>
  </si>
  <si>
    <t>TRA.support</t>
  </si>
  <si>
    <t>I am suppose too give refernces for TRA.b</t>
  </si>
  <si>
    <t xml:space="preserve">Waste conversion &amp; biofuels </t>
  </si>
  <si>
    <t>National overview</t>
  </si>
  <si>
    <t>Economy and Population</t>
  </si>
  <si>
    <t xml:space="preserve">Scenario: </t>
  </si>
  <si>
    <t>Version 0.46.20140130fa</t>
  </si>
  <si>
    <t>By 2050, the share of private travel is assumed to have dropped by 7% relative to the base year of 2006. Private travel makes up 38% whereas public transport accounts for 62%.</t>
  </si>
  <si>
    <t xml:space="preserve"> Behaviour Change(%)</t>
  </si>
  <si>
    <t>Share of passenger kilometres met by public transport will be 24% by 2050</t>
  </si>
  <si>
    <t xml:space="preserve">71% of passenger-km are met by public transport. </t>
  </si>
  <si>
    <t>80% of passenger travel demand met being met by public transport</t>
  </si>
  <si>
    <t xml:space="preserve">Nothing is done to change the landscape of our cities, as such there is no energy demand reduction.  </t>
  </si>
  <si>
    <t>It is assumed that 5% aggregate energy demand reduction is achieved as cities continue to accommodate people closer to economic hubs</t>
  </si>
  <si>
    <t xml:space="preserve">It is assumed that 10% of aggregate energy demand reduction is achieved. </t>
  </si>
  <si>
    <t>It is assumed that 30% of energy demand is reduced.</t>
  </si>
  <si>
    <t>There is no introduction of  hydrogen and compressed natural gas. 5% of private vehicles sold in 2050 are hybrids and a mere 1% is purely battery powered electric vehicles</t>
  </si>
  <si>
    <t>Shift to lower emissions technologies</t>
  </si>
  <si>
    <t xml:space="preserve">5% and 1% of vehicles sold in 2050 will be powered by electric and fuel cell respectively </t>
  </si>
  <si>
    <t xml:space="preserve">10% of vehicles sold in 2050 will be electric vehicles while a mere 5% will be fuel cell powered. </t>
  </si>
  <si>
    <t>15% and 10% of electric and fuel cell powered vehicles will be sold by 2050 respectively. 70% of private fleet sales will be hybrids</t>
  </si>
  <si>
    <t>It is assumed that 0.1% of efficiency will be gained annually, resulting in overall efficiency gain of 4%  by 2050.</t>
  </si>
  <si>
    <t>It is assumed that 0.2% of efficiency will be gained annually, resulting in overall efficiency gain of 22%  by 2050.</t>
  </si>
  <si>
    <t>It is assumed that 0.5 % of efficiency will be gained annually, resulting in overall efficiency gain of 44%  by 2050.</t>
  </si>
  <si>
    <t>It is assumed that 1% of efficiency will be gained annually, resulting in overall efficiency gain of 66%  by 2050.</t>
  </si>
  <si>
    <t>No changes to vehicle occupancy</t>
  </si>
  <si>
    <t>minibus, buses and private vehicle occupancies are increased to 18, 30  and 1.5 people per vehicle.</t>
  </si>
  <si>
    <t>minibus, buses and private vehicle occupancies are increased to 20, 50  and 1.8 people per vehicle.</t>
  </si>
  <si>
    <t xml:space="preserve">the proportion of ton-km serviced by road vs rail transportation stays at 70% and 30% respectively by 2050. </t>
  </si>
  <si>
    <t xml:space="preserve">Level 2 assumes that rail corridor gains 10% of the current heavy duty vehicles' market share while rail other gains a mere 5% of medium duty vehicles’ market share by 2050. </t>
  </si>
  <si>
    <t xml:space="preserve">50% of goods are moved by road. </t>
  </si>
  <si>
    <t>38% of ton-km will be moved by road and the remaining 62%  by rail</t>
  </si>
  <si>
    <t>Technology characteristics</t>
  </si>
  <si>
    <t>Tech Code</t>
  </si>
  <si>
    <t>Input Fuel Code</t>
  </si>
  <si>
    <t>Useful energy code</t>
  </si>
  <si>
    <t>Space heating</t>
  </si>
  <si>
    <t>Other devices</t>
  </si>
  <si>
    <t>2006 final energy share</t>
  </si>
  <si>
    <t>Technology Mix scenarios</t>
  </si>
  <si>
    <t>2006 Tech share</t>
  </si>
  <si>
    <t>DoE energy balance for 2006</t>
  </si>
  <si>
    <t>LPG based on Energy outloook 2000 and extrapolated</t>
  </si>
  <si>
    <t>Eskom AR 2006 to 2011 averages</t>
  </si>
  <si>
    <t>Sub-category</t>
  </si>
  <si>
    <t>Gas supply</t>
  </si>
  <si>
    <t>Supply of natural gas</t>
  </si>
  <si>
    <t xml:space="preserve">Natural gas </t>
  </si>
  <si>
    <t>Extraction</t>
  </si>
  <si>
    <t>Rate of Natural gas production</t>
  </si>
  <si>
    <t>Lever Level 1</t>
  </si>
  <si>
    <t>Lever Leve 2</t>
  </si>
  <si>
    <t>Lever Level 3</t>
  </si>
  <si>
    <t>Lever Level 4</t>
  </si>
  <si>
    <t>eps</t>
  </si>
</sst>
</file>

<file path=xl/styles.xml><?xml version="1.0" encoding="utf-8"?>
<styleSheet xmlns="http://schemas.openxmlformats.org/spreadsheetml/2006/main" xmlns:mc="http://schemas.openxmlformats.org/markup-compatibility/2006" xmlns:x14ac="http://schemas.microsoft.com/office/spreadsheetml/2009/9/ac" mc:Ignorable="x14ac">
  <numFmts count="40">
    <numFmt numFmtId="8" formatCode="&quot;£&quot;#,##0.00;[Red]\-&quot;£&quot;#,##0.00"/>
    <numFmt numFmtId="44" formatCode="_-&quot;£&quot;* #,##0.00_-;\-&quot;£&quot;* #,##0.00_-;_-&quot;£&quot;* &quot;-&quot;??_-;_-@_-"/>
    <numFmt numFmtId="43" formatCode="_-* #,##0.00_-;\-* #,##0.00_-;_-* &quot;-&quot;??_-;_-@_-"/>
    <numFmt numFmtId="164" formatCode="_ * #,##0.00_ ;_ * \-#,##0.00_ ;_ * &quot;-&quot;??_ ;_ @_ "/>
    <numFmt numFmtId="165" formatCode="_(* #,##0_);_(* \(#,##0\);_(* &quot;-&quot;_);_(@_)"/>
    <numFmt numFmtId="166" formatCode="_(* #,##0.00_);_(* \(#,##0.00\);_(* &quot;-&quot;??_);_(@_)"/>
    <numFmt numFmtId="167" formatCode="0.000E+00"/>
    <numFmt numFmtId="168" formatCode="#,##0.0"/>
    <numFmt numFmtId="169" formatCode="0.000"/>
    <numFmt numFmtId="170" formatCode="#,##0.0_);\(#,##0.0\);&quot;-&quot;;@"/>
    <numFmt numFmtId="171" formatCode="0.0"/>
    <numFmt numFmtId="172" formatCode="0.00000"/>
    <numFmt numFmtId="173" formatCode="#,##0.000_);\(#,##0.000\);&quot;-&quot;;@"/>
    <numFmt numFmtId="174" formatCode="0.0%"/>
    <numFmt numFmtId="175" formatCode="#,##0.0_);\(#,##0.0\);&quot;-&quot;_);@"/>
    <numFmt numFmtId="176" formatCode="#,##0_);\(#,##0\);&quot;-&quot;_);@"/>
    <numFmt numFmtId="177" formatCode="#,##0.00_);\(#,##0.00\);&quot;-&quot;_);@"/>
    <numFmt numFmtId="178" formatCode="#,##0.000_);\(#,##0.000\);&quot;-&quot;_);@"/>
    <numFmt numFmtId="179" formatCode="0%;\ \(0%\);\ \-"/>
    <numFmt numFmtId="180" formatCode="0.0%;\ \(0.0%\);\ \-"/>
    <numFmt numFmtId="181" formatCode="#,##0.0000_);\(#,##0.0000\);&quot;-&quot;_);@"/>
    <numFmt numFmtId="182" formatCode="#,##0.000"/>
    <numFmt numFmtId="183" formatCode="0.000000"/>
    <numFmt numFmtId="184" formatCode="&quot;£&quot;#,##0"/>
    <numFmt numFmtId="185" formatCode="#,##0.00000_);\(#,##0.00000\);&quot;-&quot;_);@"/>
    <numFmt numFmtId="186" formatCode="0.00%;\ \(0.00%\);\ \-"/>
    <numFmt numFmtId="187" formatCode="#,##0.000000"/>
    <numFmt numFmtId="188" formatCode="#,##0.00\ ;&quot; -&quot;#,##0.00\ ;&quot; -&quot;#\ ;@\ "/>
    <numFmt numFmtId="189" formatCode="[$-809]General"/>
    <numFmt numFmtId="190" formatCode="#,##0.00&quot; &quot;;&quot; -&quot;#,##0.00&quot; &quot;;&quot; -&quot;#&quot; &quot;;@&quot; &quot;"/>
    <numFmt numFmtId="191" formatCode="[$£-809]#,##0.00;[Red]&quot;-&quot;[$£-809]#,##0.00"/>
    <numFmt numFmtId="192" formatCode="0.0_)"/>
    <numFmt numFmtId="193" formatCode="_ * #,##0.0_ ;_ * \-#,##0.0_ ;_ * &quot;-&quot;??_ ;_ @_ "/>
    <numFmt numFmtId="194" formatCode="0.000%"/>
    <numFmt numFmtId="195" formatCode="0.000_)"/>
    <numFmt numFmtId="196" formatCode="0_(&quot;$&quot;* #,##0;_)_(&quot;$&quot;* \(#,##0;\)_(&quot;$&quot;* &quot;-&quot;;_)_(@"/>
    <numFmt numFmtId="197" formatCode="#,##0_);\(#,##0\);&quot;-&quot;"/>
    <numFmt numFmtId="198" formatCode="0.00_)"/>
    <numFmt numFmtId="199" formatCode="0.000%;\ \(0.000%\);\ \-"/>
    <numFmt numFmtId="200" formatCode="_(* #,##0.0_);_(* \(#,##0.0\);_(* &quot;-&quot;??_);_(@_)"/>
  </numFmts>
  <fonts count="330" x14ac:knownFonts="1">
    <font>
      <sz val="10"/>
      <color theme="1"/>
      <name val="Cambria"/>
      <family val="1"/>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1"/>
      <color theme="1"/>
      <name val="Cambria"/>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2"/>
      <color theme="1"/>
      <name val="Cambria"/>
      <family val="2"/>
      <scheme val="minor"/>
    </font>
    <font>
      <sz val="10"/>
      <color theme="1"/>
      <name val="Calibri"/>
      <family val="2"/>
      <scheme val="major"/>
    </font>
    <font>
      <sz val="10"/>
      <color theme="1"/>
      <name val="Cambria"/>
      <family val="1"/>
      <scheme val="minor"/>
    </font>
    <font>
      <vertAlign val="subscript"/>
      <sz val="10"/>
      <color theme="1"/>
      <name val="Cambria"/>
      <family val="1"/>
      <scheme val="minor"/>
    </font>
    <font>
      <sz val="12"/>
      <color theme="1"/>
      <name val="Cambria"/>
      <family val="1"/>
      <scheme val="minor"/>
    </font>
    <font>
      <b/>
      <sz val="12"/>
      <color theme="1"/>
      <name val="Calibri"/>
      <family val="2"/>
      <scheme val="major"/>
    </font>
    <font>
      <sz val="12"/>
      <color theme="1"/>
      <name val="Calibri"/>
      <family val="2"/>
      <scheme val="major"/>
    </font>
    <font>
      <sz val="11"/>
      <color theme="1"/>
      <name val="Cambria"/>
      <family val="1"/>
      <scheme val="minor"/>
    </font>
    <font>
      <sz val="8"/>
      <color theme="1"/>
      <name val="Cambria"/>
      <family val="1"/>
      <scheme val="minor"/>
    </font>
    <font>
      <b/>
      <sz val="10"/>
      <color theme="1"/>
      <name val="Calibri"/>
      <family val="2"/>
      <scheme val="major"/>
    </font>
    <font>
      <sz val="8"/>
      <color theme="1"/>
      <name val="Calibri"/>
      <family val="2"/>
      <scheme val="major"/>
    </font>
    <font>
      <sz val="11"/>
      <color theme="1"/>
      <name val="Calibri"/>
      <family val="2"/>
      <scheme val="major"/>
    </font>
    <font>
      <b/>
      <sz val="10"/>
      <color theme="1"/>
      <name val="Cambria"/>
      <family val="1"/>
      <scheme val="minor"/>
    </font>
    <font>
      <b/>
      <vertAlign val="subscript"/>
      <sz val="10"/>
      <color theme="1"/>
      <name val="Cambria"/>
      <family val="1"/>
      <scheme val="minor"/>
    </font>
    <font>
      <sz val="14"/>
      <color theme="1"/>
      <name val="Calibri"/>
      <family val="2"/>
      <scheme val="major"/>
    </font>
    <font>
      <i/>
      <sz val="10"/>
      <color theme="1"/>
      <name val="Cambria"/>
      <family val="1"/>
      <scheme val="minor"/>
    </font>
    <font>
      <sz val="12"/>
      <color theme="1"/>
      <name val="Arial"/>
      <family val="2"/>
    </font>
    <font>
      <sz val="8"/>
      <color theme="1"/>
      <name val="Consolas"/>
      <family val="3"/>
    </font>
    <font>
      <sz val="10"/>
      <name val="Cambria"/>
      <family val="1"/>
      <scheme val="minor"/>
    </font>
    <font>
      <sz val="10"/>
      <name val="Calibri"/>
      <family val="2"/>
      <scheme val="major"/>
    </font>
    <font>
      <sz val="10"/>
      <color rgb="FF3F3F76"/>
      <name val="Arial"/>
      <family val="2"/>
    </font>
    <font>
      <sz val="10"/>
      <name val="Arial"/>
      <family val="2"/>
    </font>
    <font>
      <sz val="8"/>
      <name val="Arial"/>
      <family val="2"/>
    </font>
    <font>
      <b/>
      <sz val="8"/>
      <color indexed="81"/>
      <name val="Tahoma"/>
      <family val="2"/>
    </font>
    <font>
      <sz val="8"/>
      <color indexed="81"/>
      <name val="Tahoma"/>
      <family val="2"/>
    </font>
    <font>
      <b/>
      <sz val="12"/>
      <name val="Arial"/>
      <family val="2"/>
    </font>
    <font>
      <b/>
      <sz val="10"/>
      <name val="Arial"/>
      <family val="2"/>
    </font>
    <font>
      <sz val="8"/>
      <name val="Cambria"/>
      <family val="1"/>
      <scheme val="minor"/>
    </font>
    <font>
      <b/>
      <sz val="10"/>
      <name val="Cambria"/>
      <family val="1"/>
      <scheme val="minor"/>
    </font>
    <font>
      <sz val="16"/>
      <color theme="1"/>
      <name val="Cambria"/>
      <family val="1"/>
      <scheme val="minor"/>
    </font>
    <font>
      <b/>
      <sz val="10"/>
      <color rgb="FF3F3F76"/>
      <name val="Cambria"/>
      <family val="1"/>
      <scheme val="minor"/>
    </font>
    <font>
      <sz val="14"/>
      <color theme="1"/>
      <name val="Cambria"/>
      <family val="1"/>
      <scheme val="minor"/>
    </font>
    <font>
      <b/>
      <sz val="16"/>
      <color indexed="8"/>
      <name val="Calibri"/>
      <family val="2"/>
      <scheme val="major"/>
    </font>
    <font>
      <sz val="10"/>
      <color theme="1"/>
      <name val="Cambria"/>
      <family val="1"/>
    </font>
    <font>
      <b/>
      <i/>
      <sz val="10"/>
      <color theme="1"/>
      <name val="Cambria"/>
      <family val="1"/>
      <scheme val="minor"/>
    </font>
    <font>
      <b/>
      <sz val="18"/>
      <color theme="1"/>
      <name val="Calibri"/>
      <family val="2"/>
      <scheme val="major"/>
    </font>
    <font>
      <b/>
      <sz val="18"/>
      <name val="Calibri"/>
      <family val="2"/>
      <scheme val="major"/>
    </font>
    <font>
      <sz val="10"/>
      <color rgb="FFFF0000"/>
      <name val="Cambria"/>
      <family val="1"/>
      <scheme val="minor"/>
    </font>
    <font>
      <b/>
      <sz val="8"/>
      <color theme="4" tint="-0.249977111117893"/>
      <name val="Calibri"/>
      <family val="2"/>
      <scheme val="major"/>
    </font>
    <font>
      <i/>
      <sz val="12"/>
      <color theme="1"/>
      <name val="Cambria"/>
      <family val="1"/>
      <scheme val="minor"/>
    </font>
    <font>
      <sz val="18"/>
      <color theme="1"/>
      <name val="Cambria"/>
      <family val="1"/>
      <scheme val="minor"/>
    </font>
    <font>
      <sz val="10"/>
      <color indexed="10"/>
      <name val="Arial"/>
      <family val="2"/>
    </font>
    <font>
      <b/>
      <sz val="12"/>
      <color theme="1"/>
      <name val="Cambria"/>
      <family val="1"/>
      <scheme val="minor"/>
    </font>
    <font>
      <i/>
      <sz val="10"/>
      <color theme="1"/>
      <name val="Calibri"/>
      <family val="2"/>
      <scheme val="major"/>
    </font>
    <font>
      <i/>
      <sz val="10"/>
      <color theme="1"/>
      <name val="Arial"/>
      <family val="2"/>
    </font>
    <font>
      <sz val="18"/>
      <color theme="0"/>
      <name val="Calibri"/>
      <family val="2"/>
      <scheme val="major"/>
    </font>
    <font>
      <b/>
      <sz val="18"/>
      <color theme="0"/>
      <name val="Calibri"/>
      <family val="2"/>
      <scheme val="major"/>
    </font>
    <font>
      <b/>
      <sz val="10"/>
      <color theme="0" tint="-0.34998626667073579"/>
      <name val="Calibri"/>
      <family val="2"/>
      <scheme val="major"/>
    </font>
    <font>
      <b/>
      <sz val="10"/>
      <color theme="1"/>
      <name val="Arial"/>
      <family val="2"/>
    </font>
    <font>
      <vertAlign val="subscript"/>
      <sz val="10"/>
      <color theme="1"/>
      <name val="Calibri"/>
      <family val="2"/>
      <scheme val="major"/>
    </font>
    <font>
      <sz val="12"/>
      <color rgb="FF1F497D"/>
      <name val="Arial"/>
      <family val="2"/>
    </font>
    <font>
      <sz val="10"/>
      <color theme="1"/>
      <name val="Cambria"/>
      <family val="1"/>
      <scheme val="minor"/>
    </font>
    <font>
      <b/>
      <sz val="11"/>
      <color theme="0"/>
      <name val="Calibri"/>
      <family val="2"/>
      <scheme val="major"/>
    </font>
    <font>
      <b/>
      <sz val="18"/>
      <color theme="9" tint="-0.249977111117893"/>
      <name val="Cambria"/>
      <family val="1"/>
      <scheme val="minor"/>
    </font>
    <font>
      <sz val="14"/>
      <color theme="9" tint="-0.249977111117893"/>
      <name val="Cambria"/>
      <family val="1"/>
      <scheme val="minor"/>
    </font>
    <font>
      <sz val="10"/>
      <color theme="1"/>
      <name val="Cambria"/>
      <family val="1"/>
      <scheme val="minor"/>
    </font>
    <font>
      <u/>
      <sz val="10"/>
      <color theme="10"/>
      <name val="Cambria"/>
      <family val="1"/>
      <scheme val="minor"/>
    </font>
    <font>
      <u/>
      <sz val="10"/>
      <color theme="11"/>
      <name val="Cambria"/>
      <family val="1"/>
      <scheme val="minor"/>
    </font>
    <font>
      <sz val="10"/>
      <color theme="1"/>
      <name val="Cambria"/>
      <family val="1"/>
      <scheme val="minor"/>
    </font>
    <font>
      <sz val="10"/>
      <color indexed="8"/>
      <name val="Calibri"/>
      <family val="1"/>
    </font>
    <font>
      <u/>
      <sz val="8.5"/>
      <color theme="10"/>
      <name val="Cambria"/>
      <family val="1"/>
    </font>
    <font>
      <sz val="10"/>
      <color rgb="FF006100"/>
      <name val="Arial"/>
      <family val="2"/>
    </font>
    <font>
      <sz val="10"/>
      <color theme="1"/>
      <name val="Cambria"/>
      <family val="1"/>
      <scheme val="minor"/>
    </font>
    <font>
      <sz val="10"/>
      <color theme="0"/>
      <name val="Arial"/>
      <family val="2"/>
    </font>
    <font>
      <b/>
      <sz val="10"/>
      <name val="Calibri"/>
      <family val="2"/>
      <scheme val="major"/>
    </font>
    <font>
      <b/>
      <sz val="10"/>
      <color rgb="FFFF0000"/>
      <name val="Calibri"/>
      <family val="2"/>
      <scheme val="major"/>
    </font>
    <font>
      <b/>
      <sz val="10"/>
      <color theme="0"/>
      <name val="Cambria"/>
      <family val="1"/>
      <scheme val="minor"/>
    </font>
    <font>
      <b/>
      <sz val="11"/>
      <color theme="1"/>
      <name val="Cambria"/>
      <family val="2"/>
      <scheme val="minor"/>
    </font>
    <font>
      <sz val="11"/>
      <color theme="1"/>
      <name val="Cambria"/>
      <family val="2"/>
      <scheme val="minor"/>
    </font>
    <font>
      <sz val="12"/>
      <color theme="1"/>
      <name val="Times New Roman"/>
      <family val="1"/>
    </font>
    <font>
      <b/>
      <sz val="8"/>
      <color rgb="FF000000"/>
      <name val="Arial"/>
      <family val="2"/>
    </font>
    <font>
      <sz val="8"/>
      <color rgb="FF000000"/>
      <name val="Arial"/>
      <family val="2"/>
    </font>
    <font>
      <sz val="10"/>
      <color rgb="FF000000"/>
      <name val="Cambria"/>
      <family val="1"/>
      <scheme val="minor"/>
    </font>
    <font>
      <b/>
      <sz val="18"/>
      <color theme="3"/>
      <name val="Calibri"/>
      <family val="2"/>
      <scheme val="major"/>
    </font>
    <font>
      <b/>
      <sz val="15"/>
      <color theme="3"/>
      <name val="Arial"/>
      <family val="2"/>
    </font>
    <font>
      <b/>
      <sz val="13"/>
      <color theme="3"/>
      <name val="Arial"/>
      <family val="2"/>
    </font>
    <font>
      <b/>
      <sz val="11"/>
      <color theme="3"/>
      <name val="Arial"/>
      <family val="2"/>
    </font>
    <font>
      <sz val="10"/>
      <color rgb="FF9C0006"/>
      <name val="Arial"/>
      <family val="2"/>
    </font>
    <font>
      <sz val="10"/>
      <color rgb="FF9C6500"/>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sz val="10"/>
      <name val="Verdana"/>
      <family val="2"/>
    </font>
    <font>
      <b/>
      <sz val="12"/>
      <name val="Times New Roman"/>
      <family val="1"/>
    </font>
    <font>
      <sz val="10"/>
      <name val="Arial Unicode MS"/>
      <family val="2"/>
    </font>
    <font>
      <sz val="9"/>
      <color indexed="8"/>
      <name val="Times New Roman"/>
      <family val="1"/>
    </font>
    <font>
      <sz val="9"/>
      <name val="Times New Roman"/>
      <family val="1"/>
    </font>
    <font>
      <sz val="11"/>
      <color rgb="FF9C0006"/>
      <name val="Cambria"/>
      <family val="2"/>
      <scheme val="minor"/>
    </font>
    <font>
      <sz val="10"/>
      <color theme="4"/>
      <name val="Arial"/>
      <family val="2"/>
    </font>
    <font>
      <b/>
      <sz val="11"/>
      <color rgb="FFFA7D00"/>
      <name val="Cambria"/>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mbria"/>
      <family val="2"/>
      <scheme val="minor"/>
    </font>
    <font>
      <b/>
      <sz val="11"/>
      <color theme="3"/>
      <name val="Cambria"/>
      <family val="2"/>
      <scheme val="minor"/>
    </font>
    <font>
      <u/>
      <sz val="10"/>
      <color theme="10"/>
      <name val="Arial"/>
      <family val="2"/>
    </font>
    <font>
      <sz val="11"/>
      <color rgb="FF3F3F76"/>
      <name val="Cambria"/>
      <family val="2"/>
      <scheme val="minor"/>
    </font>
    <font>
      <sz val="10"/>
      <color theme="9" tint="-0.24994659260841701"/>
      <name val="Arial"/>
      <family val="2"/>
    </font>
    <font>
      <sz val="11"/>
      <color rgb="FF9C6500"/>
      <name val="Cambria"/>
      <family val="2"/>
      <scheme val="minor"/>
    </font>
    <font>
      <sz val="11"/>
      <color theme="1"/>
      <name val="Arial1"/>
    </font>
    <font>
      <b/>
      <i/>
      <u/>
      <sz val="11"/>
      <color theme="1"/>
      <name val="Arial1"/>
    </font>
    <font>
      <sz val="10"/>
      <color theme="3"/>
      <name val="Arial"/>
      <family val="2"/>
    </font>
    <font>
      <b/>
      <sz val="10"/>
      <color theme="4"/>
      <name val="Arial"/>
      <family val="2"/>
    </font>
    <font>
      <sz val="10"/>
      <color indexed="14"/>
      <name val="Arial"/>
      <family val="2"/>
    </font>
    <font>
      <b/>
      <sz val="10"/>
      <color theme="3"/>
      <name val="Arial"/>
      <family val="2"/>
    </font>
    <font>
      <b/>
      <sz val="9"/>
      <color indexed="81"/>
      <name val="Tahoma"/>
      <family val="2"/>
    </font>
    <font>
      <sz val="9"/>
      <color indexed="81"/>
      <name val="Tahoma"/>
      <family val="2"/>
    </font>
    <font>
      <i/>
      <sz val="11"/>
      <color theme="1"/>
      <name val="Cambria"/>
      <family val="2"/>
      <scheme val="minor"/>
    </font>
    <font>
      <b/>
      <sz val="11"/>
      <color theme="1"/>
      <name val="Cambria"/>
      <family val="1"/>
      <scheme val="minor"/>
    </font>
    <font>
      <sz val="10"/>
      <color theme="1"/>
      <name val="Cambria"/>
      <family val="1"/>
      <scheme val="minor"/>
    </font>
    <font>
      <sz val="11"/>
      <color theme="0"/>
      <name val="Cambria"/>
      <family val="2"/>
      <scheme val="minor"/>
    </font>
    <font>
      <sz val="10"/>
      <color theme="5" tint="-0.249977111117893"/>
      <name val="Arial"/>
      <family val="2"/>
      <charset val="238"/>
    </font>
    <font>
      <sz val="10"/>
      <name val="Verdana"/>
      <family val="2"/>
    </font>
    <font>
      <u/>
      <sz val="10"/>
      <color theme="11"/>
      <name val="Verdana"/>
      <family val="2"/>
    </font>
    <font>
      <sz val="11"/>
      <name val="Cambria"/>
      <family val="2"/>
      <scheme val="minor"/>
    </font>
    <font>
      <b/>
      <sz val="10"/>
      <color theme="4"/>
      <name val="Cambria"/>
      <family val="1"/>
      <scheme val="minor"/>
    </font>
    <font>
      <b/>
      <sz val="10"/>
      <color rgb="FFFF0000"/>
      <name val="Cambria"/>
      <family val="1"/>
      <scheme val="minor"/>
    </font>
    <font>
      <sz val="11"/>
      <name val="Tms Rmn"/>
    </font>
    <font>
      <sz val="12"/>
      <color indexed="24"/>
      <name val="Arial"/>
      <family val="2"/>
    </font>
    <font>
      <sz val="1"/>
      <color indexed="8"/>
      <name val="Courier"/>
      <family val="3"/>
    </font>
    <font>
      <i/>
      <sz val="1"/>
      <color indexed="8"/>
      <name val="Courier"/>
      <family val="3"/>
    </font>
    <font>
      <sz val="11"/>
      <color rgb="FF006100"/>
      <name val="Cambria"/>
      <family val="2"/>
      <scheme val="minor"/>
    </font>
    <font>
      <b/>
      <sz val="15"/>
      <color indexed="56"/>
      <name val="Cambria"/>
      <family val="2"/>
      <scheme val="minor"/>
    </font>
    <font>
      <b/>
      <sz val="15"/>
      <color theme="3"/>
      <name val="Cambria"/>
      <family val="2"/>
      <scheme val="minor"/>
    </font>
    <font>
      <b/>
      <i/>
      <sz val="16"/>
      <name val="Helv"/>
    </font>
    <font>
      <b/>
      <sz val="11"/>
      <color rgb="FF3F3F3F"/>
      <name val="Cambria"/>
      <family val="2"/>
      <scheme val="minor"/>
    </font>
    <font>
      <u/>
      <sz val="10"/>
      <color theme="5" tint="0.79998168889431442"/>
      <name val="Cambria"/>
      <family val="1"/>
      <scheme val="minor"/>
    </font>
    <font>
      <sz val="8"/>
      <color indexed="10"/>
      <name val="Arial Narrow"/>
      <family val="2"/>
    </font>
    <font>
      <sz val="11"/>
      <color indexed="8"/>
      <name val="Calibri"/>
      <family val="2"/>
    </font>
    <font>
      <sz val="10"/>
      <color rgb="FF76933C"/>
      <name val="Arial"/>
      <family val="2"/>
    </font>
    <font>
      <b/>
      <sz val="13"/>
      <color indexed="56"/>
      <name val="Cambria"/>
      <family val="2"/>
      <scheme val="minor"/>
    </font>
    <font>
      <b/>
      <sz val="11"/>
      <color indexed="56"/>
      <name val="Cambria"/>
      <family val="2"/>
      <scheme val="minor"/>
    </font>
    <font>
      <u/>
      <sz val="10"/>
      <color indexed="12"/>
      <name val="Arial"/>
      <family val="2"/>
    </font>
    <font>
      <sz val="10"/>
      <color theme="1"/>
      <name val="Cambria"/>
      <family val="1"/>
      <scheme val="minor"/>
    </font>
    <font>
      <sz val="10"/>
      <name val="Arial"/>
      <family val="2"/>
      <charset val="238"/>
    </font>
    <font>
      <sz val="11"/>
      <name val="Calibri"/>
      <family val="2"/>
    </font>
    <font>
      <sz val="11"/>
      <color rgb="FFFFFFFF"/>
      <name val="Calibri"/>
      <family val="2"/>
    </font>
    <font>
      <sz val="10"/>
      <color theme="3" tint="-0.249977111117893"/>
      <name val="Cambria"/>
      <family val="1"/>
      <scheme val="minor"/>
    </font>
    <font>
      <sz val="10"/>
      <color theme="9" tint="-0.499984740745262"/>
      <name val="Arial"/>
      <family val="2"/>
    </font>
    <font>
      <sz val="10"/>
      <color rgb="FFE26B0A"/>
      <name val="Arial"/>
      <family val="2"/>
    </font>
    <font>
      <sz val="10"/>
      <color theme="3" tint="-0.249977111117893"/>
      <name val="Arial"/>
      <family val="2"/>
      <charset val="238"/>
    </font>
    <font>
      <sz val="10"/>
      <color rgb="FF4F81BD"/>
      <name val="Arial"/>
      <family val="2"/>
      <charset val="238"/>
    </font>
    <font>
      <sz val="10"/>
      <color rgb="FF963634"/>
      <name val="Arial"/>
      <family val="2"/>
      <charset val="238"/>
    </font>
    <font>
      <sz val="10"/>
      <color rgb="FF4F81BD"/>
      <name val="Arial"/>
      <family val="2"/>
    </font>
    <font>
      <sz val="10"/>
      <color rgb="FF1F497D"/>
      <name val="Arial"/>
      <family val="2"/>
    </font>
    <font>
      <sz val="10"/>
      <color theme="4"/>
      <name val="Arial"/>
      <family val="2"/>
      <charset val="238"/>
    </font>
    <font>
      <sz val="10"/>
      <color rgb="FFFF00FF"/>
      <name val="Arial"/>
      <family val="2"/>
    </font>
    <font>
      <b/>
      <sz val="10"/>
      <color rgb="FF1F497D"/>
      <name val="Arial"/>
      <family val="2"/>
    </font>
    <font>
      <b/>
      <sz val="10"/>
      <color theme="9" tint="-0.499984740745262"/>
      <name val="Arial"/>
      <family val="2"/>
    </font>
    <font>
      <sz val="10"/>
      <color rgb="FFFF0000"/>
      <name val="Arial"/>
      <family val="2"/>
      <charset val="238"/>
    </font>
    <font>
      <sz val="11"/>
      <color rgb="FF3F3F76"/>
      <name val="Calibri"/>
      <family val="2"/>
    </font>
    <font>
      <b/>
      <sz val="11"/>
      <color rgb="FFFA7D00"/>
      <name val="Calibri"/>
      <family val="2"/>
    </font>
    <font>
      <b/>
      <sz val="10"/>
      <color rgb="FF4F81BD"/>
      <name val="Arial"/>
      <family val="2"/>
    </font>
    <font>
      <u/>
      <sz val="10"/>
      <color rgb="FF1F497D"/>
      <name val="Arial"/>
      <family val="2"/>
    </font>
    <font>
      <sz val="10"/>
      <color rgb="FFFF0000"/>
      <name val="Verdana"/>
      <family val="2"/>
    </font>
    <font>
      <b/>
      <sz val="10"/>
      <name val="Verdana"/>
      <family val="2"/>
    </font>
    <font>
      <b/>
      <sz val="10"/>
      <color rgb="FFFF0000"/>
      <name val="Arial"/>
      <family val="2"/>
    </font>
    <font>
      <sz val="11"/>
      <color rgb="FF9C0006"/>
      <name val="Calibri"/>
      <family val="2"/>
    </font>
    <font>
      <sz val="10"/>
      <color rgb="FFC0504D"/>
      <name val="Arial"/>
      <family val="2"/>
    </font>
    <font>
      <b/>
      <sz val="9"/>
      <color indexed="81"/>
      <name val="Verdana"/>
      <family val="2"/>
    </font>
    <font>
      <sz val="9"/>
      <color indexed="81"/>
      <name val="Verdana"/>
      <family val="2"/>
    </font>
    <font>
      <sz val="10"/>
      <color rgb="FFFF0000"/>
      <name val="Calibri"/>
      <family val="2"/>
      <scheme val="major"/>
    </font>
    <font>
      <u/>
      <sz val="10"/>
      <color rgb="FFFF0000"/>
      <name val="Cambria"/>
      <family val="1"/>
      <scheme val="minor"/>
    </font>
    <font>
      <b/>
      <u/>
      <sz val="10"/>
      <color rgb="FFFF0000"/>
      <name val="Cambria"/>
      <family val="1"/>
      <scheme val="minor"/>
    </font>
    <font>
      <b/>
      <u/>
      <sz val="10"/>
      <color rgb="FFFF0000"/>
      <name val="Calibri"/>
      <family val="2"/>
      <scheme val="major"/>
    </font>
    <font>
      <b/>
      <vertAlign val="subscript"/>
      <sz val="10"/>
      <name val="Cambria"/>
      <family val="1"/>
      <scheme val="minor"/>
    </font>
    <font>
      <sz val="10"/>
      <name val="Arial"/>
      <family val="2"/>
    </font>
    <font>
      <sz val="11"/>
      <color rgb="FFFF0000"/>
      <name val="Cambria"/>
      <family val="2"/>
      <scheme val="minor"/>
    </font>
    <font>
      <b/>
      <sz val="11"/>
      <color indexed="56"/>
      <name val="Calibri"/>
      <family val="2"/>
    </font>
    <font>
      <b/>
      <sz val="11"/>
      <color rgb="FF006100"/>
      <name val="Cambria"/>
      <family val="2"/>
      <scheme val="minor"/>
    </font>
    <font>
      <vertAlign val="subscript"/>
      <sz val="10"/>
      <color rgb="FFFF0000"/>
      <name val="Cambria"/>
      <family val="1"/>
      <scheme val="minor"/>
    </font>
    <font>
      <b/>
      <i/>
      <sz val="10"/>
      <color rgb="FFFF0000"/>
      <name val="Cambria"/>
      <family val="1"/>
      <scheme val="minor"/>
    </font>
    <font>
      <i/>
      <sz val="10"/>
      <color rgb="FFFF0000"/>
      <name val="Cambria"/>
      <family val="1"/>
      <scheme val="minor"/>
    </font>
    <font>
      <sz val="10"/>
      <color theme="1"/>
      <name val="Cambria"/>
      <family val="1"/>
      <scheme val="minor"/>
    </font>
    <font>
      <i/>
      <sz val="11"/>
      <color theme="1"/>
      <name val="Cambria"/>
      <family val="1"/>
      <scheme val="minor"/>
    </font>
    <font>
      <sz val="14"/>
      <name val="Calibri"/>
      <family val="2"/>
      <scheme val="major"/>
    </font>
    <font>
      <i/>
      <sz val="9"/>
      <color indexed="81"/>
      <name val="Tahoma"/>
      <family val="2"/>
    </font>
    <font>
      <sz val="10"/>
      <color indexed="8"/>
      <name val="Cambria"/>
      <family val="1"/>
      <charset val="134"/>
    </font>
    <font>
      <sz val="10"/>
      <color indexed="8"/>
      <name val="Arial"/>
      <family val="2"/>
      <charset val="134"/>
    </font>
    <font>
      <sz val="10"/>
      <color indexed="8"/>
      <name val="Calibri"/>
      <family val="1"/>
      <charset val="134"/>
    </font>
    <font>
      <sz val="8"/>
      <name val="Cambria"/>
      <family val="1"/>
      <charset val="134"/>
    </font>
    <font>
      <sz val="10"/>
      <name val="Arial"/>
      <family val="2"/>
      <charset val="134"/>
    </font>
    <font>
      <u/>
      <sz val="10"/>
      <color indexed="12"/>
      <name val="Calibri"/>
      <family val="1"/>
      <charset val="134"/>
    </font>
    <font>
      <u/>
      <sz val="8.5"/>
      <color indexed="12"/>
      <name val="Cambria"/>
      <family val="1"/>
      <charset val="134"/>
    </font>
    <font>
      <b/>
      <sz val="18"/>
      <color indexed="62"/>
      <name val="Cambria"/>
      <family val="2"/>
      <charset val="134"/>
    </font>
    <font>
      <b/>
      <sz val="11"/>
      <color theme="3" tint="0.39997558519241921"/>
      <name val="Cambria"/>
      <family val="2"/>
      <scheme val="minor"/>
    </font>
    <font>
      <b/>
      <sz val="12"/>
      <color theme="1"/>
      <name val="Cambria"/>
      <family val="2"/>
      <scheme val="minor"/>
    </font>
    <font>
      <sz val="12"/>
      <color rgb="FF000000"/>
      <name val="Cambria"/>
      <family val="2"/>
      <scheme val="minor"/>
    </font>
    <font>
      <b/>
      <sz val="12"/>
      <color rgb="FF000000"/>
      <name val="Cambria"/>
      <family val="2"/>
      <scheme val="minor"/>
    </font>
    <font>
      <sz val="10"/>
      <color theme="1"/>
      <name val="Cambria"/>
      <family val="1"/>
      <scheme val="minor"/>
    </font>
    <font>
      <b/>
      <sz val="10"/>
      <color theme="3"/>
      <name val="Cambria"/>
      <family val="1"/>
      <scheme val="minor"/>
    </font>
    <font>
      <sz val="10"/>
      <color rgb="FF0070C0"/>
      <name val="Cambria"/>
      <family val="1"/>
      <scheme val="minor"/>
    </font>
    <font>
      <sz val="10"/>
      <color theme="3"/>
      <name val="Cambria"/>
      <family val="1"/>
      <scheme val="minor"/>
    </font>
    <font>
      <sz val="10"/>
      <color rgb="FFC00000"/>
      <name val="Cambria"/>
      <family val="1"/>
      <scheme val="minor"/>
    </font>
    <font>
      <sz val="10"/>
      <color rgb="FF002060"/>
      <name val="Cambria"/>
      <family val="1"/>
      <scheme val="minor"/>
    </font>
    <font>
      <b/>
      <sz val="10"/>
      <color rgb="FF002060"/>
      <name val="Cambria"/>
      <family val="1"/>
      <scheme val="minor"/>
    </font>
    <font>
      <sz val="10"/>
      <name val="Verdana"/>
      <family val="2"/>
    </font>
    <font>
      <b/>
      <sz val="15"/>
      <color rgb="FFC00000"/>
      <name val="Cambria"/>
      <family val="2"/>
      <scheme val="minor"/>
    </font>
    <font>
      <b/>
      <sz val="11"/>
      <color rgb="FFC00000"/>
      <name val="Cambria"/>
      <family val="1"/>
      <scheme val="minor"/>
    </font>
    <font>
      <sz val="11"/>
      <color theme="3"/>
      <name val="Cambria"/>
      <family val="1"/>
      <scheme val="minor"/>
    </font>
    <font>
      <b/>
      <sz val="15"/>
      <color rgb="FFC00000"/>
      <name val="Arial"/>
      <family val="2"/>
    </font>
    <font>
      <sz val="15"/>
      <color theme="1"/>
      <name val="Arial"/>
      <family val="2"/>
    </font>
    <font>
      <sz val="14"/>
      <color rgb="FFFF0000"/>
      <name val="Calibri"/>
      <family val="2"/>
      <scheme val="major"/>
    </font>
    <font>
      <sz val="8"/>
      <color rgb="FFFF0000"/>
      <name val="Consolas"/>
      <family val="3"/>
    </font>
    <font>
      <sz val="10"/>
      <color indexed="8"/>
      <name val="Arial"/>
      <family val="2"/>
    </font>
    <font>
      <sz val="11"/>
      <color indexed="8"/>
      <name val="Cambria"/>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indexed="20"/>
      <name val="Arial"/>
      <family val="2"/>
    </font>
    <font>
      <sz val="10"/>
      <color indexed="62"/>
      <name val="Arial"/>
      <family val="2"/>
    </font>
    <font>
      <b/>
      <sz val="11"/>
      <color indexed="52"/>
      <name val="Calibri"/>
      <family val="2"/>
    </font>
    <font>
      <b/>
      <sz val="11"/>
      <color indexed="52"/>
      <name val="Cambria"/>
      <family val="2"/>
    </font>
    <font>
      <b/>
      <sz val="10"/>
      <color indexed="52"/>
      <name val="Arial"/>
      <family val="2"/>
    </font>
    <font>
      <b/>
      <sz val="10"/>
      <color indexed="9"/>
      <name val="Arial"/>
      <family val="2"/>
    </font>
    <font>
      <sz val="10"/>
      <color indexed="8"/>
      <name val="Verdana1"/>
    </font>
    <font>
      <i/>
      <sz val="10"/>
      <color indexed="23"/>
      <name val="Arial"/>
      <family val="2"/>
    </font>
    <font>
      <sz val="10"/>
      <color indexed="57"/>
      <name val="Arial"/>
      <family val="2"/>
      <charset val="238"/>
    </font>
    <font>
      <sz val="10"/>
      <color indexed="57"/>
      <name val="Arial"/>
      <family val="2"/>
    </font>
    <font>
      <sz val="11"/>
      <color indexed="17"/>
      <name val="Calibri"/>
      <family val="2"/>
    </font>
    <font>
      <sz val="11"/>
      <color indexed="17"/>
      <name val="Cambria"/>
      <family val="2"/>
    </font>
    <font>
      <sz val="10"/>
      <color indexed="17"/>
      <name val="Arial"/>
      <family val="2"/>
    </font>
    <font>
      <b/>
      <sz val="15"/>
      <color indexed="56"/>
      <name val="Calibri"/>
      <family val="2"/>
    </font>
    <font>
      <b/>
      <sz val="15"/>
      <color indexed="56"/>
      <name val="Cambria"/>
      <family val="2"/>
    </font>
    <font>
      <b/>
      <sz val="15"/>
      <color indexed="56"/>
      <name val="Arial"/>
      <family val="2"/>
    </font>
    <font>
      <b/>
      <sz val="13"/>
      <color indexed="56"/>
      <name val="Calibri"/>
      <family val="2"/>
    </font>
    <font>
      <b/>
      <sz val="13"/>
      <color indexed="56"/>
      <name val="Cambria"/>
      <family val="2"/>
    </font>
    <font>
      <b/>
      <sz val="13"/>
      <color indexed="56"/>
      <name val="Arial"/>
      <family val="2"/>
    </font>
    <font>
      <b/>
      <sz val="11"/>
      <color indexed="56"/>
      <name val="Cambria"/>
      <family val="2"/>
    </font>
    <font>
      <b/>
      <sz val="11"/>
      <color indexed="56"/>
      <name val="Arial"/>
      <family val="2"/>
    </font>
    <font>
      <b/>
      <i/>
      <sz val="16"/>
      <color indexed="8"/>
      <name val="Arial1"/>
    </font>
    <font>
      <u/>
      <sz val="10"/>
      <color indexed="12"/>
      <name val="Calibri"/>
      <family val="1"/>
    </font>
    <font>
      <u/>
      <sz val="10"/>
      <color indexed="12"/>
      <name val="Cambria"/>
      <family val="1"/>
    </font>
    <font>
      <u/>
      <sz val="8.5"/>
      <color indexed="12"/>
      <name val="Cambria"/>
      <family val="1"/>
    </font>
    <font>
      <sz val="11"/>
      <color indexed="62"/>
      <name val="Calibri"/>
      <family val="2"/>
    </font>
    <font>
      <sz val="11"/>
      <color indexed="62"/>
      <name val="Cambria"/>
      <family val="2"/>
    </font>
    <font>
      <sz val="10"/>
      <color indexed="53"/>
      <name val="Arial"/>
      <family val="2"/>
    </font>
    <font>
      <sz val="10"/>
      <color indexed="52"/>
      <name val="Arial"/>
      <family val="2"/>
    </font>
    <font>
      <sz val="11"/>
      <color indexed="60"/>
      <name val="Calibri"/>
      <family val="2"/>
    </font>
    <font>
      <sz val="11"/>
      <color indexed="60"/>
      <name val="Cambria"/>
      <family val="2"/>
    </font>
    <font>
      <sz val="10"/>
      <color indexed="60"/>
      <name val="Arial"/>
      <family val="2"/>
    </font>
    <font>
      <sz val="10"/>
      <color indexed="8"/>
      <name val="Cambria"/>
      <family val="1"/>
    </font>
    <font>
      <sz val="11"/>
      <color indexed="8"/>
      <name val="Arial1"/>
    </font>
    <font>
      <sz val="12"/>
      <color indexed="8"/>
      <name val="Calibri"/>
      <family val="2"/>
    </font>
    <font>
      <sz val="12"/>
      <color indexed="8"/>
      <name val="Cambria"/>
      <family val="2"/>
    </font>
    <font>
      <sz val="8"/>
      <name val="Calibri"/>
      <family val="1"/>
    </font>
    <font>
      <sz val="8"/>
      <name val="Cambria"/>
      <family val="1"/>
    </font>
    <font>
      <b/>
      <sz val="11"/>
      <color indexed="63"/>
      <name val="Calibri"/>
      <family val="2"/>
    </font>
    <font>
      <b/>
      <sz val="11"/>
      <color indexed="63"/>
      <name val="Cambria"/>
      <family val="2"/>
    </font>
    <font>
      <b/>
      <sz val="10"/>
      <color indexed="63"/>
      <name val="Arial"/>
      <family val="2"/>
    </font>
    <font>
      <sz val="12"/>
      <color indexed="8"/>
      <name val="Arial"/>
      <family val="2"/>
    </font>
    <font>
      <b/>
      <i/>
      <u/>
      <sz val="11"/>
      <color indexed="8"/>
      <name val="Arial1"/>
    </font>
    <font>
      <u/>
      <sz val="10"/>
      <color indexed="45"/>
      <name val="Calibri"/>
      <family val="1"/>
    </font>
    <font>
      <u/>
      <sz val="10"/>
      <color indexed="45"/>
      <name val="Cambria"/>
      <family val="1"/>
    </font>
    <font>
      <b/>
      <sz val="10"/>
      <color indexed="8"/>
      <name val="Arial"/>
      <family val="2"/>
    </font>
    <font>
      <b/>
      <sz val="12"/>
      <color theme="3" tint="0.39997558519241921"/>
      <name val="Cambria"/>
      <family val="2"/>
      <scheme val="minor"/>
    </font>
    <font>
      <b/>
      <i/>
      <sz val="11"/>
      <color theme="1"/>
      <name val="Cambria"/>
      <family val="2"/>
      <scheme val="minor"/>
    </font>
    <font>
      <i/>
      <sz val="10"/>
      <name val="Arial"/>
      <family val="2"/>
    </font>
    <font>
      <sz val="11"/>
      <color rgb="FFC00000"/>
      <name val="Cambria"/>
      <family val="2"/>
      <scheme val="minor"/>
    </font>
    <font>
      <sz val="11"/>
      <color theme="9" tint="-0.499984740745262"/>
      <name val="Cambria"/>
      <family val="2"/>
      <scheme val="minor"/>
    </font>
    <font>
      <sz val="11"/>
      <color theme="1" tint="0.34998626667073579"/>
      <name val="Cambria"/>
      <family val="2"/>
      <scheme val="minor"/>
    </font>
    <font>
      <b/>
      <sz val="11"/>
      <name val="Cambria"/>
      <family val="2"/>
      <scheme val="minor"/>
    </font>
    <font>
      <sz val="11"/>
      <name val="ＭＳ Ｐゴシック"/>
      <family val="3"/>
      <charset val="128"/>
    </font>
    <font>
      <sz val="11"/>
      <color indexed="8"/>
      <name val="ＭＳ Ｐゴシック"/>
      <family val="3"/>
      <charset val="128"/>
    </font>
    <font>
      <i/>
      <sz val="10"/>
      <color rgb="FF000000"/>
      <name val="Cambria"/>
      <family val="1"/>
      <scheme val="minor"/>
    </font>
    <font>
      <b/>
      <sz val="10"/>
      <color theme="3" tint="0.39997558519241921"/>
      <name val="Calibri"/>
      <family val="2"/>
      <scheme val="major"/>
    </font>
    <font>
      <b/>
      <sz val="10"/>
      <color theme="3" tint="0.39997558519241921"/>
      <name val="Cambria"/>
      <family val="1"/>
      <scheme val="minor"/>
    </font>
    <font>
      <sz val="10"/>
      <color theme="3" tint="0.39997558519241921"/>
      <name val="Cambria"/>
      <family val="1"/>
      <scheme val="minor"/>
    </font>
    <font>
      <sz val="8.5"/>
      <color theme="10"/>
      <name val="Cambria"/>
      <family val="1"/>
    </font>
    <font>
      <sz val="10.5"/>
      <color theme="1"/>
      <name val="Times New Roman"/>
      <family val="1"/>
    </font>
    <font>
      <i/>
      <sz val="10.5"/>
      <color theme="1"/>
      <name val="Times New Roman"/>
      <family val="1"/>
    </font>
    <font>
      <b/>
      <sz val="10"/>
      <color rgb="FFC00000"/>
      <name val="Cambria"/>
      <family val="1"/>
      <scheme val="minor"/>
    </font>
    <font>
      <sz val="11"/>
      <color rgb="FF000000"/>
      <name val="Times New Roman"/>
      <family val="1"/>
    </font>
  </fonts>
  <fills count="108">
    <fill>
      <patternFill patternType="none"/>
    </fill>
    <fill>
      <patternFill patternType="gray125"/>
    </fill>
    <fill>
      <patternFill patternType="solid">
        <fgColor theme="4" tint="0.79998168889431442"/>
        <bgColor indexed="64"/>
      </patternFill>
    </fill>
    <fill>
      <patternFill patternType="solid">
        <fgColor rgb="FFFFCC99"/>
      </patternFill>
    </fill>
    <fill>
      <patternFill patternType="solid">
        <fgColor theme="9"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theme="3" tint="-0.249977111117893"/>
        <bgColor indexed="64"/>
      </patternFill>
    </fill>
    <fill>
      <patternFill patternType="solid">
        <fgColor rgb="FFE9EFF7"/>
        <bgColor indexed="64"/>
      </patternFill>
    </fill>
    <fill>
      <patternFill patternType="solid">
        <fgColor rgb="FFFFFF00"/>
        <bgColor indexed="64"/>
      </patternFill>
    </fill>
    <fill>
      <patternFill patternType="solid">
        <fgColor theme="0"/>
        <bgColor indexed="64"/>
      </patternFill>
    </fill>
    <fill>
      <patternFill patternType="solid">
        <fgColor theme="9" tint="0.79998168889431442"/>
        <bgColor indexed="65"/>
      </patternFill>
    </fill>
    <fill>
      <patternFill patternType="solid">
        <fgColor theme="3" tint="0.39997558519241921"/>
        <bgColor indexed="64"/>
      </patternFill>
    </fill>
    <fill>
      <patternFill patternType="solid">
        <fgColor theme="3" tint="0.79998168889431442"/>
        <bgColor indexed="64"/>
      </patternFill>
    </fill>
    <fill>
      <patternFill patternType="solid">
        <fgColor theme="4" tint="0.79998168889431442"/>
        <bgColor indexed="65"/>
      </patternFill>
    </fill>
    <fill>
      <patternFill patternType="solid">
        <fgColor theme="3" tint="0.39997558519241921"/>
        <bgColor theme="5"/>
      </patternFill>
    </fill>
    <fill>
      <patternFill patternType="solid">
        <fgColor theme="3" tint="0.79998168889431442"/>
        <bgColor theme="5" tint="0.59999389629810485"/>
      </patternFill>
    </fill>
    <fill>
      <patternFill patternType="solid">
        <fgColor rgb="FFC6EFCE"/>
      </patternFill>
    </fill>
    <fill>
      <patternFill patternType="solid">
        <fgColor theme="2"/>
        <bgColor indexed="64"/>
      </patternFill>
    </fill>
    <fill>
      <patternFill patternType="solid">
        <fgColor theme="9"/>
      </patternFill>
    </fill>
    <fill>
      <patternFill patternType="solid">
        <fgColor theme="4" tint="0.79998168889431442"/>
        <bgColor theme="4" tint="0.79998168889431442"/>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7"/>
        <bgColor indexed="64"/>
      </patternFill>
    </fill>
    <fill>
      <patternFill patternType="solid">
        <fgColor indexed="55"/>
        <bgColor indexed="64"/>
      </patternFill>
    </fill>
    <fill>
      <patternFill patternType="solid">
        <fgColor rgb="FFFFCC99"/>
        <bgColor indexed="64"/>
      </patternFill>
    </fill>
    <fill>
      <patternFill patternType="solid">
        <fgColor indexed="42"/>
        <bgColor indexed="64"/>
      </patternFill>
    </fill>
    <fill>
      <patternFill patternType="solid">
        <fgColor rgb="FFFFC7CE"/>
        <bgColor indexed="64"/>
      </patternFill>
    </fill>
    <fill>
      <patternFill patternType="solid">
        <fgColor rgb="FFC6EFCE"/>
        <bgColor indexed="64"/>
      </patternFill>
    </fill>
    <fill>
      <patternFill patternType="solid">
        <fgColor indexed="11"/>
      </patternFill>
    </fill>
    <fill>
      <patternFill patternType="solid">
        <fgColor rgb="FFC00000"/>
        <bgColor indexed="64"/>
      </patternFill>
    </fill>
    <fill>
      <patternFill patternType="solid">
        <fgColor rgb="FFFFC000"/>
        <bgColor rgb="FF000000"/>
      </patternFill>
    </fill>
    <fill>
      <patternFill patternType="solid">
        <fgColor rgb="FFF79646"/>
        <bgColor rgb="FFFFFFFF"/>
      </patternFill>
    </fill>
    <fill>
      <patternFill patternType="solid">
        <fgColor rgb="FFFFFFCC"/>
        <bgColor rgb="FFFFFFFF"/>
      </patternFill>
    </fill>
    <fill>
      <patternFill patternType="solid">
        <fgColor rgb="FFFFFF00"/>
        <bgColor rgb="FF000000"/>
      </patternFill>
    </fill>
    <fill>
      <patternFill patternType="solid">
        <fgColor rgb="FFCCFFCC"/>
        <bgColor rgb="FF000000"/>
      </patternFill>
    </fill>
    <fill>
      <patternFill patternType="solid">
        <fgColor rgb="FF99CCFF"/>
        <bgColor rgb="FF000000"/>
      </patternFill>
    </fill>
    <fill>
      <patternFill patternType="solid">
        <fgColor rgb="FFFFCC99"/>
        <bgColor rgb="FFFFFFFF"/>
      </patternFill>
    </fill>
    <fill>
      <patternFill patternType="solid">
        <fgColor rgb="FFF2F2F2"/>
        <bgColor rgb="FFFFFFFF"/>
      </patternFill>
    </fill>
    <fill>
      <patternFill patternType="solid">
        <fgColor rgb="FFFFC7CE"/>
        <bgColor rgb="FFFFFFFF"/>
      </patternFill>
    </fill>
    <fill>
      <patternFill patternType="solid">
        <fgColor theme="7" tint="0.39994506668294322"/>
        <bgColor indexed="64"/>
      </patternFill>
    </fill>
    <fill>
      <patternFill patternType="solid">
        <fgColor theme="6" tint="0.39994506668294322"/>
        <bgColor indexed="64"/>
      </patternFill>
    </fill>
    <fill>
      <patternFill patternType="solid">
        <fgColor theme="6" tint="0.59996337778862885"/>
        <bgColor indexed="64"/>
      </patternFill>
    </fill>
    <fill>
      <patternFill patternType="solid">
        <fgColor theme="8" tint="0.39994506668294322"/>
        <bgColor indexed="64"/>
      </patternFill>
    </fill>
    <fill>
      <patternFill patternType="solid">
        <fgColor rgb="FFFFFFFF"/>
        <bgColor indexed="64"/>
      </patternFill>
    </fill>
    <fill>
      <patternFill patternType="solid">
        <fgColor rgb="FFCCFF33"/>
        <bgColor indexed="64"/>
      </patternFill>
    </fill>
    <fill>
      <patternFill patternType="solid">
        <fgColor theme="7"/>
        <bgColor theme="7"/>
      </patternFill>
    </fill>
    <fill>
      <patternFill patternType="solid">
        <fgColor theme="7" tint="0.59999389629810485"/>
        <bgColor theme="7" tint="0.59999389629810485"/>
      </patternFill>
    </fill>
    <fill>
      <patternFill patternType="solid">
        <fgColor theme="7" tint="0.79998168889431442"/>
        <bgColor theme="7" tint="0.79998168889431442"/>
      </patternFill>
    </fill>
    <fill>
      <patternFill patternType="solid">
        <fgColor indexed="47"/>
        <bgColor indexed="64"/>
      </patternFill>
    </fill>
    <fill>
      <patternFill patternType="solid">
        <fgColor indexed="49"/>
        <bgColor indexed="64"/>
      </patternFill>
    </fill>
    <fill>
      <patternFill patternType="solid">
        <fgColor rgb="FFCCFFCC"/>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36"/>
        <bgColor indexed="64"/>
      </patternFill>
    </fill>
    <fill>
      <patternFill patternType="solid">
        <fgColor indexed="45"/>
        <bgColor indexed="64"/>
      </patternFill>
    </fill>
    <fill>
      <patternFill patternType="solid">
        <fgColor indexed="11"/>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s>
  <borders count="153">
    <border>
      <left/>
      <right/>
      <top/>
      <bottom/>
      <diagonal/>
    </border>
    <border>
      <left/>
      <right/>
      <top/>
      <bottom style="thin">
        <color auto="1"/>
      </bottom>
      <diagonal/>
    </border>
    <border>
      <left/>
      <right/>
      <top style="thin">
        <color auto="1"/>
      </top>
      <bottom style="thin">
        <color theme="0" tint="-0.24994659260841701"/>
      </bottom>
      <diagonal/>
    </border>
    <border>
      <left style="thin">
        <color rgb="FF7F7F7F"/>
      </left>
      <right style="thin">
        <color rgb="FF7F7F7F"/>
      </right>
      <top style="thin">
        <color rgb="FF7F7F7F"/>
      </top>
      <bottom style="thin">
        <color rgb="FF7F7F7F"/>
      </bottom>
      <diagonal/>
    </border>
    <border>
      <left/>
      <right/>
      <top style="thin">
        <color auto="1"/>
      </top>
      <bottom style="thin">
        <color auto="1"/>
      </bottom>
      <diagonal/>
    </border>
    <border>
      <left/>
      <right/>
      <top style="thin">
        <color auto="1"/>
      </top>
      <bottom style="double">
        <color auto="1"/>
      </bottom>
      <diagonal/>
    </border>
    <border>
      <left/>
      <right/>
      <top/>
      <bottom style="double">
        <color auto="1"/>
      </bottom>
      <diagonal/>
    </border>
    <border>
      <left/>
      <right/>
      <top style="thin">
        <color auto="1"/>
      </top>
      <bottom/>
      <diagonal/>
    </border>
    <border>
      <left/>
      <right/>
      <top style="double">
        <color auto="1"/>
      </top>
      <bottom style="double">
        <color auto="1"/>
      </bottom>
      <diagonal/>
    </border>
    <border>
      <left/>
      <right/>
      <top/>
      <bottom style="thin">
        <color theme="1"/>
      </bottom>
      <diagonal/>
    </border>
    <border>
      <left/>
      <right/>
      <top style="thin">
        <color theme="0" tint="-0.34998626667073579"/>
      </top>
      <bottom/>
      <diagonal/>
    </border>
    <border>
      <left/>
      <right/>
      <top/>
      <bottom style="thin">
        <color theme="0" tint="-0.34998626667073579"/>
      </bottom>
      <diagonal/>
    </border>
    <border>
      <left/>
      <right/>
      <top style="thin">
        <color theme="1" tint="4.9989318521683403E-2"/>
      </top>
      <bottom style="thin">
        <color theme="0" tint="-0.34998626667073579"/>
      </bottom>
      <diagonal/>
    </border>
    <border>
      <left/>
      <right/>
      <top/>
      <bottom style="thin">
        <color theme="1" tint="4.9989318521683403E-2"/>
      </bottom>
      <diagonal/>
    </border>
    <border>
      <left style="thin">
        <color theme="0" tint="-0.34998626667073579"/>
      </left>
      <right/>
      <top style="thin">
        <color theme="1" tint="4.9989318521683403E-2"/>
      </top>
      <bottom style="thin">
        <color theme="0" tint="-0.34998626667073579"/>
      </bottom>
      <diagonal/>
    </border>
    <border>
      <left style="thin">
        <color theme="0" tint="-0.34998626667073579"/>
      </left>
      <right/>
      <top/>
      <bottom/>
      <diagonal/>
    </border>
    <border>
      <left style="thin">
        <color theme="0" tint="-0.34998626667073579"/>
      </left>
      <right/>
      <top/>
      <bottom style="thin">
        <color theme="1" tint="4.9989318521683403E-2"/>
      </bottom>
      <diagonal/>
    </border>
    <border>
      <left/>
      <right/>
      <top style="thin">
        <color theme="0" tint="-0.34998626667073579"/>
      </top>
      <bottom style="thin">
        <color auto="1"/>
      </bottom>
      <diagonal/>
    </border>
    <border>
      <left/>
      <right/>
      <top style="thin">
        <color theme="1" tint="4.9989318521683403E-2"/>
      </top>
      <bottom/>
      <diagonal/>
    </border>
    <border>
      <left style="thin">
        <color theme="0" tint="-0.34998626667073579"/>
      </left>
      <right/>
      <top/>
      <bottom style="thin">
        <color theme="0" tint="-0.34998626667073579"/>
      </bottom>
      <diagonal/>
    </border>
    <border>
      <left style="thin">
        <color theme="0" tint="-0.34998626667073579"/>
      </left>
      <right/>
      <top/>
      <bottom style="thin">
        <color auto="1"/>
      </bottom>
      <diagonal/>
    </border>
    <border>
      <left style="thin">
        <color theme="0" tint="-0.34998626667073579"/>
      </left>
      <right/>
      <top style="thin">
        <color theme="0" tint="-0.34998626667073579"/>
      </top>
      <bottom/>
      <diagonal/>
    </border>
    <border>
      <left/>
      <right/>
      <top/>
      <bottom style="thin">
        <color theme="0"/>
      </bottom>
      <diagonal/>
    </border>
    <border>
      <left style="thin">
        <color theme="0"/>
      </left>
      <right style="thin">
        <color theme="0"/>
      </right>
      <top style="thin">
        <color theme="0"/>
      </top>
      <bottom style="thin">
        <color theme="0"/>
      </bottom>
      <diagonal/>
    </border>
    <border>
      <left/>
      <right/>
      <top style="thin">
        <color theme="0"/>
      </top>
      <bottom/>
      <diagonal/>
    </border>
    <border>
      <left style="thin">
        <color theme="0"/>
      </left>
      <right style="thin">
        <color theme="0"/>
      </right>
      <top style="thin">
        <color theme="0"/>
      </top>
      <bottom/>
      <diagonal/>
    </border>
    <border>
      <left/>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right style="thin">
        <color theme="0"/>
      </right>
      <top/>
      <bottom style="thin">
        <color theme="0"/>
      </bottom>
      <diagonal/>
    </border>
    <border>
      <left style="thin">
        <color theme="0"/>
      </left>
      <right/>
      <top/>
      <bottom/>
      <diagonal/>
    </border>
    <border>
      <left/>
      <right style="thin">
        <color theme="0"/>
      </right>
      <top/>
      <bottom/>
      <diagonal/>
    </border>
    <border>
      <left/>
      <right/>
      <top style="thin">
        <color auto="1"/>
      </top>
      <bottom style="thin">
        <color theme="0" tint="-0.34998626667073579"/>
      </bottom>
      <diagonal/>
    </border>
    <border>
      <left/>
      <right style="thin">
        <color theme="0" tint="-0.34998626667073579"/>
      </right>
      <top style="thin">
        <color theme="1" tint="4.9989318521683403E-2"/>
      </top>
      <bottom style="thin">
        <color theme="0" tint="-0.34998626667073579"/>
      </bottom>
      <diagonal/>
    </border>
    <border>
      <left/>
      <right style="thick">
        <color theme="9" tint="0.79998168889431442"/>
      </right>
      <top/>
      <bottom/>
      <diagonal/>
    </border>
    <border>
      <left style="thick">
        <color theme="9" tint="0.79998168889431442"/>
      </left>
      <right/>
      <top/>
      <bottom/>
      <diagonal/>
    </border>
    <border>
      <left/>
      <right style="thick">
        <color theme="9" tint="0.79998168889431442"/>
      </right>
      <top style="thin">
        <color theme="1" tint="4.9989318521683403E-2"/>
      </top>
      <bottom style="thin">
        <color theme="0" tint="-0.34998626667073579"/>
      </bottom>
      <diagonal/>
    </border>
    <border>
      <left style="thick">
        <color theme="9" tint="0.79998168889431442"/>
      </left>
      <right/>
      <top style="thin">
        <color theme="1" tint="4.9989318521683403E-2"/>
      </top>
      <bottom style="thin">
        <color theme="0" tint="-0.34998626667073579"/>
      </bottom>
      <diagonal/>
    </border>
    <border>
      <left/>
      <right style="thick">
        <color theme="9" tint="0.79998168889431442"/>
      </right>
      <top/>
      <bottom style="thin">
        <color auto="1"/>
      </bottom>
      <diagonal/>
    </border>
    <border>
      <left style="thick">
        <color theme="9" tint="0.79998168889431442"/>
      </left>
      <right/>
      <top/>
      <bottom style="thin">
        <color auto="1"/>
      </bottom>
      <diagonal/>
    </border>
    <border>
      <left/>
      <right/>
      <top style="thin">
        <color theme="0" tint="-0.34998626667073579"/>
      </top>
      <bottom style="thin">
        <color theme="0" tint="-0.34998626667073579"/>
      </bottom>
      <diagonal/>
    </border>
    <border>
      <left style="thin">
        <color theme="0" tint="-0.34998626667073579"/>
      </left>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style="thin">
        <color theme="0"/>
      </right>
      <top/>
      <bottom style="thin">
        <color auto="1"/>
      </bottom>
      <diagonal/>
    </border>
    <border>
      <left/>
      <right style="thin">
        <color theme="0"/>
      </right>
      <top/>
      <bottom style="thick">
        <color theme="0"/>
      </bottom>
      <diagonal/>
    </border>
    <border>
      <left/>
      <right/>
      <top/>
      <bottom style="thick">
        <color theme="0"/>
      </bottom>
      <diagonal/>
    </border>
    <border>
      <left/>
      <right/>
      <top style="thin">
        <color theme="1" tint="4.9989318521683403E-2"/>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style="medium">
        <color auto="1"/>
      </left>
      <right style="medium">
        <color auto="1"/>
      </right>
      <top style="medium">
        <color auto="1"/>
      </top>
      <bottom/>
      <diagonal/>
    </border>
    <border>
      <left/>
      <right style="thick">
        <color theme="9" tint="0.79998168889431442"/>
      </right>
      <top/>
      <bottom style="thin">
        <color theme="0"/>
      </bottom>
      <diagonal/>
    </border>
    <border>
      <left style="medium">
        <color auto="1"/>
      </left>
      <right style="medium">
        <color auto="1"/>
      </right>
      <top/>
      <bottom/>
      <diagonal/>
    </border>
    <border>
      <left style="thin">
        <color theme="5" tint="0.79998168889431442"/>
      </left>
      <right style="thin">
        <color theme="5" tint="0.79998168889431442"/>
      </right>
      <top style="thin">
        <color theme="5" tint="0.79998168889431442"/>
      </top>
      <bottom style="thin">
        <color theme="5" tint="0.79998168889431442"/>
      </bottom>
      <diagonal/>
    </border>
    <border>
      <left style="thin">
        <color theme="5" tint="0.79998168889431442"/>
      </left>
      <right style="thin">
        <color theme="5" tint="0.79998168889431442"/>
      </right>
      <top/>
      <bottom style="thin">
        <color theme="5" tint="0.79998168889431442"/>
      </bottom>
      <diagonal/>
    </border>
    <border>
      <left style="thin">
        <color theme="5" tint="0.79998168889431442"/>
      </left>
      <right style="thin">
        <color theme="5" tint="0.79998168889431442"/>
      </right>
      <top style="thin">
        <color theme="5" tint="0.79998168889431442"/>
      </top>
      <bottom style="thin">
        <color auto="1"/>
      </bottom>
      <diagonal/>
    </border>
    <border>
      <left/>
      <right style="thin">
        <color theme="0"/>
      </right>
      <top style="thin">
        <color theme="1" tint="4.9989318521683403E-2"/>
      </top>
      <bottom style="thin">
        <color theme="0" tint="-0.34998626667073579"/>
      </bottom>
      <diagonal/>
    </border>
    <border>
      <left style="thin">
        <color theme="5" tint="0.79998168889431442"/>
      </left>
      <right style="thin">
        <color theme="5" tint="0.79998168889431442"/>
      </right>
      <top style="thin">
        <color auto="1"/>
      </top>
      <bottom style="thin">
        <color theme="0" tint="-0.34998626667073579"/>
      </bottom>
      <diagonal/>
    </border>
    <border>
      <left style="thin">
        <color theme="5" tint="0.79998168889431442"/>
      </left>
      <right style="thin">
        <color theme="5" tint="0.79998168889431442"/>
      </right>
      <top/>
      <bottom/>
      <diagonal/>
    </border>
    <border>
      <left style="thin">
        <color theme="5" tint="0.79998168889431442"/>
      </left>
      <right style="thin">
        <color theme="5" tint="0.79998168889431442"/>
      </right>
      <top/>
      <bottom style="thin">
        <color auto="1"/>
      </bottom>
      <diagonal/>
    </border>
    <border>
      <left style="thick">
        <color theme="9" tint="0.79998168889431442"/>
      </left>
      <right style="thin">
        <color theme="0"/>
      </right>
      <top style="thin">
        <color theme="1" tint="4.9989318521683403E-2"/>
      </top>
      <bottom style="thin">
        <color theme="0" tint="-0.34998626667073579"/>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theme="0" tint="-0.34998626667073579"/>
      </right>
      <top style="thin">
        <color auto="1"/>
      </top>
      <bottom style="thin">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bottom/>
      <diagonal/>
    </border>
    <border>
      <left/>
      <right/>
      <top/>
      <bottom style="thick">
        <color indexed="62"/>
      </bottom>
      <diagonal/>
    </border>
    <border>
      <left style="medium">
        <color auto="1"/>
      </left>
      <right style="medium">
        <color auto="1"/>
      </right>
      <top style="thin">
        <color auto="1"/>
      </top>
      <bottom style="medium">
        <color auto="1"/>
      </bottom>
      <diagonal/>
    </border>
    <border>
      <left style="thick">
        <color theme="9" tint="0.79998168889431442"/>
      </left>
      <right/>
      <top/>
      <bottom style="thin">
        <color theme="0" tint="-0.34998626667073579"/>
      </bottom>
      <diagonal/>
    </border>
    <border>
      <left/>
      <right/>
      <top/>
      <bottom style="thin">
        <color rgb="FFFFFFFF"/>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auto="1"/>
      </left>
      <right style="thin">
        <color auto="1"/>
      </right>
      <top style="thin">
        <color auto="1"/>
      </top>
      <bottom/>
      <diagonal/>
    </border>
    <border>
      <left style="medium">
        <color auto="1"/>
      </left>
      <right/>
      <top style="medium">
        <color auto="1"/>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top style="thin">
        <color auto="1"/>
      </top>
      <bottom/>
      <diagonal/>
    </border>
    <border>
      <left style="thin">
        <color auto="1"/>
      </left>
      <right style="medium">
        <color auto="1"/>
      </right>
      <top/>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right/>
      <top style="thin">
        <color theme="0" tint="-0.24994659260841701"/>
      </top>
      <bottom/>
      <diagonal/>
    </border>
    <border>
      <left style="thin">
        <color rgb="FF7F7F7F"/>
      </left>
      <right/>
      <top style="thin">
        <color rgb="FF7F7F7F"/>
      </top>
      <bottom style="thin">
        <color auto="1"/>
      </bottom>
      <diagonal/>
    </border>
    <border>
      <left style="thin">
        <color theme="0"/>
      </left>
      <right style="thin">
        <color theme="0"/>
      </right>
      <top/>
      <bottom style="thick">
        <color theme="0"/>
      </bottom>
      <diagonal/>
    </border>
    <border>
      <left style="thin">
        <color theme="0"/>
      </left>
      <right/>
      <top/>
      <bottom style="thick">
        <color theme="0"/>
      </bottom>
      <diagonal/>
    </border>
    <border>
      <left/>
      <right style="thick">
        <color theme="9" tint="0.79998168889431442"/>
      </right>
      <top style="thin">
        <color auto="1"/>
      </top>
      <bottom/>
      <diagonal/>
    </border>
    <border>
      <left/>
      <right/>
      <top/>
      <bottom style="thin">
        <color auto="1"/>
      </bottom>
      <diagonal/>
    </border>
    <border>
      <left/>
      <right/>
      <top style="thin">
        <color auto="1"/>
      </top>
      <bottom style="thin">
        <color auto="1"/>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auto="1"/>
      </left>
      <right/>
      <top/>
      <bottom/>
      <diagonal/>
    </border>
    <border>
      <left/>
      <right/>
      <top style="thin">
        <color auto="1"/>
      </top>
      <bottom style="thin">
        <color auto="1"/>
      </bottom>
      <diagonal/>
    </border>
    <border>
      <left/>
      <right/>
      <top style="thin">
        <color auto="1"/>
      </top>
      <bottom style="thin">
        <color auto="1"/>
      </bottom>
      <diagonal/>
    </border>
    <border>
      <left style="thin">
        <color auto="1"/>
      </left>
      <right/>
      <top/>
      <bottom style="medium">
        <color theme="4" tint="0.39997558519241921"/>
      </bottom>
      <diagonal/>
    </border>
    <border>
      <left/>
      <right style="thick">
        <color theme="9" tint="0.79998168889431442"/>
      </right>
      <top/>
      <bottom style="thin">
        <color auto="1"/>
      </bottom>
      <diagonal/>
    </border>
    <border>
      <left style="thick">
        <color theme="9" tint="0.79998168889431442"/>
      </left>
      <right/>
      <top/>
      <bottom style="thin">
        <color auto="1"/>
      </bottom>
      <diagonal/>
    </border>
    <border>
      <left style="thin">
        <color theme="0" tint="-0.34998626667073579"/>
      </left>
      <right/>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22"/>
      </bottom>
      <diagonal/>
    </border>
    <border>
      <left/>
      <right/>
      <top/>
      <bottom style="medium">
        <color indexed="30"/>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n">
        <color auto="1"/>
      </bottom>
      <diagonal/>
    </border>
    <border>
      <left/>
      <right/>
      <top style="thin">
        <color auto="1"/>
      </top>
      <bottom style="thin">
        <color auto="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right/>
      <top style="thin">
        <color auto="1"/>
      </top>
      <bottom style="thin">
        <color auto="1"/>
      </bottom>
      <diagonal/>
    </border>
    <border>
      <left/>
      <right/>
      <top style="thin">
        <color auto="1"/>
      </top>
      <bottom/>
      <diagonal/>
    </border>
    <border>
      <left/>
      <right/>
      <top/>
      <bottom style="thin">
        <color auto="1"/>
      </bottom>
      <diagonal/>
    </border>
    <border>
      <left/>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
      <left/>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style="thick">
        <color auto="1"/>
      </left>
      <right style="thick">
        <color auto="1"/>
      </right>
      <top style="thick">
        <color auto="1"/>
      </top>
      <bottom style="thick">
        <color auto="1"/>
      </bottom>
      <diagonal/>
    </border>
    <border>
      <left style="thin">
        <color auto="1"/>
      </left>
      <right/>
      <top style="thin">
        <color auto="1"/>
      </top>
      <bottom/>
      <diagonal/>
    </border>
    <border>
      <left style="thin">
        <color auto="1"/>
      </left>
      <right/>
      <top style="thin">
        <color auto="1"/>
      </top>
      <bottom style="thin">
        <color auto="1"/>
      </bottom>
      <diagonal/>
    </border>
    <border>
      <left/>
      <right style="double">
        <color auto="1"/>
      </right>
      <top style="thin">
        <color auto="1"/>
      </top>
      <bottom style="thin">
        <color auto="1"/>
      </bottom>
      <diagonal/>
    </border>
  </borders>
  <cellStyleXfs count="33358">
    <xf numFmtId="0" fontId="0" fillId="0" borderId="0"/>
    <xf numFmtId="179" fontId="66" fillId="0" borderId="0" applyFont="0" applyFill="0" applyBorder="0" applyAlignment="0" applyProtection="0"/>
    <xf numFmtId="175" fontId="52" fillId="0" borderId="0" applyFont="0" applyFill="0" applyBorder="0" applyAlignment="0" applyProtection="0"/>
    <xf numFmtId="0" fontId="70" fillId="3" borderId="3" applyNumberFormat="0" applyAlignment="0" applyProtection="0"/>
    <xf numFmtId="170" fontId="77" fillId="0" borderId="0" applyNumberFormat="0" applyFill="0" applyBorder="0" applyAlignment="0" applyProtection="0"/>
    <xf numFmtId="0" fontId="62" fillId="0" borderId="2" applyNumberFormat="0">
      <alignment horizontal="left" vertical="center"/>
    </xf>
    <xf numFmtId="0" fontId="71" fillId="0" borderId="0"/>
    <xf numFmtId="179" fontId="66" fillId="0" borderId="0" applyFon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9" fillId="0" borderId="0"/>
    <xf numFmtId="0" fontId="110" fillId="0" borderId="0" applyNumberFormat="0" applyFill="0" applyBorder="0" applyAlignment="0" applyProtection="0">
      <alignment vertical="top"/>
      <protection locked="0"/>
    </xf>
    <xf numFmtId="0" fontId="106" fillId="0" borderId="0" applyNumberFormat="0" applyFill="0" applyBorder="0" applyAlignment="0" applyProtection="0"/>
    <xf numFmtId="0" fontId="107" fillId="0" borderId="0" applyNumberFormat="0" applyFill="0" applyBorder="0" applyAlignment="0" applyProtection="0"/>
    <xf numFmtId="0" fontId="49" fillId="19" borderId="0" applyNumberFormat="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49" fillId="22" borderId="0" applyNumberFormat="0" applyBorder="0" applyAlignment="0" applyProtection="0"/>
    <xf numFmtId="0" fontId="106" fillId="0" borderId="0" applyNumberFormat="0" applyFill="0" applyBorder="0" applyAlignment="0" applyProtection="0"/>
    <xf numFmtId="0" fontId="49" fillId="0" borderId="0"/>
    <xf numFmtId="43" fontId="49" fillId="0" borderId="0" applyFont="0" applyFill="0" applyBorder="0" applyAlignment="0" applyProtection="0"/>
    <xf numFmtId="0" fontId="49" fillId="0" borderId="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11" fillId="25" borderId="0" applyNumberFormat="0" applyBorder="0" applyAlignment="0" applyProtection="0"/>
    <xf numFmtId="0" fontId="48" fillId="19" borderId="0" applyNumberFormat="0" applyBorder="0" applyAlignment="0" applyProtection="0"/>
    <xf numFmtId="0" fontId="48" fillId="0" borderId="0"/>
    <xf numFmtId="0" fontId="48" fillId="0" borderId="0"/>
    <xf numFmtId="0" fontId="47" fillId="19" borderId="0" applyNumberFormat="0" applyBorder="0" applyAlignment="0" applyProtection="0"/>
    <xf numFmtId="0" fontId="113" fillId="27" borderId="0" applyNumberFormat="0" applyBorder="0" applyAlignment="0" applyProtection="0"/>
    <xf numFmtId="0" fontId="123" fillId="0" borderId="0" applyNumberFormat="0" applyFill="0" applyBorder="0" applyAlignment="0" applyProtection="0"/>
    <xf numFmtId="0" fontId="124" fillId="0" borderId="78" applyNumberFormat="0" applyFill="0" applyAlignment="0" applyProtection="0"/>
    <xf numFmtId="0" fontId="125" fillId="0" borderId="79" applyNumberFormat="0" applyFill="0" applyAlignment="0" applyProtection="0"/>
    <xf numFmtId="0" fontId="126" fillId="0" borderId="80" applyNumberFormat="0" applyFill="0" applyAlignment="0" applyProtection="0"/>
    <xf numFmtId="0" fontId="126" fillId="0" borderId="0" applyNumberFormat="0" applyFill="0" applyBorder="0" applyAlignment="0" applyProtection="0"/>
    <xf numFmtId="0" fontId="127" fillId="29" borderId="0" applyNumberFormat="0" applyBorder="0" applyAlignment="0" applyProtection="0"/>
    <xf numFmtId="0" fontId="128" fillId="30" borderId="0" applyNumberFormat="0" applyBorder="0" applyAlignment="0" applyProtection="0"/>
    <xf numFmtId="0" fontId="129" fillId="31" borderId="81" applyNumberFormat="0" applyAlignment="0" applyProtection="0"/>
    <xf numFmtId="0" fontId="130" fillId="31" borderId="3" applyNumberFormat="0" applyAlignment="0" applyProtection="0"/>
    <xf numFmtId="0" fontId="131" fillId="0" borderId="82" applyNumberFormat="0" applyFill="0" applyAlignment="0" applyProtection="0"/>
    <xf numFmtId="0" fontId="132" fillId="32" borderId="83" applyNumberFormat="0" applyAlignment="0" applyProtection="0"/>
    <xf numFmtId="0" fontId="133" fillId="0" borderId="0" applyNumberFormat="0" applyFill="0" applyBorder="0" applyAlignment="0" applyProtection="0"/>
    <xf numFmtId="0" fontId="134" fillId="0" borderId="0" applyNumberFormat="0" applyFill="0" applyBorder="0" applyAlignment="0" applyProtection="0"/>
    <xf numFmtId="0" fontId="98" fillId="0" borderId="85" applyNumberFormat="0" applyFill="0" applyAlignment="0" applyProtection="0"/>
    <xf numFmtId="0" fontId="113" fillId="34" borderId="0" applyNumberFormat="0" applyBorder="0" applyAlignment="0" applyProtection="0"/>
    <xf numFmtId="0" fontId="46" fillId="35" borderId="0" applyNumberFormat="0" applyBorder="0" applyAlignment="0" applyProtection="0"/>
    <xf numFmtId="0" fontId="113" fillId="36" borderId="0" applyNumberFormat="0" applyBorder="0" applyAlignment="0" applyProtection="0"/>
    <xf numFmtId="0" fontId="113" fillId="37"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113" fillId="40" borderId="0" applyNumberFormat="0" applyBorder="0" applyAlignment="0" applyProtection="0"/>
    <xf numFmtId="0" fontId="113" fillId="41"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113" fillId="44" borderId="0" applyNumberFormat="0" applyBorder="0" applyAlignment="0" applyProtection="0"/>
    <xf numFmtId="0" fontId="113" fillId="45"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113" fillId="48" borderId="0" applyNumberFormat="0" applyBorder="0" applyAlignment="0" applyProtection="0"/>
    <xf numFmtId="0" fontId="113" fillId="49" borderId="0" applyNumberFormat="0" applyBorder="0" applyAlignment="0" applyProtection="0"/>
    <xf numFmtId="0" fontId="46" fillId="50" borderId="0" applyNumberFormat="0" applyBorder="0" applyAlignment="0" applyProtection="0"/>
    <xf numFmtId="0" fontId="46" fillId="51" borderId="0" applyNumberFormat="0" applyBorder="0" applyAlignment="0" applyProtection="0"/>
    <xf numFmtId="0" fontId="113" fillId="52" borderId="0" applyNumberFormat="0" applyBorder="0" applyAlignment="0" applyProtection="0"/>
    <xf numFmtId="0" fontId="46" fillId="53" borderId="0" applyNumberFormat="0" applyBorder="0" applyAlignment="0" applyProtection="0"/>
    <xf numFmtId="0" fontId="113" fillId="54" borderId="0" applyNumberFormat="0" applyBorder="0" applyAlignment="0" applyProtection="0"/>
    <xf numFmtId="0" fontId="46" fillId="0" borderId="0"/>
    <xf numFmtId="0" fontId="46" fillId="33" borderId="84" applyNumberFormat="0" applyFont="0" applyAlignment="0" applyProtection="0"/>
    <xf numFmtId="0" fontId="46" fillId="22" borderId="0" applyNumberFormat="0" applyBorder="0" applyAlignment="0" applyProtection="0"/>
    <xf numFmtId="0" fontId="46" fillId="19" borderId="0" applyNumberFormat="0" applyBorder="0" applyAlignment="0" applyProtection="0"/>
    <xf numFmtId="0" fontId="45" fillId="0" borderId="0"/>
    <xf numFmtId="0" fontId="45" fillId="33" borderId="84" applyNumberFormat="0" applyFont="0" applyAlignment="0" applyProtection="0"/>
    <xf numFmtId="0" fontId="45" fillId="22" borderId="0" applyNumberFormat="0" applyBorder="0" applyAlignment="0" applyProtection="0"/>
    <xf numFmtId="0" fontId="45" fillId="35"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19" borderId="0" applyNumberFormat="0" applyBorder="0" applyAlignment="0" applyProtection="0"/>
    <xf numFmtId="0" fontId="45" fillId="53" borderId="0" applyNumberFormat="0" applyBorder="0" applyAlignment="0" applyProtection="0"/>
    <xf numFmtId="0" fontId="44" fillId="0" borderId="0"/>
    <xf numFmtId="0" fontId="44" fillId="33" borderId="84" applyNumberFormat="0" applyFont="0" applyAlignment="0" applyProtection="0"/>
    <xf numFmtId="0" fontId="44" fillId="22" borderId="0" applyNumberFormat="0" applyBorder="0" applyAlignment="0" applyProtection="0"/>
    <xf numFmtId="0" fontId="44" fillId="35"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19" borderId="0" applyNumberFormat="0" applyBorder="0" applyAlignment="0" applyProtection="0"/>
    <xf numFmtId="0" fontId="44" fillId="53" borderId="0" applyNumberFormat="0" applyBorder="0" applyAlignment="0" applyProtection="0"/>
    <xf numFmtId="0" fontId="118"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175" fontId="52" fillId="0" borderId="0" applyFont="0" applyFill="0" applyBorder="0" applyAlignment="0" applyProtection="0"/>
    <xf numFmtId="9" fontId="71" fillId="0" borderId="0" applyFont="0" applyFill="0" applyBorder="0" applyAlignment="0" applyProtection="0"/>
    <xf numFmtId="0" fontId="42" fillId="0" borderId="0"/>
    <xf numFmtId="0" fontId="71" fillId="0" borderId="0" applyNumberFormat="0" applyFont="0" applyFill="0" applyBorder="0" applyProtection="0">
      <alignment horizontal="left" vertical="center" indent="5"/>
    </xf>
    <xf numFmtId="4" fontId="139" fillId="55" borderId="77">
      <alignment horizontal="right" vertical="center"/>
    </xf>
    <xf numFmtId="0" fontId="140" fillId="29" borderId="0" applyNumberFormat="0" applyBorder="0" applyAlignment="0" applyProtection="0"/>
    <xf numFmtId="0" fontId="140" fillId="29" borderId="0" applyNumberFormat="0" applyBorder="0" applyAlignment="0" applyProtection="0"/>
    <xf numFmtId="0" fontId="141" fillId="0" borderId="0" applyNumberFormat="0" applyFill="0" applyBorder="0" applyAlignment="0" applyProtection="0"/>
    <xf numFmtId="0" fontId="142" fillId="31" borderId="3" applyNumberFormat="0" applyAlignment="0" applyProtection="0"/>
    <xf numFmtId="166" fontId="42" fillId="0" borderId="0" applyFont="0" applyFill="0" applyBorder="0" applyAlignment="0" applyProtection="0"/>
    <xf numFmtId="188" fontId="137" fillId="0" borderId="0" applyFill="0" applyBorder="0" applyAlignment="0" applyProtection="0"/>
    <xf numFmtId="188" fontId="137" fillId="0" borderId="0" applyFill="0" applyBorder="0" applyAlignment="0" applyProtection="0"/>
    <xf numFmtId="166" fontId="71" fillId="0" borderId="0" applyFont="0" applyFill="0" applyBorder="0" applyAlignment="0" applyProtection="0"/>
    <xf numFmtId="164" fontId="71" fillId="0" borderId="0" applyFont="0" applyFill="0" applyBorder="0" applyAlignment="0" applyProtection="0"/>
    <xf numFmtId="0" fontId="138" fillId="0" borderId="0" applyNumberFormat="0">
      <alignment horizontal="right"/>
    </xf>
    <xf numFmtId="0" fontId="71" fillId="0" borderId="61"/>
    <xf numFmtId="189" fontId="143" fillId="0" borderId="0"/>
    <xf numFmtId="0" fontId="135" fillId="0" borderId="0"/>
    <xf numFmtId="190" fontId="144" fillId="0" borderId="0"/>
    <xf numFmtId="4" fontId="145" fillId="0" borderId="0" applyNumberFormat="0" applyFill="0" applyBorder="0" applyAlignment="0" applyProtection="0">
      <alignment horizontal="center"/>
    </xf>
    <xf numFmtId="4" fontId="146" fillId="0" borderId="0" applyNumberFormat="0" applyFill="0" applyBorder="0" applyAlignment="0" applyProtection="0">
      <alignment horizontal="center"/>
    </xf>
    <xf numFmtId="0" fontId="147" fillId="0" borderId="0">
      <alignment horizontal="center"/>
    </xf>
    <xf numFmtId="0" fontId="148" fillId="0" borderId="79" applyNumberFormat="0" applyFill="0" applyAlignment="0" applyProtection="0"/>
    <xf numFmtId="0" fontId="149" fillId="0" borderId="80" applyNumberFormat="0" applyFill="0" applyAlignment="0" applyProtection="0"/>
    <xf numFmtId="0" fontId="149" fillId="0" borderId="0" applyNumberFormat="0" applyFill="0" applyBorder="0" applyAlignment="0" applyProtection="0"/>
    <xf numFmtId="0" fontId="147" fillId="0" borderId="0">
      <alignment horizontal="center" textRotation="90"/>
    </xf>
    <xf numFmtId="0" fontId="136" fillId="0" borderId="0" applyNumberFormat="0" applyFill="0" applyBorder="0" applyAlignment="0" applyProtection="0"/>
    <xf numFmtId="0" fontId="150" fillId="0" borderId="0" applyNumberFormat="0" applyFill="0" applyBorder="0" applyAlignment="0" applyProtection="0">
      <alignment vertical="top"/>
      <protection locked="0"/>
    </xf>
    <xf numFmtId="0" fontId="151" fillId="3" borderId="3" applyNumberFormat="0" applyAlignment="0" applyProtection="0"/>
    <xf numFmtId="0" fontId="152" fillId="0" borderId="0" applyNumberFormat="0" applyFill="0" applyBorder="0" applyAlignment="0" applyProtection="0"/>
    <xf numFmtId="0" fontId="153" fillId="30" borderId="0" applyNumberFormat="0" applyBorder="0" applyAlignment="0" applyProtection="0"/>
    <xf numFmtId="0" fontId="135" fillId="0" borderId="0"/>
    <xf numFmtId="0" fontId="71" fillId="0" borderId="0"/>
    <xf numFmtId="0" fontId="71" fillId="0" borderId="0"/>
    <xf numFmtId="0" fontId="154" fillId="0" borderId="0"/>
    <xf numFmtId="0" fontId="71" fillId="0" borderId="0"/>
    <xf numFmtId="0" fontId="42" fillId="0" borderId="0"/>
    <xf numFmtId="0" fontId="71" fillId="0" borderId="0"/>
    <xf numFmtId="0" fontId="42" fillId="0" borderId="0"/>
    <xf numFmtId="0" fontId="50" fillId="0" borderId="0"/>
    <xf numFmtId="0" fontId="71" fillId="0" borderId="0"/>
    <xf numFmtId="0" fontId="71" fillId="56" borderId="0" applyNumberFormat="0" applyFont="0" applyBorder="0" applyAlignment="0" applyProtection="0"/>
    <xf numFmtId="0" fontId="71" fillId="0" borderId="0"/>
    <xf numFmtId="0" fontId="42" fillId="33" borderId="84" applyNumberFormat="0" applyFont="0" applyAlignment="0" applyProtection="0"/>
    <xf numFmtId="9" fontId="42" fillId="0" borderId="0" applyFont="0" applyFill="0" applyBorder="0" applyAlignment="0" applyProtection="0"/>
    <xf numFmtId="9" fontId="135" fillId="0" borderId="0" applyFill="0" applyBorder="0" applyAlignment="0" applyProtection="0"/>
    <xf numFmtId="9" fontId="71"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50" fillId="0" borderId="0" applyFont="0" applyFill="0" applyBorder="0" applyAlignment="0" applyProtection="0"/>
    <xf numFmtId="0" fontId="155" fillId="0" borderId="0"/>
    <xf numFmtId="191" fontId="155" fillId="0" borderId="0"/>
    <xf numFmtId="0" fontId="139" fillId="0" borderId="0"/>
    <xf numFmtId="0" fontId="41" fillId="0" borderId="0"/>
    <xf numFmtId="43" fontId="71" fillId="0" borderId="0" applyFont="0" applyFill="0" applyBorder="0" applyAlignment="0" applyProtection="0"/>
    <xf numFmtId="191" fontId="151" fillId="57" borderId="3" applyNumberFormat="0" applyAlignment="0" applyProtection="0"/>
    <xf numFmtId="0" fontId="71" fillId="33" borderId="84" applyNumberFormat="0" applyFont="0" applyAlignment="0" applyProtection="0"/>
    <xf numFmtId="0" fontId="4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0" fontId="41" fillId="0" borderId="0"/>
    <xf numFmtId="9" fontId="41" fillId="0" borderId="0" applyFont="0" applyFill="0" applyBorder="0" applyAlignment="0" applyProtection="0"/>
    <xf numFmtId="9" fontId="41" fillId="0" borderId="0" applyFont="0" applyFill="0" applyBorder="0" applyAlignment="0" applyProtection="0"/>
    <xf numFmtId="0" fontId="71" fillId="0" borderId="0"/>
    <xf numFmtId="0" fontId="40" fillId="0" borderId="0"/>
    <xf numFmtId="9" fontId="40" fillId="0" borderId="0" applyFont="0" applyFill="0" applyBorder="0" applyAlignment="0" applyProtection="0"/>
    <xf numFmtId="166" fontId="71" fillId="0" borderId="0" applyFont="0" applyFill="0" applyBorder="0" applyAlignment="0" applyProtection="0"/>
    <xf numFmtId="0" fontId="165" fillId="45" borderId="0" applyNumberFormat="0" applyBorder="0" applyAlignment="0" applyProtection="0"/>
    <xf numFmtId="0" fontId="165" fillId="27" borderId="0" applyNumberFormat="0" applyBorder="0" applyAlignment="0" applyProtection="0"/>
    <xf numFmtId="43" fontId="71" fillId="0" borderId="0" applyFont="0" applyFill="0" applyBorder="0" applyAlignment="0" applyProtection="0"/>
    <xf numFmtId="166" fontId="39" fillId="0" borderId="0" applyFont="0" applyFill="0" applyBorder="0" applyAlignment="0" applyProtection="0"/>
    <xf numFmtId="0" fontId="39" fillId="0" borderId="0"/>
    <xf numFmtId="0" fontId="39" fillId="0" borderId="0"/>
    <xf numFmtId="0" fontId="39" fillId="33" borderId="84" applyNumberFormat="0" applyFont="0" applyAlignment="0" applyProtection="0"/>
    <xf numFmtId="9" fontId="39" fillId="0" borderId="0" applyFont="0" applyFill="0" applyBorder="0" applyAlignment="0" applyProtection="0"/>
    <xf numFmtId="0" fontId="38" fillId="0" borderId="0"/>
    <xf numFmtId="0" fontId="167" fillId="0" borderId="0"/>
    <xf numFmtId="9" fontId="135" fillId="0" borderId="0" applyFont="0" applyFill="0" applyBorder="0" applyAlignment="0" applyProtection="0"/>
    <xf numFmtId="166" fontId="135" fillId="0" borderId="0" applyFont="0" applyFill="0" applyBorder="0" applyAlignment="0" applyProtection="0"/>
    <xf numFmtId="0" fontId="43" fillId="22" borderId="0" applyNumberFormat="0" applyBorder="0" applyAlignment="0" applyProtection="0"/>
    <xf numFmtId="0" fontId="43" fillId="42" borderId="0" applyNumberFormat="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43" fillId="38"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22" borderId="0" applyNumberFormat="0" applyBorder="0" applyAlignment="0" applyProtection="0"/>
    <xf numFmtId="0" fontId="43" fillId="19" borderId="0" applyNumberFormat="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43" fillId="38" borderId="0" applyNumberFormat="0" applyBorder="0" applyAlignment="0" applyProtection="0"/>
    <xf numFmtId="0" fontId="38" fillId="0" borderId="0"/>
    <xf numFmtId="9" fontId="38" fillId="0" borderId="0" applyFont="0" applyFill="0" applyBorder="0" applyAlignment="0" applyProtection="0"/>
    <xf numFmtId="0" fontId="71" fillId="0" borderId="0"/>
    <xf numFmtId="0" fontId="43" fillId="42" borderId="0" applyNumberFormat="0" applyBorder="0" applyAlignment="0" applyProtection="0"/>
    <xf numFmtId="0" fontId="135" fillId="33" borderId="84" applyNumberFormat="0" applyFont="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43" fillId="46" borderId="0" applyNumberFormat="0" applyBorder="0" applyAlignment="0" applyProtection="0"/>
    <xf numFmtId="0" fontId="43" fillId="46" borderId="0" applyNumberFormat="0" applyBorder="0" applyAlignment="0" applyProtection="0"/>
    <xf numFmtId="0" fontId="43" fillId="50" borderId="0" applyNumberFormat="0" applyBorder="0" applyAlignment="0" applyProtection="0"/>
    <xf numFmtId="0" fontId="43" fillId="50"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19" borderId="0" applyNumberFormat="0" applyBorder="0" applyAlignment="0" applyProtection="0"/>
    <xf numFmtId="0" fontId="43" fillId="35" borderId="0" applyNumberFormat="0" applyBorder="0" applyAlignment="0" applyProtection="0"/>
    <xf numFmtId="0" fontId="43" fillId="35"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3" fillId="43" borderId="0" applyNumberFormat="0" applyBorder="0" applyAlignment="0" applyProtection="0"/>
    <xf numFmtId="0" fontId="43" fillId="43" borderId="0" applyNumberFormat="0" applyBorder="0" applyAlignment="0" applyProtection="0"/>
    <xf numFmtId="0" fontId="43" fillId="47" borderId="0" applyNumberFormat="0" applyBorder="0" applyAlignment="0" applyProtection="0"/>
    <xf numFmtId="0" fontId="43" fillId="47" borderId="0" applyNumberFormat="0" applyBorder="0" applyAlignment="0" applyProtection="0"/>
    <xf numFmtId="0" fontId="43" fillId="51" borderId="0" applyNumberFormat="0" applyBorder="0" applyAlignment="0" applyProtection="0"/>
    <xf numFmtId="0" fontId="43" fillId="51" borderId="0" applyNumberFormat="0" applyBorder="0" applyAlignment="0" applyProtection="0"/>
    <xf numFmtId="0" fontId="43" fillId="53" borderId="0" applyNumberFormat="0" applyBorder="0" applyAlignment="0" applyProtection="0"/>
    <xf numFmtId="0" fontId="43" fillId="53" borderId="0" applyNumberFormat="0" applyBorder="0" applyAlignment="0" applyProtection="0"/>
    <xf numFmtId="43" fontId="43" fillId="0" borderId="0" applyFont="0" applyFill="0" applyBorder="0" applyAlignment="0" applyProtection="0"/>
    <xf numFmtId="164" fontId="38" fillId="0" borderId="0" applyFont="0" applyFill="0" applyBorder="0" applyAlignment="0" applyProtection="0"/>
    <xf numFmtId="166" fontId="38" fillId="0" borderId="0" applyFont="0" applyFill="0" applyBorder="0" applyAlignment="0" applyProtection="0"/>
    <xf numFmtId="0" fontId="151" fillId="3" borderId="3" applyNumberFormat="0" applyAlignment="0" applyProtection="0"/>
    <xf numFmtId="0" fontId="38" fillId="0" borderId="0"/>
    <xf numFmtId="0" fontId="43" fillId="0" borderId="0"/>
    <xf numFmtId="0" fontId="43" fillId="0" borderId="0"/>
    <xf numFmtId="0" fontId="43" fillId="0" borderId="0"/>
    <xf numFmtId="0" fontId="43" fillId="0" borderId="0"/>
    <xf numFmtId="0" fontId="38" fillId="0" borderId="0"/>
    <xf numFmtId="0" fontId="38" fillId="0" borderId="0"/>
    <xf numFmtId="0" fontId="38" fillId="0" borderId="0"/>
    <xf numFmtId="0" fontId="43" fillId="0" borderId="0"/>
    <xf numFmtId="0" fontId="38" fillId="0" borderId="0"/>
    <xf numFmtId="0" fontId="38" fillId="0" borderId="0"/>
    <xf numFmtId="0" fontId="38" fillId="0" borderId="0"/>
    <xf numFmtId="0" fontId="38" fillId="0" borderId="0"/>
    <xf numFmtId="0" fontId="43" fillId="0" borderId="0"/>
    <xf numFmtId="0" fontId="43" fillId="0" borderId="0"/>
    <xf numFmtId="0" fontId="38" fillId="0" borderId="0"/>
    <xf numFmtId="0" fontId="38" fillId="0" borderId="0"/>
    <xf numFmtId="0" fontId="38" fillId="0" borderId="0"/>
    <xf numFmtId="0" fontId="43" fillId="33" borderId="84" applyNumberFormat="0" applyFont="0" applyAlignment="0" applyProtection="0"/>
    <xf numFmtId="0" fontId="43" fillId="33" borderId="84" applyNumberFormat="0" applyFont="0" applyAlignment="0" applyProtection="0"/>
    <xf numFmtId="0" fontId="43" fillId="33" borderId="84" applyNumberFormat="0" applyFont="0" applyAlignment="0" applyProtection="0"/>
    <xf numFmtId="0" fontId="38" fillId="33" borderId="84" applyNumberFormat="0" applyFont="0" applyAlignment="0" applyProtection="0"/>
    <xf numFmtId="0" fontId="38" fillId="33" borderId="84" applyNumberFormat="0" applyFont="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71"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0" fontId="37" fillId="0" borderId="0"/>
    <xf numFmtId="9" fontId="37" fillId="0" borderId="0" applyFont="0" applyFill="0" applyBorder="0" applyAlignment="0" applyProtection="0"/>
    <xf numFmtId="164" fontId="36" fillId="0" borderId="0" applyFont="0" applyFill="0" applyBorder="0" applyAlignment="0" applyProtection="0"/>
    <xf numFmtId="166"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33" borderId="84" applyNumberFormat="0" applyFont="0" applyAlignment="0" applyProtection="0"/>
    <xf numFmtId="0" fontId="36" fillId="33" borderId="84" applyNumberFormat="0" applyFont="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0" fontId="35" fillId="0" borderId="0"/>
    <xf numFmtId="9" fontId="35" fillId="0" borderId="0" applyFont="0" applyFill="0" applyBorder="0" applyAlignment="0" applyProtection="0"/>
    <xf numFmtId="191" fontId="34" fillId="38" borderId="0" applyNumberFormat="0" applyBorder="0" applyAlignment="0" applyProtection="0"/>
    <xf numFmtId="191" fontId="140" fillId="59" borderId="0" applyNumberFormat="0" applyBorder="0" applyAlignment="0" applyProtection="0"/>
    <xf numFmtId="191" fontId="141" fillId="0" borderId="0" applyNumberFormat="0" applyFill="0" applyBorder="0" applyAlignment="0" applyProtection="0"/>
    <xf numFmtId="191" fontId="142" fillId="31" borderId="3" applyNumberFormat="0" applyAlignment="0" applyProtection="0"/>
    <xf numFmtId="195" fontId="172" fillId="0" borderId="0"/>
    <xf numFmtId="195" fontId="172" fillId="0" borderId="0"/>
    <xf numFmtId="195" fontId="172" fillId="0" borderId="0"/>
    <xf numFmtId="195" fontId="172" fillId="0" borderId="0"/>
    <xf numFmtId="195" fontId="172" fillId="0" borderId="0"/>
    <xf numFmtId="195" fontId="172" fillId="0" borderId="0"/>
    <xf numFmtId="195" fontId="172" fillId="0" borderId="0"/>
    <xf numFmtId="195" fontId="172" fillId="0" borderId="0"/>
    <xf numFmtId="166" fontId="34" fillId="0" borderId="0" applyFont="0" applyFill="0" applyBorder="0" applyAlignment="0" applyProtection="0"/>
    <xf numFmtId="164" fontId="34" fillId="0" borderId="0" applyFont="0" applyFill="0" applyBorder="0" applyAlignment="0" applyProtection="0"/>
    <xf numFmtId="3" fontId="173" fillId="0" borderId="0" applyFont="0" applyFill="0" applyBorder="0" applyAlignment="0" applyProtection="0"/>
    <xf numFmtId="196" fontId="71" fillId="0" borderId="0" applyFont="0" applyFill="0" applyBorder="0" applyAlignment="0" applyProtection="0"/>
    <xf numFmtId="191" fontId="173" fillId="0" borderId="0" applyFont="0" applyFill="0" applyBorder="0" applyAlignment="0" applyProtection="0"/>
    <xf numFmtId="191" fontId="174" fillId="0" borderId="0">
      <protection locked="0"/>
    </xf>
    <xf numFmtId="191" fontId="174" fillId="0" borderId="0">
      <protection locked="0"/>
    </xf>
    <xf numFmtId="191" fontId="175" fillId="0" borderId="0">
      <protection locked="0"/>
    </xf>
    <xf numFmtId="191" fontId="174" fillId="0" borderId="0">
      <protection locked="0"/>
    </xf>
    <xf numFmtId="191" fontId="174" fillId="0" borderId="0">
      <protection locked="0"/>
    </xf>
    <xf numFmtId="191" fontId="174" fillId="0" borderId="0">
      <protection locked="0"/>
    </xf>
    <xf numFmtId="191" fontId="175" fillId="0" borderId="0">
      <protection locked="0"/>
    </xf>
    <xf numFmtId="2" fontId="173" fillId="0" borderId="0" applyFont="0" applyFill="0" applyBorder="0" applyAlignment="0" applyProtection="0"/>
    <xf numFmtId="191" fontId="176" fillId="60" borderId="0" applyNumberFormat="0" applyBorder="0" applyAlignment="0" applyProtection="0"/>
    <xf numFmtId="191" fontId="75" fillId="0" borderId="63" applyNumberFormat="0" applyAlignment="0" applyProtection="0">
      <alignment horizontal="left" vertical="center"/>
    </xf>
    <xf numFmtId="191" fontId="75" fillId="0" borderId="4">
      <alignment horizontal="left" vertical="center"/>
    </xf>
    <xf numFmtId="191" fontId="177" fillId="0" borderId="90" applyNumberFormat="0" applyFill="0" applyAlignment="0" applyProtection="0"/>
    <xf numFmtId="191" fontId="178" fillId="0" borderId="78" applyNumberFormat="0" applyFill="0" applyAlignment="0" applyProtection="0"/>
    <xf numFmtId="191" fontId="148" fillId="0" borderId="79" applyNumberFormat="0" applyFill="0" applyAlignment="0" applyProtection="0"/>
    <xf numFmtId="191" fontId="149" fillId="0" borderId="80" applyNumberFormat="0" applyFill="0" applyAlignment="0" applyProtection="0"/>
    <xf numFmtId="191" fontId="151" fillId="3" borderId="3" applyNumberFormat="0" applyAlignment="0" applyProtection="0"/>
    <xf numFmtId="197" fontId="71" fillId="61" borderId="0" applyNumberFormat="0" applyFont="0" applyBorder="0" applyAlignment="0" applyProtection="0"/>
    <xf numFmtId="191" fontId="152" fillId="0" borderId="0" applyNumberFormat="0" applyFill="0" applyBorder="0" applyAlignment="0" applyProtection="0"/>
    <xf numFmtId="191" fontId="153" fillId="30" borderId="0" applyNumberFormat="0" applyBorder="0" applyAlignment="0" applyProtection="0"/>
    <xf numFmtId="198" fontId="179" fillId="0" borderId="0"/>
    <xf numFmtId="0" fontId="34" fillId="33" borderId="84" applyNumberFormat="0" applyFont="0" applyAlignment="0" applyProtection="0"/>
    <xf numFmtId="191" fontId="180" fillId="31" borderId="81" applyNumberFormat="0" applyAlignment="0" applyProtection="0"/>
    <xf numFmtId="191" fontId="71" fillId="0" borderId="0"/>
    <xf numFmtId="0" fontId="181" fillId="0" borderId="0" applyFill="0" applyBorder="0"/>
    <xf numFmtId="191" fontId="182" fillId="0" borderId="0">
      <alignment vertical="top"/>
    </xf>
    <xf numFmtId="43" fontId="71" fillId="0" borderId="0" applyFont="0" applyFill="0" applyBorder="0" applyAlignment="0" applyProtection="0"/>
    <xf numFmtId="191" fontId="34" fillId="0" borderId="0"/>
    <xf numFmtId="166" fontId="34" fillId="0" borderId="0" applyFont="0" applyFill="0" applyBorder="0" applyAlignment="0" applyProtection="0"/>
    <xf numFmtId="0" fontId="34" fillId="0" borderId="0"/>
    <xf numFmtId="0" fontId="34" fillId="33" borderId="84" applyNumberFormat="0" applyFont="0" applyAlignment="0" applyProtection="0"/>
    <xf numFmtId="9" fontId="34" fillId="0" borderId="0" applyFont="0" applyFill="0" applyBorder="0" applyAlignment="0" applyProtection="0"/>
    <xf numFmtId="0" fontId="33" fillId="0" borderId="0"/>
    <xf numFmtId="166" fontId="71" fillId="0" borderId="0" applyFont="0" applyFill="0" applyBorder="0" applyAlignment="0" applyProtection="0"/>
    <xf numFmtId="166" fontId="183" fillId="0" borderId="0" applyFont="0" applyFill="0" applyBorder="0" applyAlignment="0" applyProtection="0"/>
    <xf numFmtId="166" fontId="183" fillId="0" borderId="0" applyFont="0" applyFill="0" applyBorder="0" applyAlignment="0" applyProtection="0"/>
    <xf numFmtId="166" fontId="33" fillId="0" borderId="0" applyFont="0" applyFill="0" applyBorder="0" applyAlignment="0" applyProtection="0"/>
    <xf numFmtId="4" fontId="184" fillId="0" borderId="0" applyNumberFormat="0" applyFill="0" applyBorder="0" applyAlignment="0" applyProtection="0">
      <alignment horizontal="center"/>
    </xf>
    <xf numFmtId="0" fontId="185" fillId="0" borderId="79" applyNumberFormat="0" applyFill="0" applyAlignment="0" applyProtection="0"/>
    <xf numFmtId="0" fontId="186" fillId="0" borderId="0" applyNumberFormat="0" applyFill="0" applyBorder="0" applyAlignment="0" applyProtection="0"/>
    <xf numFmtId="0" fontId="187" fillId="0" borderId="0" applyNumberFormat="0" applyFill="0" applyBorder="0" applyAlignment="0" applyProtection="0">
      <alignment vertical="top"/>
      <protection locked="0"/>
    </xf>
    <xf numFmtId="0" fontId="33" fillId="0" borderId="0"/>
    <xf numFmtId="0" fontId="33" fillId="0" borderId="0"/>
    <xf numFmtId="0" fontId="33" fillId="0" borderId="0"/>
    <xf numFmtId="0" fontId="33" fillId="33" borderId="84" applyNumberFormat="0" applyFont="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0" fontId="33" fillId="0" borderId="0"/>
    <xf numFmtId="9" fontId="33" fillId="0" borderId="0" applyFont="0" applyFill="0" applyBorder="0" applyAlignment="0" applyProtection="0"/>
    <xf numFmtId="164" fontId="33" fillId="0" borderId="0" applyFont="0" applyFill="0" applyBorder="0" applyAlignment="0" applyProtection="0"/>
    <xf numFmtId="9" fontId="33" fillId="0" borderId="0" applyFont="0" applyFill="0" applyBorder="0" applyAlignment="0" applyProtection="0"/>
    <xf numFmtId="191" fontId="140" fillId="29" borderId="0" applyNumberFormat="0" applyBorder="0" applyAlignment="0" applyProtection="0"/>
    <xf numFmtId="191" fontId="33" fillId="0" borderId="0"/>
    <xf numFmtId="166" fontId="33" fillId="0" borderId="0" applyFont="0" applyFill="0" applyBorder="0" applyAlignment="0" applyProtection="0"/>
    <xf numFmtId="166" fontId="33" fillId="0" borderId="0" applyFont="0" applyFill="0" applyBorder="0" applyAlignment="0" applyProtection="0"/>
    <xf numFmtId="191" fontId="33" fillId="0" borderId="0"/>
    <xf numFmtId="0" fontId="33" fillId="0" borderId="0"/>
    <xf numFmtId="9" fontId="33" fillId="0" borderId="0" applyFont="0" applyFill="0" applyBorder="0" applyAlignment="0" applyProtection="0"/>
    <xf numFmtId="0" fontId="33" fillId="33" borderId="84" applyNumberFormat="0" applyFont="0" applyAlignment="0" applyProtection="0"/>
    <xf numFmtId="0" fontId="33" fillId="0" borderId="0"/>
    <xf numFmtId="9" fontId="33" fillId="0" borderId="0" applyFont="0" applyFill="0" applyBorder="0" applyAlignment="0" applyProtection="0"/>
    <xf numFmtId="0" fontId="198" fillId="0" borderId="0" applyNumberFormat="0" applyFill="0" applyBorder="0" applyAlignment="0" applyProtection="0"/>
    <xf numFmtId="0" fontId="194" fillId="0" borderId="0" applyNumberFormat="0" applyFill="0" applyBorder="0" applyAlignment="0" applyProtection="0"/>
    <xf numFmtId="9" fontId="135" fillId="0" borderId="0" applyFont="0" applyFill="0" applyBorder="0" applyAlignment="0" applyProtection="0"/>
    <xf numFmtId="166" fontId="33" fillId="0" borderId="0" applyFont="0" applyFill="0" applyBorder="0" applyAlignment="0" applyProtection="0"/>
    <xf numFmtId="191" fontId="32" fillId="0" borderId="0"/>
    <xf numFmtId="9" fontId="32" fillId="0" borderId="0" applyFont="0" applyFill="0" applyBorder="0" applyAlignment="0" applyProtection="0"/>
    <xf numFmtId="166" fontId="32"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0" fontId="31" fillId="33" borderId="84" applyNumberFormat="0" applyFont="0" applyAlignment="0" applyProtection="0"/>
    <xf numFmtId="166" fontId="31" fillId="0" borderId="0" applyFont="0" applyFill="0" applyBorder="0" applyAlignment="0" applyProtection="0"/>
    <xf numFmtId="0" fontId="221" fillId="0" borderId="0"/>
    <xf numFmtId="172" fontId="71" fillId="72" borderId="94" applyNumberFormat="0" applyFont="0" applyAlignment="0"/>
    <xf numFmtId="0" fontId="71" fillId="73" borderId="95" applyNumberFormat="0" applyFont="0" applyAlignment="0"/>
    <xf numFmtId="0" fontId="72" fillId="74" borderId="95" applyNumberFormat="0" applyFont="0" applyAlignment="0"/>
    <xf numFmtId="0" fontId="177" fillId="0" borderId="90" applyNumberFormat="0" applyFill="0" applyAlignment="0" applyProtection="0"/>
    <xf numFmtId="0" fontId="71" fillId="75" borderId="96" applyNumberFormat="0" applyFont="0" applyAlignment="0"/>
    <xf numFmtId="0" fontId="30" fillId="0" borderId="0"/>
    <xf numFmtId="9" fontId="30" fillId="0" borderId="0" applyFont="0" applyFill="0" applyBorder="0" applyAlignment="0" applyProtection="0"/>
    <xf numFmtId="0" fontId="30" fillId="33" borderId="84" applyNumberFormat="0" applyFont="0" applyAlignment="0" applyProtection="0"/>
    <xf numFmtId="166" fontId="30" fillId="0" borderId="0" applyFont="0" applyFill="0" applyBorder="0" applyAlignment="0" applyProtection="0"/>
    <xf numFmtId="0" fontId="30" fillId="0" borderId="0"/>
    <xf numFmtId="0" fontId="29" fillId="0" borderId="0"/>
    <xf numFmtId="0" fontId="52" fillId="0" borderId="0"/>
    <xf numFmtId="175" fontId="52" fillId="0" borderId="0" applyFont="0" applyFill="0" applyBorder="0" applyAlignment="0" applyProtection="0"/>
    <xf numFmtId="0" fontId="43" fillId="22" borderId="0" applyNumberFormat="0" applyBorder="0" applyAlignment="0" applyProtection="0"/>
    <xf numFmtId="0" fontId="43" fillId="38" borderId="0" applyNumberFormat="0" applyBorder="0" applyAlignment="0" applyProtection="0"/>
    <xf numFmtId="0" fontId="43" fillId="42" borderId="0" applyNumberFormat="0" applyBorder="0" applyAlignment="0" applyProtection="0"/>
    <xf numFmtId="0" fontId="43" fillId="46" borderId="0" applyNumberFormat="0" applyBorder="0" applyAlignment="0" applyProtection="0"/>
    <xf numFmtId="0" fontId="43" fillId="50" borderId="0" applyNumberFormat="0" applyBorder="0" applyAlignment="0" applyProtection="0"/>
    <xf numFmtId="0" fontId="43" fillId="19" borderId="0" applyNumberFormat="0" applyBorder="0" applyAlignment="0" applyProtection="0"/>
    <xf numFmtId="0" fontId="43" fillId="35" borderId="0" applyNumberFormat="0" applyBorder="0" applyAlignment="0" applyProtection="0"/>
    <xf numFmtId="0" fontId="43" fillId="39" borderId="0" applyNumberFormat="0" applyBorder="0" applyAlignment="0" applyProtection="0"/>
    <xf numFmtId="0" fontId="43" fillId="43" borderId="0" applyNumberFormat="0" applyBorder="0" applyAlignment="0" applyProtection="0"/>
    <xf numFmtId="0" fontId="43" fillId="47" borderId="0" applyNumberFormat="0" applyBorder="0" applyAlignment="0" applyProtection="0"/>
    <xf numFmtId="0" fontId="43" fillId="51" borderId="0" applyNumberFormat="0" applyBorder="0" applyAlignment="0" applyProtection="0"/>
    <xf numFmtId="0" fontId="43" fillId="53" borderId="0" applyNumberFormat="0" applyBorder="0" applyAlignment="0" applyProtection="0"/>
    <xf numFmtId="0" fontId="113" fillId="36" borderId="0" applyNumberFormat="0" applyBorder="0" applyAlignment="0" applyProtection="0"/>
    <xf numFmtId="0" fontId="113" fillId="40" borderId="0" applyNumberFormat="0" applyBorder="0" applyAlignment="0" applyProtection="0"/>
    <xf numFmtId="0" fontId="113" fillId="44" borderId="0" applyNumberFormat="0" applyBorder="0" applyAlignment="0" applyProtection="0"/>
    <xf numFmtId="0" fontId="113" fillId="48" borderId="0" applyNumberFormat="0" applyBorder="0" applyAlignment="0" applyProtection="0"/>
    <xf numFmtId="0" fontId="113" fillId="52" borderId="0" applyNumberFormat="0" applyBorder="0" applyAlignment="0" applyProtection="0"/>
    <xf numFmtId="0" fontId="113" fillId="54" borderId="0" applyNumberFormat="0" applyBorder="0" applyAlignment="0" applyProtection="0"/>
    <xf numFmtId="0" fontId="113" fillId="34" borderId="0" applyNumberFormat="0" applyBorder="0" applyAlignment="0" applyProtection="0"/>
    <xf numFmtId="0" fontId="113" fillId="37" borderId="0" applyNumberFormat="0" applyBorder="0" applyAlignment="0" applyProtection="0"/>
    <xf numFmtId="0" fontId="113" fillId="41" borderId="0" applyNumberFormat="0" applyBorder="0" applyAlignment="0" applyProtection="0"/>
    <xf numFmtId="0" fontId="113" fillId="45" borderId="0" applyNumberFormat="0" applyBorder="0" applyAlignment="0" applyProtection="0"/>
    <xf numFmtId="0" fontId="113" fillId="49" borderId="0" applyNumberFormat="0" applyBorder="0" applyAlignment="0" applyProtection="0"/>
    <xf numFmtId="0" fontId="113" fillId="27" borderId="0" applyNumberFormat="0" applyBorder="0" applyAlignment="0" applyProtection="0"/>
    <xf numFmtId="0" fontId="127" fillId="29" borderId="0" applyNumberFormat="0" applyBorder="0" applyAlignment="0" applyProtection="0"/>
    <xf numFmtId="0" fontId="130" fillId="31" borderId="3" applyNumberFormat="0" applyAlignment="0" applyProtection="0"/>
    <xf numFmtId="0" fontId="132" fillId="32" borderId="83" applyNumberFormat="0" applyAlignment="0" applyProtection="0"/>
    <xf numFmtId="175" fontId="52" fillId="0" borderId="0" applyFont="0" applyFill="0" applyBorder="0" applyAlignment="0" applyProtection="0"/>
    <xf numFmtId="44" fontId="52" fillId="0" borderId="0" applyFont="0" applyFill="0" applyBorder="0" applyAlignment="0" applyProtection="0"/>
    <xf numFmtId="0" fontId="134" fillId="0" borderId="0" applyNumberFormat="0" applyFill="0" applyBorder="0" applyAlignment="0" applyProtection="0"/>
    <xf numFmtId="0" fontId="111" fillId="25" borderId="0" applyNumberFormat="0" applyBorder="0" applyAlignment="0" applyProtection="0"/>
    <xf numFmtId="0" fontId="124" fillId="0" borderId="78" applyNumberFormat="0" applyFill="0" applyAlignment="0" applyProtection="0"/>
    <xf numFmtId="0" fontId="125" fillId="0" borderId="79" applyNumberFormat="0" applyFill="0" applyAlignment="0" applyProtection="0"/>
    <xf numFmtId="0" fontId="126" fillId="0" borderId="80" applyNumberFormat="0" applyFill="0" applyAlignment="0" applyProtection="0"/>
    <xf numFmtId="0" fontId="126" fillId="0" borderId="0" applyNumberFormat="0" applyFill="0" applyBorder="0" applyAlignment="0" applyProtection="0"/>
    <xf numFmtId="0" fontId="70" fillId="3" borderId="3" applyNumberFormat="0" applyAlignment="0" applyProtection="0"/>
    <xf numFmtId="0" fontId="131" fillId="0" borderId="82" applyNumberFormat="0" applyFill="0" applyAlignment="0" applyProtection="0"/>
    <xf numFmtId="0" fontId="128" fillId="30" borderId="0" applyNumberFormat="0" applyBorder="0" applyAlignment="0" applyProtection="0"/>
    <xf numFmtId="0" fontId="129" fillId="31" borderId="81" applyNumberFormat="0" applyAlignment="0" applyProtection="0"/>
    <xf numFmtId="179" fontId="66" fillId="0" borderId="0" applyFont="0" applyFill="0" applyBorder="0" applyAlignment="0" applyProtection="0"/>
    <xf numFmtId="0" fontId="98" fillId="0" borderId="85" applyNumberFormat="0" applyFill="0" applyAlignment="0" applyProtection="0"/>
    <xf numFmtId="0" fontId="133" fillId="0" borderId="0" applyNumberFormat="0" applyFill="0" applyBorder="0" applyAlignment="0" applyProtection="0"/>
    <xf numFmtId="0" fontId="52" fillId="0" borderId="0"/>
    <xf numFmtId="175" fontId="52" fillId="0" borderId="0" applyFont="0" applyFill="0" applyBorder="0" applyAlignment="0" applyProtection="0"/>
    <xf numFmtId="0" fontId="28" fillId="0" borderId="0"/>
    <xf numFmtId="0" fontId="28" fillId="0" borderId="0"/>
    <xf numFmtId="9" fontId="28" fillId="0" borderId="0" applyFont="0" applyFill="0" applyBorder="0" applyAlignment="0" applyProtection="0"/>
    <xf numFmtId="191" fontId="28" fillId="0" borderId="0"/>
    <xf numFmtId="191" fontId="28" fillId="38" borderId="0" applyNumberFormat="0" applyBorder="0" applyAlignment="0" applyProtection="0"/>
    <xf numFmtId="9" fontId="28" fillId="0" borderId="0" applyFont="0" applyFill="0" applyBorder="0" applyAlignment="0" applyProtection="0"/>
    <xf numFmtId="191" fontId="28" fillId="33" borderId="84" applyNumberFormat="0" applyFont="0" applyAlignment="0" applyProtection="0"/>
    <xf numFmtId="166" fontId="28" fillId="0" borderId="0" applyFont="0" applyFill="0" applyBorder="0" applyAlignment="0" applyProtection="0"/>
    <xf numFmtId="166" fontId="28" fillId="0" borderId="0" applyFont="0" applyFill="0" applyBorder="0" applyAlignment="0" applyProtection="0"/>
    <xf numFmtId="191" fontId="28" fillId="0" borderId="0"/>
    <xf numFmtId="0" fontId="28" fillId="33" borderId="84" applyNumberFormat="0" applyFont="0" applyAlignment="0" applyProtection="0"/>
    <xf numFmtId="0" fontId="28" fillId="0" borderId="0"/>
    <xf numFmtId="0" fontId="28" fillId="33" borderId="84" applyNumberFormat="0" applyFont="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191" fontId="28" fillId="0" borderId="0"/>
    <xf numFmtId="166" fontId="28" fillId="0" borderId="0" applyFont="0" applyFill="0" applyBorder="0" applyAlignment="0" applyProtection="0"/>
    <xf numFmtId="166" fontId="28" fillId="0" borderId="0" applyFont="0" applyFill="0" applyBorder="0" applyAlignment="0" applyProtection="0"/>
    <xf numFmtId="191" fontId="28" fillId="0" borderId="0"/>
    <xf numFmtId="0" fontId="27" fillId="0" borderId="0"/>
    <xf numFmtId="0" fontId="27" fillId="33" borderId="84" applyNumberFormat="0" applyFont="0" applyAlignment="0" applyProtection="0"/>
    <xf numFmtId="9" fontId="27" fillId="0" borderId="0" applyFont="0" applyFill="0" applyBorder="0" applyAlignment="0" applyProtection="0"/>
    <xf numFmtId="0" fontId="178" fillId="0" borderId="78" applyNumberFormat="0" applyFill="0" applyAlignment="0" applyProtection="0"/>
    <xf numFmtId="0" fontId="26" fillId="0" borderId="0"/>
    <xf numFmtId="0" fontId="176" fillId="25" borderId="0" applyNumberFormat="0" applyBorder="0" applyAlignment="0" applyProtection="0"/>
    <xf numFmtId="0" fontId="180" fillId="31" borderId="81" applyNumberFormat="0" applyAlignment="0" applyProtection="0"/>
    <xf numFmtId="166" fontId="26" fillId="0" borderId="0" applyFont="0" applyFill="0" applyBorder="0" applyAlignment="0" applyProtection="0"/>
    <xf numFmtId="9"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166"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26" fillId="0" borderId="0"/>
    <xf numFmtId="166" fontId="26" fillId="0" borderId="0" applyFont="0" applyFill="0" applyBorder="0" applyAlignment="0" applyProtection="0"/>
    <xf numFmtId="9" fontId="26" fillId="0" borderId="0" applyFont="0" applyFill="0" applyBorder="0" applyAlignment="0" applyProtection="0"/>
    <xf numFmtId="0" fontId="26" fillId="33" borderId="84" applyNumberFormat="0" applyFont="0" applyAlignment="0" applyProtection="0"/>
    <xf numFmtId="0" fontId="26" fillId="0" borderId="0"/>
    <xf numFmtId="165" fontId="52" fillId="0" borderId="0" applyFont="0" applyFill="0" applyBorder="0" applyAlignment="0" applyProtection="0"/>
    <xf numFmtId="0" fontId="25" fillId="0" borderId="0"/>
    <xf numFmtId="9" fontId="25" fillId="0" borderId="0" applyFont="0" applyFill="0" applyBorder="0" applyAlignment="0" applyProtection="0"/>
    <xf numFmtId="166" fontId="25" fillId="0" borderId="0" applyFont="0" applyFill="0" applyBorder="0" applyAlignment="0" applyProtection="0"/>
    <xf numFmtId="9" fontId="25" fillId="0" borderId="0" applyFont="0" applyFill="0" applyBorder="0" applyAlignment="0" applyProtection="0"/>
    <xf numFmtId="166"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33" borderId="84" applyNumberFormat="0" applyFont="0" applyAlignment="0" applyProtection="0"/>
    <xf numFmtId="166" fontId="25"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166"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0" fontId="24" fillId="0" borderId="0"/>
    <xf numFmtId="166" fontId="24" fillId="0" borderId="0" applyFont="0" applyFill="0" applyBorder="0" applyAlignment="0" applyProtection="0"/>
    <xf numFmtId="9" fontId="24" fillId="0" borderId="0" applyFont="0" applyFill="0" applyBorder="0" applyAlignment="0" applyProtection="0"/>
    <xf numFmtId="0" fontId="24" fillId="33" borderId="84" applyNumberFormat="0" applyFont="0" applyAlignment="0" applyProtection="0"/>
    <xf numFmtId="0" fontId="24" fillId="0" borderId="0"/>
    <xf numFmtId="0" fontId="24" fillId="0" borderId="0"/>
    <xf numFmtId="0" fontId="24" fillId="0" borderId="0"/>
    <xf numFmtId="166" fontId="24" fillId="0" borderId="0" applyFont="0" applyFill="0" applyBorder="0" applyAlignment="0" applyProtection="0"/>
    <xf numFmtId="9" fontId="24" fillId="0" borderId="0" applyFont="0" applyFill="0" applyBorder="0" applyAlignment="0" applyProtection="0"/>
    <xf numFmtId="166" fontId="24" fillId="0" borderId="0" applyFont="0" applyFill="0" applyBorder="0" applyAlignment="0" applyProtection="0"/>
    <xf numFmtId="9" fontId="24"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166" fontId="23" fillId="0" borderId="0" applyFont="0" applyFill="0" applyBorder="0" applyAlignment="0" applyProtection="0"/>
    <xf numFmtId="0" fontId="23" fillId="0" borderId="0"/>
    <xf numFmtId="9" fontId="23" fillId="0" borderId="0" applyFont="0" applyFill="0" applyBorder="0" applyAlignment="0" applyProtection="0"/>
    <xf numFmtId="166" fontId="23"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0" fontId="23" fillId="33" borderId="84" applyNumberFormat="0" applyFont="0" applyAlignment="0" applyProtection="0"/>
    <xf numFmtId="166" fontId="23" fillId="0" borderId="0" applyFont="0" applyFill="0" applyBorder="0" applyAlignment="0" applyProtection="0"/>
    <xf numFmtId="0" fontId="22" fillId="0" borderId="0"/>
    <xf numFmtId="9" fontId="22" fillId="0" borderId="0" applyFont="0" applyFill="0" applyBorder="0" applyAlignment="0" applyProtection="0"/>
    <xf numFmtId="0" fontId="21" fillId="0" borderId="0"/>
    <xf numFmtId="166" fontId="21" fillId="0" borderId="0" applyFont="0" applyFill="0" applyBorder="0" applyAlignment="0" applyProtection="0"/>
    <xf numFmtId="0" fontId="21" fillId="0" borderId="0"/>
    <xf numFmtId="0" fontId="21" fillId="0" borderId="0"/>
    <xf numFmtId="0" fontId="21" fillId="0" borderId="0"/>
    <xf numFmtId="166" fontId="21" fillId="0" borderId="0" applyFont="0" applyFill="0" applyBorder="0" applyAlignment="0" applyProtection="0"/>
    <xf numFmtId="0" fontId="21" fillId="33" borderId="84" applyNumberFormat="0" applyFont="0" applyAlignment="0" applyProtection="0"/>
    <xf numFmtId="9"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191" fontId="21" fillId="0" borderId="0"/>
    <xf numFmtId="0" fontId="21" fillId="0" borderId="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191" fontId="21" fillId="33" borderId="84" applyNumberFormat="0" applyFont="0" applyAlignment="0" applyProtection="0"/>
    <xf numFmtId="191" fontId="21" fillId="38" borderId="0" applyNumberFormat="0" applyBorder="0" applyAlignment="0" applyProtection="0"/>
    <xf numFmtId="0" fontId="20" fillId="0" borderId="0"/>
    <xf numFmtId="166" fontId="20" fillId="0" borderId="0" applyFont="0" applyFill="0" applyBorder="0" applyAlignment="0" applyProtection="0"/>
    <xf numFmtId="0" fontId="20" fillId="0" borderId="0"/>
    <xf numFmtId="0" fontId="20" fillId="0" borderId="0"/>
    <xf numFmtId="9" fontId="20" fillId="0" borderId="0" applyFont="0" applyFill="0" applyBorder="0" applyAlignment="0" applyProtection="0"/>
    <xf numFmtId="9" fontId="183" fillId="0" borderId="0" applyFont="0" applyFill="0" applyBorder="0" applyAlignment="0" applyProtection="0"/>
    <xf numFmtId="9" fontId="183" fillId="0" borderId="0" applyFont="0" applyFill="0" applyBorder="0" applyAlignment="0" applyProtection="0"/>
    <xf numFmtId="0" fontId="19" fillId="0" borderId="0"/>
    <xf numFmtId="166" fontId="19" fillId="0" borderId="0" applyFont="0" applyFill="0" applyBorder="0" applyAlignment="0" applyProtection="0"/>
    <xf numFmtId="0" fontId="19" fillId="0" borderId="0"/>
    <xf numFmtId="0" fontId="19" fillId="0" borderId="0"/>
    <xf numFmtId="9" fontId="19" fillId="0" borderId="0" applyFont="0" applyFill="0" applyBorder="0" applyAlignment="0" applyProtection="0"/>
    <xf numFmtId="166" fontId="19" fillId="0" borderId="0" applyFont="0" applyFill="0" applyBorder="0" applyAlignment="0" applyProtection="0"/>
    <xf numFmtId="166" fontId="19" fillId="0" borderId="0" applyFont="0" applyFill="0" applyBorder="0" applyAlignment="0" applyProtection="0"/>
    <xf numFmtId="0" fontId="19" fillId="0" borderId="0"/>
    <xf numFmtId="166" fontId="19" fillId="0" borderId="0" applyFont="0" applyFill="0" applyBorder="0" applyAlignment="0" applyProtection="0"/>
    <xf numFmtId="0" fontId="19" fillId="0" borderId="0"/>
    <xf numFmtId="0" fontId="19" fillId="0" borderId="0"/>
    <xf numFmtId="0" fontId="232" fillId="0" borderId="0">
      <alignment vertical="center"/>
    </xf>
    <xf numFmtId="175" fontId="232" fillId="0" borderId="0" applyFont="0" applyFill="0" applyBorder="0" applyAlignment="0" applyProtection="0">
      <alignment vertical="center"/>
    </xf>
    <xf numFmtId="179" fontId="232" fillId="0" borderId="0" applyFont="0" applyFill="0" applyBorder="0" applyAlignment="0" applyProtection="0">
      <alignment vertical="center"/>
    </xf>
    <xf numFmtId="0" fontId="234" fillId="0" borderId="0">
      <alignment vertical="center"/>
    </xf>
    <xf numFmtId="0" fontId="235" fillId="0" borderId="0" applyNumberFormat="0" applyFill="0" applyBorder="0" applyAlignment="0" applyProtection="0">
      <alignment vertical="center"/>
    </xf>
    <xf numFmtId="0" fontId="236" fillId="0" borderId="0">
      <alignment vertical="center"/>
    </xf>
    <xf numFmtId="179" fontId="232" fillId="0" borderId="0" applyFont="0" applyFill="0" applyBorder="0" applyAlignment="0" applyProtection="0">
      <alignment vertical="center"/>
    </xf>
    <xf numFmtId="0" fontId="233" fillId="81" borderId="0" applyNumberFormat="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8" fillId="0" borderId="0" applyNumberFormat="0" applyFill="0" applyBorder="0" applyAlignment="0" applyProtection="0">
      <alignment vertical="top"/>
      <protection locked="0"/>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7"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17" fillId="0" borderId="0"/>
    <xf numFmtId="9" fontId="17" fillId="0" borderId="0" applyFont="0" applyFill="0" applyBorder="0" applyAlignment="0" applyProtection="0"/>
    <xf numFmtId="166" fontId="17"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4"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4" fillId="0" borderId="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166" fontId="14"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4" fillId="0" borderId="0"/>
    <xf numFmtId="0" fontId="106" fillId="0" borderId="0" applyNumberFormat="0" applyFill="0" applyBorder="0" applyAlignment="0" applyProtection="0"/>
    <xf numFmtId="0" fontId="14"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4" fillId="33" borderId="84" applyNumberFormat="0" applyFont="0" applyAlignment="0" applyProtection="0"/>
    <xf numFmtId="9" fontId="14"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4"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4"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9" fontId="14" fillId="0" borderId="0" applyFont="0" applyFill="0" applyBorder="0" applyAlignment="0" applyProtection="0"/>
    <xf numFmtId="0" fontId="107" fillId="0" borderId="0" applyNumberFormat="0" applyFill="0" applyBorder="0" applyAlignment="0" applyProtection="0"/>
    <xf numFmtId="0" fontId="14" fillId="0" borderId="0"/>
    <xf numFmtId="9" fontId="14"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166" fontId="14" fillId="0" borderId="0" applyFont="0" applyFill="0" applyBorder="0" applyAlignment="0" applyProtection="0"/>
    <xf numFmtId="0" fontId="14" fillId="0" borderId="0"/>
    <xf numFmtId="0" fontId="14" fillId="0" borderId="0"/>
    <xf numFmtId="0" fontId="14" fillId="33" borderId="84" applyNumberFormat="0" applyFont="0" applyAlignment="0" applyProtection="0"/>
    <xf numFmtId="9" fontId="14" fillId="0" borderId="0" applyFont="0" applyFill="0" applyBorder="0" applyAlignment="0" applyProtection="0"/>
    <xf numFmtId="0" fontId="14" fillId="0" borderId="0"/>
    <xf numFmtId="0" fontId="135" fillId="0" borderId="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4" fillId="0" borderId="0"/>
    <xf numFmtId="9" fontId="14" fillId="0" borderId="0" applyFon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164" fontId="14" fillId="0" borderId="0" applyFont="0" applyFill="0" applyBorder="0" applyAlignment="0" applyProtection="0"/>
    <xf numFmtId="166" fontId="14" fillId="0" borderId="0" applyFont="0" applyFill="0" applyBorder="0" applyAlignment="0" applyProtection="0"/>
    <xf numFmtId="0" fontId="106" fillId="0" borderId="0" applyNumberFormat="0" applyFill="0" applyBorder="0" applyAlignment="0" applyProtection="0"/>
    <xf numFmtId="0" fontId="14" fillId="0" borderId="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4" fillId="0" borderId="0"/>
    <xf numFmtId="0" fontId="14" fillId="0" borderId="0"/>
    <xf numFmtId="0" fontId="14" fillId="0" borderId="0"/>
    <xf numFmtId="0" fontId="107" fillId="0" borderId="0" applyNumberFormat="0" applyFill="0" applyBorder="0" applyAlignment="0" applyProtection="0"/>
    <xf numFmtId="0" fontId="14" fillId="0" borderId="0"/>
    <xf numFmtId="0" fontId="14" fillId="0" borderId="0"/>
    <xf numFmtId="0" fontId="14" fillId="0" borderId="0"/>
    <xf numFmtId="0" fontId="14" fillId="0" borderId="0"/>
    <xf numFmtId="0" fontId="107" fillId="0" borderId="0" applyNumberFormat="0" applyFill="0" applyBorder="0" applyAlignment="0" applyProtection="0"/>
    <xf numFmtId="0" fontId="106" fillId="0" borderId="0" applyNumberFormat="0" applyFill="0" applyBorder="0" applyAlignment="0" applyProtection="0"/>
    <xf numFmtId="0" fontId="14" fillId="0" borderId="0"/>
    <xf numFmtId="0" fontId="14" fillId="0" borderId="0"/>
    <xf numFmtId="0" fontId="14"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4" fillId="33" borderId="84" applyNumberFormat="0" applyFont="0" applyAlignment="0" applyProtection="0"/>
    <xf numFmtId="0" fontId="14" fillId="33" borderId="84"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07" fillId="0" borderId="0" applyNumberForma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164"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33" borderId="84" applyNumberFormat="0" applyFont="0" applyAlignment="0" applyProtection="0"/>
    <xf numFmtId="0" fontId="14" fillId="33" borderId="84"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191" fontId="14" fillId="38" borderId="0" applyNumberFormat="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166" fontId="14" fillId="0" borderId="0" applyFont="0" applyFill="0" applyBorder="0" applyAlignment="0" applyProtection="0"/>
    <xf numFmtId="164" fontId="14"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191" fontId="75" fillId="0" borderId="112">
      <alignment horizontal="left" vertical="center"/>
    </xf>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4" fillId="33" borderId="84" applyNumberFormat="0" applyFont="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191" fontId="14" fillId="0" borderId="0"/>
    <xf numFmtId="166" fontId="14" fillId="0" borderId="0" applyFont="0" applyFill="0" applyBorder="0" applyAlignment="0" applyProtection="0"/>
    <xf numFmtId="0" fontId="14" fillId="0" borderId="0"/>
    <xf numFmtId="0" fontId="14" fillId="33" borderId="84" applyNumberFormat="0" applyFont="0" applyAlignment="0" applyProtection="0"/>
    <xf numFmtId="9" fontId="14" fillId="0" borderId="0" applyFont="0" applyFill="0" applyBorder="0" applyAlignment="0" applyProtection="0"/>
    <xf numFmtId="0" fontId="14" fillId="0" borderId="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166" fontId="14"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4" fillId="0" borderId="0"/>
    <xf numFmtId="0" fontId="14" fillId="0" borderId="0"/>
    <xf numFmtId="0" fontId="14" fillId="0" borderId="0"/>
    <xf numFmtId="0" fontId="14" fillId="33" borderId="84"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164" fontId="14" fillId="0" borderId="0" applyFont="0" applyFill="0" applyBorder="0" applyAlignment="0" applyProtection="0"/>
    <xf numFmtId="9" fontId="14" fillId="0" borderId="0" applyFont="0" applyFill="0" applyBorder="0" applyAlignment="0" applyProtection="0"/>
    <xf numFmtId="0" fontId="107" fillId="0" borderId="0" applyNumberFormat="0" applyFill="0" applyBorder="0" applyAlignment="0" applyProtection="0"/>
    <xf numFmtId="191" fontId="14" fillId="0" borderId="0"/>
    <xf numFmtId="166" fontId="14" fillId="0" borderId="0" applyFont="0" applyFill="0" applyBorder="0" applyAlignment="0" applyProtection="0"/>
    <xf numFmtId="166" fontId="14" fillId="0" borderId="0" applyFont="0" applyFill="0" applyBorder="0" applyAlignment="0" applyProtection="0"/>
    <xf numFmtId="191" fontId="14" fillId="0" borderId="0"/>
    <xf numFmtId="0" fontId="14" fillId="0" borderId="0"/>
    <xf numFmtId="9" fontId="14" fillId="0" borderId="0" applyFont="0" applyFill="0" applyBorder="0" applyAlignment="0" applyProtection="0"/>
    <xf numFmtId="0" fontId="14" fillId="33" borderId="84" applyNumberFormat="0" applyFont="0" applyAlignment="0" applyProtection="0"/>
    <xf numFmtId="0" fontId="14" fillId="0" borderId="0"/>
    <xf numFmtId="9" fontId="14"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166" fontId="14" fillId="0" borderId="0" applyFont="0" applyFill="0" applyBorder="0" applyAlignment="0" applyProtection="0"/>
    <xf numFmtId="191" fontId="14" fillId="0" borderId="0"/>
    <xf numFmtId="9"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0" fontId="14" fillId="33" borderId="84" applyNumberFormat="0" applyFont="0" applyAlignment="0" applyProtection="0"/>
    <xf numFmtId="166" fontId="14" fillId="0" borderId="0" applyFont="0" applyFill="0" applyBorder="0" applyAlignment="0" applyProtection="0"/>
    <xf numFmtId="0" fontId="71" fillId="0" borderId="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4" fillId="0" borderId="0"/>
    <xf numFmtId="9" fontId="14" fillId="0" borderId="0" applyFont="0" applyFill="0" applyBorder="0" applyAlignment="0" applyProtection="0"/>
    <xf numFmtId="0" fontId="14" fillId="33" borderId="84" applyNumberFormat="0" applyFont="0" applyAlignment="0" applyProtection="0"/>
    <xf numFmtId="166" fontId="14" fillId="0" borderId="0" applyFont="0" applyFill="0" applyBorder="0" applyAlignment="0" applyProtection="0"/>
    <xf numFmtId="0" fontId="14" fillId="0" borderId="0"/>
    <xf numFmtId="0" fontId="14"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4" fillId="0" borderId="0"/>
    <xf numFmtId="0" fontId="14" fillId="0" borderId="0"/>
    <xf numFmtId="9" fontId="14" fillId="0" borderId="0" applyFont="0" applyFill="0" applyBorder="0" applyAlignment="0" applyProtection="0"/>
    <xf numFmtId="191" fontId="14" fillId="0" borderId="0"/>
    <xf numFmtId="191" fontId="14" fillId="38" borderId="0" applyNumberFormat="0" applyBorder="0" applyAlignment="0" applyProtection="0"/>
    <xf numFmtId="9" fontId="14" fillId="0" borderId="0" applyFont="0" applyFill="0" applyBorder="0" applyAlignment="0" applyProtection="0"/>
    <xf numFmtId="191" fontId="14" fillId="33" borderId="84" applyNumberFormat="0" applyFont="0" applyAlignment="0" applyProtection="0"/>
    <xf numFmtId="166" fontId="14" fillId="0" borderId="0" applyFont="0" applyFill="0" applyBorder="0" applyAlignment="0" applyProtection="0"/>
    <xf numFmtId="166" fontId="14" fillId="0" borderId="0" applyFont="0" applyFill="0" applyBorder="0" applyAlignment="0" applyProtection="0"/>
    <xf numFmtId="191" fontId="14" fillId="0" borderId="0"/>
    <xf numFmtId="0" fontId="14" fillId="33" borderId="84" applyNumberFormat="0" applyFont="0" applyAlignment="0" applyProtection="0"/>
    <xf numFmtId="0" fontId="14" fillId="0" borderId="0"/>
    <xf numFmtId="0" fontId="14" fillId="33" borderId="84" applyNumberFormat="0" applyFon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191" fontId="14" fillId="0" borderId="0"/>
    <xf numFmtId="166" fontId="14" fillId="0" borderId="0" applyFont="0" applyFill="0" applyBorder="0" applyAlignment="0" applyProtection="0"/>
    <xf numFmtId="166" fontId="14" fillId="0" borderId="0" applyFont="0" applyFill="0" applyBorder="0" applyAlignment="0" applyProtection="0"/>
    <xf numFmtId="191" fontId="14" fillId="0" borderId="0"/>
    <xf numFmtId="0" fontId="14" fillId="0" borderId="0"/>
    <xf numFmtId="0" fontId="14" fillId="33" borderId="84" applyNumberFormat="0" applyFont="0" applyAlignment="0" applyProtection="0"/>
    <xf numFmtId="9" fontId="14" fillId="0" borderId="0" applyFont="0" applyFill="0" applyBorder="0" applyAlignment="0" applyProtection="0"/>
    <xf numFmtId="0" fontId="107" fillId="0" borderId="0" applyNumberFormat="0" applyFill="0" applyBorder="0" applyAlignment="0" applyProtection="0"/>
    <xf numFmtId="0" fontId="14" fillId="0" borderId="0"/>
    <xf numFmtId="0" fontId="107" fillId="0" borderId="0" applyNumberFormat="0" applyFill="0" applyBorder="0" applyAlignment="0" applyProtection="0"/>
    <xf numFmtId="0" fontId="106" fillId="0" borderId="0" applyNumberFormat="0" applyFill="0" applyBorder="0" applyAlignment="0" applyProtection="0"/>
    <xf numFmtId="166" fontId="14" fillId="0" borderId="0" applyFont="0" applyFill="0" applyBorder="0" applyAlignment="0" applyProtection="0"/>
    <xf numFmtId="9"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33" borderId="84" applyNumberFormat="0" applyFont="0" applyAlignment="0" applyProtection="0"/>
    <xf numFmtId="0" fontId="14" fillId="0" borderId="0"/>
    <xf numFmtId="0" fontId="107" fillId="0" borderId="0" applyNumberFormat="0" applyFill="0" applyBorder="0" applyAlignment="0" applyProtection="0"/>
    <xf numFmtId="0" fontId="14" fillId="0" borderId="0"/>
    <xf numFmtId="9" fontId="14" fillId="0" borderId="0" applyFont="0" applyFill="0" applyBorder="0" applyAlignment="0" applyProtection="0"/>
    <xf numFmtId="166" fontId="14" fillId="0" borderId="0" applyFont="0" applyFill="0" applyBorder="0" applyAlignment="0" applyProtection="0"/>
    <xf numFmtId="9" fontId="14" fillId="0" borderId="0" applyFont="0" applyFill="0" applyBorder="0" applyAlignment="0" applyProtection="0"/>
    <xf numFmtId="166"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33" borderId="84" applyNumberFormat="0" applyFont="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6" fontId="14" fillId="0" borderId="0" applyFont="0" applyFill="0" applyBorder="0" applyAlignment="0" applyProtection="0"/>
    <xf numFmtId="9" fontId="14" fillId="0" borderId="0" applyFont="0" applyFill="0" applyBorder="0" applyAlignment="0" applyProtection="0"/>
    <xf numFmtId="0" fontId="14" fillId="33" borderId="84" applyNumberFormat="0" applyFont="0" applyAlignment="0" applyProtection="0"/>
    <xf numFmtId="0" fontId="14" fillId="0" borderId="0"/>
    <xf numFmtId="0" fontId="14" fillId="0" borderId="0"/>
    <xf numFmtId="0" fontId="14" fillId="0" borderId="0"/>
    <xf numFmtId="166" fontId="14" fillId="0" borderId="0" applyFont="0" applyFill="0" applyBorder="0" applyAlignment="0" applyProtection="0"/>
    <xf numFmtId="9" fontId="14" fillId="0" borderId="0" applyFont="0" applyFill="0" applyBorder="0" applyAlignment="0" applyProtection="0"/>
    <xf numFmtId="166"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166" fontId="14" fillId="0" borderId="0" applyFont="0" applyFill="0" applyBorder="0" applyAlignment="0" applyProtection="0"/>
    <xf numFmtId="0" fontId="14" fillId="0" borderId="0"/>
    <xf numFmtId="9" fontId="14" fillId="0" borderId="0" applyFont="0" applyFill="0" applyBorder="0" applyAlignment="0" applyProtection="0"/>
    <xf numFmtId="166"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33" borderId="84" applyNumberFormat="0" applyFont="0" applyAlignment="0" applyProtection="0"/>
    <xf numFmtId="166"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166" fontId="14" fillId="0" borderId="0" applyFont="0" applyFill="0" applyBorder="0" applyAlignment="0" applyProtection="0"/>
    <xf numFmtId="0" fontId="14" fillId="0" borderId="0"/>
    <xf numFmtId="0" fontId="14" fillId="0" borderId="0"/>
    <xf numFmtId="0" fontId="14" fillId="0" borderId="0"/>
    <xf numFmtId="166" fontId="14" fillId="0" borderId="0" applyFont="0" applyFill="0" applyBorder="0" applyAlignment="0" applyProtection="0"/>
    <xf numFmtId="0" fontId="14" fillId="33" borderId="84" applyNumberFormat="0" applyFont="0" applyAlignment="0" applyProtection="0"/>
    <xf numFmtId="9"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191" fontId="14" fillId="0" borderId="0"/>
    <xf numFmtId="0" fontId="14" fillId="0" borderId="0"/>
    <xf numFmtId="166"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191" fontId="14" fillId="33" borderId="84" applyNumberFormat="0" applyFont="0" applyAlignment="0" applyProtection="0"/>
    <xf numFmtId="191" fontId="14" fillId="38" borderId="0" applyNumberFormat="0" applyBorder="0" applyAlignment="0" applyProtection="0"/>
    <xf numFmtId="0" fontId="14" fillId="0" borderId="0"/>
    <xf numFmtId="166"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4" fillId="0" borderId="0"/>
    <xf numFmtId="166"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0" fontId="14" fillId="0" borderId="0"/>
    <xf numFmtId="166" fontId="14" fillId="0" borderId="0" applyFont="0" applyFill="0" applyBorder="0" applyAlignment="0" applyProtection="0"/>
    <xf numFmtId="0" fontId="14" fillId="0" borderId="0"/>
    <xf numFmtId="0" fontId="14" fillId="0" borderId="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4" fillId="0" borderId="0"/>
    <xf numFmtId="9" fontId="14" fillId="0" borderId="0" applyFont="0" applyFill="0" applyBorder="0" applyAlignment="0" applyProtection="0"/>
    <xf numFmtId="166" fontId="14" fillId="0" borderId="0" applyFon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191" fontId="75" fillId="0" borderId="116">
      <alignment horizontal="lef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191" fontId="75" fillId="0" borderId="117">
      <alignment horizontal="lef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3"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3" fillId="0" borderId="0"/>
    <xf numFmtId="166" fontId="13" fillId="0" borderId="0" applyFont="0" applyFill="0" applyBorder="0" applyAlignment="0" applyProtection="0"/>
    <xf numFmtId="0" fontId="13" fillId="0" borderId="0"/>
    <xf numFmtId="0" fontId="13" fillId="0" borderId="0"/>
    <xf numFmtId="0" fontId="13" fillId="33" borderId="84"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9" fontId="13" fillId="0" borderId="0" applyFont="0" applyFill="0" applyBorder="0" applyAlignment="0" applyProtection="0"/>
    <xf numFmtId="9" fontId="13" fillId="0" borderId="0" applyFont="0" applyFill="0" applyBorder="0" applyAlignment="0" applyProtection="0"/>
    <xf numFmtId="0" fontId="13" fillId="0" borderId="0"/>
    <xf numFmtId="9" fontId="13" fillId="0" borderId="0" applyFont="0" applyFill="0" applyBorder="0" applyAlignment="0" applyProtection="0"/>
    <xf numFmtId="9" fontId="13" fillId="0" borderId="0" applyFont="0" applyFill="0" applyBorder="0" applyAlignment="0" applyProtection="0"/>
    <xf numFmtId="0" fontId="13" fillId="0" borderId="0"/>
    <xf numFmtId="9"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33" borderId="84" applyNumberFormat="0" applyFont="0" applyAlignment="0" applyProtection="0"/>
    <xf numFmtId="9" fontId="13" fillId="0" borderId="0" applyFont="0" applyFill="0" applyBorder="0" applyAlignment="0" applyProtection="0"/>
    <xf numFmtId="0" fontId="13" fillId="0" borderId="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3" fillId="0" borderId="0"/>
    <xf numFmtId="9" fontId="13" fillId="0" borderId="0" applyFon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164"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33" borderId="84" applyNumberFormat="0" applyFont="0" applyAlignment="0" applyProtection="0"/>
    <xf numFmtId="0" fontId="13" fillId="33" borderId="84"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9" fontId="13" fillId="0" borderId="0" applyFont="0" applyFill="0" applyBorder="0" applyAlignment="0" applyProtection="0"/>
    <xf numFmtId="164"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33" borderId="84" applyNumberFormat="0" applyFont="0" applyAlignment="0" applyProtection="0"/>
    <xf numFmtId="0" fontId="13" fillId="33" borderId="84"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9" fontId="13" fillId="0" borderId="0" applyFont="0" applyFill="0" applyBorder="0" applyAlignment="0" applyProtection="0"/>
    <xf numFmtId="191" fontId="13" fillId="38" borderId="0" applyNumberFormat="0" applyBorder="0" applyAlignment="0" applyProtection="0"/>
    <xf numFmtId="166" fontId="13" fillId="0" borderId="0" applyFont="0" applyFill="0" applyBorder="0" applyAlignment="0" applyProtection="0"/>
    <xf numFmtId="164" fontId="13" fillId="0" borderId="0" applyFont="0" applyFill="0" applyBorder="0" applyAlignment="0" applyProtection="0"/>
    <xf numFmtId="0" fontId="13" fillId="33" borderId="84" applyNumberFormat="0" applyFont="0" applyAlignment="0" applyProtection="0"/>
    <xf numFmtId="191" fontId="13" fillId="0" borderId="0"/>
    <xf numFmtId="166" fontId="13" fillId="0" borderId="0" applyFont="0" applyFill="0" applyBorder="0" applyAlignment="0" applyProtection="0"/>
    <xf numFmtId="0" fontId="13" fillId="0" borderId="0"/>
    <xf numFmtId="0" fontId="13" fillId="33" borderId="84" applyNumberFormat="0" applyFont="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0" fontId="13" fillId="0" borderId="0"/>
    <xf numFmtId="0" fontId="13" fillId="0" borderId="0"/>
    <xf numFmtId="0" fontId="13" fillId="0" borderId="0"/>
    <xf numFmtId="0" fontId="13" fillId="33" borderId="84"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9" fontId="13" fillId="0" borderId="0" applyFont="0" applyFill="0" applyBorder="0" applyAlignment="0" applyProtection="0"/>
    <xf numFmtId="164" fontId="13" fillId="0" borderId="0" applyFont="0" applyFill="0" applyBorder="0" applyAlignment="0" applyProtection="0"/>
    <xf numFmtId="9" fontId="13" fillId="0" borderId="0" applyFont="0" applyFill="0" applyBorder="0" applyAlignment="0" applyProtection="0"/>
    <xf numFmtId="191" fontId="13" fillId="0" borderId="0"/>
    <xf numFmtId="166" fontId="13" fillId="0" borderId="0" applyFont="0" applyFill="0" applyBorder="0" applyAlignment="0" applyProtection="0"/>
    <xf numFmtId="166" fontId="13" fillId="0" borderId="0" applyFont="0" applyFill="0" applyBorder="0" applyAlignment="0" applyProtection="0"/>
    <xf numFmtId="191" fontId="13" fillId="0" borderId="0"/>
    <xf numFmtId="0" fontId="13" fillId="0" borderId="0"/>
    <xf numFmtId="9" fontId="13" fillId="0" borderId="0" applyFont="0" applyFill="0" applyBorder="0" applyAlignment="0" applyProtection="0"/>
    <xf numFmtId="0" fontId="13" fillId="33" borderId="84" applyNumberFormat="0" applyFont="0" applyAlignment="0" applyProtection="0"/>
    <xf numFmtId="0" fontId="13" fillId="0" borderId="0"/>
    <xf numFmtId="9" fontId="13" fillId="0" borderId="0" applyFont="0" applyFill="0" applyBorder="0" applyAlignment="0" applyProtection="0"/>
    <xf numFmtId="166" fontId="13" fillId="0" borderId="0" applyFont="0" applyFill="0" applyBorder="0" applyAlignment="0" applyProtection="0"/>
    <xf numFmtId="191" fontId="13" fillId="0" borderId="0"/>
    <xf numFmtId="9"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9" fontId="13" fillId="0" borderId="0" applyFont="0" applyFill="0" applyBorder="0" applyAlignment="0" applyProtection="0"/>
    <xf numFmtId="0" fontId="13" fillId="33" borderId="84" applyNumberFormat="0" applyFont="0" applyAlignment="0" applyProtection="0"/>
    <xf numFmtId="166" fontId="13" fillId="0" borderId="0" applyFont="0" applyFill="0" applyBorder="0" applyAlignment="0" applyProtection="0"/>
    <xf numFmtId="0" fontId="13" fillId="0" borderId="0"/>
    <xf numFmtId="9" fontId="13" fillId="0" borderId="0" applyFont="0" applyFill="0" applyBorder="0" applyAlignment="0" applyProtection="0"/>
    <xf numFmtId="0" fontId="13" fillId="33" borderId="84" applyNumberFormat="0" applyFont="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91" fontId="13" fillId="0" borderId="0"/>
    <xf numFmtId="191" fontId="13" fillId="38" borderId="0" applyNumberFormat="0" applyBorder="0" applyAlignment="0" applyProtection="0"/>
    <xf numFmtId="9" fontId="13" fillId="0" borderId="0" applyFont="0" applyFill="0" applyBorder="0" applyAlignment="0" applyProtection="0"/>
    <xf numFmtId="191" fontId="13" fillId="33" borderId="84" applyNumberFormat="0" applyFont="0" applyAlignment="0" applyProtection="0"/>
    <xf numFmtId="166" fontId="13" fillId="0" borderId="0" applyFont="0" applyFill="0" applyBorder="0" applyAlignment="0" applyProtection="0"/>
    <xf numFmtId="166" fontId="13" fillId="0" borderId="0" applyFont="0" applyFill="0" applyBorder="0" applyAlignment="0" applyProtection="0"/>
    <xf numFmtId="191" fontId="13" fillId="0" borderId="0"/>
    <xf numFmtId="0" fontId="13" fillId="33" borderId="84" applyNumberFormat="0" applyFont="0" applyAlignment="0" applyProtection="0"/>
    <xf numFmtId="0" fontId="13" fillId="0" borderId="0"/>
    <xf numFmtId="0" fontId="13" fillId="33" borderId="84" applyNumberFormat="0" applyFon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191" fontId="13" fillId="0" borderId="0"/>
    <xf numFmtId="166" fontId="13" fillId="0" borderId="0" applyFont="0" applyFill="0" applyBorder="0" applyAlignment="0" applyProtection="0"/>
    <xf numFmtId="166" fontId="13" fillId="0" borderId="0" applyFont="0" applyFill="0" applyBorder="0" applyAlignment="0" applyProtection="0"/>
    <xf numFmtId="191" fontId="13" fillId="0" borderId="0"/>
    <xf numFmtId="0" fontId="13" fillId="0" borderId="0"/>
    <xf numFmtId="0" fontId="13" fillId="33" borderId="84" applyNumberFormat="0" applyFont="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33" borderId="84" applyNumberFormat="0" applyFont="0" applyAlignment="0" applyProtection="0"/>
    <xf numFmtId="0" fontId="13" fillId="0" borderId="0"/>
    <xf numFmtId="0" fontId="13" fillId="0" borderId="0"/>
    <xf numFmtId="9" fontId="13" fillId="0" borderId="0" applyFont="0" applyFill="0" applyBorder="0" applyAlignment="0" applyProtection="0"/>
    <xf numFmtId="166" fontId="13" fillId="0" borderId="0" applyFont="0" applyFill="0" applyBorder="0" applyAlignment="0" applyProtection="0"/>
    <xf numFmtId="9" fontId="13" fillId="0" borderId="0" applyFont="0" applyFill="0" applyBorder="0" applyAlignment="0" applyProtection="0"/>
    <xf numFmtId="166" fontId="13"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33" borderId="84" applyNumberFormat="0" applyFont="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166" fontId="13" fillId="0" borderId="0" applyFont="0" applyFill="0" applyBorder="0" applyAlignment="0" applyProtection="0"/>
    <xf numFmtId="9" fontId="13" fillId="0" borderId="0" applyFont="0" applyFill="0" applyBorder="0" applyAlignment="0" applyProtection="0"/>
    <xf numFmtId="0" fontId="13" fillId="33" borderId="84" applyNumberFormat="0" applyFont="0" applyAlignment="0" applyProtection="0"/>
    <xf numFmtId="0" fontId="13" fillId="0" borderId="0"/>
    <xf numFmtId="0" fontId="13" fillId="0" borderId="0"/>
    <xf numFmtId="0" fontId="13" fillId="0" borderId="0"/>
    <xf numFmtId="166" fontId="13" fillId="0" borderId="0" applyFont="0" applyFill="0" applyBorder="0" applyAlignment="0" applyProtection="0"/>
    <xf numFmtId="9" fontId="13" fillId="0" borderId="0" applyFont="0" applyFill="0" applyBorder="0" applyAlignment="0" applyProtection="0"/>
    <xf numFmtId="166" fontId="13" fillId="0" borderId="0" applyFont="0" applyFill="0" applyBorder="0" applyAlignment="0" applyProtection="0"/>
    <xf numFmtId="9" fontId="13"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166" fontId="13" fillId="0" borderId="0" applyFont="0" applyFill="0" applyBorder="0" applyAlignment="0" applyProtection="0"/>
    <xf numFmtId="0" fontId="13" fillId="0" borderId="0"/>
    <xf numFmtId="9" fontId="13" fillId="0" borderId="0" applyFont="0" applyFill="0" applyBorder="0" applyAlignment="0" applyProtection="0"/>
    <xf numFmtId="166" fontId="13"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33" borderId="84" applyNumberFormat="0" applyFont="0" applyAlignment="0" applyProtection="0"/>
    <xf numFmtId="166" fontId="13"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166" fontId="13" fillId="0" borderId="0" applyFont="0" applyFill="0" applyBorder="0" applyAlignment="0" applyProtection="0"/>
    <xf numFmtId="0" fontId="13" fillId="0" borderId="0"/>
    <xf numFmtId="0" fontId="13" fillId="0" borderId="0"/>
    <xf numFmtId="0" fontId="13" fillId="0" borderId="0"/>
    <xf numFmtId="166" fontId="13" fillId="0" borderId="0" applyFont="0" applyFill="0" applyBorder="0" applyAlignment="0" applyProtection="0"/>
    <xf numFmtId="0" fontId="13" fillId="33" borderId="84" applyNumberFormat="0" applyFont="0" applyAlignment="0" applyProtection="0"/>
    <xf numFmtId="9"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191" fontId="13" fillId="0" borderId="0"/>
    <xf numFmtId="0" fontId="13" fillId="0" borderId="0"/>
    <xf numFmtId="166"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191" fontId="13" fillId="33" borderId="84" applyNumberFormat="0" applyFont="0" applyAlignment="0" applyProtection="0"/>
    <xf numFmtId="191" fontId="13" fillId="38" borderId="0" applyNumberFormat="0" applyBorder="0" applyAlignment="0" applyProtection="0"/>
    <xf numFmtId="0" fontId="13" fillId="0" borderId="0"/>
    <xf numFmtId="166" fontId="13" fillId="0" borderId="0" applyFont="0" applyFill="0" applyBorder="0" applyAlignment="0" applyProtection="0"/>
    <xf numFmtId="0" fontId="13" fillId="0" borderId="0"/>
    <xf numFmtId="0" fontId="13" fillId="0" borderId="0"/>
    <xf numFmtId="9" fontId="13" fillId="0" borderId="0" applyFont="0" applyFill="0" applyBorder="0" applyAlignment="0" applyProtection="0"/>
    <xf numFmtId="0" fontId="13" fillId="0" borderId="0"/>
    <xf numFmtId="166" fontId="13" fillId="0" borderId="0" applyFont="0" applyFill="0" applyBorder="0" applyAlignment="0" applyProtection="0"/>
    <xf numFmtId="0" fontId="13" fillId="0" borderId="0"/>
    <xf numFmtId="0" fontId="13" fillId="0" borderId="0"/>
    <xf numFmtId="9"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0" fontId="13" fillId="0" borderId="0"/>
    <xf numFmtId="166" fontId="13" fillId="0" borderId="0" applyFont="0" applyFill="0" applyBorder="0" applyAlignment="0" applyProtection="0"/>
    <xf numFmtId="0" fontId="13" fillId="0" borderId="0"/>
    <xf numFmtId="0" fontId="13" fillId="0" borderId="0"/>
    <xf numFmtId="0" fontId="13" fillId="0" borderId="0"/>
    <xf numFmtId="9" fontId="13" fillId="0" borderId="0" applyFont="0" applyFill="0" applyBorder="0" applyAlignment="0" applyProtection="0"/>
    <xf numFmtId="166" fontId="13" fillId="0" borderId="0" applyFon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166" fontId="12"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0" borderId="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33" borderId="84" applyNumberFormat="0" applyFont="0" applyAlignment="0" applyProtection="0"/>
    <xf numFmtId="9" fontId="12" fillId="0" borderId="0" applyFont="0" applyFill="0" applyBorder="0" applyAlignment="0" applyProtection="0"/>
    <xf numFmtId="0" fontId="107" fillId="0" borderId="0" applyNumberForma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0" borderId="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9" fontId="12" fillId="0" borderId="0" applyFont="0" applyFill="0" applyBorder="0" applyAlignment="0" applyProtection="0"/>
    <xf numFmtId="0" fontId="107" fillId="0" borderId="0" applyNumberFormat="0" applyFill="0" applyBorder="0" applyAlignment="0" applyProtection="0"/>
    <xf numFmtId="0" fontId="12" fillId="0" borderId="0"/>
    <xf numFmtId="9" fontId="12" fillId="0" borderId="0" applyFon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166" fontId="12" fillId="0" borderId="0" applyFont="0" applyFill="0" applyBorder="0" applyAlignment="0" applyProtection="0"/>
    <xf numFmtId="0" fontId="12" fillId="0" borderId="0"/>
    <xf numFmtId="0" fontId="12" fillId="0" borderId="0"/>
    <xf numFmtId="0" fontId="12" fillId="33" borderId="84" applyNumberFormat="0" applyFont="0" applyAlignment="0" applyProtection="0"/>
    <xf numFmtId="9" fontId="12" fillId="0" borderId="0" applyFont="0" applyFill="0" applyBorder="0" applyAlignment="0" applyProtection="0"/>
    <xf numFmtId="0" fontId="12" fillId="0" borderId="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2" fillId="0" borderId="0"/>
    <xf numFmtId="9" fontId="12" fillId="0" borderId="0" applyFon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164" fontId="12" fillId="0" borderId="0" applyFont="0" applyFill="0" applyBorder="0" applyAlignment="0" applyProtection="0"/>
    <xf numFmtId="166" fontId="12" fillId="0" borderId="0" applyFont="0" applyFill="0" applyBorder="0" applyAlignment="0" applyProtection="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33" borderId="84" applyNumberFormat="0" applyFont="0" applyAlignment="0" applyProtection="0"/>
    <xf numFmtId="0" fontId="12" fillId="33" borderId="84"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64"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33" borderId="84" applyNumberFormat="0" applyFont="0" applyAlignment="0" applyProtection="0"/>
    <xf numFmtId="0" fontId="12" fillId="33" borderId="84"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91" fontId="12" fillId="38" borderId="0" applyNumberFormat="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166" fontId="12" fillId="0" borderId="0" applyFont="0" applyFill="0" applyBorder="0" applyAlignment="0" applyProtection="0"/>
    <xf numFmtId="164" fontId="12"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33" borderId="84" applyNumberFormat="0" applyFont="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191" fontId="12" fillId="0" borderId="0"/>
    <xf numFmtId="166" fontId="12" fillId="0" borderId="0" applyFont="0" applyFill="0" applyBorder="0" applyAlignment="0" applyProtection="0"/>
    <xf numFmtId="0" fontId="12" fillId="0" borderId="0"/>
    <xf numFmtId="0" fontId="12" fillId="33" borderId="84" applyNumberFormat="0" applyFont="0" applyAlignment="0" applyProtection="0"/>
    <xf numFmtId="9" fontId="12" fillId="0" borderId="0" applyFont="0" applyFill="0" applyBorder="0" applyAlignment="0" applyProtection="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166" fontId="12" fillId="0" borderId="0" applyFon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0" borderId="0"/>
    <xf numFmtId="0" fontId="12" fillId="0" borderId="0"/>
    <xf numFmtId="0" fontId="12" fillId="0" borderId="0"/>
    <xf numFmtId="0" fontId="12" fillId="33" borderId="84"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64" fontId="12" fillId="0" borderId="0" applyFont="0" applyFill="0" applyBorder="0" applyAlignment="0" applyProtection="0"/>
    <xf numFmtId="9" fontId="12" fillId="0" borderId="0" applyFont="0" applyFill="0" applyBorder="0" applyAlignment="0" applyProtection="0"/>
    <xf numFmtId="0" fontId="107" fillId="0" borderId="0" applyNumberFormat="0" applyFill="0" applyBorder="0" applyAlignment="0" applyProtection="0"/>
    <xf numFmtId="191" fontId="12" fillId="0" borderId="0"/>
    <xf numFmtId="166" fontId="12" fillId="0" borderId="0" applyFont="0" applyFill="0" applyBorder="0" applyAlignment="0" applyProtection="0"/>
    <xf numFmtId="166" fontId="12" fillId="0" borderId="0" applyFont="0" applyFill="0" applyBorder="0" applyAlignment="0" applyProtection="0"/>
    <xf numFmtId="191" fontId="12" fillId="0" borderId="0"/>
    <xf numFmtId="0" fontId="12" fillId="0" borderId="0"/>
    <xf numFmtId="9" fontId="12" fillId="0" borderId="0" applyFont="0" applyFill="0" applyBorder="0" applyAlignment="0" applyProtection="0"/>
    <xf numFmtId="0" fontId="12" fillId="33" borderId="84" applyNumberFormat="0" applyFont="0" applyAlignment="0" applyProtection="0"/>
    <xf numFmtId="0" fontId="12" fillId="0" borderId="0"/>
    <xf numFmtId="9" fontId="12"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166" fontId="12" fillId="0" borderId="0" applyFont="0" applyFill="0" applyBorder="0" applyAlignment="0" applyProtection="0"/>
    <xf numFmtId="191" fontId="12" fillId="0" borderId="0"/>
    <xf numFmtId="9"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0" fontId="12" fillId="33" borderId="84" applyNumberFormat="0" applyFont="0" applyAlignment="0" applyProtection="0"/>
    <xf numFmtId="166" fontId="12"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0" borderId="0"/>
    <xf numFmtId="9" fontId="12" fillId="0" borderId="0" applyFont="0" applyFill="0" applyBorder="0" applyAlignment="0" applyProtection="0"/>
    <xf numFmtId="0" fontId="12" fillId="33" borderId="84" applyNumberFormat="0" applyFont="0" applyAlignment="0" applyProtection="0"/>
    <xf numFmtId="166" fontId="12" fillId="0" borderId="0" applyFont="0" applyFill="0" applyBorder="0" applyAlignment="0" applyProtection="0"/>
    <xf numFmtId="0" fontId="12" fillId="0" borderId="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0" borderId="0"/>
    <xf numFmtId="0" fontId="12" fillId="0" borderId="0"/>
    <xf numFmtId="9" fontId="12" fillId="0" borderId="0" applyFont="0" applyFill="0" applyBorder="0" applyAlignment="0" applyProtection="0"/>
    <xf numFmtId="191" fontId="12" fillId="0" borderId="0"/>
    <xf numFmtId="191" fontId="12" fillId="38" borderId="0" applyNumberFormat="0" applyBorder="0" applyAlignment="0" applyProtection="0"/>
    <xf numFmtId="9" fontId="12" fillId="0" borderId="0" applyFont="0" applyFill="0" applyBorder="0" applyAlignment="0" applyProtection="0"/>
    <xf numFmtId="191" fontId="12" fillId="33" borderId="84" applyNumberFormat="0" applyFont="0" applyAlignment="0" applyProtection="0"/>
    <xf numFmtId="166" fontId="12" fillId="0" borderId="0" applyFont="0" applyFill="0" applyBorder="0" applyAlignment="0" applyProtection="0"/>
    <xf numFmtId="166" fontId="12" fillId="0" borderId="0" applyFont="0" applyFill="0" applyBorder="0" applyAlignment="0" applyProtection="0"/>
    <xf numFmtId="191" fontId="12" fillId="0" borderId="0"/>
    <xf numFmtId="0" fontId="12" fillId="33" borderId="84" applyNumberFormat="0" applyFont="0" applyAlignment="0" applyProtection="0"/>
    <xf numFmtId="0" fontId="12" fillId="0" borderId="0"/>
    <xf numFmtId="0" fontId="12" fillId="33" borderId="84"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191" fontId="12" fillId="0" borderId="0"/>
    <xf numFmtId="166" fontId="12" fillId="0" borderId="0" applyFont="0" applyFill="0" applyBorder="0" applyAlignment="0" applyProtection="0"/>
    <xf numFmtId="166" fontId="12" fillId="0" borderId="0" applyFont="0" applyFill="0" applyBorder="0" applyAlignment="0" applyProtection="0"/>
    <xf numFmtId="191" fontId="12" fillId="0" borderId="0"/>
    <xf numFmtId="0" fontId="12" fillId="0" borderId="0"/>
    <xf numFmtId="0" fontId="12" fillId="33" borderId="84" applyNumberFormat="0" applyFont="0" applyAlignment="0" applyProtection="0"/>
    <xf numFmtId="9" fontId="12" fillId="0" borderId="0" applyFont="0" applyFill="0" applyBorder="0" applyAlignment="0" applyProtection="0"/>
    <xf numFmtId="0" fontId="107" fillId="0" borderId="0" applyNumberFormat="0" applyFill="0" applyBorder="0" applyAlignment="0" applyProtection="0"/>
    <xf numFmtId="0" fontId="12" fillId="0" borderId="0"/>
    <xf numFmtId="0" fontId="107" fillId="0" borderId="0" applyNumberForma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9" fontId="12" fillId="0" borderId="0" applyFont="0" applyFill="0" applyBorder="0" applyAlignment="0" applyProtection="0"/>
    <xf numFmtId="0" fontId="12" fillId="33" borderId="84" applyNumberFormat="0" applyFont="0" applyAlignment="0" applyProtection="0"/>
    <xf numFmtId="0" fontId="12" fillId="0" borderId="0"/>
    <xf numFmtId="0" fontId="107" fillId="0" borderId="0" applyNumberFormat="0" applyFill="0" applyBorder="0" applyAlignment="0" applyProtection="0"/>
    <xf numFmtId="0" fontId="12" fillId="0" borderId="0"/>
    <xf numFmtId="9"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166"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33" borderId="84" applyNumberFormat="0" applyFont="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9" fontId="12" fillId="0" borderId="0" applyFont="0" applyFill="0" applyBorder="0" applyAlignment="0" applyProtection="0"/>
    <xf numFmtId="0" fontId="12" fillId="33" borderId="84" applyNumberFormat="0" applyFont="0" applyAlignment="0" applyProtection="0"/>
    <xf numFmtId="0" fontId="12" fillId="0" borderId="0"/>
    <xf numFmtId="0" fontId="12" fillId="0" borderId="0"/>
    <xf numFmtId="0" fontId="12" fillId="0" borderId="0"/>
    <xf numFmtId="166" fontId="12" fillId="0" borderId="0" applyFont="0" applyFill="0" applyBorder="0" applyAlignment="0" applyProtection="0"/>
    <xf numFmtId="9"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166" fontId="12" fillId="0" borderId="0" applyFont="0" applyFill="0" applyBorder="0" applyAlignment="0" applyProtection="0"/>
    <xf numFmtId="0" fontId="12" fillId="0" borderId="0"/>
    <xf numFmtId="9" fontId="12" fillId="0" borderId="0" applyFont="0" applyFill="0" applyBorder="0" applyAlignment="0" applyProtection="0"/>
    <xf numFmtId="166"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33" borderId="84" applyNumberFormat="0" applyFont="0" applyAlignment="0" applyProtection="0"/>
    <xf numFmtId="166"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166" fontId="12" fillId="0" borderId="0" applyFont="0" applyFill="0" applyBorder="0" applyAlignment="0" applyProtection="0"/>
    <xf numFmtId="0" fontId="12" fillId="0" borderId="0"/>
    <xf numFmtId="0" fontId="12" fillId="0" borderId="0"/>
    <xf numFmtId="0" fontId="12" fillId="0" borderId="0"/>
    <xf numFmtId="166" fontId="12" fillId="0" borderId="0" applyFont="0" applyFill="0" applyBorder="0" applyAlignment="0" applyProtection="0"/>
    <xf numFmtId="0" fontId="12" fillId="33" borderId="84" applyNumberFormat="0" applyFont="0" applyAlignment="0" applyProtection="0"/>
    <xf numFmtId="9"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191"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191" fontId="12" fillId="33" borderId="84" applyNumberFormat="0" applyFont="0" applyAlignment="0" applyProtection="0"/>
    <xf numFmtId="191" fontId="12" fillId="38" borderId="0" applyNumberFormat="0" applyBorder="0" applyAlignment="0" applyProtection="0"/>
    <xf numFmtId="0" fontId="12" fillId="0" borderId="0"/>
    <xf numFmtId="166"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0" fontId="107" fillId="0" borderId="0" applyNumberFormat="0" applyFill="0" applyBorder="0" applyAlignment="0" applyProtection="0"/>
    <xf numFmtId="0" fontId="12" fillId="0" borderId="0"/>
    <xf numFmtId="166"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166" fontId="12" fillId="0" borderId="0" applyFont="0" applyFill="0" applyBorder="0" applyAlignment="0" applyProtection="0"/>
    <xf numFmtId="0" fontId="12" fillId="0" borderId="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0" borderId="0"/>
    <xf numFmtId="9" fontId="12" fillId="0" borderId="0" applyFont="0" applyFill="0" applyBorder="0" applyAlignment="0" applyProtection="0"/>
    <xf numFmtId="166" fontId="12"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0" borderId="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166" fontId="12"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2" fillId="0" borderId="0"/>
    <xf numFmtId="0" fontId="106" fillId="0" borderId="0" applyNumberFormat="0" applyFill="0" applyBorder="0" applyAlignment="0" applyProtection="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33" borderId="84" applyNumberFormat="0" applyFont="0" applyAlignment="0" applyProtection="0"/>
    <xf numFmtId="9" fontId="12"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9" fontId="12" fillId="0" borderId="0" applyFont="0" applyFill="0" applyBorder="0" applyAlignment="0" applyProtection="0"/>
    <xf numFmtId="0" fontId="107" fillId="0" borderId="0" applyNumberFormat="0" applyFill="0" applyBorder="0" applyAlignment="0" applyProtection="0"/>
    <xf numFmtId="0" fontId="12" fillId="0" borderId="0"/>
    <xf numFmtId="9" fontId="12"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166" fontId="12" fillId="0" borderId="0" applyFont="0" applyFill="0" applyBorder="0" applyAlignment="0" applyProtection="0"/>
    <xf numFmtId="0" fontId="12" fillId="0" borderId="0"/>
    <xf numFmtId="0" fontId="12" fillId="0" borderId="0"/>
    <xf numFmtId="0" fontId="12" fillId="33" borderId="84" applyNumberFormat="0" applyFont="0" applyAlignment="0" applyProtection="0"/>
    <xf numFmtId="9" fontId="12" fillId="0" borderId="0" applyFont="0" applyFill="0" applyBorder="0" applyAlignment="0" applyProtection="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2" fillId="0" borderId="0"/>
    <xf numFmtId="9" fontId="12" fillId="0" borderId="0" applyFon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164" fontId="12" fillId="0" borderId="0" applyFont="0" applyFill="0" applyBorder="0" applyAlignment="0" applyProtection="0"/>
    <xf numFmtId="166" fontId="12" fillId="0" borderId="0" applyFont="0" applyFill="0" applyBorder="0" applyAlignment="0" applyProtection="0"/>
    <xf numFmtId="0" fontId="106" fillId="0" borderId="0" applyNumberFormat="0" applyFill="0" applyBorder="0" applyAlignment="0" applyProtection="0"/>
    <xf numFmtId="0" fontId="12" fillId="0" borderId="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06" fillId="0" borderId="0" applyNumberFormat="0" applyFill="0" applyBorder="0" applyAlignment="0" applyProtection="0"/>
    <xf numFmtId="0" fontId="12" fillId="0" borderId="0"/>
    <xf numFmtId="0" fontId="12" fillId="0" borderId="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33" borderId="84" applyNumberFormat="0" applyFont="0" applyAlignment="0" applyProtection="0"/>
    <xf numFmtId="0" fontId="12" fillId="33" borderId="84"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07" fillId="0" borderId="0" applyNumberForma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64"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33" borderId="84" applyNumberFormat="0" applyFont="0" applyAlignment="0" applyProtection="0"/>
    <xf numFmtId="0" fontId="12" fillId="33" borderId="84"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91" fontId="12" fillId="38" borderId="0" applyNumberFormat="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166" fontId="12" fillId="0" borderId="0" applyFont="0" applyFill="0" applyBorder="0" applyAlignment="0" applyProtection="0"/>
    <xf numFmtId="164" fontId="12"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191" fontId="75" fillId="0" borderId="117">
      <alignment horizontal="left" vertical="center"/>
    </xf>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2" fillId="33" borderId="84" applyNumberFormat="0" applyFont="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191" fontId="12" fillId="0" borderId="0"/>
    <xf numFmtId="166" fontId="12" fillId="0" borderId="0" applyFont="0" applyFill="0" applyBorder="0" applyAlignment="0" applyProtection="0"/>
    <xf numFmtId="0" fontId="12" fillId="0" borderId="0"/>
    <xf numFmtId="0" fontId="12" fillId="33" borderId="84" applyNumberFormat="0" applyFont="0" applyAlignment="0" applyProtection="0"/>
    <xf numFmtId="9" fontId="12" fillId="0" borderId="0" applyFont="0" applyFill="0" applyBorder="0" applyAlignment="0" applyProtection="0"/>
    <xf numFmtId="0" fontId="12" fillId="0" borderId="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166" fontId="12"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0" borderId="0"/>
    <xf numFmtId="0" fontId="12" fillId="0" borderId="0"/>
    <xf numFmtId="0" fontId="12" fillId="0" borderId="0"/>
    <xf numFmtId="0" fontId="12" fillId="33" borderId="84"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64" fontId="12" fillId="0" borderId="0" applyFont="0" applyFill="0" applyBorder="0" applyAlignment="0" applyProtection="0"/>
    <xf numFmtId="9" fontId="12" fillId="0" borderId="0" applyFont="0" applyFill="0" applyBorder="0" applyAlignment="0" applyProtection="0"/>
    <xf numFmtId="0" fontId="107" fillId="0" borderId="0" applyNumberFormat="0" applyFill="0" applyBorder="0" applyAlignment="0" applyProtection="0"/>
    <xf numFmtId="191" fontId="12" fillId="0" borderId="0"/>
    <xf numFmtId="166" fontId="12" fillId="0" borderId="0" applyFont="0" applyFill="0" applyBorder="0" applyAlignment="0" applyProtection="0"/>
    <xf numFmtId="166" fontId="12" fillId="0" borderId="0" applyFont="0" applyFill="0" applyBorder="0" applyAlignment="0" applyProtection="0"/>
    <xf numFmtId="191" fontId="12" fillId="0" borderId="0"/>
    <xf numFmtId="0" fontId="12" fillId="0" borderId="0"/>
    <xf numFmtId="9" fontId="12" fillId="0" borderId="0" applyFont="0" applyFill="0" applyBorder="0" applyAlignment="0" applyProtection="0"/>
    <xf numFmtId="0" fontId="12" fillId="33" borderId="84" applyNumberFormat="0" applyFont="0" applyAlignment="0" applyProtection="0"/>
    <xf numFmtId="0" fontId="12" fillId="0" borderId="0"/>
    <xf numFmtId="9" fontId="12" fillId="0" borderId="0" applyFon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166" fontId="12" fillId="0" borderId="0" applyFont="0" applyFill="0" applyBorder="0" applyAlignment="0" applyProtection="0"/>
    <xf numFmtId="191" fontId="12" fillId="0" borderId="0"/>
    <xf numFmtId="9"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0" fontId="12" fillId="33" borderId="84" applyNumberFormat="0" applyFont="0" applyAlignment="0" applyProtection="0"/>
    <xf numFmtId="166" fontId="12" fillId="0" borderId="0" applyFon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0" borderId="0"/>
    <xf numFmtId="9" fontId="12" fillId="0" borderId="0" applyFont="0" applyFill="0" applyBorder="0" applyAlignment="0" applyProtection="0"/>
    <xf numFmtId="0" fontId="12" fillId="33" borderId="84" applyNumberFormat="0" applyFont="0" applyAlignment="0" applyProtection="0"/>
    <xf numFmtId="166" fontId="12" fillId="0" borderId="0" applyFont="0" applyFill="0" applyBorder="0" applyAlignment="0" applyProtection="0"/>
    <xf numFmtId="0" fontId="12" fillId="0" borderId="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2" fillId="0" borderId="0"/>
    <xf numFmtId="0" fontId="12" fillId="0" borderId="0"/>
    <xf numFmtId="9" fontId="12" fillId="0" borderId="0" applyFont="0" applyFill="0" applyBorder="0" applyAlignment="0" applyProtection="0"/>
    <xf numFmtId="191" fontId="12" fillId="0" borderId="0"/>
    <xf numFmtId="191" fontId="12" fillId="38" borderId="0" applyNumberFormat="0" applyBorder="0" applyAlignment="0" applyProtection="0"/>
    <xf numFmtId="9" fontId="12" fillId="0" borderId="0" applyFont="0" applyFill="0" applyBorder="0" applyAlignment="0" applyProtection="0"/>
    <xf numFmtId="191" fontId="12" fillId="33" borderId="84" applyNumberFormat="0" applyFont="0" applyAlignment="0" applyProtection="0"/>
    <xf numFmtId="166" fontId="12" fillId="0" borderId="0" applyFont="0" applyFill="0" applyBorder="0" applyAlignment="0" applyProtection="0"/>
    <xf numFmtId="166" fontId="12" fillId="0" borderId="0" applyFont="0" applyFill="0" applyBorder="0" applyAlignment="0" applyProtection="0"/>
    <xf numFmtId="191" fontId="12" fillId="0" borderId="0"/>
    <xf numFmtId="0" fontId="12" fillId="33" borderId="84" applyNumberFormat="0" applyFont="0" applyAlignment="0" applyProtection="0"/>
    <xf numFmtId="0" fontId="12" fillId="0" borderId="0"/>
    <xf numFmtId="0" fontId="12" fillId="33" borderId="84"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191" fontId="12" fillId="0" borderId="0"/>
    <xf numFmtId="166" fontId="12" fillId="0" borderId="0" applyFont="0" applyFill="0" applyBorder="0" applyAlignment="0" applyProtection="0"/>
    <xf numFmtId="166" fontId="12" fillId="0" borderId="0" applyFont="0" applyFill="0" applyBorder="0" applyAlignment="0" applyProtection="0"/>
    <xf numFmtId="191" fontId="12" fillId="0" borderId="0"/>
    <xf numFmtId="0" fontId="12" fillId="0" borderId="0"/>
    <xf numFmtId="0" fontId="12" fillId="33" borderId="84" applyNumberFormat="0" applyFont="0" applyAlignment="0" applyProtection="0"/>
    <xf numFmtId="9" fontId="12" fillId="0" borderId="0" applyFont="0" applyFill="0" applyBorder="0" applyAlignment="0" applyProtection="0"/>
    <xf numFmtId="0" fontId="107" fillId="0" borderId="0" applyNumberFormat="0" applyFill="0" applyBorder="0" applyAlignment="0" applyProtection="0"/>
    <xf numFmtId="0" fontId="12" fillId="0" borderId="0"/>
    <xf numFmtId="0" fontId="107" fillId="0" borderId="0" applyNumberFormat="0" applyFill="0" applyBorder="0" applyAlignment="0" applyProtection="0"/>
    <xf numFmtId="0" fontId="106" fillId="0" borderId="0" applyNumberForma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9" fontId="12" fillId="0" borderId="0" applyFont="0" applyFill="0" applyBorder="0" applyAlignment="0" applyProtection="0"/>
    <xf numFmtId="0" fontId="12" fillId="33" borderId="84" applyNumberFormat="0" applyFont="0" applyAlignment="0" applyProtection="0"/>
    <xf numFmtId="0" fontId="12" fillId="0" borderId="0"/>
    <xf numFmtId="0" fontId="107" fillId="0" borderId="0" applyNumberFormat="0" applyFill="0" applyBorder="0" applyAlignment="0" applyProtection="0"/>
    <xf numFmtId="0" fontId="12" fillId="0" borderId="0"/>
    <xf numFmtId="9"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166"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33" borderId="84" applyNumberFormat="0" applyFont="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9" fontId="12" fillId="0" borderId="0" applyFont="0" applyFill="0" applyBorder="0" applyAlignment="0" applyProtection="0"/>
    <xf numFmtId="0" fontId="12" fillId="33" borderId="84" applyNumberFormat="0" applyFont="0" applyAlignment="0" applyProtection="0"/>
    <xf numFmtId="0" fontId="12" fillId="0" borderId="0"/>
    <xf numFmtId="0" fontId="12" fillId="0" borderId="0"/>
    <xf numFmtId="0" fontId="12" fillId="0" borderId="0"/>
    <xf numFmtId="166" fontId="12" fillId="0" borderId="0" applyFont="0" applyFill="0" applyBorder="0" applyAlignment="0" applyProtection="0"/>
    <xf numFmtId="9"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166" fontId="12" fillId="0" borderId="0" applyFont="0" applyFill="0" applyBorder="0" applyAlignment="0" applyProtection="0"/>
    <xf numFmtId="0" fontId="12" fillId="0" borderId="0"/>
    <xf numFmtId="9" fontId="12" fillId="0" borderId="0" applyFont="0" applyFill="0" applyBorder="0" applyAlignment="0" applyProtection="0"/>
    <xf numFmtId="166"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33" borderId="84" applyNumberFormat="0" applyFont="0" applyAlignment="0" applyProtection="0"/>
    <xf numFmtId="166"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166" fontId="12" fillId="0" borderId="0" applyFont="0" applyFill="0" applyBorder="0" applyAlignment="0" applyProtection="0"/>
    <xf numFmtId="0" fontId="12" fillId="0" borderId="0"/>
    <xf numFmtId="0" fontId="12" fillId="0" borderId="0"/>
    <xf numFmtId="0" fontId="12" fillId="0" borderId="0"/>
    <xf numFmtId="166" fontId="12" fillId="0" borderId="0" applyFont="0" applyFill="0" applyBorder="0" applyAlignment="0" applyProtection="0"/>
    <xf numFmtId="0" fontId="12" fillId="33" borderId="84" applyNumberFormat="0" applyFont="0" applyAlignment="0" applyProtection="0"/>
    <xf numFmtId="9"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191"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191" fontId="12" fillId="33" borderId="84" applyNumberFormat="0" applyFont="0" applyAlignment="0" applyProtection="0"/>
    <xf numFmtId="191" fontId="12" fillId="38" borderId="0" applyNumberFormat="0" applyBorder="0" applyAlignment="0" applyProtection="0"/>
    <xf numFmtId="0" fontId="12" fillId="0" borderId="0"/>
    <xf numFmtId="166"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2" fillId="0" borderId="0"/>
    <xf numFmtId="166"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166" fontId="12" fillId="0" borderId="0" applyFont="0" applyFill="0" applyBorder="0" applyAlignment="0" applyProtection="0"/>
    <xf numFmtId="0" fontId="12" fillId="0" borderId="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2" fillId="0" borderId="0"/>
    <xf numFmtId="9" fontId="12" fillId="0" borderId="0" applyFont="0" applyFill="0" applyBorder="0" applyAlignment="0" applyProtection="0"/>
    <xf numFmtId="166" fontId="12" fillId="0" borderId="0" applyFon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191" fontId="75" fillId="0" borderId="117">
      <alignment horizontal="lef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2" fillId="0" borderId="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2" fillId="0" borderId="0"/>
    <xf numFmtId="166" fontId="12" fillId="0" borderId="0" applyFont="0" applyFill="0" applyBorder="0" applyAlignment="0" applyProtection="0"/>
    <xf numFmtId="0" fontId="12" fillId="0" borderId="0"/>
    <xf numFmtId="0" fontId="12" fillId="0" borderId="0"/>
    <xf numFmtId="0" fontId="12" fillId="33" borderId="84"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33" borderId="84" applyNumberFormat="0" applyFont="0" applyAlignment="0" applyProtection="0"/>
    <xf numFmtId="9" fontId="12" fillId="0" borderId="0" applyFont="0" applyFill="0" applyBorder="0" applyAlignment="0" applyProtection="0"/>
    <xf numFmtId="0" fontId="12" fillId="0" borderId="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2" fillId="0" borderId="0"/>
    <xf numFmtId="9" fontId="12" fillId="0" borderId="0" applyFon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164"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33" borderId="84" applyNumberFormat="0" applyFont="0" applyAlignment="0" applyProtection="0"/>
    <xf numFmtId="0" fontId="12" fillId="33" borderId="84"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64"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33" borderId="84" applyNumberFormat="0" applyFont="0" applyAlignment="0" applyProtection="0"/>
    <xf numFmtId="0" fontId="12" fillId="33" borderId="84"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91" fontId="12" fillId="38" borderId="0" applyNumberFormat="0" applyBorder="0" applyAlignment="0" applyProtection="0"/>
    <xf numFmtId="166" fontId="12" fillId="0" borderId="0" applyFont="0" applyFill="0" applyBorder="0" applyAlignment="0" applyProtection="0"/>
    <xf numFmtId="164" fontId="12" fillId="0" borderId="0" applyFont="0" applyFill="0" applyBorder="0" applyAlignment="0" applyProtection="0"/>
    <xf numFmtId="0" fontId="12" fillId="33" borderId="84" applyNumberFormat="0" applyFont="0" applyAlignment="0" applyProtection="0"/>
    <xf numFmtId="191" fontId="12" fillId="0" borderId="0"/>
    <xf numFmtId="166" fontId="12" fillId="0" borderId="0" applyFont="0" applyFill="0" applyBorder="0" applyAlignment="0" applyProtection="0"/>
    <xf numFmtId="0" fontId="12" fillId="0" borderId="0"/>
    <xf numFmtId="0" fontId="12" fillId="33" borderId="84" applyNumberFormat="0" applyFont="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0" fontId="12" fillId="0" borderId="0"/>
    <xf numFmtId="0" fontId="12" fillId="0" borderId="0"/>
    <xf numFmtId="0" fontId="12" fillId="0" borderId="0"/>
    <xf numFmtId="0" fontId="12" fillId="33" borderId="84"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64" fontId="12" fillId="0" borderId="0" applyFont="0" applyFill="0" applyBorder="0" applyAlignment="0" applyProtection="0"/>
    <xf numFmtId="9" fontId="12" fillId="0" borderId="0" applyFont="0" applyFill="0" applyBorder="0" applyAlignment="0" applyProtection="0"/>
    <xf numFmtId="191" fontId="12" fillId="0" borderId="0"/>
    <xf numFmtId="166" fontId="12" fillId="0" borderId="0" applyFont="0" applyFill="0" applyBorder="0" applyAlignment="0" applyProtection="0"/>
    <xf numFmtId="166" fontId="12" fillId="0" borderId="0" applyFont="0" applyFill="0" applyBorder="0" applyAlignment="0" applyProtection="0"/>
    <xf numFmtId="191" fontId="12" fillId="0" borderId="0"/>
    <xf numFmtId="0" fontId="12" fillId="0" borderId="0"/>
    <xf numFmtId="9" fontId="12" fillId="0" borderId="0" applyFont="0" applyFill="0" applyBorder="0" applyAlignment="0" applyProtection="0"/>
    <xf numFmtId="0" fontId="12" fillId="33" borderId="84" applyNumberFormat="0" applyFont="0" applyAlignment="0" applyProtection="0"/>
    <xf numFmtId="0" fontId="12" fillId="0" borderId="0"/>
    <xf numFmtId="9" fontId="12" fillId="0" borderId="0" applyFont="0" applyFill="0" applyBorder="0" applyAlignment="0" applyProtection="0"/>
    <xf numFmtId="166" fontId="12" fillId="0" borderId="0" applyFont="0" applyFill="0" applyBorder="0" applyAlignment="0" applyProtection="0"/>
    <xf numFmtId="191" fontId="12" fillId="0" borderId="0"/>
    <xf numFmtId="9"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0" fontId="12" fillId="33" borderId="84" applyNumberFormat="0" applyFont="0" applyAlignment="0" applyProtection="0"/>
    <xf numFmtId="166" fontId="12" fillId="0" borderId="0" applyFont="0" applyFill="0" applyBorder="0" applyAlignment="0" applyProtection="0"/>
    <xf numFmtId="0" fontId="12" fillId="0" borderId="0"/>
    <xf numFmtId="9" fontId="12" fillId="0" borderId="0" applyFont="0" applyFill="0" applyBorder="0" applyAlignment="0" applyProtection="0"/>
    <xf numFmtId="0" fontId="12" fillId="33" borderId="84" applyNumberFormat="0" applyFont="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91" fontId="12" fillId="0" borderId="0"/>
    <xf numFmtId="191" fontId="12" fillId="38" borderId="0" applyNumberFormat="0" applyBorder="0" applyAlignment="0" applyProtection="0"/>
    <xf numFmtId="9" fontId="12" fillId="0" borderId="0" applyFont="0" applyFill="0" applyBorder="0" applyAlignment="0" applyProtection="0"/>
    <xf numFmtId="191" fontId="12" fillId="33" borderId="84" applyNumberFormat="0" applyFont="0" applyAlignment="0" applyProtection="0"/>
    <xf numFmtId="166" fontId="12" fillId="0" borderId="0" applyFont="0" applyFill="0" applyBorder="0" applyAlignment="0" applyProtection="0"/>
    <xf numFmtId="166" fontId="12" fillId="0" borderId="0" applyFont="0" applyFill="0" applyBorder="0" applyAlignment="0" applyProtection="0"/>
    <xf numFmtId="191" fontId="12" fillId="0" borderId="0"/>
    <xf numFmtId="0" fontId="12" fillId="33" borderId="84" applyNumberFormat="0" applyFont="0" applyAlignment="0" applyProtection="0"/>
    <xf numFmtId="0" fontId="12" fillId="0" borderId="0"/>
    <xf numFmtId="0" fontId="12" fillId="33" borderId="84" applyNumberFormat="0" applyFon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191" fontId="12" fillId="0" borderId="0"/>
    <xf numFmtId="166" fontId="12" fillId="0" borderId="0" applyFont="0" applyFill="0" applyBorder="0" applyAlignment="0" applyProtection="0"/>
    <xf numFmtId="166" fontId="12" fillId="0" borderId="0" applyFont="0" applyFill="0" applyBorder="0" applyAlignment="0" applyProtection="0"/>
    <xf numFmtId="191" fontId="12" fillId="0" borderId="0"/>
    <xf numFmtId="0" fontId="12" fillId="0" borderId="0"/>
    <xf numFmtId="0" fontId="12" fillId="33" borderId="84" applyNumberFormat="0" applyFont="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9"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9" fontId="12" fillId="0" borderId="0" applyFont="0" applyFill="0" applyBorder="0" applyAlignment="0" applyProtection="0"/>
    <xf numFmtId="0" fontId="12" fillId="33" borderId="84" applyNumberFormat="0" applyFont="0" applyAlignment="0" applyProtection="0"/>
    <xf numFmtId="0" fontId="12" fillId="0" borderId="0"/>
    <xf numFmtId="0" fontId="12" fillId="0" borderId="0"/>
    <xf numFmtId="9"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166"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33" borderId="84" applyNumberFormat="0" applyFont="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166" fontId="12" fillId="0" borderId="0" applyFont="0" applyFill="0" applyBorder="0" applyAlignment="0" applyProtection="0"/>
    <xf numFmtId="9" fontId="12" fillId="0" borderId="0" applyFont="0" applyFill="0" applyBorder="0" applyAlignment="0" applyProtection="0"/>
    <xf numFmtId="0" fontId="12" fillId="33" borderId="84" applyNumberFormat="0" applyFont="0" applyAlignment="0" applyProtection="0"/>
    <xf numFmtId="0" fontId="12" fillId="0" borderId="0"/>
    <xf numFmtId="0" fontId="12" fillId="0" borderId="0"/>
    <xf numFmtId="0" fontId="12" fillId="0" borderId="0"/>
    <xf numFmtId="166" fontId="12" fillId="0" borderId="0" applyFont="0" applyFill="0" applyBorder="0" applyAlignment="0" applyProtection="0"/>
    <xf numFmtId="9"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166" fontId="12" fillId="0" borderId="0" applyFont="0" applyFill="0" applyBorder="0" applyAlignment="0" applyProtection="0"/>
    <xf numFmtId="0" fontId="12" fillId="0" borderId="0"/>
    <xf numFmtId="9" fontId="12" fillId="0" borderId="0" applyFont="0" applyFill="0" applyBorder="0" applyAlignment="0" applyProtection="0"/>
    <xf numFmtId="166"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33" borderId="84" applyNumberFormat="0" applyFont="0" applyAlignment="0" applyProtection="0"/>
    <xf numFmtId="166"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166" fontId="12" fillId="0" borderId="0" applyFont="0" applyFill="0" applyBorder="0" applyAlignment="0" applyProtection="0"/>
    <xf numFmtId="0" fontId="12" fillId="0" borderId="0"/>
    <xf numFmtId="0" fontId="12" fillId="0" borderId="0"/>
    <xf numFmtId="0" fontId="12" fillId="0" borderId="0"/>
    <xf numFmtId="166" fontId="12" fillId="0" borderId="0" applyFont="0" applyFill="0" applyBorder="0" applyAlignment="0" applyProtection="0"/>
    <xf numFmtId="0" fontId="12" fillId="33" borderId="84" applyNumberFormat="0" applyFont="0" applyAlignment="0" applyProtection="0"/>
    <xf numFmtId="9"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191" fontId="12" fillId="0" borderId="0"/>
    <xf numFmtId="0" fontId="12" fillId="0" borderId="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191" fontId="12" fillId="33" borderId="84" applyNumberFormat="0" applyFont="0" applyAlignment="0" applyProtection="0"/>
    <xf numFmtId="191" fontId="12" fillId="38" borderId="0" applyNumberFormat="0" applyBorder="0" applyAlignment="0" applyProtection="0"/>
    <xf numFmtId="0" fontId="12" fillId="0" borderId="0"/>
    <xf numFmtId="166"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0" fontId="12" fillId="0" borderId="0"/>
    <xf numFmtId="166"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0" fontId="12" fillId="0" borderId="0"/>
    <xf numFmtId="166" fontId="12" fillId="0" borderId="0" applyFont="0" applyFill="0" applyBorder="0" applyAlignment="0" applyProtection="0"/>
    <xf numFmtId="0" fontId="12" fillId="0" borderId="0"/>
    <xf numFmtId="0" fontId="12" fillId="0" borderId="0"/>
    <xf numFmtId="0" fontId="12" fillId="0" borderId="0"/>
    <xf numFmtId="9" fontId="12" fillId="0" borderId="0" applyFont="0" applyFill="0" applyBorder="0" applyAlignment="0" applyProtection="0"/>
    <xf numFmtId="166" fontId="12" fillId="0" borderId="0" applyFon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251" fillId="0" borderId="0"/>
    <xf numFmtId="166" fontId="135" fillId="0" borderId="0" applyFon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1" fillId="0" borderId="0"/>
    <xf numFmtId="9" fontId="11" fillId="0" borderId="0" applyFon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1" fillId="0" borderId="0"/>
    <xf numFmtId="0" fontId="11" fillId="0" borderId="0"/>
    <xf numFmtId="166" fontId="11" fillId="0" borderId="0" applyFont="0" applyFill="0" applyBorder="0" applyAlignment="0" applyProtection="0"/>
    <xf numFmtId="0" fontId="11" fillId="0" borderId="0"/>
    <xf numFmtId="0" fontId="11" fillId="0" borderId="0"/>
    <xf numFmtId="0" fontId="11" fillId="33" borderId="84" applyNumberFormat="0" applyFont="0" applyAlignment="0" applyProtection="0"/>
    <xf numFmtId="166"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xf numFmtId="166" fontId="11" fillId="0" borderId="0" applyFont="0" applyFill="0" applyBorder="0" applyAlignment="0" applyProtection="0"/>
    <xf numFmtId="0" fontId="11" fillId="0" borderId="0"/>
    <xf numFmtId="0" fontId="251" fillId="0" borderId="0"/>
    <xf numFmtId="166" fontId="135" fillId="0" borderId="0" applyFon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168" fillId="0" borderId="0" applyNumberFormat="0" applyFill="0" applyBorder="0" applyAlignment="0" applyProtection="0"/>
    <xf numFmtId="0" fontId="9" fillId="0" borderId="0"/>
    <xf numFmtId="191" fontId="9" fillId="0" borderId="0"/>
    <xf numFmtId="166" fontId="9" fillId="0" borderId="0" applyFont="0" applyFill="0" applyBorder="0" applyAlignment="0" applyProtection="0"/>
    <xf numFmtId="9" fontId="9" fillId="0" borderId="0" applyFont="0" applyFill="0" applyBorder="0" applyAlignment="0" applyProtection="0"/>
    <xf numFmtId="191" fontId="9" fillId="0" borderId="0"/>
    <xf numFmtId="166" fontId="9" fillId="0" borderId="0" applyFont="0" applyFill="0" applyBorder="0" applyAlignment="0" applyProtection="0"/>
    <xf numFmtId="164" fontId="9" fillId="0" borderId="0" applyFont="0" applyFill="0" applyBorder="0" applyAlignment="0" applyProtection="0"/>
    <xf numFmtId="0" fontId="135" fillId="0" borderId="0"/>
    <xf numFmtId="191" fontId="75" fillId="0" borderId="63" applyNumberFormat="0" applyAlignment="0" applyProtection="0">
      <alignment horizontal="left" vertical="center"/>
    </xf>
    <xf numFmtId="0" fontId="147" fillId="0" borderId="0">
      <alignment horizontal="center"/>
    </xf>
    <xf numFmtId="0" fontId="147" fillId="0" borderId="0">
      <alignment horizontal="center" textRotation="90"/>
    </xf>
    <xf numFmtId="0" fontId="155" fillId="0" borderId="0"/>
    <xf numFmtId="0" fontId="8" fillId="0" borderId="0"/>
    <xf numFmtId="191" fontId="8" fillId="0" borderId="0"/>
    <xf numFmtId="166" fontId="8" fillId="0" borderId="0" applyFont="0" applyFill="0" applyBorder="0" applyAlignment="0" applyProtection="0"/>
    <xf numFmtId="9" fontId="8" fillId="0" borderId="0" applyFont="0" applyFill="0" applyBorder="0" applyAlignment="0" applyProtection="0"/>
    <xf numFmtId="191" fontId="8" fillId="0" borderId="0"/>
    <xf numFmtId="166" fontId="8" fillId="0" borderId="0" applyFont="0" applyFill="0" applyBorder="0" applyAlignment="0" applyProtection="0"/>
    <xf numFmtId="164" fontId="8" fillId="0" borderId="0" applyFont="0" applyFill="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5" borderId="0" applyNumberFormat="0" applyBorder="0" applyAlignment="0" applyProtection="0"/>
    <xf numFmtId="0" fontId="259" fillId="85" borderId="0" applyNumberFormat="0" applyBorder="0" applyAlignment="0" applyProtection="0"/>
    <xf numFmtId="0" fontId="259" fillId="85" borderId="0" applyNumberFormat="0" applyBorder="0" applyAlignment="0" applyProtection="0"/>
    <xf numFmtId="0" fontId="259" fillId="85" borderId="0" applyNumberFormat="0" applyBorder="0" applyAlignment="0" applyProtection="0"/>
    <xf numFmtId="0" fontId="259" fillId="85" borderId="0" applyNumberFormat="0" applyBorder="0" applyAlignment="0" applyProtection="0"/>
    <xf numFmtId="0" fontId="259" fillId="85" borderId="0" applyNumberFormat="0" applyBorder="0" applyAlignment="0" applyProtection="0"/>
    <xf numFmtId="0" fontId="259" fillId="85" borderId="0" applyNumberFormat="0" applyBorder="0" applyAlignment="0" applyProtection="0"/>
    <xf numFmtId="0" fontId="259" fillId="85" borderId="0" applyNumberFormat="0" applyBorder="0" applyAlignment="0" applyProtection="0"/>
    <xf numFmtId="191" fontId="260" fillId="85" borderId="0" applyNumberFormat="0" applyBorder="0" applyAlignment="0" applyProtection="0"/>
    <xf numFmtId="191" fontId="260" fillId="85" borderId="0" applyNumberFormat="0" applyBorder="0" applyAlignment="0" applyProtection="0"/>
    <xf numFmtId="0" fontId="259" fillId="85" borderId="0" applyNumberFormat="0" applyBorder="0" applyAlignment="0" applyProtection="0"/>
    <xf numFmtId="0" fontId="259" fillId="85" borderId="0" applyNumberFormat="0" applyBorder="0" applyAlignment="0" applyProtection="0"/>
    <xf numFmtId="191" fontId="260" fillId="85" borderId="0" applyNumberFormat="0" applyBorder="0" applyAlignment="0" applyProtection="0"/>
    <xf numFmtId="0" fontId="259" fillId="85" borderId="0" applyNumberFormat="0" applyBorder="0" applyAlignment="0" applyProtection="0"/>
    <xf numFmtId="0" fontId="259" fillId="86" borderId="0" applyNumberFormat="0" applyBorder="0" applyAlignment="0" applyProtection="0"/>
    <xf numFmtId="0" fontId="259" fillId="86" borderId="0" applyNumberFormat="0" applyBorder="0" applyAlignment="0" applyProtection="0"/>
    <xf numFmtId="0" fontId="259" fillId="86" borderId="0" applyNumberFormat="0" applyBorder="0" applyAlignment="0" applyProtection="0"/>
    <xf numFmtId="0" fontId="259" fillId="86" borderId="0" applyNumberFormat="0" applyBorder="0" applyAlignment="0" applyProtection="0"/>
    <xf numFmtId="0" fontId="259" fillId="86" borderId="0" applyNumberFormat="0" applyBorder="0" applyAlignment="0" applyProtection="0"/>
    <xf numFmtId="0" fontId="259" fillId="86" borderId="0" applyNumberFormat="0" applyBorder="0" applyAlignment="0" applyProtection="0"/>
    <xf numFmtId="0" fontId="259" fillId="86" borderId="0" applyNumberFormat="0" applyBorder="0" applyAlignment="0" applyProtection="0"/>
    <xf numFmtId="0" fontId="259" fillId="86" borderId="0" applyNumberFormat="0" applyBorder="0" applyAlignment="0" applyProtection="0"/>
    <xf numFmtId="0" fontId="259" fillId="86" borderId="0" applyNumberFormat="0" applyBorder="0" applyAlignment="0" applyProtection="0"/>
    <xf numFmtId="0" fontId="259" fillId="86" borderId="0" applyNumberFormat="0" applyBorder="0" applyAlignment="0" applyProtection="0"/>
    <xf numFmtId="0" fontId="259" fillId="86"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8" borderId="0" applyNumberFormat="0" applyBorder="0" applyAlignment="0" applyProtection="0"/>
    <xf numFmtId="0" fontId="259" fillId="88" borderId="0" applyNumberFormat="0" applyBorder="0" applyAlignment="0" applyProtection="0"/>
    <xf numFmtId="0" fontId="259" fillId="88" borderId="0" applyNumberFormat="0" applyBorder="0" applyAlignment="0" applyProtection="0"/>
    <xf numFmtId="0" fontId="259" fillId="88" borderId="0" applyNumberFormat="0" applyBorder="0" applyAlignment="0" applyProtection="0"/>
    <xf numFmtId="0" fontId="259" fillId="88" borderId="0" applyNumberFormat="0" applyBorder="0" applyAlignment="0" applyProtection="0"/>
    <xf numFmtId="0" fontId="259" fillId="88" borderId="0" applyNumberFormat="0" applyBorder="0" applyAlignment="0" applyProtection="0"/>
    <xf numFmtId="0" fontId="259" fillId="88" borderId="0" applyNumberFormat="0" applyBorder="0" applyAlignment="0" applyProtection="0"/>
    <xf numFmtId="0" fontId="259" fillId="88" borderId="0" applyNumberFormat="0" applyBorder="0" applyAlignment="0" applyProtection="0"/>
    <xf numFmtId="0" fontId="259" fillId="88" borderId="0" applyNumberFormat="0" applyBorder="0" applyAlignment="0" applyProtection="0"/>
    <xf numFmtId="0" fontId="259" fillId="88" borderId="0" applyNumberFormat="0" applyBorder="0" applyAlignment="0" applyProtection="0"/>
    <xf numFmtId="0" fontId="259" fillId="88"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1" borderId="0" applyNumberFormat="0" applyBorder="0" applyAlignment="0" applyProtection="0"/>
    <xf numFmtId="0" fontId="259" fillId="91" borderId="0" applyNumberFormat="0" applyBorder="0" applyAlignment="0" applyProtection="0"/>
    <xf numFmtId="0" fontId="259" fillId="91" borderId="0" applyNumberFormat="0" applyBorder="0" applyAlignment="0" applyProtection="0"/>
    <xf numFmtId="0" fontId="259" fillId="91" borderId="0" applyNumberFormat="0" applyBorder="0" applyAlignment="0" applyProtection="0"/>
    <xf numFmtId="0" fontId="259" fillId="91" borderId="0" applyNumberFormat="0" applyBorder="0" applyAlignment="0" applyProtection="0"/>
    <xf numFmtId="0" fontId="259" fillId="91" borderId="0" applyNumberFormat="0" applyBorder="0" applyAlignment="0" applyProtection="0"/>
    <xf numFmtId="0" fontId="259" fillId="91" borderId="0" applyNumberFormat="0" applyBorder="0" applyAlignment="0" applyProtection="0"/>
    <xf numFmtId="0" fontId="259" fillId="91" borderId="0" applyNumberFormat="0" applyBorder="0" applyAlignment="0" applyProtection="0"/>
    <xf numFmtId="0" fontId="259" fillId="91" borderId="0" applyNumberFormat="0" applyBorder="0" applyAlignment="0" applyProtection="0"/>
    <xf numFmtId="0" fontId="259" fillId="91" borderId="0" applyNumberFormat="0" applyBorder="0" applyAlignment="0" applyProtection="0"/>
    <xf numFmtId="0" fontId="259" fillId="91" borderId="0" applyNumberFormat="0" applyBorder="0" applyAlignment="0" applyProtection="0"/>
    <xf numFmtId="0" fontId="259" fillId="61" borderId="0" applyNumberFormat="0" applyBorder="0" applyAlignment="0" applyProtection="0"/>
    <xf numFmtId="0" fontId="259" fillId="61" borderId="0" applyNumberFormat="0" applyBorder="0" applyAlignment="0" applyProtection="0"/>
    <xf numFmtId="0" fontId="259" fillId="61" borderId="0" applyNumberFormat="0" applyBorder="0" applyAlignment="0" applyProtection="0"/>
    <xf numFmtId="0" fontId="259" fillId="61" borderId="0" applyNumberFormat="0" applyBorder="0" applyAlignment="0" applyProtection="0"/>
    <xf numFmtId="0" fontId="259" fillId="61" borderId="0" applyNumberFormat="0" applyBorder="0" applyAlignment="0" applyProtection="0"/>
    <xf numFmtId="0" fontId="259" fillId="61" borderId="0" applyNumberFormat="0" applyBorder="0" applyAlignment="0" applyProtection="0"/>
    <xf numFmtId="0" fontId="259" fillId="61" borderId="0" applyNumberFormat="0" applyBorder="0" applyAlignment="0" applyProtection="0"/>
    <xf numFmtId="0" fontId="259" fillId="61" borderId="0" applyNumberFormat="0" applyBorder="0" applyAlignment="0" applyProtection="0"/>
    <xf numFmtId="0" fontId="259" fillId="61" borderId="0" applyNumberFormat="0" applyBorder="0" applyAlignment="0" applyProtection="0"/>
    <xf numFmtId="0" fontId="259" fillId="61" borderId="0" applyNumberFormat="0" applyBorder="0" applyAlignment="0" applyProtection="0"/>
    <xf numFmtId="0" fontId="259" fillId="61"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2" borderId="0" applyNumberFormat="0" applyBorder="0" applyAlignment="0" applyProtection="0"/>
    <xf numFmtId="0" fontId="259" fillId="92" borderId="0" applyNumberFormat="0" applyBorder="0" applyAlignment="0" applyProtection="0"/>
    <xf numFmtId="0" fontId="259" fillId="92" borderId="0" applyNumberFormat="0" applyBorder="0" applyAlignment="0" applyProtection="0"/>
    <xf numFmtId="0" fontId="259" fillId="92" borderId="0" applyNumberFormat="0" applyBorder="0" applyAlignment="0" applyProtection="0"/>
    <xf numFmtId="0" fontId="259" fillId="92" borderId="0" applyNumberFormat="0" applyBorder="0" applyAlignment="0" applyProtection="0"/>
    <xf numFmtId="0" fontId="259" fillId="92" borderId="0" applyNumberFormat="0" applyBorder="0" applyAlignment="0" applyProtection="0"/>
    <xf numFmtId="0" fontId="259" fillId="92" borderId="0" applyNumberFormat="0" applyBorder="0" applyAlignment="0" applyProtection="0"/>
    <xf numFmtId="0" fontId="259" fillId="92" borderId="0" applyNumberFormat="0" applyBorder="0" applyAlignment="0" applyProtection="0"/>
    <xf numFmtId="0" fontId="259" fillId="92" borderId="0" applyNumberFormat="0" applyBorder="0" applyAlignment="0" applyProtection="0"/>
    <xf numFmtId="0" fontId="259" fillId="92" borderId="0" applyNumberFormat="0" applyBorder="0" applyAlignment="0" applyProtection="0"/>
    <xf numFmtId="0" fontId="259" fillId="92" borderId="0" applyNumberFormat="0" applyBorder="0" applyAlignment="0" applyProtection="0"/>
    <xf numFmtId="0" fontId="261" fillId="93" borderId="0" applyNumberFormat="0" applyBorder="0" applyAlignment="0" applyProtection="0"/>
    <xf numFmtId="0" fontId="261" fillId="93" borderId="0" applyNumberFormat="0" applyBorder="0" applyAlignment="0" applyProtection="0"/>
    <xf numFmtId="0" fontId="261" fillId="93" borderId="0" applyNumberFormat="0" applyBorder="0" applyAlignment="0" applyProtection="0"/>
    <xf numFmtId="0" fontId="261" fillId="91" borderId="0" applyNumberFormat="0" applyBorder="0" applyAlignment="0" applyProtection="0"/>
    <xf numFmtId="0" fontId="261" fillId="91" borderId="0" applyNumberFormat="0" applyBorder="0" applyAlignment="0" applyProtection="0"/>
    <xf numFmtId="0" fontId="261" fillId="91" borderId="0" applyNumberFormat="0" applyBorder="0" applyAlignment="0" applyProtection="0"/>
    <xf numFmtId="0" fontId="261" fillId="61" borderId="0" applyNumberFormat="0" applyBorder="0" applyAlignment="0" applyProtection="0"/>
    <xf numFmtId="0" fontId="261" fillId="61" borderId="0" applyNumberFormat="0" applyBorder="0" applyAlignment="0" applyProtection="0"/>
    <xf numFmtId="0" fontId="261" fillId="61" borderId="0" applyNumberFormat="0" applyBorder="0" applyAlignment="0" applyProtection="0"/>
    <xf numFmtId="0" fontId="261" fillId="94" borderId="0" applyNumberFormat="0" applyBorder="0" applyAlignment="0" applyProtection="0"/>
    <xf numFmtId="0" fontId="261" fillId="94" borderId="0" applyNumberFormat="0" applyBorder="0" applyAlignment="0" applyProtection="0"/>
    <xf numFmtId="0" fontId="261" fillId="94" borderId="0" applyNumberFormat="0" applyBorder="0" applyAlignment="0" applyProtection="0"/>
    <xf numFmtId="0" fontId="261" fillId="95" borderId="0" applyNumberFormat="0" applyBorder="0" applyAlignment="0" applyProtection="0"/>
    <xf numFmtId="0" fontId="261" fillId="95" borderId="0" applyNumberFormat="0" applyBorder="0" applyAlignment="0" applyProtection="0"/>
    <xf numFmtId="0" fontId="261" fillId="95" borderId="0" applyNumberFormat="0" applyBorder="0" applyAlignment="0" applyProtection="0"/>
    <xf numFmtId="0" fontId="261" fillId="96" borderId="0" applyNumberFormat="0" applyBorder="0" applyAlignment="0" applyProtection="0"/>
    <xf numFmtId="0" fontId="261" fillId="96" borderId="0" applyNumberFormat="0" applyBorder="0" applyAlignment="0" applyProtection="0"/>
    <xf numFmtId="0" fontId="261" fillId="96" borderId="0" applyNumberFormat="0" applyBorder="0" applyAlignment="0" applyProtection="0"/>
    <xf numFmtId="0" fontId="261" fillId="97" borderId="0" applyNumberFormat="0" applyBorder="0" applyAlignment="0" applyProtection="0"/>
    <xf numFmtId="0" fontId="261" fillId="97" borderId="0" applyNumberFormat="0" applyBorder="0" applyAlignment="0" applyProtection="0"/>
    <xf numFmtId="0" fontId="261" fillId="97" borderId="0" applyNumberFormat="0" applyBorder="0" applyAlignment="0" applyProtection="0"/>
    <xf numFmtId="0" fontId="261" fillId="98" borderId="0" applyNumberFormat="0" applyBorder="0" applyAlignment="0" applyProtection="0"/>
    <xf numFmtId="0" fontId="261" fillId="98" borderId="0" applyNumberFormat="0" applyBorder="0" applyAlignment="0" applyProtection="0"/>
    <xf numFmtId="0" fontId="261" fillId="98" borderId="0" applyNumberFormat="0" applyBorder="0" applyAlignment="0" applyProtection="0"/>
    <xf numFmtId="0" fontId="261" fillId="99" borderId="0" applyNumberFormat="0" applyBorder="0" applyAlignment="0" applyProtection="0"/>
    <xf numFmtId="0" fontId="261" fillId="99" borderId="0" applyNumberFormat="0" applyBorder="0" applyAlignment="0" applyProtection="0"/>
    <xf numFmtId="0" fontId="261" fillId="99" borderId="0" applyNumberFormat="0" applyBorder="0" applyAlignment="0" applyProtection="0"/>
    <xf numFmtId="0" fontId="262" fillId="94" borderId="0" applyNumberFormat="0" applyBorder="0" applyAlignment="0" applyProtection="0"/>
    <xf numFmtId="0" fontId="263" fillId="94" borderId="0" applyNumberFormat="0" applyBorder="0" applyAlignment="0" applyProtection="0"/>
    <xf numFmtId="0" fontId="261" fillId="94" borderId="0" applyNumberFormat="0" applyBorder="0" applyAlignment="0" applyProtection="0"/>
    <xf numFmtId="0" fontId="261" fillId="94" borderId="0" applyNumberFormat="0" applyBorder="0" applyAlignment="0" applyProtection="0"/>
    <xf numFmtId="0" fontId="261" fillId="94" borderId="0" applyNumberFormat="0" applyBorder="0" applyAlignment="0" applyProtection="0"/>
    <xf numFmtId="0" fontId="261" fillId="95" borderId="0" applyNumberFormat="0" applyBorder="0" applyAlignment="0" applyProtection="0"/>
    <xf numFmtId="0" fontId="261" fillId="95" borderId="0" applyNumberFormat="0" applyBorder="0" applyAlignment="0" applyProtection="0"/>
    <xf numFmtId="0" fontId="261" fillId="95" borderId="0" applyNumberFormat="0" applyBorder="0" applyAlignment="0" applyProtection="0"/>
    <xf numFmtId="0" fontId="262" fillId="100" borderId="0" applyNumberFormat="0" applyBorder="0" applyAlignment="0" applyProtection="0"/>
    <xf numFmtId="0" fontId="263" fillId="100" borderId="0" applyNumberFormat="0" applyBorder="0" applyAlignment="0" applyProtection="0"/>
    <xf numFmtId="0" fontId="261" fillId="100" borderId="0" applyNumberFormat="0" applyBorder="0" applyAlignment="0" applyProtection="0"/>
    <xf numFmtId="0" fontId="261" fillId="100" borderId="0" applyNumberFormat="0" applyBorder="0" applyAlignment="0" applyProtection="0"/>
    <xf numFmtId="0" fontId="261" fillId="100" borderId="0" applyNumberFormat="0" applyBorder="0" applyAlignment="0" applyProtection="0"/>
    <xf numFmtId="172" fontId="71" fillId="101" borderId="124" applyNumberFormat="0" applyFont="0" applyAlignment="0"/>
    <xf numFmtId="172" fontId="71" fillId="101" borderId="124" applyNumberFormat="0" applyFont="0" applyAlignment="0"/>
    <xf numFmtId="191" fontId="264" fillId="102" borderId="0" applyNumberFormat="0" applyBorder="0" applyAlignment="0" applyProtection="0"/>
    <xf numFmtId="191" fontId="265" fillId="102" borderId="0" applyNumberFormat="0" applyBorder="0" applyAlignment="0" applyProtection="0"/>
    <xf numFmtId="0" fontId="264" fillId="85" borderId="0" applyNumberFormat="0" applyBorder="0" applyAlignment="0" applyProtection="0"/>
    <xf numFmtId="0" fontId="265" fillId="85" borderId="0" applyNumberFormat="0" applyBorder="0" applyAlignment="0" applyProtection="0"/>
    <xf numFmtId="191" fontId="264" fillId="85" borderId="0" applyNumberFormat="0" applyBorder="0" applyAlignment="0" applyProtection="0"/>
    <xf numFmtId="191" fontId="265" fillId="85" borderId="0" applyNumberFormat="0" applyBorder="0" applyAlignment="0" applyProtection="0"/>
    <xf numFmtId="0" fontId="264" fillId="85" borderId="0" applyNumberFormat="0" applyBorder="0" applyAlignment="0" applyProtection="0"/>
    <xf numFmtId="0" fontId="265" fillId="85" borderId="0" applyNumberFormat="0" applyBorder="0" applyAlignment="0" applyProtection="0"/>
    <xf numFmtId="0" fontId="266" fillId="85" borderId="0" applyNumberFormat="0" applyBorder="0" applyAlignment="0" applyProtection="0"/>
    <xf numFmtId="0" fontId="266" fillId="85" borderId="0" applyNumberFormat="0" applyBorder="0" applyAlignment="0" applyProtection="0"/>
    <xf numFmtId="0" fontId="266" fillId="85" borderId="0" applyNumberFormat="0" applyBorder="0" applyAlignment="0" applyProtection="0"/>
    <xf numFmtId="0" fontId="71" fillId="103" borderId="125" applyNumberFormat="0" applyFont="0" applyAlignment="0"/>
    <xf numFmtId="0" fontId="71" fillId="103" borderId="125" applyNumberFormat="0" applyFont="0" applyAlignment="0"/>
    <xf numFmtId="0" fontId="72" fillId="103" borderId="125" applyNumberFormat="0" applyFont="0" applyAlignment="0"/>
    <xf numFmtId="0" fontId="72" fillId="103" borderId="125" applyNumberFormat="0" applyFont="0" applyAlignment="0"/>
    <xf numFmtId="0" fontId="267" fillId="0" borderId="0" applyNumberFormat="0" applyFill="0" applyBorder="0" applyAlignment="0" applyProtection="0"/>
    <xf numFmtId="0" fontId="267" fillId="0" borderId="0" applyNumberFormat="0" applyFill="0" applyBorder="0" applyAlignment="0" applyProtection="0"/>
    <xf numFmtId="191" fontId="267" fillId="0" borderId="0" applyNumberFormat="0" applyFill="0" applyBorder="0" applyAlignment="0" applyProtection="0"/>
    <xf numFmtId="191" fontId="267" fillId="0" borderId="0" applyNumberFormat="0" applyFill="0" applyBorder="0" applyAlignment="0" applyProtection="0"/>
    <xf numFmtId="0" fontId="267" fillId="0" borderId="0" applyNumberFormat="0" applyFill="0" applyBorder="0" applyAlignment="0" applyProtection="0"/>
    <xf numFmtId="0" fontId="267" fillId="0" borderId="0" applyNumberFormat="0" applyFill="0" applyBorder="0" applyAlignment="0" applyProtection="0"/>
    <xf numFmtId="0" fontId="268" fillId="104" borderId="126" applyNumberFormat="0" applyAlignment="0" applyProtection="0"/>
    <xf numFmtId="0" fontId="269" fillId="104" borderId="126" applyNumberFormat="0" applyAlignment="0" applyProtection="0"/>
    <xf numFmtId="191" fontId="268" fillId="104" borderId="126" applyNumberFormat="0" applyAlignment="0" applyProtection="0"/>
    <xf numFmtId="191" fontId="269" fillId="104" borderId="126" applyNumberFormat="0" applyAlignment="0" applyProtection="0"/>
    <xf numFmtId="0" fontId="270" fillId="104" borderId="126" applyNumberFormat="0" applyAlignment="0" applyProtection="0"/>
    <xf numFmtId="0" fontId="270" fillId="104" borderId="126" applyNumberFormat="0" applyAlignment="0" applyProtection="0"/>
    <xf numFmtId="0" fontId="270" fillId="104" borderId="126" applyNumberFormat="0" applyAlignment="0" applyProtection="0"/>
    <xf numFmtId="0" fontId="271" fillId="105" borderId="127" applyNumberFormat="0" applyAlignment="0" applyProtection="0"/>
    <xf numFmtId="0" fontId="271" fillId="105" borderId="127" applyNumberFormat="0" applyAlignment="0" applyProtection="0"/>
    <xf numFmtId="0" fontId="271" fillId="105" borderId="127" applyNumberFormat="0" applyAlignment="0" applyProtection="0"/>
    <xf numFmtId="165" fontId="109" fillId="0" borderId="0" applyFont="0" applyFill="0" applyBorder="0" applyAlignment="0" applyProtection="0"/>
    <xf numFmtId="175" fontId="109" fillId="0" borderId="0" applyFont="0" applyFill="0" applyBorder="0" applyAlignment="0" applyProtection="0"/>
    <xf numFmtId="175" fontId="109" fillId="0" borderId="0" applyFont="0" applyFill="0" applyBorder="0" applyAlignment="0" applyProtection="0"/>
    <xf numFmtId="43" fontId="259" fillId="0" borderId="0" applyFont="0" applyFill="0" applyBorder="0" applyAlignment="0" applyProtection="0"/>
    <xf numFmtId="175" fontId="109" fillId="0" borderId="0" applyFont="0" applyFill="0" applyBorder="0" applyAlignment="0" applyProtection="0"/>
    <xf numFmtId="43" fontId="259" fillId="0" borderId="0" applyFont="0" applyFill="0" applyBorder="0" applyAlignment="0" applyProtection="0"/>
    <xf numFmtId="175" fontId="109" fillId="0" borderId="0" applyFont="0" applyFill="0" applyBorder="0" applyAlignment="0" applyProtection="0"/>
    <xf numFmtId="44" fontId="109" fillId="0" borderId="0" applyFont="0" applyFill="0" applyBorder="0" applyAlignment="0" applyProtection="0"/>
    <xf numFmtId="44" fontId="109" fillId="0" borderId="0" applyFont="0" applyFill="0" applyBorder="0" applyAlignment="0" applyProtection="0"/>
    <xf numFmtId="189" fontId="272" fillId="0" borderId="0"/>
    <xf numFmtId="189" fontId="272" fillId="0" borderId="0"/>
    <xf numFmtId="0" fontId="273" fillId="0" borderId="0" applyNumberFormat="0" applyFill="0" applyBorder="0" applyAlignment="0" applyProtection="0"/>
    <xf numFmtId="0" fontId="273" fillId="0" borderId="0" applyNumberFormat="0" applyFill="0" applyBorder="0" applyAlignment="0" applyProtection="0"/>
    <xf numFmtId="0" fontId="273" fillId="0" borderId="0" applyNumberFormat="0" applyFill="0" applyBorder="0" applyAlignment="0" applyProtection="0"/>
    <xf numFmtId="4" fontId="274" fillId="0" borderId="0" applyNumberFormat="0" applyFill="0" applyBorder="0" applyAlignment="0" applyProtection="0">
      <alignment horizontal="center"/>
    </xf>
    <xf numFmtId="4" fontId="274" fillId="0" borderId="0" applyNumberFormat="0" applyFill="0" applyBorder="0" applyAlignment="0" applyProtection="0">
      <alignment horizontal="center"/>
    </xf>
    <xf numFmtId="4" fontId="275" fillId="0" borderId="0" applyNumberFormat="0" applyFill="0" applyBorder="0" applyAlignment="0" applyProtection="0">
      <alignment horizontal="center"/>
    </xf>
    <xf numFmtId="4" fontId="275" fillId="0" borderId="0" applyNumberFormat="0" applyFill="0" applyBorder="0" applyAlignment="0" applyProtection="0">
      <alignment horizontal="center"/>
    </xf>
    <xf numFmtId="4" fontId="275" fillId="0" borderId="0" applyNumberFormat="0" applyFill="0" applyBorder="0" applyAlignment="0" applyProtection="0">
      <alignment horizontal="center"/>
    </xf>
    <xf numFmtId="4" fontId="275" fillId="0" borderId="0" applyNumberFormat="0" applyFill="0" applyBorder="0" applyAlignment="0" applyProtection="0">
      <alignment horizontal="center"/>
    </xf>
    <xf numFmtId="0" fontId="276" fillId="86" borderId="0" applyNumberFormat="0" applyBorder="0" applyAlignment="0" applyProtection="0"/>
    <xf numFmtId="0" fontId="277" fillId="86" borderId="0" applyNumberFormat="0" applyBorder="0" applyAlignment="0" applyProtection="0"/>
    <xf numFmtId="191" fontId="276" fillId="58" borderId="0" applyNumberFormat="0" applyBorder="0" applyAlignment="0" applyProtection="0"/>
    <xf numFmtId="191" fontId="277" fillId="58" borderId="0" applyNumberFormat="0" applyBorder="0" applyAlignment="0" applyProtection="0"/>
    <xf numFmtId="0" fontId="278" fillId="86" borderId="0" applyNumberFormat="0" applyBorder="0" applyAlignment="0" applyProtection="0"/>
    <xf numFmtId="0" fontId="278" fillId="86" borderId="0" applyNumberFormat="0" applyBorder="0" applyAlignment="0" applyProtection="0"/>
    <xf numFmtId="0" fontId="278" fillId="86" borderId="0" applyNumberFormat="0" applyBorder="0" applyAlignment="0" applyProtection="0"/>
    <xf numFmtId="191" fontId="75" fillId="0" borderId="117">
      <alignment horizontal="left" vertical="center"/>
    </xf>
    <xf numFmtId="0" fontId="279" fillId="0" borderId="90" applyNumberFormat="0" applyFill="0" applyAlignment="0" applyProtection="0"/>
    <xf numFmtId="0" fontId="280" fillId="0" borderId="90" applyNumberFormat="0" applyFill="0" applyAlignment="0" applyProtection="0"/>
    <xf numFmtId="191" fontId="279" fillId="0" borderId="90" applyNumberFormat="0" applyFill="0" applyAlignment="0" applyProtection="0"/>
    <xf numFmtId="191" fontId="280" fillId="0" borderId="90" applyNumberFormat="0" applyFill="0" applyAlignment="0" applyProtection="0"/>
    <xf numFmtId="0" fontId="279" fillId="0" borderId="90" applyNumberFormat="0" applyFill="0" applyAlignment="0" applyProtection="0"/>
    <xf numFmtId="0" fontId="280" fillId="0" borderId="90" applyNumberFormat="0" applyFill="0" applyAlignment="0" applyProtection="0"/>
    <xf numFmtId="191" fontId="279" fillId="0" borderId="90" applyNumberFormat="0" applyFill="0" applyAlignment="0" applyProtection="0"/>
    <xf numFmtId="191" fontId="280" fillId="0" borderId="90" applyNumberFormat="0" applyFill="0" applyAlignment="0" applyProtection="0"/>
    <xf numFmtId="0" fontId="281" fillId="0" borderId="90" applyNumberFormat="0" applyFill="0" applyAlignment="0" applyProtection="0"/>
    <xf numFmtId="0" fontId="281" fillId="0" borderId="90" applyNumberFormat="0" applyFill="0" applyAlignment="0" applyProtection="0"/>
    <xf numFmtId="0" fontId="281" fillId="0" borderId="90" applyNumberFormat="0" applyFill="0" applyAlignment="0" applyProtection="0"/>
    <xf numFmtId="0" fontId="282" fillId="0" borderId="128" applyNumberFormat="0" applyFill="0" applyAlignment="0" applyProtection="0"/>
    <xf numFmtId="0" fontId="283" fillId="0" borderId="128" applyNumberFormat="0" applyFill="0" applyAlignment="0" applyProtection="0"/>
    <xf numFmtId="0" fontId="282" fillId="0" borderId="128" applyNumberFormat="0" applyFill="0" applyAlignment="0" applyProtection="0"/>
    <xf numFmtId="0" fontId="283" fillId="0" borderId="128" applyNumberFormat="0" applyFill="0" applyAlignment="0" applyProtection="0"/>
    <xf numFmtId="191" fontId="282" fillId="0" borderId="128" applyNumberFormat="0" applyFill="0" applyAlignment="0" applyProtection="0"/>
    <xf numFmtId="191" fontId="283" fillId="0" borderId="128" applyNumberFormat="0" applyFill="0" applyAlignment="0" applyProtection="0"/>
    <xf numFmtId="0" fontId="284" fillId="0" borderId="128" applyNumberFormat="0" applyFill="0" applyAlignment="0" applyProtection="0"/>
    <xf numFmtId="0" fontId="284" fillId="0" borderId="128" applyNumberFormat="0" applyFill="0" applyAlignment="0" applyProtection="0"/>
    <xf numFmtId="0" fontId="284" fillId="0" borderId="128" applyNumberFormat="0" applyFill="0" applyAlignment="0" applyProtection="0"/>
    <xf numFmtId="0" fontId="223" fillId="0" borderId="129" applyNumberFormat="0" applyFill="0" applyAlignment="0" applyProtection="0"/>
    <xf numFmtId="0" fontId="285" fillId="0" borderId="129" applyNumberFormat="0" applyFill="0" applyAlignment="0" applyProtection="0"/>
    <xf numFmtId="191" fontId="223" fillId="0" borderId="129" applyNumberFormat="0" applyFill="0" applyAlignment="0" applyProtection="0"/>
    <xf numFmtId="191" fontId="285" fillId="0" borderId="129" applyNumberFormat="0" applyFill="0" applyAlignment="0" applyProtection="0"/>
    <xf numFmtId="0" fontId="286" fillId="0" borderId="129" applyNumberFormat="0" applyFill="0" applyAlignment="0" applyProtection="0"/>
    <xf numFmtId="0" fontId="286" fillId="0" borderId="129" applyNumberFormat="0" applyFill="0" applyAlignment="0" applyProtection="0"/>
    <xf numFmtId="0" fontId="286" fillId="0" borderId="129" applyNumberFormat="0" applyFill="0" applyAlignment="0" applyProtection="0"/>
    <xf numFmtId="0" fontId="223" fillId="0" borderId="0" applyNumberFormat="0" applyFill="0" applyBorder="0" applyAlignment="0" applyProtection="0"/>
    <xf numFmtId="0" fontId="285" fillId="0" borderId="0" applyNumberFormat="0" applyFill="0" applyBorder="0" applyAlignment="0" applyProtection="0"/>
    <xf numFmtId="0" fontId="223" fillId="0" borderId="0" applyNumberFormat="0" applyFill="0" applyBorder="0" applyAlignment="0" applyProtection="0"/>
    <xf numFmtId="0" fontId="285"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7" fillId="0" borderId="0">
      <alignment horizontal="center" textRotation="90"/>
    </xf>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187" fillId="0" borderId="0" applyNumberFormat="0" applyFill="0" applyBorder="0" applyAlignment="0" applyProtection="0">
      <alignment vertical="top"/>
      <protection locked="0"/>
    </xf>
    <xf numFmtId="0" fontId="187" fillId="0" borderId="0" applyNumberFormat="0" applyFill="0" applyBorder="0" applyAlignment="0" applyProtection="0">
      <alignment vertical="top"/>
      <protection locked="0"/>
    </xf>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90" fillId="0" borderId="0" applyNumberFormat="0" applyFill="0" applyBorder="0" applyAlignment="0" applyProtection="0">
      <alignment vertical="top"/>
      <protection locked="0"/>
    </xf>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0" fontId="288" fillId="0" borderId="0" applyNumberFormat="0" applyFill="0" applyBorder="0" applyAlignment="0" applyProtection="0"/>
    <xf numFmtId="0" fontId="289" fillId="0" borderId="0" applyNumberFormat="0" applyFill="0" applyBorder="0" applyAlignment="0" applyProtection="0"/>
    <xf numFmtId="191" fontId="291" fillId="81" borderId="126" applyNumberFormat="0" applyAlignment="0" applyProtection="0"/>
    <xf numFmtId="191" fontId="292" fillId="81" borderId="126" applyNumberFormat="0" applyAlignment="0" applyProtection="0"/>
    <xf numFmtId="0" fontId="291" fillId="89" borderId="126" applyNumberFormat="0" applyAlignment="0" applyProtection="0"/>
    <xf numFmtId="0" fontId="292" fillId="89" borderId="126" applyNumberFormat="0" applyAlignment="0" applyProtection="0"/>
    <xf numFmtId="0" fontId="291" fillId="89" borderId="126" applyNumberFormat="0" applyAlignment="0" applyProtection="0"/>
    <xf numFmtId="0" fontId="292" fillId="89" borderId="126" applyNumberFormat="0" applyAlignment="0" applyProtection="0"/>
    <xf numFmtId="191" fontId="291" fillId="89" borderId="126" applyNumberFormat="0" applyAlignment="0" applyProtection="0"/>
    <xf numFmtId="191" fontId="292" fillId="89" borderId="126" applyNumberFormat="0" applyAlignment="0" applyProtection="0"/>
    <xf numFmtId="0" fontId="267" fillId="89" borderId="126" applyNumberFormat="0" applyAlignment="0" applyProtection="0"/>
    <xf numFmtId="0" fontId="267" fillId="89" borderId="126" applyNumberFormat="0" applyAlignment="0" applyProtection="0"/>
    <xf numFmtId="0" fontId="267" fillId="89" borderId="126" applyNumberFormat="0" applyAlignment="0" applyProtection="0"/>
    <xf numFmtId="0" fontId="71" fillId="82" borderId="130" applyNumberFormat="0" applyFont="0" applyAlignment="0"/>
    <xf numFmtId="0" fontId="71" fillId="82" borderId="130" applyNumberFormat="0" applyFont="0" applyAlignment="0"/>
    <xf numFmtId="0" fontId="293" fillId="0" borderId="0" applyNumberFormat="0" applyFill="0" applyBorder="0" applyAlignment="0" applyProtection="0"/>
    <xf numFmtId="0" fontId="293" fillId="0" borderId="0" applyNumberFormat="0" applyFill="0" applyBorder="0" applyAlignment="0" applyProtection="0"/>
    <xf numFmtId="191" fontId="293" fillId="0" borderId="0" applyNumberFormat="0" applyFill="0" applyBorder="0" applyAlignment="0" applyProtection="0"/>
    <xf numFmtId="191" fontId="293" fillId="0" borderId="0" applyNumberFormat="0" applyFill="0" applyBorder="0" applyAlignment="0" applyProtection="0"/>
    <xf numFmtId="0" fontId="293" fillId="0" borderId="0" applyNumberFormat="0" applyFill="0" applyBorder="0" applyAlignment="0" applyProtection="0"/>
    <xf numFmtId="0" fontId="294" fillId="0" borderId="131" applyNumberFormat="0" applyFill="0" applyAlignment="0" applyProtection="0"/>
    <xf numFmtId="0" fontId="294" fillId="0" borderId="131" applyNumberFormat="0" applyFill="0" applyAlignment="0" applyProtection="0"/>
    <xf numFmtId="0" fontId="294" fillId="0" borderId="131" applyNumberFormat="0" applyFill="0" applyAlignment="0" applyProtection="0"/>
    <xf numFmtId="0" fontId="295" fillId="106" borderId="0" applyNumberFormat="0" applyBorder="0" applyAlignment="0" applyProtection="0"/>
    <xf numFmtId="0" fontId="296" fillId="106" borderId="0" applyNumberFormat="0" applyBorder="0" applyAlignment="0" applyProtection="0"/>
    <xf numFmtId="191" fontId="295" fillId="106" borderId="0" applyNumberFormat="0" applyBorder="0" applyAlignment="0" applyProtection="0"/>
    <xf numFmtId="191" fontId="296" fillId="106" borderId="0" applyNumberFormat="0" applyBorder="0" applyAlignment="0" applyProtection="0"/>
    <xf numFmtId="0" fontId="297" fillId="106" borderId="0" applyNumberFormat="0" applyBorder="0" applyAlignment="0" applyProtection="0"/>
    <xf numFmtId="0" fontId="297" fillId="106" borderId="0" applyNumberFormat="0" applyBorder="0" applyAlignment="0" applyProtection="0"/>
    <xf numFmtId="0" fontId="297" fillId="106" borderId="0" applyNumberFormat="0" applyBorder="0" applyAlignment="0" applyProtection="0"/>
    <xf numFmtId="0" fontId="260" fillId="0" borderId="0"/>
    <xf numFmtId="0" fontId="260" fillId="0" borderId="0"/>
    <xf numFmtId="191" fontId="260" fillId="0" borderId="0"/>
    <xf numFmtId="0" fontId="260" fillId="0" borderId="0"/>
    <xf numFmtId="191" fontId="260" fillId="0" borderId="0"/>
    <xf numFmtId="191"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109" fillId="0" borderId="0"/>
    <xf numFmtId="0" fontId="298" fillId="0" borderId="0"/>
    <xf numFmtId="0" fontId="260" fillId="0" borderId="0"/>
    <xf numFmtId="0" fontId="260" fillId="0" borderId="0"/>
    <xf numFmtId="0" fontId="260" fillId="0" borderId="0"/>
    <xf numFmtId="0" fontId="260" fillId="0" borderId="0"/>
    <xf numFmtId="0" fontId="71" fillId="0" borderId="0"/>
    <xf numFmtId="0" fontId="260" fillId="0" borderId="0"/>
    <xf numFmtId="0" fontId="260" fillId="0" borderId="0"/>
    <xf numFmtId="0" fontId="260" fillId="0" borderId="0"/>
    <xf numFmtId="0" fontId="109" fillId="0" borderId="0"/>
    <xf numFmtId="0" fontId="298" fillId="0" borderId="0"/>
    <xf numFmtId="0" fontId="260" fillId="0" borderId="0"/>
    <xf numFmtId="0" fontId="260" fillId="0" borderId="0"/>
    <xf numFmtId="0" fontId="259" fillId="0" borderId="0"/>
    <xf numFmtId="0" fontId="259" fillId="0" borderId="0"/>
    <xf numFmtId="0" fontId="259" fillId="0" borderId="0"/>
    <xf numFmtId="0" fontId="259" fillId="0" borderId="0"/>
    <xf numFmtId="0" fontId="259" fillId="0" borderId="0"/>
    <xf numFmtId="0" fontId="259" fillId="0" borderId="0"/>
    <xf numFmtId="0" fontId="259" fillId="0" borderId="0"/>
    <xf numFmtId="0" fontId="259" fillId="0" borderId="0"/>
    <xf numFmtId="0" fontId="299" fillId="0" borderId="0"/>
    <xf numFmtId="0" fontId="299"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191"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59" fillId="0" borderId="0"/>
    <xf numFmtId="0" fontId="259" fillId="0" borderId="0"/>
    <xf numFmtId="0" fontId="260" fillId="0" borderId="0"/>
    <xf numFmtId="0" fontId="260" fillId="0" borderId="0"/>
    <xf numFmtId="0" fontId="260" fillId="0" borderId="0"/>
    <xf numFmtId="0" fontId="260" fillId="0" borderId="0"/>
    <xf numFmtId="0" fontId="260" fillId="0" borderId="0"/>
    <xf numFmtId="0" fontId="259" fillId="0" borderId="0"/>
    <xf numFmtId="0" fontId="259" fillId="0" borderId="0"/>
    <xf numFmtId="0" fontId="259" fillId="0" borderId="0"/>
    <xf numFmtId="0" fontId="259" fillId="0" borderId="0"/>
    <xf numFmtId="0" fontId="259"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59"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59" fillId="0" borderId="0"/>
    <xf numFmtId="0" fontId="259" fillId="0" borderId="0"/>
    <xf numFmtId="0" fontId="260" fillId="0" borderId="0"/>
    <xf numFmtId="0" fontId="260" fillId="0" borderId="0"/>
    <xf numFmtId="0" fontId="260" fillId="0" borderId="0"/>
    <xf numFmtId="0" fontId="259" fillId="0" borderId="0"/>
    <xf numFmtId="0" fontId="300" fillId="0" borderId="0"/>
    <xf numFmtId="0" fontId="301" fillId="0" borderId="0"/>
    <xf numFmtId="0" fontId="259" fillId="0" borderId="0"/>
    <xf numFmtId="0" fontId="259" fillId="0" borderId="0"/>
    <xf numFmtId="0" fontId="259" fillId="0" borderId="0"/>
    <xf numFmtId="0" fontId="259" fillId="0" borderId="0"/>
    <xf numFmtId="0" fontId="259" fillId="0" borderId="0"/>
    <xf numFmtId="0" fontId="259"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0" fontId="260" fillId="0" borderId="0"/>
    <xf numFmtId="191" fontId="260" fillId="0" borderId="0"/>
    <xf numFmtId="191" fontId="260" fillId="0" borderId="0"/>
    <xf numFmtId="191" fontId="260" fillId="0" borderId="0"/>
    <xf numFmtId="191" fontId="260" fillId="0" borderId="0"/>
    <xf numFmtId="191" fontId="260" fillId="0" borderId="0"/>
    <xf numFmtId="0" fontId="260" fillId="0" borderId="0"/>
    <xf numFmtId="191" fontId="260" fillId="107" borderId="132" applyNumberFormat="0" applyFont="0" applyAlignment="0" applyProtection="0"/>
    <xf numFmtId="0" fontId="71" fillId="107" borderId="132" applyNumberFormat="0" applyFont="0" applyAlignment="0" applyProtection="0"/>
    <xf numFmtId="0" fontId="71" fillId="107" borderId="132" applyNumberFormat="0" applyFont="0" applyAlignment="0" applyProtection="0"/>
    <xf numFmtId="0" fontId="135" fillId="107" borderId="132" applyNumberFormat="0" applyFont="0" applyAlignment="0" applyProtection="0"/>
    <xf numFmtId="0" fontId="135"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191"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0" fontId="260" fillId="107" borderId="132" applyNumberFormat="0" applyFont="0" applyAlignment="0" applyProtection="0"/>
    <xf numFmtId="170" fontId="302" fillId="0" borderId="0" applyNumberFormat="0" applyFill="0" applyBorder="0" applyAlignment="0" applyProtection="0"/>
    <xf numFmtId="170" fontId="303" fillId="0" borderId="0" applyNumberFormat="0" applyFill="0" applyBorder="0" applyAlignment="0" applyProtection="0"/>
    <xf numFmtId="0" fontId="304" fillId="104" borderId="133" applyNumberFormat="0" applyAlignment="0" applyProtection="0"/>
    <xf numFmtId="0" fontId="305" fillId="104" borderId="133" applyNumberFormat="0" applyAlignment="0" applyProtection="0"/>
    <xf numFmtId="191" fontId="304" fillId="104" borderId="133" applyNumberFormat="0" applyAlignment="0" applyProtection="0"/>
    <xf numFmtId="191" fontId="305" fillId="104" borderId="133" applyNumberFormat="0" applyAlignment="0" applyProtection="0"/>
    <xf numFmtId="0" fontId="306" fillId="104" borderId="133" applyNumberFormat="0" applyAlignment="0" applyProtection="0"/>
    <xf numFmtId="0" fontId="306" fillId="104" borderId="133" applyNumberFormat="0" applyAlignment="0" applyProtection="0"/>
    <xf numFmtId="0" fontId="306" fillId="104" borderId="133" applyNumberFormat="0" applyAlignment="0" applyProtection="0"/>
    <xf numFmtId="179" fontId="307" fillId="0" borderId="0" applyFont="0" applyFill="0" applyBorder="0" applyAlignment="0" applyProtection="0"/>
    <xf numFmtId="179" fontId="307" fillId="0" borderId="0" applyFont="0" applyFill="0" applyBorder="0" applyAlignment="0" applyProtection="0"/>
    <xf numFmtId="9" fontId="300" fillId="0" borderId="0" applyFont="0" applyFill="0" applyBorder="0" applyAlignment="0" applyProtection="0"/>
    <xf numFmtId="0" fontId="308" fillId="0" borderId="0"/>
    <xf numFmtId="191" fontId="308" fillId="0" borderId="0"/>
    <xf numFmtId="191" fontId="308" fillId="0" borderId="0"/>
    <xf numFmtId="0" fontId="309" fillId="0" borderId="0" applyFill="0" applyBorder="0"/>
    <xf numFmtId="0" fontId="310" fillId="0" borderId="0" applyFill="0" applyBorder="0"/>
    <xf numFmtId="0" fontId="311" fillId="0" borderId="134" applyNumberFormat="0" applyFill="0" applyAlignment="0" applyProtection="0"/>
    <xf numFmtId="0" fontId="311" fillId="0" borderId="134" applyNumberFormat="0" applyFill="0" applyAlignment="0" applyProtection="0"/>
    <xf numFmtId="0" fontId="311" fillId="0" borderId="134" applyNumberFormat="0" applyFill="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7" fillId="0" borderId="0"/>
    <xf numFmtId="9" fontId="7" fillId="0" borderId="0" applyFont="0" applyFill="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4" borderId="0" applyNumberFormat="0" applyBorder="0" applyAlignment="0" applyProtection="0"/>
    <xf numFmtId="0" fontId="259" fillId="85" borderId="0" applyNumberFormat="0" applyBorder="0" applyAlignment="0" applyProtection="0"/>
    <xf numFmtId="0" fontId="259" fillId="85" borderId="0" applyNumberFormat="0" applyBorder="0" applyAlignment="0" applyProtection="0"/>
    <xf numFmtId="0" fontId="259" fillId="85" borderId="0" applyNumberFormat="0" applyBorder="0" applyAlignment="0" applyProtection="0"/>
    <xf numFmtId="0" fontId="259" fillId="85" borderId="0" applyNumberFormat="0" applyBorder="0" applyAlignment="0" applyProtection="0"/>
    <xf numFmtId="0" fontId="259" fillId="85" borderId="0" applyNumberFormat="0" applyBorder="0" applyAlignment="0" applyProtection="0"/>
    <xf numFmtId="0" fontId="259" fillId="85" borderId="0" applyNumberFormat="0" applyBorder="0" applyAlignment="0" applyProtection="0"/>
    <xf numFmtId="0" fontId="259" fillId="86" borderId="0" applyNumberFormat="0" applyBorder="0" applyAlignment="0" applyProtection="0"/>
    <xf numFmtId="0" fontId="259" fillId="86" borderId="0" applyNumberFormat="0" applyBorder="0" applyAlignment="0" applyProtection="0"/>
    <xf numFmtId="0" fontId="259" fillId="86" borderId="0" applyNumberFormat="0" applyBorder="0" applyAlignment="0" applyProtection="0"/>
    <xf numFmtId="0" fontId="259" fillId="86" borderId="0" applyNumberFormat="0" applyBorder="0" applyAlignment="0" applyProtection="0"/>
    <xf numFmtId="0" fontId="259" fillId="86" borderId="0" applyNumberFormat="0" applyBorder="0" applyAlignment="0" applyProtection="0"/>
    <xf numFmtId="0" fontId="259" fillId="86"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8" borderId="0" applyNumberFormat="0" applyBorder="0" applyAlignment="0" applyProtection="0"/>
    <xf numFmtId="0" fontId="259" fillId="88" borderId="0" applyNumberFormat="0" applyBorder="0" applyAlignment="0" applyProtection="0"/>
    <xf numFmtId="0" fontId="259" fillId="88" borderId="0" applyNumberFormat="0" applyBorder="0" applyAlignment="0" applyProtection="0"/>
    <xf numFmtId="0" fontId="259" fillId="88" borderId="0" applyNumberFormat="0" applyBorder="0" applyAlignment="0" applyProtection="0"/>
    <xf numFmtId="0" fontId="259" fillId="88" borderId="0" applyNumberFormat="0" applyBorder="0" applyAlignment="0" applyProtection="0"/>
    <xf numFmtId="0" fontId="259" fillId="88"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89"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1" borderId="0" applyNumberFormat="0" applyBorder="0" applyAlignment="0" applyProtection="0"/>
    <xf numFmtId="0" fontId="259" fillId="91" borderId="0" applyNumberFormat="0" applyBorder="0" applyAlignment="0" applyProtection="0"/>
    <xf numFmtId="0" fontId="259" fillId="91" borderId="0" applyNumberFormat="0" applyBorder="0" applyAlignment="0" applyProtection="0"/>
    <xf numFmtId="0" fontId="259" fillId="91" borderId="0" applyNumberFormat="0" applyBorder="0" applyAlignment="0" applyProtection="0"/>
    <xf numFmtId="0" fontId="259" fillId="91" borderId="0" applyNumberFormat="0" applyBorder="0" applyAlignment="0" applyProtection="0"/>
    <xf numFmtId="0" fontId="259" fillId="91" borderId="0" applyNumberFormat="0" applyBorder="0" applyAlignment="0" applyProtection="0"/>
    <xf numFmtId="0" fontId="259" fillId="61" borderId="0" applyNumberFormat="0" applyBorder="0" applyAlignment="0" applyProtection="0"/>
    <xf numFmtId="0" fontId="259" fillId="61" borderId="0" applyNumberFormat="0" applyBorder="0" applyAlignment="0" applyProtection="0"/>
    <xf numFmtId="0" fontId="259" fillId="61" borderId="0" applyNumberFormat="0" applyBorder="0" applyAlignment="0" applyProtection="0"/>
    <xf numFmtId="0" fontId="259" fillId="61" borderId="0" applyNumberFormat="0" applyBorder="0" applyAlignment="0" applyProtection="0"/>
    <xf numFmtId="0" fontId="259" fillId="61" borderId="0" applyNumberFormat="0" applyBorder="0" applyAlignment="0" applyProtection="0"/>
    <xf numFmtId="0" fontId="259" fillId="61"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87"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0" borderId="0" applyNumberFormat="0" applyBorder="0" applyAlignment="0" applyProtection="0"/>
    <xf numFmtId="0" fontId="259" fillId="92" borderId="0" applyNumberFormat="0" applyBorder="0" applyAlignment="0" applyProtection="0"/>
    <xf numFmtId="0" fontId="259" fillId="92" borderId="0" applyNumberFormat="0" applyBorder="0" applyAlignment="0" applyProtection="0"/>
    <xf numFmtId="0" fontId="259" fillId="92" borderId="0" applyNumberFormat="0" applyBorder="0" applyAlignment="0" applyProtection="0"/>
    <xf numFmtId="0" fontId="259" fillId="92" borderId="0" applyNumberFormat="0" applyBorder="0" applyAlignment="0" applyProtection="0"/>
    <xf numFmtId="0" fontId="259" fillId="92" borderId="0" applyNumberFormat="0" applyBorder="0" applyAlignment="0" applyProtection="0"/>
    <xf numFmtId="0" fontId="259" fillId="92" borderId="0" applyNumberFormat="0" applyBorder="0" applyAlignment="0" applyProtection="0"/>
    <xf numFmtId="0" fontId="261" fillId="93" borderId="0" applyNumberFormat="0" applyBorder="0" applyAlignment="0" applyProtection="0"/>
    <xf numFmtId="0" fontId="261" fillId="93" borderId="0" applyNumberFormat="0" applyBorder="0" applyAlignment="0" applyProtection="0"/>
    <xf numFmtId="0" fontId="261" fillId="91" borderId="0" applyNumberFormat="0" applyBorder="0" applyAlignment="0" applyProtection="0"/>
    <xf numFmtId="0" fontId="261" fillId="91" borderId="0" applyNumberFormat="0" applyBorder="0" applyAlignment="0" applyProtection="0"/>
    <xf numFmtId="0" fontId="261" fillId="61" borderId="0" applyNumberFormat="0" applyBorder="0" applyAlignment="0" applyProtection="0"/>
    <xf numFmtId="0" fontId="261" fillId="61" borderId="0" applyNumberFormat="0" applyBorder="0" applyAlignment="0" applyProtection="0"/>
    <xf numFmtId="0" fontId="261" fillId="94" borderId="0" applyNumberFormat="0" applyBorder="0" applyAlignment="0" applyProtection="0"/>
    <xf numFmtId="0" fontId="261" fillId="94" borderId="0" applyNumberFormat="0" applyBorder="0" applyAlignment="0" applyProtection="0"/>
    <xf numFmtId="0" fontId="261" fillId="95" borderId="0" applyNumberFormat="0" applyBorder="0" applyAlignment="0" applyProtection="0"/>
    <xf numFmtId="0" fontId="261" fillId="95" borderId="0" applyNumberFormat="0" applyBorder="0" applyAlignment="0" applyProtection="0"/>
    <xf numFmtId="0" fontId="261" fillId="96" borderId="0" applyNumberFormat="0" applyBorder="0" applyAlignment="0" applyProtection="0"/>
    <xf numFmtId="0" fontId="261" fillId="96" borderId="0" applyNumberFormat="0" applyBorder="0" applyAlignment="0" applyProtection="0"/>
    <xf numFmtId="0" fontId="261" fillId="97" borderId="0" applyNumberFormat="0" applyBorder="0" applyAlignment="0" applyProtection="0"/>
    <xf numFmtId="0" fontId="261" fillId="97" borderId="0" applyNumberFormat="0" applyBorder="0" applyAlignment="0" applyProtection="0"/>
    <xf numFmtId="0" fontId="261" fillId="98" borderId="0" applyNumberFormat="0" applyBorder="0" applyAlignment="0" applyProtection="0"/>
    <xf numFmtId="0" fontId="261" fillId="98" borderId="0" applyNumberFormat="0" applyBorder="0" applyAlignment="0" applyProtection="0"/>
    <xf numFmtId="0" fontId="261" fillId="99" borderId="0" applyNumberFormat="0" applyBorder="0" applyAlignment="0" applyProtection="0"/>
    <xf numFmtId="0" fontId="261" fillId="99" borderId="0" applyNumberFormat="0" applyBorder="0" applyAlignment="0" applyProtection="0"/>
    <xf numFmtId="0" fontId="262" fillId="94" borderId="0" applyNumberFormat="0" applyBorder="0" applyAlignment="0" applyProtection="0"/>
    <xf numFmtId="0" fontId="261" fillId="94" borderId="0" applyNumberFormat="0" applyBorder="0" applyAlignment="0" applyProtection="0"/>
    <xf numFmtId="0" fontId="261" fillId="94" borderId="0" applyNumberFormat="0" applyBorder="0" applyAlignment="0" applyProtection="0"/>
    <xf numFmtId="0" fontId="261" fillId="95" borderId="0" applyNumberFormat="0" applyBorder="0" applyAlignment="0" applyProtection="0"/>
    <xf numFmtId="0" fontId="261" fillId="95" borderId="0" applyNumberFormat="0" applyBorder="0" applyAlignment="0" applyProtection="0"/>
    <xf numFmtId="0" fontId="262" fillId="100" borderId="0" applyNumberFormat="0" applyBorder="0" applyAlignment="0" applyProtection="0"/>
    <xf numFmtId="0" fontId="261" fillId="100" borderId="0" applyNumberFormat="0" applyBorder="0" applyAlignment="0" applyProtection="0"/>
    <xf numFmtId="0" fontId="261" fillId="100" borderId="0" applyNumberFormat="0" applyBorder="0" applyAlignment="0" applyProtection="0"/>
    <xf numFmtId="172" fontId="71" fillId="101" borderId="137" applyNumberFormat="0" applyFont="0" applyAlignment="0"/>
    <xf numFmtId="172" fontId="71" fillId="101" borderId="137" applyNumberFormat="0" applyFont="0" applyAlignment="0"/>
    <xf numFmtId="172" fontId="71" fillId="101" borderId="137" applyNumberFormat="0" applyFont="0" applyAlignment="0"/>
    <xf numFmtId="191" fontId="264" fillId="102" borderId="0" applyNumberFormat="0" applyBorder="0" applyAlignment="0" applyProtection="0"/>
    <xf numFmtId="0" fontId="264" fillId="85" borderId="0" applyNumberFormat="0" applyBorder="0" applyAlignment="0" applyProtection="0"/>
    <xf numFmtId="191" fontId="264" fillId="85" borderId="0" applyNumberFormat="0" applyBorder="0" applyAlignment="0" applyProtection="0"/>
    <xf numFmtId="0" fontId="264" fillId="85" borderId="0" applyNumberFormat="0" applyBorder="0" applyAlignment="0" applyProtection="0"/>
    <xf numFmtId="0" fontId="266" fillId="85" borderId="0" applyNumberFormat="0" applyBorder="0" applyAlignment="0" applyProtection="0"/>
    <xf numFmtId="0" fontId="266" fillId="85" borderId="0" applyNumberFormat="0" applyBorder="0" applyAlignment="0" applyProtection="0"/>
    <xf numFmtId="0" fontId="71" fillId="103" borderId="138" applyNumberFormat="0" applyFont="0" applyAlignment="0"/>
    <xf numFmtId="0" fontId="71" fillId="103" borderId="138" applyNumberFormat="0" applyFont="0" applyAlignment="0"/>
    <xf numFmtId="0" fontId="71" fillId="103" borderId="138" applyNumberFormat="0" applyFont="0" applyAlignment="0"/>
    <xf numFmtId="0" fontId="72" fillId="103" borderId="138" applyNumberFormat="0" applyFont="0" applyAlignment="0"/>
    <xf numFmtId="0" fontId="72" fillId="103" borderId="138" applyNumberFormat="0" applyFont="0" applyAlignment="0"/>
    <xf numFmtId="0" fontId="72" fillId="103" borderId="138" applyNumberFormat="0" applyFont="0" applyAlignment="0"/>
    <xf numFmtId="0" fontId="267" fillId="0" borderId="0" applyNumberFormat="0" applyFill="0" applyBorder="0" applyAlignment="0" applyProtection="0"/>
    <xf numFmtId="191" fontId="267" fillId="0" borderId="0" applyNumberFormat="0" applyFill="0" applyBorder="0" applyAlignment="0" applyProtection="0"/>
    <xf numFmtId="0" fontId="267" fillId="0" borderId="0" applyNumberFormat="0" applyFill="0" applyBorder="0" applyAlignment="0" applyProtection="0"/>
    <xf numFmtId="0" fontId="268" fillId="104" borderId="139" applyNumberFormat="0" applyAlignment="0" applyProtection="0"/>
    <xf numFmtId="0" fontId="268" fillId="104" borderId="139" applyNumberFormat="0" applyAlignment="0" applyProtection="0"/>
    <xf numFmtId="0" fontId="268" fillId="104" borderId="139" applyNumberFormat="0" applyAlignment="0" applyProtection="0"/>
    <xf numFmtId="191" fontId="268" fillId="104" borderId="139" applyNumberFormat="0" applyAlignment="0" applyProtection="0"/>
    <xf numFmtId="191" fontId="268" fillId="104" borderId="139" applyNumberFormat="0" applyAlignment="0" applyProtection="0"/>
    <xf numFmtId="191" fontId="268" fillId="104" borderId="139" applyNumberFormat="0" applyAlignment="0" applyProtection="0"/>
    <xf numFmtId="0" fontId="270" fillId="104" borderId="139" applyNumberFormat="0" applyAlignment="0" applyProtection="0"/>
    <xf numFmtId="0" fontId="270" fillId="104" borderId="139" applyNumberFormat="0" applyAlignment="0" applyProtection="0"/>
    <xf numFmtId="0" fontId="270" fillId="104" borderId="139" applyNumberFormat="0" applyAlignment="0" applyProtection="0"/>
    <xf numFmtId="0" fontId="270" fillId="104" borderId="139" applyNumberFormat="0" applyAlignment="0" applyProtection="0"/>
    <xf numFmtId="0" fontId="270" fillId="104" borderId="139" applyNumberFormat="0" applyAlignment="0" applyProtection="0"/>
    <xf numFmtId="0" fontId="270" fillId="104" borderId="139" applyNumberFormat="0" applyAlignment="0" applyProtection="0"/>
    <xf numFmtId="0" fontId="271" fillId="105" borderId="127" applyNumberFormat="0" applyAlignment="0" applyProtection="0"/>
    <xf numFmtId="0" fontId="271" fillId="105" borderId="127" applyNumberFormat="0" applyAlignment="0" applyProtection="0"/>
    <xf numFmtId="165" fontId="109" fillId="0" borderId="0" applyFont="0" applyFill="0" applyBorder="0" applyAlignment="0" applyProtection="0"/>
    <xf numFmtId="175" fontId="109" fillId="0" borderId="0" applyFont="0" applyFill="0" applyBorder="0" applyAlignment="0" applyProtection="0"/>
    <xf numFmtId="175" fontId="109" fillId="0" borderId="0" applyFont="0" applyFill="0" applyBorder="0" applyAlignment="0" applyProtection="0"/>
    <xf numFmtId="43" fontId="259" fillId="0" borderId="0" applyFont="0" applyFill="0" applyBorder="0" applyAlignment="0" applyProtection="0"/>
    <xf numFmtId="175" fontId="109" fillId="0" borderId="0" applyFont="0" applyFill="0" applyBorder="0" applyAlignment="0" applyProtection="0"/>
    <xf numFmtId="43" fontId="259" fillId="0" borderId="0" applyFont="0" applyFill="0" applyBorder="0" applyAlignment="0" applyProtection="0"/>
    <xf numFmtId="175" fontId="109" fillId="0" borderId="0" applyFont="0" applyFill="0" applyBorder="0" applyAlignment="0" applyProtection="0"/>
    <xf numFmtId="44" fontId="109" fillId="0" borderId="0" applyFont="0" applyFill="0" applyBorder="0" applyAlignment="0" applyProtection="0"/>
    <xf numFmtId="44" fontId="109" fillId="0" borderId="0" applyFont="0" applyFill="0" applyBorder="0" applyAlignment="0" applyProtection="0"/>
    <xf numFmtId="189" fontId="272" fillId="0" borderId="0"/>
    <xf numFmtId="0" fontId="273" fillId="0" borderId="0" applyNumberFormat="0" applyFill="0" applyBorder="0" applyAlignment="0" applyProtection="0"/>
    <xf numFmtId="0" fontId="273" fillId="0" borderId="0" applyNumberFormat="0" applyFill="0" applyBorder="0" applyAlignment="0" applyProtection="0"/>
    <xf numFmtId="4" fontId="274" fillId="0" borderId="0" applyNumberFormat="0" applyFill="0" applyBorder="0" applyAlignment="0" applyProtection="0">
      <alignment horizontal="center"/>
    </xf>
    <xf numFmtId="4" fontId="275" fillId="0" borderId="0" applyNumberFormat="0" applyFill="0" applyBorder="0" applyAlignment="0" applyProtection="0">
      <alignment horizontal="center"/>
    </xf>
    <xf numFmtId="4" fontId="275" fillId="0" borderId="0" applyNumberFormat="0" applyFill="0" applyBorder="0" applyAlignment="0" applyProtection="0">
      <alignment horizontal="center"/>
    </xf>
    <xf numFmtId="0" fontId="276" fillId="86" borderId="0" applyNumberFormat="0" applyBorder="0" applyAlignment="0" applyProtection="0"/>
    <xf numFmtId="191" fontId="276" fillId="58" borderId="0" applyNumberFormat="0" applyBorder="0" applyAlignment="0" applyProtection="0"/>
    <xf numFmtId="0" fontId="278" fillId="86" borderId="0" applyNumberFormat="0" applyBorder="0" applyAlignment="0" applyProtection="0"/>
    <xf numFmtId="0" fontId="278" fillId="86" borderId="0" applyNumberFormat="0" applyBorder="0" applyAlignment="0" applyProtection="0"/>
    <xf numFmtId="191" fontId="75" fillId="0" borderId="136">
      <alignment horizontal="left" vertical="center"/>
    </xf>
    <xf numFmtId="0" fontId="279" fillId="0" borderId="90" applyNumberFormat="0" applyFill="0" applyAlignment="0" applyProtection="0"/>
    <xf numFmtId="191" fontId="279" fillId="0" borderId="90" applyNumberFormat="0" applyFill="0" applyAlignment="0" applyProtection="0"/>
    <xf numFmtId="0" fontId="279" fillId="0" borderId="90" applyNumberFormat="0" applyFill="0" applyAlignment="0" applyProtection="0"/>
    <xf numFmtId="191" fontId="279" fillId="0" borderId="90" applyNumberFormat="0" applyFill="0" applyAlignment="0" applyProtection="0"/>
    <xf numFmtId="0" fontId="281" fillId="0" borderId="90" applyNumberFormat="0" applyFill="0" applyAlignment="0" applyProtection="0"/>
    <xf numFmtId="0" fontId="281" fillId="0" borderId="90" applyNumberFormat="0" applyFill="0" applyAlignment="0" applyProtection="0"/>
    <xf numFmtId="0" fontId="282" fillId="0" borderId="128" applyNumberFormat="0" applyFill="0" applyAlignment="0" applyProtection="0"/>
    <xf numFmtId="0" fontId="282" fillId="0" borderId="128" applyNumberFormat="0" applyFill="0" applyAlignment="0" applyProtection="0"/>
    <xf numFmtId="191" fontId="282" fillId="0" borderId="128" applyNumberFormat="0" applyFill="0" applyAlignment="0" applyProtection="0"/>
    <xf numFmtId="0" fontId="284" fillId="0" borderId="128" applyNumberFormat="0" applyFill="0" applyAlignment="0" applyProtection="0"/>
    <xf numFmtId="0" fontId="284" fillId="0" borderId="128" applyNumberFormat="0" applyFill="0" applyAlignment="0" applyProtection="0"/>
    <xf numFmtId="0" fontId="223" fillId="0" borderId="129" applyNumberFormat="0" applyFill="0" applyAlignment="0" applyProtection="0"/>
    <xf numFmtId="191" fontId="223" fillId="0" borderId="129" applyNumberFormat="0" applyFill="0" applyAlignment="0" applyProtection="0"/>
    <xf numFmtId="0" fontId="286" fillId="0" borderId="129" applyNumberFormat="0" applyFill="0" applyAlignment="0" applyProtection="0"/>
    <xf numFmtId="0" fontId="286" fillId="0" borderId="129" applyNumberFormat="0" applyFill="0" applyAlignment="0" applyProtection="0"/>
    <xf numFmtId="0" fontId="223" fillId="0" borderId="0" applyNumberFormat="0" applyFill="0" applyBorder="0" applyAlignment="0" applyProtection="0"/>
    <xf numFmtId="0" fontId="223"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7" fillId="0" borderId="0">
      <alignment horizontal="center"/>
    </xf>
    <xf numFmtId="0" fontId="287" fillId="0" borderId="0">
      <alignment horizontal="center" textRotation="90"/>
    </xf>
    <xf numFmtId="0" fontId="187" fillId="0" borderId="0" applyNumberFormat="0" applyFill="0" applyBorder="0" applyAlignment="0" applyProtection="0">
      <alignment vertical="top"/>
      <protection locked="0"/>
    </xf>
    <xf numFmtId="0" fontId="288" fillId="0" borderId="0" applyNumberFormat="0" applyFill="0" applyBorder="0" applyAlignment="0" applyProtection="0"/>
    <xf numFmtId="0" fontId="288" fillId="0" borderId="0" applyNumberFormat="0" applyFill="0" applyBorder="0" applyAlignment="0" applyProtection="0"/>
    <xf numFmtId="0" fontId="288" fillId="0" borderId="0" applyNumberFormat="0" applyFill="0" applyBorder="0" applyAlignment="0" applyProtection="0"/>
    <xf numFmtId="0" fontId="288" fillId="0" borderId="0" applyNumberFormat="0" applyFill="0" applyBorder="0" applyAlignment="0" applyProtection="0"/>
    <xf numFmtId="0" fontId="288" fillId="0" borderId="0" applyNumberFormat="0" applyFill="0" applyBorder="0" applyAlignment="0" applyProtection="0"/>
    <xf numFmtId="0" fontId="288" fillId="0" borderId="0" applyNumberFormat="0" applyFill="0" applyBorder="0" applyAlignment="0" applyProtection="0"/>
    <xf numFmtId="0" fontId="288" fillId="0" borderId="0" applyNumberFormat="0" applyFill="0" applyBorder="0" applyAlignment="0" applyProtection="0"/>
    <xf numFmtId="0" fontId="288" fillId="0" borderId="0" applyNumberFormat="0" applyFill="0" applyBorder="0" applyAlignment="0" applyProtection="0"/>
    <xf numFmtId="0" fontId="288" fillId="0" borderId="0" applyNumberFormat="0" applyFill="0" applyBorder="0" applyAlignment="0" applyProtection="0"/>
    <xf numFmtId="0" fontId="288" fillId="0" borderId="0" applyNumberFormat="0" applyFill="0" applyBorder="0" applyAlignment="0" applyProtection="0"/>
    <xf numFmtId="0" fontId="288" fillId="0" borderId="0" applyNumberFormat="0" applyFill="0" applyBorder="0" applyAlignment="0" applyProtection="0"/>
    <xf numFmtId="0" fontId="288" fillId="0" borderId="0" applyNumberFormat="0" applyFill="0" applyBorder="0" applyAlignment="0" applyProtection="0"/>
    <xf numFmtId="0" fontId="290" fillId="0" borderId="0" applyNumberFormat="0" applyFill="0" applyBorder="0" applyAlignment="0" applyProtection="0">
      <alignment vertical="top"/>
      <protection locked="0"/>
    </xf>
    <xf numFmtId="191" fontId="291" fillId="81" borderId="126" applyNumberFormat="0" applyAlignment="0" applyProtection="0"/>
    <xf numFmtId="191" fontId="291" fillId="81" borderId="126" applyNumberFormat="0" applyAlignment="0" applyProtection="0"/>
    <xf numFmtId="191" fontId="291" fillId="81" borderId="126" applyNumberFormat="0" applyAlignment="0" applyProtection="0"/>
    <xf numFmtId="0" fontId="291" fillId="89" borderId="126" applyNumberFormat="0" applyAlignment="0" applyProtection="0"/>
    <xf numFmtId="0" fontId="291" fillId="89" borderId="126" applyNumberFormat="0" applyAlignment="0" applyProtection="0"/>
    <xf numFmtId="0" fontId="291" fillId="89" borderId="126" applyNumberFormat="0" applyAlignment="0" applyProtection="0"/>
    <xf numFmtId="0" fontId="291" fillId="89" borderId="126" applyNumberFormat="0" applyAlignment="0" applyProtection="0"/>
    <xf numFmtId="0" fontId="291" fillId="89" borderId="126" applyNumberFormat="0" applyAlignment="0" applyProtection="0"/>
    <xf numFmtId="0" fontId="291" fillId="89" borderId="126" applyNumberFormat="0" applyAlignment="0" applyProtection="0"/>
    <xf numFmtId="191" fontId="291" fillId="89" borderId="126" applyNumberFormat="0" applyAlignment="0" applyProtection="0"/>
    <xf numFmtId="191" fontId="291" fillId="89" borderId="126" applyNumberFormat="0" applyAlignment="0" applyProtection="0"/>
    <xf numFmtId="191" fontId="291" fillId="89" borderId="126" applyNumberFormat="0" applyAlignment="0" applyProtection="0"/>
    <xf numFmtId="0" fontId="267" fillId="89" borderId="126" applyNumberFormat="0" applyAlignment="0" applyProtection="0"/>
    <xf numFmtId="0" fontId="267" fillId="89" borderId="126" applyNumberFormat="0" applyAlignment="0" applyProtection="0"/>
    <xf numFmtId="0" fontId="267" fillId="89" borderId="126" applyNumberFormat="0" applyAlignment="0" applyProtection="0"/>
    <xf numFmtId="0" fontId="267" fillId="89" borderId="126" applyNumberFormat="0" applyAlignment="0" applyProtection="0"/>
    <xf numFmtId="0" fontId="267" fillId="89" borderId="126" applyNumberFormat="0" applyAlignment="0" applyProtection="0"/>
    <xf numFmtId="0" fontId="267" fillId="89" borderId="126" applyNumberFormat="0" applyAlignment="0" applyProtection="0"/>
    <xf numFmtId="0" fontId="71" fillId="82" borderId="130" applyNumberFormat="0" applyFont="0" applyAlignment="0"/>
    <xf numFmtId="0" fontId="71" fillId="82" borderId="130" applyNumberFormat="0" applyFont="0" applyAlignment="0"/>
    <xf numFmtId="0" fontId="71" fillId="82" borderId="130" applyNumberFormat="0" applyFont="0" applyAlignment="0"/>
    <xf numFmtId="0" fontId="293" fillId="0" borderId="0" applyNumberFormat="0" applyFill="0" applyBorder="0" applyAlignment="0" applyProtection="0"/>
    <xf numFmtId="191" fontId="293" fillId="0" borderId="0" applyNumberFormat="0" applyFill="0" applyBorder="0" applyAlignment="0" applyProtection="0"/>
    <xf numFmtId="0" fontId="293" fillId="0" borderId="0" applyNumberFormat="0" applyFill="0" applyBorder="0" applyAlignment="0" applyProtection="0"/>
    <xf numFmtId="0" fontId="294" fillId="0" borderId="131" applyNumberFormat="0" applyFill="0" applyAlignment="0" applyProtection="0"/>
    <xf numFmtId="0" fontId="294" fillId="0" borderId="131" applyNumberFormat="0" applyFill="0" applyAlignment="0" applyProtection="0"/>
    <xf numFmtId="0" fontId="295" fillId="106" borderId="0" applyNumberFormat="0" applyBorder="0" applyAlignment="0" applyProtection="0"/>
    <xf numFmtId="191" fontId="295" fillId="106" borderId="0" applyNumberFormat="0" applyBorder="0" applyAlignment="0" applyProtection="0"/>
    <xf numFmtId="0" fontId="297" fillId="106" borderId="0" applyNumberFormat="0" applyBorder="0" applyAlignment="0" applyProtection="0"/>
    <xf numFmtId="0" fontId="297" fillId="106" borderId="0" applyNumberFormat="0" applyBorder="0" applyAlignment="0" applyProtection="0"/>
    <xf numFmtId="0" fontId="109" fillId="0" borderId="0"/>
    <xf numFmtId="0" fontId="109" fillId="0" borderId="0"/>
    <xf numFmtId="0" fontId="259" fillId="0" borderId="0"/>
    <xf numFmtId="0" fontId="259" fillId="0" borderId="0"/>
    <xf numFmtId="0" fontId="259" fillId="0" borderId="0"/>
    <xf numFmtId="0" fontId="259" fillId="0" borderId="0"/>
    <xf numFmtId="0" fontId="299" fillId="0" borderId="0"/>
    <xf numFmtId="0" fontId="259" fillId="0" borderId="0"/>
    <xf numFmtId="0" fontId="259" fillId="0" borderId="0"/>
    <xf numFmtId="0" fontId="259" fillId="0" borderId="0"/>
    <xf numFmtId="0" fontId="259" fillId="0" borderId="0"/>
    <xf numFmtId="0" fontId="259" fillId="0" borderId="0"/>
    <xf numFmtId="0" fontId="259" fillId="0" borderId="0"/>
    <xf numFmtId="0" fontId="300" fillId="0" borderId="0"/>
    <xf numFmtId="0" fontId="259" fillId="0" borderId="0"/>
    <xf numFmtId="0" fontId="259" fillId="0" borderId="0"/>
    <xf numFmtId="0" fontId="259" fillId="0" borderId="0"/>
    <xf numFmtId="191" fontId="183" fillId="107" borderId="132" applyNumberFormat="0" applyFont="0" applyAlignment="0" applyProtection="0"/>
    <xf numFmtId="0" fontId="71" fillId="107" borderId="132" applyNumberFormat="0" applyFont="0" applyAlignment="0" applyProtection="0"/>
    <xf numFmtId="0" fontId="71" fillId="107" borderId="132" applyNumberFormat="0" applyFont="0" applyAlignment="0" applyProtection="0"/>
    <xf numFmtId="0" fontId="71" fillId="107" borderId="132" applyNumberFormat="0" applyFont="0" applyAlignment="0" applyProtection="0"/>
    <xf numFmtId="0" fontId="135" fillId="107" borderId="132" applyNumberFormat="0" applyFont="0" applyAlignment="0" applyProtection="0"/>
    <xf numFmtId="0" fontId="135" fillId="107" borderId="132" applyNumberFormat="0" applyFont="0" applyAlignment="0" applyProtection="0"/>
    <xf numFmtId="0" fontId="135"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259"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191"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0" fontId="183" fillId="107" borderId="132" applyNumberFormat="0" applyFont="0" applyAlignment="0" applyProtection="0"/>
    <xf numFmtId="170" fontId="302" fillId="0" borderId="0" applyNumberFormat="0" applyFill="0" applyBorder="0" applyAlignment="0" applyProtection="0"/>
    <xf numFmtId="0" fontId="304" fillId="104" borderId="133" applyNumberFormat="0" applyAlignment="0" applyProtection="0"/>
    <xf numFmtId="0" fontId="304" fillId="104" borderId="133" applyNumberFormat="0" applyAlignment="0" applyProtection="0"/>
    <xf numFmtId="0" fontId="304" fillId="104" borderId="133" applyNumberFormat="0" applyAlignment="0" applyProtection="0"/>
    <xf numFmtId="191" fontId="304" fillId="104" borderId="133" applyNumberFormat="0" applyAlignment="0" applyProtection="0"/>
    <xf numFmtId="191" fontId="304" fillId="104" borderId="133" applyNumberFormat="0" applyAlignment="0" applyProtection="0"/>
    <xf numFmtId="191" fontId="304" fillId="104" borderId="133" applyNumberFormat="0" applyAlignment="0" applyProtection="0"/>
    <xf numFmtId="0" fontId="306" fillId="104" borderId="133" applyNumberFormat="0" applyAlignment="0" applyProtection="0"/>
    <xf numFmtId="0" fontId="306" fillId="104" borderId="133" applyNumberFormat="0" applyAlignment="0" applyProtection="0"/>
    <xf numFmtId="0" fontId="306" fillId="104" borderId="133" applyNumberFormat="0" applyAlignment="0" applyProtection="0"/>
    <xf numFmtId="0" fontId="306" fillId="104" borderId="133" applyNumberFormat="0" applyAlignment="0" applyProtection="0"/>
    <xf numFmtId="0" fontId="306" fillId="104" borderId="133" applyNumberFormat="0" applyAlignment="0" applyProtection="0"/>
    <xf numFmtId="0" fontId="306" fillId="104" borderId="133" applyNumberFormat="0" applyAlignment="0" applyProtection="0"/>
    <xf numFmtId="179" fontId="307" fillId="0" borderId="0" applyFont="0" applyFill="0" applyBorder="0" applyAlignment="0" applyProtection="0"/>
    <xf numFmtId="179" fontId="307" fillId="0" borderId="0" applyFont="0" applyFill="0" applyBorder="0" applyAlignment="0" applyProtection="0"/>
    <xf numFmtId="9" fontId="300" fillId="0" borderId="0" applyFont="0" applyFill="0" applyBorder="0" applyAlignment="0" applyProtection="0"/>
    <xf numFmtId="0" fontId="308" fillId="0" borderId="0"/>
    <xf numFmtId="191" fontId="308" fillId="0" borderId="0"/>
    <xf numFmtId="0" fontId="309" fillId="0" borderId="0" applyFill="0" applyBorder="0"/>
    <xf numFmtId="0" fontId="311" fillId="0" borderId="134" applyNumberFormat="0" applyFill="0" applyAlignment="0" applyProtection="0"/>
    <xf numFmtId="0" fontId="311" fillId="0" borderId="134" applyNumberFormat="0" applyFill="0" applyAlignment="0" applyProtection="0"/>
    <xf numFmtId="0" fontId="311" fillId="0" borderId="134" applyNumberFormat="0" applyFill="0" applyAlignment="0" applyProtection="0"/>
    <xf numFmtId="0" fontId="311" fillId="0" borderId="134" applyNumberFormat="0" applyFill="0" applyAlignment="0" applyProtection="0"/>
    <xf numFmtId="0" fontId="311" fillId="0" borderId="134" applyNumberFormat="0" applyFill="0" applyAlignment="0" applyProtection="0"/>
    <xf numFmtId="0" fontId="311" fillId="0" borderId="134" applyNumberFormat="0" applyFill="0" applyAlignment="0" applyProtection="0"/>
    <xf numFmtId="0" fontId="91" fillId="0" borderId="0" applyNumberFormat="0" applyFill="0" applyBorder="0" applyAlignment="0" applyProtection="0"/>
    <xf numFmtId="0" fontId="91" fillId="0" borderId="0" applyNumberFormat="0" applyFill="0" applyBorder="0" applyAlignment="0" applyProtection="0"/>
    <xf numFmtId="191" fontId="232" fillId="0" borderId="0">
      <alignment vertical="center"/>
    </xf>
    <xf numFmtId="191" fontId="52" fillId="0" borderId="0"/>
    <xf numFmtId="191" fontId="234" fillId="0" borderId="0">
      <alignment vertical="center"/>
    </xf>
    <xf numFmtId="191" fontId="235" fillId="0" borderId="0" applyNumberFormat="0" applyFill="0" applyBorder="0" applyAlignment="0" applyProtection="0">
      <alignment vertical="center"/>
    </xf>
    <xf numFmtId="191" fontId="236" fillId="0" borderId="0">
      <alignment vertical="center"/>
    </xf>
    <xf numFmtId="191" fontId="233" fillId="81" borderId="0" applyNumberFormat="0" applyBorder="0" applyAlignment="0" applyProtection="0">
      <alignment vertical="center"/>
    </xf>
    <xf numFmtId="191" fontId="71" fillId="0" borderId="0"/>
    <xf numFmtId="191" fontId="110" fillId="0" borderId="0" applyNumberFormat="0" applyFill="0" applyBorder="0" applyAlignment="0" applyProtection="0">
      <alignment vertical="top"/>
      <protection locked="0"/>
    </xf>
    <xf numFmtId="191" fontId="71" fillId="0" borderId="0"/>
    <xf numFmtId="179" fontId="307" fillId="0" borderId="0" applyFont="0" applyFill="0" applyBorder="0" applyAlignment="0" applyProtection="0"/>
    <xf numFmtId="191" fontId="319" fillId="0" borderId="0">
      <alignment vertical="center"/>
    </xf>
    <xf numFmtId="191" fontId="320" fillId="0" borderId="0"/>
    <xf numFmtId="0" fontId="107" fillId="0" borderId="0" applyNumberFormat="0" applyFill="0" applyBorder="0" applyAlignment="0" applyProtection="0"/>
    <xf numFmtId="0" fontId="107" fillId="0" borderId="0" applyNumberFormat="0" applyFill="0" applyBorder="0" applyAlignment="0" applyProtection="0"/>
  </cellStyleXfs>
  <cellXfs count="1770">
    <xf numFmtId="0" fontId="0" fillId="0" borderId="0" xfId="0"/>
    <xf numFmtId="0" fontId="0" fillId="0" borderId="0" xfId="0"/>
    <xf numFmtId="0" fontId="52" fillId="0" borderId="0" xfId="0" applyFont="1"/>
    <xf numFmtId="0" fontId="54" fillId="0" borderId="0" xfId="0" applyFont="1"/>
    <xf numFmtId="0" fontId="55" fillId="0" borderId="0" xfId="0" applyFont="1" applyAlignment="1">
      <alignment vertical="center"/>
    </xf>
    <xf numFmtId="0" fontId="52" fillId="0" borderId="0" xfId="0" applyFont="1" applyAlignment="1">
      <alignment vertical="center"/>
    </xf>
    <xf numFmtId="0" fontId="56" fillId="0" borderId="0" xfId="0" applyFont="1" applyAlignment="1">
      <alignment vertical="center"/>
    </xf>
    <xf numFmtId="0" fontId="57" fillId="0" borderId="0" xfId="0" applyFont="1"/>
    <xf numFmtId="0" fontId="58" fillId="0" borderId="0" xfId="0" applyFont="1"/>
    <xf numFmtId="0" fontId="58" fillId="0" borderId="0" xfId="0" applyFont="1" applyAlignment="1">
      <alignment vertical="center"/>
    </xf>
    <xf numFmtId="0" fontId="61" fillId="0" borderId="0" xfId="0" applyFont="1" applyAlignment="1">
      <alignment vertical="center"/>
    </xf>
    <xf numFmtId="0" fontId="57" fillId="0" borderId="0" xfId="0" applyFont="1" applyAlignment="1">
      <alignment vertical="center"/>
    </xf>
    <xf numFmtId="0" fontId="52" fillId="0" borderId="0" xfId="0" applyFont="1" applyAlignment="1">
      <alignment horizontal="left" vertical="center" wrapText="1"/>
    </xf>
    <xf numFmtId="0" fontId="54" fillId="0" borderId="0" xfId="0" applyFont="1" applyAlignment="1">
      <alignment horizontal="left" vertical="center" wrapText="1"/>
    </xf>
    <xf numFmtId="0" fontId="0" fillId="0" borderId="0" xfId="0" applyAlignment="1">
      <alignment vertical="center"/>
    </xf>
    <xf numFmtId="179" fontId="0" fillId="0" borderId="0" xfId="1" applyFont="1"/>
    <xf numFmtId="0" fontId="0" fillId="0" borderId="0" xfId="0" applyAlignment="1">
      <alignment horizontal="left"/>
    </xf>
    <xf numFmtId="0" fontId="0" fillId="0" borderId="0" xfId="0" applyFont="1" applyAlignment="1">
      <alignment vertical="center"/>
    </xf>
    <xf numFmtId="0" fontId="0" fillId="0" borderId="0" xfId="0" applyFont="1" applyAlignment="1">
      <alignment horizontal="left" vertical="center" wrapText="1"/>
    </xf>
    <xf numFmtId="0" fontId="0" fillId="0" borderId="0" xfId="0" applyFont="1"/>
    <xf numFmtId="0" fontId="61" fillId="0" borderId="0" xfId="0" applyFont="1" applyAlignment="1">
      <alignment horizontal="left" vertical="center" wrapText="1"/>
    </xf>
    <xf numFmtId="0" fontId="0" fillId="0" borderId="0" xfId="0" applyAlignment="1">
      <alignment horizontal="left" vertical="center" wrapText="1"/>
    </xf>
    <xf numFmtId="175" fontId="0" fillId="0" borderId="0" xfId="2" applyFont="1"/>
    <xf numFmtId="11" fontId="0" fillId="0" borderId="0" xfId="0" applyNumberFormat="1"/>
    <xf numFmtId="0" fontId="64" fillId="0" borderId="0" xfId="0" applyFont="1"/>
    <xf numFmtId="0" fontId="0" fillId="0" borderId="0" xfId="0" applyBorder="1" applyAlignment="1">
      <alignment vertical="center"/>
    </xf>
    <xf numFmtId="167" fontId="0" fillId="0" borderId="0" xfId="0" applyNumberFormat="1" applyBorder="1" applyAlignment="1">
      <alignment vertical="center"/>
    </xf>
    <xf numFmtId="0" fontId="0" fillId="0" borderId="1" xfId="0" applyBorder="1" applyAlignment="1">
      <alignment vertical="center"/>
    </xf>
    <xf numFmtId="167" fontId="0" fillId="0" borderId="1" xfId="0" applyNumberFormat="1" applyBorder="1" applyAlignment="1">
      <alignment vertical="center"/>
    </xf>
    <xf numFmtId="0" fontId="62" fillId="0" borderId="2" xfId="0" applyFont="1" applyBorder="1" applyAlignment="1">
      <alignment horizontal="left" vertical="center"/>
    </xf>
    <xf numFmtId="0" fontId="62" fillId="0" borderId="2" xfId="0" applyFont="1" applyBorder="1" applyAlignment="1">
      <alignment horizontal="center" vertical="center"/>
    </xf>
    <xf numFmtId="0" fontId="67" fillId="0" borderId="0" xfId="0" applyFont="1" applyBorder="1" applyAlignment="1">
      <alignment horizontal="left" vertical="center"/>
    </xf>
    <xf numFmtId="0" fontId="67" fillId="0" borderId="1" xfId="0" applyFont="1" applyBorder="1" applyAlignment="1">
      <alignment horizontal="left" vertical="center"/>
    </xf>
    <xf numFmtId="0" fontId="0" fillId="0" borderId="0" xfId="0" applyFill="1" applyBorder="1" applyAlignment="1">
      <alignment vertical="center"/>
    </xf>
    <xf numFmtId="0" fontId="70" fillId="3" borderId="3" xfId="3" applyAlignment="1">
      <alignment horizontal="center" vertical="center"/>
    </xf>
    <xf numFmtId="0" fontId="0" fillId="0" borderId="0" xfId="0" applyBorder="1"/>
    <xf numFmtId="0" fontId="0" fillId="0" borderId="0" xfId="0" applyFill="1" applyBorder="1"/>
    <xf numFmtId="0" fontId="0" fillId="0" borderId="0" xfId="0"/>
    <xf numFmtId="0" fontId="65" fillId="0" borderId="0" xfId="0" applyFont="1"/>
    <xf numFmtId="11" fontId="0" fillId="0" borderId="0" xfId="0" applyNumberFormat="1" applyBorder="1" applyAlignment="1">
      <alignment vertical="center"/>
    </xf>
    <xf numFmtId="11" fontId="0" fillId="0" borderId="1" xfId="0" applyNumberFormat="1" applyBorder="1" applyAlignment="1">
      <alignment vertical="center"/>
    </xf>
    <xf numFmtId="167" fontId="0" fillId="0" borderId="0" xfId="2" applyNumberFormat="1" applyFont="1" applyAlignment="1">
      <alignment vertical="center"/>
    </xf>
    <xf numFmtId="0" fontId="0" fillId="0" borderId="0" xfId="0" applyFont="1" applyFill="1" applyBorder="1" applyAlignment="1">
      <alignment vertical="center"/>
    </xf>
    <xf numFmtId="0" fontId="62" fillId="0" borderId="0" xfId="0" applyFont="1" applyFill="1" applyBorder="1" applyAlignment="1">
      <alignment vertical="center"/>
    </xf>
    <xf numFmtId="0" fontId="0" fillId="0" borderId="0" xfId="0" applyFill="1" applyBorder="1" applyAlignment="1">
      <alignment horizontal="center" vertical="center"/>
    </xf>
    <xf numFmtId="0" fontId="0" fillId="0" borderId="0" xfId="0" applyBorder="1" applyAlignment="1">
      <alignment horizontal="right" vertical="center"/>
    </xf>
    <xf numFmtId="175" fontId="62" fillId="0" borderId="0" xfId="2" applyFont="1" applyBorder="1" applyAlignment="1">
      <alignment vertical="center"/>
    </xf>
    <xf numFmtId="0" fontId="62" fillId="0" borderId="2" xfId="0" applyFont="1" applyBorder="1" applyAlignment="1">
      <alignment horizontal="center" vertical="center"/>
    </xf>
    <xf numFmtId="0" fontId="0" fillId="0" borderId="0" xfId="0" applyAlignment="1">
      <alignment vertical="center"/>
    </xf>
    <xf numFmtId="0" fontId="62" fillId="0" borderId="0" xfId="0" applyFont="1" applyFill="1" applyBorder="1" applyAlignment="1">
      <alignment horizontal="right" vertical="center"/>
    </xf>
    <xf numFmtId="0" fontId="0" fillId="0" borderId="0" xfId="0" applyAlignment="1">
      <alignment horizontal="left" vertical="center"/>
    </xf>
    <xf numFmtId="0" fontId="54" fillId="0" borderId="0" xfId="0" applyFont="1" applyAlignment="1">
      <alignment vertical="center"/>
    </xf>
    <xf numFmtId="0" fontId="0" fillId="0" borderId="0" xfId="0" applyAlignment="1">
      <alignment wrapText="1"/>
    </xf>
    <xf numFmtId="0" fontId="0" fillId="0" borderId="0" xfId="0" applyBorder="1" applyAlignment="1">
      <alignment wrapText="1"/>
    </xf>
    <xf numFmtId="0" fontId="79" fillId="0" borderId="0" xfId="0" applyFont="1"/>
    <xf numFmtId="0" fontId="79" fillId="0" borderId="0" xfId="0" applyFont="1" applyAlignment="1">
      <alignment vertical="center"/>
    </xf>
    <xf numFmtId="0" fontId="80" fillId="3" borderId="3" xfId="3" applyFont="1" applyAlignment="1">
      <alignment horizontal="left" vertical="center" indent="1"/>
    </xf>
    <xf numFmtId="0" fontId="0" fillId="0" borderId="9" xfId="0" applyBorder="1"/>
    <xf numFmtId="0" fontId="67" fillId="0" borderId="9" xfId="0" applyFont="1" applyFill="1" applyBorder="1" applyAlignment="1">
      <alignment horizontal="left" vertical="center"/>
    </xf>
    <xf numFmtId="167" fontId="0" fillId="0" borderId="9" xfId="0" applyNumberFormat="1" applyBorder="1"/>
    <xf numFmtId="0" fontId="0" fillId="7" borderId="0" xfId="0" applyFill="1" applyBorder="1" applyAlignment="1">
      <alignment vertical="center"/>
    </xf>
    <xf numFmtId="0" fontId="59" fillId="5" borderId="12" xfId="0" applyFont="1" applyFill="1" applyBorder="1" applyAlignment="1">
      <alignment vertical="center"/>
    </xf>
    <xf numFmtId="0" fontId="81" fillId="0" borderId="0" xfId="0" applyFont="1"/>
    <xf numFmtId="0" fontId="81" fillId="0" borderId="0" xfId="0" applyFont="1" applyAlignment="1">
      <alignment vertical="center"/>
    </xf>
    <xf numFmtId="167" fontId="0" fillId="0" borderId="0" xfId="0" applyNumberFormat="1" applyAlignment="1">
      <alignment vertical="center"/>
    </xf>
    <xf numFmtId="175" fontId="62" fillId="0" borderId="0" xfId="2" applyFont="1"/>
    <xf numFmtId="0" fontId="0" fillId="0" borderId="0" xfId="0" applyNumberFormat="1" applyAlignment="1">
      <alignment vertical="center"/>
    </xf>
    <xf numFmtId="0" fontId="0" fillId="0" borderId="0" xfId="0" applyBorder="1" applyAlignment="1">
      <alignment horizontal="left" vertical="center"/>
    </xf>
    <xf numFmtId="0" fontId="0" fillId="0" borderId="0" xfId="0" applyNumberFormat="1" applyBorder="1" applyAlignment="1">
      <alignment vertical="center"/>
    </xf>
    <xf numFmtId="0" fontId="82" fillId="0" borderId="0" xfId="0" applyFont="1"/>
    <xf numFmtId="0" fontId="55" fillId="0" borderId="0" xfId="0" applyFont="1"/>
    <xf numFmtId="175" fontId="52" fillId="0" borderId="0" xfId="2" applyFont="1"/>
    <xf numFmtId="0" fontId="0" fillId="0" borderId="0" xfId="0" applyBorder="1" applyAlignment="1">
      <alignment horizontal="right"/>
    </xf>
    <xf numFmtId="0" fontId="62" fillId="0" borderId="0" xfId="0" applyFont="1" applyAlignment="1">
      <alignment vertical="center"/>
    </xf>
    <xf numFmtId="0" fontId="0" fillId="0" borderId="0" xfId="0" applyAlignment="1">
      <alignment horizontal="center" vertical="center"/>
    </xf>
    <xf numFmtId="0" fontId="59" fillId="0" borderId="0" xfId="0" applyFont="1" applyAlignment="1">
      <alignment horizontal="center"/>
    </xf>
    <xf numFmtId="0" fontId="62" fillId="0" borderId="0" xfId="0" applyFont="1" applyAlignment="1">
      <alignment horizontal="right"/>
    </xf>
    <xf numFmtId="179" fontId="0" fillId="5" borderId="0" xfId="1" applyFont="1" applyFill="1" applyBorder="1" applyAlignment="1">
      <alignment vertical="center"/>
    </xf>
    <xf numFmtId="0" fontId="0" fillId="5" borderId="0" xfId="0" applyFill="1" applyBorder="1" applyAlignment="1">
      <alignment horizontal="right"/>
    </xf>
    <xf numFmtId="0" fontId="62" fillId="5" borderId="0" xfId="0" applyNumberFormat="1" applyFont="1" applyFill="1" applyBorder="1" applyAlignment="1">
      <alignment vertical="center"/>
    </xf>
    <xf numFmtId="0" fontId="59" fillId="5" borderId="18" xfId="0" applyFont="1" applyFill="1" applyBorder="1" applyAlignment="1">
      <alignment vertical="center"/>
    </xf>
    <xf numFmtId="0" fontId="59" fillId="5" borderId="11" xfId="0" applyFont="1" applyFill="1" applyBorder="1" applyAlignment="1">
      <alignment vertical="center"/>
    </xf>
    <xf numFmtId="179" fontId="0" fillId="5" borderId="0" xfId="1" applyFont="1" applyFill="1" applyBorder="1" applyAlignment="1">
      <alignment horizontal="right" vertical="center"/>
    </xf>
    <xf numFmtId="0" fontId="59" fillId="5" borderId="1" xfId="0" applyFont="1" applyFill="1" applyBorder="1" applyAlignment="1">
      <alignment vertical="center"/>
    </xf>
    <xf numFmtId="0" fontId="0" fillId="5" borderId="1" xfId="0" applyNumberFormat="1" applyFill="1" applyBorder="1" applyAlignment="1">
      <alignment vertical="center"/>
    </xf>
    <xf numFmtId="0" fontId="65" fillId="0" borderId="0" xfId="0" applyFont="1" applyAlignment="1">
      <alignment vertical="center"/>
    </xf>
    <xf numFmtId="177" fontId="0" fillId="5" borderId="15" xfId="2" applyNumberFormat="1" applyFont="1" applyFill="1" applyBorder="1" applyAlignment="1">
      <alignment vertical="center"/>
    </xf>
    <xf numFmtId="177" fontId="0" fillId="5" borderId="1" xfId="2" applyNumberFormat="1" applyFont="1" applyFill="1" applyBorder="1" applyAlignment="1">
      <alignment horizontal="right" vertical="center"/>
    </xf>
    <xf numFmtId="176" fontId="0" fillId="5" borderId="0" xfId="2" applyNumberFormat="1" applyFont="1" applyFill="1" applyBorder="1" applyAlignment="1">
      <alignment vertical="center"/>
    </xf>
    <xf numFmtId="176" fontId="0" fillId="5" borderId="0" xfId="2" applyNumberFormat="1" applyFont="1" applyFill="1" applyBorder="1" applyAlignment="1">
      <alignment horizontal="right" vertical="center"/>
    </xf>
    <xf numFmtId="175" fontId="0" fillId="5" borderId="0" xfId="2" applyNumberFormat="1" applyFont="1" applyFill="1" applyBorder="1" applyAlignment="1">
      <alignment vertical="center"/>
    </xf>
    <xf numFmtId="0" fontId="0" fillId="0" borderId="0" xfId="0" applyAlignment="1">
      <alignment horizontal="center" vertical="center" wrapText="1"/>
    </xf>
    <xf numFmtId="0" fontId="62" fillId="7" borderId="12" xfId="0" applyFont="1" applyFill="1" applyBorder="1" applyAlignment="1">
      <alignment vertical="center"/>
    </xf>
    <xf numFmtId="0" fontId="59" fillId="5" borderId="12" xfId="0" applyNumberFormat="1" applyFont="1" applyFill="1" applyBorder="1" applyAlignment="1">
      <alignment horizontal="right" vertical="center"/>
    </xf>
    <xf numFmtId="0" fontId="59" fillId="5" borderId="14" xfId="0" applyNumberFormat="1" applyFont="1" applyFill="1" applyBorder="1" applyAlignment="1">
      <alignment horizontal="right" vertical="center"/>
    </xf>
    <xf numFmtId="0" fontId="59" fillId="5" borderId="18" xfId="0" applyNumberFormat="1" applyFont="1" applyFill="1" applyBorder="1" applyAlignment="1">
      <alignment horizontal="right" vertical="center"/>
    </xf>
    <xf numFmtId="0" fontId="0" fillId="7" borderId="0" xfId="0" applyFont="1" applyFill="1" applyBorder="1" applyAlignment="1">
      <alignment vertical="center"/>
    </xf>
    <xf numFmtId="175" fontId="0" fillId="7" borderId="0" xfId="2" applyFont="1" applyFill="1" applyBorder="1" applyAlignment="1">
      <alignment vertical="center"/>
    </xf>
    <xf numFmtId="0" fontId="54" fillId="0" borderId="0" xfId="0" applyFont="1" applyAlignment="1">
      <alignment horizontal="left" vertical="center"/>
    </xf>
    <xf numFmtId="10" fontId="0" fillId="0" borderId="0" xfId="0" applyNumberFormat="1"/>
    <xf numFmtId="0" fontId="87" fillId="0" borderId="0" xfId="0" applyFont="1"/>
    <xf numFmtId="0" fontId="0" fillId="0" borderId="0" xfId="0" applyAlignment="1">
      <alignment horizontal="center"/>
    </xf>
    <xf numFmtId="0" fontId="54" fillId="2" borderId="26" xfId="0" applyFont="1" applyFill="1" applyBorder="1" applyAlignment="1">
      <alignment vertical="center"/>
    </xf>
    <xf numFmtId="0" fontId="88" fillId="0" borderId="0" xfId="0" applyFont="1" applyAlignment="1">
      <alignment horizontal="center" vertical="center"/>
    </xf>
    <xf numFmtId="0" fontId="0" fillId="0" borderId="0" xfId="0" applyFont="1" applyBorder="1" applyAlignment="1">
      <alignment horizontal="left" vertical="center"/>
    </xf>
    <xf numFmtId="0" fontId="0" fillId="0" borderId="0" xfId="0" applyAlignment="1">
      <alignment horizontal="right" vertical="center"/>
    </xf>
    <xf numFmtId="0" fontId="54" fillId="5" borderId="33" xfId="0" applyFont="1" applyFill="1" applyBorder="1"/>
    <xf numFmtId="0" fontId="54" fillId="5" borderId="33" xfId="0" applyFont="1" applyFill="1" applyBorder="1" applyAlignment="1">
      <alignment vertical="center"/>
    </xf>
    <xf numFmtId="0" fontId="0" fillId="5" borderId="31" xfId="0" applyFill="1" applyBorder="1"/>
    <xf numFmtId="0" fontId="0" fillId="5" borderId="22" xfId="0" applyFill="1" applyBorder="1"/>
    <xf numFmtId="0" fontId="0" fillId="5" borderId="32" xfId="0" applyFill="1" applyBorder="1"/>
    <xf numFmtId="0" fontId="0" fillId="8" borderId="26" xfId="0" applyFill="1" applyBorder="1" applyAlignment="1">
      <alignment vertical="center"/>
    </xf>
    <xf numFmtId="0" fontId="90" fillId="0" borderId="0" xfId="0" applyFont="1" applyAlignment="1">
      <alignment vertical="center"/>
    </xf>
    <xf numFmtId="0" fontId="90" fillId="0" borderId="0" xfId="0" applyFont="1"/>
    <xf numFmtId="0" fontId="0" fillId="7" borderId="33" xfId="0" applyFill="1" applyBorder="1"/>
    <xf numFmtId="0" fontId="0" fillId="7" borderId="0" xfId="0" applyFont="1" applyFill="1" applyBorder="1"/>
    <xf numFmtId="0" fontId="0" fillId="7" borderId="0" xfId="0" applyFill="1" applyBorder="1"/>
    <xf numFmtId="0" fontId="0" fillId="7" borderId="0" xfId="0" applyFill="1" applyBorder="1" applyAlignment="1">
      <alignment horizontal="right"/>
    </xf>
    <xf numFmtId="0" fontId="0" fillId="7" borderId="34" xfId="0" applyFill="1" applyBorder="1"/>
    <xf numFmtId="0" fontId="54" fillId="7" borderId="33" xfId="0" applyFont="1" applyFill="1" applyBorder="1"/>
    <xf numFmtId="0" fontId="0" fillId="7" borderId="22" xfId="0" applyFill="1" applyBorder="1" applyAlignment="1">
      <alignment vertical="center"/>
    </xf>
    <xf numFmtId="0" fontId="0" fillId="7" borderId="22" xfId="0" applyFill="1" applyBorder="1"/>
    <xf numFmtId="0" fontId="0" fillId="10" borderId="26" xfId="0" applyFill="1" applyBorder="1"/>
    <xf numFmtId="0" fontId="0" fillId="10" borderId="28" xfId="0" applyFill="1" applyBorder="1"/>
    <xf numFmtId="0" fontId="62" fillId="7" borderId="0" xfId="0" applyFont="1" applyFill="1" applyBorder="1"/>
    <xf numFmtId="0" fontId="51" fillId="7" borderId="0" xfId="0" applyFont="1" applyFill="1" applyBorder="1" applyAlignment="1">
      <alignment vertical="center"/>
    </xf>
    <xf numFmtId="0" fontId="0" fillId="7" borderId="31" xfId="0" applyFill="1" applyBorder="1"/>
    <xf numFmtId="0" fontId="55" fillId="11" borderId="26" xfId="0" applyFont="1" applyFill="1" applyBorder="1" applyAlignment="1">
      <alignment vertical="center"/>
    </xf>
    <xf numFmtId="0" fontId="0" fillId="11" borderId="26" xfId="0" applyFill="1" applyBorder="1"/>
    <xf numFmtId="0" fontId="0" fillId="11" borderId="28" xfId="0" applyFill="1" applyBorder="1"/>
    <xf numFmtId="0" fontId="62" fillId="6" borderId="0" xfId="0" applyFont="1" applyFill="1" applyBorder="1"/>
    <xf numFmtId="0" fontId="0" fillId="6" borderId="0" xfId="0" applyFill="1" applyBorder="1"/>
    <xf numFmtId="0" fontId="0" fillId="6" borderId="0" xfId="0" applyFill="1" applyBorder="1" applyAlignment="1">
      <alignment horizontal="right"/>
    </xf>
    <xf numFmtId="0" fontId="51" fillId="6" borderId="0" xfId="0" applyFont="1" applyFill="1" applyBorder="1" applyAlignment="1">
      <alignment vertical="center"/>
    </xf>
    <xf numFmtId="0" fontId="0" fillId="6" borderId="0" xfId="0" applyFill="1" applyBorder="1" applyAlignment="1">
      <alignment vertical="center"/>
    </xf>
    <xf numFmtId="0" fontId="0" fillId="6" borderId="29" xfId="0" applyFill="1" applyBorder="1"/>
    <xf numFmtId="0" fontId="0" fillId="6" borderId="24" xfId="0" applyFill="1" applyBorder="1"/>
    <xf numFmtId="0" fontId="0" fillId="6" borderId="30" xfId="0" applyFill="1" applyBorder="1"/>
    <xf numFmtId="0" fontId="0" fillId="6" borderId="33" xfId="0" applyFill="1" applyBorder="1"/>
    <xf numFmtId="0" fontId="0" fillId="6" borderId="34" xfId="0" applyFill="1" applyBorder="1"/>
    <xf numFmtId="0" fontId="54" fillId="6" borderId="33" xfId="0" applyFont="1" applyFill="1" applyBorder="1"/>
    <xf numFmtId="0" fontId="55" fillId="10" borderId="27" xfId="0" applyFont="1" applyFill="1" applyBorder="1" applyAlignment="1">
      <alignment horizontal="left" vertical="center" indent="1"/>
    </xf>
    <xf numFmtId="0" fontId="55" fillId="11" borderId="27" xfId="0" applyFont="1" applyFill="1" applyBorder="1" applyAlignment="1">
      <alignment horizontal="left" vertical="center" indent="1"/>
    </xf>
    <xf numFmtId="0" fontId="0" fillId="5" borderId="0" xfId="0" applyFont="1" applyFill="1" applyBorder="1" applyAlignment="1">
      <alignment horizontal="right"/>
    </xf>
    <xf numFmtId="9" fontId="0" fillId="5" borderId="0" xfId="0" applyNumberFormat="1" applyFill="1" applyBorder="1" applyAlignment="1">
      <alignment vertical="center"/>
    </xf>
    <xf numFmtId="0" fontId="0" fillId="5" borderId="0" xfId="0" quotePrefix="1" applyFont="1" applyFill="1" applyBorder="1" applyAlignment="1">
      <alignment horizontal="right"/>
    </xf>
    <xf numFmtId="175" fontId="51" fillId="7" borderId="0" xfId="2" applyFont="1" applyFill="1" applyBorder="1" applyAlignment="1">
      <alignment vertical="center"/>
    </xf>
    <xf numFmtId="175" fontId="0" fillId="6" borderId="0" xfId="2" applyNumberFormat="1" applyFont="1" applyFill="1" applyBorder="1" applyAlignment="1">
      <alignment vertical="center"/>
    </xf>
    <xf numFmtId="0" fontId="59" fillId="6" borderId="11" xfId="0" applyFont="1" applyFill="1" applyBorder="1" applyAlignment="1">
      <alignment vertical="center"/>
    </xf>
    <xf numFmtId="177" fontId="0" fillId="5" borderId="0" xfId="2" applyNumberFormat="1" applyFont="1" applyFill="1" applyBorder="1" applyAlignment="1">
      <alignment vertical="center"/>
    </xf>
    <xf numFmtId="175" fontId="0" fillId="6" borderId="0" xfId="0" applyNumberFormat="1" applyFont="1" applyFill="1" applyBorder="1" applyAlignment="1">
      <alignment vertical="center"/>
    </xf>
    <xf numFmtId="0" fontId="0" fillId="5" borderId="1" xfId="0" applyFill="1" applyBorder="1"/>
    <xf numFmtId="0" fontId="71" fillId="0" borderId="0" xfId="6"/>
    <xf numFmtId="0" fontId="71" fillId="0" borderId="0" xfId="6" applyFont="1"/>
    <xf numFmtId="10" fontId="0" fillId="0" borderId="0" xfId="1" applyNumberFormat="1" applyFont="1"/>
    <xf numFmtId="175" fontId="0" fillId="0" borderId="0" xfId="2" applyFont="1" applyAlignment="1">
      <alignment horizontal="right"/>
    </xf>
    <xf numFmtId="0" fontId="59" fillId="5" borderId="12" xfId="0" applyNumberFormat="1" applyFont="1" applyFill="1" applyBorder="1" applyAlignment="1">
      <alignment horizontal="center" vertical="center"/>
    </xf>
    <xf numFmtId="175" fontId="0" fillId="7" borderId="0" xfId="0" applyNumberFormat="1" applyFont="1" applyFill="1" applyBorder="1" applyAlignment="1">
      <alignment vertical="center"/>
    </xf>
    <xf numFmtId="175" fontId="51" fillId="6" borderId="0" xfId="0" applyNumberFormat="1" applyFont="1" applyFill="1" applyBorder="1" applyAlignment="1">
      <alignment vertical="center"/>
    </xf>
    <xf numFmtId="9" fontId="0" fillId="5" borderId="1" xfId="0" applyNumberFormat="1" applyFill="1" applyBorder="1" applyAlignment="1">
      <alignment vertical="center"/>
    </xf>
    <xf numFmtId="179" fontId="0" fillId="5" borderId="0" xfId="1" applyFont="1" applyFill="1" applyBorder="1"/>
    <xf numFmtId="179" fontId="0" fillId="5" borderId="1" xfId="1" applyFont="1" applyFill="1" applyBorder="1" applyAlignment="1">
      <alignment horizontal="right" vertical="center"/>
    </xf>
    <xf numFmtId="0" fontId="59" fillId="5" borderId="36" xfId="0" applyNumberFormat="1" applyFont="1" applyFill="1" applyBorder="1" applyAlignment="1">
      <alignment horizontal="right" vertical="center"/>
    </xf>
    <xf numFmtId="0" fontId="0" fillId="0" borderId="1" xfId="0" applyBorder="1"/>
    <xf numFmtId="0" fontId="0" fillId="0" borderId="0" xfId="0" applyFont="1" applyAlignment="1">
      <alignment horizontal="right"/>
    </xf>
    <xf numFmtId="0" fontId="0" fillId="0" borderId="0" xfId="0" applyFill="1"/>
    <xf numFmtId="0" fontId="0" fillId="0" borderId="0" xfId="0" applyFont="1" applyBorder="1"/>
    <xf numFmtId="0" fontId="0" fillId="0" borderId="0" xfId="0" applyBorder="1" applyAlignment="1">
      <alignment horizontal="left" vertical="center" wrapText="1"/>
    </xf>
    <xf numFmtId="175" fontId="0" fillId="0" borderId="0" xfId="2" applyFont="1" applyBorder="1" applyAlignment="1">
      <alignment vertical="center"/>
    </xf>
    <xf numFmtId="0" fontId="0" fillId="5" borderId="0" xfId="0" applyNumberFormat="1" applyFill="1" applyBorder="1" applyAlignment="1">
      <alignment horizontal="left" vertical="center"/>
    </xf>
    <xf numFmtId="0" fontId="0" fillId="0" borderId="0" xfId="0" applyFont="1" applyAlignment="1">
      <alignment horizontal="left"/>
    </xf>
    <xf numFmtId="0" fontId="62" fillId="5" borderId="0" xfId="0" applyFont="1" applyFill="1" applyBorder="1" applyAlignment="1">
      <alignment horizontal="left"/>
    </xf>
    <xf numFmtId="177" fontId="68" fillId="5" borderId="0" xfId="2" applyNumberFormat="1" applyFont="1" applyFill="1" applyBorder="1" applyAlignment="1">
      <alignment vertical="center"/>
    </xf>
    <xf numFmtId="176" fontId="0" fillId="0" borderId="0" xfId="2" applyNumberFormat="1" applyFont="1"/>
    <xf numFmtId="0" fontId="0" fillId="0" borderId="0" xfId="0" applyFont="1" applyBorder="1" applyAlignment="1">
      <alignment horizontal="left" vertical="center" wrapText="1"/>
    </xf>
    <xf numFmtId="175" fontId="0" fillId="5" borderId="0" xfId="2" applyNumberFormat="1" applyFont="1" applyFill="1" applyBorder="1" applyAlignment="1">
      <alignment horizontal="right" vertical="center"/>
    </xf>
    <xf numFmtId="176" fontId="0" fillId="5" borderId="1" xfId="2" applyNumberFormat="1" applyFont="1" applyFill="1" applyBorder="1" applyAlignment="1">
      <alignment vertical="center"/>
    </xf>
    <xf numFmtId="176" fontId="0" fillId="5" borderId="20" xfId="2" applyNumberFormat="1" applyFont="1" applyFill="1" applyBorder="1" applyAlignment="1">
      <alignment vertical="center"/>
    </xf>
    <xf numFmtId="0" fontId="0" fillId="5" borderId="37" xfId="0" quotePrefix="1" applyFont="1" applyFill="1" applyBorder="1" applyAlignment="1">
      <alignment horizontal="right"/>
    </xf>
    <xf numFmtId="0" fontId="0" fillId="5" borderId="38" xfId="0" applyFill="1" applyBorder="1"/>
    <xf numFmtId="0" fontId="0" fillId="5" borderId="37" xfId="0" applyFill="1" applyBorder="1"/>
    <xf numFmtId="0" fontId="59" fillId="5" borderId="39" xfId="0" applyFont="1" applyFill="1" applyBorder="1" applyAlignment="1">
      <alignment vertical="center"/>
    </xf>
    <xf numFmtId="0" fontId="59" fillId="5" borderId="40" xfId="0" applyNumberFormat="1" applyFont="1" applyFill="1" applyBorder="1" applyAlignment="1">
      <alignment horizontal="center" vertical="center"/>
    </xf>
    <xf numFmtId="9" fontId="0" fillId="5" borderId="37" xfId="0" applyNumberFormat="1" applyFill="1" applyBorder="1" applyAlignment="1">
      <alignment vertical="center"/>
    </xf>
    <xf numFmtId="0" fontId="59" fillId="5" borderId="0" xfId="0" applyNumberFormat="1" applyFont="1" applyFill="1" applyBorder="1" applyAlignment="1">
      <alignment horizontal="center" vertical="center"/>
    </xf>
    <xf numFmtId="180" fontId="0" fillId="5" borderId="0" xfId="1" applyNumberFormat="1" applyFont="1" applyFill="1" applyBorder="1" applyAlignment="1">
      <alignment vertical="center"/>
    </xf>
    <xf numFmtId="180" fontId="0" fillId="5" borderId="13" xfId="1" applyNumberFormat="1" applyFont="1" applyFill="1" applyBorder="1" applyAlignment="1">
      <alignment vertical="center"/>
    </xf>
    <xf numFmtId="175" fontId="62" fillId="5" borderId="0" xfId="2" applyFont="1" applyFill="1" applyBorder="1" applyAlignment="1">
      <alignment vertical="center"/>
    </xf>
    <xf numFmtId="175" fontId="62" fillId="5" borderId="0" xfId="0" applyNumberFormat="1" applyFont="1" applyFill="1" applyBorder="1"/>
    <xf numFmtId="177" fontId="0" fillId="5" borderId="0" xfId="2" applyNumberFormat="1" applyFont="1" applyFill="1" applyBorder="1" applyAlignment="1">
      <alignment horizontal="right" vertical="center"/>
    </xf>
    <xf numFmtId="177" fontId="0" fillId="5" borderId="13" xfId="2" applyNumberFormat="1" applyFont="1" applyFill="1" applyBorder="1" applyAlignment="1">
      <alignment horizontal="right" vertical="center"/>
    </xf>
    <xf numFmtId="177" fontId="0" fillId="5" borderId="16" xfId="2" applyNumberFormat="1" applyFont="1" applyFill="1" applyBorder="1" applyAlignment="1">
      <alignment horizontal="right" vertical="center"/>
    </xf>
    <xf numFmtId="0" fontId="0" fillId="5" borderId="37" xfId="0" applyFill="1" applyBorder="1" applyAlignment="1">
      <alignment vertical="center"/>
    </xf>
    <xf numFmtId="177" fontId="0" fillId="5" borderId="38" xfId="2" applyNumberFormat="1" applyFont="1" applyFill="1" applyBorder="1" applyAlignment="1">
      <alignment vertical="center"/>
    </xf>
    <xf numFmtId="10" fontId="62" fillId="0" borderId="0" xfId="1" applyNumberFormat="1" applyFont="1"/>
    <xf numFmtId="175" fontId="62" fillId="0" borderId="43" xfId="2" applyFont="1" applyBorder="1"/>
    <xf numFmtId="10" fontId="52" fillId="0" borderId="0" xfId="1" applyNumberFormat="1" applyFont="1"/>
    <xf numFmtId="0" fontId="0" fillId="5" borderId="0" xfId="0" applyFill="1" applyBorder="1" applyAlignment="1">
      <alignment horizontal="left"/>
    </xf>
    <xf numFmtId="0" fontId="0" fillId="2" borderId="0" xfId="0" applyFill="1" applyBorder="1" applyAlignment="1">
      <alignment vertical="center"/>
    </xf>
    <xf numFmtId="0" fontId="0" fillId="2" borderId="0" xfId="0" applyFill="1" applyBorder="1"/>
    <xf numFmtId="0" fontId="0" fillId="0" borderId="0" xfId="0" applyFont="1" applyFill="1"/>
    <xf numFmtId="0" fontId="0" fillId="12" borderId="0" xfId="0" applyFill="1" applyBorder="1"/>
    <xf numFmtId="0" fontId="0" fillId="12" borderId="33" xfId="0" applyFill="1" applyBorder="1"/>
    <xf numFmtId="176" fontId="54" fillId="0" borderId="0" xfId="2" applyNumberFormat="1" applyFont="1" applyAlignment="1">
      <alignment vertical="center"/>
    </xf>
    <xf numFmtId="0" fontId="0" fillId="12" borderId="0" xfId="0" applyFill="1" applyBorder="1" applyAlignment="1">
      <alignment vertical="center"/>
    </xf>
    <xf numFmtId="0" fontId="65" fillId="2" borderId="0" xfId="0" applyFont="1" applyFill="1" applyBorder="1" applyAlignment="1">
      <alignment vertical="center"/>
    </xf>
    <xf numFmtId="0" fontId="65" fillId="2" borderId="0" xfId="0" applyFont="1" applyFill="1" applyBorder="1"/>
    <xf numFmtId="0" fontId="0" fillId="2" borderId="0" xfId="0" applyFill="1"/>
    <xf numFmtId="0" fontId="0" fillId="2" borderId="0" xfId="0" applyFill="1" applyAlignment="1">
      <alignment vertical="center"/>
    </xf>
    <xf numFmtId="0" fontId="65" fillId="2" borderId="0" xfId="0" applyFont="1" applyFill="1" applyAlignment="1">
      <alignment vertical="center"/>
    </xf>
    <xf numFmtId="176" fontId="54" fillId="2" borderId="0" xfId="2" applyNumberFormat="1" applyFont="1" applyFill="1" applyAlignment="1">
      <alignment vertical="center"/>
    </xf>
    <xf numFmtId="0" fontId="54" fillId="2" borderId="0" xfId="0" applyFont="1" applyFill="1" applyAlignment="1">
      <alignment vertical="center"/>
    </xf>
    <xf numFmtId="0" fontId="54" fillId="2" borderId="0" xfId="0" applyFont="1" applyFill="1" applyAlignment="1">
      <alignment horizontal="right" vertical="center"/>
    </xf>
    <xf numFmtId="0" fontId="85" fillId="2" borderId="0" xfId="0" applyFont="1" applyFill="1" applyAlignment="1">
      <alignment vertical="center"/>
    </xf>
    <xf numFmtId="0" fontId="92" fillId="2" borderId="0" xfId="0" applyFont="1" applyFill="1" applyAlignment="1">
      <alignment horizontal="left" vertical="center"/>
    </xf>
    <xf numFmtId="0" fontId="95" fillId="15" borderId="0" xfId="0" applyFont="1" applyFill="1" applyAlignment="1">
      <alignment vertical="center"/>
    </xf>
    <xf numFmtId="0" fontId="96" fillId="15" borderId="0" xfId="0" applyFont="1" applyFill="1" applyAlignment="1">
      <alignment vertical="center"/>
    </xf>
    <xf numFmtId="0" fontId="95" fillId="15" borderId="0" xfId="0" applyFont="1" applyFill="1" applyAlignment="1">
      <alignment horizontal="centerContinuous" vertical="center"/>
    </xf>
    <xf numFmtId="0" fontId="96" fillId="15" borderId="0" xfId="0" applyFont="1" applyFill="1" applyAlignment="1">
      <alignment horizontal="centerContinuous" vertical="center"/>
    </xf>
    <xf numFmtId="0" fontId="0" fillId="0" borderId="0" xfId="0" applyFill="1" applyAlignment="1">
      <alignment vertical="center"/>
    </xf>
    <xf numFmtId="176" fontId="92" fillId="2" borderId="0" xfId="2" applyNumberFormat="1" applyFont="1" applyFill="1" applyAlignment="1">
      <alignment vertical="center"/>
    </xf>
    <xf numFmtId="0" fontId="0" fillId="0" borderId="0" xfId="0" applyFill="1" applyBorder="1" applyAlignment="1">
      <alignment horizontal="left"/>
    </xf>
    <xf numFmtId="0" fontId="83" fillId="0" borderId="0" xfId="0" applyFont="1" applyAlignment="1">
      <alignment vertical="center"/>
    </xf>
    <xf numFmtId="0" fontId="97" fillId="5" borderId="12" xfId="0" applyFont="1" applyFill="1" applyBorder="1" applyAlignment="1">
      <alignment vertical="center"/>
    </xf>
    <xf numFmtId="179" fontId="0" fillId="0" borderId="0" xfId="1" applyFont="1" applyFill="1" applyBorder="1"/>
    <xf numFmtId="0" fontId="54" fillId="2" borderId="0" xfId="0" applyFont="1" applyFill="1" applyBorder="1" applyAlignment="1">
      <alignment horizontal="right" vertical="center"/>
    </xf>
    <xf numFmtId="0" fontId="54" fillId="2" borderId="0" xfId="0" applyFont="1" applyFill="1" applyBorder="1" applyAlignment="1">
      <alignment vertical="center"/>
    </xf>
    <xf numFmtId="179" fontId="54" fillId="2" borderId="0" xfId="1" applyFont="1" applyFill="1" applyBorder="1" applyAlignment="1">
      <alignment vertical="center"/>
    </xf>
    <xf numFmtId="0" fontId="85" fillId="2" borderId="0" xfId="0" applyFont="1" applyFill="1" applyAlignment="1"/>
    <xf numFmtId="0" fontId="67" fillId="0" borderId="0" xfId="0" applyFont="1" applyFill="1" applyBorder="1" applyAlignment="1">
      <alignment horizontal="left" vertical="center"/>
    </xf>
    <xf numFmtId="167" fontId="0" fillId="0" borderId="0" xfId="0" applyNumberFormat="1" applyBorder="1"/>
    <xf numFmtId="0" fontId="62" fillId="0" borderId="0" xfId="0" applyFont="1" applyBorder="1"/>
    <xf numFmtId="0" fontId="89" fillId="16" borderId="26" xfId="0" applyFont="1" applyFill="1" applyBorder="1" applyAlignment="1">
      <alignment vertical="center"/>
    </xf>
    <xf numFmtId="0" fontId="54" fillId="16" borderId="26" xfId="0" applyFont="1" applyFill="1" applyBorder="1" applyAlignment="1">
      <alignment vertical="center"/>
    </xf>
    <xf numFmtId="0" fontId="0" fillId="17" borderId="0" xfId="0" applyFill="1"/>
    <xf numFmtId="176" fontId="0" fillId="0" borderId="0" xfId="2" applyNumberFormat="1" applyFont="1" applyBorder="1" applyAlignment="1">
      <alignment vertical="center"/>
    </xf>
    <xf numFmtId="0" fontId="67" fillId="0" borderId="1" xfId="0" applyFont="1" applyFill="1" applyBorder="1" applyAlignment="1">
      <alignment horizontal="left" vertical="center"/>
    </xf>
    <xf numFmtId="176" fontId="0" fillId="0" borderId="1" xfId="2" applyNumberFormat="1" applyFont="1" applyBorder="1" applyAlignment="1">
      <alignment vertical="center"/>
    </xf>
    <xf numFmtId="11" fontId="0" fillId="0" borderId="0" xfId="2" applyNumberFormat="1" applyFont="1" applyBorder="1" applyAlignment="1">
      <alignment vertical="center"/>
    </xf>
    <xf numFmtId="176" fontId="0" fillId="0" borderId="0" xfId="2" applyNumberFormat="1" applyFont="1" applyBorder="1" applyAlignment="1">
      <alignment horizontal="left" vertical="center"/>
    </xf>
    <xf numFmtId="179" fontId="0" fillId="0" borderId="0" xfId="1" applyFont="1" applyFill="1" applyBorder="1" applyAlignment="1">
      <alignment vertical="center"/>
    </xf>
    <xf numFmtId="176" fontId="0" fillId="0" borderId="1" xfId="2" applyNumberFormat="1" applyFont="1" applyBorder="1" applyAlignment="1">
      <alignment horizontal="left" vertical="center"/>
    </xf>
    <xf numFmtId="0" fontId="0" fillId="0" borderId="1" xfId="0" applyBorder="1" applyAlignment="1">
      <alignment horizontal="left" vertical="center"/>
    </xf>
    <xf numFmtId="180" fontId="0" fillId="5" borderId="1" xfId="1" applyNumberFormat="1" applyFont="1" applyFill="1" applyBorder="1" applyAlignment="1">
      <alignment vertical="center"/>
    </xf>
    <xf numFmtId="0" fontId="0" fillId="0" borderId="7" xfId="0" applyBorder="1"/>
    <xf numFmtId="0" fontId="0" fillId="0" borderId="1" xfId="0" applyFont="1" applyBorder="1"/>
    <xf numFmtId="0" fontId="0" fillId="0" borderId="1" xfId="0" applyBorder="1" applyAlignment="1">
      <alignment horizontal="right"/>
    </xf>
    <xf numFmtId="175" fontId="0" fillId="0" borderId="1" xfId="2" applyFont="1" applyBorder="1"/>
    <xf numFmtId="0" fontId="0" fillId="5" borderId="0" xfId="0" applyFill="1" applyBorder="1" applyAlignment="1">
      <alignment horizontal="centerContinuous" vertical="center"/>
    </xf>
    <xf numFmtId="0" fontId="100" fillId="0" borderId="0" xfId="0" applyFont="1"/>
    <xf numFmtId="0" fontId="101" fillId="0" borderId="0" xfId="0" applyFont="1" applyBorder="1"/>
    <xf numFmtId="0" fontId="101" fillId="0" borderId="0" xfId="0" applyFont="1" applyBorder="1" applyAlignment="1">
      <alignment vertical="center"/>
    </xf>
    <xf numFmtId="0" fontId="101" fillId="0" borderId="0" xfId="0" applyFont="1" applyBorder="1" applyAlignment="1">
      <alignment horizontal="left" vertical="center" wrapText="1"/>
    </xf>
    <xf numFmtId="175" fontId="0" fillId="0" borderId="0" xfId="2" applyFont="1" applyBorder="1"/>
    <xf numFmtId="176" fontId="54" fillId="2" borderId="0" xfId="2" applyNumberFormat="1" applyFont="1" applyFill="1" applyBorder="1" applyAlignment="1">
      <alignment vertical="center"/>
    </xf>
    <xf numFmtId="0" fontId="0" fillId="5" borderId="7" xfId="0" applyFill="1" applyBorder="1" applyAlignment="1">
      <alignment vertical="center"/>
    </xf>
    <xf numFmtId="0" fontId="0" fillId="0" borderId="46" xfId="0" applyBorder="1"/>
    <xf numFmtId="0" fontId="0" fillId="0" borderId="47" xfId="0" applyBorder="1"/>
    <xf numFmtId="0" fontId="0" fillId="0" borderId="48" xfId="0" applyBorder="1"/>
    <xf numFmtId="0" fontId="57" fillId="2" borderId="0" xfId="0" applyFont="1" applyFill="1" applyAlignment="1"/>
    <xf numFmtId="0" fontId="57" fillId="2" borderId="0" xfId="0" applyFont="1" applyFill="1" applyAlignment="1">
      <alignment vertical="center"/>
    </xf>
    <xf numFmtId="0" fontId="86" fillId="10" borderId="0" xfId="0" applyFont="1" applyFill="1" applyAlignment="1">
      <alignment vertical="center"/>
    </xf>
    <xf numFmtId="0" fontId="103" fillId="0" borderId="0" xfId="0" applyFont="1" applyAlignment="1">
      <alignment vertical="center"/>
    </xf>
    <xf numFmtId="0" fontId="104" fillId="0" borderId="0" xfId="0" applyFont="1" applyAlignment="1">
      <alignment vertical="center"/>
    </xf>
    <xf numFmtId="0" fontId="0" fillId="0" borderId="0" xfId="0"/>
    <xf numFmtId="0" fontId="0" fillId="0" borderId="0" xfId="0"/>
    <xf numFmtId="2" fontId="0" fillId="0" borderId="0" xfId="0" applyNumberFormat="1"/>
    <xf numFmtId="0" fontId="0" fillId="0" borderId="0" xfId="0"/>
    <xf numFmtId="0" fontId="0" fillId="0" borderId="0" xfId="0"/>
    <xf numFmtId="0" fontId="0" fillId="18" borderId="0" xfId="0" applyFill="1"/>
    <xf numFmtId="0" fontId="0" fillId="7" borderId="10" xfId="0" applyFont="1" applyFill="1" applyBorder="1" applyAlignment="1">
      <alignment vertical="center"/>
    </xf>
    <xf numFmtId="0" fontId="92" fillId="2" borderId="0" xfId="0" applyFont="1" applyFill="1" applyBorder="1" applyAlignment="1">
      <alignment vertical="center"/>
    </xf>
    <xf numFmtId="0" fontId="0" fillId="18" borderId="0" xfId="0" applyFill="1" applyAlignment="1">
      <alignment vertical="center"/>
    </xf>
    <xf numFmtId="0" fontId="55" fillId="20" borderId="26" xfId="0" applyFont="1" applyFill="1" applyBorder="1" applyAlignment="1">
      <alignment vertical="center"/>
    </xf>
    <xf numFmtId="0" fontId="0" fillId="21" borderId="29" xfId="0" applyFill="1" applyBorder="1"/>
    <xf numFmtId="0" fontId="0" fillId="21" borderId="24" xfId="0" applyFill="1" applyBorder="1"/>
    <xf numFmtId="0" fontId="0" fillId="21" borderId="30" xfId="0" applyFill="1" applyBorder="1"/>
    <xf numFmtId="0" fontId="62" fillId="21" borderId="0" xfId="0" applyFont="1" applyFill="1" applyBorder="1"/>
    <xf numFmtId="0" fontId="0" fillId="21" borderId="0" xfId="0" applyFill="1" applyBorder="1" applyAlignment="1">
      <alignment horizontal="right"/>
    </xf>
    <xf numFmtId="0" fontId="0" fillId="21" borderId="32" xfId="0" applyFill="1" applyBorder="1"/>
    <xf numFmtId="175" fontId="0" fillId="21" borderId="0" xfId="2" applyNumberFormat="1" applyFont="1" applyFill="1" applyBorder="1" applyAlignment="1">
      <alignment vertical="center"/>
    </xf>
    <xf numFmtId="0" fontId="54" fillId="21" borderId="31" xfId="0" applyFont="1" applyFill="1" applyBorder="1"/>
    <xf numFmtId="0" fontId="105" fillId="0" borderId="0" xfId="0" applyFont="1" applyBorder="1"/>
    <xf numFmtId="0" fontId="105" fillId="0" borderId="0" xfId="0" applyFont="1" applyBorder="1" applyAlignment="1">
      <alignment vertical="center"/>
    </xf>
    <xf numFmtId="0" fontId="105" fillId="0" borderId="0" xfId="0" applyFont="1" applyBorder="1" applyAlignment="1">
      <alignment horizontal="left" vertical="center" wrapText="1"/>
    </xf>
    <xf numFmtId="176" fontId="0" fillId="0" borderId="0" xfId="0" applyNumberFormat="1"/>
    <xf numFmtId="0" fontId="0" fillId="0" borderId="0" xfId="0"/>
    <xf numFmtId="0" fontId="0" fillId="5" borderId="4" xfId="0" applyFill="1" applyBorder="1"/>
    <xf numFmtId="0" fontId="0" fillId="5" borderId="0" xfId="0" applyFill="1" applyBorder="1" applyAlignment="1"/>
    <xf numFmtId="0" fontId="62" fillId="5" borderId="0" xfId="0" applyFont="1" applyFill="1" applyBorder="1" applyAlignment="1">
      <alignment horizontal="right"/>
    </xf>
    <xf numFmtId="0" fontId="0" fillId="0" borderId="0" xfId="0"/>
    <xf numFmtId="0" fontId="55" fillId="14" borderId="0" xfId="0" applyFont="1" applyFill="1" applyAlignment="1">
      <alignment vertical="center" wrapText="1"/>
    </xf>
    <xf numFmtId="176" fontId="0" fillId="5" borderId="34" xfId="0" applyNumberFormat="1" applyFill="1" applyBorder="1"/>
    <xf numFmtId="175" fontId="62" fillId="0" borderId="0" xfId="2" applyFont="1" applyBorder="1"/>
    <xf numFmtId="0" fontId="51" fillId="5" borderId="0" xfId="0" applyNumberFormat="1" applyFont="1" applyFill="1" applyBorder="1" applyAlignment="1">
      <alignment horizontal="right" vertical="center"/>
    </xf>
    <xf numFmtId="176" fontId="0" fillId="5" borderId="1" xfId="2" applyNumberFormat="1" applyFont="1" applyFill="1" applyBorder="1" applyAlignment="1">
      <alignment horizontal="right" vertical="center"/>
    </xf>
    <xf numFmtId="9" fontId="51" fillId="5" borderId="0" xfId="0" applyNumberFormat="1" applyFont="1" applyFill="1" applyBorder="1" applyAlignment="1">
      <alignment horizontal="right" vertical="center"/>
    </xf>
    <xf numFmtId="0" fontId="55" fillId="14" borderId="0" xfId="0" applyFont="1" applyFill="1" applyAlignment="1">
      <alignment horizontal="center" vertical="center" wrapText="1"/>
    </xf>
    <xf numFmtId="0" fontId="108" fillId="0" borderId="0" xfId="0" applyFont="1" applyBorder="1"/>
    <xf numFmtId="0" fontId="108" fillId="0" borderId="0" xfId="0" applyFont="1" applyBorder="1" applyAlignment="1">
      <alignment vertical="center"/>
    </xf>
    <xf numFmtId="0" fontId="108" fillId="0" borderId="0" xfId="0" applyFont="1" applyBorder="1" applyAlignment="1">
      <alignment horizontal="left" vertical="center" wrapText="1"/>
    </xf>
    <xf numFmtId="0" fontId="0" fillId="0" borderId="0" xfId="0"/>
    <xf numFmtId="0" fontId="0" fillId="0" borderId="47" xfId="0" applyBorder="1" applyAlignment="1">
      <alignment vertical="center"/>
    </xf>
    <xf numFmtId="0" fontId="0" fillId="0" borderId="0" xfId="0" applyFont="1" applyAlignment="1">
      <alignment horizontal="left" vertical="center"/>
    </xf>
    <xf numFmtId="0" fontId="0" fillId="0" borderId="0" xfId="0"/>
    <xf numFmtId="0" fontId="0" fillId="0" borderId="0" xfId="0"/>
    <xf numFmtId="0" fontId="96" fillId="15" borderId="0" xfId="0" applyFont="1" applyFill="1" applyAlignment="1">
      <alignment horizontal="left" vertical="top"/>
    </xf>
    <xf numFmtId="0" fontId="85" fillId="2" borderId="0" xfId="0" applyFont="1" applyFill="1" applyBorder="1" applyAlignment="1"/>
    <xf numFmtId="0" fontId="57" fillId="2" borderId="0" xfId="0" applyFont="1" applyFill="1" applyBorder="1" applyAlignment="1"/>
    <xf numFmtId="0" fontId="85" fillId="2" borderId="0" xfId="0" applyFont="1" applyFill="1" applyBorder="1" applyAlignment="1">
      <alignment vertical="center"/>
    </xf>
    <xf numFmtId="0" fontId="92" fillId="2" borderId="0" xfId="0" applyFont="1" applyFill="1" applyBorder="1" applyAlignment="1">
      <alignment horizontal="left" vertical="center"/>
    </xf>
    <xf numFmtId="0" fontId="89" fillId="2" borderId="0" xfId="0" applyFont="1" applyFill="1" applyBorder="1" applyAlignment="1">
      <alignment horizontal="right" vertical="center"/>
    </xf>
    <xf numFmtId="0" fontId="0" fillId="0" borderId="0" xfId="0" applyFont="1" applyFill="1" applyBorder="1"/>
    <xf numFmtId="0" fontId="89" fillId="2" borderId="0" xfId="0" applyFont="1" applyFill="1" applyBorder="1" applyAlignment="1">
      <alignment vertical="center"/>
    </xf>
    <xf numFmtId="179" fontId="89" fillId="2" borderId="0" xfId="1" applyFont="1" applyFill="1" applyBorder="1" applyAlignment="1">
      <alignment vertical="center"/>
    </xf>
    <xf numFmtId="176" fontId="89" fillId="2" borderId="0" xfId="2" applyNumberFormat="1" applyFont="1" applyFill="1" applyBorder="1" applyAlignment="1">
      <alignment vertical="center"/>
    </xf>
    <xf numFmtId="0" fontId="0" fillId="0" borderId="0" xfId="0"/>
    <xf numFmtId="0" fontId="102" fillId="23" borderId="52" xfId="0" applyFont="1" applyFill="1" applyBorder="1" applyAlignment="1">
      <alignment vertical="center"/>
    </xf>
    <xf numFmtId="0" fontId="102" fillId="23" borderId="53" xfId="0" applyFont="1" applyFill="1" applyBorder="1" applyAlignment="1">
      <alignment horizontal="left" vertical="center" wrapText="1"/>
    </xf>
    <xf numFmtId="0" fontId="0" fillId="24" borderId="34" xfId="0" applyFill="1" applyBorder="1"/>
    <xf numFmtId="0" fontId="0" fillId="24" borderId="34" xfId="0" applyFill="1" applyBorder="1" applyAlignment="1">
      <alignment vertical="center"/>
    </xf>
    <xf numFmtId="0" fontId="0" fillId="24" borderId="0" xfId="0" applyFont="1" applyFill="1" applyBorder="1" applyAlignment="1">
      <alignment horizontal="left" vertical="center" wrapText="1"/>
    </xf>
    <xf numFmtId="0" fontId="62" fillId="0" borderId="45" xfId="0" applyFont="1" applyBorder="1" applyAlignment="1">
      <alignment horizontal="left" vertical="center"/>
    </xf>
    <xf numFmtId="0" fontId="62" fillId="0" borderId="7" xfId="0" applyFont="1" applyBorder="1" applyAlignment="1">
      <alignment horizontal="left" vertical="center"/>
    </xf>
    <xf numFmtId="0" fontId="62" fillId="0" borderId="7" xfId="0" applyFont="1" applyBorder="1" applyAlignment="1">
      <alignment horizontal="center" vertical="center"/>
    </xf>
    <xf numFmtId="0" fontId="62" fillId="0" borderId="46" xfId="0" applyFont="1" applyBorder="1" applyAlignment="1">
      <alignment horizontal="center" vertical="center"/>
    </xf>
    <xf numFmtId="11" fontId="0" fillId="0" borderId="48" xfId="2" applyNumberFormat="1" applyFont="1" applyBorder="1" applyAlignment="1">
      <alignment vertical="center"/>
    </xf>
    <xf numFmtId="0" fontId="0" fillId="0" borderId="49" xfId="0" applyBorder="1" applyAlignment="1">
      <alignment vertical="center"/>
    </xf>
    <xf numFmtId="11" fontId="0" fillId="0" borderId="50" xfId="2" applyNumberFormat="1" applyFont="1" applyBorder="1" applyAlignment="1">
      <alignment vertical="center"/>
    </xf>
    <xf numFmtId="0" fontId="0" fillId="0" borderId="0" xfId="0"/>
    <xf numFmtId="0" fontId="0" fillId="0" borderId="0" xfId="0"/>
    <xf numFmtId="0" fontId="59" fillId="0" borderId="0" xfId="0" applyNumberFormat="1" applyFont="1" applyFill="1" applyBorder="1" applyAlignment="1">
      <alignment horizontal="right" vertical="center"/>
    </xf>
    <xf numFmtId="171" fontId="51" fillId="5" borderId="0" xfId="0" applyNumberFormat="1" applyFont="1" applyFill="1" applyBorder="1" applyAlignment="1">
      <alignment horizontal="right" vertical="center"/>
    </xf>
    <xf numFmtId="0" fontId="77" fillId="0" borderId="0" xfId="4" applyNumberFormat="1"/>
    <xf numFmtId="0" fontId="0" fillId="5" borderId="13" xfId="0" applyNumberFormat="1" applyFill="1" applyBorder="1" applyAlignment="1">
      <alignment vertical="center"/>
    </xf>
    <xf numFmtId="0" fontId="59" fillId="5" borderId="0" xfId="0" applyFont="1" applyFill="1" applyBorder="1" applyAlignment="1">
      <alignment vertical="center"/>
    </xf>
    <xf numFmtId="0" fontId="0" fillId="5" borderId="0" xfId="0" applyNumberFormat="1" applyFill="1" applyBorder="1" applyAlignment="1">
      <alignment vertical="center"/>
    </xf>
    <xf numFmtId="0" fontId="0" fillId="5" borderId="0" xfId="0" applyFill="1" applyBorder="1" applyAlignment="1">
      <alignment vertical="center"/>
    </xf>
    <xf numFmtId="0" fontId="0" fillId="5" borderId="0" xfId="0" applyFill="1" applyBorder="1"/>
    <xf numFmtId="0" fontId="62" fillId="5" borderId="0" xfId="0" applyFont="1" applyFill="1" applyBorder="1"/>
    <xf numFmtId="0" fontId="62" fillId="5" borderId="0" xfId="0" applyFont="1" applyFill="1" applyBorder="1" applyAlignment="1">
      <alignment vertical="center"/>
    </xf>
    <xf numFmtId="0" fontId="0" fillId="5" borderId="33" xfId="0" applyFill="1" applyBorder="1"/>
    <xf numFmtId="0" fontId="0" fillId="5" borderId="34" xfId="0" applyFill="1" applyBorder="1"/>
    <xf numFmtId="0" fontId="90" fillId="0" borderId="0" xfId="0" applyFont="1"/>
    <xf numFmtId="0" fontId="55" fillId="8" borderId="27" xfId="0" applyFont="1" applyFill="1" applyBorder="1" applyAlignment="1">
      <alignment horizontal="left" vertical="center" indent="1"/>
    </xf>
    <xf numFmtId="0" fontId="0" fillId="8" borderId="26" xfId="0" applyFill="1" applyBorder="1"/>
    <xf numFmtId="0" fontId="0" fillId="8" borderId="28" xfId="0" applyFill="1" applyBorder="1"/>
    <xf numFmtId="0" fontId="0" fillId="0" borderId="0" xfId="0" applyAlignment="1">
      <alignment horizontal="right"/>
    </xf>
    <xf numFmtId="0" fontId="62" fillId="0" borderId="0" xfId="0" applyFont="1"/>
    <xf numFmtId="175" fontId="0" fillId="0" borderId="0" xfId="2" applyFont="1" applyAlignment="1">
      <alignment vertical="center"/>
    </xf>
    <xf numFmtId="0" fontId="59" fillId="0" borderId="0" xfId="0" applyFont="1" applyAlignment="1">
      <alignment horizontal="right"/>
    </xf>
    <xf numFmtId="0" fontId="55" fillId="20" borderId="27" xfId="0" applyFont="1" applyFill="1" applyBorder="1" applyAlignment="1">
      <alignment horizontal="left" vertical="center" indent="1"/>
    </xf>
    <xf numFmtId="0" fontId="0" fillId="20" borderId="26" xfId="0" applyFill="1" applyBorder="1"/>
    <xf numFmtId="0" fontId="0" fillId="20" borderId="28" xfId="0" applyFill="1" applyBorder="1"/>
    <xf numFmtId="0" fontId="0" fillId="21" borderId="33" xfId="0" applyFill="1" applyBorder="1"/>
    <xf numFmtId="0" fontId="0" fillId="21" borderId="0" xfId="0" applyFill="1" applyBorder="1"/>
    <xf numFmtId="0" fontId="0" fillId="21" borderId="34" xfId="0" applyFill="1" applyBorder="1"/>
    <xf numFmtId="0" fontId="54" fillId="21" borderId="33" xfId="0" applyFont="1" applyFill="1" applyBorder="1"/>
    <xf numFmtId="0" fontId="59" fillId="21" borderId="11" xfId="0" applyFont="1" applyFill="1" applyBorder="1" applyAlignment="1">
      <alignment vertical="center"/>
    </xf>
    <xf numFmtId="0" fontId="0" fillId="21" borderId="0" xfId="0" applyFill="1" applyBorder="1" applyAlignment="1">
      <alignment vertical="center"/>
    </xf>
    <xf numFmtId="0" fontId="0" fillId="21" borderId="0" xfId="0" applyFont="1" applyFill="1" applyBorder="1" applyAlignment="1">
      <alignment vertical="center"/>
    </xf>
    <xf numFmtId="0" fontId="0" fillId="21" borderId="22" xfId="0" applyFill="1" applyBorder="1"/>
    <xf numFmtId="0" fontId="62" fillId="21" borderId="0" xfId="0" applyFont="1" applyFill="1"/>
    <xf numFmtId="0" fontId="0" fillId="21" borderId="0" xfId="0" applyFill="1"/>
    <xf numFmtId="0" fontId="51" fillId="21" borderId="34" xfId="0" applyFont="1" applyFill="1" applyBorder="1" applyAlignment="1">
      <alignment vertical="center"/>
    </xf>
    <xf numFmtId="0" fontId="57" fillId="21" borderId="33" xfId="0" applyFont="1" applyFill="1" applyBorder="1"/>
    <xf numFmtId="168" fontId="0" fillId="21" borderId="34" xfId="0" applyNumberFormat="1" applyFill="1" applyBorder="1" applyAlignment="1">
      <alignment vertical="center"/>
    </xf>
    <xf numFmtId="0" fontId="57" fillId="21" borderId="31" xfId="0" applyFont="1" applyFill="1" applyBorder="1"/>
    <xf numFmtId="168" fontId="0" fillId="21" borderId="32" xfId="0" applyNumberFormat="1" applyFill="1" applyBorder="1" applyAlignment="1">
      <alignment vertical="center"/>
    </xf>
    <xf numFmtId="175" fontId="0" fillId="21" borderId="0" xfId="2" applyFont="1" applyFill="1" applyBorder="1" applyAlignment="1">
      <alignment vertical="center"/>
    </xf>
    <xf numFmtId="0" fontId="0" fillId="0" borderId="0" xfId="0"/>
    <xf numFmtId="0" fontId="77" fillId="0" borderId="0" xfId="4" applyNumberFormat="1" applyFill="1" applyBorder="1"/>
    <xf numFmtId="0" fontId="0" fillId="0" borderId="0" xfId="0" applyFill="1" applyBorder="1" applyAlignment="1">
      <alignment horizontal="right"/>
    </xf>
    <xf numFmtId="0" fontId="0" fillId="0" borderId="0" xfId="0"/>
    <xf numFmtId="0" fontId="0" fillId="0" borderId="0" xfId="0"/>
    <xf numFmtId="0" fontId="62" fillId="0" borderId="45" xfId="0" applyFont="1" applyBorder="1"/>
    <xf numFmtId="0" fontId="102" fillId="23" borderId="34" xfId="0" applyFont="1" applyFill="1" applyBorder="1" applyAlignment="1">
      <alignment vertical="center"/>
    </xf>
    <xf numFmtId="0" fontId="102" fillId="23" borderId="0" xfId="0" applyFont="1" applyFill="1" applyBorder="1" applyAlignment="1">
      <alignment horizontal="left" vertical="center" wrapText="1"/>
    </xf>
    <xf numFmtId="0" fontId="68" fillId="5" borderId="0" xfId="0" applyFont="1" applyFill="1" applyBorder="1"/>
    <xf numFmtId="0" fontId="68" fillId="5" borderId="0" xfId="0" applyFont="1" applyFill="1" applyBorder="1" applyAlignment="1">
      <alignment vertical="center"/>
    </xf>
    <xf numFmtId="0" fontId="62" fillId="5" borderId="0" xfId="0" applyNumberFormat="1" applyFont="1" applyFill="1" applyBorder="1" applyAlignment="1">
      <alignment horizontal="right" vertical="center"/>
    </xf>
    <xf numFmtId="0" fontId="0" fillId="5" borderId="1" xfId="0" applyFont="1" applyFill="1" applyBorder="1"/>
    <xf numFmtId="0" fontId="0" fillId="0" borderId="0" xfId="0" applyFont="1" applyFill="1" applyAlignment="1">
      <alignment horizontal="left"/>
    </xf>
    <xf numFmtId="0" fontId="62" fillId="5" borderId="4" xfId="0" applyFont="1" applyFill="1" applyBorder="1"/>
    <xf numFmtId="176" fontId="0" fillId="5" borderId="38" xfId="2" applyNumberFormat="1" applyFont="1" applyFill="1" applyBorder="1" applyAlignment="1">
      <alignment vertical="center"/>
    </xf>
    <xf numFmtId="176" fontId="0" fillId="5" borderId="42" xfId="2" applyNumberFormat="1" applyFont="1" applyFill="1" applyBorder="1" applyAlignment="1">
      <alignment vertical="center"/>
    </xf>
    <xf numFmtId="0" fontId="0" fillId="5" borderId="0" xfId="0" applyFill="1" applyBorder="1" applyAlignment="1">
      <alignment horizontal="center" vertical="center"/>
    </xf>
    <xf numFmtId="2" fontId="0" fillId="5" borderId="0" xfId="0" applyNumberFormat="1" applyFill="1" applyBorder="1"/>
    <xf numFmtId="0" fontId="62" fillId="5" borderId="4" xfId="0" applyNumberFormat="1" applyFont="1" applyFill="1" applyBorder="1" applyAlignment="1">
      <alignment horizontal="center" vertical="center"/>
    </xf>
    <xf numFmtId="0" fontId="112" fillId="0" borderId="0" xfId="0" applyFont="1" applyBorder="1"/>
    <xf numFmtId="0" fontId="112" fillId="0" borderId="0" xfId="0" applyFont="1" applyBorder="1" applyAlignment="1">
      <alignment vertical="center"/>
    </xf>
    <xf numFmtId="0" fontId="112" fillId="0" borderId="0" xfId="0" applyFont="1" applyBorder="1" applyAlignment="1">
      <alignment horizontal="left" vertical="center" wrapText="1"/>
    </xf>
    <xf numFmtId="0" fontId="78" fillId="5" borderId="0" xfId="0" applyFont="1" applyFill="1" applyBorder="1"/>
    <xf numFmtId="0" fontId="0" fillId="0" borderId="0" xfId="0"/>
    <xf numFmtId="0" fontId="0" fillId="0" borderId="0" xfId="0"/>
    <xf numFmtId="0" fontId="0" fillId="28" borderId="28" xfId="0" applyFont="1" applyFill="1" applyBorder="1" applyAlignment="1">
      <alignment horizontal="left" vertical="center"/>
    </xf>
    <xf numFmtId="0" fontId="0" fillId="28" borderId="32" xfId="0" applyFont="1" applyFill="1" applyBorder="1" applyAlignment="1">
      <alignment horizontal="left" vertical="center"/>
    </xf>
    <xf numFmtId="0" fontId="0" fillId="0" borderId="0" xfId="0"/>
    <xf numFmtId="0" fontId="0" fillId="0" borderId="0" xfId="0" applyAlignment="1">
      <alignment vertical="center" wrapText="1"/>
    </xf>
    <xf numFmtId="0" fontId="62" fillId="14" borderId="0" xfId="0" applyFont="1" applyFill="1" applyAlignment="1">
      <alignment horizontal="center" textRotation="90"/>
    </xf>
    <xf numFmtId="0" fontId="62" fillId="9" borderId="64" xfId="0" applyFont="1" applyFill="1" applyBorder="1" applyAlignment="1">
      <alignment horizontal="center" textRotation="90"/>
    </xf>
    <xf numFmtId="0" fontId="0" fillId="2" borderId="0" xfId="0" applyFont="1" applyFill="1" applyBorder="1" applyAlignment="1">
      <alignment horizontal="center" vertical="center"/>
    </xf>
    <xf numFmtId="0" fontId="0" fillId="16" borderId="0" xfId="0" applyFont="1" applyFill="1" applyBorder="1" applyAlignment="1">
      <alignment horizontal="center" vertical="center"/>
    </xf>
    <xf numFmtId="0" fontId="59" fillId="14" borderId="0" xfId="0" applyFont="1" applyFill="1" applyAlignment="1">
      <alignment horizontal="center" vertical="center" wrapText="1"/>
    </xf>
    <xf numFmtId="0" fontId="103" fillId="0" borderId="0" xfId="0" applyFont="1" applyAlignment="1">
      <alignment horizontal="left" vertical="center"/>
    </xf>
    <xf numFmtId="0" fontId="71" fillId="0" borderId="0" xfId="6" applyAlignment="1">
      <alignment horizontal="left"/>
    </xf>
    <xf numFmtId="0" fontId="55" fillId="14" borderId="0" xfId="0" applyFont="1" applyFill="1" applyAlignment="1">
      <alignment horizontal="left" vertical="center"/>
    </xf>
    <xf numFmtId="0" fontId="55" fillId="14" borderId="0" xfId="0" applyFont="1" applyFill="1" applyAlignment="1">
      <alignment horizontal="left" vertical="center" wrapText="1"/>
    </xf>
    <xf numFmtId="0" fontId="55" fillId="14" borderId="0" xfId="0" applyFont="1" applyFill="1" applyAlignment="1">
      <alignment horizontal="left"/>
    </xf>
    <xf numFmtId="0" fontId="59" fillId="14" borderId="0" xfId="0" applyFont="1" applyFill="1" applyAlignment="1"/>
    <xf numFmtId="0" fontId="0" fillId="0" borderId="0" xfId="0" applyAlignment="1"/>
    <xf numFmtId="0" fontId="59" fillId="14" borderId="0" xfId="0" applyFont="1" applyFill="1" applyAlignment="1">
      <alignment horizontal="center"/>
    </xf>
    <xf numFmtId="0" fontId="59" fillId="14" borderId="47" xfId="0" applyFont="1" applyFill="1" applyBorder="1" applyAlignment="1">
      <alignment horizontal="center"/>
    </xf>
    <xf numFmtId="0" fontId="0" fillId="2" borderId="0" xfId="0" applyFill="1" applyAlignment="1"/>
    <xf numFmtId="0" fontId="71" fillId="0" borderId="0" xfId="6" applyAlignment="1"/>
    <xf numFmtId="0" fontId="54" fillId="0" borderId="0" xfId="0" applyFont="1" applyAlignment="1">
      <alignment horizontal="left" vertical="center" wrapText="1"/>
    </xf>
    <xf numFmtId="0" fontId="0" fillId="0" borderId="0" xfId="0"/>
    <xf numFmtId="0" fontId="114" fillId="5" borderId="12" xfId="0" applyFont="1" applyFill="1" applyBorder="1" applyAlignment="1">
      <alignment vertical="center"/>
    </xf>
    <xf numFmtId="0" fontId="114" fillId="5" borderId="39" xfId="0" applyFont="1" applyFill="1" applyBorder="1" applyAlignment="1">
      <alignment vertical="center"/>
    </xf>
    <xf numFmtId="0" fontId="114" fillId="5" borderId="12" xfId="0" applyNumberFormat="1" applyFont="1" applyFill="1" applyBorder="1" applyAlignment="1">
      <alignment horizontal="right" vertical="center"/>
    </xf>
    <xf numFmtId="0" fontId="68" fillId="5" borderId="0" xfId="0" applyNumberFormat="1" applyFont="1" applyFill="1" applyBorder="1" applyAlignment="1">
      <alignment vertical="center"/>
    </xf>
    <xf numFmtId="178" fontId="0" fillId="5" borderId="0" xfId="2" applyNumberFormat="1" applyFont="1" applyFill="1" applyBorder="1" applyAlignment="1">
      <alignment vertical="center"/>
    </xf>
    <xf numFmtId="168" fontId="0" fillId="0" borderId="0" xfId="0" applyNumberFormat="1" applyFill="1" applyBorder="1" applyAlignment="1">
      <alignment vertical="center"/>
    </xf>
    <xf numFmtId="1" fontId="0" fillId="0" borderId="0" xfId="0" applyNumberFormat="1"/>
    <xf numFmtId="0" fontId="0" fillId="0" borderId="0" xfId="0"/>
    <xf numFmtId="0" fontId="0" fillId="0" borderId="0" xfId="0" applyBorder="1"/>
    <xf numFmtId="0" fontId="0" fillId="0" borderId="0" xfId="0"/>
    <xf numFmtId="0" fontId="0" fillId="0" borderId="49" xfId="0" applyBorder="1" applyAlignment="1">
      <alignment horizontal="left"/>
    </xf>
    <xf numFmtId="0" fontId="0" fillId="0" borderId="1" xfId="0" applyFill="1" applyBorder="1"/>
    <xf numFmtId="0" fontId="0" fillId="0" borderId="50" xfId="0" applyFill="1" applyBorder="1"/>
    <xf numFmtId="0" fontId="62" fillId="7" borderId="0" xfId="0" applyFont="1" applyFill="1" applyBorder="1" applyAlignment="1">
      <alignment horizontal="right"/>
    </xf>
    <xf numFmtId="0" fontId="62" fillId="6" borderId="0" xfId="0" applyFont="1" applyFill="1" applyBorder="1" applyAlignment="1">
      <alignment horizontal="right"/>
    </xf>
    <xf numFmtId="0" fontId="62" fillId="6" borderId="0" xfId="0" applyFont="1" applyFill="1" applyBorder="1" applyAlignment="1">
      <alignment vertical="center"/>
    </xf>
    <xf numFmtId="175" fontId="62" fillId="6" borderId="0" xfId="0" applyNumberFormat="1" applyFont="1" applyFill="1" applyBorder="1" applyAlignment="1">
      <alignment horizontal="right" vertical="center"/>
    </xf>
    <xf numFmtId="0" fontId="0" fillId="6" borderId="0" xfId="0" applyFill="1"/>
    <xf numFmtId="0" fontId="54" fillId="6" borderId="0" xfId="0" applyFont="1" applyFill="1" applyBorder="1"/>
    <xf numFmtId="0" fontId="0" fillId="6" borderId="67" xfId="0" applyFill="1" applyBorder="1"/>
    <xf numFmtId="175" fontId="0" fillId="6" borderId="67" xfId="0" applyNumberFormat="1" applyFill="1" applyBorder="1"/>
    <xf numFmtId="0" fontId="0" fillId="6" borderId="68" xfId="0" applyFill="1" applyBorder="1"/>
    <xf numFmtId="175" fontId="0" fillId="6" borderId="68" xfId="0" applyNumberFormat="1" applyFill="1" applyBorder="1"/>
    <xf numFmtId="0" fontId="0" fillId="6" borderId="69" xfId="0" applyFill="1" applyBorder="1"/>
    <xf numFmtId="175" fontId="0" fillId="6" borderId="69" xfId="0" applyNumberFormat="1" applyFill="1" applyBorder="1"/>
    <xf numFmtId="0" fontId="68" fillId="6" borderId="71" xfId="0" applyFont="1" applyFill="1" applyBorder="1"/>
    <xf numFmtId="0" fontId="0" fillId="6" borderId="72" xfId="0" applyFill="1" applyBorder="1"/>
    <xf numFmtId="175" fontId="0" fillId="6" borderId="72" xfId="0" applyNumberFormat="1" applyFill="1" applyBorder="1"/>
    <xf numFmtId="0" fontId="0" fillId="6" borderId="73" xfId="0" applyFill="1" applyBorder="1"/>
    <xf numFmtId="175" fontId="0" fillId="6" borderId="73" xfId="0" applyNumberFormat="1" applyFill="1" applyBorder="1"/>
    <xf numFmtId="0" fontId="78" fillId="6" borderId="71" xfId="0" applyFont="1" applyFill="1" applyBorder="1"/>
    <xf numFmtId="0" fontId="62" fillId="0" borderId="0" xfId="0" applyFont="1" applyAlignment="1">
      <alignment horizontal="left" vertical="center"/>
    </xf>
    <xf numFmtId="0" fontId="59" fillId="5" borderId="35" xfId="0" applyNumberFormat="1" applyFont="1" applyFill="1" applyBorder="1" applyAlignment="1">
      <alignment horizontal="right" vertical="center"/>
    </xf>
    <xf numFmtId="0" fontId="0" fillId="5" borderId="0" xfId="0" applyNumberFormat="1" applyFill="1" applyBorder="1" applyAlignment="1">
      <alignment horizontal="center" vertical="center"/>
    </xf>
    <xf numFmtId="0" fontId="62" fillId="0" borderId="0" xfId="0" applyFont="1" applyFill="1" applyBorder="1"/>
    <xf numFmtId="0" fontId="0" fillId="0" borderId="0" xfId="0" applyNumberFormat="1" applyFill="1" applyBorder="1" applyAlignment="1">
      <alignment vertical="center"/>
    </xf>
    <xf numFmtId="0" fontId="0" fillId="0" borderId="0" xfId="0" applyNumberFormat="1" applyFill="1" applyBorder="1" applyAlignment="1">
      <alignment horizontal="center" vertical="center"/>
    </xf>
    <xf numFmtId="0" fontId="0" fillId="0" borderId="0" xfId="0" applyNumberFormat="1" applyFont="1" applyFill="1" applyBorder="1" applyAlignment="1">
      <alignment vertical="center"/>
    </xf>
    <xf numFmtId="175" fontId="0" fillId="0" borderId="0" xfId="2" applyFont="1" applyFill="1" applyBorder="1" applyAlignment="1">
      <alignment vertical="center"/>
    </xf>
    <xf numFmtId="0" fontId="62" fillId="5" borderId="1" xfId="0" applyFont="1" applyFill="1" applyBorder="1" applyAlignment="1">
      <alignment horizontal="center"/>
    </xf>
    <xf numFmtId="0" fontId="59" fillId="5" borderId="7" xfId="0" applyFont="1" applyFill="1" applyBorder="1" applyAlignment="1">
      <alignment vertical="center"/>
    </xf>
    <xf numFmtId="0" fontId="59" fillId="5" borderId="4" xfId="0" applyFont="1" applyFill="1" applyBorder="1" applyAlignment="1">
      <alignment vertical="center"/>
    </xf>
    <xf numFmtId="177" fontId="0" fillId="0" borderId="0" xfId="2" applyNumberFormat="1" applyFont="1" applyFill="1" applyBorder="1" applyAlignment="1">
      <alignment vertical="center"/>
    </xf>
    <xf numFmtId="1" fontId="0" fillId="0" borderId="0" xfId="0" applyNumberFormat="1" applyFill="1" applyBorder="1" applyAlignment="1">
      <alignment horizontal="right"/>
    </xf>
    <xf numFmtId="0" fontId="62" fillId="5" borderId="0" xfId="0" applyNumberFormat="1" applyFont="1" applyFill="1" applyBorder="1" applyAlignment="1">
      <alignment horizontal="center" vertical="center"/>
    </xf>
    <xf numFmtId="0" fontId="0" fillId="0" borderId="66" xfId="0" applyBorder="1"/>
    <xf numFmtId="0" fontId="117" fillId="0" borderId="0" xfId="0" applyFont="1"/>
    <xf numFmtId="186" fontId="0" fillId="0" borderId="0" xfId="1" applyNumberFormat="1" applyFont="1"/>
    <xf numFmtId="0" fontId="62" fillId="5" borderId="7" xfId="0" applyFont="1" applyFill="1" applyBorder="1"/>
    <xf numFmtId="0" fontId="62" fillId="5" borderId="4" xfId="0" applyNumberFormat="1" applyFont="1" applyFill="1" applyBorder="1" applyAlignment="1">
      <alignment vertical="center"/>
    </xf>
    <xf numFmtId="0" fontId="62" fillId="5" borderId="4" xfId="0" applyNumberFormat="1" applyFont="1" applyFill="1" applyBorder="1" applyAlignment="1">
      <alignment horizontal="left" vertical="center"/>
    </xf>
    <xf numFmtId="0" fontId="120" fillId="0" borderId="0" xfId="0" applyFont="1" applyFill="1" applyBorder="1" applyAlignment="1">
      <alignment horizontal="left"/>
    </xf>
    <xf numFmtId="0" fontId="121" fillId="0" borderId="0" xfId="0" applyFont="1" applyFill="1" applyBorder="1" applyAlignment="1">
      <alignment horizontal="left"/>
    </xf>
    <xf numFmtId="0" fontId="0" fillId="5" borderId="1" xfId="0" applyNumberFormat="1" applyFill="1" applyBorder="1" applyAlignment="1">
      <alignment horizontal="center" vertical="center"/>
    </xf>
    <xf numFmtId="2" fontId="0" fillId="5" borderId="0" xfId="0" applyNumberFormat="1" applyFont="1" applyFill="1" applyBorder="1" applyAlignment="1">
      <alignment horizontal="right"/>
    </xf>
    <xf numFmtId="187" fontId="121" fillId="0" borderId="0" xfId="0" applyNumberFormat="1" applyFont="1" applyFill="1" applyBorder="1" applyAlignment="1">
      <alignment horizontal="right"/>
    </xf>
    <xf numFmtId="171" fontId="121" fillId="0" borderId="0" xfId="0" applyNumberFormat="1" applyFont="1" applyFill="1" applyBorder="1" applyAlignment="1">
      <alignment horizontal="right"/>
    </xf>
    <xf numFmtId="0" fontId="121" fillId="0" borderId="0" xfId="0" applyFont="1" applyFill="1" applyBorder="1" applyAlignment="1">
      <alignment horizontal="right"/>
    </xf>
    <xf numFmtId="0" fontId="0" fillId="17" borderId="0" xfId="0" applyFill="1" applyAlignment="1"/>
    <xf numFmtId="0" fontId="0" fillId="0" borderId="0" xfId="0" applyFill="1" applyAlignment="1"/>
    <xf numFmtId="0" fontId="0" fillId="0" borderId="0" xfId="0" applyFill="1" applyBorder="1" applyAlignment="1"/>
    <xf numFmtId="0" fontId="122" fillId="0" borderId="0" xfId="0" applyFont="1" applyFill="1" applyBorder="1" applyAlignment="1">
      <alignment horizontal="left"/>
    </xf>
    <xf numFmtId="0" fontId="94" fillId="0" borderId="0" xfId="0" applyFont="1" applyFill="1" applyBorder="1" applyAlignment="1">
      <alignment horizontal="left"/>
    </xf>
    <xf numFmtId="8" fontId="121" fillId="0" borderId="0" xfId="0" applyNumberFormat="1" applyFont="1" applyFill="1" applyBorder="1" applyAlignment="1">
      <alignment horizontal="left"/>
    </xf>
    <xf numFmtId="184" fontId="0" fillId="0" borderId="0" xfId="2" applyNumberFormat="1" applyFont="1" applyFill="1" applyBorder="1" applyAlignment="1">
      <alignment horizontal="center" vertical="center"/>
    </xf>
    <xf numFmtId="0" fontId="51" fillId="0" borderId="0" xfId="0" applyNumberFormat="1" applyFont="1" applyFill="1" applyBorder="1" applyAlignment="1">
      <alignment horizontal="right" vertical="center"/>
    </xf>
    <xf numFmtId="0" fontId="0" fillId="0" borderId="0" xfId="0" applyBorder="1"/>
    <xf numFmtId="1" fontId="0" fillId="0" borderId="0" xfId="0" applyNumberFormat="1" applyFill="1" applyBorder="1"/>
    <xf numFmtId="175" fontId="62" fillId="0" borderId="0" xfId="2" applyFont="1" applyFill="1" applyBorder="1" applyAlignment="1">
      <alignment vertical="center"/>
    </xf>
    <xf numFmtId="0" fontId="0" fillId="8" borderId="22" xfId="0" applyFill="1" applyBorder="1" applyAlignment="1">
      <alignment vertical="center"/>
    </xf>
    <xf numFmtId="0" fontId="0" fillId="2" borderId="0" xfId="0" applyFill="1" applyBorder="1" applyAlignment="1">
      <alignment horizontal="center" vertical="center"/>
    </xf>
    <xf numFmtId="171" fontId="0" fillId="0" borderId="0" xfId="1" applyNumberFormat="1" applyFont="1" applyFill="1" applyBorder="1" applyAlignment="1">
      <alignment vertical="center"/>
    </xf>
    <xf numFmtId="184" fontId="0" fillId="0" borderId="0" xfId="2" applyNumberFormat="1" applyFont="1" applyFill="1" applyBorder="1" applyAlignment="1">
      <alignment horizontal="center"/>
    </xf>
    <xf numFmtId="1" fontId="0" fillId="0" borderId="0" xfId="2" applyNumberFormat="1" applyFont="1" applyFill="1" applyBorder="1" applyAlignment="1">
      <alignment horizontal="right"/>
    </xf>
    <xf numFmtId="167" fontId="0" fillId="0" borderId="0" xfId="0" applyNumberFormat="1" applyFill="1" applyBorder="1" applyAlignment="1">
      <alignment vertical="center"/>
    </xf>
    <xf numFmtId="169" fontId="0" fillId="0" borderId="0" xfId="0" applyNumberFormat="1" applyFill="1" applyBorder="1" applyAlignment="1">
      <alignment vertical="center"/>
    </xf>
    <xf numFmtId="0" fontId="119" fillId="0" borderId="0" xfId="0" applyFont="1" applyFill="1" applyBorder="1"/>
    <xf numFmtId="0" fontId="119" fillId="0" borderId="0" xfId="0" quotePrefix="1" applyFont="1" applyFill="1" applyBorder="1"/>
    <xf numFmtId="183" fontId="0" fillId="0" borderId="0" xfId="0" applyNumberFormat="1" applyFill="1" applyBorder="1" applyAlignment="1">
      <alignment vertical="center"/>
    </xf>
    <xf numFmtId="0" fontId="68" fillId="0" borderId="0" xfId="0" applyFont="1" applyFill="1" applyBorder="1" applyAlignment="1">
      <alignment vertical="center"/>
    </xf>
    <xf numFmtId="2" fontId="0" fillId="0" borderId="0" xfId="0" applyNumberFormat="1" applyFill="1" applyBorder="1" applyAlignment="1">
      <alignment vertical="center"/>
    </xf>
    <xf numFmtId="169" fontId="0" fillId="0" borderId="0" xfId="0" applyNumberFormat="1" applyFill="1" applyBorder="1"/>
    <xf numFmtId="0" fontId="0" fillId="7" borderId="34" xfId="0" applyNumberFormat="1" applyFill="1" applyBorder="1" applyAlignment="1">
      <alignment horizontal="center" vertical="center"/>
    </xf>
    <xf numFmtId="0" fontId="0" fillId="0" borderId="0" xfId="0"/>
    <xf numFmtId="0" fontId="62" fillId="9" borderId="34" xfId="0" applyFont="1" applyFill="1" applyBorder="1" applyAlignment="1">
      <alignment horizontal="center" textRotation="90"/>
    </xf>
    <xf numFmtId="0" fontId="55" fillId="14" borderId="34" xfId="0" applyNumberFormat="1" applyFont="1" applyFill="1" applyBorder="1" applyAlignment="1">
      <alignment vertical="center" wrapText="1"/>
    </xf>
    <xf numFmtId="0" fontId="0" fillId="7" borderId="34" xfId="0" applyNumberFormat="1" applyFont="1" applyFill="1" applyBorder="1" applyAlignment="1">
      <alignment horizontal="center" vertical="center"/>
    </xf>
    <xf numFmtId="0" fontId="0" fillId="7" borderId="66" xfId="0" applyNumberFormat="1" applyFill="1" applyBorder="1" applyAlignment="1">
      <alignment horizontal="center" vertical="center"/>
    </xf>
    <xf numFmtId="0" fontId="88" fillId="0" borderId="0" xfId="0" applyFont="1" applyBorder="1" applyAlignment="1">
      <alignment horizontal="center" vertical="center"/>
    </xf>
    <xf numFmtId="0" fontId="88" fillId="0" borderId="0" xfId="0" applyFont="1" applyFill="1" applyBorder="1" applyAlignment="1">
      <alignment horizontal="center" vertical="center"/>
    </xf>
    <xf numFmtId="0" fontId="0" fillId="0" borderId="0" xfId="0"/>
    <xf numFmtId="9" fontId="0" fillId="0" borderId="0" xfId="0" applyNumberFormat="1"/>
    <xf numFmtId="9" fontId="0" fillId="0" borderId="0" xfId="0" applyNumberFormat="1" applyFill="1" applyBorder="1"/>
    <xf numFmtId="43" fontId="141" fillId="0" borderId="0" xfId="956" applyFont="1"/>
    <xf numFmtId="0" fontId="71" fillId="0" borderId="0" xfId="6" applyFont="1" applyFill="1" applyBorder="1"/>
    <xf numFmtId="0" fontId="71" fillId="0" borderId="0" xfId="6" applyFont="1" applyBorder="1"/>
    <xf numFmtId="43" fontId="157" fillId="0" borderId="0" xfId="956" applyFont="1"/>
    <xf numFmtId="0" fontId="71" fillId="0" borderId="48" xfId="6" applyFont="1" applyBorder="1"/>
    <xf numFmtId="0" fontId="71" fillId="0" borderId="0" xfId="6" applyBorder="1"/>
    <xf numFmtId="2" fontId="140" fillId="29" borderId="0" xfId="908" applyNumberFormat="1"/>
    <xf numFmtId="0" fontId="40" fillId="0" borderId="0" xfId="967" applyBorder="1"/>
    <xf numFmtId="0" fontId="140" fillId="29" borderId="0" xfId="908"/>
    <xf numFmtId="0" fontId="162" fillId="0" borderId="0" xfId="967" applyFont="1"/>
    <xf numFmtId="9" fontId="151" fillId="3" borderId="3" xfId="930" applyNumberFormat="1"/>
    <xf numFmtId="193" fontId="71" fillId="0" borderId="0" xfId="969" applyNumberFormat="1" applyFill="1"/>
    <xf numFmtId="164" fontId="71" fillId="0" borderId="0" xfId="969" applyNumberFormat="1" applyFill="1"/>
    <xf numFmtId="164" fontId="71" fillId="0" borderId="47" xfId="969" applyNumberFormat="1" applyFill="1" applyBorder="1"/>
    <xf numFmtId="175" fontId="62" fillId="0" borderId="4" xfId="2" applyFont="1" applyBorder="1"/>
    <xf numFmtId="0" fontId="62" fillId="0" borderId="0" xfId="0" applyFont="1" applyFill="1" applyAlignment="1">
      <alignment horizontal="right"/>
    </xf>
    <xf numFmtId="0" fontId="71" fillId="0" borderId="0" xfId="6" applyNumberFormat="1" applyFont="1" applyBorder="1"/>
    <xf numFmtId="0" fontId="164" fillId="0" borderId="0" xfId="0" applyFont="1" applyAlignment="1">
      <alignment vertical="center"/>
    </xf>
    <xf numFmtId="0" fontId="164" fillId="0" borderId="0" xfId="0" applyFont="1"/>
    <xf numFmtId="0" fontId="164" fillId="0" borderId="0" xfId="0" applyFont="1" applyAlignment="1">
      <alignment horizontal="left" vertical="center" wrapText="1"/>
    </xf>
    <xf numFmtId="0" fontId="0" fillId="0" borderId="0" xfId="0"/>
    <xf numFmtId="4" fontId="145" fillId="0" borderId="0" xfId="921">
      <alignment horizontal="center"/>
    </xf>
    <xf numFmtId="9" fontId="152" fillId="0" borderId="0" xfId="931" applyNumberFormat="1" applyAlignment="1">
      <alignment horizontal="center"/>
    </xf>
    <xf numFmtId="9" fontId="152" fillId="0" borderId="0" xfId="931" applyNumberFormat="1" applyFill="1" applyAlignment="1">
      <alignment horizontal="center"/>
    </xf>
    <xf numFmtId="9" fontId="141" fillId="0" borderId="0" xfId="909" applyNumberFormat="1" applyFill="1" applyAlignment="1">
      <alignment horizontal="center"/>
    </xf>
    <xf numFmtId="9" fontId="157" fillId="0" borderId="0" xfId="948" applyFont="1" applyAlignment="1">
      <alignment horizontal="center"/>
    </xf>
    <xf numFmtId="9" fontId="133" fillId="0" borderId="0" xfId="948" applyFont="1" applyFill="1"/>
    <xf numFmtId="174" fontId="158" fillId="0" borderId="0" xfId="948" applyNumberFormat="1" applyFont="1" applyFill="1" applyAlignment="1">
      <alignment horizontal="center"/>
    </xf>
    <xf numFmtId="171" fontId="152" fillId="0" borderId="0" xfId="931" applyNumberFormat="1" applyAlignment="1">
      <alignment horizontal="center"/>
    </xf>
    <xf numFmtId="1" fontId="152" fillId="0" borderId="0" xfId="931" applyNumberFormat="1" applyAlignment="1">
      <alignment horizontal="center"/>
    </xf>
    <xf numFmtId="2" fontId="141" fillId="0" borderId="0" xfId="909" applyNumberFormat="1" applyAlignment="1">
      <alignment horizontal="center"/>
    </xf>
    <xf numFmtId="9" fontId="152" fillId="0" borderId="0" xfId="931" applyNumberFormat="1" applyFill="1" applyBorder="1" applyAlignment="1" applyProtection="1">
      <alignment horizontal="center"/>
      <protection locked="0"/>
    </xf>
    <xf numFmtId="9" fontId="141" fillId="0" borderId="0" xfId="948" applyFont="1"/>
    <xf numFmtId="9" fontId="156" fillId="0" borderId="0" xfId="948" applyFont="1" applyFill="1" applyBorder="1" applyAlignment="1" applyProtection="1">
      <alignment horizontal="center"/>
      <protection locked="0"/>
    </xf>
    <xf numFmtId="2" fontId="157" fillId="0" borderId="0" xfId="909" applyNumberFormat="1" applyFont="1" applyAlignment="1">
      <alignment horizontal="center"/>
    </xf>
    <xf numFmtId="9" fontId="76" fillId="0" borderId="0" xfId="948" applyFont="1" applyAlignment="1">
      <alignment horizontal="center" wrapText="1"/>
    </xf>
    <xf numFmtId="9" fontId="166" fillId="0" borderId="48" xfId="948" applyNumberFormat="1" applyFont="1" applyBorder="1"/>
    <xf numFmtId="0" fontId="71" fillId="0" borderId="48" xfId="6" applyBorder="1"/>
    <xf numFmtId="10" fontId="166" fillId="0" borderId="0" xfId="948" applyNumberFormat="1" applyFont="1"/>
    <xf numFmtId="10" fontId="71" fillId="0" borderId="0" xfId="6" applyNumberFormat="1"/>
    <xf numFmtId="10" fontId="71" fillId="0" borderId="0" xfId="6" applyNumberFormat="1" applyBorder="1"/>
    <xf numFmtId="0" fontId="164" fillId="0" borderId="0" xfId="978" applyFont="1" applyFill="1" applyBorder="1"/>
    <xf numFmtId="0" fontId="0" fillId="0" borderId="0" xfId="0" applyFill="1" applyAlignment="1">
      <alignment vertical="center" wrapText="1"/>
    </xf>
    <xf numFmtId="0" fontId="40" fillId="0" borderId="46" xfId="967" applyBorder="1"/>
    <xf numFmtId="0" fontId="40" fillId="0" borderId="48" xfId="967" applyBorder="1"/>
    <xf numFmtId="9" fontId="40" fillId="0" borderId="48" xfId="968" applyNumberFormat="1" applyFont="1" applyBorder="1"/>
    <xf numFmtId="0" fontId="0" fillId="5" borderId="0" xfId="0" applyFont="1" applyFill="1" applyBorder="1"/>
    <xf numFmtId="0" fontId="0" fillId="0" borderId="0" xfId="0"/>
    <xf numFmtId="0" fontId="0" fillId="0" borderId="0" xfId="0" applyFont="1" applyFill="1" applyAlignment="1">
      <alignment vertical="center"/>
    </xf>
    <xf numFmtId="0" fontId="0" fillId="0" borderId="0" xfId="0" applyFont="1" applyBorder="1" applyAlignment="1">
      <alignment vertical="center"/>
    </xf>
    <xf numFmtId="179" fontId="87" fillId="5" borderId="0" xfId="1" applyFont="1" applyFill="1" applyBorder="1" applyAlignment="1">
      <alignment vertical="center"/>
    </xf>
    <xf numFmtId="9" fontId="87" fillId="5" borderId="0" xfId="1" applyNumberFormat="1" applyFont="1" applyFill="1" applyBorder="1" applyAlignment="1">
      <alignment vertical="center"/>
    </xf>
    <xf numFmtId="2" fontId="151" fillId="3" borderId="3" xfId="930" applyNumberFormat="1"/>
    <xf numFmtId="0" fontId="188" fillId="0" borderId="0" xfId="0" applyFont="1" applyAlignment="1">
      <alignment horizontal="left" vertical="center" wrapText="1"/>
    </xf>
    <xf numFmtId="0" fontId="188" fillId="0" borderId="0" xfId="0" applyFont="1"/>
    <xf numFmtId="0" fontId="188" fillId="0" borderId="0" xfId="0" applyFont="1" applyBorder="1"/>
    <xf numFmtId="0" fontId="169" fillId="27" borderId="0" xfId="971" applyFont="1"/>
    <xf numFmtId="0" fontId="190" fillId="64" borderId="66" xfId="971" applyFont="1" applyFill="1" applyBorder="1"/>
    <xf numFmtId="0" fontId="190" fillId="64" borderId="0" xfId="971" applyFont="1" applyFill="1" applyBorder="1"/>
    <xf numFmtId="2" fontId="190" fillId="64" borderId="0" xfId="971" applyNumberFormat="1" applyFont="1" applyFill="1" applyBorder="1"/>
    <xf numFmtId="0" fontId="191" fillId="64" borderId="0" xfId="971" applyFont="1" applyFill="1" applyBorder="1"/>
    <xf numFmtId="0" fontId="192" fillId="0" borderId="0" xfId="0" applyFont="1"/>
    <xf numFmtId="9" fontId="197" fillId="0" borderId="0" xfId="948" applyNumberFormat="1" applyFont="1" applyFill="1" applyBorder="1"/>
    <xf numFmtId="9" fontId="196" fillId="0" borderId="0" xfId="948" applyFont="1" applyFill="1" applyBorder="1"/>
    <xf numFmtId="2" fontId="198" fillId="0" borderId="0" xfId="1436" applyNumberFormat="1" applyFont="1" applyFill="1" applyBorder="1" applyAlignment="1">
      <alignment horizontal="center"/>
    </xf>
    <xf numFmtId="9" fontId="194" fillId="0" borderId="0" xfId="1437" applyNumberFormat="1" applyFont="1" applyFill="1" applyBorder="1" applyAlignment="1" applyProtection="1">
      <alignment horizontal="center"/>
      <protection locked="0"/>
    </xf>
    <xf numFmtId="1" fontId="194" fillId="0" borderId="0" xfId="1437" applyNumberFormat="1" applyFont="1" applyFill="1" applyBorder="1" applyAlignment="1">
      <alignment horizontal="center"/>
    </xf>
    <xf numFmtId="171" fontId="194" fillId="0" borderId="0" xfId="1437" applyNumberFormat="1" applyFont="1" applyFill="1" applyBorder="1" applyAlignment="1">
      <alignment horizontal="center"/>
    </xf>
    <xf numFmtId="179" fontId="193" fillId="0" borderId="0" xfId="1" applyFont="1" applyFill="1" applyBorder="1" applyAlignment="1">
      <alignment horizontal="center"/>
    </xf>
    <xf numFmtId="179" fontId="194" fillId="0" borderId="0" xfId="1" applyFont="1" applyFill="1" applyBorder="1" applyAlignment="1">
      <alignment horizontal="center"/>
    </xf>
    <xf numFmtId="0" fontId="135" fillId="0" borderId="0" xfId="933"/>
    <xf numFmtId="9" fontId="166" fillId="0" borderId="0" xfId="948" applyNumberFormat="1" applyFont="1"/>
    <xf numFmtId="9" fontId="200" fillId="0" borderId="0" xfId="948" applyFont="1"/>
    <xf numFmtId="9" fontId="200" fillId="0" borderId="0" xfId="1438" applyFont="1"/>
    <xf numFmtId="0" fontId="156" fillId="0" borderId="0" xfId="933" applyFont="1" applyFill="1" applyBorder="1" applyAlignment="1" applyProtection="1">
      <alignment horizontal="center"/>
      <protection locked="0"/>
    </xf>
    <xf numFmtId="0" fontId="156" fillId="0" borderId="0" xfId="933" applyFont="1" applyFill="1" applyBorder="1" applyAlignment="1" applyProtection="1">
      <alignment horizontal="left"/>
      <protection locked="0"/>
    </xf>
    <xf numFmtId="179" fontId="193" fillId="0" borderId="0" xfId="1" applyFont="1" applyFill="1" applyBorder="1" applyAlignment="1" applyProtection="1">
      <alignment horizontal="left"/>
      <protection locked="0"/>
    </xf>
    <xf numFmtId="179" fontId="199" fillId="0" borderId="0" xfId="1" applyFont="1" applyFill="1" applyBorder="1" applyAlignment="1" applyProtection="1">
      <alignment horizontal="left"/>
      <protection locked="0"/>
    </xf>
    <xf numFmtId="179" fontId="199" fillId="0" borderId="0" xfId="1" applyFont="1" applyFill="1" applyBorder="1" applyAlignment="1">
      <alignment horizontal="center"/>
    </xf>
    <xf numFmtId="174" fontId="201" fillId="0" borderId="0" xfId="948" applyNumberFormat="1" applyFont="1" applyFill="1" applyBorder="1" applyAlignment="1">
      <alignment horizontal="center"/>
    </xf>
    <xf numFmtId="179" fontId="71" fillId="0" borderId="0" xfId="1" applyFont="1" applyFill="1" applyBorder="1" applyAlignment="1">
      <alignment horizontal="center" wrapText="1"/>
    </xf>
    <xf numFmtId="179" fontId="193" fillId="0" borderId="0" xfId="1" applyFont="1" applyFill="1" applyBorder="1" applyAlignment="1">
      <alignment horizontal="center" wrapText="1"/>
    </xf>
    <xf numFmtId="179" fontId="76" fillId="0" borderId="0" xfId="1" applyFont="1" applyFill="1" applyBorder="1" applyAlignment="1">
      <alignment horizontal="center" wrapText="1"/>
    </xf>
    <xf numFmtId="179" fontId="203" fillId="0" borderId="0" xfId="1" applyFont="1" applyFill="1" applyBorder="1" applyAlignment="1">
      <alignment horizontal="center" wrapText="1"/>
    </xf>
    <xf numFmtId="0" fontId="71" fillId="0" borderId="0" xfId="933" applyFont="1"/>
    <xf numFmtId="9" fontId="152" fillId="0" borderId="0" xfId="1438" applyFont="1" applyFill="1" applyBorder="1" applyAlignment="1" applyProtection="1">
      <alignment horizontal="center"/>
      <protection locked="0"/>
    </xf>
    <xf numFmtId="179" fontId="196" fillId="0" borderId="0" xfId="1" applyFont="1" applyFill="1" applyBorder="1"/>
    <xf numFmtId="180" fontId="193" fillId="0" borderId="0" xfId="1" applyNumberFormat="1" applyFont="1" applyFill="1" applyBorder="1" applyAlignment="1">
      <alignment horizontal="center"/>
    </xf>
    <xf numFmtId="9" fontId="205" fillId="69" borderId="3" xfId="930" applyNumberFormat="1" applyFont="1" applyFill="1" applyBorder="1"/>
    <xf numFmtId="0" fontId="206" fillId="70" borderId="3" xfId="910" applyFont="1" applyFill="1" applyBorder="1"/>
    <xf numFmtId="2" fontId="156" fillId="0" borderId="0" xfId="933" applyNumberFormat="1" applyFont="1" applyFill="1" applyBorder="1" applyAlignment="1" applyProtection="1">
      <alignment horizontal="left"/>
      <protection locked="0"/>
    </xf>
    <xf numFmtId="180" fontId="0" fillId="0" borderId="0" xfId="0" applyNumberFormat="1"/>
    <xf numFmtId="0" fontId="62" fillId="0" borderId="4" xfId="0" applyFont="1" applyBorder="1"/>
    <xf numFmtId="186" fontId="52" fillId="0" borderId="0" xfId="1" applyNumberFormat="1" applyFont="1" applyFill="1" applyBorder="1"/>
    <xf numFmtId="186" fontId="0" fillId="0" borderId="0" xfId="1" applyNumberFormat="1" applyFont="1" applyFill="1" applyBorder="1"/>
    <xf numFmtId="9" fontId="207" fillId="0" borderId="0" xfId="948" applyFont="1" applyFill="1" applyBorder="1" applyAlignment="1">
      <alignment horizontal="center"/>
    </xf>
    <xf numFmtId="9" fontId="194" fillId="0" borderId="0" xfId="1437" applyNumberFormat="1" applyFont="1" applyFill="1" applyBorder="1" applyAlignment="1">
      <alignment horizontal="center"/>
    </xf>
    <xf numFmtId="174" fontId="194" fillId="0" borderId="0" xfId="1437" applyNumberFormat="1" applyFont="1" applyFill="1" applyBorder="1" applyAlignment="1">
      <alignment horizontal="center"/>
    </xf>
    <xf numFmtId="0" fontId="71" fillId="0" borderId="0" xfId="0" applyFont="1" applyFill="1"/>
    <xf numFmtId="10" fontId="0" fillId="0" borderId="0" xfId="0" applyNumberFormat="1" applyBorder="1"/>
    <xf numFmtId="9" fontId="184" fillId="0" borderId="0" xfId="948" applyFont="1" applyFill="1" applyBorder="1" applyAlignment="1">
      <alignment horizontal="center"/>
    </xf>
    <xf numFmtId="9" fontId="212" fillId="71" borderId="0" xfId="908" applyNumberFormat="1" applyFont="1" applyFill="1" applyBorder="1" applyAlignment="1">
      <alignment horizontal="center"/>
    </xf>
    <xf numFmtId="4" fontId="184" fillId="0" borderId="0" xfId="1409" applyFont="1" applyFill="1" applyBorder="1">
      <alignment horizontal="center"/>
    </xf>
    <xf numFmtId="2" fontId="212" fillId="71" borderId="0" xfId="908" applyNumberFormat="1" applyFont="1" applyFill="1" applyBorder="1" applyAlignment="1">
      <alignment horizontal="center"/>
    </xf>
    <xf numFmtId="4" fontId="213" fillId="0" borderId="0" xfId="1409" applyFont="1" applyFill="1" applyBorder="1">
      <alignment horizontal="center"/>
    </xf>
    <xf numFmtId="0" fontId="72" fillId="0" borderId="0" xfId="6" applyFont="1" applyFill="1" applyBorder="1"/>
    <xf numFmtId="0" fontId="0" fillId="21" borderId="22" xfId="0" applyFill="1" applyBorder="1" applyAlignment="1">
      <alignment wrapText="1"/>
    </xf>
    <xf numFmtId="0" fontId="0" fillId="21" borderId="0" xfId="0" applyFont="1" applyFill="1" applyBorder="1" applyAlignment="1">
      <alignment vertical="center" wrapText="1"/>
    </xf>
    <xf numFmtId="0" fontId="59" fillId="21" borderId="11" xfId="0" applyFont="1" applyFill="1" applyBorder="1" applyAlignment="1">
      <alignment vertical="center" wrapText="1"/>
    </xf>
    <xf numFmtId="0" fontId="0" fillId="21" borderId="0" xfId="0" applyFill="1" applyBorder="1" applyAlignment="1">
      <alignment wrapText="1"/>
    </xf>
    <xf numFmtId="0" fontId="0" fillId="21" borderId="0" xfId="0" applyFill="1" applyAlignment="1">
      <alignment wrapText="1"/>
    </xf>
    <xf numFmtId="0" fontId="0" fillId="20" borderId="26" xfId="0" applyFill="1" applyBorder="1" applyAlignment="1">
      <alignment wrapText="1"/>
    </xf>
    <xf numFmtId="0" fontId="0" fillId="21" borderId="24" xfId="0" applyFill="1" applyBorder="1" applyAlignment="1">
      <alignment wrapText="1"/>
    </xf>
    <xf numFmtId="0" fontId="0" fillId="6" borderId="0" xfId="0" applyFill="1" applyBorder="1" applyAlignment="1">
      <alignment wrapText="1"/>
    </xf>
    <xf numFmtId="0" fontId="0" fillId="6" borderId="69" xfId="0" applyNumberFormat="1" applyFill="1" applyBorder="1" applyAlignment="1">
      <alignment wrapText="1"/>
    </xf>
    <xf numFmtId="0" fontId="0" fillId="6" borderId="67" xfId="0" applyNumberFormat="1" applyFill="1" applyBorder="1" applyAlignment="1">
      <alignment wrapText="1"/>
    </xf>
    <xf numFmtId="0" fontId="0" fillId="6" borderId="68" xfId="0" applyNumberFormat="1" applyFill="1" applyBorder="1" applyAlignment="1">
      <alignment wrapText="1"/>
    </xf>
    <xf numFmtId="0" fontId="78" fillId="6" borderId="71" xfId="0" applyFont="1" applyFill="1" applyBorder="1" applyAlignment="1">
      <alignment wrapText="1"/>
    </xf>
    <xf numFmtId="0" fontId="0" fillId="6" borderId="73" xfId="0" applyNumberFormat="1" applyFill="1" applyBorder="1" applyAlignment="1">
      <alignment wrapText="1"/>
    </xf>
    <xf numFmtId="0" fontId="0" fillId="6" borderId="0" xfId="0" applyFill="1" applyBorder="1" applyAlignment="1">
      <alignment horizontal="left" vertical="center" wrapText="1"/>
    </xf>
    <xf numFmtId="0" fontId="0" fillId="6" borderId="72" xfId="0" applyNumberFormat="1" applyFill="1" applyBorder="1" applyAlignment="1">
      <alignment wrapText="1"/>
    </xf>
    <xf numFmtId="0" fontId="68" fillId="6" borderId="71" xfId="0" applyFont="1" applyFill="1" applyBorder="1" applyAlignment="1">
      <alignment wrapText="1"/>
    </xf>
    <xf numFmtId="0" fontId="0" fillId="6" borderId="0" xfId="0" applyFill="1" applyBorder="1" applyAlignment="1">
      <alignment vertical="center" wrapText="1"/>
    </xf>
    <xf numFmtId="0" fontId="51" fillId="6" borderId="0" xfId="0" applyFont="1" applyFill="1" applyBorder="1" applyAlignment="1">
      <alignment horizontal="left" vertical="center" wrapText="1"/>
    </xf>
    <xf numFmtId="0" fontId="0" fillId="6" borderId="0" xfId="0" applyNumberFormat="1" applyFill="1" applyBorder="1" applyAlignment="1">
      <alignment vertical="center" wrapText="1"/>
    </xf>
    <xf numFmtId="0" fontId="59" fillId="6" borderId="11" xfId="0" applyFont="1" applyFill="1" applyBorder="1" applyAlignment="1">
      <alignment vertical="center" wrapText="1"/>
    </xf>
    <xf numFmtId="0" fontId="0" fillId="6" borderId="24" xfId="0" applyFill="1" applyBorder="1" applyAlignment="1">
      <alignment wrapText="1"/>
    </xf>
    <xf numFmtId="0" fontId="0" fillId="11" borderId="26" xfId="0" applyFill="1" applyBorder="1" applyAlignment="1">
      <alignment wrapText="1"/>
    </xf>
    <xf numFmtId="0" fontId="0" fillId="7" borderId="22" xfId="0" applyFill="1" applyBorder="1" applyAlignment="1">
      <alignment vertical="center" wrapText="1"/>
    </xf>
    <xf numFmtId="0" fontId="0" fillId="7" borderId="0" xfId="0" applyFill="1" applyBorder="1" applyAlignment="1">
      <alignment vertical="center" wrapText="1"/>
    </xf>
    <xf numFmtId="0" fontId="0" fillId="7" borderId="0" xfId="0" applyFont="1" applyFill="1" applyBorder="1" applyAlignment="1">
      <alignment vertical="center" wrapText="1"/>
    </xf>
    <xf numFmtId="0" fontId="51" fillId="7" borderId="0" xfId="0" applyFont="1" applyFill="1" applyBorder="1" applyAlignment="1">
      <alignment vertical="center" wrapText="1"/>
    </xf>
    <xf numFmtId="0" fontId="0" fillId="7" borderId="0" xfId="0" applyFill="1" applyBorder="1" applyAlignment="1">
      <alignment wrapText="1"/>
    </xf>
    <xf numFmtId="0" fontId="0" fillId="10" borderId="26" xfId="0" applyFill="1" applyBorder="1" applyAlignment="1">
      <alignment wrapText="1"/>
    </xf>
    <xf numFmtId="0" fontId="0" fillId="0" borderId="0" xfId="0" applyFont="1" applyAlignment="1">
      <alignment wrapText="1"/>
    </xf>
    <xf numFmtId="175" fontId="0" fillId="0" borderId="6" xfId="2" applyFont="1" applyBorder="1"/>
    <xf numFmtId="10" fontId="0" fillId="0" borderId="6" xfId="1" applyNumberFormat="1" applyFont="1" applyBorder="1"/>
    <xf numFmtId="0" fontId="0" fillId="0" borderId="6" xfId="0" applyFont="1" applyBorder="1" applyAlignment="1">
      <alignment wrapText="1"/>
    </xf>
    <xf numFmtId="0" fontId="0" fillId="0" borderId="6" xfId="0" applyBorder="1"/>
    <xf numFmtId="0" fontId="62" fillId="0" borderId="6" xfId="0" applyFont="1" applyBorder="1"/>
    <xf numFmtId="0" fontId="0" fillId="0" borderId="6" xfId="0" applyFont="1" applyBorder="1"/>
    <xf numFmtId="10" fontId="0" fillId="0" borderId="0" xfId="1" applyNumberFormat="1" applyFont="1" applyBorder="1"/>
    <xf numFmtId="0" fontId="0" fillId="0" borderId="0" xfId="0" applyFont="1" applyBorder="1" applyAlignment="1">
      <alignment wrapText="1"/>
    </xf>
    <xf numFmtId="177" fontId="52" fillId="0" borderId="0" xfId="2" applyNumberFormat="1" applyFont="1"/>
    <xf numFmtId="0" fontId="62" fillId="0" borderId="0" xfId="0" applyFont="1" applyAlignment="1">
      <alignment wrapText="1"/>
    </xf>
    <xf numFmtId="0" fontId="0" fillId="0" borderId="0" xfId="0" applyFont="1" applyBorder="1" applyAlignment="1">
      <alignment vertical="center" wrapText="1"/>
    </xf>
    <xf numFmtId="0" fontId="0" fillId="0" borderId="0" xfId="0" applyFont="1" applyAlignment="1">
      <alignment vertical="center" wrapText="1"/>
    </xf>
    <xf numFmtId="175" fontId="62" fillId="0" borderId="6" xfId="2" applyFont="1" applyBorder="1"/>
    <xf numFmtId="10" fontId="62" fillId="0" borderId="6" xfId="1" applyNumberFormat="1" applyFont="1" applyBorder="1"/>
    <xf numFmtId="175" fontId="62" fillId="0" borderId="10" xfId="2" applyFont="1" applyBorder="1"/>
    <xf numFmtId="175" fontId="52" fillId="0" borderId="6" xfId="2" applyFont="1" applyBorder="1"/>
    <xf numFmtId="0" fontId="0" fillId="0" borderId="6" xfId="0" applyFont="1" applyBorder="1" applyAlignment="1">
      <alignment horizontal="right"/>
    </xf>
    <xf numFmtId="0" fontId="0" fillId="0" borderId="6" xfId="0" applyBorder="1" applyAlignment="1">
      <alignment horizontal="right"/>
    </xf>
    <xf numFmtId="0" fontId="87" fillId="0" borderId="0" xfId="0" applyFont="1" applyAlignment="1">
      <alignment horizontal="left"/>
    </xf>
    <xf numFmtId="0" fontId="0" fillId="0" borderId="8" xfId="0" applyFont="1" applyFill="1" applyBorder="1" applyAlignment="1">
      <alignment vertical="center"/>
    </xf>
    <xf numFmtId="0" fontId="62" fillId="0" borderId="8" xfId="0" applyFont="1" applyFill="1" applyBorder="1" applyAlignment="1">
      <alignment vertical="center"/>
    </xf>
    <xf numFmtId="0" fontId="0" fillId="0" borderId="6" xfId="0" applyFont="1" applyBorder="1" applyAlignment="1">
      <alignment vertical="center"/>
    </xf>
    <xf numFmtId="0" fontId="62" fillId="0" borderId="0" xfId="0" applyFont="1" applyBorder="1" applyAlignment="1">
      <alignment horizontal="right" vertical="center"/>
    </xf>
    <xf numFmtId="175" fontId="62" fillId="0" borderId="6" xfId="2" applyFont="1" applyBorder="1" applyAlignment="1">
      <alignment vertical="center"/>
    </xf>
    <xf numFmtId="0" fontId="62" fillId="0" borderId="6" xfId="0" applyFont="1" applyBorder="1" applyAlignment="1">
      <alignment horizontal="right" vertical="center"/>
    </xf>
    <xf numFmtId="171" fontId="0" fillId="0" borderId="0" xfId="0" applyNumberFormat="1" applyFont="1" applyFill="1" applyBorder="1" applyAlignment="1">
      <alignment vertical="center"/>
    </xf>
    <xf numFmtId="171" fontId="0" fillId="0" borderId="0" xfId="0" applyNumberFormat="1" applyFont="1" applyAlignment="1">
      <alignment vertical="center"/>
    </xf>
    <xf numFmtId="171" fontId="0" fillId="0" borderId="0" xfId="0" applyNumberFormat="1" applyFont="1" applyFill="1" applyAlignment="1">
      <alignment vertical="center"/>
    </xf>
    <xf numFmtId="0" fontId="87" fillId="0" borderId="0" xfId="0" applyFont="1" applyAlignment="1">
      <alignment vertical="center"/>
    </xf>
    <xf numFmtId="171" fontId="0" fillId="0" borderId="0" xfId="0" applyNumberFormat="1" applyFont="1" applyBorder="1" applyAlignment="1">
      <alignment vertical="center"/>
    </xf>
    <xf numFmtId="0" fontId="62" fillId="0" borderId="0" xfId="0" applyFont="1" applyFill="1" applyBorder="1" applyAlignment="1">
      <alignment horizontal="left" vertical="center"/>
    </xf>
    <xf numFmtId="10" fontId="52" fillId="0" borderId="1" xfId="1" applyNumberFormat="1" applyFont="1" applyBorder="1"/>
    <xf numFmtId="0" fontId="0" fillId="0" borderId="1" xfId="0" applyFont="1" applyBorder="1" applyAlignment="1">
      <alignment wrapText="1"/>
    </xf>
    <xf numFmtId="177" fontId="0" fillId="0" borderId="0" xfId="2" applyNumberFormat="1" applyFont="1" applyBorder="1"/>
    <xf numFmtId="0" fontId="59" fillId="0" borderId="0" xfId="0" applyFont="1" applyBorder="1" applyAlignment="1">
      <alignment horizontal="center"/>
    </xf>
    <xf numFmtId="49" fontId="87" fillId="0" borderId="0" xfId="2" applyNumberFormat="1" applyFont="1" applyBorder="1"/>
    <xf numFmtId="0" fontId="59" fillId="0" borderId="1" xfId="0" applyFont="1" applyBorder="1" applyAlignment="1">
      <alignment horizontal="center"/>
    </xf>
    <xf numFmtId="0" fontId="62" fillId="0" borderId="1" xfId="0" applyFont="1" applyBorder="1"/>
    <xf numFmtId="49" fontId="65" fillId="0" borderId="0" xfId="0" applyNumberFormat="1" applyFont="1"/>
    <xf numFmtId="0" fontId="0" fillId="0" borderId="6" xfId="0" applyFont="1" applyBorder="1" applyAlignment="1">
      <alignment vertical="center" wrapText="1"/>
    </xf>
    <xf numFmtId="0" fontId="59" fillId="0" borderId="4" xfId="0" applyFont="1" applyBorder="1" applyAlignment="1">
      <alignment horizontal="center"/>
    </xf>
    <xf numFmtId="0" fontId="0" fillId="5" borderId="22" xfId="0" applyFill="1" applyBorder="1" applyAlignment="1">
      <alignment wrapText="1"/>
    </xf>
    <xf numFmtId="0" fontId="0" fillId="5" borderId="0" xfId="0" applyFill="1" applyBorder="1" applyAlignment="1">
      <alignment wrapText="1"/>
    </xf>
    <xf numFmtId="0" fontId="0" fillId="5" borderId="13" xfId="0" applyFill="1" applyBorder="1" applyAlignment="1">
      <alignment vertical="center" wrapText="1"/>
    </xf>
    <xf numFmtId="0" fontId="0" fillId="5" borderId="0" xfId="0" applyFill="1" applyBorder="1" applyAlignment="1">
      <alignment vertical="center" wrapText="1"/>
    </xf>
    <xf numFmtId="0" fontId="59" fillId="5" borderId="12" xfId="0" applyFont="1" applyFill="1" applyBorder="1" applyAlignment="1">
      <alignment vertical="center" wrapText="1"/>
    </xf>
    <xf numFmtId="179" fontId="0" fillId="5" borderId="34" xfId="1" applyFont="1" applyFill="1" applyBorder="1"/>
    <xf numFmtId="0" fontId="62" fillId="5" borderId="0" xfId="0" applyFont="1" applyFill="1" applyBorder="1" applyAlignment="1">
      <alignment vertical="center" wrapText="1"/>
    </xf>
    <xf numFmtId="180" fontId="0" fillId="0" borderId="0" xfId="1" applyNumberFormat="1" applyFont="1" applyFill="1" applyBorder="1" applyAlignment="1">
      <alignment horizontal="center" vertical="top"/>
    </xf>
    <xf numFmtId="180" fontId="0" fillId="5" borderId="0" xfId="1" applyNumberFormat="1" applyFont="1" applyFill="1" applyBorder="1" applyAlignment="1">
      <alignment horizontal="center" vertical="top"/>
    </xf>
    <xf numFmtId="0" fontId="62" fillId="5" borderId="0" xfId="0" applyFont="1" applyFill="1" applyBorder="1" applyAlignment="1">
      <alignment wrapText="1"/>
    </xf>
    <xf numFmtId="0" fontId="0" fillId="5" borderId="1" xfId="0" applyNumberFormat="1" applyFill="1" applyBorder="1" applyAlignment="1">
      <alignment horizontal="center" vertical="center" wrapText="1"/>
    </xf>
    <xf numFmtId="0" fontId="59" fillId="5" borderId="1" xfId="0" applyFont="1" applyFill="1" applyBorder="1" applyAlignment="1">
      <alignment vertical="center" wrapText="1"/>
    </xf>
    <xf numFmtId="0" fontId="62" fillId="5" borderId="1" xfId="0" applyFont="1" applyFill="1" applyBorder="1" applyAlignment="1">
      <alignment horizontal="center" wrapText="1"/>
    </xf>
    <xf numFmtId="0" fontId="62" fillId="5" borderId="1" xfId="0" applyFont="1" applyFill="1" applyBorder="1" applyAlignment="1">
      <alignment wrapText="1"/>
    </xf>
    <xf numFmtId="0" fontId="62" fillId="5" borderId="0" xfId="0" applyFont="1" applyFill="1" applyBorder="1" applyAlignment="1">
      <alignment horizontal="left" vertical="center" wrapText="1"/>
    </xf>
    <xf numFmtId="0" fontId="62" fillId="5" borderId="0" xfId="0" applyFont="1" applyFill="1" applyBorder="1" applyAlignment="1">
      <alignment horizontal="center" wrapText="1"/>
    </xf>
    <xf numFmtId="0" fontId="62" fillId="5" borderId="0" xfId="0" applyFont="1" applyFill="1" applyBorder="1" applyAlignment="1">
      <alignment horizontal="left" wrapText="1"/>
    </xf>
    <xf numFmtId="0" fontId="62" fillId="5" borderId="7" xfId="0" applyFont="1" applyFill="1" applyBorder="1" applyAlignment="1">
      <alignment horizontal="left" wrapText="1"/>
    </xf>
    <xf numFmtId="0" fontId="62" fillId="5" borderId="7" xfId="0" applyFont="1" applyFill="1" applyBorder="1" applyAlignment="1">
      <alignment wrapText="1"/>
    </xf>
    <xf numFmtId="0" fontId="59" fillId="5" borderId="7" xfId="0" applyFont="1" applyFill="1" applyBorder="1" applyAlignment="1">
      <alignment vertical="center" wrapText="1"/>
    </xf>
    <xf numFmtId="175" fontId="62" fillId="5" borderId="1" xfId="0" applyNumberFormat="1" applyFont="1" applyFill="1" applyBorder="1"/>
    <xf numFmtId="49" fontId="62" fillId="5" borderId="0" xfId="0" applyNumberFormat="1" applyFont="1" applyFill="1" applyBorder="1" applyAlignment="1"/>
    <xf numFmtId="0" fontId="62" fillId="0" borderId="0" xfId="0" applyFont="1" applyFill="1" applyBorder="1" applyAlignment="1">
      <alignment horizontal="center" wrapText="1"/>
    </xf>
    <xf numFmtId="171" fontId="62" fillId="5" borderId="0" xfId="0" applyNumberFormat="1" applyFont="1" applyFill="1" applyBorder="1" applyAlignment="1">
      <alignment horizontal="center" vertical="center"/>
    </xf>
    <xf numFmtId="171" fontId="51" fillId="5" borderId="1" xfId="0" applyNumberFormat="1" applyFont="1" applyFill="1" applyBorder="1" applyAlignment="1">
      <alignment horizontal="right" vertical="center"/>
    </xf>
    <xf numFmtId="171" fontId="51" fillId="0" borderId="0" xfId="0" applyNumberFormat="1" applyFont="1" applyFill="1" applyBorder="1" applyAlignment="1">
      <alignment horizontal="right" vertical="center"/>
    </xf>
    <xf numFmtId="177" fontId="62" fillId="0" borderId="0" xfId="0" applyNumberFormat="1" applyFont="1" applyFill="1" applyBorder="1" applyAlignment="1">
      <alignment vertical="center"/>
    </xf>
    <xf numFmtId="171" fontId="62" fillId="5" borderId="1" xfId="0" applyNumberFormat="1" applyFont="1" applyFill="1" applyBorder="1" applyAlignment="1">
      <alignment horizontal="center" vertical="center"/>
    </xf>
    <xf numFmtId="0" fontId="87" fillId="5" borderId="0" xfId="0" applyNumberFormat="1" applyFont="1" applyFill="1" applyBorder="1" applyAlignment="1">
      <alignment vertical="center"/>
    </xf>
    <xf numFmtId="2" fontId="171" fillId="5" borderId="0" xfId="0" applyNumberFormat="1" applyFont="1" applyFill="1" applyBorder="1" applyAlignment="1">
      <alignment vertical="center"/>
    </xf>
    <xf numFmtId="0" fontId="171" fillId="5" borderId="0" xfId="0" applyNumberFormat="1" applyFont="1" applyFill="1" applyBorder="1" applyAlignment="1">
      <alignment vertical="center"/>
    </xf>
    <xf numFmtId="0" fontId="87" fillId="5" borderId="0" xfId="0" applyNumberFormat="1" applyFont="1" applyFill="1" applyBorder="1" applyAlignment="1">
      <alignment horizontal="right" vertical="center"/>
    </xf>
    <xf numFmtId="0" fontId="87" fillId="5" borderId="0" xfId="0" applyFont="1" applyFill="1" applyBorder="1"/>
    <xf numFmtId="178" fontId="0" fillId="5" borderId="15" xfId="2" applyNumberFormat="1" applyFont="1" applyFill="1" applyBorder="1" applyAlignment="1">
      <alignment vertical="center"/>
    </xf>
    <xf numFmtId="177" fontId="0" fillId="5" borderId="0" xfId="2" applyNumberFormat="1" applyFont="1" applyFill="1" applyBorder="1" applyAlignment="1">
      <alignment horizontal="center" vertical="top"/>
    </xf>
    <xf numFmtId="171" fontId="62" fillId="5" borderId="4" xfId="0" applyNumberFormat="1" applyFont="1" applyFill="1" applyBorder="1"/>
    <xf numFmtId="171" fontId="59" fillId="5" borderId="44" xfId="0" applyNumberFormat="1" applyFont="1" applyFill="1" applyBorder="1" applyAlignment="1">
      <alignment horizontal="right" vertical="center"/>
    </xf>
    <xf numFmtId="171" fontId="62" fillId="5" borderId="86" xfId="0" applyNumberFormat="1" applyFont="1" applyFill="1" applyBorder="1"/>
    <xf numFmtId="178" fontId="0" fillId="5" borderId="10" xfId="2" applyNumberFormat="1" applyFont="1" applyFill="1" applyBorder="1" applyAlignment="1">
      <alignment vertical="center"/>
    </xf>
    <xf numFmtId="171" fontId="62" fillId="5" borderId="4" xfId="0" applyNumberFormat="1" applyFont="1" applyFill="1" applyBorder="1" applyAlignment="1">
      <alignment horizontal="center" vertical="center"/>
    </xf>
    <xf numFmtId="171" fontId="59" fillId="5" borderId="4" xfId="0" applyNumberFormat="1" applyFont="1" applyFill="1" applyBorder="1" applyAlignment="1">
      <alignment horizontal="right" vertical="center"/>
    </xf>
    <xf numFmtId="171" fontId="59" fillId="5" borderId="4" xfId="0" applyNumberFormat="1" applyFont="1" applyFill="1" applyBorder="1" applyAlignment="1">
      <alignment horizontal="left" vertical="center"/>
    </xf>
    <xf numFmtId="0" fontId="87" fillId="5" borderId="0" xfId="0" quotePrefix="1" applyFont="1" applyFill="1" applyBorder="1" applyAlignment="1">
      <alignment horizontal="right"/>
    </xf>
    <xf numFmtId="0" fontId="0" fillId="8" borderId="26" xfId="0" applyFill="1" applyBorder="1" applyAlignment="1">
      <alignment wrapText="1"/>
    </xf>
    <xf numFmtId="0" fontId="68" fillId="5" borderId="0" xfId="0" applyFont="1" applyFill="1" applyBorder="1" applyAlignment="1">
      <alignment wrapText="1"/>
    </xf>
    <xf numFmtId="0" fontId="87" fillId="5" borderId="1" xfId="0" applyFont="1" applyFill="1" applyBorder="1" applyAlignment="1">
      <alignment horizontal="left"/>
    </xf>
    <xf numFmtId="175" fontId="216" fillId="5" borderId="1" xfId="2" applyNumberFormat="1" applyFont="1" applyFill="1" applyBorder="1" applyAlignment="1">
      <alignment horizontal="right" vertical="center"/>
    </xf>
    <xf numFmtId="0" fontId="216" fillId="5" borderId="1" xfId="0" applyFont="1" applyFill="1" applyBorder="1" applyAlignment="1">
      <alignment horizontal="right" vertical="center"/>
    </xf>
    <xf numFmtId="0" fontId="216" fillId="5" borderId="1" xfId="0" applyFont="1" applyFill="1" applyBorder="1" applyAlignment="1">
      <alignment vertical="center" wrapText="1"/>
    </xf>
    <xf numFmtId="0" fontId="87" fillId="5" borderId="1" xfId="0" applyNumberFormat="1" applyFont="1" applyFill="1" applyBorder="1" applyAlignment="1">
      <alignment vertical="center"/>
    </xf>
    <xf numFmtId="0" fontId="115" fillId="5" borderId="10" xfId="0" applyNumberFormat="1" applyFont="1" applyFill="1" applyBorder="1" applyAlignment="1">
      <alignment horizontal="left" vertical="center"/>
    </xf>
    <xf numFmtId="175" fontId="216" fillId="5" borderId="0" xfId="2" applyNumberFormat="1" applyFont="1" applyFill="1" applyBorder="1" applyAlignment="1">
      <alignment horizontal="right" vertical="center"/>
    </xf>
    <xf numFmtId="0" fontId="216" fillId="5" borderId="0" xfId="0" applyFont="1" applyFill="1" applyBorder="1" applyAlignment="1">
      <alignment horizontal="right" vertical="center"/>
    </xf>
    <xf numFmtId="0" fontId="216" fillId="5" borderId="0" xfId="0" applyFont="1" applyFill="1" applyBorder="1" applyAlignment="1">
      <alignment vertical="center" wrapText="1"/>
    </xf>
    <xf numFmtId="0" fontId="115" fillId="5" borderId="0" xfId="0" applyFont="1" applyFill="1" applyBorder="1" applyAlignment="1">
      <alignment vertical="center"/>
    </xf>
    <xf numFmtId="0" fontId="115" fillId="5" borderId="12" xfId="0" applyNumberFormat="1" applyFont="1" applyFill="1" applyBorder="1" applyAlignment="1">
      <alignment horizontal="left" vertical="center"/>
    </xf>
    <xf numFmtId="0" fontId="115" fillId="5" borderId="12" xfId="0" applyNumberFormat="1" applyFont="1" applyFill="1" applyBorder="1" applyAlignment="1">
      <alignment horizontal="right" vertical="center"/>
    </xf>
    <xf numFmtId="0" fontId="115" fillId="5" borderId="12" xfId="0" applyFont="1" applyFill="1" applyBorder="1" applyAlignment="1">
      <alignment horizontal="right" vertical="center"/>
    </xf>
    <xf numFmtId="0" fontId="115" fillId="5" borderId="12" xfId="0" applyFont="1" applyFill="1" applyBorder="1" applyAlignment="1">
      <alignment vertical="center" wrapText="1"/>
    </xf>
    <xf numFmtId="0" fontId="115" fillId="5" borderId="12" xfId="0" applyFont="1" applyFill="1" applyBorder="1" applyAlignment="1">
      <alignment vertical="center"/>
    </xf>
    <xf numFmtId="0" fontId="87" fillId="5" borderId="0" xfId="0" applyFont="1" applyFill="1" applyBorder="1" applyAlignment="1">
      <alignment wrapText="1"/>
    </xf>
    <xf numFmtId="0" fontId="87" fillId="5" borderId="0" xfId="0" applyFont="1" applyFill="1" applyBorder="1" applyAlignment="1">
      <alignment horizontal="right"/>
    </xf>
    <xf numFmtId="0" fontId="171" fillId="5" borderId="0" xfId="0" applyFont="1" applyFill="1" applyBorder="1"/>
    <xf numFmtId="0" fontId="133" fillId="5" borderId="0" xfId="1297" applyFont="1" applyFill="1" applyBorder="1" applyAlignment="1">
      <alignment horizontal="right"/>
    </xf>
    <xf numFmtId="0" fontId="133" fillId="5" borderId="0" xfId="1297" applyFont="1" applyFill="1" applyBorder="1" applyAlignment="1">
      <alignment wrapText="1"/>
    </xf>
    <xf numFmtId="0" fontId="217" fillId="5" borderId="0" xfId="0" applyFont="1" applyFill="1" applyBorder="1" applyAlignment="1">
      <alignment wrapText="1"/>
    </xf>
    <xf numFmtId="0" fontId="218" fillId="5" borderId="0" xfId="0" applyFont="1" applyFill="1" applyBorder="1"/>
    <xf numFmtId="174" fontId="87" fillId="5" borderId="13" xfId="1" applyNumberFormat="1" applyFont="1" applyFill="1" applyBorder="1" applyAlignment="1">
      <alignment horizontal="right" vertical="center"/>
    </xf>
    <xf numFmtId="174" fontId="87" fillId="5" borderId="13" xfId="1" applyNumberFormat="1" applyFont="1" applyFill="1" applyBorder="1" applyAlignment="1">
      <alignment vertical="center"/>
    </xf>
    <xf numFmtId="175" fontId="87" fillId="5" borderId="42" xfId="2" applyFont="1" applyFill="1" applyBorder="1" applyAlignment="1">
      <alignment vertical="center"/>
    </xf>
    <xf numFmtId="0" fontId="87" fillId="5" borderId="13" xfId="0" applyFont="1" applyFill="1" applyBorder="1" applyAlignment="1">
      <alignment vertical="center"/>
    </xf>
    <xf numFmtId="0" fontId="87" fillId="5" borderId="13" xfId="0" applyFont="1" applyFill="1" applyBorder="1" applyAlignment="1">
      <alignment vertical="center" wrapText="1"/>
    </xf>
    <xf numFmtId="0" fontId="87" fillId="5" borderId="13" xfId="0" applyNumberFormat="1" applyFont="1" applyFill="1" applyBorder="1" applyAlignment="1">
      <alignment vertical="center"/>
    </xf>
    <xf numFmtId="9" fontId="87" fillId="5" borderId="13" xfId="1" applyNumberFormat="1" applyFont="1" applyFill="1" applyBorder="1" applyAlignment="1">
      <alignment vertical="center"/>
    </xf>
    <xf numFmtId="176" fontId="87" fillId="5" borderId="1" xfId="2" applyNumberFormat="1" applyFont="1" applyFill="1" applyBorder="1" applyAlignment="1">
      <alignment horizontal="right" vertical="center"/>
    </xf>
    <xf numFmtId="176" fontId="87" fillId="5" borderId="42" xfId="2" applyNumberFormat="1" applyFont="1" applyFill="1" applyBorder="1" applyAlignment="1">
      <alignment vertical="center"/>
    </xf>
    <xf numFmtId="176" fontId="87" fillId="5" borderId="0" xfId="2" applyNumberFormat="1" applyFont="1" applyFill="1" applyBorder="1" applyAlignment="1">
      <alignment vertical="center"/>
    </xf>
    <xf numFmtId="176" fontId="87" fillId="5" borderId="38" xfId="2" applyNumberFormat="1" applyFont="1" applyFill="1" applyBorder="1" applyAlignment="1">
      <alignment vertical="center"/>
    </xf>
    <xf numFmtId="9" fontId="87" fillId="5" borderId="0" xfId="0" applyNumberFormat="1" applyFont="1" applyFill="1" applyBorder="1" applyAlignment="1">
      <alignment vertical="center"/>
    </xf>
    <xf numFmtId="0" fontId="87" fillId="5" borderId="0" xfId="0" applyFont="1" applyFill="1" applyBorder="1" applyAlignment="1">
      <alignment vertical="center" wrapText="1"/>
    </xf>
    <xf numFmtId="0" fontId="115" fillId="5" borderId="12" xfId="0" applyNumberFormat="1" applyFont="1" applyFill="1" applyBorder="1" applyAlignment="1">
      <alignment horizontal="center" vertical="center"/>
    </xf>
    <xf numFmtId="0" fontId="115" fillId="5" borderId="40" xfId="0" applyNumberFormat="1" applyFont="1" applyFill="1" applyBorder="1" applyAlignment="1">
      <alignment horizontal="center" vertical="center"/>
    </xf>
    <xf numFmtId="0" fontId="87" fillId="5" borderId="38" xfId="0" applyFont="1" applyFill="1" applyBorder="1"/>
    <xf numFmtId="0" fontId="87" fillId="5" borderId="37" xfId="0" applyFont="1" applyFill="1" applyBorder="1"/>
    <xf numFmtId="0" fontId="87" fillId="5" borderId="37" xfId="0" quotePrefix="1" applyFont="1" applyFill="1" applyBorder="1" applyAlignment="1">
      <alignment horizontal="right"/>
    </xf>
    <xf numFmtId="0" fontId="0" fillId="0" borderId="0" xfId="0" applyNumberFormat="1" applyFill="1" applyBorder="1" applyAlignment="1">
      <alignment wrapText="1"/>
    </xf>
    <xf numFmtId="0" fontId="0" fillId="5" borderId="0" xfId="0" applyFill="1" applyBorder="1" applyAlignment="1">
      <alignment horizontal="right" vertical="top"/>
    </xf>
    <xf numFmtId="0" fontId="219" fillId="5" borderId="1" xfId="0" applyNumberFormat="1" applyFont="1" applyFill="1" applyBorder="1" applyAlignment="1">
      <alignment horizontal="right" vertical="center"/>
    </xf>
    <xf numFmtId="0" fontId="219" fillId="5" borderId="42" xfId="0" applyNumberFormat="1" applyFont="1" applyFill="1" applyBorder="1" applyAlignment="1">
      <alignment horizontal="right" vertical="center"/>
    </xf>
    <xf numFmtId="9" fontId="217" fillId="5" borderId="41" xfId="0" applyNumberFormat="1" applyFont="1" applyFill="1" applyBorder="1" applyAlignment="1">
      <alignment vertical="center"/>
    </xf>
    <xf numFmtId="0" fontId="217" fillId="5" borderId="1" xfId="0" applyFont="1" applyFill="1" applyBorder="1" applyAlignment="1">
      <alignment vertical="center" wrapText="1"/>
    </xf>
    <xf numFmtId="0" fontId="217" fillId="5" borderId="1" xfId="0" applyNumberFormat="1" applyFont="1" applyFill="1" applyBorder="1" applyAlignment="1">
      <alignment vertical="center"/>
    </xf>
    <xf numFmtId="0" fontId="115" fillId="5" borderId="34" xfId="0" applyNumberFormat="1" applyFont="1" applyFill="1" applyBorder="1" applyAlignment="1">
      <alignment horizontal="right" vertical="center"/>
    </xf>
    <xf numFmtId="9" fontId="87" fillId="5" borderId="65" xfId="0" applyNumberFormat="1" applyFont="1" applyFill="1" applyBorder="1" applyAlignment="1">
      <alignment vertical="center"/>
    </xf>
    <xf numFmtId="0" fontId="87" fillId="5" borderId="32" xfId="0" applyFont="1" applyFill="1" applyBorder="1" applyAlignment="1">
      <alignment vertical="center" wrapText="1"/>
    </xf>
    <xf numFmtId="0" fontId="87" fillId="5" borderId="32" xfId="0" applyNumberFormat="1" applyFont="1" applyFill="1" applyBorder="1" applyAlignment="1">
      <alignment vertical="center"/>
    </xf>
    <xf numFmtId="0" fontId="115" fillId="5" borderId="70" xfId="0" applyNumberFormat="1" applyFont="1" applyFill="1" applyBorder="1" applyAlignment="1">
      <alignment horizontal="right" vertical="center"/>
    </xf>
    <xf numFmtId="0" fontId="115" fillId="5" borderId="74" xfId="0" applyNumberFormat="1" applyFont="1" applyFill="1" applyBorder="1" applyAlignment="1">
      <alignment horizontal="right" vertical="center"/>
    </xf>
    <xf numFmtId="0" fontId="115" fillId="5" borderId="39" xfId="0" applyFont="1" applyFill="1" applyBorder="1" applyAlignment="1">
      <alignment vertical="center"/>
    </xf>
    <xf numFmtId="0" fontId="115" fillId="5" borderId="70" xfId="0" applyFont="1" applyFill="1" applyBorder="1" applyAlignment="1">
      <alignment vertical="center" wrapText="1"/>
    </xf>
    <xf numFmtId="0" fontId="115" fillId="5" borderId="70" xfId="0" applyFont="1" applyFill="1" applyBorder="1" applyAlignment="1">
      <alignment vertical="center"/>
    </xf>
    <xf numFmtId="0" fontId="171" fillId="5" borderId="0" xfId="0" applyFont="1" applyFill="1" applyBorder="1" applyAlignment="1">
      <alignment horizontal="right"/>
    </xf>
    <xf numFmtId="178" fontId="87" fillId="5" borderId="0" xfId="2" applyNumberFormat="1" applyFont="1" applyFill="1" applyBorder="1" applyAlignment="1">
      <alignment vertical="center"/>
    </xf>
    <xf numFmtId="177" fontId="87" fillId="5" borderId="0" xfId="2" applyNumberFormat="1" applyFont="1" applyFill="1" applyBorder="1" applyAlignment="1">
      <alignment vertical="center"/>
    </xf>
    <xf numFmtId="0" fontId="87" fillId="5" borderId="0" xfId="0" applyFont="1" applyFill="1" applyBorder="1" applyAlignment="1">
      <alignment vertical="center"/>
    </xf>
    <xf numFmtId="0" fontId="115" fillId="5" borderId="1" xfId="0" applyNumberFormat="1" applyFont="1" applyFill="1" applyBorder="1" applyAlignment="1">
      <alignment horizontal="right" vertical="center"/>
    </xf>
    <xf numFmtId="9" fontId="87" fillId="5" borderId="1" xfId="0" applyNumberFormat="1" applyFont="1" applyFill="1" applyBorder="1" applyAlignment="1">
      <alignment vertical="center"/>
    </xf>
    <xf numFmtId="0" fontId="87" fillId="5" borderId="1" xfId="0" applyFont="1" applyFill="1" applyBorder="1" applyAlignment="1">
      <alignment vertical="center" wrapText="1"/>
    </xf>
    <xf numFmtId="0" fontId="87" fillId="5" borderId="1" xfId="0" applyFont="1" applyFill="1" applyBorder="1"/>
    <xf numFmtId="0" fontId="87" fillId="5" borderId="1" xfId="0" applyFont="1" applyFill="1" applyBorder="1" applyAlignment="1">
      <alignment wrapText="1"/>
    </xf>
    <xf numFmtId="177" fontId="87" fillId="5" borderId="38" xfId="2" applyNumberFormat="1" applyFont="1" applyFill="1" applyBorder="1" applyAlignment="1">
      <alignment vertical="center"/>
    </xf>
    <xf numFmtId="0" fontId="87" fillId="5" borderId="37" xfId="0" applyFont="1" applyFill="1" applyBorder="1" applyAlignment="1">
      <alignment vertical="center"/>
    </xf>
    <xf numFmtId="0" fontId="171" fillId="5" borderId="0" xfId="0" applyFont="1" applyFill="1" applyBorder="1" applyAlignment="1">
      <alignment vertical="center" wrapText="1"/>
    </xf>
    <xf numFmtId="177" fontId="87" fillId="5" borderId="42" xfId="2" applyNumberFormat="1" applyFont="1" applyFill="1" applyBorder="1" applyAlignment="1">
      <alignment vertical="center"/>
    </xf>
    <xf numFmtId="0" fontId="87" fillId="5" borderId="41" xfId="0" applyFont="1" applyFill="1" applyBorder="1" applyAlignment="1">
      <alignment vertical="center"/>
    </xf>
    <xf numFmtId="0" fontId="87" fillId="5" borderId="1" xfId="0" applyFont="1" applyFill="1" applyBorder="1" applyAlignment="1">
      <alignment vertical="center"/>
    </xf>
    <xf numFmtId="9" fontId="87" fillId="5" borderId="37" xfId="0" applyNumberFormat="1" applyFont="1" applyFill="1" applyBorder="1" applyAlignment="1">
      <alignment vertical="center"/>
    </xf>
    <xf numFmtId="0" fontId="115" fillId="5" borderId="40" xfId="0" applyNumberFormat="1" applyFont="1" applyFill="1" applyBorder="1" applyAlignment="1">
      <alignment horizontal="right" vertical="center"/>
    </xf>
    <xf numFmtId="177" fontId="87" fillId="5" borderId="1" xfId="2" applyNumberFormat="1" applyFont="1" applyFill="1" applyBorder="1" applyAlignment="1">
      <alignment vertical="center"/>
    </xf>
    <xf numFmtId="0" fontId="68" fillId="5" borderId="38" xfId="0" applyFont="1" applyFill="1" applyBorder="1"/>
    <xf numFmtId="0" fontId="68" fillId="5" borderId="37" xfId="0" applyFont="1" applyFill="1" applyBorder="1"/>
    <xf numFmtId="0" fontId="78" fillId="5" borderId="0" xfId="0" applyFont="1" applyFill="1" applyBorder="1" applyAlignment="1">
      <alignment horizontal="right"/>
    </xf>
    <xf numFmtId="0" fontId="68" fillId="5" borderId="0" xfId="0" quotePrefix="1" applyFont="1" applyFill="1" applyBorder="1" applyAlignment="1">
      <alignment horizontal="right"/>
    </xf>
    <xf numFmtId="0" fontId="54" fillId="5" borderId="0" xfId="0" applyFont="1" applyFill="1" applyBorder="1" applyAlignment="1">
      <alignment vertical="center"/>
    </xf>
    <xf numFmtId="11" fontId="0" fillId="5" borderId="0" xfId="0" applyNumberFormat="1" applyFill="1" applyBorder="1" applyAlignment="1">
      <alignment vertical="center"/>
    </xf>
    <xf numFmtId="0" fontId="114" fillId="5" borderId="40" xfId="0" applyNumberFormat="1" applyFont="1" applyFill="1" applyBorder="1" applyAlignment="1">
      <alignment horizontal="right" vertical="center"/>
    </xf>
    <xf numFmtId="0" fontId="114" fillId="5" borderId="12" xfId="0" applyFont="1" applyFill="1" applyBorder="1" applyAlignment="1">
      <alignment vertical="center" wrapText="1"/>
    </xf>
    <xf numFmtId="0" fontId="62" fillId="5" borderId="1" xfId="0" applyNumberFormat="1" applyFont="1" applyFill="1" applyBorder="1" applyAlignment="1">
      <alignment vertical="center"/>
    </xf>
    <xf numFmtId="0" fontId="62" fillId="5" borderId="4" xfId="0" applyFont="1" applyFill="1" applyBorder="1" applyAlignment="1">
      <alignment horizontal="center"/>
    </xf>
    <xf numFmtId="171" fontId="62" fillId="5" borderId="5" xfId="0" applyNumberFormat="1" applyFont="1" applyFill="1" applyBorder="1" applyAlignment="1">
      <alignment horizontal="center" vertical="center"/>
    </xf>
    <xf numFmtId="0" fontId="62" fillId="5" borderId="5" xfId="0" applyNumberFormat="1" applyFont="1" applyFill="1" applyBorder="1" applyAlignment="1">
      <alignment vertical="center"/>
    </xf>
    <xf numFmtId="2" fontId="0" fillId="5" borderId="0" xfId="0" applyNumberFormat="1" applyFill="1" applyBorder="1" applyAlignment="1">
      <alignment horizontal="center" vertical="top"/>
    </xf>
    <xf numFmtId="0" fontId="62" fillId="5" borderId="1" xfId="0" applyFont="1" applyFill="1" applyBorder="1" applyAlignment="1">
      <alignment horizontal="center" vertical="center" wrapText="1"/>
    </xf>
    <xf numFmtId="0" fontId="62" fillId="5" borderId="7" xfId="0" applyFont="1" applyFill="1" applyBorder="1" applyAlignment="1">
      <alignment horizontal="center"/>
    </xf>
    <xf numFmtId="0" fontId="171" fillId="5" borderId="0" xfId="0" applyFont="1" applyFill="1" applyBorder="1" applyAlignment="1">
      <alignment horizontal="left"/>
    </xf>
    <xf numFmtId="0" fontId="0" fillId="0" borderId="0" xfId="0" applyAlignment="1">
      <alignment vertical="top" wrapText="1"/>
    </xf>
    <xf numFmtId="0" fontId="0" fillId="0" borderId="0" xfId="0" applyFill="1" applyAlignment="1">
      <alignment vertical="top" wrapText="1"/>
    </xf>
    <xf numFmtId="0" fontId="54" fillId="5" borderId="33" xfId="0" applyFont="1" applyFill="1" applyBorder="1" applyAlignment="1">
      <alignment vertical="top" wrapText="1"/>
    </xf>
    <xf numFmtId="0" fontId="0" fillId="8" borderId="26" xfId="0" applyFill="1" applyBorder="1" applyAlignment="1">
      <alignment horizontal="left" vertical="center"/>
    </xf>
    <xf numFmtId="179" fontId="0" fillId="5" borderId="38" xfId="1" applyFont="1" applyFill="1" applyBorder="1" applyAlignment="1">
      <alignment vertical="center"/>
    </xf>
    <xf numFmtId="0" fontId="0" fillId="5" borderId="0" xfId="0" applyNumberFormat="1" applyFill="1" applyBorder="1" applyAlignment="1">
      <alignment vertical="center" wrapText="1"/>
    </xf>
    <xf numFmtId="0" fontId="62" fillId="5" borderId="38" xfId="0" applyFont="1" applyFill="1" applyBorder="1" applyAlignment="1">
      <alignment horizontal="left"/>
    </xf>
    <xf numFmtId="0" fontId="59" fillId="5" borderId="11" xfId="0" applyNumberFormat="1" applyFont="1" applyFill="1" applyBorder="1" applyAlignment="1">
      <alignment horizontal="center" vertical="center"/>
    </xf>
    <xf numFmtId="0" fontId="59" fillId="5" borderId="92" xfId="0" applyNumberFormat="1" applyFont="1" applyFill="1" applyBorder="1" applyAlignment="1">
      <alignment horizontal="center" vertical="center"/>
    </xf>
    <xf numFmtId="0" fontId="62" fillId="5" borderId="38" xfId="0" applyFont="1" applyFill="1" applyBorder="1" applyAlignment="1">
      <alignment horizontal="center"/>
    </xf>
    <xf numFmtId="186" fontId="0" fillId="5" borderId="1" xfId="1" applyNumberFormat="1" applyFont="1" applyFill="1" applyBorder="1" applyAlignment="1">
      <alignment horizontal="right" vertical="center"/>
    </xf>
    <xf numFmtId="186" fontId="0" fillId="5" borderId="0" xfId="1" applyNumberFormat="1" applyFont="1" applyFill="1" applyBorder="1" applyAlignment="1">
      <alignment vertical="center"/>
    </xf>
    <xf numFmtId="0" fontId="62" fillId="5" borderId="0" xfId="0" applyFont="1" applyFill="1" applyBorder="1" applyAlignment="1">
      <alignment horizontal="centerContinuous" vertical="center"/>
    </xf>
    <xf numFmtId="0" fontId="0" fillId="8" borderId="93" xfId="0" applyFill="1" applyBorder="1" applyAlignment="1">
      <alignment vertical="center"/>
    </xf>
    <xf numFmtId="0" fontId="0" fillId="0" borderId="93" xfId="0" applyBorder="1"/>
    <xf numFmtId="0" fontId="0" fillId="7" borderId="22" xfId="0" applyFill="1" applyBorder="1" applyAlignment="1">
      <alignment wrapText="1"/>
    </xf>
    <xf numFmtId="0" fontId="0" fillId="7" borderId="1" xfId="0" applyFill="1" applyBorder="1" applyAlignment="1">
      <alignment vertical="center" wrapText="1"/>
    </xf>
    <xf numFmtId="0" fontId="0" fillId="7" borderId="10" xfId="0" applyFill="1" applyBorder="1" applyAlignment="1">
      <alignment vertical="center" wrapText="1"/>
    </xf>
    <xf numFmtId="0" fontId="62" fillId="7" borderId="12" xfId="0" applyFont="1" applyFill="1" applyBorder="1" applyAlignment="1">
      <alignment vertical="center" wrapText="1"/>
    </xf>
    <xf numFmtId="0" fontId="188" fillId="0" borderId="0" xfId="0" applyFont="1" applyBorder="1" applyAlignment="1">
      <alignment vertical="center"/>
    </xf>
    <xf numFmtId="0" fontId="188" fillId="0" borderId="0" xfId="0" applyFont="1" applyBorder="1" applyAlignment="1">
      <alignment horizontal="left" vertical="center" wrapText="1"/>
    </xf>
    <xf numFmtId="180" fontId="0" fillId="0" borderId="0" xfId="0" applyNumberFormat="1" applyFill="1" applyBorder="1"/>
    <xf numFmtId="1" fontId="0" fillId="0" borderId="0" xfId="1" applyNumberFormat="1" applyFont="1" applyFill="1" applyBorder="1"/>
    <xf numFmtId="0" fontId="62" fillId="17" borderId="66" xfId="0" applyFont="1" applyFill="1" applyBorder="1"/>
    <xf numFmtId="0" fontId="62" fillId="5" borderId="33" xfId="0" applyFont="1" applyFill="1" applyBorder="1" applyAlignment="1">
      <alignment horizontal="left"/>
    </xf>
    <xf numFmtId="172" fontId="87" fillId="5" borderId="34" xfId="0" applyNumberFormat="1" applyFont="1" applyFill="1" applyBorder="1"/>
    <xf numFmtId="178" fontId="51" fillId="5" borderId="0" xfId="0" applyNumberFormat="1" applyFont="1" applyFill="1" applyBorder="1" applyAlignment="1">
      <alignment horizontal="right" vertical="center"/>
    </xf>
    <xf numFmtId="178" fontId="0" fillId="5" borderId="0" xfId="1" applyNumberFormat="1" applyFont="1" applyFill="1" applyBorder="1" applyAlignment="1">
      <alignment vertical="center"/>
    </xf>
    <xf numFmtId="0" fontId="87" fillId="5" borderId="34" xfId="0" applyFont="1" applyFill="1" applyBorder="1" applyAlignment="1">
      <alignment horizontal="right"/>
    </xf>
    <xf numFmtId="179" fontId="0" fillId="5" borderId="0" xfId="1" applyFont="1" applyFill="1" applyBorder="1" applyAlignment="1">
      <alignment horizontal="center" vertical="center"/>
    </xf>
    <xf numFmtId="171" fontId="151" fillId="3" borderId="3" xfId="930" applyNumberFormat="1"/>
    <xf numFmtId="0" fontId="75" fillId="0" borderId="0" xfId="1448" applyFont="1" applyFill="1" applyAlignment="1">
      <alignment horizontal="center"/>
    </xf>
    <xf numFmtId="0" fontId="75" fillId="0" borderId="0" xfId="1448" applyFont="1" applyFill="1" applyAlignment="1"/>
    <xf numFmtId="0" fontId="76" fillId="0" borderId="0" xfId="1448" applyFont="1" applyFill="1"/>
    <xf numFmtId="0" fontId="71" fillId="0" borderId="0" xfId="1448" applyFont="1" applyFill="1"/>
    <xf numFmtId="0" fontId="71" fillId="0" borderId="0" xfId="1448" applyFont="1" applyFill="1" applyBorder="1" applyAlignment="1" applyProtection="1">
      <alignment horizontal="center"/>
      <protection locked="0"/>
    </xf>
    <xf numFmtId="0" fontId="71" fillId="0" borderId="0" xfId="1448" applyFont="1" applyFill="1" applyAlignment="1">
      <alignment horizontal="center"/>
    </xf>
    <xf numFmtId="0" fontId="221" fillId="0" borderId="0" xfId="1448"/>
    <xf numFmtId="0" fontId="71" fillId="0" borderId="0" xfId="1448" applyFont="1" applyAlignment="1">
      <alignment horizontal="center"/>
    </xf>
    <xf numFmtId="0" fontId="76" fillId="0" borderId="0" xfId="1448" applyFont="1" applyFill="1" applyAlignment="1">
      <alignment horizontal="left"/>
    </xf>
    <xf numFmtId="0" fontId="76" fillId="0" borderId="0" xfId="1448" applyFont="1" applyFill="1" applyBorder="1" applyAlignment="1">
      <alignment horizontal="left"/>
    </xf>
    <xf numFmtId="0" fontId="221" fillId="0" borderId="0" xfId="1448" applyAlignment="1">
      <alignment horizontal="center"/>
    </xf>
    <xf numFmtId="0" fontId="76" fillId="0" borderId="0" xfId="1448" applyFont="1"/>
    <xf numFmtId="0" fontId="71" fillId="0" borderId="0" xfId="1448" applyFont="1"/>
    <xf numFmtId="2" fontId="71" fillId="0" borderId="0" xfId="1448" applyNumberFormat="1" applyFont="1" applyFill="1" applyAlignment="1">
      <alignment horizontal="center"/>
    </xf>
    <xf numFmtId="2" fontId="91" fillId="0" borderId="0" xfId="1448" applyNumberFormat="1" applyFont="1" applyFill="1" applyAlignment="1">
      <alignment horizontal="center"/>
    </xf>
    <xf numFmtId="0" fontId="76" fillId="0" borderId="1" xfId="1448" applyFont="1" applyFill="1" applyBorder="1"/>
    <xf numFmtId="0" fontId="76" fillId="0" borderId="1" xfId="1448" applyFont="1" applyFill="1" applyBorder="1" applyAlignment="1">
      <alignment horizontal="center"/>
    </xf>
    <xf numFmtId="2" fontId="91" fillId="0" borderId="0" xfId="1448" applyNumberFormat="1" applyFont="1" applyFill="1" applyBorder="1" applyAlignment="1">
      <alignment horizontal="center"/>
    </xf>
    <xf numFmtId="2" fontId="71" fillId="0" borderId="0" xfId="1448" applyNumberFormat="1" applyFont="1" applyFill="1" applyBorder="1" applyAlignment="1">
      <alignment horizontal="left"/>
    </xf>
    <xf numFmtId="0" fontId="71" fillId="0" borderId="0" xfId="1448" applyFont="1" applyFill="1" applyBorder="1"/>
    <xf numFmtId="192" fontId="71" fillId="0" borderId="0" xfId="1448" applyNumberFormat="1" applyFont="1" applyFill="1" applyBorder="1" applyAlignment="1" applyProtection="1">
      <alignment horizontal="left"/>
      <protection locked="0"/>
    </xf>
    <xf numFmtId="2" fontId="158" fillId="0" borderId="0" xfId="1448" applyNumberFormat="1" applyFont="1" applyFill="1" applyAlignment="1">
      <alignment horizontal="center"/>
    </xf>
    <xf numFmtId="0" fontId="156" fillId="0" borderId="1" xfId="1448" applyFont="1" applyFill="1" applyBorder="1" applyAlignment="1" applyProtection="1">
      <alignment horizontal="center"/>
      <protection locked="0"/>
    </xf>
    <xf numFmtId="0" fontId="156" fillId="0" borderId="0" xfId="1448" applyFont="1" applyFill="1" applyBorder="1" applyAlignment="1" applyProtection="1">
      <alignment horizontal="left"/>
      <protection locked="0"/>
    </xf>
    <xf numFmtId="0" fontId="156" fillId="0" borderId="0" xfId="1448" applyFont="1" applyFill="1" applyBorder="1" applyAlignment="1" applyProtection="1">
      <alignment horizontal="center"/>
      <protection locked="0"/>
    </xf>
    <xf numFmtId="174" fontId="152" fillId="0" borderId="0" xfId="931" applyNumberFormat="1" applyAlignment="1">
      <alignment vertical="center"/>
    </xf>
    <xf numFmtId="174" fontId="152" fillId="0" borderId="0" xfId="931" applyNumberFormat="1"/>
    <xf numFmtId="0" fontId="71" fillId="0" borderId="0" xfId="1448" applyFont="1" applyBorder="1"/>
    <xf numFmtId="2" fontId="158" fillId="0" borderId="0" xfId="1448" applyNumberFormat="1" applyFont="1" applyFill="1" applyBorder="1" applyAlignment="1">
      <alignment horizontal="center"/>
    </xf>
    <xf numFmtId="164" fontId="71" fillId="0" borderId="0" xfId="1448" applyNumberFormat="1" applyFont="1"/>
    <xf numFmtId="0" fontId="159" fillId="0" borderId="0" xfId="1448" applyFont="1" applyFill="1" applyBorder="1" applyAlignment="1" applyProtection="1">
      <alignment horizontal="left"/>
      <protection locked="0"/>
    </xf>
    <xf numFmtId="0" fontId="158" fillId="0" borderId="1" xfId="1448" applyFont="1" applyFill="1" applyBorder="1"/>
    <xf numFmtId="0" fontId="158" fillId="0" borderId="1" xfId="1448" applyFont="1" applyFill="1" applyBorder="1" applyAlignment="1">
      <alignment horizontal="center"/>
    </xf>
    <xf numFmtId="2" fontId="158" fillId="0" borderId="1" xfId="1448" applyNumberFormat="1" applyFont="1" applyFill="1" applyBorder="1" applyAlignment="1">
      <alignment horizontal="center"/>
    </xf>
    <xf numFmtId="0" fontId="133" fillId="0" borderId="0" xfId="1448" applyFont="1" applyFill="1"/>
    <xf numFmtId="9" fontId="71" fillId="0" borderId="0" xfId="1448" applyNumberFormat="1" applyFont="1"/>
    <xf numFmtId="0" fontId="159" fillId="0" borderId="0" xfId="1448" applyFont="1" applyFill="1" applyBorder="1" applyAlignment="1">
      <alignment horizontal="center" wrapText="1"/>
    </xf>
    <xf numFmtId="0" fontId="71" fillId="0" borderId="0" xfId="1448" applyFont="1" applyFill="1" applyAlignment="1">
      <alignment horizontal="center" wrapText="1"/>
    </xf>
    <xf numFmtId="0" fontId="156" fillId="0" borderId="0" xfId="1448" applyFont="1" applyFill="1" applyAlignment="1">
      <alignment horizontal="center"/>
    </xf>
    <xf numFmtId="2" fontId="158" fillId="0" borderId="0" xfId="1448" applyNumberFormat="1" applyFont="1" applyAlignment="1">
      <alignment horizontal="center"/>
    </xf>
    <xf numFmtId="0" fontId="159" fillId="0" borderId="0" xfId="1448" applyFont="1" applyFill="1" applyAlignment="1">
      <alignment horizontal="center" wrapText="1"/>
    </xf>
    <xf numFmtId="2" fontId="221" fillId="0" borderId="0" xfId="1448" applyNumberFormat="1"/>
    <xf numFmtId="2" fontId="71" fillId="0" borderId="0" xfId="1448" applyNumberFormat="1" applyFont="1"/>
    <xf numFmtId="0" fontId="156" fillId="0" borderId="0" xfId="1448" applyFont="1" applyFill="1" applyAlignment="1">
      <alignment horizontal="right"/>
    </xf>
    <xf numFmtId="0" fontId="156" fillId="0" borderId="0" xfId="1448" applyFont="1" applyFill="1"/>
    <xf numFmtId="0" fontId="76" fillId="0" borderId="0" xfId="1448" applyFont="1" applyAlignment="1">
      <alignment horizontal="center" wrapText="1"/>
    </xf>
    <xf numFmtId="9" fontId="221" fillId="0" borderId="0" xfId="1448" applyNumberFormat="1"/>
    <xf numFmtId="9" fontId="221" fillId="0" borderId="0" xfId="1448" applyNumberFormat="1" applyAlignment="1">
      <alignment horizontal="center"/>
    </xf>
    <xf numFmtId="0" fontId="156" fillId="0" borderId="0" xfId="0" applyFont="1" applyFill="1" applyBorder="1" applyAlignment="1" applyProtection="1">
      <alignment horizontal="left"/>
      <protection locked="0"/>
    </xf>
    <xf numFmtId="174" fontId="0" fillId="0" borderId="0" xfId="0" applyNumberFormat="1"/>
    <xf numFmtId="0" fontId="52" fillId="0" borderId="0" xfId="1504"/>
    <xf numFmtId="0" fontId="65" fillId="0" borderId="0" xfId="1504" applyFont="1"/>
    <xf numFmtId="0" fontId="52" fillId="0" borderId="50" xfId="1504" applyFill="1" applyBorder="1"/>
    <xf numFmtId="9" fontId="52" fillId="0" borderId="49" xfId="1504" applyNumberFormat="1" applyFill="1" applyBorder="1"/>
    <xf numFmtId="0" fontId="52" fillId="0" borderId="1" xfId="1504" applyFont="1" applyFill="1" applyBorder="1"/>
    <xf numFmtId="0" fontId="52" fillId="0" borderId="51" xfId="1504" applyFont="1" applyFill="1" applyBorder="1"/>
    <xf numFmtId="0" fontId="52" fillId="0" borderId="49" xfId="1504" applyFont="1" applyFill="1" applyBorder="1"/>
    <xf numFmtId="0" fontId="52" fillId="0" borderId="48" xfId="1504" applyFill="1" applyBorder="1"/>
    <xf numFmtId="9" fontId="52" fillId="0" borderId="47" xfId="1504" applyNumberFormat="1" applyFill="1" applyBorder="1"/>
    <xf numFmtId="0" fontId="52" fillId="0" borderId="0" xfId="1504" applyFont="1" applyFill="1" applyBorder="1"/>
    <xf numFmtId="0" fontId="52" fillId="0" borderId="47" xfId="1504" applyFont="1" applyFill="1" applyBorder="1"/>
    <xf numFmtId="0" fontId="52" fillId="0" borderId="48" xfId="1504" applyBorder="1"/>
    <xf numFmtId="9" fontId="52" fillId="0" borderId="47" xfId="1504" applyNumberFormat="1" applyBorder="1"/>
    <xf numFmtId="0" fontId="52" fillId="0" borderId="0" xfId="1504" applyBorder="1"/>
    <xf numFmtId="0" fontId="52" fillId="0" borderId="47" xfId="1504" applyBorder="1"/>
    <xf numFmtId="0" fontId="52" fillId="0" borderId="0" xfId="1504" applyBorder="1" applyAlignment="1">
      <alignment horizontal="right"/>
    </xf>
    <xf numFmtId="0" fontId="52" fillId="0" borderId="46" xfId="1504" applyBorder="1"/>
    <xf numFmtId="0" fontId="52" fillId="0" borderId="45" xfId="1504" applyBorder="1"/>
    <xf numFmtId="0" fontId="62" fillId="0" borderId="76" xfId="1504" applyFont="1" applyBorder="1" applyAlignment="1">
      <alignment horizontal="right"/>
    </xf>
    <xf numFmtId="0" fontId="62" fillId="0" borderId="75" xfId="1504" applyFont="1" applyBorder="1" applyAlignment="1">
      <alignment horizontal="right"/>
    </xf>
    <xf numFmtId="0" fontId="62" fillId="0" borderId="4" xfId="1504" applyFont="1" applyBorder="1" applyAlignment="1">
      <alignment horizontal="right"/>
    </xf>
    <xf numFmtId="0" fontId="62" fillId="0" borderId="75" xfId="1504" applyFont="1" applyBorder="1" applyAlignment="1">
      <alignment horizontal="left"/>
    </xf>
    <xf numFmtId="171" fontId="52" fillId="0" borderId="0" xfId="1504" applyNumberFormat="1"/>
    <xf numFmtId="0" fontId="64" fillId="0" borderId="0" xfId="1504" applyFont="1"/>
    <xf numFmtId="177" fontId="0" fillId="0" borderId="1" xfId="1505" applyNumberFormat="1" applyFont="1" applyBorder="1"/>
    <xf numFmtId="0" fontId="52" fillId="0" borderId="49" xfId="1504" applyBorder="1"/>
    <xf numFmtId="180" fontId="52" fillId="0" borderId="0" xfId="1504" applyNumberFormat="1" applyFont="1" applyFill="1" applyBorder="1"/>
    <xf numFmtId="180" fontId="52" fillId="0" borderId="0" xfId="7" applyNumberFormat="1" applyFont="1" applyFill="1" applyBorder="1"/>
    <xf numFmtId="10" fontId="52" fillId="0" borderId="0" xfId="1504" applyNumberFormat="1" applyFont="1" applyFill="1" applyBorder="1"/>
    <xf numFmtId="0" fontId="52" fillId="0" borderId="7" xfId="1504" applyBorder="1"/>
    <xf numFmtId="0" fontId="52" fillId="0" borderId="1" xfId="1504" applyBorder="1"/>
    <xf numFmtId="0" fontId="52" fillId="0" borderId="1" xfId="1504" applyBorder="1" applyAlignment="1">
      <alignment horizontal="center"/>
    </xf>
    <xf numFmtId="176" fontId="0" fillId="0" borderId="1" xfId="1505" applyNumberFormat="1" applyFont="1" applyBorder="1" applyAlignment="1">
      <alignment vertical="center"/>
    </xf>
    <xf numFmtId="0" fontId="52" fillId="0" borderId="0" xfId="1504" applyAlignment="1">
      <alignment horizontal="center"/>
    </xf>
    <xf numFmtId="176" fontId="0" fillId="0" borderId="0" xfId="1505" applyNumberFormat="1" applyFont="1" applyAlignment="1">
      <alignment vertical="center"/>
    </xf>
    <xf numFmtId="0" fontId="62" fillId="0" borderId="12" xfId="1504" applyFont="1" applyFill="1" applyBorder="1" applyAlignment="1">
      <alignment horizontal="center" vertical="center"/>
    </xf>
    <xf numFmtId="0" fontId="52" fillId="0" borderId="0" xfId="1504" applyBorder="1" applyAlignment="1">
      <alignment vertical="center"/>
    </xf>
    <xf numFmtId="177" fontId="0" fillId="0" borderId="0" xfId="1505" applyNumberFormat="1" applyFont="1"/>
    <xf numFmtId="0" fontId="52" fillId="0" borderId="0" xfId="1504" applyAlignment="1">
      <alignment horizontal="right"/>
    </xf>
    <xf numFmtId="0" fontId="52" fillId="0" borderId="0" xfId="1504" applyAlignment="1">
      <alignment vertical="center"/>
    </xf>
    <xf numFmtId="0" fontId="54" fillId="0" borderId="0" xfId="1504" applyFont="1"/>
    <xf numFmtId="176" fontId="52" fillId="0" borderId="0" xfId="1504" applyNumberFormat="1"/>
    <xf numFmtId="0" fontId="62" fillId="0" borderId="0" xfId="1504" applyFont="1"/>
    <xf numFmtId="0" fontId="52" fillId="0" borderId="1" xfId="1504" applyBorder="1" applyAlignment="1">
      <alignment vertical="center"/>
    </xf>
    <xf numFmtId="0" fontId="67" fillId="0" borderId="0" xfId="1504" applyFont="1" applyBorder="1" applyAlignment="1">
      <alignment horizontal="left" vertical="center"/>
    </xf>
    <xf numFmtId="0" fontId="62" fillId="0" borderId="2" xfId="1504" applyFont="1" applyBorder="1" applyAlignment="1">
      <alignment horizontal="left" vertical="center"/>
    </xf>
    <xf numFmtId="0" fontId="62" fillId="0" borderId="2" xfId="1504" applyFont="1" applyBorder="1" applyAlignment="1">
      <alignment horizontal="center" vertical="center"/>
    </xf>
    <xf numFmtId="0" fontId="52" fillId="0" borderId="0" xfId="1504" applyFill="1" applyBorder="1" applyAlignment="1">
      <alignment vertical="center"/>
    </xf>
    <xf numFmtId="11" fontId="52" fillId="0" borderId="0" xfId="1504" applyNumberFormat="1"/>
    <xf numFmtId="175" fontId="0" fillId="0" borderId="0" xfId="1505" applyFont="1" applyAlignment="1">
      <alignment vertical="center"/>
    </xf>
    <xf numFmtId="11" fontId="52" fillId="0" borderId="0" xfId="1504" applyNumberFormat="1" applyBorder="1" applyAlignment="1">
      <alignment vertical="center"/>
    </xf>
    <xf numFmtId="0" fontId="81" fillId="0" borderId="0" xfId="1504" applyFont="1"/>
    <xf numFmtId="0" fontId="65" fillId="0" borderId="0" xfId="1504" applyFont="1" applyFill="1" applyBorder="1" applyAlignment="1">
      <alignment vertical="center"/>
    </xf>
    <xf numFmtId="11" fontId="52" fillId="0" borderId="1" xfId="1504" applyNumberFormat="1" applyBorder="1" applyAlignment="1">
      <alignment vertical="center"/>
    </xf>
    <xf numFmtId="169" fontId="52" fillId="0" borderId="0" xfId="1504" applyNumberFormat="1"/>
    <xf numFmtId="0" fontId="62" fillId="0" borderId="2" xfId="1504" applyFont="1" applyBorder="1" applyAlignment="1">
      <alignment horizontal="right" vertical="center"/>
    </xf>
    <xf numFmtId="0" fontId="52" fillId="0" borderId="0" xfId="1504" applyFont="1"/>
    <xf numFmtId="0" fontId="52" fillId="0" borderId="0" xfId="1504" applyFont="1" applyBorder="1" applyAlignment="1">
      <alignment horizontal="left" vertical="center"/>
    </xf>
    <xf numFmtId="0" fontId="62" fillId="0" borderId="11" xfId="1504" applyFont="1" applyBorder="1" applyAlignment="1">
      <alignment horizontal="right" vertical="center"/>
    </xf>
    <xf numFmtId="0" fontId="62" fillId="0" borderId="11" xfId="1504" applyFont="1" applyBorder="1" applyAlignment="1">
      <alignment horizontal="left" vertical="center"/>
    </xf>
    <xf numFmtId="173" fontId="0" fillId="0" borderId="0" xfId="1505" applyNumberFormat="1" applyFont="1"/>
    <xf numFmtId="3" fontId="52" fillId="0" borderId="1" xfId="1504" applyNumberFormat="1" applyBorder="1" applyAlignment="1">
      <alignment vertical="center"/>
    </xf>
    <xf numFmtId="0" fontId="52" fillId="62" borderId="0" xfId="1504" applyFill="1"/>
    <xf numFmtId="0" fontId="52" fillId="0" borderId="10" xfId="1504" applyFont="1" applyBorder="1" applyAlignment="1">
      <alignment horizontal="left" vertical="center"/>
    </xf>
    <xf numFmtId="0" fontId="52" fillId="0" borderId="0" xfId="1504" applyBorder="1" applyAlignment="1">
      <alignment horizontal="right" vertical="center"/>
    </xf>
    <xf numFmtId="0" fontId="52" fillId="0" borderId="0" xfId="1504" applyAlignment="1">
      <alignment horizontal="left"/>
    </xf>
    <xf numFmtId="0" fontId="76" fillId="0" borderId="0" xfId="6" applyFont="1" applyFill="1" applyBorder="1" applyAlignment="1">
      <alignment horizontal="center" wrapText="1"/>
    </xf>
    <xf numFmtId="178" fontId="68" fillId="5" borderId="0" xfId="1505" applyNumberFormat="1" applyFont="1" applyFill="1" applyBorder="1" applyAlignment="1">
      <alignment vertical="center"/>
    </xf>
    <xf numFmtId="178" fontId="0" fillId="5" borderId="0" xfId="1505" applyNumberFormat="1" applyFont="1" applyFill="1" applyBorder="1" applyAlignment="1">
      <alignment vertical="center"/>
    </xf>
    <xf numFmtId="0" fontId="68" fillId="5" borderId="0" xfId="1504" applyFont="1" applyFill="1" applyBorder="1"/>
    <xf numFmtId="174" fontId="151" fillId="3" borderId="3" xfId="930" applyNumberFormat="1"/>
    <xf numFmtId="171" fontId="142" fillId="31" borderId="3" xfId="910" applyNumberFormat="1"/>
    <xf numFmtId="1" fontId="142" fillId="31" borderId="3" xfId="910" applyNumberFormat="1"/>
    <xf numFmtId="10" fontId="166" fillId="17" borderId="0" xfId="948" applyNumberFormat="1" applyFont="1" applyFill="1"/>
    <xf numFmtId="10" fontId="71" fillId="17" borderId="0" xfId="6" applyNumberFormat="1" applyFill="1"/>
    <xf numFmtId="9" fontId="166" fillId="17" borderId="0" xfId="948" applyNumberFormat="1" applyFont="1" applyFill="1"/>
    <xf numFmtId="10" fontId="166" fillId="17" borderId="0" xfId="948" applyNumberFormat="1" applyFont="1" applyFill="1" applyBorder="1"/>
    <xf numFmtId="10" fontId="71" fillId="17" borderId="0" xfId="6" applyNumberFormat="1" applyFill="1" applyBorder="1"/>
    <xf numFmtId="10" fontId="166" fillId="0" borderId="0" xfId="948" applyNumberFormat="1" applyFont="1" applyBorder="1"/>
    <xf numFmtId="0" fontId="0" fillId="5" borderId="0" xfId="0" applyFill="1" applyBorder="1" applyAlignment="1">
      <alignment horizontal="center"/>
    </xf>
    <xf numFmtId="191" fontId="178" fillId="0" borderId="78" xfId="1529" applyNumberFormat="1"/>
    <xf numFmtId="191" fontId="149" fillId="0" borderId="80" xfId="925" applyNumberFormat="1"/>
    <xf numFmtId="191" fontId="151" fillId="3" borderId="3" xfId="930" applyNumberFormat="1"/>
    <xf numFmtId="174" fontId="142" fillId="31" borderId="3" xfId="910" applyNumberFormat="1"/>
    <xf numFmtId="191" fontId="142" fillId="31" borderId="3" xfId="910" applyNumberFormat="1"/>
    <xf numFmtId="191" fontId="224" fillId="25" borderId="3" xfId="1531" applyNumberFormat="1" applyFont="1" applyBorder="1"/>
    <xf numFmtId="191" fontId="180" fillId="31" borderId="81" xfId="1532" applyNumberFormat="1"/>
    <xf numFmtId="191" fontId="148" fillId="0" borderId="79" xfId="924" applyNumberFormat="1"/>
    <xf numFmtId="3" fontId="151" fillId="3" borderId="3" xfId="930" applyNumberFormat="1"/>
    <xf numFmtId="4" fontId="151" fillId="3" borderId="3" xfId="930" applyNumberFormat="1"/>
    <xf numFmtId="3" fontId="224" fillId="25" borderId="3" xfId="1531" applyNumberFormat="1" applyFont="1" applyBorder="1"/>
    <xf numFmtId="174" fontId="180" fillId="31" borderId="81" xfId="1532" applyNumberFormat="1"/>
    <xf numFmtId="3" fontId="176" fillId="25" borderId="0" xfId="1531" applyNumberFormat="1"/>
    <xf numFmtId="10" fontId="151" fillId="3" borderId="3" xfId="930" applyNumberFormat="1"/>
    <xf numFmtId="171" fontId="180" fillId="31" borderId="81" xfId="1532" applyNumberFormat="1"/>
    <xf numFmtId="169" fontId="180" fillId="31" borderId="81" xfId="1532" applyNumberFormat="1"/>
    <xf numFmtId="191" fontId="149" fillId="0" borderId="0" xfId="926" applyNumberFormat="1"/>
    <xf numFmtId="171" fontId="176" fillId="25" borderId="81" xfId="1531" applyNumberFormat="1" applyBorder="1"/>
    <xf numFmtId="182" fontId="151" fillId="3" borderId="3" xfId="930" applyNumberFormat="1"/>
    <xf numFmtId="172" fontId="180" fillId="31" borderId="81" xfId="1532" applyNumberFormat="1"/>
    <xf numFmtId="3" fontId="140" fillId="29" borderId="0" xfId="908" applyNumberFormat="1"/>
    <xf numFmtId="1" fontId="140" fillId="29" borderId="3" xfId="908" applyNumberFormat="1" applyBorder="1"/>
    <xf numFmtId="1" fontId="180" fillId="31" borderId="81" xfId="1532" applyNumberFormat="1"/>
    <xf numFmtId="2" fontId="176" fillId="25" borderId="0" xfId="1531" applyNumberFormat="1"/>
    <xf numFmtId="3" fontId="142" fillId="31" borderId="3" xfId="910" applyNumberFormat="1"/>
    <xf numFmtId="2" fontId="140" fillId="29" borderId="0" xfId="908" applyNumberFormat="1" applyAlignment="1">
      <alignment horizontal="right"/>
    </xf>
    <xf numFmtId="2" fontId="180" fillId="31" borderId="81" xfId="1532" applyNumberFormat="1"/>
    <xf numFmtId="168" fontId="142" fillId="31" borderId="3" xfId="910" applyNumberFormat="1"/>
    <xf numFmtId="0" fontId="151" fillId="3" borderId="3" xfId="930" applyNumberFormat="1"/>
    <xf numFmtId="168" fontId="151" fillId="3" borderId="3" xfId="930" applyNumberFormat="1"/>
    <xf numFmtId="169" fontId="142" fillId="31" borderId="3" xfId="910" applyNumberFormat="1"/>
    <xf numFmtId="174" fontId="140" fillId="29" borderId="3" xfId="908" applyNumberFormat="1" applyBorder="1"/>
    <xf numFmtId="9" fontId="142" fillId="31" borderId="3" xfId="910" applyNumberFormat="1"/>
    <xf numFmtId="191" fontId="148" fillId="0" borderId="0" xfId="924" applyNumberFormat="1" applyBorder="1"/>
    <xf numFmtId="0" fontId="171" fillId="0" borderId="0" xfId="0" applyFont="1"/>
    <xf numFmtId="175" fontId="87" fillId="0" borderId="0" xfId="2" applyFont="1"/>
    <xf numFmtId="180" fontId="0" fillId="0" borderId="1" xfId="0" applyNumberFormat="1" applyFill="1" applyBorder="1"/>
    <xf numFmtId="9" fontId="0" fillId="0" borderId="1" xfId="0" applyNumberFormat="1" applyBorder="1"/>
    <xf numFmtId="10" fontId="194" fillId="0" borderId="0" xfId="1" applyNumberFormat="1" applyFont="1" applyFill="1" applyBorder="1" applyAlignment="1">
      <alignment horizontal="center"/>
    </xf>
    <xf numFmtId="0" fontId="62" fillId="5" borderId="38" xfId="0" applyFont="1" applyFill="1" applyBorder="1"/>
    <xf numFmtId="0" fontId="62" fillId="5" borderId="37" xfId="0" quotePrefix="1" applyFont="1" applyFill="1" applyBorder="1" applyAlignment="1">
      <alignment horizontal="right"/>
    </xf>
    <xf numFmtId="0" fontId="62" fillId="5" borderId="1" xfId="0" applyFont="1" applyFill="1" applyBorder="1" applyAlignment="1">
      <alignment horizontal="right"/>
    </xf>
    <xf numFmtId="0" fontId="59" fillId="5" borderId="11" xfId="0" applyNumberFormat="1" applyFont="1" applyFill="1" applyBorder="1" applyAlignment="1">
      <alignment horizontal="right" vertical="center"/>
    </xf>
    <xf numFmtId="186" fontId="0" fillId="5" borderId="0" xfId="1" applyNumberFormat="1" applyFont="1" applyFill="1" applyBorder="1" applyAlignment="1">
      <alignment horizontal="right" vertical="center"/>
    </xf>
    <xf numFmtId="0" fontId="62" fillId="5" borderId="0" xfId="0" applyFont="1" applyFill="1" applyBorder="1" applyAlignment="1">
      <alignment horizontal="center" vertical="center" wrapText="1"/>
    </xf>
    <xf numFmtId="179" fontId="0" fillId="5" borderId="0" xfId="1" applyNumberFormat="1" applyFont="1" applyFill="1" applyBorder="1" applyAlignment="1">
      <alignment horizontal="right" vertical="center"/>
    </xf>
    <xf numFmtId="0" fontId="62" fillId="5" borderId="1" xfId="0" applyFont="1" applyFill="1" applyBorder="1"/>
    <xf numFmtId="0" fontId="0" fillId="5" borderId="1" xfId="0" applyFill="1" applyBorder="1" applyAlignment="1">
      <alignment wrapText="1"/>
    </xf>
    <xf numFmtId="0" fontId="59" fillId="5" borderId="11" xfId="0" applyFont="1" applyFill="1" applyBorder="1" applyAlignment="1">
      <alignment vertical="center" wrapText="1"/>
    </xf>
    <xf numFmtId="0" fontId="59" fillId="5" borderId="19" xfId="0" applyNumberFormat="1" applyFont="1" applyFill="1" applyBorder="1" applyAlignment="1">
      <alignment horizontal="right" vertical="center"/>
    </xf>
    <xf numFmtId="171" fontId="62" fillId="5" borderId="0" xfId="0" applyNumberFormat="1" applyFont="1" applyFill="1" applyBorder="1" applyAlignment="1">
      <alignment horizontal="left" vertical="top"/>
    </xf>
    <xf numFmtId="171" fontId="0" fillId="5" borderId="0" xfId="0" applyNumberFormat="1" applyFill="1" applyBorder="1" applyAlignment="1">
      <alignment vertical="center"/>
    </xf>
    <xf numFmtId="171" fontId="51" fillId="5" borderId="15" xfId="0" applyNumberFormat="1" applyFont="1" applyFill="1" applyBorder="1" applyAlignment="1">
      <alignment horizontal="right" vertical="center"/>
    </xf>
    <xf numFmtId="171" fontId="62" fillId="5" borderId="4" xfId="0" applyNumberFormat="1" applyFont="1" applyFill="1" applyBorder="1" applyAlignment="1">
      <alignment vertical="center"/>
    </xf>
    <xf numFmtId="180" fontId="65" fillId="5" borderId="0" xfId="1" applyNumberFormat="1" applyFont="1" applyFill="1" applyBorder="1" applyAlignment="1">
      <alignment horizontal="center" vertical="top"/>
    </xf>
    <xf numFmtId="180" fontId="52" fillId="5" borderId="0" xfId="1" applyNumberFormat="1" applyFont="1" applyFill="1" applyBorder="1" applyAlignment="1">
      <alignment horizontal="center" vertical="top"/>
    </xf>
    <xf numFmtId="180" fontId="62" fillId="5" borderId="0" xfId="1" applyNumberFormat="1" applyFont="1" applyFill="1" applyBorder="1" applyAlignment="1">
      <alignment horizontal="center" vertical="top"/>
    </xf>
    <xf numFmtId="0" fontId="59" fillId="5" borderId="0" xfId="0" applyFont="1" applyFill="1" applyBorder="1" applyAlignment="1">
      <alignment vertical="center" wrapText="1"/>
    </xf>
    <xf numFmtId="0" fontId="59" fillId="5" borderId="38" xfId="0" applyNumberFormat="1" applyFont="1" applyFill="1" applyBorder="1" applyAlignment="1">
      <alignment horizontal="center" vertical="center"/>
    </xf>
    <xf numFmtId="175" fontId="87" fillId="0" borderId="0" xfId="2" applyFont="1" applyBorder="1"/>
    <xf numFmtId="0" fontId="87" fillId="0" borderId="0" xfId="0" applyFont="1" applyAlignment="1">
      <alignment wrapText="1"/>
    </xf>
    <xf numFmtId="10" fontId="87" fillId="0" borderId="0" xfId="1" applyNumberFormat="1" applyFont="1"/>
    <xf numFmtId="176" fontId="87" fillId="0" borderId="0" xfId="2" applyNumberFormat="1" applyFont="1" applyAlignment="1">
      <alignment vertical="center"/>
    </xf>
    <xf numFmtId="175" fontId="87" fillId="0" borderId="0" xfId="2" applyFont="1" applyAlignment="1">
      <alignment vertical="center"/>
    </xf>
    <xf numFmtId="175" fontId="87" fillId="0" borderId="0" xfId="2" applyFont="1" applyAlignment="1">
      <alignment horizontal="right"/>
    </xf>
    <xf numFmtId="0" fontId="115" fillId="0" borderId="0" xfId="0" applyFont="1" applyAlignment="1">
      <alignment horizontal="right"/>
    </xf>
    <xf numFmtId="0" fontId="171" fillId="0" borderId="0" xfId="0" applyFont="1" applyAlignment="1">
      <alignment horizontal="right"/>
    </xf>
    <xf numFmtId="0" fontId="115" fillId="0" borderId="0" xfId="0" applyFont="1" applyAlignment="1">
      <alignment horizontal="center"/>
    </xf>
    <xf numFmtId="0" fontId="226" fillId="0" borderId="0" xfId="0" applyFont="1" applyAlignment="1">
      <alignment horizontal="right"/>
    </xf>
    <xf numFmtId="0" fontId="227" fillId="0" borderId="0" xfId="0" applyFont="1"/>
    <xf numFmtId="0" fontId="227" fillId="0" borderId="0" xfId="0" applyFont="1" applyAlignment="1">
      <alignment wrapText="1"/>
    </xf>
    <xf numFmtId="10" fontId="227" fillId="0" borderId="0" xfId="1" applyNumberFormat="1" applyFont="1"/>
    <xf numFmtId="0" fontId="171" fillId="0" borderId="0" xfId="0" quotePrefix="1" applyFont="1" applyAlignment="1">
      <alignment horizontal="right"/>
    </xf>
    <xf numFmtId="199" fontId="87" fillId="0" borderId="0" xfId="1" applyNumberFormat="1" applyFont="1"/>
    <xf numFmtId="0" fontId="0" fillId="0" borderId="0" xfId="0"/>
    <xf numFmtId="11" fontId="0" fillId="0" borderId="106" xfId="0" applyNumberFormat="1" applyBorder="1" applyAlignment="1">
      <alignment vertical="center"/>
    </xf>
    <xf numFmtId="11" fontId="87" fillId="0" borderId="0" xfId="0" applyNumberFormat="1" applyFont="1" applyBorder="1" applyAlignment="1">
      <alignment vertical="center"/>
    </xf>
    <xf numFmtId="0" fontId="228" fillId="0" borderId="0" xfId="0" applyFont="1" applyBorder="1" applyAlignment="1">
      <alignment horizontal="left" vertical="center" wrapText="1"/>
    </xf>
    <xf numFmtId="0" fontId="0" fillId="0" borderId="0" xfId="1504" applyFont="1" applyAlignment="1">
      <alignment vertical="center"/>
    </xf>
    <xf numFmtId="0" fontId="0" fillId="0" borderId="0" xfId="0"/>
    <xf numFmtId="175" fontId="68" fillId="0" borderId="0" xfId="2" applyFont="1"/>
    <xf numFmtId="191" fontId="0" fillId="0" borderId="0" xfId="0" applyNumberFormat="1"/>
    <xf numFmtId="191" fontId="117" fillId="0" borderId="0" xfId="0" applyNumberFormat="1" applyFont="1"/>
    <xf numFmtId="1" fontId="117" fillId="0" borderId="0" xfId="0" applyNumberFormat="1" applyFont="1"/>
    <xf numFmtId="191" fontId="117" fillId="13" borderId="0" xfId="0" applyNumberFormat="1" applyFont="1" applyFill="1"/>
    <xf numFmtId="191" fontId="0" fillId="13" borderId="0" xfId="0" applyNumberFormat="1" applyFill="1"/>
    <xf numFmtId="2" fontId="0" fillId="13" borderId="0" xfId="0" applyNumberFormat="1" applyFill="1"/>
    <xf numFmtId="191" fontId="0" fillId="0" borderId="1" xfId="0" applyNumberFormat="1" applyBorder="1"/>
    <xf numFmtId="2" fontId="151" fillId="3" borderId="107" xfId="930" applyNumberFormat="1" applyBorder="1"/>
    <xf numFmtId="191" fontId="0" fillId="0" borderId="0" xfId="0" applyNumberFormat="1" applyBorder="1"/>
    <xf numFmtId="2" fontId="0" fillId="0" borderId="0" xfId="0" applyNumberFormat="1" applyBorder="1"/>
    <xf numFmtId="191" fontId="117" fillId="0" borderId="1" xfId="0" applyNumberFormat="1" applyFont="1" applyBorder="1"/>
    <xf numFmtId="1" fontId="0" fillId="0" borderId="1" xfId="0" applyNumberFormat="1" applyBorder="1"/>
    <xf numFmtId="186" fontId="229" fillId="0" borderId="0" xfId="1" applyNumberFormat="1" applyFont="1"/>
    <xf numFmtId="0" fontId="0" fillId="80" borderId="23" xfId="0" applyFont="1" applyFill="1" applyBorder="1"/>
    <xf numFmtId="0" fontId="0" fillId="79" borderId="23" xfId="0" applyFont="1" applyFill="1" applyBorder="1"/>
    <xf numFmtId="0" fontId="230" fillId="0" borderId="0" xfId="0" applyFont="1"/>
    <xf numFmtId="0" fontId="116" fillId="78" borderId="108" xfId="0" applyFont="1" applyFill="1" applyBorder="1" applyAlignment="1">
      <alignment vertical="center"/>
    </xf>
    <xf numFmtId="0" fontId="116" fillId="78" borderId="109" xfId="0" applyFont="1" applyFill="1" applyBorder="1" applyAlignment="1">
      <alignment vertical="center"/>
    </xf>
    <xf numFmtId="11" fontId="0" fillId="79" borderId="23" xfId="0" applyNumberFormat="1" applyFont="1" applyFill="1" applyBorder="1" applyAlignment="1">
      <alignment vertical="center"/>
    </xf>
    <xf numFmtId="11" fontId="0" fillId="80" borderId="23" xfId="0" applyNumberFormat="1" applyFont="1" applyFill="1" applyBorder="1" applyAlignment="1">
      <alignment vertical="center"/>
    </xf>
    <xf numFmtId="11" fontId="0" fillId="80" borderId="25" xfId="2" applyNumberFormat="1" applyFont="1" applyFill="1" applyBorder="1" applyAlignment="1">
      <alignment vertical="center"/>
    </xf>
    <xf numFmtId="0" fontId="0" fillId="0" borderId="0" xfId="1504" applyFont="1"/>
    <xf numFmtId="0" fontId="0" fillId="0" borderId="0" xfId="0" applyAlignment="1">
      <alignment horizontal="center"/>
    </xf>
    <xf numFmtId="0" fontId="0" fillId="0" borderId="0" xfId="0"/>
    <xf numFmtId="0" fontId="62" fillId="5" borderId="0" xfId="0" applyFont="1" applyFill="1" applyBorder="1" applyAlignment="1">
      <alignment horizontal="center"/>
    </xf>
    <xf numFmtId="0" fontId="0" fillId="0" borderId="0" xfId="0"/>
    <xf numFmtId="0" fontId="0" fillId="79" borderId="23" xfId="0" applyFont="1" applyFill="1" applyBorder="1" applyAlignment="1">
      <alignment vertical="center"/>
    </xf>
    <xf numFmtId="0" fontId="0" fillId="80" borderId="23" xfId="0" applyFont="1" applyFill="1" applyBorder="1" applyAlignment="1">
      <alignment vertical="center"/>
    </xf>
    <xf numFmtId="0" fontId="0" fillId="80" borderId="25" xfId="0" applyFont="1" applyFill="1" applyBorder="1" applyAlignment="1">
      <alignment vertical="center"/>
    </xf>
    <xf numFmtId="0" fontId="0" fillId="79" borderId="28" xfId="0" applyFont="1" applyFill="1" applyBorder="1" applyAlignment="1">
      <alignment vertical="center"/>
    </xf>
    <xf numFmtId="175" fontId="0" fillId="79" borderId="23" xfId="2" applyNumberFormat="1" applyFont="1" applyFill="1" applyBorder="1" applyAlignment="1">
      <alignment vertical="center"/>
    </xf>
    <xf numFmtId="0" fontId="0" fillId="80" borderId="28" xfId="0" applyFont="1" applyFill="1" applyBorder="1" applyAlignment="1">
      <alignment vertical="center"/>
    </xf>
    <xf numFmtId="175" fontId="0" fillId="80" borderId="23" xfId="2" applyNumberFormat="1" applyFont="1" applyFill="1" applyBorder="1" applyAlignment="1">
      <alignment vertical="center"/>
    </xf>
    <xf numFmtId="0" fontId="0" fillId="80" borderId="30" xfId="0" applyFont="1" applyFill="1" applyBorder="1" applyAlignment="1">
      <alignment vertical="center"/>
    </xf>
    <xf numFmtId="11" fontId="0" fillId="80" borderId="25" xfId="0" applyNumberFormat="1" applyFont="1" applyFill="1" applyBorder="1" applyAlignment="1">
      <alignment vertical="center"/>
    </xf>
    <xf numFmtId="191" fontId="23" fillId="0" borderId="0" xfId="1599" applyNumberFormat="1"/>
    <xf numFmtId="0" fontId="23" fillId="0" borderId="0" xfId="1599" applyNumberFormat="1"/>
    <xf numFmtId="1" fontId="117" fillId="0" borderId="105" xfId="1599" applyNumberFormat="1" applyFont="1" applyBorder="1"/>
    <xf numFmtId="1" fontId="117" fillId="0" borderId="104" xfId="1599" applyNumberFormat="1" applyFont="1" applyBorder="1"/>
    <xf numFmtId="191" fontId="23" fillId="0" borderId="104" xfId="1599" applyNumberFormat="1" applyBorder="1" applyAlignment="1">
      <alignment horizontal="center"/>
    </xf>
    <xf numFmtId="191" fontId="117" fillId="0" borderId="60" xfId="1599" applyNumberFormat="1" applyFont="1" applyBorder="1"/>
    <xf numFmtId="1" fontId="117" fillId="0" borderId="103" xfId="1599" applyNumberFormat="1" applyFont="1" applyBorder="1"/>
    <xf numFmtId="1" fontId="117" fillId="0" borderId="89" xfId="1599" applyNumberFormat="1" applyFont="1" applyBorder="1"/>
    <xf numFmtId="191" fontId="23" fillId="0" borderId="89" xfId="1599" applyNumberFormat="1" applyBorder="1" applyAlignment="1">
      <alignment horizontal="center"/>
    </xf>
    <xf numFmtId="191" fontId="117" fillId="0" borderId="58" xfId="1599" applyNumberFormat="1" applyFont="1" applyBorder="1"/>
    <xf numFmtId="1" fontId="23" fillId="0" borderId="103" xfId="1599" applyNumberFormat="1" applyBorder="1"/>
    <xf numFmtId="1" fontId="23" fillId="0" borderId="89" xfId="1599" applyNumberFormat="1" applyBorder="1"/>
    <xf numFmtId="9" fontId="23" fillId="0" borderId="103" xfId="1600" applyFont="1" applyBorder="1"/>
    <xf numFmtId="9" fontId="23" fillId="0" borderId="89" xfId="1600" applyFont="1" applyBorder="1"/>
    <xf numFmtId="3" fontId="23" fillId="0" borderId="103" xfId="1599" applyNumberFormat="1" applyBorder="1"/>
    <xf numFmtId="3" fontId="23" fillId="0" borderId="89" xfId="1599" applyNumberFormat="1" applyBorder="1"/>
    <xf numFmtId="191" fontId="23" fillId="0" borderId="97" xfId="1599" applyNumberFormat="1" applyBorder="1" applyAlignment="1">
      <alignment horizontal="center"/>
    </xf>
    <xf numFmtId="191" fontId="117" fillId="0" borderId="102" xfId="1599" applyNumberFormat="1" applyFont="1" applyBorder="1"/>
    <xf numFmtId="191" fontId="117" fillId="0" borderId="101" xfId="1599" applyNumberFormat="1" applyFont="1" applyBorder="1"/>
    <xf numFmtId="191" fontId="117" fillId="0" borderId="100" xfId="1599" applyNumberFormat="1" applyFont="1" applyBorder="1"/>
    <xf numFmtId="191" fontId="23" fillId="0" borderId="99" xfId="1599" applyNumberFormat="1" applyBorder="1"/>
    <xf numFmtId="191" fontId="23" fillId="0" borderId="98" xfId="1599" applyNumberFormat="1" applyBorder="1"/>
    <xf numFmtId="191" fontId="23" fillId="0" borderId="0" xfId="1599" applyNumberFormat="1" applyFont="1"/>
    <xf numFmtId="10" fontId="23" fillId="0" borderId="0" xfId="1" applyNumberFormat="1" applyFont="1"/>
    <xf numFmtId="2" fontId="23" fillId="17" borderId="0" xfId="1599" applyNumberFormat="1" applyFill="1"/>
    <xf numFmtId="191" fontId="23" fillId="17" borderId="0" xfId="1599" applyNumberFormat="1" applyFont="1" applyFill="1"/>
    <xf numFmtId="174" fontId="180" fillId="31" borderId="81" xfId="1600" applyNumberFormat="1" applyFont="1" applyFill="1" applyBorder="1"/>
    <xf numFmtId="0" fontId="23" fillId="0" borderId="0" xfId="1600" applyNumberFormat="1" applyFont="1"/>
    <xf numFmtId="179" fontId="23" fillId="0" borderId="0" xfId="1" applyFont="1"/>
    <xf numFmtId="191" fontId="222" fillId="0" borderId="0" xfId="1599" applyNumberFormat="1" applyFont="1"/>
    <xf numFmtId="2" fontId="23" fillId="0" borderId="0" xfId="1599" applyNumberFormat="1" applyFont="1"/>
    <xf numFmtId="2" fontId="23" fillId="0" borderId="0" xfId="1599" applyNumberFormat="1"/>
    <xf numFmtId="174" fontId="151" fillId="3" borderId="3" xfId="1600" applyNumberFormat="1" applyFont="1" applyFill="1" applyBorder="1"/>
    <xf numFmtId="174" fontId="142" fillId="31" borderId="3" xfId="1600" applyNumberFormat="1" applyFont="1" applyFill="1" applyBorder="1"/>
    <xf numFmtId="3" fontId="229" fillId="0" borderId="0" xfId="1599" applyNumberFormat="1" applyFont="1"/>
    <xf numFmtId="0" fontId="229" fillId="0" borderId="0" xfId="1599" applyNumberFormat="1" applyFont="1"/>
    <xf numFmtId="3" fontId="23" fillId="0" borderId="0" xfId="1599" applyNumberFormat="1"/>
    <xf numFmtId="186" fontId="23" fillId="0" borderId="0" xfId="1" applyNumberFormat="1" applyFont="1"/>
    <xf numFmtId="0" fontId="23" fillId="0" borderId="0" xfId="1599" applyNumberFormat="1" applyFont="1"/>
    <xf numFmtId="0" fontId="163" fillId="0" borderId="0" xfId="1599" applyNumberFormat="1" applyFont="1"/>
    <xf numFmtId="0" fontId="57" fillId="0" borderId="0" xfId="1599" applyNumberFormat="1" applyFont="1"/>
    <xf numFmtId="1" fontId="23" fillId="0" borderId="0" xfId="1599" applyNumberFormat="1"/>
    <xf numFmtId="10" fontId="23" fillId="0" borderId="0" xfId="1599" applyNumberFormat="1"/>
    <xf numFmtId="10" fontId="57" fillId="0" borderId="0" xfId="1599" applyNumberFormat="1" applyFont="1"/>
    <xf numFmtId="174" fontId="23" fillId="0" borderId="0" xfId="1599" applyNumberFormat="1"/>
    <xf numFmtId="3" fontId="57" fillId="0" borderId="0" xfId="1599" applyNumberFormat="1" applyFont="1"/>
    <xf numFmtId="191" fontId="117" fillId="0" borderId="0" xfId="1599" applyNumberFormat="1" applyFont="1"/>
    <xf numFmtId="171" fontId="23" fillId="0" borderId="0" xfId="1599" applyNumberFormat="1"/>
    <xf numFmtId="169" fontId="23" fillId="0" borderId="0" xfId="1599" applyNumberFormat="1"/>
    <xf numFmtId="168" fontId="23" fillId="0" borderId="0" xfId="1599" applyNumberFormat="1"/>
    <xf numFmtId="180" fontId="23" fillId="0" borderId="0" xfId="1" applyNumberFormat="1" applyFont="1"/>
    <xf numFmtId="174" fontId="23" fillId="0" borderId="0" xfId="1600" applyNumberFormat="1" applyFont="1"/>
    <xf numFmtId="3" fontId="23" fillId="0" borderId="0" xfId="1599" applyNumberFormat="1" applyFont="1"/>
    <xf numFmtId="191" fontId="23" fillId="0" borderId="0" xfId="1601" applyNumberFormat="1"/>
    <xf numFmtId="166" fontId="23" fillId="0" borderId="0" xfId="1602" applyFont="1"/>
    <xf numFmtId="191" fontId="163" fillId="0" borderId="0" xfId="1599" applyNumberFormat="1" applyFont="1"/>
    <xf numFmtId="3" fontId="23" fillId="0" borderId="0" xfId="1603" applyNumberFormat="1"/>
    <xf numFmtId="0" fontId="23" fillId="0" borderId="0" xfId="1599" applyNumberFormat="1" applyFont="1" applyAlignment="1">
      <alignment horizontal="right"/>
    </xf>
    <xf numFmtId="0" fontId="117" fillId="0" borderId="0" xfId="1599" applyNumberFormat="1" applyFont="1"/>
    <xf numFmtId="0" fontId="23" fillId="0" borderId="0" xfId="1606"/>
    <xf numFmtId="0" fontId="23" fillId="4" borderId="0" xfId="1606" applyFill="1"/>
    <xf numFmtId="9" fontId="195" fillId="0" borderId="0" xfId="1607" applyFont="1" applyFill="1" applyBorder="1"/>
    <xf numFmtId="9" fontId="196" fillId="0" borderId="0" xfId="1607" applyFont="1" applyFill="1" applyBorder="1"/>
    <xf numFmtId="0" fontId="76" fillId="63" borderId="87" xfId="1608" applyFont="1" applyFill="1" applyBorder="1" applyAlignment="1">
      <alignment horizontal="center" wrapText="1"/>
    </xf>
    <xf numFmtId="0" fontId="135" fillId="0" borderId="66" xfId="1608" applyFont="1" applyFill="1" applyBorder="1"/>
    <xf numFmtId="0" fontId="189" fillId="0" borderId="0" xfId="1608" applyFont="1" applyFill="1" applyBorder="1"/>
    <xf numFmtId="0" fontId="135" fillId="0" borderId="0" xfId="1608" applyFont="1" applyFill="1" applyBorder="1"/>
    <xf numFmtId="9" fontId="196" fillId="77" borderId="0" xfId="1607" applyFont="1" applyFill="1" applyBorder="1"/>
    <xf numFmtId="0" fontId="199" fillId="0" borderId="0" xfId="1608" applyFont="1" applyFill="1" applyBorder="1" applyAlignment="1" applyProtection="1">
      <alignment horizontal="center"/>
      <protection locked="0"/>
    </xf>
    <xf numFmtId="0" fontId="199" fillId="0" borderId="0" xfId="1608" applyFont="1" applyFill="1" applyBorder="1" applyAlignment="1" applyProtection="1">
      <alignment horizontal="left"/>
      <protection locked="0"/>
    </xf>
    <xf numFmtId="0" fontId="71" fillId="0" borderId="0" xfId="1608" applyFont="1" applyFill="1" applyBorder="1"/>
    <xf numFmtId="9" fontId="197" fillId="65" borderId="84" xfId="1609" applyNumberFormat="1" applyFont="1" applyFill="1" applyBorder="1"/>
    <xf numFmtId="0" fontId="195" fillId="0" borderId="0" xfId="1608" applyFont="1" applyFill="1" applyBorder="1"/>
    <xf numFmtId="2" fontId="201" fillId="0" borderId="0" xfId="1608" applyNumberFormat="1" applyFont="1" applyFill="1" applyBorder="1" applyAlignment="1">
      <alignment horizontal="center"/>
    </xf>
    <xf numFmtId="0" fontId="199" fillId="0" borderId="0" xfId="1608" applyFont="1" applyFill="1" applyBorder="1" applyAlignment="1">
      <alignment horizontal="center"/>
    </xf>
    <xf numFmtId="0" fontId="71" fillId="0" borderId="1" xfId="1608" applyFont="1" applyFill="1" applyBorder="1"/>
    <xf numFmtId="0" fontId="71" fillId="0" borderId="0" xfId="1608" applyFont="1" applyFill="1" applyBorder="1" applyAlignment="1">
      <alignment horizontal="center"/>
    </xf>
    <xf numFmtId="0" fontId="71" fillId="0" borderId="0" xfId="1608" applyFont="1" applyFill="1" applyBorder="1" applyAlignment="1" applyProtection="1">
      <alignment horizontal="center"/>
      <protection locked="0"/>
    </xf>
    <xf numFmtId="0" fontId="71" fillId="0" borderId="0" xfId="1608" applyFont="1" applyFill="1" applyBorder="1" applyAlignment="1">
      <alignment horizontal="center" wrapText="1"/>
    </xf>
    <xf numFmtId="0" fontId="202" fillId="0" borderId="0" xfId="1608" applyFont="1" applyFill="1" applyBorder="1" applyAlignment="1">
      <alignment horizontal="center" wrapText="1"/>
    </xf>
    <xf numFmtId="2" fontId="71" fillId="66" borderId="1" xfId="1608" applyNumberFormat="1" applyFont="1" applyFill="1" applyBorder="1" applyAlignment="1" applyProtection="1">
      <alignment horizontal="center"/>
      <protection locked="0"/>
    </xf>
    <xf numFmtId="0" fontId="76" fillId="67" borderId="87" xfId="1608" applyFont="1" applyFill="1" applyBorder="1" applyAlignment="1">
      <alignment horizontal="center" wrapText="1"/>
    </xf>
    <xf numFmtId="0" fontId="75" fillId="67" borderId="87" xfId="1608" applyFont="1" applyFill="1" applyBorder="1"/>
    <xf numFmtId="10" fontId="195" fillId="0" borderId="0" xfId="1607" applyNumberFormat="1" applyFont="1" applyFill="1" applyBorder="1"/>
    <xf numFmtId="174" fontId="196" fillId="0" borderId="0" xfId="1607" applyNumberFormat="1" applyFont="1" applyFill="1" applyBorder="1"/>
    <xf numFmtId="0" fontId="204" fillId="0" borderId="0" xfId="1608" applyFont="1" applyFill="1" applyBorder="1"/>
    <xf numFmtId="10" fontId="195" fillId="0" borderId="0" xfId="1608" applyNumberFormat="1" applyFont="1" applyFill="1" applyBorder="1"/>
    <xf numFmtId="0" fontId="71" fillId="66" borderId="1" xfId="1608" applyFont="1" applyFill="1" applyBorder="1" applyAlignment="1" applyProtection="1">
      <alignment horizontal="center"/>
      <protection locked="0"/>
    </xf>
    <xf numFmtId="0" fontId="76" fillId="66" borderId="87" xfId="1608" applyFont="1" applyFill="1" applyBorder="1" applyAlignment="1">
      <alignment horizontal="center" wrapText="1"/>
    </xf>
    <xf numFmtId="0" fontId="76" fillId="66" borderId="91" xfId="1608" applyFont="1" applyFill="1" applyBorder="1" applyAlignment="1">
      <alignment horizontal="center" wrapText="1"/>
    </xf>
    <xf numFmtId="0" fontId="76" fillId="67" borderId="0" xfId="1608" applyFont="1" applyFill="1" applyBorder="1" applyAlignment="1">
      <alignment horizontal="center" wrapText="1"/>
    </xf>
    <xf numFmtId="0" fontId="76" fillId="68" borderId="0" xfId="1608" applyFont="1" applyFill="1" applyBorder="1" applyAlignment="1">
      <alignment horizontal="center" wrapText="1"/>
    </xf>
    <xf numFmtId="2" fontId="133" fillId="0" borderId="0" xfId="1608" applyNumberFormat="1" applyFont="1" applyFill="1" applyBorder="1" applyAlignment="1">
      <alignment horizontal="center"/>
    </xf>
    <xf numFmtId="0" fontId="201" fillId="0" borderId="0" xfId="1608" applyFont="1" applyFill="1" applyBorder="1" applyAlignment="1">
      <alignment horizontal="center"/>
    </xf>
    <xf numFmtId="0" fontId="201" fillId="0" borderId="0" xfId="1608" applyFont="1" applyFill="1" applyBorder="1"/>
    <xf numFmtId="2" fontId="201" fillId="0" borderId="1" xfId="1608" applyNumberFormat="1" applyFont="1" applyFill="1" applyBorder="1" applyAlignment="1">
      <alignment horizontal="center"/>
    </xf>
    <xf numFmtId="0" fontId="201" fillId="0" borderId="1" xfId="1608" applyFont="1" applyFill="1" applyBorder="1" applyAlignment="1">
      <alignment horizontal="center"/>
    </xf>
    <xf numFmtId="0" fontId="201" fillId="0" borderId="1" xfId="1608" applyFont="1" applyFill="1" applyBorder="1"/>
    <xf numFmtId="9" fontId="71" fillId="0" borderId="0" xfId="1607" applyFont="1" applyFill="1" applyBorder="1"/>
    <xf numFmtId="166" fontId="207" fillId="0" borderId="0" xfId="1610" applyFont="1" applyFill="1" applyBorder="1"/>
    <xf numFmtId="0" fontId="202" fillId="0" borderId="0" xfId="1608" applyFont="1" applyFill="1" applyBorder="1" applyAlignment="1" applyProtection="1">
      <alignment horizontal="left"/>
      <protection locked="0"/>
    </xf>
    <xf numFmtId="166" fontId="198" fillId="0" borderId="0" xfId="1610" applyFont="1" applyFill="1" applyBorder="1"/>
    <xf numFmtId="2" fontId="199" fillId="0" borderId="0" xfId="1608" applyNumberFormat="1" applyFont="1" applyFill="1" applyBorder="1" applyAlignment="1" applyProtection="1">
      <alignment horizontal="left"/>
      <protection locked="0"/>
    </xf>
    <xf numFmtId="0" fontId="135" fillId="0" borderId="0" xfId="1608" applyFont="1" applyFill="1" applyBorder="1" applyAlignment="1">
      <alignment horizontal="left"/>
    </xf>
    <xf numFmtId="0" fontId="210" fillId="0" borderId="0" xfId="1608" applyFont="1" applyFill="1" applyBorder="1"/>
    <xf numFmtId="0" fontId="199" fillId="0" borderId="1" xfId="1608" applyFont="1" applyFill="1" applyBorder="1" applyAlignment="1" applyProtection="1">
      <alignment horizontal="center"/>
      <protection locked="0"/>
    </xf>
    <xf numFmtId="0" fontId="76" fillId="0" borderId="1" xfId="1608" applyFont="1" applyFill="1" applyBorder="1"/>
    <xf numFmtId="2" fontId="71" fillId="0" borderId="0" xfId="1608" applyNumberFormat="1" applyFont="1" applyFill="1" applyBorder="1"/>
    <xf numFmtId="0" fontId="208" fillId="0" borderId="1" xfId="1608" applyFont="1" applyFill="1" applyBorder="1" applyAlignment="1" applyProtection="1">
      <alignment horizontal="center"/>
      <protection locked="0"/>
    </xf>
    <xf numFmtId="0" fontId="76" fillId="0" borderId="0" xfId="1608" applyFont="1" applyFill="1" applyBorder="1" applyAlignment="1">
      <alignment horizontal="left"/>
    </xf>
    <xf numFmtId="2" fontId="71" fillId="0" borderId="0" xfId="1608" applyNumberFormat="1" applyFont="1" applyFill="1" applyBorder="1" applyAlignment="1">
      <alignment horizontal="left"/>
    </xf>
    <xf numFmtId="0" fontId="71" fillId="0" borderId="0" xfId="1608" applyFont="1" applyFill="1" applyBorder="1" applyAlignment="1">
      <alignment horizontal="left"/>
    </xf>
    <xf numFmtId="2" fontId="201" fillId="0" borderId="0" xfId="1608" applyNumberFormat="1" applyFont="1" applyFill="1" applyBorder="1" applyAlignment="1">
      <alignment horizontal="left"/>
    </xf>
    <xf numFmtId="0" fontId="209" fillId="0" borderId="0" xfId="1608" applyFont="1" applyFill="1" applyBorder="1" applyAlignment="1">
      <alignment horizontal="center"/>
    </xf>
    <xf numFmtId="0" fontId="76" fillId="0" borderId="0" xfId="1608" applyFont="1" applyFill="1" applyBorder="1"/>
    <xf numFmtId="2" fontId="201" fillId="0" borderId="0" xfId="1608" applyNumberFormat="1" applyFont="1" applyFill="1" applyAlignment="1">
      <alignment horizontal="center"/>
    </xf>
    <xf numFmtId="2" fontId="71" fillId="0" borderId="0" xfId="1608" applyNumberFormat="1" applyFont="1" applyFill="1" applyAlignment="1">
      <alignment horizontal="left"/>
    </xf>
    <xf numFmtId="2" fontId="135" fillId="0" borderId="0" xfId="1608" applyNumberFormat="1" applyFont="1" applyFill="1" applyBorder="1"/>
    <xf numFmtId="9" fontId="135" fillId="0" borderId="0" xfId="1608" applyNumberFormat="1" applyFont="1" applyFill="1" applyBorder="1"/>
    <xf numFmtId="2" fontId="201" fillId="66" borderId="0" xfId="1608" applyNumberFormat="1" applyFont="1" applyFill="1" applyBorder="1" applyAlignment="1">
      <alignment horizontal="center"/>
    </xf>
    <xf numFmtId="2" fontId="133" fillId="17" borderId="0" xfId="1608" applyNumberFormat="1" applyFont="1" applyFill="1" applyBorder="1" applyAlignment="1">
      <alignment horizontal="left"/>
    </xf>
    <xf numFmtId="10" fontId="135" fillId="0" borderId="0" xfId="1608" applyNumberFormat="1" applyFont="1" applyFill="1" applyBorder="1"/>
    <xf numFmtId="0" fontId="211" fillId="0" borderId="1" xfId="1608" applyFont="1" applyFill="1" applyBorder="1" applyAlignment="1">
      <alignment horizontal="center"/>
    </xf>
    <xf numFmtId="0" fontId="211" fillId="0" borderId="1" xfId="1608" applyFont="1" applyFill="1" applyBorder="1"/>
    <xf numFmtId="0" fontId="76" fillId="0" borderId="0" xfId="1608" applyFont="1" applyFill="1" applyBorder="1" applyAlignment="1">
      <alignment horizontal="center"/>
    </xf>
    <xf numFmtId="2" fontId="71" fillId="0" borderId="0" xfId="1608" applyNumberFormat="1" applyFont="1" applyFill="1" applyBorder="1" applyAlignment="1">
      <alignment horizontal="center"/>
    </xf>
    <xf numFmtId="0" fontId="211" fillId="0" borderId="0" xfId="1608" applyFont="1" applyFill="1" applyBorder="1"/>
    <xf numFmtId="0" fontId="135" fillId="0" borderId="0" xfId="1608" applyFont="1" applyFill="1" applyBorder="1" applyAlignment="1">
      <alignment horizontal="center"/>
    </xf>
    <xf numFmtId="0" fontId="75" fillId="0" borderId="0" xfId="1608" applyFont="1" applyFill="1" applyBorder="1" applyAlignment="1">
      <alignment horizontal="center"/>
    </xf>
    <xf numFmtId="0" fontId="75" fillId="0" borderId="0" xfId="1608" applyFont="1" applyFill="1" applyBorder="1" applyAlignment="1"/>
    <xf numFmtId="0" fontId="0" fillId="0" borderId="0" xfId="0" applyFont="1" applyAlignment="1">
      <alignment horizontal="center"/>
    </xf>
    <xf numFmtId="171" fontId="51" fillId="5" borderId="20" xfId="0" applyNumberFormat="1" applyFont="1" applyFill="1" applyBorder="1" applyAlignment="1">
      <alignment horizontal="right" vertical="center"/>
    </xf>
    <xf numFmtId="176" fontId="62" fillId="5" borderId="4" xfId="0" applyNumberFormat="1" applyFont="1" applyFill="1" applyBorder="1" applyAlignment="1">
      <alignment vertical="center"/>
    </xf>
    <xf numFmtId="171" fontId="59" fillId="5" borderId="54" xfId="0" applyNumberFormat="1" applyFont="1" applyFill="1" applyBorder="1" applyAlignment="1">
      <alignment horizontal="right" vertical="center"/>
    </xf>
    <xf numFmtId="9" fontId="51" fillId="5" borderId="15" xfId="0" applyNumberFormat="1" applyFont="1" applyFill="1" applyBorder="1" applyAlignment="1">
      <alignment horizontal="right" vertical="center"/>
    </xf>
    <xf numFmtId="0" fontId="51" fillId="5" borderId="12" xfId="0" applyFont="1" applyFill="1" applyBorder="1" applyAlignment="1">
      <alignment horizontal="center" vertical="center"/>
    </xf>
    <xf numFmtId="0" fontId="59" fillId="5" borderId="44" xfId="0" applyNumberFormat="1" applyFont="1" applyFill="1" applyBorder="1" applyAlignment="1">
      <alignment horizontal="right" vertical="center"/>
    </xf>
    <xf numFmtId="0" fontId="62" fillId="5" borderId="1" xfId="0" applyFont="1" applyFill="1" applyBorder="1" applyAlignment="1">
      <alignment horizontal="left"/>
    </xf>
    <xf numFmtId="0" fontId="0" fillId="5" borderId="0" xfId="0" applyNumberFormat="1" applyFont="1" applyFill="1" applyBorder="1" applyAlignment="1">
      <alignment horizontal="center" vertical="center"/>
    </xf>
    <xf numFmtId="0" fontId="51" fillId="5" borderId="0" xfId="0" applyFont="1" applyFill="1" applyBorder="1" applyAlignment="1">
      <alignment horizontal="left" vertical="center"/>
    </xf>
    <xf numFmtId="9" fontId="0" fillId="5" borderId="0" xfId="0" applyNumberFormat="1" applyFont="1" applyFill="1" applyBorder="1" applyAlignment="1">
      <alignment horizontal="left" vertical="center"/>
    </xf>
    <xf numFmtId="0" fontId="51" fillId="5" borderId="0" xfId="0" applyFont="1" applyFill="1" applyBorder="1" applyAlignment="1">
      <alignment vertical="center" wrapText="1"/>
    </xf>
    <xf numFmtId="0" fontId="114" fillId="5" borderId="12" xfId="0" applyFont="1" applyFill="1" applyBorder="1" applyAlignment="1">
      <alignment horizontal="right" vertical="center"/>
    </xf>
    <xf numFmtId="0" fontId="69" fillId="5" borderId="11" xfId="0" applyFont="1" applyFill="1" applyBorder="1" applyAlignment="1">
      <alignment horizontal="right" vertical="center"/>
    </xf>
    <xf numFmtId="0" fontId="114" fillId="5" borderId="11" xfId="0" applyFont="1" applyFill="1" applyBorder="1" applyAlignment="1">
      <alignment horizontal="center" vertical="center"/>
    </xf>
    <xf numFmtId="0" fontId="0" fillId="5" borderId="41" xfId="0" applyFill="1" applyBorder="1" applyAlignment="1">
      <alignment horizontal="center" vertical="center"/>
    </xf>
    <xf numFmtId="0" fontId="0" fillId="5" borderId="110" xfId="0" applyFill="1" applyBorder="1" applyAlignment="1">
      <alignment horizontal="center" vertical="center"/>
    </xf>
    <xf numFmtId="0" fontId="0" fillId="5" borderId="7" xfId="0" applyFill="1" applyBorder="1" applyAlignment="1">
      <alignment horizontal="center" vertical="center"/>
    </xf>
    <xf numFmtId="0" fontId="0" fillId="5" borderId="41" xfId="0" applyFill="1" applyBorder="1"/>
    <xf numFmtId="176" fontId="0" fillId="0" borderId="0" xfId="0" applyNumberFormat="1" applyFont="1" applyFill="1" applyBorder="1" applyAlignment="1" applyProtection="1">
      <alignment vertical="center"/>
    </xf>
    <xf numFmtId="0" fontId="0" fillId="0" borderId="0" xfId="0" applyNumberFormat="1" applyFont="1" applyFill="1" applyBorder="1" applyAlignment="1" applyProtection="1">
      <alignment vertical="center"/>
    </xf>
    <xf numFmtId="11" fontId="0" fillId="0" borderId="0" xfId="1505" applyNumberFormat="1" applyFont="1" applyAlignment="1">
      <alignment vertical="center"/>
    </xf>
    <xf numFmtId="9" fontId="40" fillId="0" borderId="0" xfId="967" applyNumberFormat="1"/>
    <xf numFmtId="0" fontId="23" fillId="5" borderId="0" xfId="1606" applyFill="1"/>
    <xf numFmtId="174" fontId="140" fillId="29" borderId="0" xfId="1612" applyNumberFormat="1" applyFont="1" applyFill="1"/>
    <xf numFmtId="9" fontId="52" fillId="0" borderId="0" xfId="1504" applyNumberFormat="1"/>
    <xf numFmtId="171" fontId="180" fillId="31" borderId="81" xfId="1532" applyNumberFormat="1"/>
    <xf numFmtId="0" fontId="54" fillId="0" borderId="0" xfId="0" applyFont="1" applyAlignment="1">
      <alignment horizontal="left" vertical="center" wrapText="1"/>
    </xf>
    <xf numFmtId="0" fontId="0" fillId="0" borderId="0" xfId="0"/>
    <xf numFmtId="2" fontId="19" fillId="0" borderId="0" xfId="1644" applyNumberFormat="1"/>
    <xf numFmtId="1" fontId="19" fillId="0" borderId="0" xfId="1651" applyNumberFormat="1" applyAlignment="1">
      <alignment horizontal="right"/>
    </xf>
    <xf numFmtId="0" fontId="71" fillId="0" borderId="0" xfId="6"/>
    <xf numFmtId="2" fontId="19" fillId="0" borderId="0" xfId="1654" applyNumberFormat="1" applyAlignment="1">
      <alignment horizontal="center"/>
    </xf>
    <xf numFmtId="0" fontId="0" fillId="0" borderId="0" xfId="0"/>
    <xf numFmtId="0" fontId="65" fillId="5" borderId="0" xfId="0" applyNumberFormat="1" applyFont="1" applyFill="1" applyBorder="1" applyAlignment="1">
      <alignment vertical="center"/>
    </xf>
    <xf numFmtId="2" fontId="0" fillId="5" borderId="0" xfId="0" applyNumberFormat="1" applyFill="1" applyBorder="1" applyAlignment="1">
      <alignment vertical="center"/>
    </xf>
    <xf numFmtId="0" fontId="62" fillId="5" borderId="4" xfId="0" applyNumberFormat="1" applyFont="1" applyFill="1" applyBorder="1" applyAlignment="1">
      <alignment horizontal="right" vertical="center"/>
    </xf>
    <xf numFmtId="1" fontId="62" fillId="5" borderId="4" xfId="0" applyNumberFormat="1" applyFont="1" applyFill="1" applyBorder="1" applyAlignment="1">
      <alignment horizontal="right" vertical="center"/>
    </xf>
    <xf numFmtId="1" fontId="171" fillId="5" borderId="0" xfId="0" applyNumberFormat="1" applyFont="1" applyFill="1" applyBorder="1" applyAlignment="1">
      <alignment horizontal="center" vertical="center"/>
    </xf>
    <xf numFmtId="179" fontId="62" fillId="5" borderId="0" xfId="1" applyFont="1" applyFill="1" applyBorder="1" applyAlignment="1">
      <alignment horizontal="center" vertical="center"/>
    </xf>
    <xf numFmtId="0" fontId="0" fillId="5" borderId="7" xfId="0" applyNumberFormat="1" applyFill="1" applyBorder="1" applyAlignment="1">
      <alignment horizontal="center" vertical="center"/>
    </xf>
    <xf numFmtId="0" fontId="62" fillId="12" borderId="4" xfId="0" applyNumberFormat="1" applyFont="1" applyFill="1" applyBorder="1" applyAlignment="1">
      <alignment horizontal="left" vertical="center"/>
    </xf>
    <xf numFmtId="0" fontId="62" fillId="12" borderId="4" xfId="0" applyNumberFormat="1" applyFont="1" applyFill="1" applyBorder="1" applyAlignment="1">
      <alignment horizontal="center" vertical="center"/>
    </xf>
    <xf numFmtId="0" fontId="0" fillId="12" borderId="4" xfId="0" applyNumberFormat="1" applyFont="1" applyFill="1" applyBorder="1" applyAlignment="1">
      <alignment horizontal="center" vertical="center"/>
    </xf>
    <xf numFmtId="171" fontId="62" fillId="12" borderId="4" xfId="0" applyNumberFormat="1" applyFont="1" applyFill="1" applyBorder="1" applyAlignment="1">
      <alignment vertical="center"/>
    </xf>
    <xf numFmtId="175" fontId="62" fillId="12" borderId="4" xfId="0" applyNumberFormat="1" applyFont="1" applyFill="1" applyBorder="1" applyAlignment="1">
      <alignment vertical="center"/>
    </xf>
    <xf numFmtId="171" fontId="62" fillId="12" borderId="0" xfId="0" applyNumberFormat="1" applyFont="1" applyFill="1" applyBorder="1" applyAlignment="1">
      <alignment horizontal="center" vertical="center"/>
    </xf>
    <xf numFmtId="0" fontId="0" fillId="12" borderId="0" xfId="0" applyNumberFormat="1" applyFill="1" applyBorder="1" applyAlignment="1">
      <alignment horizontal="center" vertical="center"/>
    </xf>
    <xf numFmtId="174" fontId="0" fillId="12" borderId="0" xfId="0" applyNumberFormat="1" applyFill="1" applyBorder="1" applyAlignment="1">
      <alignment horizontal="center" vertical="center"/>
    </xf>
    <xf numFmtId="171" fontId="0" fillId="12" borderId="0" xfId="0" applyNumberFormat="1" applyFill="1" applyBorder="1" applyAlignment="1">
      <alignment vertical="center"/>
    </xf>
    <xf numFmtId="171" fontId="51" fillId="12" borderId="15" xfId="0" applyNumberFormat="1" applyFont="1" applyFill="1" applyBorder="1" applyAlignment="1">
      <alignment horizontal="right" vertical="center"/>
    </xf>
    <xf numFmtId="171" fontId="51" fillId="12" borderId="0" xfId="0" applyNumberFormat="1" applyFont="1" applyFill="1" applyBorder="1" applyAlignment="1">
      <alignment horizontal="right" vertical="center"/>
    </xf>
    <xf numFmtId="0" fontId="0" fillId="12" borderId="1" xfId="0" applyNumberFormat="1" applyFill="1" applyBorder="1" applyAlignment="1">
      <alignment horizontal="center" vertical="center"/>
    </xf>
    <xf numFmtId="174" fontId="0" fillId="12" borderId="1" xfId="0" applyNumberFormat="1" applyFill="1" applyBorder="1" applyAlignment="1">
      <alignment horizontal="center" vertical="center"/>
    </xf>
    <xf numFmtId="171" fontId="0" fillId="12" borderId="1" xfId="0" applyNumberFormat="1" applyFill="1" applyBorder="1" applyAlignment="1">
      <alignment vertical="center"/>
    </xf>
    <xf numFmtId="171" fontId="51" fillId="12" borderId="20" xfId="0" applyNumberFormat="1" applyFont="1" applyFill="1" applyBorder="1" applyAlignment="1">
      <alignment horizontal="right" vertical="center"/>
    </xf>
    <xf numFmtId="171" fontId="51" fillId="12" borderId="1" xfId="0" applyNumberFormat="1" applyFont="1" applyFill="1" applyBorder="1" applyAlignment="1">
      <alignment horizontal="right" vertical="center"/>
    </xf>
    <xf numFmtId="0" fontId="0" fillId="12" borderId="1" xfId="0" applyNumberFormat="1" applyFont="1" applyFill="1" applyBorder="1" applyAlignment="1">
      <alignment horizontal="right" vertical="center"/>
    </xf>
    <xf numFmtId="0" fontId="0" fillId="12" borderId="1" xfId="0" applyNumberFormat="1" applyFont="1" applyFill="1" applyBorder="1" applyAlignment="1">
      <alignment horizontal="center" vertical="center"/>
    </xf>
    <xf numFmtId="171" fontId="59" fillId="12" borderId="1" xfId="0" applyNumberFormat="1" applyFont="1" applyFill="1" applyBorder="1" applyAlignment="1">
      <alignment horizontal="right" vertical="center"/>
    </xf>
    <xf numFmtId="175" fontId="62" fillId="12" borderId="1" xfId="0" applyNumberFormat="1" applyFont="1" applyFill="1" applyBorder="1" applyAlignment="1">
      <alignment vertical="center"/>
    </xf>
    <xf numFmtId="9" fontId="0" fillId="12" borderId="0" xfId="0" applyNumberFormat="1" applyFill="1" applyBorder="1" applyAlignment="1">
      <alignment horizontal="center" vertical="center"/>
    </xf>
    <xf numFmtId="0" fontId="0" fillId="12" borderId="0" xfId="0" applyNumberFormat="1" applyFill="1" applyBorder="1" applyAlignment="1">
      <alignment vertical="center"/>
    </xf>
    <xf numFmtId="0" fontId="51" fillId="12" borderId="15" xfId="0" applyNumberFormat="1" applyFont="1" applyFill="1" applyBorder="1" applyAlignment="1">
      <alignment horizontal="right" vertical="center"/>
    </xf>
    <xf numFmtId="0" fontId="62" fillId="12" borderId="4" xfId="0" applyNumberFormat="1" applyFont="1" applyFill="1" applyBorder="1" applyAlignment="1">
      <alignment vertical="center"/>
    </xf>
    <xf numFmtId="0" fontId="0" fillId="12" borderId="4" xfId="0" applyNumberFormat="1" applyFont="1" applyFill="1" applyBorder="1" applyAlignment="1">
      <alignment horizontal="left" vertical="center"/>
    </xf>
    <xf numFmtId="2" fontId="0" fillId="12" borderId="0" xfId="0" applyNumberFormat="1" applyFill="1" applyBorder="1" applyAlignment="1">
      <alignment horizontal="center" vertical="center"/>
    </xf>
    <xf numFmtId="171" fontId="171" fillId="12" borderId="0" xfId="0" applyNumberFormat="1" applyFont="1" applyFill="1" applyBorder="1" applyAlignment="1">
      <alignment horizontal="center" vertical="center"/>
    </xf>
    <xf numFmtId="0" fontId="55" fillId="0" borderId="0" xfId="0" applyFont="1" applyFill="1"/>
    <xf numFmtId="0" fontId="0" fillId="0" borderId="0" xfId="0" applyFill="1" applyAlignment="1">
      <alignment wrapText="1"/>
    </xf>
    <xf numFmtId="0" fontId="62" fillId="0" borderId="0" xfId="0" applyFont="1" applyFill="1" applyAlignment="1">
      <alignment horizontal="left"/>
    </xf>
    <xf numFmtId="0" fontId="0" fillId="0" borderId="0" xfId="0" applyFont="1" applyFill="1" applyAlignment="1">
      <alignment wrapText="1"/>
    </xf>
    <xf numFmtId="0" fontId="93" fillId="5" borderId="0" xfId="0" applyFont="1" applyFill="1" applyBorder="1" applyAlignment="1">
      <alignment horizontal="left" vertical="center"/>
    </xf>
    <xf numFmtId="0" fontId="93" fillId="5" borderId="0" xfId="0" applyFont="1" applyFill="1" applyBorder="1" applyAlignment="1">
      <alignment vertical="center"/>
    </xf>
    <xf numFmtId="1" fontId="62" fillId="5" borderId="0" xfId="0" applyNumberFormat="1" applyFont="1" applyFill="1" applyBorder="1" applyAlignment="1">
      <alignment horizontal="right" vertical="center"/>
    </xf>
    <xf numFmtId="174" fontId="166" fillId="17" borderId="0" xfId="948" applyNumberFormat="1" applyFont="1" applyFill="1"/>
    <xf numFmtId="0" fontId="62" fillId="0" borderId="0" xfId="0" applyFont="1" applyBorder="1" applyAlignment="1">
      <alignment horizontal="center"/>
    </xf>
    <xf numFmtId="179" fontId="0" fillId="0" borderId="0" xfId="1" applyFont="1" applyBorder="1" applyAlignment="1">
      <alignment horizontal="center"/>
    </xf>
    <xf numFmtId="179" fontId="171" fillId="5" borderId="1" xfId="1" applyNumberFormat="1" applyFont="1" applyFill="1" applyBorder="1" applyAlignment="1">
      <alignment horizontal="right" vertical="center"/>
    </xf>
    <xf numFmtId="0" fontId="62" fillId="5" borderId="111" xfId="0" applyNumberFormat="1" applyFont="1" applyFill="1" applyBorder="1" applyAlignment="1">
      <alignment vertical="center"/>
    </xf>
    <xf numFmtId="0" fontId="0" fillId="5" borderId="111" xfId="0" applyNumberFormat="1" applyFill="1" applyBorder="1" applyAlignment="1">
      <alignment vertical="center"/>
    </xf>
    <xf numFmtId="186" fontId="0" fillId="5" borderId="111" xfId="1" applyNumberFormat="1" applyFont="1" applyFill="1" applyBorder="1" applyAlignment="1">
      <alignment vertical="center"/>
    </xf>
    <xf numFmtId="0" fontId="0" fillId="0" borderId="0" xfId="0"/>
    <xf numFmtId="0" fontId="18" fillId="0" borderId="0" xfId="1" applyNumberFormat="1" applyFont="1"/>
    <xf numFmtId="179" fontId="0" fillId="0" borderId="0" xfId="1" applyFont="1" applyAlignment="1">
      <alignment vertical="top" wrapText="1"/>
    </xf>
    <xf numFmtId="0" fontId="23" fillId="0" borderId="0" xfId="1606" applyFill="1" applyBorder="1"/>
    <xf numFmtId="0" fontId="23" fillId="0" borderId="0" xfId="1606" applyFill="1"/>
    <xf numFmtId="0" fontId="17" fillId="0" borderId="0" xfId="1995"/>
    <xf numFmtId="171" fontId="17" fillId="0" borderId="0" xfId="1995" applyNumberFormat="1"/>
    <xf numFmtId="0" fontId="240" fillId="0" borderId="0" xfId="1995" applyFont="1" applyAlignment="1"/>
    <xf numFmtId="3" fontId="17" fillId="0" borderId="0" xfId="1995" applyNumberFormat="1"/>
    <xf numFmtId="1" fontId="17" fillId="0" borderId="0" xfId="1995" applyNumberFormat="1"/>
    <xf numFmtId="0" fontId="117" fillId="0" borderId="0" xfId="1995" applyFont="1"/>
    <xf numFmtId="10" fontId="17" fillId="0" borderId="0" xfId="1996" applyNumberFormat="1" applyFont="1"/>
    <xf numFmtId="2" fontId="17" fillId="0" borderId="0" xfId="1995" applyNumberFormat="1"/>
    <xf numFmtId="0" fontId="240" fillId="0" borderId="0" xfId="1995" applyFont="1" applyAlignment="1">
      <alignment horizontal="left"/>
    </xf>
    <xf numFmtId="174" fontId="17" fillId="0" borderId="0" xfId="1996" applyNumberFormat="1" applyFont="1"/>
    <xf numFmtId="0" fontId="17" fillId="0" borderId="0" xfId="1995" applyBorder="1"/>
    <xf numFmtId="200" fontId="17" fillId="0" borderId="0" xfId="1997" applyNumberFormat="1" applyFont="1"/>
    <xf numFmtId="0" fontId="241" fillId="8" borderId="0" xfId="941" applyFont="1" applyFill="1"/>
    <xf numFmtId="0" fontId="50" fillId="0" borderId="0" xfId="941"/>
    <xf numFmtId="0" fontId="50" fillId="0" borderId="0" xfId="941" applyBorder="1"/>
    <xf numFmtId="0" fontId="50" fillId="0" borderId="113" xfId="941" applyBorder="1"/>
    <xf numFmtId="9" fontId="50" fillId="8" borderId="114" xfId="941" applyNumberFormat="1" applyFill="1" applyBorder="1"/>
    <xf numFmtId="0" fontId="241" fillId="0" borderId="0" xfId="941" applyFont="1" applyBorder="1"/>
    <xf numFmtId="9" fontId="241" fillId="0" borderId="114" xfId="941" applyNumberFormat="1" applyFont="1" applyBorder="1"/>
    <xf numFmtId="2" fontId="50" fillId="0" borderId="114" xfId="941" applyNumberFormat="1" applyBorder="1"/>
    <xf numFmtId="3" fontId="50" fillId="8" borderId="114" xfId="941" applyNumberFormat="1" applyFill="1" applyBorder="1"/>
    <xf numFmtId="3" fontId="50" fillId="0" borderId="114" xfId="941" applyNumberFormat="1" applyFill="1" applyBorder="1"/>
    <xf numFmtId="174" fontId="17" fillId="0" borderId="0" xfId="951" applyNumberFormat="1" applyFont="1"/>
    <xf numFmtId="0" fontId="241" fillId="0" borderId="113" xfId="941" applyFont="1" applyFill="1" applyBorder="1"/>
    <xf numFmtId="0" fontId="241" fillId="83" borderId="114" xfId="941" applyFont="1" applyFill="1" applyBorder="1"/>
    <xf numFmtId="174" fontId="241" fillId="83" borderId="114" xfId="951" applyNumberFormat="1" applyFont="1" applyFill="1" applyBorder="1"/>
    <xf numFmtId="0" fontId="50" fillId="0" borderId="114" xfId="941" applyBorder="1"/>
    <xf numFmtId="0" fontId="241" fillId="0" borderId="113" xfId="941" applyFont="1" applyBorder="1"/>
    <xf numFmtId="0" fontId="242" fillId="0" borderId="0" xfId="941" applyFont="1"/>
    <xf numFmtId="0" fontId="241" fillId="0" borderId="0" xfId="941" applyFont="1"/>
    <xf numFmtId="0" fontId="242" fillId="26" borderId="0" xfId="941" applyFont="1" applyFill="1"/>
    <xf numFmtId="0" fontId="50" fillId="26" borderId="0" xfId="941" applyFill="1"/>
    <xf numFmtId="0" fontId="243" fillId="0" borderId="1" xfId="941" applyFont="1" applyBorder="1"/>
    <xf numFmtId="0" fontId="242" fillId="0" borderId="1" xfId="941" applyFont="1" applyBorder="1"/>
    <xf numFmtId="0" fontId="242" fillId="0" borderId="114" xfId="941" applyFont="1" applyBorder="1"/>
    <xf numFmtId="0" fontId="243" fillId="0" borderId="0" xfId="941" applyFont="1"/>
    <xf numFmtId="0" fontId="242" fillId="17" borderId="0" xfId="941" applyFont="1" applyFill="1"/>
    <xf numFmtId="9" fontId="242" fillId="0" borderId="114" xfId="941" applyNumberFormat="1" applyFont="1" applyBorder="1"/>
    <xf numFmtId="3" fontId="242" fillId="0" borderId="114" xfId="941" applyNumberFormat="1" applyFont="1" applyBorder="1"/>
    <xf numFmtId="0" fontId="243" fillId="0" borderId="114" xfId="941" applyFont="1" applyBorder="1"/>
    <xf numFmtId="4" fontId="243" fillId="0" borderId="114" xfId="941" applyNumberFormat="1" applyFont="1" applyBorder="1"/>
    <xf numFmtId="4" fontId="242" fillId="0" borderId="114" xfId="941" applyNumberFormat="1" applyFont="1" applyBorder="1"/>
    <xf numFmtId="9" fontId="40" fillId="0" borderId="0" xfId="968" applyNumberFormat="1" applyFont="1" applyBorder="1"/>
    <xf numFmtId="174" fontId="40" fillId="0" borderId="0" xfId="968" applyNumberFormat="1" applyFont="1" applyBorder="1"/>
    <xf numFmtId="9" fontId="40" fillId="0" borderId="0" xfId="967" applyNumberFormat="1" applyBorder="1"/>
    <xf numFmtId="9" fontId="40" fillId="0" borderId="48" xfId="967" applyNumberFormat="1" applyBorder="1"/>
    <xf numFmtId="0" fontId="15" fillId="0" borderId="0" xfId="1995" applyFont="1" applyAlignment="1">
      <alignment horizontal="right"/>
    </xf>
    <xf numFmtId="4" fontId="17" fillId="0" borderId="0" xfId="1995" applyNumberFormat="1"/>
    <xf numFmtId="0" fontId="210" fillId="0" borderId="0" xfId="3606" applyFont="1" applyFill="1" applyBorder="1"/>
    <xf numFmtId="0" fontId="248" fillId="0" borderId="0" xfId="0" applyFont="1"/>
    <xf numFmtId="0" fontId="0" fillId="0" borderId="0" xfId="0" applyFill="1" applyBorder="1"/>
    <xf numFmtId="0" fontId="62" fillId="0" borderId="0" xfId="0" applyFont="1" applyBorder="1"/>
    <xf numFmtId="186" fontId="0" fillId="0" borderId="7" xfId="1" applyNumberFormat="1" applyFont="1" applyBorder="1"/>
    <xf numFmtId="0" fontId="23" fillId="5" borderId="0" xfId="1606" applyFill="1" applyBorder="1"/>
    <xf numFmtId="194" fontId="248" fillId="0" borderId="0" xfId="0" applyNumberFormat="1" applyFont="1"/>
    <xf numFmtId="0" fontId="0" fillId="0" borderId="0" xfId="0"/>
    <xf numFmtId="179" fontId="0" fillId="0" borderId="0" xfId="1" applyFont="1"/>
    <xf numFmtId="0" fontId="0" fillId="0" borderId="0" xfId="0" applyBorder="1"/>
    <xf numFmtId="0" fontId="62" fillId="0" borderId="0" xfId="0" applyFont="1"/>
    <xf numFmtId="186" fontId="0" fillId="0" borderId="0" xfId="1" applyNumberFormat="1" applyFont="1"/>
    <xf numFmtId="0" fontId="210" fillId="0" borderId="0" xfId="3606" applyFont="1" applyFill="1" applyBorder="1"/>
    <xf numFmtId="0" fontId="246" fillId="0" borderId="0" xfId="0" applyFont="1"/>
    <xf numFmtId="194" fontId="246" fillId="0" borderId="0" xfId="0" applyNumberFormat="1" applyFont="1"/>
    <xf numFmtId="0" fontId="62" fillId="17" borderId="0" xfId="0" applyFont="1" applyFill="1" applyAlignment="1">
      <alignment horizontal="left"/>
    </xf>
    <xf numFmtId="177" fontId="52" fillId="12" borderId="0" xfId="2" applyNumberFormat="1" applyFont="1" applyFill="1"/>
    <xf numFmtId="0" fontId="0" fillId="12" borderId="1" xfId="0" applyFont="1" applyFill="1" applyBorder="1"/>
    <xf numFmtId="175" fontId="52" fillId="12" borderId="0" xfId="2" applyFont="1" applyFill="1" applyBorder="1"/>
    <xf numFmtId="175" fontId="52" fillId="12" borderId="1" xfId="2" applyFont="1" applyFill="1" applyBorder="1"/>
    <xf numFmtId="10" fontId="0" fillId="12" borderId="0" xfId="1" applyNumberFormat="1" applyFont="1" applyFill="1" applyBorder="1"/>
    <xf numFmtId="0" fontId="0" fillId="12" borderId="0" xfId="0" applyFont="1" applyFill="1" applyBorder="1" applyAlignment="1">
      <alignment vertical="center"/>
    </xf>
    <xf numFmtId="10" fontId="0" fillId="12" borderId="0" xfId="1" applyNumberFormat="1" applyFont="1" applyFill="1"/>
    <xf numFmtId="0" fontId="62" fillId="12" borderId="0" xfId="0" applyFont="1" applyFill="1" applyAlignment="1"/>
    <xf numFmtId="0" fontId="0" fillId="12" borderId="0" xfId="0" applyFont="1" applyFill="1" applyAlignment="1">
      <alignment horizontal="left"/>
    </xf>
    <xf numFmtId="0" fontId="0" fillId="12" borderId="0" xfId="0" applyFont="1" applyFill="1" applyBorder="1" applyAlignment="1">
      <alignment vertical="center" wrapText="1"/>
    </xf>
    <xf numFmtId="175" fontId="52" fillId="12" borderId="0" xfId="2" applyFont="1" applyFill="1"/>
    <xf numFmtId="0" fontId="59" fillId="12" borderId="0" xfId="0" applyFont="1" applyFill="1" applyAlignment="1">
      <alignment horizontal="center"/>
    </xf>
    <xf numFmtId="0" fontId="0" fillId="12" borderId="0" xfId="0" applyFont="1" applyFill="1" applyAlignment="1">
      <alignment wrapText="1"/>
    </xf>
    <xf numFmtId="0" fontId="62" fillId="12" borderId="0" xfId="0" applyFont="1" applyFill="1" applyAlignment="1">
      <alignment horizontal="left"/>
    </xf>
    <xf numFmtId="0" fontId="62" fillId="12" borderId="0" xfId="0" applyFont="1" applyFill="1" applyAlignment="1">
      <alignment horizontal="right"/>
    </xf>
    <xf numFmtId="171" fontId="0" fillId="12" borderId="1" xfId="0" applyNumberFormat="1" applyFont="1" applyFill="1" applyBorder="1" applyAlignment="1">
      <alignment vertical="center"/>
    </xf>
    <xf numFmtId="0" fontId="0" fillId="12" borderId="1" xfId="0" applyFont="1" applyFill="1" applyBorder="1" applyAlignment="1">
      <alignment horizontal="left" vertical="center"/>
    </xf>
    <xf numFmtId="0" fontId="0" fillId="12" borderId="1" xfId="0" applyFont="1" applyFill="1" applyBorder="1" applyAlignment="1">
      <alignment vertical="center"/>
    </xf>
    <xf numFmtId="171" fontId="0" fillId="12" borderId="0" xfId="0" applyNumberFormat="1" applyFont="1" applyFill="1" applyAlignment="1">
      <alignment vertical="center"/>
    </xf>
    <xf numFmtId="171" fontId="65" fillId="12" borderId="0" xfId="0" applyNumberFormat="1" applyFont="1" applyFill="1" applyAlignment="1">
      <alignment vertical="center"/>
    </xf>
    <xf numFmtId="175" fontId="0" fillId="12" borderId="0" xfId="2" applyFont="1" applyFill="1"/>
    <xf numFmtId="0" fontId="0" fillId="12" borderId="0" xfId="0" applyFill="1" applyAlignment="1">
      <alignment horizontal="right"/>
    </xf>
    <xf numFmtId="0" fontId="0" fillId="12" borderId="0" xfId="0" applyFont="1" applyFill="1"/>
    <xf numFmtId="175" fontId="62" fillId="12" borderId="0" xfId="2" applyFont="1" applyFill="1" applyBorder="1" applyAlignment="1">
      <alignment vertical="center"/>
    </xf>
    <xf numFmtId="0" fontId="0" fillId="12" borderId="0" xfId="0" applyFont="1" applyFill="1" applyAlignment="1">
      <alignment horizontal="left" vertical="center"/>
    </xf>
    <xf numFmtId="49" fontId="62" fillId="12" borderId="0" xfId="2" applyNumberFormat="1" applyFont="1" applyFill="1" applyBorder="1" applyAlignment="1">
      <alignment vertical="center"/>
    </xf>
    <xf numFmtId="0" fontId="87" fillId="12" borderId="0" xfId="0" applyFont="1" applyFill="1" applyAlignment="1">
      <alignment horizontal="left" vertical="center"/>
    </xf>
    <xf numFmtId="0" fontId="0" fillId="12" borderId="0" xfId="0" applyFont="1" applyFill="1" applyAlignment="1">
      <alignment vertical="center" wrapText="1"/>
    </xf>
    <xf numFmtId="0" fontId="62" fillId="12" borderId="0" xfId="0" applyFont="1" applyFill="1"/>
    <xf numFmtId="0" fontId="0" fillId="12" borderId="0" xfId="0" applyFont="1" applyFill="1" applyAlignment="1">
      <alignment vertical="center"/>
    </xf>
    <xf numFmtId="175" fontId="0" fillId="12" borderId="0" xfId="2" applyFont="1" applyFill="1" applyBorder="1"/>
    <xf numFmtId="10" fontId="52" fillId="12" borderId="0" xfId="1" applyNumberFormat="1" applyFont="1" applyFill="1" applyBorder="1"/>
    <xf numFmtId="0" fontId="0" fillId="12" borderId="0" xfId="0" applyFont="1" applyFill="1" applyBorder="1" applyAlignment="1">
      <alignment wrapText="1"/>
    </xf>
    <xf numFmtId="0" fontId="0" fillId="12" borderId="0" xfId="0" applyFont="1" applyFill="1" applyBorder="1"/>
    <xf numFmtId="0" fontId="68" fillId="12" borderId="1" xfId="0" applyNumberFormat="1" applyFont="1" applyFill="1" applyBorder="1" applyAlignment="1">
      <alignment vertical="center"/>
    </xf>
    <xf numFmtId="0" fontId="78" fillId="12" borderId="4" xfId="0" applyNumberFormat="1" applyFont="1" applyFill="1" applyBorder="1" applyAlignment="1">
      <alignment vertical="center"/>
    </xf>
    <xf numFmtId="177" fontId="87" fillId="12" borderId="0" xfId="2" applyNumberFormat="1" applyFont="1" applyFill="1" applyBorder="1" applyAlignment="1">
      <alignment vertical="center"/>
    </xf>
    <xf numFmtId="0" fontId="68" fillId="12" borderId="0" xfId="0" applyNumberFormat="1" applyFont="1" applyFill="1" applyBorder="1" applyAlignment="1">
      <alignment vertical="center"/>
    </xf>
    <xf numFmtId="0" fontId="87" fillId="12" borderId="0" xfId="0" applyNumberFormat="1" applyFont="1" applyFill="1" applyBorder="1" applyAlignment="1">
      <alignment vertical="center"/>
    </xf>
    <xf numFmtId="0" fontId="68" fillId="12" borderId="17" xfId="0" applyNumberFormat="1" applyFont="1" applyFill="1" applyBorder="1" applyAlignment="1">
      <alignment vertical="center"/>
    </xf>
    <xf numFmtId="0" fontId="78" fillId="12" borderId="17" xfId="0" applyNumberFormat="1" applyFont="1" applyFill="1" applyBorder="1" applyAlignment="1">
      <alignment vertical="center"/>
    </xf>
    <xf numFmtId="180" fontId="0" fillId="12" borderId="1" xfId="1" applyNumberFormat="1" applyFont="1" applyFill="1" applyBorder="1" applyAlignment="1">
      <alignment horizontal="center" vertical="top"/>
    </xf>
    <xf numFmtId="175" fontId="62" fillId="12" borderId="1" xfId="0" applyNumberFormat="1" applyFont="1" applyFill="1" applyBorder="1"/>
    <xf numFmtId="49" fontId="62" fillId="12" borderId="1" xfId="0" applyNumberFormat="1" applyFont="1" applyFill="1" applyBorder="1" applyAlignment="1"/>
    <xf numFmtId="0" fontId="0" fillId="12" borderId="1" xfId="0" applyNumberFormat="1" applyFill="1" applyBorder="1" applyAlignment="1">
      <alignment vertical="center"/>
    </xf>
    <xf numFmtId="185" fontId="0" fillId="12" borderId="0" xfId="2" applyNumberFormat="1" applyFont="1" applyFill="1" applyBorder="1" applyAlignment="1">
      <alignment vertical="center"/>
    </xf>
    <xf numFmtId="179" fontId="0" fillId="12" borderId="0" xfId="1" applyFont="1" applyFill="1" applyBorder="1"/>
    <xf numFmtId="0" fontId="0" fillId="12" borderId="1" xfId="0" applyFill="1" applyBorder="1"/>
    <xf numFmtId="175" fontId="62" fillId="12" borderId="1" xfId="2" applyFont="1" applyFill="1" applyBorder="1" applyAlignment="1">
      <alignment vertical="center"/>
    </xf>
    <xf numFmtId="0" fontId="62" fillId="12" borderId="1" xfId="0" applyFont="1" applyFill="1" applyBorder="1" applyAlignment="1">
      <alignment vertical="center"/>
    </xf>
    <xf numFmtId="0" fontId="62" fillId="12" borderId="1" xfId="0" applyFont="1" applyFill="1" applyBorder="1" applyAlignment="1">
      <alignment vertical="center" wrapText="1"/>
    </xf>
    <xf numFmtId="0" fontId="62" fillId="12" borderId="1" xfId="0" applyNumberFormat="1" applyFont="1" applyFill="1" applyBorder="1" applyAlignment="1">
      <alignment vertical="center"/>
    </xf>
    <xf numFmtId="180" fontId="62" fillId="12" borderId="0" xfId="1" applyNumberFormat="1" applyFont="1" applyFill="1" applyBorder="1" applyAlignment="1">
      <alignment horizontal="center" vertical="top"/>
    </xf>
    <xf numFmtId="0" fontId="62" fillId="12" borderId="0" xfId="0" applyNumberFormat="1" applyFont="1" applyFill="1" applyBorder="1" applyAlignment="1">
      <alignment horizontal="center" vertical="center"/>
    </xf>
    <xf numFmtId="175" fontId="62" fillId="12" borderId="0" xfId="0" applyNumberFormat="1" applyFont="1" applyFill="1" applyBorder="1"/>
    <xf numFmtId="49" fontId="62" fillId="12" borderId="0" xfId="0" applyNumberFormat="1" applyFont="1" applyFill="1" applyBorder="1" applyAlignment="1"/>
    <xf numFmtId="0" fontId="62" fillId="12" borderId="0" xfId="0" applyNumberFormat="1" applyFont="1" applyFill="1" applyBorder="1" applyAlignment="1">
      <alignment vertical="center"/>
    </xf>
    <xf numFmtId="0" fontId="84" fillId="12" borderId="0" xfId="0" applyNumberFormat="1" applyFont="1" applyFill="1" applyBorder="1" applyAlignment="1">
      <alignment vertical="center"/>
    </xf>
    <xf numFmtId="9" fontId="195" fillId="0" borderId="0" xfId="1607" applyNumberFormat="1" applyFont="1" applyFill="1" applyBorder="1"/>
    <xf numFmtId="0" fontId="0" fillId="0" borderId="0" xfId="0" applyFont="1"/>
    <xf numFmtId="0" fontId="0" fillId="12" borderId="0" xfId="0" applyFill="1"/>
    <xf numFmtId="0" fontId="0" fillId="5" borderId="0" xfId="0" applyFill="1" applyBorder="1"/>
    <xf numFmtId="0" fontId="0" fillId="12" borderId="0" xfId="0" applyFill="1" applyBorder="1"/>
    <xf numFmtId="0" fontId="0" fillId="12" borderId="0" xfId="0" applyFill="1" applyBorder="1" applyAlignment="1">
      <alignment horizontal="right"/>
    </xf>
    <xf numFmtId="186" fontId="0" fillId="0" borderId="0" xfId="1" applyNumberFormat="1" applyFont="1"/>
    <xf numFmtId="179" fontId="193" fillId="0" borderId="0" xfId="1" applyFont="1" applyFill="1" applyBorder="1" applyAlignment="1">
      <alignment horizontal="center"/>
    </xf>
    <xf numFmtId="179" fontId="194" fillId="0" borderId="0" xfId="1" applyFont="1" applyFill="1" applyBorder="1" applyAlignment="1">
      <alignment horizontal="center"/>
    </xf>
    <xf numFmtId="180" fontId="193" fillId="0" borderId="0" xfId="1" applyNumberFormat="1" applyFont="1" applyFill="1" applyBorder="1" applyAlignment="1">
      <alignment horizontal="center"/>
    </xf>
    <xf numFmtId="0" fontId="62" fillId="0" borderId="1" xfId="0" applyFont="1" applyBorder="1"/>
    <xf numFmtId="10" fontId="194" fillId="0" borderId="0" xfId="1" applyNumberFormat="1" applyFont="1" applyFill="1" applyBorder="1" applyAlignment="1">
      <alignment horizontal="center"/>
    </xf>
    <xf numFmtId="0" fontId="0" fillId="12" borderId="0" xfId="0" applyNumberFormat="1" applyFill="1" applyBorder="1" applyAlignment="1">
      <alignment horizontal="center" vertical="center"/>
    </xf>
    <xf numFmtId="0" fontId="0" fillId="12" borderId="1" xfId="0" applyFill="1" applyBorder="1" applyAlignment="1">
      <alignment vertical="center"/>
    </xf>
    <xf numFmtId="0" fontId="0" fillId="12" borderId="1" xfId="0" applyNumberFormat="1" applyFill="1" applyBorder="1" applyAlignment="1">
      <alignment horizontal="center" vertical="center"/>
    </xf>
    <xf numFmtId="0" fontId="0" fillId="12" borderId="0" xfId="0" applyNumberFormat="1" applyFill="1" applyBorder="1" applyAlignment="1">
      <alignment vertical="center"/>
    </xf>
    <xf numFmtId="186" fontId="0" fillId="0" borderId="0" xfId="1" applyNumberFormat="1" applyFont="1" applyBorder="1"/>
    <xf numFmtId="186" fontId="247" fillId="17" borderId="117" xfId="1" applyNumberFormat="1" applyFont="1" applyFill="1" applyBorder="1"/>
    <xf numFmtId="186" fontId="245" fillId="17" borderId="117" xfId="1" applyNumberFormat="1" applyFont="1" applyFill="1" applyBorder="1"/>
    <xf numFmtId="0" fontId="0" fillId="0" borderId="0" xfId="0"/>
    <xf numFmtId="0" fontId="62" fillId="0" borderId="0" xfId="0" applyFont="1"/>
    <xf numFmtId="171" fontId="0" fillId="0" borderId="117" xfId="0" applyNumberFormat="1" applyBorder="1"/>
    <xf numFmtId="0" fontId="62" fillId="0" borderId="0" xfId="0" applyFont="1"/>
    <xf numFmtId="0" fontId="0" fillId="0" borderId="6" xfId="0" applyBorder="1"/>
    <xf numFmtId="171" fontId="0" fillId="0" borderId="117" xfId="0" applyNumberFormat="1" applyBorder="1"/>
    <xf numFmtId="179" fontId="87" fillId="0" borderId="6" xfId="1" applyFont="1" applyBorder="1"/>
    <xf numFmtId="0" fontId="71" fillId="0" borderId="0" xfId="939"/>
    <xf numFmtId="0" fontId="71" fillId="0" borderId="0" xfId="939" applyFill="1"/>
    <xf numFmtId="10" fontId="0" fillId="0" borderId="0" xfId="0" applyNumberFormat="1" applyFont="1" applyFill="1" applyBorder="1"/>
    <xf numFmtId="10" fontId="0" fillId="0" borderId="0" xfId="0" applyNumberFormat="1" applyFill="1" applyBorder="1"/>
    <xf numFmtId="186" fontId="249" fillId="0" borderId="7" xfId="1" applyNumberFormat="1" applyFont="1" applyFill="1" applyBorder="1"/>
    <xf numFmtId="186" fontId="249" fillId="0" borderId="0" xfId="1" applyNumberFormat="1" applyFont="1" applyFill="1" applyBorder="1"/>
    <xf numFmtId="186" fontId="250" fillId="0" borderId="0" xfId="1" applyNumberFormat="1" applyFont="1" applyFill="1" applyBorder="1"/>
    <xf numFmtId="186" fontId="245" fillId="0" borderId="0" xfId="1" applyNumberFormat="1" applyFont="1" applyFill="1" applyBorder="1"/>
    <xf numFmtId="180" fontId="62" fillId="0" borderId="4" xfId="1" applyNumberFormat="1" applyFont="1" applyBorder="1"/>
    <xf numFmtId="179" fontId="62" fillId="0" borderId="0" xfId="1" applyFont="1" applyFill="1" applyBorder="1" applyAlignment="1">
      <alignment horizontal="right" vertical="center"/>
    </xf>
    <xf numFmtId="0" fontId="0" fillId="0" borderId="58" xfId="0" applyBorder="1"/>
    <xf numFmtId="186" fontId="249" fillId="0" borderId="1" xfId="1" applyNumberFormat="1" applyFont="1" applyFill="1" applyBorder="1"/>
    <xf numFmtId="179" fontId="87" fillId="0" borderId="0" xfId="1" applyFont="1"/>
    <xf numFmtId="186" fontId="0" fillId="0" borderId="0" xfId="0" applyNumberFormat="1" applyFill="1" applyBorder="1"/>
    <xf numFmtId="179" fontId="0" fillId="0" borderId="0" xfId="0" applyNumberFormat="1" applyFill="1" applyBorder="1"/>
    <xf numFmtId="0" fontId="0" fillId="0" borderId="55" xfId="0" applyBorder="1"/>
    <xf numFmtId="0" fontId="62" fillId="0" borderId="56" xfId="0" applyFont="1" applyBorder="1"/>
    <xf numFmtId="0" fontId="0" fillId="0" borderId="56" xfId="0" applyBorder="1"/>
    <xf numFmtId="0" fontId="62" fillId="17" borderId="56" xfId="0" applyFont="1" applyFill="1" applyBorder="1"/>
    <xf numFmtId="0" fontId="0" fillId="0" borderId="57" xfId="0" applyBorder="1"/>
    <xf numFmtId="0" fontId="62" fillId="0" borderId="58" xfId="0" applyFont="1" applyBorder="1"/>
    <xf numFmtId="0" fontId="0" fillId="0" borderId="59" xfId="0" applyBorder="1"/>
    <xf numFmtId="179" fontId="62" fillId="0" borderId="58" xfId="1" applyFont="1" applyBorder="1"/>
    <xf numFmtId="194" fontId="0" fillId="0" borderId="0" xfId="0" applyNumberFormat="1" applyBorder="1"/>
    <xf numFmtId="186" fontId="0" fillId="0" borderId="0" xfId="0" applyNumberFormat="1" applyBorder="1"/>
    <xf numFmtId="0" fontId="210" fillId="0" borderId="58" xfId="3606" applyFont="1" applyFill="1" applyBorder="1"/>
    <xf numFmtId="0" fontId="0" fillId="0" borderId="62" xfId="0" applyBorder="1"/>
    <xf numFmtId="0" fontId="0" fillId="0" borderId="60" xfId="0" applyBorder="1"/>
    <xf numFmtId="0" fontId="0" fillId="0" borderId="61" xfId="0" applyBorder="1"/>
    <xf numFmtId="0" fontId="210" fillId="0" borderId="58" xfId="1608" applyFont="1" applyFill="1" applyBorder="1"/>
    <xf numFmtId="0" fontId="205" fillId="0" borderId="0" xfId="930" applyFont="1" applyFill="1" applyBorder="1" applyAlignment="1">
      <alignment horizontal="center"/>
    </xf>
    <xf numFmtId="0" fontId="206" fillId="0" borderId="0" xfId="910" applyFont="1" applyFill="1" applyBorder="1"/>
    <xf numFmtId="179" fontId="171" fillId="0" borderId="0" xfId="1" applyFont="1"/>
    <xf numFmtId="0" fontId="171" fillId="0" borderId="0" xfId="0" applyFont="1" applyAlignment="1">
      <alignment horizontal="center"/>
    </xf>
    <xf numFmtId="9" fontId="205" fillId="0" borderId="0" xfId="930" applyNumberFormat="1" applyFont="1" applyFill="1" applyBorder="1"/>
    <xf numFmtId="0" fontId="210" fillId="0" borderId="0" xfId="1608" applyFont="1" applyFill="1" applyBorder="1" applyAlignment="1">
      <alignment horizontal="left"/>
    </xf>
    <xf numFmtId="0" fontId="245" fillId="0" borderId="0" xfId="0" applyFont="1"/>
    <xf numFmtId="0" fontId="87" fillId="0" borderId="0" xfId="0" applyFont="1" applyFill="1" applyBorder="1"/>
    <xf numFmtId="1" fontId="245" fillId="0" borderId="0" xfId="0" applyNumberFormat="1" applyFont="1"/>
    <xf numFmtId="0" fontId="23" fillId="0" borderId="115" xfId="1606" applyBorder="1"/>
    <xf numFmtId="0" fontId="23" fillId="5" borderId="115" xfId="1606" applyFill="1" applyBorder="1"/>
    <xf numFmtId="0" fontId="23" fillId="76" borderId="0" xfId="1606" applyFill="1"/>
    <xf numFmtId="0" fontId="254" fillId="76" borderId="0" xfId="925" applyFont="1" applyFill="1" applyBorder="1"/>
    <xf numFmtId="0" fontId="49" fillId="22" borderId="0" xfId="452"/>
    <xf numFmtId="174" fontId="45" fillId="38" borderId="0" xfId="836" applyNumberFormat="1"/>
    <xf numFmtId="0" fontId="22" fillId="8" borderId="0" xfId="1611" applyFill="1"/>
    <xf numFmtId="0" fontId="23" fillId="76" borderId="0" xfId="1606" applyFill="1" applyBorder="1"/>
    <xf numFmtId="0" fontId="149" fillId="76" borderId="0" xfId="925" applyFill="1" applyBorder="1"/>
    <xf numFmtId="0" fontId="149" fillId="76" borderId="80" xfId="925" applyFill="1"/>
    <xf numFmtId="0" fontId="15" fillId="76" borderId="0" xfId="1606" applyFont="1" applyFill="1" applyBorder="1"/>
    <xf numFmtId="0" fontId="163" fillId="76" borderId="0" xfId="1606" applyFont="1" applyFill="1"/>
    <xf numFmtId="0" fontId="163" fillId="76" borderId="0" xfId="1606" applyFont="1" applyFill="1" applyBorder="1"/>
    <xf numFmtId="1" fontId="149" fillId="76" borderId="80" xfId="925" applyNumberFormat="1" applyFill="1"/>
    <xf numFmtId="2" fontId="23" fillId="76" borderId="0" xfId="1606" applyNumberFormat="1" applyFill="1"/>
    <xf numFmtId="0" fontId="149" fillId="76" borderId="118" xfId="925" applyFill="1" applyBorder="1"/>
    <xf numFmtId="1" fontId="149" fillId="76" borderId="118" xfId="925" applyNumberFormat="1" applyFill="1" applyBorder="1"/>
    <xf numFmtId="0" fontId="253" fillId="76" borderId="115" xfId="1606" applyFont="1" applyFill="1" applyBorder="1" applyAlignment="1">
      <alignment horizontal="center" vertical="center"/>
    </xf>
    <xf numFmtId="9" fontId="253" fillId="76" borderId="115" xfId="1606" applyNumberFormat="1" applyFont="1" applyFill="1" applyBorder="1" applyAlignment="1">
      <alignment horizontal="center" vertical="center"/>
    </xf>
    <xf numFmtId="10" fontId="253" fillId="76" borderId="115" xfId="1606" applyNumberFormat="1" applyFont="1" applyFill="1" applyBorder="1" applyAlignment="1">
      <alignment horizontal="center" vertical="center"/>
    </xf>
    <xf numFmtId="1" fontId="253" fillId="76" borderId="115" xfId="1606" applyNumberFormat="1" applyFont="1" applyFill="1" applyBorder="1" applyAlignment="1">
      <alignment horizontal="center" vertical="center"/>
    </xf>
    <xf numFmtId="2" fontId="253" fillId="76" borderId="115" xfId="1606" applyNumberFormat="1" applyFont="1" applyFill="1" applyBorder="1" applyAlignment="1">
      <alignment horizontal="center" vertical="center"/>
    </xf>
    <xf numFmtId="0" fontId="253" fillId="76" borderId="115" xfId="925" applyFont="1" applyFill="1" applyBorder="1" applyAlignment="1">
      <alignment horizontal="center" vertical="center"/>
    </xf>
    <xf numFmtId="0" fontId="23" fillId="76" borderId="115" xfId="1606" applyFill="1" applyBorder="1"/>
    <xf numFmtId="171" fontId="23" fillId="5" borderId="0" xfId="1606" applyNumberFormat="1" applyFill="1"/>
    <xf numFmtId="9" fontId="16" fillId="5" borderId="115" xfId="967" applyNumberFormat="1" applyFont="1" applyFill="1" applyBorder="1" applyAlignment="1">
      <alignment vertical="center"/>
    </xf>
    <xf numFmtId="9" fontId="16" fillId="5" borderId="0" xfId="967" applyNumberFormat="1" applyFont="1" applyFill="1" applyBorder="1" applyAlignment="1">
      <alignment vertical="center"/>
    </xf>
    <xf numFmtId="9" fontId="0" fillId="5" borderId="0" xfId="1504" applyNumberFormat="1" applyFont="1" applyFill="1" applyBorder="1" applyAlignment="1">
      <alignment vertical="center"/>
    </xf>
    <xf numFmtId="9" fontId="16" fillId="5" borderId="0" xfId="967" applyNumberFormat="1" applyFont="1" applyFill="1" applyBorder="1" applyAlignment="1"/>
    <xf numFmtId="1" fontId="23" fillId="5" borderId="115" xfId="1606" applyNumberFormat="1" applyFill="1" applyBorder="1"/>
    <xf numFmtId="1" fontId="23" fillId="5" borderId="0" xfId="1606" applyNumberFormat="1" applyFill="1"/>
    <xf numFmtId="171" fontId="23" fillId="5" borderId="115" xfId="1606" applyNumberFormat="1" applyFill="1" applyBorder="1"/>
    <xf numFmtId="171" fontId="23" fillId="5" borderId="0" xfId="1606" applyNumberFormat="1" applyFill="1" applyBorder="1"/>
    <xf numFmtId="0" fontId="23" fillId="5" borderId="49" xfId="1606" applyFill="1" applyBorder="1"/>
    <xf numFmtId="0" fontId="23" fillId="5" borderId="1" xfId="1606" applyFill="1" applyBorder="1"/>
    <xf numFmtId="0" fontId="0" fillId="5" borderId="49" xfId="0" applyFill="1" applyBorder="1"/>
    <xf numFmtId="1" fontId="23" fillId="5" borderId="0" xfId="1606" applyNumberFormat="1" applyFill="1" applyBorder="1"/>
    <xf numFmtId="180" fontId="23" fillId="5" borderId="115" xfId="1" applyNumberFormat="1" applyFont="1" applyFill="1" applyBorder="1"/>
    <xf numFmtId="180" fontId="23" fillId="5" borderId="0" xfId="1" applyNumberFormat="1" applyFont="1" applyFill="1" applyBorder="1"/>
    <xf numFmtId="180" fontId="253" fillId="76" borderId="115" xfId="1" applyNumberFormat="1" applyFont="1" applyFill="1" applyBorder="1" applyAlignment="1">
      <alignment horizontal="center" vertical="center"/>
    </xf>
    <xf numFmtId="0" fontId="10" fillId="76" borderId="0" xfId="1606" applyFont="1" applyFill="1"/>
    <xf numFmtId="180" fontId="254" fillId="76" borderId="0" xfId="1" applyNumberFormat="1" applyFont="1" applyFill="1" applyBorder="1"/>
    <xf numFmtId="179" fontId="254" fillId="76" borderId="0" xfId="1" applyNumberFormat="1" applyFont="1" applyFill="1" applyBorder="1"/>
    <xf numFmtId="2" fontId="254" fillId="76" borderId="0" xfId="925" applyNumberFormat="1" applyFont="1" applyFill="1" applyBorder="1"/>
    <xf numFmtId="171" fontId="254" fillId="76" borderId="0" xfId="925" applyNumberFormat="1" applyFont="1" applyFill="1" applyBorder="1"/>
    <xf numFmtId="169" fontId="23" fillId="0" borderId="115" xfId="1606" applyNumberFormat="1" applyBorder="1"/>
    <xf numFmtId="0" fontId="23" fillId="5" borderId="45" xfId="1606" applyFill="1" applyBorder="1"/>
    <xf numFmtId="0" fontId="0" fillId="7" borderId="111" xfId="0" applyFont="1" applyFill="1" applyBorder="1" applyAlignment="1">
      <alignment vertical="center"/>
    </xf>
    <xf numFmtId="0" fontId="23" fillId="7" borderId="0" xfId="1606" applyFill="1"/>
    <xf numFmtId="0" fontId="23" fillId="7" borderId="0" xfId="1606" applyFill="1" applyBorder="1"/>
    <xf numFmtId="0" fontId="149" fillId="7" borderId="0" xfId="925" applyFill="1" applyBorder="1"/>
    <xf numFmtId="0" fontId="149" fillId="7" borderId="118" xfId="925" applyFill="1" applyBorder="1"/>
    <xf numFmtId="0" fontId="149" fillId="7" borderId="80" xfId="925" applyFill="1"/>
    <xf numFmtId="0" fontId="256" fillId="7" borderId="0" xfId="1606" applyFont="1" applyFill="1" applyBorder="1"/>
    <xf numFmtId="0" fontId="256" fillId="7" borderId="0" xfId="1606" applyFont="1" applyFill="1"/>
    <xf numFmtId="0" fontId="149" fillId="7" borderId="115" xfId="925" applyFill="1" applyBorder="1"/>
    <xf numFmtId="0" fontId="124" fillId="7" borderId="78" xfId="1493" applyFill="1"/>
    <xf numFmtId="171" fontId="255" fillId="7" borderId="78" xfId="1493" applyNumberFormat="1" applyFont="1" applyFill="1" applyAlignment="1">
      <alignment horizontal="center"/>
    </xf>
    <xf numFmtId="171" fontId="23" fillId="7" borderId="49" xfId="1606" applyNumberFormat="1" applyFill="1" applyBorder="1"/>
    <xf numFmtId="171" fontId="23" fillId="7" borderId="1" xfId="1606" applyNumberFormat="1" applyFill="1" applyBorder="1"/>
    <xf numFmtId="1" fontId="255" fillId="7" borderId="0" xfId="1606" applyNumberFormat="1" applyFont="1" applyFill="1" applyBorder="1" applyAlignment="1">
      <alignment horizontal="center" vertical="center"/>
    </xf>
    <xf numFmtId="0" fontId="222" fillId="7" borderId="0" xfId="1606" applyFont="1" applyFill="1" applyBorder="1" applyAlignment="1">
      <alignment horizontal="center"/>
    </xf>
    <xf numFmtId="0" fontId="222" fillId="7" borderId="0" xfId="1606" applyFont="1" applyFill="1" applyAlignment="1">
      <alignment horizontal="center"/>
    </xf>
    <xf numFmtId="0" fontId="0" fillId="7" borderId="111" xfId="0" applyFont="1" applyFill="1" applyBorder="1" applyAlignment="1">
      <alignment vertical="center" wrapText="1"/>
    </xf>
    <xf numFmtId="198" fontId="252" fillId="7" borderId="115" xfId="1529" applyNumberFormat="1" applyFont="1" applyFill="1" applyBorder="1" applyAlignment="1">
      <alignment horizontal="left"/>
    </xf>
    <xf numFmtId="0" fontId="257" fillId="0" borderId="0" xfId="0" applyFont="1"/>
    <xf numFmtId="0" fontId="258" fillId="0" borderId="0" xfId="0" applyFont="1" applyFill="1" applyBorder="1" applyAlignment="1">
      <alignment horizontal="left" vertical="center"/>
    </xf>
    <xf numFmtId="1" fontId="149" fillId="76" borderId="115" xfId="925" applyNumberFormat="1" applyFill="1" applyBorder="1"/>
    <xf numFmtId="0" fontId="0" fillId="5" borderId="115" xfId="0" applyFill="1" applyBorder="1"/>
    <xf numFmtId="2" fontId="23" fillId="76" borderId="0" xfId="1606" applyNumberFormat="1" applyFill="1" applyBorder="1"/>
    <xf numFmtId="2" fontId="51" fillId="5" borderId="0" xfId="0" applyNumberFormat="1" applyFont="1" applyFill="1" applyBorder="1" applyAlignment="1">
      <alignment vertical="center"/>
    </xf>
    <xf numFmtId="2" fontId="51" fillId="5" borderId="0" xfId="0" applyNumberFormat="1" applyFont="1" applyFill="1" applyBorder="1" applyAlignment="1">
      <alignment horizontal="right" vertical="center"/>
    </xf>
    <xf numFmtId="2" fontId="0" fillId="5" borderId="0" xfId="0" applyNumberFormat="1" applyFont="1" applyFill="1" applyBorder="1" applyAlignment="1">
      <alignment horizontal="right" vertical="center"/>
    </xf>
    <xf numFmtId="177" fontId="0" fillId="5" borderId="0" xfId="2" applyNumberFormat="1" applyFont="1" applyFill="1" applyBorder="1" applyAlignment="1">
      <alignment horizontal="right" vertical="top"/>
    </xf>
    <xf numFmtId="171" fontId="62" fillId="5" borderId="86" xfId="0" applyNumberFormat="1" applyFont="1" applyFill="1" applyBorder="1" applyAlignment="1">
      <alignment horizontal="right"/>
    </xf>
    <xf numFmtId="0" fontId="0" fillId="5" borderId="111" xfId="0" applyFill="1" applyBorder="1" applyAlignment="1">
      <alignment vertical="center" wrapText="1"/>
    </xf>
    <xf numFmtId="0" fontId="0" fillId="5" borderId="119" xfId="0" applyFill="1" applyBorder="1" applyAlignment="1">
      <alignment vertical="center"/>
    </xf>
    <xf numFmtId="10" fontId="0" fillId="5" borderId="120" xfId="1" applyNumberFormat="1" applyFont="1" applyFill="1" applyBorder="1" applyAlignment="1">
      <alignment vertical="center"/>
    </xf>
    <xf numFmtId="10" fontId="0" fillId="5" borderId="111" xfId="1" applyNumberFormat="1" applyFont="1" applyFill="1" applyBorder="1" applyAlignment="1">
      <alignment horizontal="right" vertical="center"/>
    </xf>
    <xf numFmtId="171" fontId="62" fillId="5" borderId="4" xfId="0" applyNumberFormat="1" applyFont="1" applyFill="1" applyBorder="1" applyAlignment="1">
      <alignment horizontal="right" vertical="center"/>
    </xf>
    <xf numFmtId="0" fontId="0" fillId="12" borderId="111" xfId="0" applyFill="1" applyBorder="1" applyAlignment="1">
      <alignment vertical="center"/>
    </xf>
    <xf numFmtId="0" fontId="0" fillId="5" borderId="111" xfId="0" applyFill="1" applyBorder="1" applyAlignment="1">
      <alignment vertical="center"/>
    </xf>
    <xf numFmtId="171" fontId="51" fillId="12" borderId="121" xfId="0" applyNumberFormat="1" applyFont="1" applyFill="1" applyBorder="1" applyAlignment="1">
      <alignment horizontal="right" vertical="center"/>
    </xf>
    <xf numFmtId="171" fontId="51" fillId="12" borderId="111" xfId="0" applyNumberFormat="1" applyFont="1" applyFill="1" applyBorder="1" applyAlignment="1">
      <alignment horizontal="right" vertical="center"/>
    </xf>
    <xf numFmtId="171" fontId="244" fillId="7" borderId="0" xfId="0" applyNumberFormat="1" applyFont="1" applyFill="1" applyBorder="1" applyAlignment="1">
      <alignment vertical="center"/>
    </xf>
    <xf numFmtId="0" fontId="62" fillId="5" borderId="4" xfId="0" applyFont="1" applyFill="1" applyBorder="1" applyAlignment="1">
      <alignment horizontal="right"/>
    </xf>
    <xf numFmtId="0" fontId="55" fillId="8" borderId="22" xfId="0" applyFont="1" applyFill="1" applyBorder="1" applyAlignment="1">
      <alignment vertical="center"/>
    </xf>
    <xf numFmtId="0" fontId="56" fillId="10" borderId="26" xfId="0" applyFont="1" applyFill="1" applyBorder="1"/>
    <xf numFmtId="0" fontId="87" fillId="0" borderId="0" xfId="1504" applyFont="1"/>
    <xf numFmtId="0" fontId="0" fillId="0" borderId="0" xfId="1504" applyFont="1" applyBorder="1"/>
    <xf numFmtId="0" fontId="110" fillId="0" borderId="0" xfId="229" applyAlignment="1" applyProtection="1"/>
    <xf numFmtId="180" fontId="0" fillId="5" borderId="0" xfId="1" applyNumberFormat="1" applyFont="1" applyFill="1" applyBorder="1" applyAlignment="1">
      <alignment horizontal="right" vertical="center"/>
    </xf>
    <xf numFmtId="174" fontId="166" fillId="0" borderId="0" xfId="948" applyNumberFormat="1" applyFont="1"/>
    <xf numFmtId="0" fontId="71" fillId="0" borderId="0" xfId="0" applyFont="1"/>
    <xf numFmtId="2" fontId="156" fillId="0" borderId="0" xfId="1448" applyNumberFormat="1" applyFont="1" applyFill="1" applyAlignment="1">
      <alignment horizontal="left" indent="1"/>
    </xf>
    <xf numFmtId="0" fontId="54" fillId="0" borderId="114" xfId="0" applyFont="1" applyBorder="1" applyAlignment="1">
      <alignment horizontal="left" vertical="center" wrapText="1"/>
    </xf>
    <xf numFmtId="0" fontId="7" fillId="0" borderId="0" xfId="939" applyFont="1" applyBorder="1"/>
    <xf numFmtId="0" fontId="7" fillId="0" borderId="0" xfId="939" applyFont="1" applyFill="1" applyBorder="1"/>
    <xf numFmtId="0" fontId="7" fillId="0" borderId="0" xfId="939" applyFont="1" applyBorder="1" applyAlignment="1">
      <alignment wrapText="1"/>
    </xf>
    <xf numFmtId="0" fontId="7" fillId="0" borderId="0" xfId="33025"/>
    <xf numFmtId="0" fontId="313" fillId="0" borderId="0" xfId="33025" applyFont="1"/>
    <xf numFmtId="0" fontId="117" fillId="0" borderId="0" xfId="33025" applyFont="1"/>
    <xf numFmtId="2" fontId="117" fillId="0" borderId="0" xfId="33025" applyNumberFormat="1" applyFont="1"/>
    <xf numFmtId="0" fontId="314" fillId="0" borderId="0" xfId="933" applyFont="1" applyFill="1"/>
    <xf numFmtId="0" fontId="162" fillId="0" borderId="0" xfId="33025" applyFont="1"/>
    <xf numFmtId="2" fontId="315" fillId="0" borderId="0" xfId="33025" applyNumberFormat="1" applyFont="1"/>
    <xf numFmtId="0" fontId="315" fillId="0" borderId="0" xfId="33025" applyFont="1"/>
    <xf numFmtId="2" fontId="316" fillId="0" borderId="0" xfId="33025" applyNumberFormat="1" applyFont="1"/>
    <xf numFmtId="0" fontId="316" fillId="0" borderId="0" xfId="33025" applyFont="1"/>
    <xf numFmtId="2" fontId="317" fillId="0" borderId="0" xfId="33025" applyNumberFormat="1" applyFont="1"/>
    <xf numFmtId="0" fontId="317" fillId="0" borderId="0" xfId="33025" applyFont="1"/>
    <xf numFmtId="2" fontId="318" fillId="0" borderId="0" xfId="33025" applyNumberFormat="1" applyFont="1"/>
    <xf numFmtId="0" fontId="318" fillId="0" borderId="0" xfId="33025" applyFont="1"/>
    <xf numFmtId="2" fontId="162" fillId="0" borderId="0" xfId="33025" applyNumberFormat="1" applyFont="1"/>
    <xf numFmtId="2" fontId="7" fillId="0" borderId="0" xfId="33025" applyNumberFormat="1"/>
    <xf numFmtId="174" fontId="140" fillId="29" borderId="0" xfId="33026" applyNumberFormat="1" applyFont="1" applyFill="1"/>
    <xf numFmtId="0" fontId="162" fillId="0" borderId="0" xfId="0" applyFont="1"/>
    <xf numFmtId="180" fontId="22" fillId="8" borderId="0" xfId="1" applyNumberFormat="1" applyFont="1" applyFill="1"/>
    <xf numFmtId="0" fontId="22" fillId="26" borderId="0" xfId="1611" applyFill="1"/>
    <xf numFmtId="0" fontId="87" fillId="0" borderId="135" xfId="1504" applyFont="1" applyBorder="1"/>
    <xf numFmtId="0" fontId="6" fillId="76" borderId="0" xfId="1606" applyFont="1" applyFill="1" applyBorder="1"/>
    <xf numFmtId="171" fontId="0" fillId="0" borderId="0" xfId="0" applyNumberFormat="1" applyBorder="1"/>
    <xf numFmtId="179" fontId="253" fillId="76" borderId="115" xfId="1" applyFont="1" applyFill="1" applyBorder="1" applyAlignment="1">
      <alignment horizontal="center" vertical="center"/>
    </xf>
    <xf numFmtId="179" fontId="254" fillId="76" borderId="0" xfId="1" applyFont="1" applyFill="1" applyBorder="1"/>
    <xf numFmtId="0" fontId="0" fillId="0" borderId="0" xfId="0" applyNumberFormat="1" applyBorder="1" applyAlignment="1">
      <alignment horizontal="left" vertical="center"/>
    </xf>
    <xf numFmtId="2" fontId="87" fillId="17" borderId="0" xfId="0" applyNumberFormat="1" applyFont="1" applyFill="1" applyBorder="1"/>
    <xf numFmtId="1" fontId="0" fillId="0" borderId="0" xfId="0" applyNumberFormat="1" applyBorder="1"/>
    <xf numFmtId="0" fontId="87" fillId="17" borderId="0" xfId="0" applyFont="1" applyFill="1"/>
    <xf numFmtId="0" fontId="321" fillId="0" borderId="0" xfId="0" applyFont="1"/>
    <xf numFmtId="2" fontId="322" fillId="5" borderId="12" xfId="0" applyNumberFormat="1" applyFont="1" applyFill="1" applyBorder="1" applyAlignment="1">
      <alignment horizontal="right" vertical="center"/>
    </xf>
    <xf numFmtId="0" fontId="323" fillId="5" borderId="1" xfId="0" applyNumberFormat="1" applyFont="1" applyFill="1" applyBorder="1" applyAlignment="1">
      <alignment vertical="center"/>
    </xf>
    <xf numFmtId="0" fontId="323" fillId="5" borderId="0" xfId="0" applyNumberFormat="1" applyFont="1" applyFill="1" applyBorder="1" applyAlignment="1">
      <alignment vertical="center"/>
    </xf>
    <xf numFmtId="171" fontId="323" fillId="5" borderId="0" xfId="0" applyNumberFormat="1" applyFont="1" applyFill="1" applyBorder="1" applyAlignment="1">
      <alignment horizontal="center" vertical="center"/>
    </xf>
    <xf numFmtId="0" fontId="323" fillId="5" borderId="0" xfId="0" applyFont="1" applyFill="1" applyBorder="1" applyAlignment="1">
      <alignment horizontal="left"/>
    </xf>
    <xf numFmtId="0" fontId="324" fillId="5" borderId="0" xfId="0" applyFont="1" applyFill="1" applyBorder="1" applyAlignment="1">
      <alignment wrapText="1"/>
    </xf>
    <xf numFmtId="0" fontId="323" fillId="5" borderId="7" xfId="0" applyFont="1" applyFill="1" applyBorder="1"/>
    <xf numFmtId="0" fontId="323" fillId="5" borderId="4" xfId="0" applyFont="1" applyFill="1" applyBorder="1" applyAlignment="1">
      <alignment horizontal="center"/>
    </xf>
    <xf numFmtId="0" fontId="323" fillId="5" borderId="1" xfId="0" applyFont="1" applyFill="1" applyBorder="1" applyAlignment="1">
      <alignment wrapText="1"/>
    </xf>
    <xf numFmtId="0" fontId="323" fillId="5" borderId="1" xfId="0" applyFont="1" applyFill="1" applyBorder="1" applyAlignment="1">
      <alignment horizontal="center" wrapText="1"/>
    </xf>
    <xf numFmtId="0" fontId="323" fillId="5" borderId="1" xfId="0" applyFont="1" applyFill="1" applyBorder="1" applyAlignment="1">
      <alignment horizontal="center" vertical="center" wrapText="1"/>
    </xf>
    <xf numFmtId="0" fontId="324" fillId="5" borderId="0" xfId="0" applyNumberFormat="1" applyFont="1" applyFill="1" applyBorder="1" applyAlignment="1">
      <alignment vertical="center"/>
    </xf>
    <xf numFmtId="0" fontId="324" fillId="5" borderId="0" xfId="0" applyFont="1" applyFill="1" applyBorder="1"/>
    <xf numFmtId="0" fontId="324" fillId="5" borderId="0" xfId="0" applyFont="1" applyFill="1" applyBorder="1" applyAlignment="1">
      <alignment horizontal="center"/>
    </xf>
    <xf numFmtId="0" fontId="324" fillId="5" borderId="0" xfId="0" applyNumberFormat="1" applyFont="1" applyFill="1" applyBorder="1" applyAlignment="1">
      <alignment horizontal="center" vertical="center"/>
    </xf>
    <xf numFmtId="180" fontId="324" fillId="5" borderId="0" xfId="1" applyNumberFormat="1" applyFont="1" applyFill="1" applyBorder="1" applyAlignment="1">
      <alignment horizontal="center" vertical="top"/>
    </xf>
    <xf numFmtId="179" fontId="324" fillId="5" borderId="0" xfId="1" applyNumberFormat="1" applyFont="1" applyFill="1" applyBorder="1" applyAlignment="1">
      <alignment horizontal="center" vertical="top"/>
    </xf>
    <xf numFmtId="171" fontId="323" fillId="5" borderId="1" xfId="0" applyNumberFormat="1" applyFont="1" applyFill="1" applyBorder="1" applyAlignment="1">
      <alignment horizontal="center" vertical="center"/>
    </xf>
    <xf numFmtId="0" fontId="323" fillId="5" borderId="7" xfId="0" applyFont="1" applyFill="1" applyBorder="1" applyAlignment="1">
      <alignment horizontal="center"/>
    </xf>
    <xf numFmtId="2" fontId="0" fillId="5" borderId="21" xfId="1" applyNumberFormat="1" applyFont="1" applyFill="1" applyBorder="1" applyAlignment="1">
      <alignment vertical="center"/>
    </xf>
    <xf numFmtId="2" fontId="0" fillId="5" borderId="15" xfId="1" applyNumberFormat="1" applyFont="1" applyFill="1" applyBorder="1" applyAlignment="1">
      <alignment vertical="center"/>
    </xf>
    <xf numFmtId="0" fontId="323" fillId="5" borderId="142" xfId="0" applyNumberFormat="1" applyFont="1" applyFill="1" applyBorder="1" applyAlignment="1">
      <alignment vertical="center"/>
    </xf>
    <xf numFmtId="0" fontId="170" fillId="5" borderId="0" xfId="0" applyFont="1" applyFill="1" applyBorder="1" applyAlignment="1">
      <alignment horizontal="left"/>
    </xf>
    <xf numFmtId="0" fontId="62" fillId="5" borderId="142" xfId="0" applyFont="1" applyFill="1" applyBorder="1"/>
    <xf numFmtId="0" fontId="323" fillId="5" borderId="0" xfId="0" applyNumberFormat="1" applyFont="1" applyFill="1" applyBorder="1" applyAlignment="1">
      <alignment horizontal="left" vertical="center"/>
    </xf>
    <xf numFmtId="0" fontId="0" fillId="7" borderId="142" xfId="0" applyFont="1" applyFill="1" applyBorder="1" applyAlignment="1">
      <alignment vertical="center"/>
    </xf>
    <xf numFmtId="0" fontId="221" fillId="0" borderId="0" xfId="1448" applyFill="1" applyBorder="1"/>
    <xf numFmtId="0" fontId="71" fillId="0" borderId="0" xfId="6" applyNumberFormat="1" applyFont="1" applyFill="1" applyBorder="1"/>
    <xf numFmtId="0" fontId="71" fillId="0" borderId="0" xfId="6" applyFill="1" applyBorder="1"/>
    <xf numFmtId="0" fontId="40" fillId="0" borderId="141" xfId="967" applyBorder="1"/>
    <xf numFmtId="0" fontId="163" fillId="0" borderId="115" xfId="967" applyFont="1" applyBorder="1"/>
    <xf numFmtId="191" fontId="5" fillId="0" borderId="0" xfId="1625" applyFont="1"/>
    <xf numFmtId="191" fontId="110" fillId="0" borderId="0" xfId="229" applyNumberFormat="1" applyAlignment="1" applyProtection="1"/>
    <xf numFmtId="181" fontId="0" fillId="0" borderId="0" xfId="2" applyNumberFormat="1" applyFont="1" applyBorder="1" applyAlignment="1">
      <alignment vertical="center"/>
    </xf>
    <xf numFmtId="185" fontId="0" fillId="0" borderId="0" xfId="2" applyNumberFormat="1" applyFont="1" applyBorder="1" applyAlignment="1">
      <alignment vertical="center"/>
    </xf>
    <xf numFmtId="0" fontId="0" fillId="0" borderId="144" xfId="1504" applyFont="1" applyBorder="1"/>
    <xf numFmtId="0" fontId="52" fillId="0" borderId="97" xfId="1504" applyBorder="1"/>
    <xf numFmtId="0" fontId="0" fillId="0" borderId="123" xfId="1504" applyFont="1" applyBorder="1"/>
    <xf numFmtId="0" fontId="52" fillId="0" borderId="114" xfId="1504" applyBorder="1"/>
    <xf numFmtId="0" fontId="52" fillId="0" borderId="122" xfId="1504" applyBorder="1"/>
    <xf numFmtId="0" fontId="0" fillId="0" borderId="113" xfId="1504" applyFont="1" applyBorder="1"/>
    <xf numFmtId="0" fontId="52" fillId="0" borderId="144" xfId="1504" applyBorder="1"/>
    <xf numFmtId="0" fontId="0" fillId="0" borderId="143" xfId="1504" applyFont="1" applyBorder="1"/>
    <xf numFmtId="0" fontId="52" fillId="0" borderId="148" xfId="1504" applyBorder="1"/>
    <xf numFmtId="0" fontId="0" fillId="0" borderId="115" xfId="1504" applyFont="1" applyBorder="1"/>
    <xf numFmtId="0" fontId="52" fillId="0" borderId="146" xfId="1504" applyBorder="1"/>
    <xf numFmtId="0" fontId="52" fillId="0" borderId="123" xfId="1504" applyBorder="1"/>
    <xf numFmtId="0" fontId="52" fillId="0" borderId="115" xfId="1504" applyBorder="1"/>
    <xf numFmtId="191" fontId="4" fillId="0" borderId="0" xfId="1625" applyFont="1" applyFill="1"/>
    <xf numFmtId="191" fontId="3" fillId="0" borderId="0" xfId="1625" applyFont="1" applyFill="1"/>
    <xf numFmtId="0" fontId="325" fillId="0" borderId="0" xfId="229" applyFont="1" applyFill="1" applyBorder="1" applyAlignment="1" applyProtection="1">
      <alignment vertical="center"/>
    </xf>
    <xf numFmtId="191" fontId="2" fillId="0" borderId="0" xfId="1625" applyFont="1" applyFill="1"/>
    <xf numFmtId="191" fontId="1" fillId="0" borderId="0" xfId="1625" applyFont="1" applyFill="1"/>
    <xf numFmtId="0" fontId="0" fillId="0" borderId="0" xfId="1504" applyFont="1" applyFill="1" applyAlignment="1">
      <alignment vertical="center"/>
    </xf>
    <xf numFmtId="171" fontId="60" fillId="0" borderId="0" xfId="1504" applyNumberFormat="1" applyFont="1" applyFill="1" applyAlignment="1">
      <alignment vertical="center"/>
    </xf>
    <xf numFmtId="171" fontId="60" fillId="0" borderId="0" xfId="1504" applyNumberFormat="1" applyFont="1" applyFill="1"/>
    <xf numFmtId="191" fontId="5" fillId="0" borderId="0" xfId="1625" applyFont="1" applyFill="1"/>
    <xf numFmtId="0" fontId="326" fillId="0" borderId="0" xfId="0" applyFont="1"/>
    <xf numFmtId="0" fontId="326" fillId="0" borderId="0" xfId="0" applyFont="1" applyAlignment="1">
      <alignment horizontal="left" vertical="center"/>
    </xf>
    <xf numFmtId="0" fontId="62" fillId="0" borderId="149" xfId="0" applyFont="1" applyBorder="1"/>
    <xf numFmtId="0" fontId="62" fillId="0" borderId="149" xfId="0" applyFont="1" applyBorder="1" applyAlignment="1">
      <alignment wrapText="1"/>
    </xf>
    <xf numFmtId="0" fontId="328" fillId="0" borderId="0" xfId="1504" applyFont="1" applyFill="1" applyAlignment="1">
      <alignment vertical="center"/>
    </xf>
    <xf numFmtId="0" fontId="54" fillId="0" borderId="0" xfId="0" applyFont="1" applyAlignment="1">
      <alignment horizontal="left" vertical="center" wrapText="1"/>
    </xf>
    <xf numFmtId="0" fontId="92" fillId="0" borderId="0" xfId="0" applyFont="1" applyFill="1" applyAlignment="1">
      <alignment horizontal="center" vertical="center"/>
    </xf>
    <xf numFmtId="0" fontId="65" fillId="0" borderId="0" xfId="0" applyFont="1" applyFill="1" applyAlignment="1">
      <alignment vertical="center"/>
    </xf>
    <xf numFmtId="0" fontId="100" fillId="0" borderId="0" xfId="0" applyFont="1" applyFill="1"/>
    <xf numFmtId="0" fontId="0" fillId="0" borderId="0" xfId="0" applyFill="1" applyBorder="1" applyAlignment="1">
      <alignment vertical="center" wrapText="1"/>
    </xf>
    <xf numFmtId="0" fontId="163" fillId="0" borderId="115" xfId="967" applyFont="1" applyBorder="1" applyAlignment="1">
      <alignment horizontal="right"/>
    </xf>
    <xf numFmtId="0" fontId="40" fillId="0" borderId="150" xfId="967" applyBorder="1"/>
    <xf numFmtId="0" fontId="163" fillId="0" borderId="147" xfId="967" applyFont="1" applyBorder="1"/>
    <xf numFmtId="9" fontId="40" fillId="0" borderId="146" xfId="968" applyNumberFormat="1" applyFont="1" applyBorder="1"/>
    <xf numFmtId="9" fontId="40" fillId="0" borderId="145" xfId="968" applyNumberFormat="1" applyFont="1" applyBorder="1"/>
    <xf numFmtId="174" fontId="40" fillId="0" borderId="146" xfId="968" applyNumberFormat="1" applyFont="1" applyBorder="1"/>
    <xf numFmtId="9" fontId="40" fillId="0" borderId="146" xfId="967" applyNumberFormat="1" applyBorder="1"/>
    <xf numFmtId="9" fontId="40" fillId="0" borderId="145" xfId="967" applyNumberFormat="1" applyBorder="1"/>
    <xf numFmtId="0" fontId="62" fillId="0" borderId="150" xfId="1504" applyFont="1" applyBorder="1"/>
    <xf numFmtId="0" fontId="62" fillId="0" borderId="141" xfId="1504" applyFont="1" applyBorder="1"/>
    <xf numFmtId="0" fontId="62" fillId="0" borderId="46" xfId="1504" applyFont="1" applyBorder="1"/>
    <xf numFmtId="9" fontId="52" fillId="0" borderId="0" xfId="1504" applyNumberFormat="1" applyBorder="1"/>
    <xf numFmtId="9" fontId="52" fillId="0" borderId="48" xfId="1504" applyNumberFormat="1" applyBorder="1"/>
    <xf numFmtId="0" fontId="0" fillId="0" borderId="147" xfId="1504" applyFont="1" applyBorder="1"/>
    <xf numFmtId="9" fontId="52" fillId="0" borderId="146" xfId="1504" applyNumberFormat="1" applyBorder="1"/>
    <xf numFmtId="9" fontId="52" fillId="0" borderId="145" xfId="1504" applyNumberFormat="1" applyBorder="1"/>
    <xf numFmtId="0" fontId="329" fillId="0" borderId="0" xfId="0" applyFont="1" applyAlignment="1">
      <alignment wrapText="1"/>
    </xf>
    <xf numFmtId="0" fontId="54" fillId="17" borderId="26" xfId="0" applyFont="1" applyFill="1" applyBorder="1" applyAlignment="1">
      <alignment vertical="center"/>
    </xf>
    <xf numFmtId="0" fontId="0" fillId="17" borderId="66" xfId="0" applyNumberFormat="1" applyFill="1" applyBorder="1" applyAlignment="1">
      <alignment horizontal="center" vertical="center"/>
    </xf>
    <xf numFmtId="0" fontId="0" fillId="17" borderId="0" xfId="0" applyFont="1" applyFill="1" applyBorder="1" applyAlignment="1">
      <alignment horizontal="center" vertical="center"/>
    </xf>
    <xf numFmtId="0" fontId="98" fillId="0" borderId="0" xfId="1448" applyFont="1" applyFill="1" applyBorder="1" applyAlignment="1" applyProtection="1">
      <alignment horizontal="left"/>
      <protection locked="0"/>
    </xf>
    <xf numFmtId="0" fontId="76" fillId="18" borderId="88" xfId="6" applyFont="1" applyFill="1" applyBorder="1" applyAlignment="1">
      <alignment horizontal="center" wrapText="1"/>
    </xf>
    <xf numFmtId="0" fontId="71" fillId="18" borderId="146" xfId="6" applyFill="1" applyBorder="1"/>
    <xf numFmtId="0" fontId="76" fillId="18" borderId="146" xfId="6" applyFont="1" applyFill="1" applyBorder="1" applyAlignment="1">
      <alignment horizontal="center" wrapText="1"/>
    </xf>
    <xf numFmtId="0" fontId="76" fillId="18" borderId="145" xfId="6" applyFont="1" applyFill="1" applyBorder="1" applyAlignment="1">
      <alignment horizontal="center" wrapText="1"/>
    </xf>
    <xf numFmtId="0" fontId="71" fillId="0" borderId="151" xfId="6" applyNumberFormat="1" applyFont="1" applyBorder="1"/>
    <xf numFmtId="0" fontId="71" fillId="0" borderId="140" xfId="6" applyNumberFormat="1" applyFont="1" applyBorder="1"/>
    <xf numFmtId="0" fontId="71" fillId="0" borderId="152" xfId="6" applyNumberFormat="1" applyFont="1" applyBorder="1"/>
    <xf numFmtId="0" fontId="76" fillId="0" borderId="63" xfId="1448" applyFont="1" applyBorder="1" applyAlignment="1">
      <alignment wrapText="1"/>
    </xf>
    <xf numFmtId="2" fontId="98" fillId="0" borderId="63" xfId="1448" applyNumberFormat="1" applyFont="1" applyFill="1" applyBorder="1" applyAlignment="1">
      <alignment horizontal="center" wrapText="1"/>
    </xf>
    <xf numFmtId="0" fontId="76" fillId="0" borderId="63" xfId="1448" applyFont="1" applyFill="1" applyBorder="1" applyAlignment="1">
      <alignment wrapText="1"/>
    </xf>
    <xf numFmtId="0" fontId="221" fillId="0" borderId="63" xfId="1448" applyBorder="1" applyAlignment="1">
      <alignment wrapText="1"/>
    </xf>
    <xf numFmtId="0" fontId="76" fillId="18" borderId="63" xfId="1448" applyFont="1" applyFill="1" applyBorder="1" applyAlignment="1">
      <alignment horizontal="center" wrapText="1"/>
    </xf>
    <xf numFmtId="0" fontId="71" fillId="0" borderId="0" xfId="1448" applyFont="1" applyFill="1" applyBorder="1" applyAlignment="1" applyProtection="1">
      <alignment horizontal="left"/>
      <protection locked="0"/>
    </xf>
    <xf numFmtId="10" fontId="166" fillId="0" borderId="113" xfId="948" applyNumberFormat="1" applyFont="1" applyBorder="1"/>
    <xf numFmtId="0" fontId="71" fillId="0" borderId="113" xfId="1448" applyFont="1" applyBorder="1"/>
    <xf numFmtId="0" fontId="221" fillId="0" borderId="113" xfId="1448" applyBorder="1"/>
    <xf numFmtId="9" fontId="166" fillId="0" borderId="113" xfId="948" applyNumberFormat="1" applyFont="1" applyBorder="1"/>
    <xf numFmtId="174" fontId="166" fillId="0" borderId="113" xfId="948" applyNumberFormat="1" applyFont="1" applyBorder="1"/>
    <xf numFmtId="10" fontId="166" fillId="17" borderId="113" xfId="948" applyNumberFormat="1" applyFont="1" applyFill="1" applyBorder="1"/>
    <xf numFmtId="10" fontId="71" fillId="0" borderId="113" xfId="6" applyNumberFormat="1" applyBorder="1"/>
    <xf numFmtId="10" fontId="71" fillId="17" borderId="113" xfId="6" applyNumberFormat="1" applyFill="1" applyBorder="1"/>
    <xf numFmtId="9" fontId="166" fillId="17" borderId="113" xfId="948" applyNumberFormat="1" applyFont="1" applyFill="1" applyBorder="1"/>
    <xf numFmtId="174" fontId="166" fillId="17" borderId="0" xfId="948" applyNumberFormat="1" applyFont="1" applyFill="1" applyBorder="1"/>
    <xf numFmtId="0" fontId="54" fillId="0" borderId="0" xfId="0" applyFont="1" applyAlignment="1">
      <alignment horizontal="left" vertical="center" wrapText="1"/>
    </xf>
    <xf numFmtId="0" fontId="92" fillId="0" borderId="77" xfId="0" applyFont="1" applyBorder="1" applyAlignment="1">
      <alignment horizontal="center" vertical="center" wrapText="1"/>
    </xf>
    <xf numFmtId="0" fontId="92" fillId="0" borderId="0" xfId="0" applyFont="1" applyAlignment="1">
      <alignment horizontal="left" vertical="center" wrapText="1"/>
    </xf>
    <xf numFmtId="0" fontId="54" fillId="0" borderId="0" xfId="0" applyFont="1" applyAlignment="1">
      <alignment horizontal="left" vertical="center" wrapText="1"/>
    </xf>
    <xf numFmtId="0" fontId="54" fillId="0" borderId="114" xfId="0" applyFont="1" applyBorder="1" applyAlignment="1">
      <alignment horizontal="left" vertical="center" wrapText="1"/>
    </xf>
    <xf numFmtId="0" fontId="0" fillId="0" borderId="114" xfId="0" applyBorder="1" applyAlignment="1">
      <alignment horizontal="left" vertical="center" wrapText="1"/>
    </xf>
    <xf numFmtId="0" fontId="92" fillId="0" borderId="97" xfId="0" applyFont="1" applyBorder="1" applyAlignment="1">
      <alignment horizontal="center" vertical="center" wrapText="1"/>
    </xf>
    <xf numFmtId="0" fontId="92" fillId="0" borderId="123" xfId="0" applyFont="1" applyBorder="1" applyAlignment="1">
      <alignment horizontal="center" vertical="center" wrapText="1"/>
    </xf>
    <xf numFmtId="0" fontId="92" fillId="0" borderId="144" xfId="0" applyFont="1" applyBorder="1" applyAlignment="1">
      <alignment horizontal="center" vertical="center" wrapText="1"/>
    </xf>
    <xf numFmtId="0" fontId="92" fillId="0" borderId="0" xfId="0" applyFont="1" applyAlignment="1">
      <alignment horizontal="center" vertical="center" wrapText="1"/>
    </xf>
    <xf numFmtId="0" fontId="96" fillId="15" borderId="0" xfId="0" applyFont="1" applyFill="1" applyAlignment="1">
      <alignment horizontal="center" vertical="center"/>
    </xf>
    <xf numFmtId="0" fontId="54" fillId="0" borderId="77" xfId="0" applyFont="1" applyBorder="1" applyAlignment="1">
      <alignment horizontal="center" vertical="center" wrapText="1"/>
    </xf>
    <xf numFmtId="0" fontId="0" fillId="0" borderId="0" xfId="0" applyAlignment="1">
      <alignment horizontal="left" vertical="center" wrapText="1"/>
    </xf>
    <xf numFmtId="0" fontId="52" fillId="0" borderId="0" xfId="1504" applyAlignment="1">
      <alignment horizontal="center"/>
    </xf>
    <xf numFmtId="0" fontId="312" fillId="0" borderId="0" xfId="33025" applyFont="1" applyAlignment="1">
      <alignment horizontal="center"/>
    </xf>
    <xf numFmtId="171" fontId="62" fillId="0" borderId="0" xfId="0" applyNumberFormat="1" applyFont="1" applyFill="1" applyBorder="1" applyAlignment="1">
      <alignment horizontal="center" vertical="center"/>
    </xf>
    <xf numFmtId="0" fontId="0" fillId="0" borderId="0" xfId="0" applyFont="1" applyFill="1" applyBorder="1" applyAlignment="1">
      <alignment horizontal="center" vertical="center"/>
    </xf>
    <xf numFmtId="1" fontId="0" fillId="0" borderId="0" xfId="1" applyNumberFormat="1" applyFont="1" applyFill="1" applyBorder="1" applyAlignment="1">
      <alignment horizontal="center" vertical="center"/>
    </xf>
    <xf numFmtId="0" fontId="75" fillId="0" borderId="0" xfId="1448" applyFont="1" applyFill="1" applyAlignment="1">
      <alignment horizontal="center"/>
    </xf>
    <xf numFmtId="0" fontId="76" fillId="0" borderId="0" xfId="6" applyFont="1" applyFill="1" applyBorder="1" applyAlignment="1">
      <alignment horizontal="center" wrapText="1"/>
    </xf>
    <xf numFmtId="0" fontId="0" fillId="0" borderId="0" xfId="0" applyFill="1" applyBorder="1" applyAlignment="1">
      <alignment horizontal="center" wrapText="1"/>
    </xf>
    <xf numFmtId="0" fontId="76" fillId="18" borderId="147" xfId="6" applyFont="1" applyFill="1" applyBorder="1" applyAlignment="1">
      <alignment horizontal="center" wrapText="1"/>
    </xf>
    <xf numFmtId="0" fontId="0" fillId="18" borderId="146" xfId="0" applyFill="1" applyBorder="1" applyAlignment="1"/>
    <xf numFmtId="0" fontId="0" fillId="18" borderId="145" xfId="0" applyFill="1" applyBorder="1" applyAlignment="1"/>
    <xf numFmtId="0" fontId="75" fillId="0" borderId="0" xfId="1608" applyFont="1" applyFill="1" applyBorder="1" applyAlignment="1">
      <alignment horizontal="center"/>
    </xf>
    <xf numFmtId="0" fontId="87" fillId="5" borderId="38" xfId="0" applyFont="1" applyFill="1" applyBorder="1" applyAlignment="1">
      <alignment horizontal="center"/>
    </xf>
    <xf numFmtId="0" fontId="87" fillId="5" borderId="37" xfId="0" applyFont="1" applyFill="1" applyBorder="1" applyAlignment="1">
      <alignment horizontal="center"/>
    </xf>
    <xf numFmtId="0" fontId="240" fillId="0" borderId="0" xfId="1995" applyFont="1" applyAlignment="1">
      <alignment horizontal="center"/>
    </xf>
  </cellXfs>
  <cellStyles count="33358">
    <cellStyle name="20% - Accent1 2" xfId="452"/>
    <cellStyle name="20% - Accent1 2 2" xfId="982"/>
    <cellStyle name="20% - Accent1 2 2 2" xfId="32267"/>
    <cellStyle name="20% - Accent1 2 2 3" xfId="33027"/>
    <cellStyle name="20% - Accent1 2 2_AGL" xfId="32268"/>
    <cellStyle name="20% - Accent1 2 3" xfId="32269"/>
    <cellStyle name="20% - Accent1 2 4" xfId="33028"/>
    <cellStyle name="20% - Accent1 2_AGL" xfId="32270"/>
    <cellStyle name="20% - Accent1 3" xfId="830"/>
    <cellStyle name="20% - Accent1 3 2" xfId="1062"/>
    <cellStyle name="20% - Accent1 3 2 2" xfId="32271"/>
    <cellStyle name="20% - Accent1 3 2 3" xfId="33029"/>
    <cellStyle name="20% - Accent1 3 2_AGL" xfId="32272"/>
    <cellStyle name="20% - Accent1 3 3" xfId="32273"/>
    <cellStyle name="20% - Accent1 3 4" xfId="33030"/>
    <cellStyle name="20% - Accent1 3_AGL" xfId="32274"/>
    <cellStyle name="20% - Accent1 4" xfId="834"/>
    <cellStyle name="20% - Accent1 4 2" xfId="1061"/>
    <cellStyle name="20% - Accent1 4 2 2" xfId="32275"/>
    <cellStyle name="20% - Accent1 4 2 3" xfId="33031"/>
    <cellStyle name="20% - Accent1 4 2_AGL" xfId="32276"/>
    <cellStyle name="20% - Accent1 4 3" xfId="32277"/>
    <cellStyle name="20% - Accent1 4 4" xfId="33032"/>
    <cellStyle name="20% - Accent1 4_AGL" xfId="32278"/>
    <cellStyle name="20% - Accent1 5" xfId="848"/>
    <cellStyle name="20% - Accent1 5 2" xfId="1060"/>
    <cellStyle name="20% - Accent1 5 2 2" xfId="32279"/>
    <cellStyle name="20% - Accent1 5 2 3" xfId="33033"/>
    <cellStyle name="20% - Accent1 5 2_AGL" xfId="32280"/>
    <cellStyle name="20% - Accent1 5 3" xfId="32281"/>
    <cellStyle name="20% - Accent1 5 4" xfId="33034"/>
    <cellStyle name="20% - Accent1 5_AGL" xfId="32282"/>
    <cellStyle name="20% - Accent1 6" xfId="1462"/>
    <cellStyle name="20% - Accent1 6 2" xfId="32283"/>
    <cellStyle name="20% - Accent1 6 3" xfId="33035"/>
    <cellStyle name="20% - Accent1 6_AGL" xfId="32284"/>
    <cellStyle name="20% - Accent1 7" xfId="32285"/>
    <cellStyle name="20% - Accent1 8" xfId="33036"/>
    <cellStyle name="20% - Accent2" xfId="811" builtinId="34" customBuiltin="1"/>
    <cellStyle name="20% - Accent2 2" xfId="836"/>
    <cellStyle name="20% - Accent2 2 2" xfId="1114"/>
    <cellStyle name="20% - Accent2 2 2 2" xfId="32286"/>
    <cellStyle name="20% - Accent2 2 2 3" xfId="33037"/>
    <cellStyle name="20% - Accent2 2 2_AGL" xfId="32287"/>
    <cellStyle name="20% - Accent2 2 3" xfId="32288"/>
    <cellStyle name="20% - Accent2 2 4" xfId="33038"/>
    <cellStyle name="20% - Accent2 2_AGL" xfId="32289"/>
    <cellStyle name="20% - Accent2 3" xfId="850"/>
    <cellStyle name="20% - Accent2 3 2" xfId="1059"/>
    <cellStyle name="20% - Accent2 3 2 2" xfId="32290"/>
    <cellStyle name="20% - Accent2 3 2 3" xfId="33039"/>
    <cellStyle name="20% - Accent2 3 2_AGL" xfId="32291"/>
    <cellStyle name="20% - Accent2 3 3" xfId="32292"/>
    <cellStyle name="20% - Accent2 3 4" xfId="33040"/>
    <cellStyle name="20% - Accent2 3_AGL" xfId="32293"/>
    <cellStyle name="20% - Accent2 4" xfId="1356"/>
    <cellStyle name="20% - Accent2 4 2" xfId="1510"/>
    <cellStyle name="20% - Accent2 4 2 2" xfId="3508"/>
    <cellStyle name="20% - Accent2 4 2 2 2" xfId="14719"/>
    <cellStyle name="20% - Accent2 4 2 3" xfId="11195"/>
    <cellStyle name="20% - Accent2 4 2 3 2" xfId="22406"/>
    <cellStyle name="20% - Accent2 4 2 4" xfId="12799"/>
    <cellStyle name="20% - Accent2 4 2_AGL" xfId="32294"/>
    <cellStyle name="20% - Accent2 4 3" xfId="3354"/>
    <cellStyle name="20% - Accent2 4 3 2" xfId="14566"/>
    <cellStyle name="20% - Accent2 4 4" xfId="11143"/>
    <cellStyle name="20% - Accent2 4 4 2" xfId="22354"/>
    <cellStyle name="20% - Accent2 4 5" xfId="12655"/>
    <cellStyle name="20% - Accent2 4_AGL" xfId="32295"/>
    <cellStyle name="20% - Accent2 5" xfId="1463"/>
    <cellStyle name="20% - Accent2 5 2" xfId="32296"/>
    <cellStyle name="20% - Accent2 5 3" xfId="33041"/>
    <cellStyle name="20% - Accent2 5_AGL" xfId="32297"/>
    <cellStyle name="20% - Accent2 6" xfId="1636"/>
    <cellStyle name="20% - Accent2 6 2" xfId="3634"/>
    <cellStyle name="20% - Accent2 6 2 2" xfId="14845"/>
    <cellStyle name="20% - Accent2 6 3" xfId="11317"/>
    <cellStyle name="20% - Accent2 6 3 2" xfId="22528"/>
    <cellStyle name="20% - Accent2 6 4" xfId="12924"/>
    <cellStyle name="20% - Accent2 6_AGL" xfId="32298"/>
    <cellStyle name="20% - Accent2 7" xfId="32299"/>
    <cellStyle name="20% - Accent2 8" xfId="33042"/>
    <cellStyle name="20% - Accent3" xfId="815" builtinId="38" customBuiltin="1"/>
    <cellStyle name="20% - Accent3 2" xfId="838"/>
    <cellStyle name="20% - Accent3 2 2" xfId="983"/>
    <cellStyle name="20% - Accent3 2 2 2" xfId="32300"/>
    <cellStyle name="20% - Accent3 2 2 3" xfId="33043"/>
    <cellStyle name="20% - Accent3 2 2_AGL" xfId="32301"/>
    <cellStyle name="20% - Accent3 2 3" xfId="32302"/>
    <cellStyle name="20% - Accent3 2 4" xfId="33044"/>
    <cellStyle name="20% - Accent3 2_AGL" xfId="32303"/>
    <cellStyle name="20% - Accent3 3" xfId="852"/>
    <cellStyle name="20% - Accent3 3 2" xfId="1118"/>
    <cellStyle name="20% - Accent3 3 2 2" xfId="32304"/>
    <cellStyle name="20% - Accent3 3 2 3" xfId="33045"/>
    <cellStyle name="20% - Accent3 3 2_AGL" xfId="32305"/>
    <cellStyle name="20% - Accent3 3 3" xfId="32306"/>
    <cellStyle name="20% - Accent3 3 4" xfId="33046"/>
    <cellStyle name="20% - Accent3 3_AGL" xfId="32307"/>
    <cellStyle name="20% - Accent3 4" xfId="1464"/>
    <cellStyle name="20% - Accent3 4 2" xfId="32308"/>
    <cellStyle name="20% - Accent3 4 3" xfId="33047"/>
    <cellStyle name="20% - Accent3 4_AGL" xfId="32309"/>
    <cellStyle name="20% - Accent3 5" xfId="32310"/>
    <cellStyle name="20% - Accent3 6" xfId="33048"/>
    <cellStyle name="20% - Accent4" xfId="819" builtinId="42" customBuiltin="1"/>
    <cellStyle name="20% - Accent4 2" xfId="840"/>
    <cellStyle name="20% - Accent4 2 2" xfId="1268"/>
    <cellStyle name="20% - Accent4 2 2 2" xfId="32311"/>
    <cellStyle name="20% - Accent4 2 2 3" xfId="33049"/>
    <cellStyle name="20% - Accent4 2 2_AGL" xfId="32312"/>
    <cellStyle name="20% - Accent4 2 3" xfId="32313"/>
    <cellStyle name="20% - Accent4 2 4" xfId="33050"/>
    <cellStyle name="20% - Accent4 2_AGL" xfId="32314"/>
    <cellStyle name="20% - Accent4 3" xfId="854"/>
    <cellStyle name="20% - Accent4 3 2" xfId="1269"/>
    <cellStyle name="20% - Accent4 3 2 2" xfId="32315"/>
    <cellStyle name="20% - Accent4 3 2 3" xfId="33051"/>
    <cellStyle name="20% - Accent4 3 2_AGL" xfId="32316"/>
    <cellStyle name="20% - Accent4 3 3" xfId="32317"/>
    <cellStyle name="20% - Accent4 3 4" xfId="33052"/>
    <cellStyle name="20% - Accent4 3_AGL" xfId="32318"/>
    <cellStyle name="20% - Accent4 4" xfId="1465"/>
    <cellStyle name="20% - Accent4 4 2" xfId="32319"/>
    <cellStyle name="20% - Accent4 4 3" xfId="33053"/>
    <cellStyle name="20% - Accent4 4_AGL" xfId="32320"/>
    <cellStyle name="20% - Accent4 5" xfId="32321"/>
    <cellStyle name="20% - Accent4 6" xfId="33054"/>
    <cellStyle name="20% - Accent5" xfId="823" builtinId="46" customBuiltin="1"/>
    <cellStyle name="20% - Accent5 2" xfId="842"/>
    <cellStyle name="20% - Accent5 2 2" xfId="1270"/>
    <cellStyle name="20% - Accent5 2 2 2" xfId="32322"/>
    <cellStyle name="20% - Accent5 2 2 3" xfId="33055"/>
    <cellStyle name="20% - Accent5 2 2_AGL" xfId="32323"/>
    <cellStyle name="20% - Accent5 2 3" xfId="32324"/>
    <cellStyle name="20% - Accent5 2 4" xfId="33056"/>
    <cellStyle name="20% - Accent5 2_AGL" xfId="32325"/>
    <cellStyle name="20% - Accent5 3" xfId="856"/>
    <cellStyle name="20% - Accent5 3 2" xfId="1271"/>
    <cellStyle name="20% - Accent5 3 2 2" xfId="32326"/>
    <cellStyle name="20% - Accent5 3 2 3" xfId="33057"/>
    <cellStyle name="20% - Accent5 3 2_AGL" xfId="32327"/>
    <cellStyle name="20% - Accent5 3 3" xfId="32328"/>
    <cellStyle name="20% - Accent5 3 4" xfId="33058"/>
    <cellStyle name="20% - Accent5 3_AGL" xfId="32329"/>
    <cellStyle name="20% - Accent5 4" xfId="1466"/>
    <cellStyle name="20% - Accent5 4 2" xfId="32330"/>
    <cellStyle name="20% - Accent5 4 3" xfId="33059"/>
    <cellStyle name="20% - Accent5 4_AGL" xfId="32331"/>
    <cellStyle name="20% - Accent5 5" xfId="32332"/>
    <cellStyle name="20% - Accent5 6" xfId="33060"/>
    <cellStyle name="20% - Accent6 10" xfId="33061"/>
    <cellStyle name="20% - Accent6 2" xfId="232"/>
    <cellStyle name="20% - Accent6 2 2" xfId="1272"/>
    <cellStyle name="20% - Accent6 2 2 2" xfId="32333"/>
    <cellStyle name="20% - Accent6 2 2 3" xfId="33062"/>
    <cellStyle name="20% - Accent6 2 2_AGL" xfId="32334"/>
    <cellStyle name="20% - Accent6 2 3" xfId="32335"/>
    <cellStyle name="20% - Accent6 2 4" xfId="33063"/>
    <cellStyle name="20% - Accent6 2_AGL" xfId="32336"/>
    <cellStyle name="20% - Accent6 3" xfId="788"/>
    <cellStyle name="20% - Accent6 3 2" xfId="1063"/>
    <cellStyle name="20% - Accent6 3 2 2" xfId="32337"/>
    <cellStyle name="20% - Accent6 3 2 3" xfId="33064"/>
    <cellStyle name="20% - Accent6 3 2_AGL" xfId="32338"/>
    <cellStyle name="20% - Accent6 3 3" xfId="32339"/>
    <cellStyle name="20% - Accent6 3 4" xfId="33065"/>
    <cellStyle name="20% - Accent6 3_AGL" xfId="32340"/>
    <cellStyle name="20% - Accent6 4" xfId="791"/>
    <cellStyle name="20% - Accent6 4 2" xfId="1273"/>
    <cellStyle name="20% - Accent6 4 2 2" xfId="32341"/>
    <cellStyle name="20% - Accent6 4 2 3" xfId="33066"/>
    <cellStyle name="20% - Accent6 4 2_AGL" xfId="32342"/>
    <cellStyle name="20% - Accent6 4 3" xfId="1662"/>
    <cellStyle name="20% - Accent6 4 3 2" xfId="33349"/>
    <cellStyle name="20% - Accent6 4 4" xfId="32343"/>
    <cellStyle name="20% - Accent6 4 5" xfId="33067"/>
    <cellStyle name="20% - Accent6 4_AGL" xfId="32344"/>
    <cellStyle name="20% - Accent6 5" xfId="831"/>
    <cellStyle name="20% - Accent6 5 2" xfId="1274"/>
    <cellStyle name="20% - Accent6 5 2 2" xfId="32345"/>
    <cellStyle name="20% - Accent6 5 2 3" xfId="33068"/>
    <cellStyle name="20% - Accent6 5 2_AGL" xfId="32346"/>
    <cellStyle name="20% - Accent6 5 3" xfId="32347"/>
    <cellStyle name="20% - Accent6 5 4" xfId="33069"/>
    <cellStyle name="20% - Accent6 5_AGL" xfId="32348"/>
    <cellStyle name="20% - Accent6 6" xfId="844"/>
    <cellStyle name="20% - Accent6 6 2" xfId="1275"/>
    <cellStyle name="20% - Accent6 6 2 2" xfId="32349"/>
    <cellStyle name="20% - Accent6 6 2 3" xfId="33070"/>
    <cellStyle name="20% - Accent6 6 2_AGL" xfId="32350"/>
    <cellStyle name="20% - Accent6 6 3" xfId="32351"/>
    <cellStyle name="20% - Accent6 6 4" xfId="33071"/>
    <cellStyle name="20% - Accent6 6_AGL" xfId="32352"/>
    <cellStyle name="20% - Accent6 7" xfId="858"/>
    <cellStyle name="20% - Accent6 7 2" xfId="1276"/>
    <cellStyle name="20% - Accent6 7 2 2" xfId="32353"/>
    <cellStyle name="20% - Accent6 7 2 3" xfId="33072"/>
    <cellStyle name="20% - Accent6 7 2_AGL" xfId="32354"/>
    <cellStyle name="20% - Accent6 7 3" xfId="32355"/>
    <cellStyle name="20% - Accent6 7 4" xfId="33073"/>
    <cellStyle name="20% - Accent6 7_AGL" xfId="32356"/>
    <cellStyle name="20% - Accent6 8" xfId="1467"/>
    <cellStyle name="20% - Accent6 8 2" xfId="32357"/>
    <cellStyle name="20% - Accent6 8 3" xfId="33074"/>
    <cellStyle name="20% - Accent6 8_AGL" xfId="32358"/>
    <cellStyle name="20% - Accent6 9" xfId="32359"/>
    <cellStyle name="40% - Accent1" xfId="808" builtinId="31" customBuiltin="1"/>
    <cellStyle name="40% - Accent1 2" xfId="835"/>
    <cellStyle name="40% - Accent1 2 2" xfId="1277"/>
    <cellStyle name="40% - Accent1 2 2 2" xfId="32360"/>
    <cellStyle name="40% - Accent1 2 2 3" xfId="33075"/>
    <cellStyle name="40% - Accent1 2 2_AGL" xfId="32361"/>
    <cellStyle name="40% - Accent1 2 3" xfId="32362"/>
    <cellStyle name="40% - Accent1 2 4" xfId="33076"/>
    <cellStyle name="40% - Accent1 2_AGL" xfId="32363"/>
    <cellStyle name="40% - Accent1 3" xfId="849"/>
    <cellStyle name="40% - Accent1 3 2" xfId="1278"/>
    <cellStyle name="40% - Accent1 3 2 2" xfId="32364"/>
    <cellStyle name="40% - Accent1 3 2 3" xfId="33077"/>
    <cellStyle name="40% - Accent1 3 2_AGL" xfId="32365"/>
    <cellStyle name="40% - Accent1 3 3" xfId="32366"/>
    <cellStyle name="40% - Accent1 3 4" xfId="33078"/>
    <cellStyle name="40% - Accent1 3_AGL" xfId="32367"/>
    <cellStyle name="40% - Accent1 4" xfId="1468"/>
    <cellStyle name="40% - Accent1 4 2" xfId="32368"/>
    <cellStyle name="40% - Accent1 4 3" xfId="33079"/>
    <cellStyle name="40% - Accent1 4_AGL" xfId="32369"/>
    <cellStyle name="40% - Accent1 5" xfId="32370"/>
    <cellStyle name="40% - Accent1 6" xfId="33080"/>
    <cellStyle name="40% - Accent2" xfId="812" builtinId="35" customBuiltin="1"/>
    <cellStyle name="40% - Accent2 2" xfId="837"/>
    <cellStyle name="40% - Accent2 2 2" xfId="1279"/>
    <cellStyle name="40% - Accent2 2 2 2" xfId="32371"/>
    <cellStyle name="40% - Accent2 2 2 3" xfId="33081"/>
    <cellStyle name="40% - Accent2 2 2_AGL" xfId="32372"/>
    <cellStyle name="40% - Accent2 2 3" xfId="32373"/>
    <cellStyle name="40% - Accent2 2 4" xfId="33082"/>
    <cellStyle name="40% - Accent2 2_AGL" xfId="32374"/>
    <cellStyle name="40% - Accent2 3" xfId="851"/>
    <cellStyle name="40% - Accent2 3 2" xfId="1280"/>
    <cellStyle name="40% - Accent2 3 2 2" xfId="32375"/>
    <cellStyle name="40% - Accent2 3 2 3" xfId="33083"/>
    <cellStyle name="40% - Accent2 3 2_AGL" xfId="32376"/>
    <cellStyle name="40% - Accent2 3 3" xfId="32377"/>
    <cellStyle name="40% - Accent2 3 4" xfId="33084"/>
    <cellStyle name="40% - Accent2 3_AGL" xfId="32378"/>
    <cellStyle name="40% - Accent2 4" xfId="1469"/>
    <cellStyle name="40% - Accent2 4 2" xfId="32379"/>
    <cellStyle name="40% - Accent2 4 3" xfId="33085"/>
    <cellStyle name="40% - Accent2 4_AGL" xfId="32380"/>
    <cellStyle name="40% - Accent2 5" xfId="32381"/>
    <cellStyle name="40% - Accent2 6" xfId="33086"/>
    <cellStyle name="40% - Accent3" xfId="816" builtinId="39" customBuiltin="1"/>
    <cellStyle name="40% - Accent3 2" xfId="839"/>
    <cellStyle name="40% - Accent3 2 2" xfId="1281"/>
    <cellStyle name="40% - Accent3 2 2 2" xfId="32382"/>
    <cellStyle name="40% - Accent3 2 2 3" xfId="33087"/>
    <cellStyle name="40% - Accent3 2 2_AGL" xfId="32383"/>
    <cellStyle name="40% - Accent3 2 3" xfId="32384"/>
    <cellStyle name="40% - Accent3 2 4" xfId="33088"/>
    <cellStyle name="40% - Accent3 2_AGL" xfId="32385"/>
    <cellStyle name="40% - Accent3 3" xfId="853"/>
    <cellStyle name="40% - Accent3 3 2" xfId="1282"/>
    <cellStyle name="40% - Accent3 3 2 2" xfId="32386"/>
    <cellStyle name="40% - Accent3 3 2 3" xfId="33089"/>
    <cellStyle name="40% - Accent3 3 2_AGL" xfId="32387"/>
    <cellStyle name="40% - Accent3 3 3" xfId="32388"/>
    <cellStyle name="40% - Accent3 3 4" xfId="33090"/>
    <cellStyle name="40% - Accent3 3_AGL" xfId="32389"/>
    <cellStyle name="40% - Accent3 4" xfId="1470"/>
    <cellStyle name="40% - Accent3 4 2" xfId="32390"/>
    <cellStyle name="40% - Accent3 4 3" xfId="33091"/>
    <cellStyle name="40% - Accent3 4_AGL" xfId="32391"/>
    <cellStyle name="40% - Accent3 5" xfId="32392"/>
    <cellStyle name="40% - Accent3 6" xfId="33092"/>
    <cellStyle name="40% - Accent4" xfId="820" builtinId="43" customBuiltin="1"/>
    <cellStyle name="40% - Accent4 2" xfId="841"/>
    <cellStyle name="40% - Accent4 2 2" xfId="1283"/>
    <cellStyle name="40% - Accent4 2 2 2" xfId="32393"/>
    <cellStyle name="40% - Accent4 2 2 3" xfId="33093"/>
    <cellStyle name="40% - Accent4 2 2_AGL" xfId="32394"/>
    <cellStyle name="40% - Accent4 2 3" xfId="32395"/>
    <cellStyle name="40% - Accent4 2 4" xfId="33094"/>
    <cellStyle name="40% - Accent4 2_AGL" xfId="32396"/>
    <cellStyle name="40% - Accent4 3" xfId="855"/>
    <cellStyle name="40% - Accent4 3 2" xfId="1284"/>
    <cellStyle name="40% - Accent4 3 2 2" xfId="32397"/>
    <cellStyle name="40% - Accent4 3 2 3" xfId="33095"/>
    <cellStyle name="40% - Accent4 3 2_AGL" xfId="32398"/>
    <cellStyle name="40% - Accent4 3 3" xfId="32399"/>
    <cellStyle name="40% - Accent4 3 4" xfId="33096"/>
    <cellStyle name="40% - Accent4 3_AGL" xfId="32400"/>
    <cellStyle name="40% - Accent4 4" xfId="1471"/>
    <cellStyle name="40% - Accent4 4 2" xfId="32401"/>
    <cellStyle name="40% - Accent4 4 3" xfId="33097"/>
    <cellStyle name="40% - Accent4 4_AGL" xfId="32402"/>
    <cellStyle name="40% - Accent4 5" xfId="32403"/>
    <cellStyle name="40% - Accent4 6" xfId="33098"/>
    <cellStyle name="40% - Accent5" xfId="824" builtinId="47" customBuiltin="1"/>
    <cellStyle name="40% - Accent5 2" xfId="843"/>
    <cellStyle name="40% - Accent5 2 2" xfId="1285"/>
    <cellStyle name="40% - Accent5 2 2 2" xfId="32404"/>
    <cellStyle name="40% - Accent5 2 2 3" xfId="33099"/>
    <cellStyle name="40% - Accent5 2 2_AGL" xfId="32405"/>
    <cellStyle name="40% - Accent5 2 3" xfId="32406"/>
    <cellStyle name="40% - Accent5 2 4" xfId="33100"/>
    <cellStyle name="40% - Accent5 2_AGL" xfId="32407"/>
    <cellStyle name="40% - Accent5 3" xfId="857"/>
    <cellStyle name="40% - Accent5 3 2" xfId="1286"/>
    <cellStyle name="40% - Accent5 3 2 2" xfId="32408"/>
    <cellStyle name="40% - Accent5 3 2 3" xfId="33101"/>
    <cellStyle name="40% - Accent5 3 2_AGL" xfId="32409"/>
    <cellStyle name="40% - Accent5 3 3" xfId="32410"/>
    <cellStyle name="40% - Accent5 3 4" xfId="33102"/>
    <cellStyle name="40% - Accent5 3_AGL" xfId="32411"/>
    <cellStyle name="40% - Accent5 4" xfId="1472"/>
    <cellStyle name="40% - Accent5 4 2" xfId="32412"/>
    <cellStyle name="40% - Accent5 4 3" xfId="33103"/>
    <cellStyle name="40% - Accent5 4_AGL" xfId="32413"/>
    <cellStyle name="40% - Accent5 5" xfId="32414"/>
    <cellStyle name="40% - Accent5 6" xfId="33104"/>
    <cellStyle name="40% - Accent6" xfId="826" builtinId="51" customBuiltin="1"/>
    <cellStyle name="40% - Accent6 2" xfId="845"/>
    <cellStyle name="40% - Accent6 2 2" xfId="1287"/>
    <cellStyle name="40% - Accent6 2 2 2" xfId="32415"/>
    <cellStyle name="40% - Accent6 2 2 3" xfId="33105"/>
    <cellStyle name="40% - Accent6 2 2_AGL" xfId="32416"/>
    <cellStyle name="40% - Accent6 2 3" xfId="32417"/>
    <cellStyle name="40% - Accent6 2 4" xfId="33106"/>
    <cellStyle name="40% - Accent6 2_AGL" xfId="32418"/>
    <cellStyle name="40% - Accent6 3" xfId="859"/>
    <cellStyle name="40% - Accent6 3 2" xfId="1288"/>
    <cellStyle name="40% - Accent6 3 2 2" xfId="32419"/>
    <cellStyle name="40% - Accent6 3 2 3" xfId="33107"/>
    <cellStyle name="40% - Accent6 3 2_AGL" xfId="32420"/>
    <cellStyle name="40% - Accent6 3 3" xfId="32421"/>
    <cellStyle name="40% - Accent6 3 4" xfId="33108"/>
    <cellStyle name="40% - Accent6 3_AGL" xfId="32422"/>
    <cellStyle name="40% - Accent6 4" xfId="1473"/>
    <cellStyle name="40% - Accent6 4 2" xfId="32423"/>
    <cellStyle name="40% - Accent6 4 3" xfId="33109"/>
    <cellStyle name="40% - Accent6 4_AGL" xfId="32424"/>
    <cellStyle name="40% - Accent6 5" xfId="32425"/>
    <cellStyle name="40% - Accent6 6" xfId="33110"/>
    <cellStyle name="5x indented GHG Textfiels" xfId="905"/>
    <cellStyle name="60% - Accent1" xfId="809" builtinId="32" customBuiltin="1"/>
    <cellStyle name="60% - Accent1 2" xfId="1474"/>
    <cellStyle name="60% - Accent1 2 2" xfId="32426"/>
    <cellStyle name="60% - Accent1 2 3" xfId="33111"/>
    <cellStyle name="60% - Accent1 2_AGL" xfId="32427"/>
    <cellStyle name="60% - Accent1 3" xfId="32428"/>
    <cellStyle name="60% - Accent1 4" xfId="33112"/>
    <cellStyle name="60% - Accent2" xfId="813" builtinId="36" customBuiltin="1"/>
    <cellStyle name="60% - Accent2 2" xfId="1475"/>
    <cellStyle name="60% - Accent2 2 2" xfId="32429"/>
    <cellStyle name="60% - Accent2 2 3" xfId="33113"/>
    <cellStyle name="60% - Accent2 2_AGL" xfId="32430"/>
    <cellStyle name="60% - Accent2 3" xfId="32431"/>
    <cellStyle name="60% - Accent2 4" xfId="33114"/>
    <cellStyle name="60% - Accent3" xfId="817" builtinId="40" customBuiltin="1"/>
    <cellStyle name="60% - Accent3 2" xfId="1476"/>
    <cellStyle name="60% - Accent3 2 2" xfId="32432"/>
    <cellStyle name="60% - Accent3 2 3" xfId="33115"/>
    <cellStyle name="60% - Accent3 2_AGL" xfId="32433"/>
    <cellStyle name="60% - Accent3 3" xfId="32434"/>
    <cellStyle name="60% - Accent3 4" xfId="33116"/>
    <cellStyle name="60% - Accent4" xfId="821" builtinId="44" customBuiltin="1"/>
    <cellStyle name="60% - Accent4 2" xfId="1477"/>
    <cellStyle name="60% - Accent4 2 2" xfId="32435"/>
    <cellStyle name="60% - Accent4 2 3" xfId="33117"/>
    <cellStyle name="60% - Accent4 2_AGL" xfId="32436"/>
    <cellStyle name="60% - Accent4 3" xfId="32437"/>
    <cellStyle name="60% - Accent4 4" xfId="33118"/>
    <cellStyle name="60% - Accent5" xfId="825" builtinId="48" customBuiltin="1"/>
    <cellStyle name="60% - Accent5 2" xfId="1478"/>
    <cellStyle name="60% - Accent5 2 2" xfId="32438"/>
    <cellStyle name="60% - Accent5 2 3" xfId="33119"/>
    <cellStyle name="60% - Accent5 2_AGL" xfId="32439"/>
    <cellStyle name="60% - Accent5 3" xfId="32440"/>
    <cellStyle name="60% - Accent5 4" xfId="33120"/>
    <cellStyle name="60% - Accent6" xfId="827" builtinId="52" customBuiltin="1"/>
    <cellStyle name="60% - Accent6 2" xfId="1479"/>
    <cellStyle name="60% - Accent6 2 2" xfId="32441"/>
    <cellStyle name="60% - Accent6 2 3" xfId="33121"/>
    <cellStyle name="60% - Accent6 2_AGL" xfId="32442"/>
    <cellStyle name="60% - Accent6 3" xfId="32443"/>
    <cellStyle name="60% - Accent6 4" xfId="33122"/>
    <cellStyle name="Accent1" xfId="807" builtinId="29" customBuiltin="1"/>
    <cellStyle name="Accent1 2" xfId="1480"/>
    <cellStyle name="Accent1 2 2" xfId="32444"/>
    <cellStyle name="Accent1 2 3" xfId="33123"/>
    <cellStyle name="Accent1 2_AGL" xfId="32445"/>
    <cellStyle name="Accent1 3" xfId="32446"/>
    <cellStyle name="Accent1 4" xfId="33124"/>
    <cellStyle name="Accent2" xfId="810" builtinId="33" customBuiltin="1"/>
    <cellStyle name="Accent2 2" xfId="1481"/>
    <cellStyle name="Accent2 2 2" xfId="32447"/>
    <cellStyle name="Accent2 2 3" xfId="33125"/>
    <cellStyle name="Accent2 2_AGL" xfId="32448"/>
    <cellStyle name="Accent2 3" xfId="32449"/>
    <cellStyle name="Accent2 4" xfId="33126"/>
    <cellStyle name="Accent3" xfId="814" builtinId="37" customBuiltin="1"/>
    <cellStyle name="Accent3 2" xfId="1482"/>
    <cellStyle name="Accent3 2 2" xfId="32450"/>
    <cellStyle name="Accent3 2 3" xfId="33127"/>
    <cellStyle name="Accent3 2_AGL" xfId="32451"/>
    <cellStyle name="Accent3 3" xfId="32452"/>
    <cellStyle name="Accent3 4" xfId="33128"/>
    <cellStyle name="Accent4" xfId="818" builtinId="41" customBuiltin="1"/>
    <cellStyle name="Accent4 2" xfId="970"/>
    <cellStyle name="Accent4 2 2" xfId="32453"/>
    <cellStyle name="Accent4 2 3" xfId="33129"/>
    <cellStyle name="Accent4 2_AGL" xfId="32454"/>
    <cellStyle name="Accent4 3" xfId="1483"/>
    <cellStyle name="Accent4 3 2" xfId="32455"/>
    <cellStyle name="Accent4 3 3" xfId="33130"/>
    <cellStyle name="Accent4 3_AGL" xfId="32456"/>
    <cellStyle name="Accent4 4" xfId="32457"/>
    <cellStyle name="Accent4 5" xfId="33131"/>
    <cellStyle name="Accent5" xfId="822" builtinId="45" customBuiltin="1"/>
    <cellStyle name="Accent5 2" xfId="1484"/>
    <cellStyle name="Accent5 2 2" xfId="32458"/>
    <cellStyle name="Accent5 2 3" xfId="33132"/>
    <cellStyle name="Accent5 2_AGL" xfId="32459"/>
    <cellStyle name="Accent5 3" xfId="32460"/>
    <cellStyle name="Accent5 4" xfId="33133"/>
    <cellStyle name="Accent6" xfId="792" builtinId="49" customBuiltin="1"/>
    <cellStyle name="Accent6 2" xfId="971"/>
    <cellStyle name="Accent6 2 2" xfId="32461"/>
    <cellStyle name="Accent6 2 3" xfId="33134"/>
    <cellStyle name="Accent6 2_AGL" xfId="32462"/>
    <cellStyle name="Accent6 3" xfId="1485"/>
    <cellStyle name="Accent6 3 2" xfId="32463"/>
    <cellStyle name="Accent6 3 3" xfId="33135"/>
    <cellStyle name="Accent6 3_AGL" xfId="32464"/>
    <cellStyle name="Accent6 4" xfId="32465"/>
    <cellStyle name="Accent6 5" xfId="33136"/>
    <cellStyle name="Advanced user input" xfId="1449"/>
    <cellStyle name="Advanced user input 2" xfId="32466"/>
    <cellStyle name="Advanced user input 2 2" xfId="33137"/>
    <cellStyle name="Advanced user input 2_Sheet10" xfId="33138"/>
    <cellStyle name="Advanced user input 3" xfId="33139"/>
    <cellStyle name="Advanced user input_AGL" xfId="32467"/>
    <cellStyle name="AggblueCels_1x" xfId="906"/>
    <cellStyle name="Bad" xfId="798" builtinId="27" customBuiltin="1"/>
    <cellStyle name="Bad 2" xfId="908"/>
    <cellStyle name="Bad 2 2" xfId="1357"/>
    <cellStyle name="Bad 2 2 2" xfId="32468"/>
    <cellStyle name="Bad 2 2 3" xfId="33140"/>
    <cellStyle name="Bad 2 2_AGL" xfId="32469"/>
    <cellStyle name="Bad 2 3" xfId="32470"/>
    <cellStyle name="Bad 2 4" xfId="33141"/>
    <cellStyle name="Bad 2_AGL" xfId="32471"/>
    <cellStyle name="Bad 3" xfId="907"/>
    <cellStyle name="Bad 3 2" xfId="1426"/>
    <cellStyle name="Bad 3 2 2" xfId="32472"/>
    <cellStyle name="Bad 3 2 3" xfId="33142"/>
    <cellStyle name="Bad 3 2_AGL" xfId="32473"/>
    <cellStyle name="Bad 3 3" xfId="32474"/>
    <cellStyle name="Bad 3 4" xfId="33143"/>
    <cellStyle name="Bad 3_AGL" xfId="32475"/>
    <cellStyle name="Bad 4" xfId="1486"/>
    <cellStyle name="Bad 4 2" xfId="32476"/>
    <cellStyle name="Bad 4 3" xfId="33144"/>
    <cellStyle name="Bad 4_AGL" xfId="32477"/>
    <cellStyle name="Bad 5" xfId="32478"/>
    <cellStyle name="Bad 6" xfId="33145"/>
    <cellStyle name="Basic User Data Input" xfId="1450"/>
    <cellStyle name="Basic User Data Input 2" xfId="32479"/>
    <cellStyle name="Basic User Data Input 2 2" xfId="33146"/>
    <cellStyle name="Basic User Data Input 2_Sheet10" xfId="33147"/>
    <cellStyle name="Basic User Data Input 3" xfId="33148"/>
    <cellStyle name="Basic User Data Input_AGL" xfId="32480"/>
    <cellStyle name="Basic User Selection" xfId="1451"/>
    <cellStyle name="Basic User Selection 2" xfId="32481"/>
    <cellStyle name="Basic User Selection 2 2" xfId="33149"/>
    <cellStyle name="Basic User Selection 2_Sheet10" xfId="33150"/>
    <cellStyle name="Basic User Selection 3" xfId="33151"/>
    <cellStyle name="Basic User Selection_AGL" xfId="32482"/>
    <cellStyle name="Calc" xfId="909"/>
    <cellStyle name="Calc 2" xfId="1358"/>
    <cellStyle name="Calc 2 2" xfId="1436"/>
    <cellStyle name="Calc 2 2 2" xfId="32483"/>
    <cellStyle name="Calc 2 2 3" xfId="33152"/>
    <cellStyle name="Calc 2 2_AGL" xfId="32484"/>
    <cellStyle name="Calc 2 3" xfId="32485"/>
    <cellStyle name="Calc 2 4" xfId="33153"/>
    <cellStyle name="Calc 2_AGL" xfId="32486"/>
    <cellStyle name="Calc 3" xfId="32487"/>
    <cellStyle name="Calc 4" xfId="33154"/>
    <cellStyle name="Calc_AGL" xfId="32488"/>
    <cellStyle name="Calculation" xfId="801" builtinId="22" customBuiltin="1"/>
    <cellStyle name="Calculation 2" xfId="910"/>
    <cellStyle name="Calculation 2 2" xfId="32489"/>
    <cellStyle name="Calculation 2 2 2" xfId="33155"/>
    <cellStyle name="Calculation 2 2_Sheet10" xfId="33156"/>
    <cellStyle name="Calculation 2 3" xfId="33157"/>
    <cellStyle name="Calculation 2_AGL" xfId="32490"/>
    <cellStyle name="Calculation 3" xfId="1359"/>
    <cellStyle name="Calculation 3 2" xfId="32491"/>
    <cellStyle name="Calculation 3 2 2" xfId="33158"/>
    <cellStyle name="Calculation 3 2_Sheet10" xfId="33159"/>
    <cellStyle name="Calculation 3 3" xfId="33160"/>
    <cellStyle name="Calculation 3_AGL" xfId="32492"/>
    <cellStyle name="Calculation 4" xfId="1487"/>
    <cellStyle name="Calculation 4 2" xfId="32493"/>
    <cellStyle name="Calculation 4 2 2" xfId="33161"/>
    <cellStyle name="Calculation 4 2_Sheet10" xfId="33162"/>
    <cellStyle name="Calculation 4 3" xfId="33163"/>
    <cellStyle name="Calculation 4_AGL" xfId="32494"/>
    <cellStyle name="Calculation 5" xfId="32495"/>
    <cellStyle name="Calculation 5 2" xfId="33164"/>
    <cellStyle name="Calculation 5_Sheet10" xfId="33165"/>
    <cellStyle name="Calculation 6" xfId="33166"/>
    <cellStyle name="Check Cell" xfId="803" builtinId="23" customBuiltin="1"/>
    <cellStyle name="Check Cell 2" xfId="1488"/>
    <cellStyle name="Check Cell 2 2" xfId="32496"/>
    <cellStyle name="Check Cell 2 3" xfId="33167"/>
    <cellStyle name="Check Cell 2_AGL" xfId="32497"/>
    <cellStyle name="Check Cell 3" xfId="32498"/>
    <cellStyle name="Check Cell 4" xfId="33168"/>
    <cellStyle name="Comma" xfId="2" builtinId="3" customBuiltin="1"/>
    <cellStyle name="Comma  - Style1" xfId="1360"/>
    <cellStyle name="Comma  - Style2" xfId="1361"/>
    <cellStyle name="Comma  - Style3" xfId="1362"/>
    <cellStyle name="Comma  - Style4" xfId="1363"/>
    <cellStyle name="Comma  - Style5" xfId="1364"/>
    <cellStyle name="Comma  - Style6" xfId="1365"/>
    <cellStyle name="Comma  - Style7" xfId="1366"/>
    <cellStyle name="Comma  - Style8" xfId="1367"/>
    <cellStyle name="Comma [0] 2" xfId="1563"/>
    <cellStyle name="Comma [0] 2 2" xfId="32499"/>
    <cellStyle name="Comma [0] 2 3" xfId="33169"/>
    <cellStyle name="Comma 10" xfId="1489"/>
    <cellStyle name="Comma 10 2" xfId="1535"/>
    <cellStyle name="Comma 10 2 2" xfId="3533"/>
    <cellStyle name="Comma 10 2 2 2" xfId="14744"/>
    <cellStyle name="Comma 10 2 3" xfId="11217"/>
    <cellStyle name="Comma 10 2 3 2" xfId="22428"/>
    <cellStyle name="Comma 10 2 4" xfId="12823"/>
    <cellStyle name="Comma 10 3" xfId="1568"/>
    <cellStyle name="Comma 10 3 2" xfId="3566"/>
    <cellStyle name="Comma 10 3 2 2" xfId="14777"/>
    <cellStyle name="Comma 10 3 3" xfId="11249"/>
    <cellStyle name="Comma 10 3 3 2" xfId="22460"/>
    <cellStyle name="Comma 10 3 4" xfId="12856"/>
    <cellStyle name="Comma 10 4" xfId="1597"/>
    <cellStyle name="Comma 10 4 2" xfId="3595"/>
    <cellStyle name="Comma 10 4 2 2" xfId="14806"/>
    <cellStyle name="Comma 10 4 3" xfId="11278"/>
    <cellStyle name="Comma 10 4 3 2" xfId="22489"/>
    <cellStyle name="Comma 10 4 4" xfId="12885"/>
    <cellStyle name="Comma 10 5" xfId="1605"/>
    <cellStyle name="Comma 10 5 2" xfId="3603"/>
    <cellStyle name="Comma 10 5 2 2" xfId="14814"/>
    <cellStyle name="Comma 10 5 3" xfId="11286"/>
    <cellStyle name="Comma 10 5 3 2" xfId="22497"/>
    <cellStyle name="Comma 10 5 4" xfId="12893"/>
    <cellStyle name="Comma 10 6" xfId="32500"/>
    <cellStyle name="Comma 10 7" xfId="33170"/>
    <cellStyle name="Comma 11" xfId="1461"/>
    <cellStyle name="Comma 11 2" xfId="1533"/>
    <cellStyle name="Comma 11 2 2" xfId="3531"/>
    <cellStyle name="Comma 11 2 2 2" xfId="14742"/>
    <cellStyle name="Comma 11 2 3" xfId="11215"/>
    <cellStyle name="Comma 11 2 3 2" xfId="22426"/>
    <cellStyle name="Comma 11 2 4" xfId="12821"/>
    <cellStyle name="Comma 11 3" xfId="1566"/>
    <cellStyle name="Comma 11 3 2" xfId="3564"/>
    <cellStyle name="Comma 11 3 2 2" xfId="14775"/>
    <cellStyle name="Comma 11 3 3" xfId="11247"/>
    <cellStyle name="Comma 11 3 3 2" xfId="22458"/>
    <cellStyle name="Comma 11 3 4" xfId="12854"/>
    <cellStyle name="Comma 11 4" xfId="1595"/>
    <cellStyle name="Comma 11 4 2" xfId="3593"/>
    <cellStyle name="Comma 11 4 2 2" xfId="14804"/>
    <cellStyle name="Comma 11 4 3" xfId="11276"/>
    <cellStyle name="Comma 11 4 3 2" xfId="22487"/>
    <cellStyle name="Comma 11 4 4" xfId="12883"/>
    <cellStyle name="Comma 11 5" xfId="1602"/>
    <cellStyle name="Comma 11 5 2" xfId="3600"/>
    <cellStyle name="Comma 11 5 2 2" xfId="14811"/>
    <cellStyle name="Comma 11 5 3" xfId="11283"/>
    <cellStyle name="Comma 11 5 3 2" xfId="22494"/>
    <cellStyle name="Comma 11 5 4" xfId="12890"/>
    <cellStyle name="Comma 11 6" xfId="32501"/>
    <cellStyle name="Comma 11 7" xfId="33171"/>
    <cellStyle name="Comma 12" xfId="1536"/>
    <cellStyle name="Comma 12 2" xfId="3534"/>
    <cellStyle name="Comma 12 2 2" xfId="14745"/>
    <cellStyle name="Comma 12 3" xfId="11218"/>
    <cellStyle name="Comma 12 3 2" xfId="22429"/>
    <cellStyle name="Comma 12 4" xfId="12824"/>
    <cellStyle name="Comma 13" xfId="1574"/>
    <cellStyle name="Comma 13 2" xfId="3572"/>
    <cellStyle name="Comma 13 2 2" xfId="14783"/>
    <cellStyle name="Comma 13 3" xfId="11255"/>
    <cellStyle name="Comma 13 3 2" xfId="22466"/>
    <cellStyle name="Comma 13 4" xfId="12862"/>
    <cellStyle name="Comma 14" xfId="1575"/>
    <cellStyle name="Comma 14 2" xfId="3573"/>
    <cellStyle name="Comma 14 2 2" xfId="14784"/>
    <cellStyle name="Comma 14 3" xfId="11256"/>
    <cellStyle name="Comma 14 3 2" xfId="22467"/>
    <cellStyle name="Comma 14 4" xfId="12863"/>
    <cellStyle name="Comma 15" xfId="1576"/>
    <cellStyle name="Comma 15 2" xfId="3574"/>
    <cellStyle name="Comma 15 2 2" xfId="14785"/>
    <cellStyle name="Comma 15 3" xfId="11257"/>
    <cellStyle name="Comma 15 3 2" xfId="22468"/>
    <cellStyle name="Comma 15 4" xfId="12864"/>
    <cellStyle name="Comma 16" xfId="1614"/>
    <cellStyle name="Comma 16 2" xfId="3612"/>
    <cellStyle name="Comma 16 2 2" xfId="14823"/>
    <cellStyle name="Comma 16 3" xfId="11295"/>
    <cellStyle name="Comma 16 3 2" xfId="22506"/>
    <cellStyle name="Comma 16 4" xfId="12902"/>
    <cellStyle name="Comma 17" xfId="1618"/>
    <cellStyle name="Comma 17 2" xfId="3616"/>
    <cellStyle name="Comma 17 2 2" xfId="14827"/>
    <cellStyle name="Comma 17 3" xfId="11299"/>
    <cellStyle name="Comma 17 3 2" xfId="22510"/>
    <cellStyle name="Comma 17 4" xfId="12906"/>
    <cellStyle name="Comma 18" xfId="1627"/>
    <cellStyle name="Comma 18 2" xfId="3625"/>
    <cellStyle name="Comma 18 2 2" xfId="14836"/>
    <cellStyle name="Comma 18 3" xfId="11308"/>
    <cellStyle name="Comma 18 3 2" xfId="22519"/>
    <cellStyle name="Comma 18 4" xfId="12915"/>
    <cellStyle name="Comma 19" xfId="1621"/>
    <cellStyle name="Comma 19 2" xfId="3619"/>
    <cellStyle name="Comma 19 2 2" xfId="14830"/>
    <cellStyle name="Comma 19 3" xfId="11302"/>
    <cellStyle name="Comma 19 3 2" xfId="22513"/>
    <cellStyle name="Comma 19 4" xfId="12909"/>
    <cellStyle name="Comma 2" xfId="455"/>
    <cellStyle name="Comma 2 2" xfId="913"/>
    <cellStyle name="Comma 2 2 2" xfId="1405"/>
    <cellStyle name="Comma 2 3" xfId="912"/>
    <cellStyle name="Comma 2 4" xfId="956"/>
    <cellStyle name="Comma 2 5" xfId="1289"/>
    <cellStyle name="Comma 2 5 2" xfId="32502"/>
    <cellStyle name="Comma 2 5 3" xfId="33172"/>
    <cellStyle name="Comma 2 6" xfId="1505"/>
    <cellStyle name="Comma 2 6 2" xfId="32503"/>
    <cellStyle name="Comma 2 6 3" xfId="33173"/>
    <cellStyle name="Comma 2 7" xfId="32504"/>
    <cellStyle name="Comma 2 8" xfId="33174"/>
    <cellStyle name="Comma 20" xfId="1628"/>
    <cellStyle name="Comma 20 2" xfId="3626"/>
    <cellStyle name="Comma 20 2 2" xfId="14837"/>
    <cellStyle name="Comma 20 3" xfId="11309"/>
    <cellStyle name="Comma 20 3 2" xfId="22520"/>
    <cellStyle name="Comma 20 4" xfId="12916"/>
    <cellStyle name="Comma 21" xfId="1622"/>
    <cellStyle name="Comma 21 2" xfId="3620"/>
    <cellStyle name="Comma 21 2 2" xfId="14831"/>
    <cellStyle name="Comma 21 3" xfId="11303"/>
    <cellStyle name="Comma 21 3 2" xfId="22514"/>
    <cellStyle name="Comma 21 4" xfId="12910"/>
    <cellStyle name="Comma 22" xfId="1629"/>
    <cellStyle name="Comma 22 2" xfId="3627"/>
    <cellStyle name="Comma 22 2 2" xfId="14838"/>
    <cellStyle name="Comma 22 3" xfId="11310"/>
    <cellStyle name="Comma 22 3 2" xfId="22521"/>
    <cellStyle name="Comma 22 4" xfId="12917"/>
    <cellStyle name="Comma 23" xfId="1638"/>
    <cellStyle name="Comma 23 2" xfId="3636"/>
    <cellStyle name="Comma 23 2 2" xfId="14847"/>
    <cellStyle name="Comma 23 3" xfId="11319"/>
    <cellStyle name="Comma 23 3 2" xfId="22530"/>
    <cellStyle name="Comma 23 4" xfId="12926"/>
    <cellStyle name="Comma 24" xfId="1645"/>
    <cellStyle name="Comma 24 2" xfId="3643"/>
    <cellStyle name="Comma 24 2 2" xfId="14854"/>
    <cellStyle name="Comma 24 3" xfId="11324"/>
    <cellStyle name="Comma 24 3 2" xfId="22535"/>
    <cellStyle name="Comma 24 4" xfId="12932"/>
    <cellStyle name="Comma 25" xfId="1649"/>
    <cellStyle name="Comma 25 2" xfId="3647"/>
    <cellStyle name="Comma 25 2 2" xfId="14858"/>
    <cellStyle name="Comma 25 3" xfId="11328"/>
    <cellStyle name="Comma 25 3 2" xfId="22539"/>
    <cellStyle name="Comma 25 4" xfId="12936"/>
    <cellStyle name="Comma 26" xfId="1652"/>
    <cellStyle name="Comma 26 2" xfId="3650"/>
    <cellStyle name="Comma 26 2 2" xfId="14861"/>
    <cellStyle name="Comma 26 3" xfId="11331"/>
    <cellStyle name="Comma 26 3 2" xfId="22542"/>
    <cellStyle name="Comma 26 4" xfId="12939"/>
    <cellStyle name="Comma 27" xfId="1650"/>
    <cellStyle name="Comma 27 2" xfId="3648"/>
    <cellStyle name="Comma 27 2 2" xfId="14859"/>
    <cellStyle name="Comma 27 3" xfId="11329"/>
    <cellStyle name="Comma 27 3 2" xfId="22540"/>
    <cellStyle name="Comma 27 4" xfId="12937"/>
    <cellStyle name="Comma 28" xfId="1656"/>
    <cellStyle name="Comma 29" xfId="1997"/>
    <cellStyle name="Comma 29 2" xfId="3995"/>
    <cellStyle name="Comma 29 2 2" xfId="15206"/>
    <cellStyle name="Comma 29 3" xfId="11336"/>
    <cellStyle name="Comma 29 3 2" xfId="22547"/>
    <cellStyle name="Comma 29 4" xfId="13209"/>
    <cellStyle name="Comma 3" xfId="902"/>
    <cellStyle name="Comma 3 2" xfId="915"/>
    <cellStyle name="Comma 3 2 2" xfId="1406"/>
    <cellStyle name="Comma 3 3" xfId="914"/>
    <cellStyle name="Comma 3 4" xfId="1407"/>
    <cellStyle name="Comma 3 5" xfId="32505"/>
    <cellStyle name="Comma 3 6" xfId="33175"/>
    <cellStyle name="Comma 30" xfId="31685"/>
    <cellStyle name="Comma 31" xfId="31963"/>
    <cellStyle name="Comma 32" xfId="31967"/>
    <cellStyle name="Comma 33" xfId="31971"/>
    <cellStyle name="Comma 34" xfId="31974"/>
    <cellStyle name="Comma 35" xfId="32254"/>
    <cellStyle name="Comma 36" xfId="32266"/>
    <cellStyle name="Comma 4" xfId="911"/>
    <cellStyle name="Comma 4 2" xfId="981"/>
    <cellStyle name="Comma 4 3" xfId="1290"/>
    <cellStyle name="Comma 4 3 2" xfId="3288"/>
    <cellStyle name="Comma 4 3 2 2" xfId="14500"/>
    <cellStyle name="Comma 4 3 3" xfId="11089"/>
    <cellStyle name="Comma 4 3 3 2" xfId="22300"/>
    <cellStyle name="Comma 4 3 4" xfId="12594"/>
    <cellStyle name="Comma 4 4" xfId="1329"/>
    <cellStyle name="Comma 4 4 2" xfId="3327"/>
    <cellStyle name="Comma 4 4 2 2" xfId="14539"/>
    <cellStyle name="Comma 4 4 3" xfId="11116"/>
    <cellStyle name="Comma 4 4 3 2" xfId="22327"/>
    <cellStyle name="Comma 4 4 4" xfId="12628"/>
    <cellStyle name="Comma 4 5" xfId="1398"/>
    <cellStyle name="Comma 4 6" xfId="2909"/>
    <cellStyle name="Comma 4 6 2" xfId="14121"/>
    <cellStyle name="Comma 4 7" xfId="10791"/>
    <cellStyle name="Comma 4 7 2" xfId="22002"/>
    <cellStyle name="Comma 4 8" xfId="12227"/>
    <cellStyle name="Comma 5" xfId="972"/>
    <cellStyle name="Comma 5 2" xfId="1400"/>
    <cellStyle name="Comma 5 2 2" xfId="3398"/>
    <cellStyle name="Comma 5 2 2 2" xfId="14610"/>
    <cellStyle name="Comma 5 2 3" xfId="11148"/>
    <cellStyle name="Comma 5 2 3 2" xfId="22359"/>
    <cellStyle name="Comma 5 2 4" xfId="12693"/>
    <cellStyle name="Comma 5 3" xfId="1429"/>
    <cellStyle name="Comma 5 3 2" xfId="1524"/>
    <cellStyle name="Comma 5 3 2 2" xfId="3522"/>
    <cellStyle name="Comma 5 3 2 2 2" xfId="14733"/>
    <cellStyle name="Comma 5 3 2 3" xfId="11209"/>
    <cellStyle name="Comma 5 3 2 3 2" xfId="22420"/>
    <cellStyle name="Comma 5 3 2 4" xfId="12813"/>
    <cellStyle name="Comma 5 3 3" xfId="3427"/>
    <cellStyle name="Comma 5 3 3 2" xfId="14639"/>
    <cellStyle name="Comma 5 3 4" xfId="11169"/>
    <cellStyle name="Comma 5 3 4 2" xfId="22380"/>
    <cellStyle name="Comma 5 3 5" xfId="12722"/>
    <cellStyle name="Comma 5 4" xfId="1442"/>
    <cellStyle name="Comma 5 4 2" xfId="3440"/>
    <cellStyle name="Comma 5 4 2 2" xfId="14652"/>
    <cellStyle name="Comma 5 4 3" xfId="11179"/>
    <cellStyle name="Comma 5 4 3 2" xfId="22390"/>
    <cellStyle name="Comma 5 4 4" xfId="12735"/>
    <cellStyle name="Comma 5 5" xfId="1514"/>
    <cellStyle name="Comma 5 5 2" xfId="3512"/>
    <cellStyle name="Comma 5 5 2 2" xfId="14723"/>
    <cellStyle name="Comma 5 5 3" xfId="11199"/>
    <cellStyle name="Comma 5 5 3 2" xfId="22410"/>
    <cellStyle name="Comma 5 5 4" xfId="12803"/>
    <cellStyle name="Comma 5 6" xfId="32250"/>
    <cellStyle name="Comma 5 7" xfId="32262"/>
    <cellStyle name="Comma 6" xfId="973"/>
    <cellStyle name="Comma 6 2" xfId="1291"/>
    <cellStyle name="Comma 6 2 2" xfId="3289"/>
    <cellStyle name="Comma 6 2 2 2" xfId="14501"/>
    <cellStyle name="Comma 6 2 3" xfId="11090"/>
    <cellStyle name="Comma 6 2 3 2" xfId="22301"/>
    <cellStyle name="Comma 6 2 4" xfId="12595"/>
    <cellStyle name="Comma 6 3" xfId="1330"/>
    <cellStyle name="Comma 6 3 2" xfId="3328"/>
    <cellStyle name="Comma 6 3 2 2" xfId="14540"/>
    <cellStyle name="Comma 6 3 3" xfId="11117"/>
    <cellStyle name="Comma 6 3 3 2" xfId="22328"/>
    <cellStyle name="Comma 6 3 4" xfId="12629"/>
    <cellStyle name="Comma 6 4" xfId="1513"/>
    <cellStyle name="Comma 6 4 2" xfId="3511"/>
    <cellStyle name="Comma 6 4 2 2" xfId="14722"/>
    <cellStyle name="Comma 6 4 3" xfId="11198"/>
    <cellStyle name="Comma 6 4 3 2" xfId="22409"/>
    <cellStyle name="Comma 6 4 4" xfId="12802"/>
    <cellStyle name="Comma 6 5" xfId="2971"/>
    <cellStyle name="Comma 6 5 2" xfId="14183"/>
    <cellStyle name="Comma 6 6" xfId="10808"/>
    <cellStyle name="Comma 6 6 2" xfId="22019"/>
    <cellStyle name="Comma 6 7" xfId="12281"/>
    <cellStyle name="Comma 7" xfId="1368"/>
    <cellStyle name="Comma 7 2" xfId="1428"/>
    <cellStyle name="Comma 7 2 2" xfId="3426"/>
    <cellStyle name="Comma 7 2 2 2" xfId="14638"/>
    <cellStyle name="Comma 7 2 3" xfId="11168"/>
    <cellStyle name="Comma 7 2 3 2" xfId="22379"/>
    <cellStyle name="Comma 7 2 4" xfId="12721"/>
    <cellStyle name="Comma 7 3" xfId="1523"/>
    <cellStyle name="Comma 7 3 2" xfId="3521"/>
    <cellStyle name="Comma 7 3 2 2" xfId="14732"/>
    <cellStyle name="Comma 7 3 3" xfId="11208"/>
    <cellStyle name="Comma 7 3 3 2" xfId="22419"/>
    <cellStyle name="Comma 7 3 4" xfId="12812"/>
    <cellStyle name="Comma 7 4" xfId="3366"/>
    <cellStyle name="Comma 7 4 2" xfId="14578"/>
    <cellStyle name="Comma 7 5" xfId="11144"/>
    <cellStyle name="Comma 7 5 2" xfId="22355"/>
    <cellStyle name="Comma 7 6" xfId="12667"/>
    <cellStyle name="Comma 7 7" xfId="32253"/>
    <cellStyle name="Comma 7 8" xfId="32265"/>
    <cellStyle name="Comma 8" xfId="1369"/>
    <cellStyle name="Comma 8 10" xfId="3367"/>
    <cellStyle name="Comma 8 10 2" xfId="14579"/>
    <cellStyle name="Comma 8 11" xfId="11145"/>
    <cellStyle name="Comma 8 11 2" xfId="22356"/>
    <cellStyle name="Comma 8 12" xfId="12668"/>
    <cellStyle name="Comma 8 2" xfId="1424"/>
    <cellStyle name="Comma 8 2 2" xfId="3422"/>
    <cellStyle name="Comma 8 2 2 2" xfId="14634"/>
    <cellStyle name="Comma 8 2 3" xfId="11165"/>
    <cellStyle name="Comma 8 2 3 2" xfId="22376"/>
    <cellStyle name="Comma 8 2 4" xfId="12717"/>
    <cellStyle name="Comma 8 3" xfId="1439"/>
    <cellStyle name="Comma 8 3 2" xfId="3437"/>
    <cellStyle name="Comma 8 3 2 2" xfId="14649"/>
    <cellStyle name="Comma 8 3 3" xfId="11176"/>
    <cellStyle name="Comma 8 3 3 2" xfId="22387"/>
    <cellStyle name="Comma 8 3 4" xfId="12732"/>
    <cellStyle name="Comma 8 4" xfId="1447"/>
    <cellStyle name="Comma 8 4 2" xfId="3445"/>
    <cellStyle name="Comma 8 4 2 2" xfId="14657"/>
    <cellStyle name="Comma 8 4 3" xfId="11184"/>
    <cellStyle name="Comma 8 4 3 2" xfId="22395"/>
    <cellStyle name="Comma 8 4 4" xfId="12740"/>
    <cellStyle name="Comma 8 5" xfId="1457"/>
    <cellStyle name="Comma 8 5 2" xfId="3455"/>
    <cellStyle name="Comma 8 5 2 2" xfId="14666"/>
    <cellStyle name="Comma 8 5 3" xfId="11188"/>
    <cellStyle name="Comma 8 5 3 2" xfId="22399"/>
    <cellStyle name="Comma 8 5 4" xfId="12749"/>
    <cellStyle name="Comma 8 6" xfId="1559"/>
    <cellStyle name="Comma 8 6 2" xfId="3557"/>
    <cellStyle name="Comma 8 6 2 2" xfId="14768"/>
    <cellStyle name="Comma 8 6 3" xfId="11241"/>
    <cellStyle name="Comma 8 6 3 2" xfId="22452"/>
    <cellStyle name="Comma 8 6 4" xfId="12847"/>
    <cellStyle name="Comma 8 7" xfId="1573"/>
    <cellStyle name="Comma 8 7 2" xfId="3571"/>
    <cellStyle name="Comma 8 7 2 2" xfId="14782"/>
    <cellStyle name="Comma 8 7 3" xfId="11254"/>
    <cellStyle name="Comma 8 7 3 2" xfId="22465"/>
    <cellStyle name="Comma 8 7 4" xfId="12861"/>
    <cellStyle name="Comma 8 8" xfId="1589"/>
    <cellStyle name="Comma 8 8 2" xfId="3587"/>
    <cellStyle name="Comma 8 8 2 2" xfId="14798"/>
    <cellStyle name="Comma 8 8 3" xfId="11270"/>
    <cellStyle name="Comma 8 8 3 2" xfId="22481"/>
    <cellStyle name="Comma 8 8 4" xfId="12877"/>
    <cellStyle name="Comma 8 9" xfId="1610"/>
    <cellStyle name="Comma 8 9 2" xfId="3608"/>
    <cellStyle name="Comma 8 9 2 2" xfId="14819"/>
    <cellStyle name="Comma 8 9 3" xfId="11291"/>
    <cellStyle name="Comma 8 9 3 2" xfId="22502"/>
    <cellStyle name="Comma 8 9 4" xfId="12898"/>
    <cellStyle name="Comma 9" xfId="1408"/>
    <cellStyle name="Comma 9 2" xfId="1537"/>
    <cellStyle name="Comma 9 2 2" xfId="3535"/>
    <cellStyle name="Comma 9 2 2 2" xfId="14746"/>
    <cellStyle name="Comma 9 2 3" xfId="11219"/>
    <cellStyle name="Comma 9 2 3 2" xfId="22430"/>
    <cellStyle name="Comma 9 2 4" xfId="12825"/>
    <cellStyle name="Comma 9 3" xfId="3406"/>
    <cellStyle name="Comma 9 3 2" xfId="14618"/>
    <cellStyle name="Comma 9 4" xfId="11153"/>
    <cellStyle name="Comma 9 4 2" xfId="22364"/>
    <cellStyle name="Comma 9 5" xfId="12701"/>
    <cellStyle name="Comma_Oyv-demand template for Industrial commercial and residential data" xfId="969"/>
    <cellStyle name="Comma0" xfId="1370"/>
    <cellStyle name="Constants" xfId="916"/>
    <cellStyle name="Currency 2" xfId="1490"/>
    <cellStyle name="Currency 2 2" xfId="32506"/>
    <cellStyle name="Currency 2 3" xfId="33176"/>
    <cellStyle name="Currency 3" xfId="32507"/>
    <cellStyle name="Currency 4" xfId="33177"/>
    <cellStyle name="Currency0" xfId="1371"/>
    <cellStyle name="Date" xfId="1372"/>
    <cellStyle name="Empty_B_border" xfId="917"/>
    <cellStyle name="Excel Built-in Normal" xfId="228"/>
    <cellStyle name="Excel Built-in Normal 2" xfId="919"/>
    <cellStyle name="Excel Built-in Normal 2 2" xfId="32255"/>
    <cellStyle name="Excel Built-in Normal 3" xfId="918"/>
    <cellStyle name="Excel Built-in Normal 3 2" xfId="32508"/>
    <cellStyle name="Excel Built-in Normal 3 3" xfId="33178"/>
    <cellStyle name="Excel Built-in Normal 3_AGL" xfId="32509"/>
    <cellStyle name="Excel_BuiltIn_Comma" xfId="920"/>
    <cellStyle name="Explanatory Text" xfId="805" builtinId="53" customBuiltin="1"/>
    <cellStyle name="Explanatory Text 2" xfId="1491"/>
    <cellStyle name="Explanatory Text 2 2" xfId="32510"/>
    <cellStyle name="Explanatory Text 2 3" xfId="33179"/>
    <cellStyle name="Explanatory Text 2_AGL" xfId="32511"/>
    <cellStyle name="Explanatory Text 3" xfId="32512"/>
    <cellStyle name="Explanatory Text 4" xfId="33180"/>
    <cellStyle name="External" xfId="921"/>
    <cellStyle name="External 2" xfId="922"/>
    <cellStyle name="External 2 2" xfId="32513"/>
    <cellStyle name="External 2 3" xfId="33181"/>
    <cellStyle name="External 2_AGL" xfId="32514"/>
    <cellStyle name="External 3" xfId="1409"/>
    <cellStyle name="External 3 2" xfId="32515"/>
    <cellStyle name="External 3 3" xfId="33182"/>
    <cellStyle name="External 3_AGL" xfId="32516"/>
    <cellStyle name="External 4" xfId="32517"/>
    <cellStyle name="External 5" xfId="33183"/>
    <cellStyle name="External_AGL" xfId="32518"/>
    <cellStyle name="F2" xfId="1373"/>
    <cellStyle name="F3" xfId="1374"/>
    <cellStyle name="F4" xfId="1375"/>
    <cellStyle name="F5" xfId="1376"/>
    <cellStyle name="F6" xfId="1377"/>
    <cellStyle name="F7" xfId="1378"/>
    <cellStyle name="F8" xfId="1379"/>
    <cellStyle name="Fixed" xfId="1380"/>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6" builtinId="9" hidden="1"/>
    <cellStyle name="Followed Hyperlink" xfId="672" builtinId="9" hidden="1"/>
    <cellStyle name="Followed Hyperlink" xfId="668" builtinId="9" hidden="1"/>
    <cellStyle name="Followed Hyperlink" xfId="664" builtinId="9" hidden="1"/>
    <cellStyle name="Followed Hyperlink" xfId="660" builtinId="9" hidden="1"/>
    <cellStyle name="Followed Hyperlink" xfId="656" builtinId="9" hidden="1"/>
    <cellStyle name="Followed Hyperlink" xfId="652" builtinId="9" hidden="1"/>
    <cellStyle name="Followed Hyperlink" xfId="648" builtinId="9" hidden="1"/>
    <cellStyle name="Followed Hyperlink" xfId="644" builtinId="9" hidden="1"/>
    <cellStyle name="Followed Hyperlink" xfId="640" builtinId="9" hidden="1"/>
    <cellStyle name="Followed Hyperlink" xfId="636" builtinId="9" hidden="1"/>
    <cellStyle name="Followed Hyperlink" xfId="632" builtinId="9" hidden="1"/>
    <cellStyle name="Followed Hyperlink" xfId="628" builtinId="9" hidden="1"/>
    <cellStyle name="Followed Hyperlink" xfId="624" builtinId="9" hidden="1"/>
    <cellStyle name="Followed Hyperlink" xfId="620" builtinId="9" hidden="1"/>
    <cellStyle name="Followed Hyperlink" xfId="616" builtinId="9" hidden="1"/>
    <cellStyle name="Followed Hyperlink" xfId="612" builtinId="9" hidden="1"/>
    <cellStyle name="Followed Hyperlink" xfId="608" builtinId="9" hidden="1"/>
    <cellStyle name="Followed Hyperlink" xfId="604" builtinId="9" hidden="1"/>
    <cellStyle name="Followed Hyperlink" xfId="600" builtinId="9" hidden="1"/>
    <cellStyle name="Followed Hyperlink" xfId="596" builtinId="9" hidden="1"/>
    <cellStyle name="Followed Hyperlink" xfId="592" builtinId="9" hidden="1"/>
    <cellStyle name="Followed Hyperlink" xfId="588" builtinId="9" hidden="1"/>
    <cellStyle name="Followed Hyperlink" xfId="584" builtinId="9" hidden="1"/>
    <cellStyle name="Followed Hyperlink" xfId="580" builtinId="9" hidden="1"/>
    <cellStyle name="Followed Hyperlink" xfId="576" builtinId="9" hidden="1"/>
    <cellStyle name="Followed Hyperlink" xfId="572" builtinId="9" hidden="1"/>
    <cellStyle name="Followed Hyperlink" xfId="568" builtinId="9" hidden="1"/>
    <cellStyle name="Followed Hyperlink" xfId="564" builtinId="9" hidden="1"/>
    <cellStyle name="Followed Hyperlink" xfId="560" builtinId="9" hidden="1"/>
    <cellStyle name="Followed Hyperlink" xfId="556" builtinId="9" hidden="1"/>
    <cellStyle name="Followed Hyperlink" xfId="552" builtinId="9" hidden="1"/>
    <cellStyle name="Followed Hyperlink" xfId="548" builtinId="9" hidden="1"/>
    <cellStyle name="Followed Hyperlink" xfId="544" builtinId="9" hidden="1"/>
    <cellStyle name="Followed Hyperlink" xfId="540" builtinId="9" hidden="1"/>
    <cellStyle name="Followed Hyperlink" xfId="536" builtinId="9" hidden="1"/>
    <cellStyle name="Followed Hyperlink" xfId="532" builtinId="9" hidden="1"/>
    <cellStyle name="Followed Hyperlink" xfId="528" builtinId="9" hidden="1"/>
    <cellStyle name="Followed Hyperlink" xfId="524" builtinId="9" hidden="1"/>
    <cellStyle name="Followed Hyperlink" xfId="520" builtinId="9" hidden="1"/>
    <cellStyle name="Followed Hyperlink" xfId="516" builtinId="9" hidden="1"/>
    <cellStyle name="Followed Hyperlink" xfId="512" builtinId="9" hidden="1"/>
    <cellStyle name="Followed Hyperlink" xfId="508" builtinId="9" hidden="1"/>
    <cellStyle name="Followed Hyperlink" xfId="504" builtinId="9" hidden="1"/>
    <cellStyle name="Followed Hyperlink" xfId="500" builtinId="9" hidden="1"/>
    <cellStyle name="Followed Hyperlink" xfId="496" builtinId="9" hidden="1"/>
    <cellStyle name="Followed Hyperlink" xfId="492" builtinId="9" hidden="1"/>
    <cellStyle name="Followed Hyperlink" xfId="488" builtinId="9" hidden="1"/>
    <cellStyle name="Followed Hyperlink" xfId="484" builtinId="9" hidden="1"/>
    <cellStyle name="Followed Hyperlink" xfId="480" builtinId="9" hidden="1"/>
    <cellStyle name="Followed Hyperlink" xfId="476" builtinId="9" hidden="1"/>
    <cellStyle name="Followed Hyperlink" xfId="472" builtinId="9" hidden="1"/>
    <cellStyle name="Followed Hyperlink" xfId="468" builtinId="9" hidden="1"/>
    <cellStyle name="Followed Hyperlink" xfId="464" builtinId="9" hidden="1"/>
    <cellStyle name="Followed Hyperlink" xfId="460" builtinId="9" hidden="1"/>
    <cellStyle name="Followed Hyperlink" xfId="678" builtinId="9" hidden="1"/>
    <cellStyle name="Followed Hyperlink" xfId="231" builtinId="9" hidden="1"/>
    <cellStyle name="Followed Hyperlink" xfId="679"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861" builtinId="9" hidden="1"/>
    <cellStyle name="Followed Hyperlink" xfId="862" builtinId="9" hidden="1"/>
    <cellStyle name="Followed Hyperlink" xfId="863" builtinId="9" hidden="1"/>
    <cellStyle name="Followed Hyperlink" xfId="864" builtinId="9" hidden="1"/>
    <cellStyle name="Followed Hyperlink" xfId="865" builtinId="9" hidden="1"/>
    <cellStyle name="Followed Hyperlink" xfId="866" builtinId="9" hidden="1"/>
    <cellStyle name="Followed Hyperlink" xfId="867" builtinId="9" hidden="1"/>
    <cellStyle name="Followed Hyperlink" xfId="868" builtinId="9" hidden="1"/>
    <cellStyle name="Followed Hyperlink" xfId="869" builtinId="9" hidden="1"/>
    <cellStyle name="Followed Hyperlink" xfId="870" builtinId="9" hidden="1"/>
    <cellStyle name="Followed Hyperlink" xfId="871" builtinId="9" hidden="1"/>
    <cellStyle name="Followed Hyperlink" xfId="872" builtinId="9" hidden="1"/>
    <cellStyle name="Followed Hyperlink" xfId="873" builtinId="9" hidden="1"/>
    <cellStyle name="Followed Hyperlink" xfId="874" builtinId="9" hidden="1"/>
    <cellStyle name="Followed Hyperlink" xfId="875" builtinId="9" hidden="1"/>
    <cellStyle name="Followed Hyperlink" xfId="876" builtinId="9" hidden="1"/>
    <cellStyle name="Followed Hyperlink" xfId="877" builtinId="9" hidden="1"/>
    <cellStyle name="Followed Hyperlink" xfId="878" builtinId="9" hidden="1"/>
    <cellStyle name="Followed Hyperlink" xfId="879" builtinId="9" hidden="1"/>
    <cellStyle name="Followed Hyperlink" xfId="880" builtinId="9" hidden="1"/>
    <cellStyle name="Followed Hyperlink" xfId="881" builtinId="9" hidden="1"/>
    <cellStyle name="Followed Hyperlink" xfId="882" builtinId="9" hidden="1"/>
    <cellStyle name="Followed Hyperlink" xfId="883" builtinId="9" hidden="1"/>
    <cellStyle name="Followed Hyperlink" xfId="884" builtinId="9" hidden="1"/>
    <cellStyle name="Followed Hyperlink" xfId="885" builtinId="9" hidden="1"/>
    <cellStyle name="Followed Hyperlink" xfId="886" builtinId="9" hidden="1"/>
    <cellStyle name="Followed Hyperlink" xfId="887" builtinId="9" hidden="1"/>
    <cellStyle name="Followed Hyperlink" xfId="888" builtinId="9" hidden="1"/>
    <cellStyle name="Followed Hyperlink" xfId="889" builtinId="9" hidden="1"/>
    <cellStyle name="Followed Hyperlink" xfId="890" builtinId="9" hidden="1"/>
    <cellStyle name="Followed Hyperlink" xfId="891" builtinId="9" hidden="1"/>
    <cellStyle name="Followed Hyperlink" xfId="892" builtinId="9" hidden="1"/>
    <cellStyle name="Followed Hyperlink" xfId="893" builtinId="9" hidden="1"/>
    <cellStyle name="Followed Hyperlink" xfId="894" builtinId="9" hidden="1"/>
    <cellStyle name="Followed Hyperlink" xfId="895" builtinId="9" hidden="1"/>
    <cellStyle name="Followed Hyperlink" xfId="896" builtinId="9" hidden="1"/>
    <cellStyle name="Followed Hyperlink" xfId="897" builtinId="9" hidden="1"/>
    <cellStyle name="Followed Hyperlink" xfId="898" builtinId="9" hidden="1"/>
    <cellStyle name="Followed Hyperlink" xfId="899" builtinId="9" hidden="1"/>
    <cellStyle name="Followed Hyperlink" xfId="900" builtinId="9" hidden="1"/>
    <cellStyle name="Followed Hyperlink" xfId="901"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17" builtinId="9" hidden="1"/>
    <cellStyle name="Followed Hyperlink" xfId="1218" builtinId="9" hidden="1"/>
    <cellStyle name="Followed Hyperlink" xfId="1219" builtinId="9" hidden="1"/>
    <cellStyle name="Followed Hyperlink" xfId="1220" builtinId="9" hidden="1"/>
    <cellStyle name="Followed Hyperlink" xfId="1221" builtinId="9" hidden="1"/>
    <cellStyle name="Followed Hyperlink" xfId="1222" builtinId="9" hidden="1"/>
    <cellStyle name="Followed Hyperlink" xfId="1223" builtinId="9" hidden="1"/>
    <cellStyle name="Followed Hyperlink" xfId="1224" builtinId="9" hidden="1"/>
    <cellStyle name="Followed Hyperlink" xfId="1225" builtinId="9" hidden="1"/>
    <cellStyle name="Followed Hyperlink" xfId="1226" builtinId="9" hidden="1"/>
    <cellStyle name="Followed Hyperlink" xfId="1227" builtinId="9" hidden="1"/>
    <cellStyle name="Followed Hyperlink" xfId="1228" builtinId="9" hidden="1"/>
    <cellStyle name="Followed Hyperlink" xfId="1229" builtinId="9" hidden="1"/>
    <cellStyle name="Followed Hyperlink" xfId="1230" builtinId="9" hidden="1"/>
    <cellStyle name="Followed Hyperlink" xfId="1231" builtinId="9" hidden="1"/>
    <cellStyle name="Followed Hyperlink" xfId="1232" builtinId="9" hidden="1"/>
    <cellStyle name="Followed Hyperlink" xfId="1233" builtinId="9" hidden="1"/>
    <cellStyle name="Followed Hyperlink" xfId="1234" builtinId="9" hidden="1"/>
    <cellStyle name="Followed Hyperlink" xfId="1235" builtinId="9" hidden="1"/>
    <cellStyle name="Followed Hyperlink" xfId="1236" builtinId="9" hidden="1"/>
    <cellStyle name="Followed Hyperlink" xfId="1237" builtinId="9" hidden="1"/>
    <cellStyle name="Followed Hyperlink" xfId="1238" builtinId="9" hidden="1"/>
    <cellStyle name="Followed Hyperlink" xfId="1239" builtinId="9" hidden="1"/>
    <cellStyle name="Followed Hyperlink" xfId="1240" builtinId="9" hidden="1"/>
    <cellStyle name="Followed Hyperlink" xfId="1241" builtinId="9" hidden="1"/>
    <cellStyle name="Followed Hyperlink" xfId="1242" builtinId="9" hidden="1"/>
    <cellStyle name="Followed Hyperlink" xfId="1243" builtinId="9" hidden="1"/>
    <cellStyle name="Followed Hyperlink" xfId="1244" builtinId="9" hidden="1"/>
    <cellStyle name="Followed Hyperlink" xfId="1245" builtinId="9" hidden="1"/>
    <cellStyle name="Followed Hyperlink" xfId="1246" builtinId="9" hidden="1"/>
    <cellStyle name="Followed Hyperlink" xfId="1247" builtinId="9" hidden="1"/>
    <cellStyle name="Followed Hyperlink" xfId="1248" builtinId="9" hidden="1"/>
    <cellStyle name="Followed Hyperlink" xfId="1249" builtinId="9" hidden="1"/>
    <cellStyle name="Followed Hyperlink" xfId="1250" builtinId="9" hidden="1"/>
    <cellStyle name="Followed Hyperlink" xfId="1251" builtinId="9" hidden="1"/>
    <cellStyle name="Followed Hyperlink" xfId="1252" builtinId="9" hidden="1"/>
    <cellStyle name="Followed Hyperlink" xfId="1253" builtinId="9" hidden="1"/>
    <cellStyle name="Followed Hyperlink" xfId="1254" builtinId="9" hidden="1"/>
    <cellStyle name="Followed Hyperlink" xfId="1255" builtinId="9" hidden="1"/>
    <cellStyle name="Followed Hyperlink" xfId="1256" builtinId="9" hidden="1"/>
    <cellStyle name="Followed Hyperlink" xfId="1257" builtinId="9" hidden="1"/>
    <cellStyle name="Followed Hyperlink" xfId="1258" builtinId="9" hidden="1"/>
    <cellStyle name="Followed Hyperlink" xfId="1259" builtinId="9" hidden="1"/>
    <cellStyle name="Followed Hyperlink" xfId="1260" builtinId="9" hidden="1"/>
    <cellStyle name="Followed Hyperlink" xfId="1261" builtinId="9" hidden="1"/>
    <cellStyle name="Followed Hyperlink" xfId="1262" builtinId="9" hidden="1"/>
    <cellStyle name="Followed Hyperlink" xfId="1263" builtinId="9" hidden="1"/>
    <cellStyle name="Followed Hyperlink" xfId="1264" builtinId="9" hidden="1"/>
    <cellStyle name="Followed Hyperlink" xfId="1265" builtinId="9" hidden="1"/>
    <cellStyle name="Followed Hyperlink" xfId="1266" builtinId="9" hidden="1"/>
    <cellStyle name="Followed Hyperlink" xfId="1267"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5" builtinId="9" hidden="1"/>
    <cellStyle name="Followed Hyperlink" xfId="2671" builtinId="9" hidden="1"/>
    <cellStyle name="Followed Hyperlink" xfId="2667" builtinId="9" hidden="1"/>
    <cellStyle name="Followed Hyperlink" xfId="2663" builtinId="9" hidden="1"/>
    <cellStyle name="Followed Hyperlink" xfId="2659" builtinId="9" hidden="1"/>
    <cellStyle name="Followed Hyperlink" xfId="2655" builtinId="9" hidden="1"/>
    <cellStyle name="Followed Hyperlink" xfId="2651" builtinId="9" hidden="1"/>
    <cellStyle name="Followed Hyperlink" xfId="2647" builtinId="9" hidden="1"/>
    <cellStyle name="Followed Hyperlink" xfId="2643" builtinId="9" hidden="1"/>
    <cellStyle name="Followed Hyperlink" xfId="2639" builtinId="9" hidden="1"/>
    <cellStyle name="Followed Hyperlink" xfId="2635" builtinId="9" hidden="1"/>
    <cellStyle name="Followed Hyperlink" xfId="2631" builtinId="9" hidden="1"/>
    <cellStyle name="Followed Hyperlink" xfId="2627" builtinId="9" hidden="1"/>
    <cellStyle name="Followed Hyperlink" xfId="2623" builtinId="9" hidden="1"/>
    <cellStyle name="Followed Hyperlink" xfId="2619" builtinId="9" hidden="1"/>
    <cellStyle name="Followed Hyperlink" xfId="2615" builtinId="9" hidden="1"/>
    <cellStyle name="Followed Hyperlink" xfId="2611" builtinId="9" hidden="1"/>
    <cellStyle name="Followed Hyperlink" xfId="2607" builtinId="9" hidden="1"/>
    <cellStyle name="Followed Hyperlink" xfId="2603" builtinId="9" hidden="1"/>
    <cellStyle name="Followed Hyperlink" xfId="2599" builtinId="9" hidden="1"/>
    <cellStyle name="Followed Hyperlink" xfId="2595" builtinId="9" hidden="1"/>
    <cellStyle name="Followed Hyperlink" xfId="2591" builtinId="9" hidden="1"/>
    <cellStyle name="Followed Hyperlink" xfId="2587" builtinId="9" hidden="1"/>
    <cellStyle name="Followed Hyperlink" xfId="2583" builtinId="9" hidden="1"/>
    <cellStyle name="Followed Hyperlink" xfId="2579" builtinId="9" hidden="1"/>
    <cellStyle name="Followed Hyperlink" xfId="2575" builtinId="9" hidden="1"/>
    <cellStyle name="Followed Hyperlink" xfId="2571" builtinId="9" hidden="1"/>
    <cellStyle name="Followed Hyperlink" xfId="2567" builtinId="9" hidden="1"/>
    <cellStyle name="Followed Hyperlink" xfId="2563" builtinId="9" hidden="1"/>
    <cellStyle name="Followed Hyperlink" xfId="2559" builtinId="9" hidden="1"/>
    <cellStyle name="Followed Hyperlink" xfId="2555" builtinId="9" hidden="1"/>
    <cellStyle name="Followed Hyperlink" xfId="2551" builtinId="9" hidden="1"/>
    <cellStyle name="Followed Hyperlink" xfId="2547" builtinId="9" hidden="1"/>
    <cellStyle name="Followed Hyperlink" xfId="2543" builtinId="9" hidden="1"/>
    <cellStyle name="Followed Hyperlink" xfId="2539" builtinId="9" hidden="1"/>
    <cellStyle name="Followed Hyperlink" xfId="2535" builtinId="9" hidden="1"/>
    <cellStyle name="Followed Hyperlink" xfId="2531" builtinId="9" hidden="1"/>
    <cellStyle name="Followed Hyperlink" xfId="2527" builtinId="9" hidden="1"/>
    <cellStyle name="Followed Hyperlink" xfId="2523" builtinId="9" hidden="1"/>
    <cellStyle name="Followed Hyperlink" xfId="2519" builtinId="9" hidden="1"/>
    <cellStyle name="Followed Hyperlink" xfId="2515" builtinId="9" hidden="1"/>
    <cellStyle name="Followed Hyperlink" xfId="2511" builtinId="9" hidden="1"/>
    <cellStyle name="Followed Hyperlink" xfId="2507" builtinId="9" hidden="1"/>
    <cellStyle name="Followed Hyperlink" xfId="2503" builtinId="9" hidden="1"/>
    <cellStyle name="Followed Hyperlink" xfId="2499" builtinId="9" hidden="1"/>
    <cellStyle name="Followed Hyperlink" xfId="2495" builtinId="9" hidden="1"/>
    <cellStyle name="Followed Hyperlink" xfId="2491" builtinId="9" hidden="1"/>
    <cellStyle name="Followed Hyperlink" xfId="2487" builtinId="9" hidden="1"/>
    <cellStyle name="Followed Hyperlink" xfId="2483" builtinId="9" hidden="1"/>
    <cellStyle name="Followed Hyperlink" xfId="2479" builtinId="9" hidden="1"/>
    <cellStyle name="Followed Hyperlink" xfId="2475" builtinId="9" hidden="1"/>
    <cellStyle name="Followed Hyperlink" xfId="2471" builtinId="9" hidden="1"/>
    <cellStyle name="Followed Hyperlink" xfId="2467" builtinId="9" hidden="1"/>
    <cellStyle name="Followed Hyperlink" xfId="2463" builtinId="9" hidden="1"/>
    <cellStyle name="Followed Hyperlink" xfId="2459" builtinId="9" hidden="1"/>
    <cellStyle name="Followed Hyperlink" xfId="2677" builtinId="9" hidden="1"/>
    <cellStyle name="Followed Hyperlink" xfId="2230" builtinId="9" hidden="1"/>
    <cellStyle name="Followed Hyperlink" xfId="2678"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860" builtinId="9" hidden="1"/>
    <cellStyle name="Followed Hyperlink" xfId="2861" builtinId="9" hidden="1"/>
    <cellStyle name="Followed Hyperlink" xfId="2862" builtinId="9" hidden="1"/>
    <cellStyle name="Followed Hyperlink" xfId="2863" builtinId="9" hidden="1"/>
    <cellStyle name="Followed Hyperlink" xfId="2864" builtinId="9" hidden="1"/>
    <cellStyle name="Followed Hyperlink" xfId="2865" builtinId="9" hidden="1"/>
    <cellStyle name="Followed Hyperlink" xfId="2866" builtinId="9" hidden="1"/>
    <cellStyle name="Followed Hyperlink" xfId="2867" builtinId="9" hidden="1"/>
    <cellStyle name="Followed Hyperlink" xfId="2868" builtinId="9" hidden="1"/>
    <cellStyle name="Followed Hyperlink" xfId="2869" builtinId="9" hidden="1"/>
    <cellStyle name="Followed Hyperlink" xfId="2870" builtinId="9" hidden="1"/>
    <cellStyle name="Followed Hyperlink" xfId="2871" builtinId="9" hidden="1"/>
    <cellStyle name="Followed Hyperlink" xfId="2872" builtinId="9" hidden="1"/>
    <cellStyle name="Followed Hyperlink" xfId="2873" builtinId="9" hidden="1"/>
    <cellStyle name="Followed Hyperlink" xfId="2874" builtinId="9" hidden="1"/>
    <cellStyle name="Followed Hyperlink" xfId="2875" builtinId="9" hidden="1"/>
    <cellStyle name="Followed Hyperlink" xfId="2876" builtinId="9" hidden="1"/>
    <cellStyle name="Followed Hyperlink" xfId="2877" builtinId="9" hidden="1"/>
    <cellStyle name="Followed Hyperlink" xfId="2878" builtinId="9" hidden="1"/>
    <cellStyle name="Followed Hyperlink" xfId="2879" builtinId="9" hidden="1"/>
    <cellStyle name="Followed Hyperlink" xfId="2880" builtinId="9" hidden="1"/>
    <cellStyle name="Followed Hyperlink" xfId="2881" builtinId="9" hidden="1"/>
    <cellStyle name="Followed Hyperlink" xfId="2882" builtinId="9" hidden="1"/>
    <cellStyle name="Followed Hyperlink" xfId="2883" builtinId="9" hidden="1"/>
    <cellStyle name="Followed Hyperlink" xfId="2884" builtinId="9" hidden="1"/>
    <cellStyle name="Followed Hyperlink" xfId="2885" builtinId="9" hidden="1"/>
    <cellStyle name="Followed Hyperlink" xfId="2886" builtinId="9" hidden="1"/>
    <cellStyle name="Followed Hyperlink" xfId="2887" builtinId="9" hidden="1"/>
    <cellStyle name="Followed Hyperlink" xfId="2888" builtinId="9" hidden="1"/>
    <cellStyle name="Followed Hyperlink" xfId="2889" builtinId="9" hidden="1"/>
    <cellStyle name="Followed Hyperlink" xfId="2890" builtinId="9" hidden="1"/>
    <cellStyle name="Followed Hyperlink" xfId="2891" builtinId="9" hidden="1"/>
    <cellStyle name="Followed Hyperlink" xfId="2892" builtinId="9" hidden="1"/>
    <cellStyle name="Followed Hyperlink" xfId="2893" builtinId="9" hidden="1"/>
    <cellStyle name="Followed Hyperlink" xfId="2894" builtinId="9" hidden="1"/>
    <cellStyle name="Followed Hyperlink" xfId="2895" builtinId="9" hidden="1"/>
    <cellStyle name="Followed Hyperlink" xfId="2896" builtinId="9" hidden="1"/>
    <cellStyle name="Followed Hyperlink" xfId="2897" builtinId="9" hidden="1"/>
    <cellStyle name="Followed Hyperlink" xfId="2898" builtinId="9" hidden="1"/>
    <cellStyle name="Followed Hyperlink" xfId="2899" builtinId="9" hidden="1"/>
    <cellStyle name="Followed Hyperlink" xfId="2900" builtinId="9" hidden="1"/>
    <cellStyle name="Followed Hyperlink" xfId="2982" builtinId="9" hidden="1"/>
    <cellStyle name="Followed Hyperlink" xfId="2983" builtinId="9" hidden="1"/>
    <cellStyle name="Followed Hyperlink" xfId="2984" builtinId="9" hidden="1"/>
    <cellStyle name="Followed Hyperlink" xfId="2985" builtinId="9" hidden="1"/>
    <cellStyle name="Followed Hyperlink" xfId="2986" builtinId="9" hidden="1"/>
    <cellStyle name="Followed Hyperlink" xfId="2987" builtinId="9" hidden="1"/>
    <cellStyle name="Followed Hyperlink" xfId="2988" builtinId="9" hidden="1"/>
    <cellStyle name="Followed Hyperlink" xfId="2989" builtinId="9" hidden="1"/>
    <cellStyle name="Followed Hyperlink" xfId="2990" builtinId="9" hidden="1"/>
    <cellStyle name="Followed Hyperlink" xfId="2991" builtinId="9" hidden="1"/>
    <cellStyle name="Followed Hyperlink" xfId="2992" builtinId="9" hidden="1"/>
    <cellStyle name="Followed Hyperlink" xfId="2993" builtinId="9" hidden="1"/>
    <cellStyle name="Followed Hyperlink" xfId="2994" builtinId="9" hidden="1"/>
    <cellStyle name="Followed Hyperlink" xfId="2995" builtinId="9" hidden="1"/>
    <cellStyle name="Followed Hyperlink" xfId="2996" builtinId="9" hidden="1"/>
    <cellStyle name="Followed Hyperlink" xfId="2997" builtinId="9" hidden="1"/>
    <cellStyle name="Followed Hyperlink" xfId="2998" builtinId="9" hidden="1"/>
    <cellStyle name="Followed Hyperlink" xfId="2999" builtinId="9" hidden="1"/>
    <cellStyle name="Followed Hyperlink" xfId="3000" builtinId="9" hidden="1"/>
    <cellStyle name="Followed Hyperlink" xfId="3001" builtinId="9" hidden="1"/>
    <cellStyle name="Followed Hyperlink" xfId="3002" builtinId="9" hidden="1"/>
    <cellStyle name="Followed Hyperlink" xfId="3003" builtinId="9" hidden="1"/>
    <cellStyle name="Followed Hyperlink" xfId="3004" builtinId="9" hidden="1"/>
    <cellStyle name="Followed Hyperlink" xfId="3005" builtinId="9" hidden="1"/>
    <cellStyle name="Followed Hyperlink" xfId="3006" builtinId="9" hidden="1"/>
    <cellStyle name="Followed Hyperlink" xfId="3007" builtinId="9" hidden="1"/>
    <cellStyle name="Followed Hyperlink" xfId="3008" builtinId="9" hidden="1"/>
    <cellStyle name="Followed Hyperlink" xfId="3009" builtinId="9" hidden="1"/>
    <cellStyle name="Followed Hyperlink" xfId="3010" builtinId="9" hidden="1"/>
    <cellStyle name="Followed Hyperlink" xfId="3011" builtinId="9" hidden="1"/>
    <cellStyle name="Followed Hyperlink" xfId="3012" builtinId="9" hidden="1"/>
    <cellStyle name="Followed Hyperlink" xfId="3013" builtinId="9" hidden="1"/>
    <cellStyle name="Followed Hyperlink" xfId="3014" builtinId="9" hidden="1"/>
    <cellStyle name="Followed Hyperlink" xfId="3015" builtinId="9" hidden="1"/>
    <cellStyle name="Followed Hyperlink" xfId="3016" builtinId="9" hidden="1"/>
    <cellStyle name="Followed Hyperlink" xfId="3017" builtinId="9" hidden="1"/>
    <cellStyle name="Followed Hyperlink" xfId="3018" builtinId="9" hidden="1"/>
    <cellStyle name="Followed Hyperlink" xfId="3019" builtinId="9" hidden="1"/>
    <cellStyle name="Followed Hyperlink" xfId="3020" builtinId="9" hidden="1"/>
    <cellStyle name="Followed Hyperlink" xfId="3021" builtinId="9" hidden="1"/>
    <cellStyle name="Followed Hyperlink" xfId="3022" builtinId="9" hidden="1"/>
    <cellStyle name="Followed Hyperlink" xfId="3023" builtinId="9" hidden="1"/>
    <cellStyle name="Followed Hyperlink" xfId="3024" builtinId="9" hidden="1"/>
    <cellStyle name="Followed Hyperlink" xfId="3025" builtinId="9" hidden="1"/>
    <cellStyle name="Followed Hyperlink" xfId="3026" builtinId="9" hidden="1"/>
    <cellStyle name="Followed Hyperlink" xfId="3027" builtinId="9" hidden="1"/>
    <cellStyle name="Followed Hyperlink" xfId="3028" builtinId="9" hidden="1"/>
    <cellStyle name="Followed Hyperlink" xfId="3029" builtinId="9" hidden="1"/>
    <cellStyle name="Followed Hyperlink" xfId="3030" builtinId="9" hidden="1"/>
    <cellStyle name="Followed Hyperlink" xfId="3031" builtinId="9" hidden="1"/>
    <cellStyle name="Followed Hyperlink" xfId="3032" builtinId="9" hidden="1"/>
    <cellStyle name="Followed Hyperlink" xfId="3033" builtinId="9" hidden="1"/>
    <cellStyle name="Followed Hyperlink" xfId="3034" builtinId="9" hidden="1"/>
    <cellStyle name="Followed Hyperlink" xfId="3035" builtinId="9" hidden="1"/>
    <cellStyle name="Followed Hyperlink" xfId="3036" builtinId="9" hidden="1"/>
    <cellStyle name="Followed Hyperlink" xfId="3037" builtinId="9" hidden="1"/>
    <cellStyle name="Followed Hyperlink" xfId="3038" builtinId="9" hidden="1"/>
    <cellStyle name="Followed Hyperlink" xfId="3039" builtinId="9" hidden="1"/>
    <cellStyle name="Followed Hyperlink" xfId="3040" builtinId="9" hidden="1"/>
    <cellStyle name="Followed Hyperlink" xfId="3041" builtinId="9" hidden="1"/>
    <cellStyle name="Followed Hyperlink" xfId="3042" builtinId="9" hidden="1"/>
    <cellStyle name="Followed Hyperlink" xfId="3043" builtinId="9" hidden="1"/>
    <cellStyle name="Followed Hyperlink" xfId="3044" builtinId="9" hidden="1"/>
    <cellStyle name="Followed Hyperlink" xfId="3045" builtinId="9" hidden="1"/>
    <cellStyle name="Followed Hyperlink" xfId="3046" builtinId="9" hidden="1"/>
    <cellStyle name="Followed Hyperlink" xfId="3047" builtinId="9" hidden="1"/>
    <cellStyle name="Followed Hyperlink" xfId="3048" builtinId="9" hidden="1"/>
    <cellStyle name="Followed Hyperlink" xfId="3049" builtinId="9" hidden="1"/>
    <cellStyle name="Followed Hyperlink" xfId="3050" builtinId="9" hidden="1"/>
    <cellStyle name="Followed Hyperlink" xfId="3051" builtinId="9" hidden="1"/>
    <cellStyle name="Followed Hyperlink" xfId="3052" builtinId="9" hidden="1"/>
    <cellStyle name="Followed Hyperlink" xfId="3053" builtinId="9" hidden="1"/>
    <cellStyle name="Followed Hyperlink" xfId="3054" builtinId="9" hidden="1"/>
    <cellStyle name="Followed Hyperlink" xfId="3055" builtinId="9" hidden="1"/>
    <cellStyle name="Followed Hyperlink" xfId="3056" builtinId="9" hidden="1"/>
    <cellStyle name="Followed Hyperlink" xfId="3062" builtinId="9" hidden="1"/>
    <cellStyle name="Followed Hyperlink" xfId="3063" builtinId="9" hidden="1"/>
    <cellStyle name="Followed Hyperlink" xfId="3064" builtinId="9" hidden="1"/>
    <cellStyle name="Followed Hyperlink" xfId="3065" builtinId="9" hidden="1"/>
    <cellStyle name="Followed Hyperlink" xfId="3066" builtinId="9" hidden="1"/>
    <cellStyle name="Followed Hyperlink" xfId="3067" builtinId="9" hidden="1"/>
    <cellStyle name="Followed Hyperlink" xfId="3068" builtinId="9" hidden="1"/>
    <cellStyle name="Followed Hyperlink" xfId="3069" builtinId="9" hidden="1"/>
    <cellStyle name="Followed Hyperlink" xfId="3070" builtinId="9" hidden="1"/>
    <cellStyle name="Followed Hyperlink" xfId="3071" builtinId="9" hidden="1"/>
    <cellStyle name="Followed Hyperlink" xfId="3072" builtinId="9" hidden="1"/>
    <cellStyle name="Followed Hyperlink" xfId="3073" builtinId="9" hidden="1"/>
    <cellStyle name="Followed Hyperlink" xfId="3074" builtinId="9" hidden="1"/>
    <cellStyle name="Followed Hyperlink" xfId="3075" builtinId="9" hidden="1"/>
    <cellStyle name="Followed Hyperlink" xfId="3076" builtinId="9" hidden="1"/>
    <cellStyle name="Followed Hyperlink" xfId="3077" builtinId="9" hidden="1"/>
    <cellStyle name="Followed Hyperlink" xfId="3078" builtinId="9" hidden="1"/>
    <cellStyle name="Followed Hyperlink" xfId="3079" builtinId="9" hidden="1"/>
    <cellStyle name="Followed Hyperlink" xfId="3080" builtinId="9" hidden="1"/>
    <cellStyle name="Followed Hyperlink" xfId="3081" builtinId="9" hidden="1"/>
    <cellStyle name="Followed Hyperlink" xfId="3082" builtinId="9" hidden="1"/>
    <cellStyle name="Followed Hyperlink" xfId="3083" builtinId="9" hidden="1"/>
    <cellStyle name="Followed Hyperlink" xfId="3084" builtinId="9" hidden="1"/>
    <cellStyle name="Followed Hyperlink" xfId="3085" builtinId="9" hidden="1"/>
    <cellStyle name="Followed Hyperlink" xfId="3086" builtinId="9" hidden="1"/>
    <cellStyle name="Followed Hyperlink" xfId="3087" builtinId="9" hidden="1"/>
    <cellStyle name="Followed Hyperlink" xfId="3088" builtinId="9" hidden="1"/>
    <cellStyle name="Followed Hyperlink" xfId="3089" builtinId="9" hidden="1"/>
    <cellStyle name="Followed Hyperlink" xfId="3090" builtinId="9" hidden="1"/>
    <cellStyle name="Followed Hyperlink" xfId="3091" builtinId="9" hidden="1"/>
    <cellStyle name="Followed Hyperlink" xfId="3092" builtinId="9" hidden="1"/>
    <cellStyle name="Followed Hyperlink" xfId="3093" builtinId="9" hidden="1"/>
    <cellStyle name="Followed Hyperlink" xfId="3094" builtinId="9" hidden="1"/>
    <cellStyle name="Followed Hyperlink" xfId="3095" builtinId="9" hidden="1"/>
    <cellStyle name="Followed Hyperlink" xfId="3096" builtinId="9" hidden="1"/>
    <cellStyle name="Followed Hyperlink" xfId="3097" builtinId="9" hidden="1"/>
    <cellStyle name="Followed Hyperlink" xfId="3098" builtinId="9" hidden="1"/>
    <cellStyle name="Followed Hyperlink" xfId="3099" builtinId="9" hidden="1"/>
    <cellStyle name="Followed Hyperlink" xfId="3100" builtinId="9" hidden="1"/>
    <cellStyle name="Followed Hyperlink" xfId="3101" builtinId="9" hidden="1"/>
    <cellStyle name="Followed Hyperlink" xfId="3102" builtinId="9" hidden="1"/>
    <cellStyle name="Followed Hyperlink" xfId="3103" builtinId="9" hidden="1"/>
    <cellStyle name="Followed Hyperlink" xfId="3104" builtinId="9" hidden="1"/>
    <cellStyle name="Followed Hyperlink" xfId="3105" builtinId="9" hidden="1"/>
    <cellStyle name="Followed Hyperlink" xfId="3106" builtinId="9" hidden="1"/>
    <cellStyle name="Followed Hyperlink" xfId="3107" builtinId="9" hidden="1"/>
    <cellStyle name="Followed Hyperlink" xfId="3108" builtinId="9" hidden="1"/>
    <cellStyle name="Followed Hyperlink" xfId="3109" builtinId="9" hidden="1"/>
    <cellStyle name="Followed Hyperlink" xfId="3110" builtinId="9" hidden="1"/>
    <cellStyle name="Followed Hyperlink" xfId="3111" builtinId="9" hidden="1"/>
    <cellStyle name="Followed Hyperlink" xfId="3118" builtinId="9" hidden="1"/>
    <cellStyle name="Followed Hyperlink" xfId="3119" builtinId="9" hidden="1"/>
    <cellStyle name="Followed Hyperlink" xfId="3120" builtinId="9" hidden="1"/>
    <cellStyle name="Followed Hyperlink" xfId="3121" builtinId="9" hidden="1"/>
    <cellStyle name="Followed Hyperlink" xfId="3122" builtinId="9" hidden="1"/>
    <cellStyle name="Followed Hyperlink" xfId="3123" builtinId="9" hidden="1"/>
    <cellStyle name="Followed Hyperlink" xfId="3124" builtinId="9" hidden="1"/>
    <cellStyle name="Followed Hyperlink" xfId="3125" builtinId="9" hidden="1"/>
    <cellStyle name="Followed Hyperlink" xfId="3126" builtinId="9" hidden="1"/>
    <cellStyle name="Followed Hyperlink" xfId="3127" builtinId="9" hidden="1"/>
    <cellStyle name="Followed Hyperlink" xfId="3128" builtinId="9" hidden="1"/>
    <cellStyle name="Followed Hyperlink" xfId="3129" builtinId="9" hidden="1"/>
    <cellStyle name="Followed Hyperlink" xfId="3130" builtinId="9" hidden="1"/>
    <cellStyle name="Followed Hyperlink" xfId="3131" builtinId="9" hidden="1"/>
    <cellStyle name="Followed Hyperlink" xfId="3132" builtinId="9" hidden="1"/>
    <cellStyle name="Followed Hyperlink" xfId="3133" builtinId="9" hidden="1"/>
    <cellStyle name="Followed Hyperlink" xfId="3134" builtinId="9" hidden="1"/>
    <cellStyle name="Followed Hyperlink" xfId="3135" builtinId="9" hidden="1"/>
    <cellStyle name="Followed Hyperlink" xfId="3136" builtinId="9" hidden="1"/>
    <cellStyle name="Followed Hyperlink" xfId="3137" builtinId="9" hidden="1"/>
    <cellStyle name="Followed Hyperlink" xfId="3138" builtinId="9" hidden="1"/>
    <cellStyle name="Followed Hyperlink" xfId="3139" builtinId="9" hidden="1"/>
    <cellStyle name="Followed Hyperlink" xfId="3140" builtinId="9" hidden="1"/>
    <cellStyle name="Followed Hyperlink" xfId="3141" builtinId="9" hidden="1"/>
    <cellStyle name="Followed Hyperlink" xfId="3142" builtinId="9" hidden="1"/>
    <cellStyle name="Followed Hyperlink" xfId="3143" builtinId="9" hidden="1"/>
    <cellStyle name="Followed Hyperlink" xfId="3144" builtinId="9" hidden="1"/>
    <cellStyle name="Followed Hyperlink" xfId="3145" builtinId="9" hidden="1"/>
    <cellStyle name="Followed Hyperlink" xfId="3146" builtinId="9" hidden="1"/>
    <cellStyle name="Followed Hyperlink" xfId="3147" builtinId="9" hidden="1"/>
    <cellStyle name="Followed Hyperlink" xfId="3148" builtinId="9" hidden="1"/>
    <cellStyle name="Followed Hyperlink" xfId="3149" builtinId="9" hidden="1"/>
    <cellStyle name="Followed Hyperlink" xfId="3150" builtinId="9" hidden="1"/>
    <cellStyle name="Followed Hyperlink" xfId="3151" builtinId="9" hidden="1"/>
    <cellStyle name="Followed Hyperlink" xfId="3152" builtinId="9" hidden="1"/>
    <cellStyle name="Followed Hyperlink" xfId="3153" builtinId="9" hidden="1"/>
    <cellStyle name="Followed Hyperlink" xfId="3154" builtinId="9" hidden="1"/>
    <cellStyle name="Followed Hyperlink" xfId="3155" builtinId="9" hidden="1"/>
    <cellStyle name="Followed Hyperlink" xfId="3156" builtinId="9" hidden="1"/>
    <cellStyle name="Followed Hyperlink" xfId="3157" builtinId="9" hidden="1"/>
    <cellStyle name="Followed Hyperlink" xfId="3158" builtinId="9" hidden="1"/>
    <cellStyle name="Followed Hyperlink" xfId="3159" builtinId="9" hidden="1"/>
    <cellStyle name="Followed Hyperlink" xfId="3160" builtinId="9" hidden="1"/>
    <cellStyle name="Followed Hyperlink" xfId="3161" builtinId="9" hidden="1"/>
    <cellStyle name="Followed Hyperlink" xfId="3162" builtinId="9" hidden="1"/>
    <cellStyle name="Followed Hyperlink" xfId="3163" builtinId="9" hidden="1"/>
    <cellStyle name="Followed Hyperlink" xfId="3164" builtinId="9" hidden="1"/>
    <cellStyle name="Followed Hyperlink" xfId="3165" builtinId="9" hidden="1"/>
    <cellStyle name="Followed Hyperlink" xfId="3166" builtinId="9" hidden="1"/>
    <cellStyle name="Followed Hyperlink" xfId="3167" builtinId="9" hidden="1"/>
    <cellStyle name="Followed Hyperlink" xfId="3168" builtinId="9" hidden="1"/>
    <cellStyle name="Followed Hyperlink" xfId="3169" builtinId="9" hidden="1"/>
    <cellStyle name="Followed Hyperlink" xfId="3170" builtinId="9" hidden="1"/>
    <cellStyle name="Followed Hyperlink" xfId="3171" builtinId="9" hidden="1"/>
    <cellStyle name="Followed Hyperlink" xfId="3172" builtinId="9" hidden="1"/>
    <cellStyle name="Followed Hyperlink" xfId="3173" builtinId="9" hidden="1"/>
    <cellStyle name="Followed Hyperlink" xfId="3174" builtinId="9" hidden="1"/>
    <cellStyle name="Followed Hyperlink" xfId="3175" builtinId="9" hidden="1"/>
    <cellStyle name="Followed Hyperlink" xfId="3176" builtinId="9" hidden="1"/>
    <cellStyle name="Followed Hyperlink" xfId="3177" builtinId="9" hidden="1"/>
    <cellStyle name="Followed Hyperlink" xfId="3178" builtinId="9" hidden="1"/>
    <cellStyle name="Followed Hyperlink" xfId="3179" builtinId="9" hidden="1"/>
    <cellStyle name="Followed Hyperlink" xfId="3180" builtinId="9" hidden="1"/>
    <cellStyle name="Followed Hyperlink" xfId="3181" builtinId="9" hidden="1"/>
    <cellStyle name="Followed Hyperlink" xfId="3182" builtinId="9" hidden="1"/>
    <cellStyle name="Followed Hyperlink" xfId="3183" builtinId="9" hidden="1"/>
    <cellStyle name="Followed Hyperlink" xfId="3184" builtinId="9" hidden="1"/>
    <cellStyle name="Followed Hyperlink" xfId="3185" builtinId="9" hidden="1"/>
    <cellStyle name="Followed Hyperlink" xfId="3186" builtinId="9" hidden="1"/>
    <cellStyle name="Followed Hyperlink" xfId="3187" builtinId="9" hidden="1"/>
    <cellStyle name="Followed Hyperlink" xfId="3188" builtinId="9" hidden="1"/>
    <cellStyle name="Followed Hyperlink" xfId="3189" builtinId="9" hidden="1"/>
    <cellStyle name="Followed Hyperlink" xfId="3190" builtinId="9" hidden="1"/>
    <cellStyle name="Followed Hyperlink" xfId="3191" builtinId="9" hidden="1"/>
    <cellStyle name="Followed Hyperlink" xfId="3192" builtinId="9" hidden="1"/>
    <cellStyle name="Followed Hyperlink" xfId="3193" builtinId="9" hidden="1"/>
    <cellStyle name="Followed Hyperlink" xfId="3194" builtinId="9" hidden="1"/>
    <cellStyle name="Followed Hyperlink" xfId="3195" builtinId="9" hidden="1"/>
    <cellStyle name="Followed Hyperlink" xfId="3196" builtinId="9" hidden="1"/>
    <cellStyle name="Followed Hyperlink" xfId="3197" builtinId="9" hidden="1"/>
    <cellStyle name="Followed Hyperlink" xfId="3198" builtinId="9" hidden="1"/>
    <cellStyle name="Followed Hyperlink" xfId="3199" builtinId="9" hidden="1"/>
    <cellStyle name="Followed Hyperlink" xfId="3200" builtinId="9" hidden="1"/>
    <cellStyle name="Followed Hyperlink" xfId="3201" builtinId="9" hidden="1"/>
    <cellStyle name="Followed Hyperlink" xfId="3202" builtinId="9" hidden="1"/>
    <cellStyle name="Followed Hyperlink" xfId="3203" builtinId="9" hidden="1"/>
    <cellStyle name="Followed Hyperlink" xfId="3204" builtinId="9" hidden="1"/>
    <cellStyle name="Followed Hyperlink" xfId="3205" builtinId="9" hidden="1"/>
    <cellStyle name="Followed Hyperlink" xfId="3206" builtinId="9" hidden="1"/>
    <cellStyle name="Followed Hyperlink" xfId="3207" builtinId="9" hidden="1"/>
    <cellStyle name="Followed Hyperlink" xfId="3208" builtinId="9" hidden="1"/>
    <cellStyle name="Followed Hyperlink" xfId="3209" builtinId="9" hidden="1"/>
    <cellStyle name="Followed Hyperlink" xfId="3210" builtinId="9" hidden="1"/>
    <cellStyle name="Followed Hyperlink" xfId="3211" builtinId="9" hidden="1"/>
    <cellStyle name="Followed Hyperlink" xfId="3212" builtinId="9" hidden="1"/>
    <cellStyle name="Followed Hyperlink" xfId="3213" builtinId="9" hidden="1"/>
    <cellStyle name="Followed Hyperlink" xfId="3214" builtinId="9" hidden="1"/>
    <cellStyle name="Followed Hyperlink" xfId="3215" builtinId="9" hidden="1"/>
    <cellStyle name="Followed Hyperlink" xfId="3216" builtinId="9" hidden="1"/>
    <cellStyle name="Followed Hyperlink" xfId="3217" builtinId="9" hidden="1"/>
    <cellStyle name="Followed Hyperlink" xfId="3218" builtinId="9" hidden="1"/>
    <cellStyle name="Followed Hyperlink" xfId="3219" builtinId="9" hidden="1"/>
    <cellStyle name="Followed Hyperlink" xfId="3220" builtinId="9" hidden="1"/>
    <cellStyle name="Followed Hyperlink" xfId="3221" builtinId="9" hidden="1"/>
    <cellStyle name="Followed Hyperlink" xfId="3222" builtinId="9" hidden="1"/>
    <cellStyle name="Followed Hyperlink" xfId="3223" builtinId="9" hidden="1"/>
    <cellStyle name="Followed Hyperlink" xfId="3224" builtinId="9" hidden="1"/>
    <cellStyle name="Followed Hyperlink" xfId="3225" builtinId="9" hidden="1"/>
    <cellStyle name="Followed Hyperlink" xfId="3226" builtinId="9" hidden="1"/>
    <cellStyle name="Followed Hyperlink" xfId="3227" builtinId="9" hidden="1"/>
    <cellStyle name="Followed Hyperlink" xfId="3228" builtinId="9" hidden="1"/>
    <cellStyle name="Followed Hyperlink" xfId="3229" builtinId="9" hidden="1"/>
    <cellStyle name="Followed Hyperlink" xfId="3230" builtinId="9" hidden="1"/>
    <cellStyle name="Followed Hyperlink" xfId="3231" builtinId="9" hidden="1"/>
    <cellStyle name="Followed Hyperlink" xfId="3232" builtinId="9" hidden="1"/>
    <cellStyle name="Followed Hyperlink" xfId="3233" builtinId="9" hidden="1"/>
    <cellStyle name="Followed Hyperlink" xfId="3234" builtinId="9" hidden="1"/>
    <cellStyle name="Followed Hyperlink" xfId="3235" builtinId="9" hidden="1"/>
    <cellStyle name="Followed Hyperlink" xfId="3236" builtinId="9" hidden="1"/>
    <cellStyle name="Followed Hyperlink" xfId="3237" builtinId="9" hidden="1"/>
    <cellStyle name="Followed Hyperlink" xfId="3238" builtinId="9" hidden="1"/>
    <cellStyle name="Followed Hyperlink" xfId="3239" builtinId="9" hidden="1"/>
    <cellStyle name="Followed Hyperlink" xfId="3240" builtinId="9" hidden="1"/>
    <cellStyle name="Followed Hyperlink" xfId="3241" builtinId="9" hidden="1"/>
    <cellStyle name="Followed Hyperlink" xfId="3242" builtinId="9" hidden="1"/>
    <cellStyle name="Followed Hyperlink" xfId="3243" builtinId="9" hidden="1"/>
    <cellStyle name="Followed Hyperlink" xfId="3244" builtinId="9" hidden="1"/>
    <cellStyle name="Followed Hyperlink" xfId="3245" builtinId="9" hidden="1"/>
    <cellStyle name="Followed Hyperlink" xfId="3246" builtinId="9" hidden="1"/>
    <cellStyle name="Followed Hyperlink" xfId="3247" builtinId="9" hidden="1"/>
    <cellStyle name="Followed Hyperlink" xfId="3248" builtinId="9" hidden="1"/>
    <cellStyle name="Followed Hyperlink" xfId="3249" builtinId="9" hidden="1"/>
    <cellStyle name="Followed Hyperlink" xfId="3250" builtinId="9" hidden="1"/>
    <cellStyle name="Followed Hyperlink" xfId="3251" builtinId="9" hidden="1"/>
    <cellStyle name="Followed Hyperlink" xfId="3252" builtinId="9" hidden="1"/>
    <cellStyle name="Followed Hyperlink" xfId="3253" builtinId="9" hidden="1"/>
    <cellStyle name="Followed Hyperlink" xfId="3254" builtinId="9" hidden="1"/>
    <cellStyle name="Followed Hyperlink" xfId="3255" builtinId="9" hidden="1"/>
    <cellStyle name="Followed Hyperlink" xfId="3256" builtinId="9" hidden="1"/>
    <cellStyle name="Followed Hyperlink" xfId="3257" builtinId="9" hidden="1"/>
    <cellStyle name="Followed Hyperlink" xfId="3258" builtinId="9" hidden="1"/>
    <cellStyle name="Followed Hyperlink" xfId="3259" builtinId="9" hidden="1"/>
    <cellStyle name="Followed Hyperlink" xfId="3260" builtinId="9" hidden="1"/>
    <cellStyle name="Followed Hyperlink" xfId="3261" builtinId="9" hidden="1"/>
    <cellStyle name="Followed Hyperlink" xfId="3262" builtinId="9" hidden="1"/>
    <cellStyle name="Followed Hyperlink" xfId="3263" builtinId="9" hidden="1"/>
    <cellStyle name="Followed Hyperlink" xfId="3264" builtinId="9" hidden="1"/>
    <cellStyle name="Followed Hyperlink" xfId="3265" builtinId="9" hidden="1"/>
    <cellStyle name="Followed Hyperlink" xfId="2951" builtinId="9" hidden="1"/>
    <cellStyle name="Followed Hyperlink" xfId="3436" builtinId="9" hidden="1"/>
    <cellStyle name="Followed Hyperlink" xfId="2949" builtinId="9" hidden="1"/>
    <cellStyle name="Followed Hyperlink" xfId="3641" builtinId="9" hidden="1"/>
    <cellStyle name="Followed Hyperlink" xfId="2902" builtinId="9" hidden="1"/>
    <cellStyle name="Followed Hyperlink" xfId="3659" builtinId="9" hidden="1"/>
    <cellStyle name="Followed Hyperlink" xfId="2946" builtinId="9" hidden="1"/>
    <cellStyle name="Followed Hyperlink" xfId="3499" builtinId="9" hidden="1"/>
    <cellStyle name="Followed Hyperlink" xfId="3498" builtinId="9" hidden="1"/>
    <cellStyle name="Followed Hyperlink" xfId="3392" builtinId="9" hidden="1"/>
    <cellStyle name="Followed Hyperlink" xfId="3657" builtinId="9" hidden="1"/>
    <cellStyle name="Followed Hyperlink" xfId="3311" builtinId="9" hidden="1"/>
    <cellStyle name="Followed Hyperlink" xfId="3310" builtinId="9" hidden="1"/>
    <cellStyle name="Followed Hyperlink" xfId="3309" builtinId="9" hidden="1"/>
    <cellStyle name="Followed Hyperlink" xfId="2956" builtinId="9" hidden="1"/>
    <cellStyle name="Followed Hyperlink" xfId="2942" builtinId="9" hidden="1"/>
    <cellStyle name="Followed Hyperlink" xfId="3656" builtinId="9" hidden="1"/>
    <cellStyle name="Followed Hyperlink" xfId="2940" builtinId="9" hidden="1"/>
    <cellStyle name="Followed Hyperlink" xfId="3304" builtinId="9" hidden="1"/>
    <cellStyle name="Followed Hyperlink" xfId="2939" builtinId="9" hidden="1"/>
    <cellStyle name="Followed Hyperlink" xfId="3299" builtinId="9" hidden="1"/>
    <cellStyle name="Followed Hyperlink" xfId="2827" builtinId="9" hidden="1"/>
    <cellStyle name="Followed Hyperlink" xfId="3294" builtinId="9" hidden="1"/>
    <cellStyle name="Followed Hyperlink" xfId="3295" builtinId="9" hidden="1"/>
    <cellStyle name="Followed Hyperlink" xfId="2453" builtinId="9" hidden="1"/>
    <cellStyle name="Followed Hyperlink" xfId="2931" builtinId="9" hidden="1"/>
    <cellStyle name="Followed Hyperlink" xfId="2933" builtinId="9" hidden="1"/>
    <cellStyle name="Followed Hyperlink" xfId="2932" builtinId="9" hidden="1"/>
    <cellStyle name="Followed Hyperlink" xfId="2964" builtinId="9" hidden="1"/>
    <cellStyle name="Followed Hyperlink" xfId="2455" builtinId="9" hidden="1"/>
    <cellStyle name="Followed Hyperlink" xfId="3458" builtinId="9" hidden="1"/>
    <cellStyle name="Followed Hyperlink" xfId="3390" builtinId="9" hidden="1"/>
    <cellStyle name="Followed Hyperlink" xfId="3497" builtinId="9" hidden="1"/>
    <cellStyle name="Followed Hyperlink" xfId="2930" builtinId="9" hidden="1"/>
    <cellStyle name="Followed Hyperlink" xfId="3496" builtinId="9" hidden="1"/>
    <cellStyle name="Followed Hyperlink" xfId="3435" builtinId="9" hidden="1"/>
    <cellStyle name="Followed Hyperlink" xfId="2929" builtinId="9" hidden="1"/>
    <cellStyle name="Followed Hyperlink" xfId="3451" builtinId="9" hidden="1"/>
    <cellStyle name="Followed Hyperlink" xfId="3386" builtinId="9" hidden="1"/>
    <cellStyle name="Followed Hyperlink" xfId="2955" builtinId="9" hidden="1"/>
    <cellStyle name="Followed Hyperlink" xfId="2001" builtinId="9" hidden="1"/>
    <cellStyle name="Followed Hyperlink" xfId="3990" builtinId="9" hidden="1"/>
    <cellStyle name="Followed Hyperlink" xfId="3988" builtinId="9" hidden="1"/>
    <cellStyle name="Followed Hyperlink" xfId="3986" builtinId="9" hidden="1"/>
    <cellStyle name="Followed Hyperlink" xfId="3984" builtinId="9" hidden="1"/>
    <cellStyle name="Followed Hyperlink" xfId="3982" builtinId="9" hidden="1"/>
    <cellStyle name="Followed Hyperlink" xfId="3980" builtinId="9" hidden="1"/>
    <cellStyle name="Followed Hyperlink" xfId="3978" builtinId="9" hidden="1"/>
    <cellStyle name="Followed Hyperlink" xfId="3976" builtinId="9" hidden="1"/>
    <cellStyle name="Followed Hyperlink" xfId="3974" builtinId="9" hidden="1"/>
    <cellStyle name="Followed Hyperlink" xfId="3972" builtinId="9" hidden="1"/>
    <cellStyle name="Followed Hyperlink" xfId="3970" builtinId="9" hidden="1"/>
    <cellStyle name="Followed Hyperlink" xfId="3968" builtinId="9" hidden="1"/>
    <cellStyle name="Followed Hyperlink" xfId="3966" builtinId="9" hidden="1"/>
    <cellStyle name="Followed Hyperlink" xfId="3964" builtinId="9" hidden="1"/>
    <cellStyle name="Followed Hyperlink" xfId="3962" builtinId="9" hidden="1"/>
    <cellStyle name="Followed Hyperlink" xfId="3960" builtinId="9" hidden="1"/>
    <cellStyle name="Followed Hyperlink" xfId="3958" builtinId="9" hidden="1"/>
    <cellStyle name="Followed Hyperlink" xfId="3956" builtinId="9" hidden="1"/>
    <cellStyle name="Followed Hyperlink" xfId="3954" builtinId="9" hidden="1"/>
    <cellStyle name="Followed Hyperlink" xfId="3952" builtinId="9" hidden="1"/>
    <cellStyle name="Followed Hyperlink" xfId="3950" builtinId="9" hidden="1"/>
    <cellStyle name="Followed Hyperlink" xfId="3948" builtinId="9" hidden="1"/>
    <cellStyle name="Followed Hyperlink" xfId="3946" builtinId="9" hidden="1"/>
    <cellStyle name="Followed Hyperlink" xfId="3944" builtinId="9" hidden="1"/>
    <cellStyle name="Followed Hyperlink" xfId="3942" builtinId="9" hidden="1"/>
    <cellStyle name="Followed Hyperlink" xfId="3940" builtinId="9" hidden="1"/>
    <cellStyle name="Followed Hyperlink" xfId="3938" builtinId="9" hidden="1"/>
    <cellStyle name="Followed Hyperlink" xfId="3936" builtinId="9" hidden="1"/>
    <cellStyle name="Followed Hyperlink" xfId="3934" builtinId="9" hidden="1"/>
    <cellStyle name="Followed Hyperlink" xfId="3932" builtinId="9" hidden="1"/>
    <cellStyle name="Followed Hyperlink" xfId="3930" builtinId="9" hidden="1"/>
    <cellStyle name="Followed Hyperlink" xfId="3928" builtinId="9" hidden="1"/>
    <cellStyle name="Followed Hyperlink" xfId="3926" builtinId="9" hidden="1"/>
    <cellStyle name="Followed Hyperlink" xfId="3924" builtinId="9" hidden="1"/>
    <cellStyle name="Followed Hyperlink" xfId="3922" builtinId="9" hidden="1"/>
    <cellStyle name="Followed Hyperlink" xfId="3920" builtinId="9" hidden="1"/>
    <cellStyle name="Followed Hyperlink" xfId="3918" builtinId="9" hidden="1"/>
    <cellStyle name="Followed Hyperlink" xfId="3916" builtinId="9" hidden="1"/>
    <cellStyle name="Followed Hyperlink" xfId="3914" builtinId="9" hidden="1"/>
    <cellStyle name="Followed Hyperlink" xfId="3912" builtinId="9" hidden="1"/>
    <cellStyle name="Followed Hyperlink" xfId="3910" builtinId="9" hidden="1"/>
    <cellStyle name="Followed Hyperlink" xfId="3908" builtinId="9" hidden="1"/>
    <cellStyle name="Followed Hyperlink" xfId="3906" builtinId="9" hidden="1"/>
    <cellStyle name="Followed Hyperlink" xfId="3904" builtinId="9" hidden="1"/>
    <cellStyle name="Followed Hyperlink" xfId="3902" builtinId="9" hidden="1"/>
    <cellStyle name="Followed Hyperlink" xfId="3900" builtinId="9" hidden="1"/>
    <cellStyle name="Followed Hyperlink" xfId="3898" builtinId="9" hidden="1"/>
    <cellStyle name="Followed Hyperlink" xfId="3896" builtinId="9" hidden="1"/>
    <cellStyle name="Followed Hyperlink" xfId="3894" builtinId="9" hidden="1"/>
    <cellStyle name="Followed Hyperlink" xfId="3892" builtinId="9" hidden="1"/>
    <cellStyle name="Followed Hyperlink" xfId="3890" builtinId="9" hidden="1"/>
    <cellStyle name="Followed Hyperlink" xfId="3888" builtinId="9" hidden="1"/>
    <cellStyle name="Followed Hyperlink" xfId="3886" builtinId="9" hidden="1"/>
    <cellStyle name="Followed Hyperlink" xfId="3884" builtinId="9" hidden="1"/>
    <cellStyle name="Followed Hyperlink" xfId="3882" builtinId="9" hidden="1"/>
    <cellStyle name="Followed Hyperlink" xfId="3880" builtinId="9" hidden="1"/>
    <cellStyle name="Followed Hyperlink" xfId="3878" builtinId="9" hidden="1"/>
    <cellStyle name="Followed Hyperlink" xfId="3876" builtinId="9" hidden="1"/>
    <cellStyle name="Followed Hyperlink" xfId="3874" builtinId="9" hidden="1"/>
    <cellStyle name="Followed Hyperlink" xfId="3872" builtinId="9" hidden="1"/>
    <cellStyle name="Followed Hyperlink" xfId="3870" builtinId="9" hidden="1"/>
    <cellStyle name="Followed Hyperlink" xfId="3868" builtinId="9" hidden="1"/>
    <cellStyle name="Followed Hyperlink" xfId="3866" builtinId="9" hidden="1"/>
    <cellStyle name="Followed Hyperlink" xfId="3864" builtinId="9" hidden="1"/>
    <cellStyle name="Followed Hyperlink" xfId="3862" builtinId="9" hidden="1"/>
    <cellStyle name="Followed Hyperlink" xfId="3860" builtinId="9" hidden="1"/>
    <cellStyle name="Followed Hyperlink" xfId="3858" builtinId="9" hidden="1"/>
    <cellStyle name="Followed Hyperlink" xfId="3856" builtinId="9" hidden="1"/>
    <cellStyle name="Followed Hyperlink" xfId="3854" builtinId="9" hidden="1"/>
    <cellStyle name="Followed Hyperlink" xfId="3847" builtinId="9" hidden="1"/>
    <cellStyle name="Followed Hyperlink" xfId="3845" builtinId="9" hidden="1"/>
    <cellStyle name="Followed Hyperlink" xfId="3843" builtinId="9" hidden="1"/>
    <cellStyle name="Followed Hyperlink" xfId="3841" builtinId="9" hidden="1"/>
    <cellStyle name="Followed Hyperlink" xfId="3839" builtinId="9" hidden="1"/>
    <cellStyle name="Followed Hyperlink" xfId="3837" builtinId="9" hidden="1"/>
    <cellStyle name="Followed Hyperlink" xfId="3835" builtinId="9" hidden="1"/>
    <cellStyle name="Followed Hyperlink" xfId="3833" builtinId="9" hidden="1"/>
    <cellStyle name="Followed Hyperlink" xfId="3831" builtinId="9" hidden="1"/>
    <cellStyle name="Followed Hyperlink" xfId="3829" builtinId="9" hidden="1"/>
    <cellStyle name="Followed Hyperlink" xfId="3827" builtinId="9" hidden="1"/>
    <cellStyle name="Followed Hyperlink" xfId="3825" builtinId="9" hidden="1"/>
    <cellStyle name="Followed Hyperlink" xfId="3823" builtinId="9" hidden="1"/>
    <cellStyle name="Followed Hyperlink" xfId="3821" builtinId="9" hidden="1"/>
    <cellStyle name="Followed Hyperlink" xfId="3819" builtinId="9" hidden="1"/>
    <cellStyle name="Followed Hyperlink" xfId="3817" builtinId="9" hidden="1"/>
    <cellStyle name="Followed Hyperlink" xfId="3815" builtinId="9" hidden="1"/>
    <cellStyle name="Followed Hyperlink" xfId="3813" builtinId="9" hidden="1"/>
    <cellStyle name="Followed Hyperlink" xfId="3811" builtinId="9" hidden="1"/>
    <cellStyle name="Followed Hyperlink" xfId="3809" builtinId="9" hidden="1"/>
    <cellStyle name="Followed Hyperlink" xfId="3807" builtinId="9" hidden="1"/>
    <cellStyle name="Followed Hyperlink" xfId="3805" builtinId="9" hidden="1"/>
    <cellStyle name="Followed Hyperlink" xfId="3803" builtinId="9" hidden="1"/>
    <cellStyle name="Followed Hyperlink" xfId="3801" builtinId="9" hidden="1"/>
    <cellStyle name="Followed Hyperlink" xfId="3799" builtinId="9" hidden="1"/>
    <cellStyle name="Followed Hyperlink" xfId="3797" builtinId="9" hidden="1"/>
    <cellStyle name="Followed Hyperlink" xfId="3795" builtinId="9" hidden="1"/>
    <cellStyle name="Followed Hyperlink" xfId="3793" builtinId="9" hidden="1"/>
    <cellStyle name="Followed Hyperlink" xfId="2927" builtinId="9" hidden="1"/>
    <cellStyle name="Followed Hyperlink" xfId="3790" builtinId="9" hidden="1"/>
    <cellStyle name="Followed Hyperlink" xfId="3788" builtinId="9" hidden="1"/>
    <cellStyle name="Followed Hyperlink" xfId="3786" builtinId="9" hidden="1"/>
    <cellStyle name="Followed Hyperlink" xfId="3784" builtinId="9" hidden="1"/>
    <cellStyle name="Followed Hyperlink" xfId="3782" builtinId="9" hidden="1"/>
    <cellStyle name="Followed Hyperlink" xfId="3780" builtinId="9" hidden="1"/>
    <cellStyle name="Followed Hyperlink" xfId="3778" builtinId="9" hidden="1"/>
    <cellStyle name="Followed Hyperlink" xfId="3776" builtinId="9" hidden="1"/>
    <cellStyle name="Followed Hyperlink" xfId="3774" builtinId="9" hidden="1"/>
    <cellStyle name="Followed Hyperlink" xfId="3772" builtinId="9" hidden="1"/>
    <cellStyle name="Followed Hyperlink" xfId="3770" builtinId="9" hidden="1"/>
    <cellStyle name="Followed Hyperlink" xfId="3768" builtinId="9" hidden="1"/>
    <cellStyle name="Followed Hyperlink" xfId="3766" builtinId="9" hidden="1"/>
    <cellStyle name="Followed Hyperlink" xfId="3764" builtinId="9" hidden="1"/>
    <cellStyle name="Followed Hyperlink" xfId="3762" builtinId="9" hidden="1"/>
    <cellStyle name="Followed Hyperlink" xfId="3760" builtinId="9" hidden="1"/>
    <cellStyle name="Followed Hyperlink" xfId="3758" builtinId="9" hidden="1"/>
    <cellStyle name="Followed Hyperlink" xfId="3756" builtinId="9" hidden="1"/>
    <cellStyle name="Followed Hyperlink" xfId="3754" builtinId="9" hidden="1"/>
    <cellStyle name="Followed Hyperlink" xfId="3752" builtinId="9" hidden="1"/>
    <cellStyle name="Followed Hyperlink" xfId="3750" builtinId="9" hidden="1"/>
    <cellStyle name="Followed Hyperlink" xfId="3748" builtinId="9" hidden="1"/>
    <cellStyle name="Followed Hyperlink" xfId="3746" builtinId="9" hidden="1"/>
    <cellStyle name="Followed Hyperlink" xfId="3744" builtinId="9" hidden="1"/>
    <cellStyle name="Followed Hyperlink" xfId="3742" builtinId="9" hidden="1"/>
    <cellStyle name="Followed Hyperlink" xfId="3740" builtinId="9" hidden="1"/>
    <cellStyle name="Followed Hyperlink" xfId="3738" builtinId="9" hidden="1"/>
    <cellStyle name="Followed Hyperlink" xfId="3736" builtinId="9" hidden="1"/>
    <cellStyle name="Followed Hyperlink" xfId="3734" builtinId="9" hidden="1"/>
    <cellStyle name="Followed Hyperlink" xfId="3732" builtinId="9" hidden="1"/>
    <cellStyle name="Followed Hyperlink" xfId="3730" builtinId="9" hidden="1"/>
    <cellStyle name="Followed Hyperlink" xfId="3728" builtinId="9" hidden="1"/>
    <cellStyle name="Followed Hyperlink" xfId="3726" builtinId="9" hidden="1"/>
    <cellStyle name="Followed Hyperlink" xfId="3724" builtinId="9" hidden="1"/>
    <cellStyle name="Followed Hyperlink" xfId="3722" builtinId="9" hidden="1"/>
    <cellStyle name="Followed Hyperlink" xfId="3720" builtinId="9" hidden="1"/>
    <cellStyle name="Followed Hyperlink" xfId="3718" builtinId="9" hidden="1"/>
    <cellStyle name="Followed Hyperlink" xfId="3716" builtinId="9" hidden="1"/>
    <cellStyle name="Followed Hyperlink" xfId="3714" builtinId="9" hidden="1"/>
    <cellStyle name="Followed Hyperlink" xfId="3712" builtinId="9" hidden="1"/>
    <cellStyle name="Followed Hyperlink" xfId="3710" builtinId="9" hidden="1"/>
    <cellStyle name="Followed Hyperlink" xfId="3708" builtinId="9" hidden="1"/>
    <cellStyle name="Followed Hyperlink" xfId="3706" builtinId="9" hidden="1"/>
    <cellStyle name="Followed Hyperlink" xfId="3704" builtinId="9" hidden="1"/>
    <cellStyle name="Followed Hyperlink" xfId="3702" builtinId="9" hidden="1"/>
    <cellStyle name="Followed Hyperlink" xfId="3700" builtinId="9" hidden="1"/>
    <cellStyle name="Followed Hyperlink" xfId="3698" builtinId="9" hidden="1"/>
    <cellStyle name="Followed Hyperlink" xfId="3696" builtinId="9" hidden="1"/>
    <cellStyle name="Followed Hyperlink" xfId="3694" builtinId="9" hidden="1"/>
    <cellStyle name="Followed Hyperlink" xfId="3692" builtinId="9" hidden="1"/>
    <cellStyle name="Followed Hyperlink" xfId="3690" builtinId="9" hidden="1"/>
    <cellStyle name="Followed Hyperlink" xfId="3410" builtinId="9" hidden="1"/>
    <cellStyle name="Followed Hyperlink" xfId="3687" builtinId="9" hidden="1"/>
    <cellStyle name="Followed Hyperlink" xfId="3685" builtinId="9" hidden="1"/>
    <cellStyle name="Followed Hyperlink" xfId="3683" builtinId="9" hidden="1"/>
    <cellStyle name="Followed Hyperlink" xfId="3681" builtinId="9" hidden="1"/>
    <cellStyle name="Followed Hyperlink" xfId="3679" builtinId="9" hidden="1"/>
    <cellStyle name="Followed Hyperlink" xfId="3677" builtinId="9" hidden="1"/>
    <cellStyle name="Followed Hyperlink" xfId="3675" builtinId="9" hidden="1"/>
    <cellStyle name="Followed Hyperlink" xfId="3673" builtinId="9" hidden="1"/>
    <cellStyle name="Followed Hyperlink" xfId="3671" builtinId="9" hidden="1"/>
    <cellStyle name="Followed Hyperlink" xfId="3669" builtinId="9" hidden="1"/>
    <cellStyle name="Followed Hyperlink" xfId="3667" builtinId="9" hidden="1"/>
    <cellStyle name="Followed Hyperlink" xfId="3665" builtinId="9" hidden="1"/>
    <cellStyle name="Followed Hyperlink" xfId="3663" builtinId="9" hidden="1"/>
    <cellStyle name="Followed Hyperlink" xfId="3661" builtinId="9" hidden="1"/>
    <cellStyle name="Followed Hyperlink" xfId="2224" builtinId="9" hidden="1"/>
    <cellStyle name="Followed Hyperlink" xfId="2220" builtinId="9" hidden="1"/>
    <cellStyle name="Followed Hyperlink" xfId="2216" builtinId="9" hidden="1"/>
    <cellStyle name="Followed Hyperlink" xfId="2212" builtinId="9" hidden="1"/>
    <cellStyle name="Followed Hyperlink" xfId="2208" builtinId="9" hidden="1"/>
    <cellStyle name="Followed Hyperlink" xfId="2204" builtinId="9" hidden="1"/>
    <cellStyle name="Followed Hyperlink" xfId="2200" builtinId="9" hidden="1"/>
    <cellStyle name="Followed Hyperlink" xfId="2196" builtinId="9" hidden="1"/>
    <cellStyle name="Followed Hyperlink" xfId="2192" builtinId="9" hidden="1"/>
    <cellStyle name="Followed Hyperlink" xfId="2188" builtinId="9" hidden="1"/>
    <cellStyle name="Followed Hyperlink" xfId="2184" builtinId="9" hidden="1"/>
    <cellStyle name="Followed Hyperlink" xfId="2180" builtinId="9" hidden="1"/>
    <cellStyle name="Followed Hyperlink" xfId="2176" builtinId="9" hidden="1"/>
    <cellStyle name="Followed Hyperlink" xfId="2172" builtinId="9" hidden="1"/>
    <cellStyle name="Followed Hyperlink" xfId="2168" builtinId="9" hidden="1"/>
    <cellStyle name="Followed Hyperlink" xfId="2152" builtinId="9" hidden="1"/>
    <cellStyle name="Followed Hyperlink" xfId="2148" builtinId="9" hidden="1"/>
    <cellStyle name="Followed Hyperlink" xfId="2144" builtinId="9" hidden="1"/>
    <cellStyle name="Followed Hyperlink" xfId="2140" builtinId="9" hidden="1"/>
    <cellStyle name="Followed Hyperlink" xfId="2136" builtinId="9" hidden="1"/>
    <cellStyle name="Followed Hyperlink" xfId="2132" builtinId="9" hidden="1"/>
    <cellStyle name="Followed Hyperlink" xfId="2128" builtinId="9" hidden="1"/>
    <cellStyle name="Followed Hyperlink" xfId="2124" builtinId="9" hidden="1"/>
    <cellStyle name="Followed Hyperlink" xfId="2120" builtinId="9" hidden="1"/>
    <cellStyle name="Followed Hyperlink" xfId="2116" builtinId="9" hidden="1"/>
    <cellStyle name="Followed Hyperlink" xfId="2112" builtinId="9" hidden="1"/>
    <cellStyle name="Followed Hyperlink" xfId="2108" builtinId="9" hidden="1"/>
    <cellStyle name="Followed Hyperlink" xfId="2104" builtinId="9" hidden="1"/>
    <cellStyle name="Followed Hyperlink" xfId="2100" builtinId="9" hidden="1"/>
    <cellStyle name="Followed Hyperlink" xfId="2096" builtinId="9" hidden="1"/>
    <cellStyle name="Followed Hyperlink" xfId="2092" builtinId="9" hidden="1"/>
    <cellStyle name="Followed Hyperlink" xfId="2088" builtinId="9" hidden="1"/>
    <cellStyle name="Followed Hyperlink" xfId="2084" builtinId="9" hidden="1"/>
    <cellStyle name="Followed Hyperlink" xfId="2080" builtinId="9" hidden="1"/>
    <cellStyle name="Followed Hyperlink" xfId="2076" builtinId="9" hidden="1"/>
    <cellStyle name="Followed Hyperlink" xfId="2072" builtinId="9" hidden="1"/>
    <cellStyle name="Followed Hyperlink" xfId="2068" builtinId="9" hidden="1"/>
    <cellStyle name="Followed Hyperlink" xfId="2064" builtinId="9" hidden="1"/>
    <cellStyle name="Followed Hyperlink" xfId="2060" builtinId="9" hidden="1"/>
    <cellStyle name="Followed Hyperlink" xfId="2056" builtinId="9" hidden="1"/>
    <cellStyle name="Followed Hyperlink" xfId="2052" builtinId="9" hidden="1"/>
    <cellStyle name="Followed Hyperlink" xfId="2048" builtinId="9" hidden="1"/>
    <cellStyle name="Followed Hyperlink" xfId="2044" builtinId="9" hidden="1"/>
    <cellStyle name="Followed Hyperlink" xfId="2040" builtinId="9" hidden="1"/>
    <cellStyle name="Followed Hyperlink" xfId="2036" builtinId="9" hidden="1"/>
    <cellStyle name="Followed Hyperlink" xfId="2032" builtinId="9" hidden="1"/>
    <cellStyle name="Followed Hyperlink" xfId="2028" builtinId="9" hidden="1"/>
    <cellStyle name="Followed Hyperlink" xfId="2024" builtinId="9" hidden="1"/>
    <cellStyle name="Followed Hyperlink" xfId="2020" builtinId="9" hidden="1"/>
    <cellStyle name="Followed Hyperlink" xfId="2016" builtinId="9" hidden="1"/>
    <cellStyle name="Followed Hyperlink" xfId="2012" builtinId="9" hidden="1"/>
    <cellStyle name="Followed Hyperlink" xfId="2008" builtinId="9" hidden="1"/>
    <cellStyle name="Followed Hyperlink" xfId="2926" builtinId="9" hidden="1"/>
    <cellStyle name="Followed Hyperlink" xfId="3494" builtinId="9" hidden="1"/>
    <cellStyle name="Followed Hyperlink" xfId="2924" builtinId="9" hidden="1"/>
    <cellStyle name="Followed Hyperlink" xfId="3493" builtinId="9" hidden="1"/>
    <cellStyle name="Followed Hyperlink" xfId="2923" builtinId="9" hidden="1"/>
    <cellStyle name="Followed Hyperlink" xfId="3492" builtinId="9" hidden="1"/>
    <cellStyle name="Followed Hyperlink" xfId="3408" builtinId="9" hidden="1"/>
    <cellStyle name="Followed Hyperlink" xfId="2795" builtinId="9" hidden="1"/>
    <cellStyle name="Followed Hyperlink" xfId="3527" builtinId="9" hidden="1"/>
    <cellStyle name="Followed Hyperlink" xfId="3450" builtinId="9" hidden="1"/>
    <cellStyle name="Followed Hyperlink" xfId="2794" builtinId="9" hidden="1"/>
    <cellStyle name="Followed Hyperlink" xfId="3380" builtinId="9" hidden="1"/>
    <cellStyle name="Followed Hyperlink" xfId="3529" builtinId="9" hidden="1"/>
    <cellStyle name="Followed Hyperlink" xfId="2786" builtinId="9" hidden="1"/>
    <cellStyle name="Followed Hyperlink" xfId="3377" builtinId="9" hidden="1"/>
    <cellStyle name="Followed Hyperlink" xfId="3375" builtinId="9" hidden="1"/>
    <cellStyle name="Followed Hyperlink" xfId="3373" builtinId="9" hidden="1"/>
    <cellStyle name="Followed Hyperlink" xfId="3371" builtinId="9" hidden="1"/>
    <cellStyle name="Followed Hyperlink" xfId="2920" builtinId="9" hidden="1"/>
    <cellStyle name="Followed Hyperlink" xfId="3489" builtinId="9" hidden="1"/>
    <cellStyle name="Followed Hyperlink" xfId="2918" builtinId="9" hidden="1"/>
    <cellStyle name="Followed Hyperlink" xfId="2917" builtinId="9" hidden="1"/>
    <cellStyle name="Followed Hyperlink" xfId="2915" builtinId="9" hidden="1"/>
    <cellStyle name="Followed Hyperlink" xfId="3369" builtinId="9" hidden="1"/>
    <cellStyle name="Followed Hyperlink" xfId="2791" builtinId="9" hidden="1"/>
    <cellStyle name="Followed Hyperlink" xfId="3368" builtinId="9" hidden="1"/>
    <cellStyle name="Followed Hyperlink" xfId="2970" builtinId="9" hidden="1"/>
    <cellStyle name="Followed Hyperlink" xfId="2979" builtinId="9" hidden="1"/>
    <cellStyle name="Followed Hyperlink" xfId="2912" builtinId="9" hidden="1"/>
    <cellStyle name="Followed Hyperlink" xfId="2913" builtinId="9" hidden="1"/>
    <cellStyle name="Followed Hyperlink" xfId="3654" builtinId="9" hidden="1"/>
    <cellStyle name="Followed Hyperlink" xfId="3287" builtinId="9" hidden="1"/>
    <cellStyle name="Followed Hyperlink" xfId="2910" builtinId="9" hidden="1"/>
    <cellStyle name="Followed Hyperlink" xfId="2911" builtinId="9" hidden="1"/>
    <cellStyle name="Followed Hyperlink" xfId="3459" builtinId="9" hidden="1"/>
    <cellStyle name="Followed Hyperlink" xfId="3561" builtinId="9" hidden="1"/>
    <cellStyle name="Followed Hyperlink" xfId="3364" builtinId="9" hidden="1"/>
    <cellStyle name="Followed Hyperlink" xfId="3362" builtinId="9" hidden="1"/>
    <cellStyle name="Followed Hyperlink" xfId="3360" builtinId="9" hidden="1"/>
    <cellStyle name="Followed Hyperlink" xfId="3358" builtinId="9" hidden="1"/>
    <cellStyle name="Followed Hyperlink" xfId="3486" builtinId="9" hidden="1"/>
    <cellStyle name="Followed Hyperlink" xfId="3485" builtinId="9" hidden="1"/>
    <cellStyle name="Followed Hyperlink" xfId="2908" builtinId="9" hidden="1"/>
    <cellStyle name="Followed Hyperlink" xfId="3434" builtinId="9" hidden="1"/>
    <cellStyle name="Followed Hyperlink" xfId="2907" builtinId="9" hidden="1"/>
    <cellStyle name="Followed Hyperlink" xfId="3448" builtinId="9" hidden="1"/>
    <cellStyle name="Followed Hyperlink" xfId="3424" builtinId="9" hidden="1"/>
    <cellStyle name="Followed Hyperlink" xfId="3355" builtinId="9" hidden="1"/>
    <cellStyle name="Followed Hyperlink" xfId="2798" builtinId="9" hidden="1"/>
    <cellStyle name="Followed Hyperlink" xfId="3483" builtinId="9" hidden="1"/>
    <cellStyle name="Followed Hyperlink" xfId="2792" builtinId="9" hidden="1"/>
    <cellStyle name="Followed Hyperlink" xfId="2821" builtinId="9" hidden="1"/>
    <cellStyle name="Followed Hyperlink" xfId="2968" builtinId="9" hidden="1"/>
    <cellStyle name="Followed Hyperlink" xfId="3480" builtinId="9" hidden="1"/>
    <cellStyle name="Followed Hyperlink" xfId="3479" builtinId="9" hidden="1"/>
    <cellStyle name="Followed Hyperlink" xfId="3478" builtinId="9" hidden="1"/>
    <cellStyle name="Followed Hyperlink" xfId="3477" builtinId="9" hidden="1"/>
    <cellStyle name="Followed Hyperlink" xfId="3476" builtinId="9" hidden="1"/>
    <cellStyle name="Followed Hyperlink" xfId="3475" builtinId="9" hidden="1"/>
    <cellStyle name="Followed Hyperlink" xfId="3474" builtinId="9" hidden="1"/>
    <cellStyle name="Followed Hyperlink" xfId="3473" builtinId="9" hidden="1"/>
    <cellStyle name="Followed Hyperlink" xfId="3472" builtinId="9" hidden="1"/>
    <cellStyle name="Followed Hyperlink" xfId="2904" builtinId="9" hidden="1"/>
    <cellStyle name="Followed Hyperlink" xfId="3286" builtinId="9" hidden="1"/>
    <cellStyle name="Followed Hyperlink" xfId="3285" builtinId="9" hidden="1"/>
    <cellStyle name="Followed Hyperlink" xfId="2825" builtinId="9" hidden="1"/>
    <cellStyle name="Followed Hyperlink" xfId="3284" builtinId="9" hidden="1"/>
    <cellStyle name="Followed Hyperlink" xfId="3283" builtinId="9" hidden="1"/>
    <cellStyle name="Followed Hyperlink" xfId="2823" builtinId="9" hidden="1"/>
    <cellStyle name="Followed Hyperlink" xfId="3282" builtinId="9" hidden="1"/>
    <cellStyle name="Followed Hyperlink" xfId="3281" builtinId="9" hidden="1"/>
    <cellStyle name="Followed Hyperlink" xfId="2819" builtinId="9" hidden="1"/>
    <cellStyle name="Followed Hyperlink" xfId="3280" builtinId="9" hidden="1"/>
    <cellStyle name="Followed Hyperlink" xfId="3468" builtinId="9" hidden="1"/>
    <cellStyle name="Followed Hyperlink" xfId="2854" builtinId="9" hidden="1"/>
    <cellStyle name="Followed Hyperlink" xfId="2842" builtinId="9" hidden="1"/>
    <cellStyle name="Followed Hyperlink" xfId="3470" builtinId="9" hidden="1"/>
    <cellStyle name="Followed Hyperlink" xfId="2858" builtinId="9" hidden="1"/>
    <cellStyle name="Followed Hyperlink" xfId="2808" builtinId="9" hidden="1"/>
    <cellStyle name="Followed Hyperlink" xfId="2816" builtinId="9" hidden="1"/>
    <cellStyle name="Followed Hyperlink" xfId="2824" builtinId="9" hidden="1"/>
    <cellStyle name="Followed Hyperlink" xfId="2806" builtinId="9" hidden="1"/>
    <cellStyle name="Followed Hyperlink" xfId="2813" builtinId="9" hidden="1"/>
    <cellStyle name="Followed Hyperlink" xfId="3481" builtinId="9" hidden="1"/>
    <cellStyle name="Followed Hyperlink" xfId="2969" builtinId="9" hidden="1"/>
    <cellStyle name="Followed Hyperlink" xfId="2906" builtinId="9" hidden="1"/>
    <cellStyle name="Followed Hyperlink" xfId="3484" builtinId="9" hidden="1"/>
    <cellStyle name="Followed Hyperlink" xfId="3356" builtinId="9" hidden="1"/>
    <cellStyle name="Followed Hyperlink" xfId="3357" builtinId="9" hidden="1"/>
    <cellStyle name="Followed Hyperlink" xfId="2000" builtinId="9" hidden="1"/>
    <cellStyle name="Followed Hyperlink" xfId="3361" builtinId="9" hidden="1"/>
    <cellStyle name="Followed Hyperlink" xfId="3365" builtinId="9" hidden="1"/>
    <cellStyle name="Followed Hyperlink" xfId="2454" builtinId="9" hidden="1"/>
    <cellStyle name="Followed Hyperlink" xfId="2954" builtinId="9" hidden="1"/>
    <cellStyle name="Followed Hyperlink" xfId="2901" builtinId="9" hidden="1"/>
    <cellStyle name="Followed Hyperlink" xfId="3405" builtinId="9" hidden="1"/>
    <cellStyle name="Followed Hyperlink" xfId="2967" builtinId="9" hidden="1"/>
    <cellStyle name="Followed Hyperlink" xfId="3488" builtinId="9" hidden="1"/>
    <cellStyle name="Followed Hyperlink" xfId="2226" builtinId="9" hidden="1"/>
    <cellStyle name="Followed Hyperlink" xfId="2805" builtinId="9" hidden="1"/>
    <cellStyle name="Followed Hyperlink" xfId="3407" builtinId="9" hidden="1"/>
    <cellStyle name="Followed Hyperlink" xfId="3374" builtinId="9" hidden="1"/>
    <cellStyle name="Followed Hyperlink" xfId="3378" builtinId="9" hidden="1"/>
    <cellStyle name="Followed Hyperlink" xfId="3490" builtinId="9" hidden="1"/>
    <cellStyle name="Followed Hyperlink" xfId="3382" builtinId="9" hidden="1"/>
    <cellStyle name="Followed Hyperlink" xfId="3491" builtinId="9" hidden="1"/>
    <cellStyle name="Followed Hyperlink" xfId="3384" builtinId="9" hidden="1"/>
    <cellStyle name="Followed Hyperlink" xfId="3385" builtinId="9" hidden="1"/>
    <cellStyle name="Followed Hyperlink" xfId="3409" builtinId="9" hidden="1"/>
    <cellStyle name="Followed Hyperlink" xfId="2006" builtinId="9" hidden="1"/>
    <cellStyle name="Followed Hyperlink" xfId="2014" builtinId="9" hidden="1"/>
    <cellStyle name="Followed Hyperlink" xfId="2022" builtinId="9" hidden="1"/>
    <cellStyle name="Followed Hyperlink" xfId="2030" builtinId="9" hidden="1"/>
    <cellStyle name="Followed Hyperlink" xfId="2038" builtinId="9" hidden="1"/>
    <cellStyle name="Followed Hyperlink" xfId="2046" builtinId="9" hidden="1"/>
    <cellStyle name="Followed Hyperlink" xfId="2054" builtinId="9" hidden="1"/>
    <cellStyle name="Followed Hyperlink" xfId="2062" builtinId="9" hidden="1"/>
    <cellStyle name="Followed Hyperlink" xfId="2070" builtinId="9" hidden="1"/>
    <cellStyle name="Followed Hyperlink" xfId="2078" builtinId="9" hidden="1"/>
    <cellStyle name="Followed Hyperlink" xfId="2086" builtinId="9" hidden="1"/>
    <cellStyle name="Followed Hyperlink" xfId="2094" builtinId="9" hidden="1"/>
    <cellStyle name="Followed Hyperlink" xfId="2102" builtinId="9" hidden="1"/>
    <cellStyle name="Followed Hyperlink" xfId="2110" builtinId="9" hidden="1"/>
    <cellStyle name="Followed Hyperlink" xfId="2118" builtinId="9" hidden="1"/>
    <cellStyle name="Followed Hyperlink" xfId="2126" builtinId="9" hidden="1"/>
    <cellStyle name="Followed Hyperlink" xfId="2134" builtinId="9" hidden="1"/>
    <cellStyle name="Followed Hyperlink" xfId="2142" builtinId="9" hidden="1"/>
    <cellStyle name="Followed Hyperlink" xfId="2150" builtinId="9" hidden="1"/>
    <cellStyle name="Followed Hyperlink" xfId="2852" builtinId="9" hidden="1"/>
    <cellStyle name="Followed Hyperlink" xfId="3849" builtinId="9" hidden="1"/>
    <cellStyle name="Followed Hyperlink" xfId="3279" builtinId="9" hidden="1"/>
    <cellStyle name="Followed Hyperlink" xfId="3278" builtinId="9" hidden="1"/>
    <cellStyle name="Followed Hyperlink" xfId="3277" builtinId="9" hidden="1"/>
    <cellStyle name="Followed Hyperlink" xfId="2811" builtinId="9" hidden="1"/>
    <cellStyle name="Followed Hyperlink" xfId="3276" builtinId="9" hidden="1"/>
    <cellStyle name="Followed Hyperlink" xfId="3275" builtinId="9" hidden="1"/>
    <cellStyle name="Followed Hyperlink" xfId="2807" builtinId="9" hidden="1"/>
    <cellStyle name="Followed Hyperlink" xfId="3274" builtinId="9" hidden="1"/>
    <cellStyle name="Followed Hyperlink" xfId="3273" builtinId="9" hidden="1"/>
    <cellStyle name="Followed Hyperlink" xfId="3272" builtinId="9" hidden="1"/>
    <cellStyle name="Followed Hyperlink" xfId="3660" builtinId="9" hidden="1"/>
    <cellStyle name="Followed Hyperlink" xfId="2790" builtinId="9" hidden="1"/>
    <cellStyle name="Followed Hyperlink" xfId="2787" builtinId="9" hidden="1"/>
    <cellStyle name="Followed Hyperlink" xfId="2231" builtinId="9" hidden="1"/>
    <cellStyle name="Followed Hyperlink" xfId="3464" builtinId="9" hidden="1"/>
    <cellStyle name="Followed Hyperlink" xfId="2855" builtinId="9" hidden="1"/>
    <cellStyle name="Followed Hyperlink" xfId="2841" builtinId="9" hidden="1"/>
    <cellStyle name="Followed Hyperlink" xfId="3463" builtinId="9" hidden="1"/>
    <cellStyle name="Followed Hyperlink" xfId="2853" builtinId="9" hidden="1"/>
    <cellStyle name="Followed Hyperlink" xfId="2839" builtinId="9" hidden="1"/>
    <cellStyle name="Followed Hyperlink" xfId="3462" builtinId="9" hidden="1"/>
    <cellStyle name="Followed Hyperlink" xfId="2851" builtinId="9" hidden="1"/>
    <cellStyle name="Followed Hyperlink" xfId="2837" builtinId="9" hidden="1"/>
    <cellStyle name="Followed Hyperlink" xfId="3461" builtinId="9" hidden="1"/>
    <cellStyle name="Followed Hyperlink" xfId="2849" builtinId="9" hidden="1"/>
    <cellStyle name="Followed Hyperlink" xfId="2835" builtinId="9" hidden="1"/>
    <cellStyle name="Followed Hyperlink" xfId="3460" builtinId="9" hidden="1"/>
    <cellStyle name="Followed Hyperlink" xfId="2847" builtinId="9" hidden="1"/>
    <cellStyle name="Followed Hyperlink" xfId="2833" builtinId="9" hidden="1"/>
    <cellStyle name="Followed Hyperlink" xfId="2829" builtinId="9" hidden="1"/>
    <cellStyle name="Followed Hyperlink" xfId="2451" builtinId="9" hidden="1"/>
    <cellStyle name="Followed Hyperlink" xfId="3996" builtinId="9" hidden="1"/>
    <cellStyle name="Followed Hyperlink" xfId="3998" builtinId="9" hidden="1"/>
    <cellStyle name="Followed Hyperlink" xfId="4000" builtinId="9" hidden="1"/>
    <cellStyle name="Followed Hyperlink" xfId="4002" builtinId="9" hidden="1"/>
    <cellStyle name="Followed Hyperlink" xfId="4004" builtinId="9" hidden="1"/>
    <cellStyle name="Followed Hyperlink" xfId="4006" builtinId="9" hidden="1"/>
    <cellStyle name="Followed Hyperlink" xfId="4008" builtinId="9" hidden="1"/>
    <cellStyle name="Followed Hyperlink" xfId="4010" builtinId="9" hidden="1"/>
    <cellStyle name="Followed Hyperlink" xfId="4012" builtinId="9" hidden="1"/>
    <cellStyle name="Followed Hyperlink" xfId="4014" builtinId="9" hidden="1"/>
    <cellStyle name="Followed Hyperlink" xfId="4016" builtinId="9" hidden="1"/>
    <cellStyle name="Followed Hyperlink" xfId="4018" builtinId="9" hidden="1"/>
    <cellStyle name="Followed Hyperlink" xfId="4020" builtinId="9" hidden="1"/>
    <cellStyle name="Followed Hyperlink" xfId="4022" builtinId="9" hidden="1"/>
    <cellStyle name="Followed Hyperlink" xfId="4024" builtinId="9" hidden="1"/>
    <cellStyle name="Followed Hyperlink" xfId="4026" builtinId="9" hidden="1"/>
    <cellStyle name="Followed Hyperlink" xfId="4028" builtinId="9" hidden="1"/>
    <cellStyle name="Followed Hyperlink" xfId="4030" builtinId="9" hidden="1"/>
    <cellStyle name="Followed Hyperlink" xfId="4032" builtinId="9" hidden="1"/>
    <cellStyle name="Followed Hyperlink" xfId="4034" builtinId="9" hidden="1"/>
    <cellStyle name="Followed Hyperlink" xfId="4036" builtinId="9" hidden="1"/>
    <cellStyle name="Followed Hyperlink" xfId="4038" builtinId="9" hidden="1"/>
    <cellStyle name="Followed Hyperlink" xfId="4112" builtinId="9" hidden="1"/>
    <cellStyle name="Followed Hyperlink" xfId="4113" builtinId="9" hidden="1"/>
    <cellStyle name="Followed Hyperlink" xfId="4114" builtinId="9" hidden="1"/>
    <cellStyle name="Followed Hyperlink" xfId="4115" builtinId="9" hidden="1"/>
    <cellStyle name="Followed Hyperlink" xfId="4116" builtinId="9" hidden="1"/>
    <cellStyle name="Followed Hyperlink" xfId="4117" builtinId="9" hidden="1"/>
    <cellStyle name="Followed Hyperlink" xfId="4118" builtinId="9" hidden="1"/>
    <cellStyle name="Followed Hyperlink" xfId="4119" builtinId="9" hidden="1"/>
    <cellStyle name="Followed Hyperlink" xfId="4120" builtinId="9" hidden="1"/>
    <cellStyle name="Followed Hyperlink" xfId="4121" builtinId="9" hidden="1"/>
    <cellStyle name="Followed Hyperlink" xfId="4122" builtinId="9" hidden="1"/>
    <cellStyle name="Followed Hyperlink" xfId="4123" builtinId="9" hidden="1"/>
    <cellStyle name="Followed Hyperlink" xfId="4124" builtinId="9" hidden="1"/>
    <cellStyle name="Followed Hyperlink" xfId="4125" builtinId="9" hidden="1"/>
    <cellStyle name="Followed Hyperlink" xfId="4126" builtinId="9" hidden="1"/>
    <cellStyle name="Followed Hyperlink" xfId="4127" builtinId="9" hidden="1"/>
    <cellStyle name="Followed Hyperlink" xfId="4128" builtinId="9" hidden="1"/>
    <cellStyle name="Followed Hyperlink" xfId="4129" builtinId="9" hidden="1"/>
    <cellStyle name="Followed Hyperlink" xfId="4130" builtinId="9" hidden="1"/>
    <cellStyle name="Followed Hyperlink" xfId="4131" builtinId="9" hidden="1"/>
    <cellStyle name="Followed Hyperlink" xfId="4132" builtinId="9" hidden="1"/>
    <cellStyle name="Followed Hyperlink" xfId="4133" builtinId="9" hidden="1"/>
    <cellStyle name="Followed Hyperlink" xfId="4134" builtinId="9" hidden="1"/>
    <cellStyle name="Followed Hyperlink" xfId="4135" builtinId="9" hidden="1"/>
    <cellStyle name="Followed Hyperlink" xfId="4136" builtinId="9" hidden="1"/>
    <cellStyle name="Followed Hyperlink" xfId="4137" builtinId="9" hidden="1"/>
    <cellStyle name="Followed Hyperlink" xfId="4138" builtinId="9" hidden="1"/>
    <cellStyle name="Followed Hyperlink" xfId="4139" builtinId="9" hidden="1"/>
    <cellStyle name="Followed Hyperlink" xfId="4140" builtinId="9" hidden="1"/>
    <cellStyle name="Followed Hyperlink" xfId="4141" builtinId="9" hidden="1"/>
    <cellStyle name="Followed Hyperlink" xfId="4142" builtinId="9" hidden="1"/>
    <cellStyle name="Followed Hyperlink" xfId="4143" builtinId="9" hidden="1"/>
    <cellStyle name="Followed Hyperlink" xfId="4144" builtinId="9" hidden="1"/>
    <cellStyle name="Followed Hyperlink" xfId="4145" builtinId="9" hidden="1"/>
    <cellStyle name="Followed Hyperlink" xfId="4146" builtinId="9" hidden="1"/>
    <cellStyle name="Followed Hyperlink" xfId="4147" builtinId="9" hidden="1"/>
    <cellStyle name="Followed Hyperlink" xfId="4148" builtinId="9" hidden="1"/>
    <cellStyle name="Followed Hyperlink" xfId="4149" builtinId="9" hidden="1"/>
    <cellStyle name="Followed Hyperlink" xfId="4150" builtinId="9" hidden="1"/>
    <cellStyle name="Followed Hyperlink" xfId="4151" builtinId="9" hidden="1"/>
    <cellStyle name="Followed Hyperlink" xfId="4152" builtinId="9" hidden="1"/>
    <cellStyle name="Followed Hyperlink" xfId="4232" builtinId="9" hidden="1"/>
    <cellStyle name="Followed Hyperlink" xfId="4233" builtinId="9" hidden="1"/>
    <cellStyle name="Followed Hyperlink" xfId="4234" builtinId="9" hidden="1"/>
    <cellStyle name="Followed Hyperlink" xfId="4235" builtinId="9" hidden="1"/>
    <cellStyle name="Followed Hyperlink" xfId="4236" builtinId="9" hidden="1"/>
    <cellStyle name="Followed Hyperlink" xfId="4237" builtinId="9" hidden="1"/>
    <cellStyle name="Followed Hyperlink" xfId="4238" builtinId="9" hidden="1"/>
    <cellStyle name="Followed Hyperlink" xfId="4239" builtinId="9" hidden="1"/>
    <cellStyle name="Followed Hyperlink" xfId="4240" builtinId="9" hidden="1"/>
    <cellStyle name="Followed Hyperlink" xfId="4241" builtinId="9" hidden="1"/>
    <cellStyle name="Followed Hyperlink" xfId="4242" builtinId="9" hidden="1"/>
    <cellStyle name="Followed Hyperlink" xfId="4243" builtinId="9" hidden="1"/>
    <cellStyle name="Followed Hyperlink" xfId="4244" builtinId="9" hidden="1"/>
    <cellStyle name="Followed Hyperlink" xfId="4245" builtinId="9" hidden="1"/>
    <cellStyle name="Followed Hyperlink" xfId="4246" builtinId="9" hidden="1"/>
    <cellStyle name="Followed Hyperlink" xfId="4247" builtinId="9" hidden="1"/>
    <cellStyle name="Followed Hyperlink" xfId="4248" builtinId="9" hidden="1"/>
    <cellStyle name="Followed Hyperlink" xfId="4249" builtinId="9" hidden="1"/>
    <cellStyle name="Followed Hyperlink" xfId="4250" builtinId="9" hidden="1"/>
    <cellStyle name="Followed Hyperlink" xfId="4251" builtinId="9" hidden="1"/>
    <cellStyle name="Followed Hyperlink" xfId="4252" builtinId="9" hidden="1"/>
    <cellStyle name="Followed Hyperlink" xfId="4253" builtinId="9" hidden="1"/>
    <cellStyle name="Followed Hyperlink" xfId="4254" builtinId="9" hidden="1"/>
    <cellStyle name="Followed Hyperlink" xfId="4255" builtinId="9" hidden="1"/>
    <cellStyle name="Followed Hyperlink" xfId="4256" builtinId="9" hidden="1"/>
    <cellStyle name="Followed Hyperlink" xfId="4257" builtinId="9" hidden="1"/>
    <cellStyle name="Followed Hyperlink" xfId="4258" builtinId="9" hidden="1"/>
    <cellStyle name="Followed Hyperlink" xfId="4259" builtinId="9" hidden="1"/>
    <cellStyle name="Followed Hyperlink" xfId="4260" builtinId="9" hidden="1"/>
    <cellStyle name="Followed Hyperlink" xfId="4261" builtinId="9" hidden="1"/>
    <cellStyle name="Followed Hyperlink" xfId="4262" builtinId="9" hidden="1"/>
    <cellStyle name="Followed Hyperlink" xfId="4263" builtinId="9" hidden="1"/>
    <cellStyle name="Followed Hyperlink" xfId="4264" builtinId="9" hidden="1"/>
    <cellStyle name="Followed Hyperlink" xfId="4265" builtinId="9" hidden="1"/>
    <cellStyle name="Followed Hyperlink" xfId="4266" builtinId="9" hidden="1"/>
    <cellStyle name="Followed Hyperlink" xfId="4267" builtinId="9" hidden="1"/>
    <cellStyle name="Followed Hyperlink" xfId="4268" builtinId="9" hidden="1"/>
    <cellStyle name="Followed Hyperlink" xfId="4269" builtinId="9" hidden="1"/>
    <cellStyle name="Followed Hyperlink" xfId="4270" builtinId="9" hidden="1"/>
    <cellStyle name="Followed Hyperlink" xfId="4271" builtinId="9" hidden="1"/>
    <cellStyle name="Followed Hyperlink" xfId="4272" builtinId="9" hidden="1"/>
    <cellStyle name="Followed Hyperlink" xfId="4273" builtinId="9" hidden="1"/>
    <cellStyle name="Followed Hyperlink" xfId="4274" builtinId="9" hidden="1"/>
    <cellStyle name="Followed Hyperlink" xfId="4275" builtinId="9" hidden="1"/>
    <cellStyle name="Followed Hyperlink" xfId="4276" builtinId="9" hidden="1"/>
    <cellStyle name="Followed Hyperlink" xfId="4277" builtinId="9" hidden="1"/>
    <cellStyle name="Followed Hyperlink" xfId="4278" builtinId="9" hidden="1"/>
    <cellStyle name="Followed Hyperlink" xfId="4279" builtinId="9" hidden="1"/>
    <cellStyle name="Followed Hyperlink" xfId="4280" builtinId="9" hidden="1"/>
    <cellStyle name="Followed Hyperlink" xfId="4281" builtinId="9" hidden="1"/>
    <cellStyle name="Followed Hyperlink" xfId="4282" builtinId="9" hidden="1"/>
    <cellStyle name="Followed Hyperlink" xfId="4283" builtinId="9" hidden="1"/>
    <cellStyle name="Followed Hyperlink" xfId="4284" builtinId="9" hidden="1"/>
    <cellStyle name="Followed Hyperlink" xfId="4285" builtinId="9" hidden="1"/>
    <cellStyle name="Followed Hyperlink" xfId="4286" builtinId="9" hidden="1"/>
    <cellStyle name="Followed Hyperlink" xfId="4287" builtinId="9" hidden="1"/>
    <cellStyle name="Followed Hyperlink" xfId="4288" builtinId="9" hidden="1"/>
    <cellStyle name="Followed Hyperlink" xfId="4289" builtinId="9" hidden="1"/>
    <cellStyle name="Followed Hyperlink" xfId="4290" builtinId="9" hidden="1"/>
    <cellStyle name="Followed Hyperlink" xfId="4291" builtinId="9" hidden="1"/>
    <cellStyle name="Followed Hyperlink" xfId="4292" builtinId="9" hidden="1"/>
    <cellStyle name="Followed Hyperlink" xfId="4293" builtinId="9" hidden="1"/>
    <cellStyle name="Followed Hyperlink" xfId="4294" builtinId="9" hidden="1"/>
    <cellStyle name="Followed Hyperlink" xfId="4295" builtinId="9" hidden="1"/>
    <cellStyle name="Followed Hyperlink" xfId="4296" builtinId="9" hidden="1"/>
    <cellStyle name="Followed Hyperlink" xfId="4297" builtinId="9" hidden="1"/>
    <cellStyle name="Followed Hyperlink" xfId="4298" builtinId="9" hidden="1"/>
    <cellStyle name="Followed Hyperlink" xfId="4299" builtinId="9" hidden="1"/>
    <cellStyle name="Followed Hyperlink" xfId="4300" builtinId="9" hidden="1"/>
    <cellStyle name="Followed Hyperlink" xfId="4301" builtinId="9" hidden="1"/>
    <cellStyle name="Followed Hyperlink" xfId="4302" builtinId="9" hidden="1"/>
    <cellStyle name="Followed Hyperlink" xfId="4303" builtinId="9" hidden="1"/>
    <cellStyle name="Followed Hyperlink" xfId="4304" builtinId="9" hidden="1"/>
    <cellStyle name="Followed Hyperlink" xfId="4305" builtinId="9" hidden="1"/>
    <cellStyle name="Followed Hyperlink" xfId="4306" builtinId="9" hidden="1"/>
    <cellStyle name="Followed Hyperlink" xfId="4312" builtinId="9" hidden="1"/>
    <cellStyle name="Followed Hyperlink" xfId="4313" builtinId="9" hidden="1"/>
    <cellStyle name="Followed Hyperlink" xfId="4314" builtinId="9" hidden="1"/>
    <cellStyle name="Followed Hyperlink" xfId="4315" builtinId="9" hidden="1"/>
    <cellStyle name="Followed Hyperlink" xfId="4316" builtinId="9" hidden="1"/>
    <cellStyle name="Followed Hyperlink" xfId="4317" builtinId="9" hidden="1"/>
    <cellStyle name="Followed Hyperlink" xfId="4318" builtinId="9" hidden="1"/>
    <cellStyle name="Followed Hyperlink" xfId="4319" builtinId="9" hidden="1"/>
    <cellStyle name="Followed Hyperlink" xfId="4320" builtinId="9" hidden="1"/>
    <cellStyle name="Followed Hyperlink" xfId="4321" builtinId="9" hidden="1"/>
    <cellStyle name="Followed Hyperlink" xfId="4322" builtinId="9" hidden="1"/>
    <cellStyle name="Followed Hyperlink" xfId="4323" builtinId="9" hidden="1"/>
    <cellStyle name="Followed Hyperlink" xfId="4324" builtinId="9" hidden="1"/>
    <cellStyle name="Followed Hyperlink" xfId="4325" builtinId="9" hidden="1"/>
    <cellStyle name="Followed Hyperlink" xfId="4326" builtinId="9" hidden="1"/>
    <cellStyle name="Followed Hyperlink" xfId="4327" builtinId="9" hidden="1"/>
    <cellStyle name="Followed Hyperlink" xfId="4328" builtinId="9" hidden="1"/>
    <cellStyle name="Followed Hyperlink" xfId="4329" builtinId="9" hidden="1"/>
    <cellStyle name="Followed Hyperlink" xfId="4330" builtinId="9" hidden="1"/>
    <cellStyle name="Followed Hyperlink" xfId="4331" builtinId="9" hidden="1"/>
    <cellStyle name="Followed Hyperlink" xfId="4332" builtinId="9" hidden="1"/>
    <cellStyle name="Followed Hyperlink" xfId="4333" builtinId="9" hidden="1"/>
    <cellStyle name="Followed Hyperlink" xfId="4334" builtinId="9" hidden="1"/>
    <cellStyle name="Followed Hyperlink" xfId="4335" builtinId="9" hidden="1"/>
    <cellStyle name="Followed Hyperlink" xfId="4336" builtinId="9" hidden="1"/>
    <cellStyle name="Followed Hyperlink" xfId="4337" builtinId="9" hidden="1"/>
    <cellStyle name="Followed Hyperlink" xfId="4338" builtinId="9" hidden="1"/>
    <cellStyle name="Followed Hyperlink" xfId="4339" builtinId="9" hidden="1"/>
    <cellStyle name="Followed Hyperlink" xfId="4340" builtinId="9" hidden="1"/>
    <cellStyle name="Followed Hyperlink" xfId="4341" builtinId="9" hidden="1"/>
    <cellStyle name="Followed Hyperlink" xfId="4342" builtinId="9" hidden="1"/>
    <cellStyle name="Followed Hyperlink" xfId="4343" builtinId="9" hidden="1"/>
    <cellStyle name="Followed Hyperlink" xfId="4344" builtinId="9" hidden="1"/>
    <cellStyle name="Followed Hyperlink" xfId="4345" builtinId="9" hidden="1"/>
    <cellStyle name="Followed Hyperlink" xfId="4346" builtinId="9" hidden="1"/>
    <cellStyle name="Followed Hyperlink" xfId="4347" builtinId="9" hidden="1"/>
    <cellStyle name="Followed Hyperlink" xfId="4348" builtinId="9" hidden="1"/>
    <cellStyle name="Followed Hyperlink" xfId="4349" builtinId="9" hidden="1"/>
    <cellStyle name="Followed Hyperlink" xfId="4350" builtinId="9" hidden="1"/>
    <cellStyle name="Followed Hyperlink" xfId="4351" builtinId="9" hidden="1"/>
    <cellStyle name="Followed Hyperlink" xfId="4352" builtinId="9" hidden="1"/>
    <cellStyle name="Followed Hyperlink" xfId="4353" builtinId="9" hidden="1"/>
    <cellStyle name="Followed Hyperlink" xfId="4354" builtinId="9" hidden="1"/>
    <cellStyle name="Followed Hyperlink" xfId="4355" builtinId="9" hidden="1"/>
    <cellStyle name="Followed Hyperlink" xfId="4356" builtinId="9" hidden="1"/>
    <cellStyle name="Followed Hyperlink" xfId="4357" builtinId="9" hidden="1"/>
    <cellStyle name="Followed Hyperlink" xfId="4358" builtinId="9" hidden="1"/>
    <cellStyle name="Followed Hyperlink" xfId="4359" builtinId="9" hidden="1"/>
    <cellStyle name="Followed Hyperlink" xfId="4360" builtinId="9" hidden="1"/>
    <cellStyle name="Followed Hyperlink" xfId="4361" builtinId="9" hidden="1"/>
    <cellStyle name="Followed Hyperlink" xfId="4368" builtinId="9" hidden="1"/>
    <cellStyle name="Followed Hyperlink" xfId="4369" builtinId="9" hidden="1"/>
    <cellStyle name="Followed Hyperlink" xfId="4370" builtinId="9" hidden="1"/>
    <cellStyle name="Followed Hyperlink" xfId="4371" builtinId="9" hidden="1"/>
    <cellStyle name="Followed Hyperlink" xfId="4372" builtinId="9" hidden="1"/>
    <cellStyle name="Followed Hyperlink" xfId="4373" builtinId="9" hidden="1"/>
    <cellStyle name="Followed Hyperlink" xfId="4374" builtinId="9" hidden="1"/>
    <cellStyle name="Followed Hyperlink" xfId="4375" builtinId="9" hidden="1"/>
    <cellStyle name="Followed Hyperlink" xfId="4376" builtinId="9" hidden="1"/>
    <cellStyle name="Followed Hyperlink" xfId="4377" builtinId="9" hidden="1"/>
    <cellStyle name="Followed Hyperlink" xfId="4378" builtinId="9" hidden="1"/>
    <cellStyle name="Followed Hyperlink" xfId="4379" builtinId="9" hidden="1"/>
    <cellStyle name="Followed Hyperlink" xfId="4380" builtinId="9" hidden="1"/>
    <cellStyle name="Followed Hyperlink" xfId="4381" builtinId="9" hidden="1"/>
    <cellStyle name="Followed Hyperlink" xfId="4382" builtinId="9" hidden="1"/>
    <cellStyle name="Followed Hyperlink" xfId="4383" builtinId="9" hidden="1"/>
    <cellStyle name="Followed Hyperlink" xfId="4384" builtinId="9" hidden="1"/>
    <cellStyle name="Followed Hyperlink" xfId="4385" builtinId="9" hidden="1"/>
    <cellStyle name="Followed Hyperlink" xfId="4386" builtinId="9" hidden="1"/>
    <cellStyle name="Followed Hyperlink" xfId="4387" builtinId="9" hidden="1"/>
    <cellStyle name="Followed Hyperlink" xfId="4388" builtinId="9" hidden="1"/>
    <cellStyle name="Followed Hyperlink" xfId="4389" builtinId="9" hidden="1"/>
    <cellStyle name="Followed Hyperlink" xfId="4390" builtinId="9" hidden="1"/>
    <cellStyle name="Followed Hyperlink" xfId="4391" builtinId="9" hidden="1"/>
    <cellStyle name="Followed Hyperlink" xfId="4392" builtinId="9" hidden="1"/>
    <cellStyle name="Followed Hyperlink" xfId="4393" builtinId="9" hidden="1"/>
    <cellStyle name="Followed Hyperlink" xfId="4394" builtinId="9" hidden="1"/>
    <cellStyle name="Followed Hyperlink" xfId="4395" builtinId="9" hidden="1"/>
    <cellStyle name="Followed Hyperlink" xfId="4396" builtinId="9" hidden="1"/>
    <cellStyle name="Followed Hyperlink" xfId="4397" builtinId="9" hidden="1"/>
    <cellStyle name="Followed Hyperlink" xfId="4398" builtinId="9" hidden="1"/>
    <cellStyle name="Followed Hyperlink" xfId="4399" builtinId="9" hidden="1"/>
    <cellStyle name="Followed Hyperlink" xfId="4400" builtinId="9" hidden="1"/>
    <cellStyle name="Followed Hyperlink" xfId="4401" builtinId="9" hidden="1"/>
    <cellStyle name="Followed Hyperlink" xfId="4402" builtinId="9" hidden="1"/>
    <cellStyle name="Followed Hyperlink" xfId="4403" builtinId="9" hidden="1"/>
    <cellStyle name="Followed Hyperlink" xfId="4404" builtinId="9" hidden="1"/>
    <cellStyle name="Followed Hyperlink" xfId="4405" builtinId="9" hidden="1"/>
    <cellStyle name="Followed Hyperlink" xfId="4406" builtinId="9" hidden="1"/>
    <cellStyle name="Followed Hyperlink" xfId="4407" builtinId="9" hidden="1"/>
    <cellStyle name="Followed Hyperlink" xfId="4408" builtinId="9" hidden="1"/>
    <cellStyle name="Followed Hyperlink" xfId="4409" builtinId="9" hidden="1"/>
    <cellStyle name="Followed Hyperlink" xfId="4410" builtinId="9" hidden="1"/>
    <cellStyle name="Followed Hyperlink" xfId="4411" builtinId="9" hidden="1"/>
    <cellStyle name="Followed Hyperlink" xfId="4412" builtinId="9" hidden="1"/>
    <cellStyle name="Followed Hyperlink" xfId="4413" builtinId="9" hidden="1"/>
    <cellStyle name="Followed Hyperlink" xfId="4414" builtinId="9" hidden="1"/>
    <cellStyle name="Followed Hyperlink" xfId="4415" builtinId="9" hidden="1"/>
    <cellStyle name="Followed Hyperlink" xfId="4416" builtinId="9" hidden="1"/>
    <cellStyle name="Followed Hyperlink" xfId="4417" builtinId="9" hidden="1"/>
    <cellStyle name="Followed Hyperlink" xfId="4418" builtinId="9" hidden="1"/>
    <cellStyle name="Followed Hyperlink" xfId="4419" builtinId="9" hidden="1"/>
    <cellStyle name="Followed Hyperlink" xfId="4420" builtinId="9" hidden="1"/>
    <cellStyle name="Followed Hyperlink" xfId="4421" builtinId="9" hidden="1"/>
    <cellStyle name="Followed Hyperlink" xfId="4422" builtinId="9" hidden="1"/>
    <cellStyle name="Followed Hyperlink" xfId="4423" builtinId="9" hidden="1"/>
    <cellStyle name="Followed Hyperlink" xfId="4424" builtinId="9" hidden="1"/>
    <cellStyle name="Followed Hyperlink" xfId="4425" builtinId="9" hidden="1"/>
    <cellStyle name="Followed Hyperlink" xfId="4426" builtinId="9" hidden="1"/>
    <cellStyle name="Followed Hyperlink" xfId="4427" builtinId="9" hidden="1"/>
    <cellStyle name="Followed Hyperlink" xfId="4428" builtinId="9" hidden="1"/>
    <cellStyle name="Followed Hyperlink" xfId="4429" builtinId="9" hidden="1"/>
    <cellStyle name="Followed Hyperlink" xfId="4430" builtinId="9" hidden="1"/>
    <cellStyle name="Followed Hyperlink" xfId="4431" builtinId="9" hidden="1"/>
    <cellStyle name="Followed Hyperlink" xfId="4432" builtinId="9" hidden="1"/>
    <cellStyle name="Followed Hyperlink" xfId="4433" builtinId="9" hidden="1"/>
    <cellStyle name="Followed Hyperlink" xfId="4434" builtinId="9" hidden="1"/>
    <cellStyle name="Followed Hyperlink" xfId="4435" builtinId="9" hidden="1"/>
    <cellStyle name="Followed Hyperlink" xfId="4436" builtinId="9" hidden="1"/>
    <cellStyle name="Followed Hyperlink" xfId="4437" builtinId="9" hidden="1"/>
    <cellStyle name="Followed Hyperlink" xfId="4438" builtinId="9" hidden="1"/>
    <cellStyle name="Followed Hyperlink" xfId="4439" builtinId="9" hidden="1"/>
    <cellStyle name="Followed Hyperlink" xfId="4440" builtinId="9" hidden="1"/>
    <cellStyle name="Followed Hyperlink" xfId="4441" builtinId="9" hidden="1"/>
    <cellStyle name="Followed Hyperlink" xfId="4442" builtinId="9" hidden="1"/>
    <cellStyle name="Followed Hyperlink" xfId="4443" builtinId="9" hidden="1"/>
    <cellStyle name="Followed Hyperlink" xfId="4444" builtinId="9" hidden="1"/>
    <cellStyle name="Followed Hyperlink" xfId="4445" builtinId="9" hidden="1"/>
    <cellStyle name="Followed Hyperlink" xfId="4446" builtinId="9" hidden="1"/>
    <cellStyle name="Followed Hyperlink" xfId="4447" builtinId="9" hidden="1"/>
    <cellStyle name="Followed Hyperlink" xfId="4448" builtinId="9" hidden="1"/>
    <cellStyle name="Followed Hyperlink" xfId="4449" builtinId="9" hidden="1"/>
    <cellStyle name="Followed Hyperlink" xfId="4450" builtinId="9" hidden="1"/>
    <cellStyle name="Followed Hyperlink" xfId="4451" builtinId="9" hidden="1"/>
    <cellStyle name="Followed Hyperlink" xfId="4452" builtinId="9" hidden="1"/>
    <cellStyle name="Followed Hyperlink" xfId="4453" builtinId="9" hidden="1"/>
    <cellStyle name="Followed Hyperlink" xfId="4454" builtinId="9" hidden="1"/>
    <cellStyle name="Followed Hyperlink" xfId="4455" builtinId="9" hidden="1"/>
    <cellStyle name="Followed Hyperlink" xfId="4456" builtinId="9" hidden="1"/>
    <cellStyle name="Followed Hyperlink" xfId="4457" builtinId="9" hidden="1"/>
    <cellStyle name="Followed Hyperlink" xfId="4458" builtinId="9" hidden="1"/>
    <cellStyle name="Followed Hyperlink" xfId="4459" builtinId="9" hidden="1"/>
    <cellStyle name="Followed Hyperlink" xfId="4460" builtinId="9" hidden="1"/>
    <cellStyle name="Followed Hyperlink" xfId="4461" builtinId="9" hidden="1"/>
    <cellStyle name="Followed Hyperlink" xfId="4462" builtinId="9" hidden="1"/>
    <cellStyle name="Followed Hyperlink" xfId="4463" builtinId="9" hidden="1"/>
    <cellStyle name="Followed Hyperlink" xfId="4464" builtinId="9" hidden="1"/>
    <cellStyle name="Followed Hyperlink" xfId="4465" builtinId="9" hidden="1"/>
    <cellStyle name="Followed Hyperlink" xfId="4466" builtinId="9" hidden="1"/>
    <cellStyle name="Followed Hyperlink" xfId="4467" builtinId="9" hidden="1"/>
    <cellStyle name="Followed Hyperlink" xfId="4468" builtinId="9" hidden="1"/>
    <cellStyle name="Followed Hyperlink" xfId="4469" builtinId="9" hidden="1"/>
    <cellStyle name="Followed Hyperlink" xfId="4470" builtinId="9" hidden="1"/>
    <cellStyle name="Followed Hyperlink" xfId="4471" builtinId="9" hidden="1"/>
    <cellStyle name="Followed Hyperlink" xfId="4472" builtinId="9" hidden="1"/>
    <cellStyle name="Followed Hyperlink" xfId="4473" builtinId="9" hidden="1"/>
    <cellStyle name="Followed Hyperlink" xfId="4474" builtinId="9" hidden="1"/>
    <cellStyle name="Followed Hyperlink" xfId="4475" builtinId="9" hidden="1"/>
    <cellStyle name="Followed Hyperlink" xfId="4476" builtinId="9" hidden="1"/>
    <cellStyle name="Followed Hyperlink" xfId="4477" builtinId="9" hidden="1"/>
    <cellStyle name="Followed Hyperlink" xfId="4478" builtinId="9" hidden="1"/>
    <cellStyle name="Followed Hyperlink" xfId="4479" builtinId="9" hidden="1"/>
    <cellStyle name="Followed Hyperlink" xfId="4480" builtinId="9" hidden="1"/>
    <cellStyle name="Followed Hyperlink" xfId="4481" builtinId="9" hidden="1"/>
    <cellStyle name="Followed Hyperlink" xfId="4482" builtinId="9" hidden="1"/>
    <cellStyle name="Followed Hyperlink" xfId="4483" builtinId="9" hidden="1"/>
    <cellStyle name="Followed Hyperlink" xfId="4484" builtinId="9" hidden="1"/>
    <cellStyle name="Followed Hyperlink" xfId="4485" builtinId="9" hidden="1"/>
    <cellStyle name="Followed Hyperlink" xfId="4486" builtinId="9" hidden="1"/>
    <cellStyle name="Followed Hyperlink" xfId="4487" builtinId="9" hidden="1"/>
    <cellStyle name="Followed Hyperlink" xfId="4488" builtinId="9" hidden="1"/>
    <cellStyle name="Followed Hyperlink" xfId="4489" builtinId="9" hidden="1"/>
    <cellStyle name="Followed Hyperlink" xfId="4490" builtinId="9" hidden="1"/>
    <cellStyle name="Followed Hyperlink" xfId="4491" builtinId="9" hidden="1"/>
    <cellStyle name="Followed Hyperlink" xfId="4492" builtinId="9" hidden="1"/>
    <cellStyle name="Followed Hyperlink" xfId="4493" builtinId="9" hidden="1"/>
    <cellStyle name="Followed Hyperlink" xfId="4494" builtinId="9" hidden="1"/>
    <cellStyle name="Followed Hyperlink" xfId="4495" builtinId="9" hidden="1"/>
    <cellStyle name="Followed Hyperlink" xfId="4496" builtinId="9" hidden="1"/>
    <cellStyle name="Followed Hyperlink" xfId="4497" builtinId="9" hidden="1"/>
    <cellStyle name="Followed Hyperlink" xfId="4498" builtinId="9" hidden="1"/>
    <cellStyle name="Followed Hyperlink" xfId="4499" builtinId="9" hidden="1"/>
    <cellStyle name="Followed Hyperlink" xfId="4500" builtinId="9" hidden="1"/>
    <cellStyle name="Followed Hyperlink" xfId="4501" builtinId="9" hidden="1"/>
    <cellStyle name="Followed Hyperlink" xfId="4502" builtinId="9" hidden="1"/>
    <cellStyle name="Followed Hyperlink" xfId="4503" builtinId="9" hidden="1"/>
    <cellStyle name="Followed Hyperlink" xfId="4504" builtinId="9" hidden="1"/>
    <cellStyle name="Followed Hyperlink" xfId="4505" builtinId="9" hidden="1"/>
    <cellStyle name="Followed Hyperlink" xfId="4506" builtinId="9" hidden="1"/>
    <cellStyle name="Followed Hyperlink" xfId="4507" builtinId="9" hidden="1"/>
    <cellStyle name="Followed Hyperlink" xfId="4508" builtinId="9" hidden="1"/>
    <cellStyle name="Followed Hyperlink" xfId="4509" builtinId="9" hidden="1"/>
    <cellStyle name="Followed Hyperlink" xfId="4510" builtinId="9" hidden="1"/>
    <cellStyle name="Followed Hyperlink" xfId="4511" builtinId="9" hidden="1"/>
    <cellStyle name="Followed Hyperlink" xfId="4512" builtinId="9" hidden="1"/>
    <cellStyle name="Followed Hyperlink" xfId="4513" builtinId="9" hidden="1"/>
    <cellStyle name="Followed Hyperlink" xfId="4514" builtinId="9" hidden="1"/>
    <cellStyle name="Followed Hyperlink" xfId="4515" builtinId="9" hidden="1"/>
    <cellStyle name="Followed Hyperlink" xfId="4202" builtinId="9" hidden="1"/>
    <cellStyle name="Followed Hyperlink" xfId="4853" builtinId="9" hidden="1"/>
    <cellStyle name="Followed Hyperlink" xfId="4816" builtinId="9" hidden="1"/>
    <cellStyle name="Followed Hyperlink" xfId="4701" builtinId="9" hidden="1"/>
    <cellStyle name="Followed Hyperlink" xfId="4681" builtinId="9" hidden="1"/>
    <cellStyle name="Followed Hyperlink" xfId="4684" builtinId="9" hidden="1"/>
    <cellStyle name="Followed Hyperlink" xfId="4765" builtinId="9" hidden="1"/>
    <cellStyle name="Followed Hyperlink" xfId="4601" builtinId="9" hidden="1"/>
    <cellStyle name="Followed Hyperlink" xfId="4217" builtinId="9" hidden="1"/>
    <cellStyle name="Followed Hyperlink" xfId="4671" builtinId="9" hidden="1"/>
    <cellStyle name="Followed Hyperlink" xfId="4573" builtinId="9" hidden="1"/>
    <cellStyle name="Followed Hyperlink" xfId="4757" builtinId="9" hidden="1"/>
    <cellStyle name="Followed Hyperlink" xfId="4572" builtinId="9" hidden="1"/>
    <cellStyle name="Followed Hyperlink" xfId="4228" builtinId="9" hidden="1"/>
    <cellStyle name="Followed Hyperlink" xfId="4888" builtinId="9" hidden="1"/>
    <cellStyle name="Followed Hyperlink" xfId="4754" builtinId="9" hidden="1"/>
    <cellStyle name="Followed Hyperlink" xfId="4649" builtinId="9" hidden="1"/>
    <cellStyle name="Followed Hyperlink" xfId="4570" builtinId="9" hidden="1"/>
    <cellStyle name="Followed Hyperlink" xfId="4571" builtinId="9" hidden="1"/>
    <cellStyle name="Followed Hyperlink" xfId="5242" builtinId="9" hidden="1"/>
    <cellStyle name="Followed Hyperlink" xfId="4894" builtinId="9" hidden="1"/>
    <cellStyle name="Followed Hyperlink" xfId="4907" builtinId="9" hidden="1"/>
    <cellStyle name="Followed Hyperlink" xfId="4803" builtinId="9" hidden="1"/>
    <cellStyle name="Followed Hyperlink" xfId="4802" builtinId="9" hidden="1"/>
    <cellStyle name="Followed Hyperlink" xfId="4801" builtinId="9" hidden="1"/>
    <cellStyle name="Followed Hyperlink" xfId="4800" builtinId="9" hidden="1"/>
    <cellStyle name="Followed Hyperlink" xfId="4597" builtinId="9" hidden="1"/>
    <cellStyle name="Followed Hyperlink" xfId="4225" builtinId="9" hidden="1"/>
    <cellStyle name="Followed Hyperlink" xfId="4568" builtinId="9" hidden="1"/>
    <cellStyle name="Followed Hyperlink" xfId="4870" builtinId="9" hidden="1"/>
    <cellStyle name="Followed Hyperlink" xfId="4566" builtinId="9" hidden="1"/>
    <cellStyle name="Followed Hyperlink" xfId="4567" builtinId="9" hidden="1"/>
    <cellStyle name="Followed Hyperlink" xfId="4199" builtinId="9" hidden="1"/>
    <cellStyle name="Followed Hyperlink" xfId="4766" builtinId="9" hidden="1"/>
    <cellStyle name="Followed Hyperlink" xfId="4592" builtinId="9" hidden="1"/>
    <cellStyle name="Followed Hyperlink" xfId="4593" builtinId="9" hidden="1"/>
    <cellStyle name="Followed Hyperlink" xfId="4213" builtinId="9" hidden="1"/>
    <cellStyle name="Followed Hyperlink" xfId="4799" builtinId="9" hidden="1"/>
    <cellStyle name="Followed Hyperlink" xfId="2793" builtinId="9" hidden="1"/>
    <cellStyle name="Followed Hyperlink" xfId="4858" builtinId="9" hidden="1"/>
    <cellStyle name="Followed Hyperlink" xfId="4832" builtinId="9" hidden="1"/>
    <cellStyle name="Followed Hyperlink" xfId="4798" builtinId="9" hidden="1"/>
    <cellStyle name="Followed Hyperlink" xfId="4842" builtinId="9" hidden="1"/>
    <cellStyle name="Followed Hyperlink" xfId="4780" builtinId="9" hidden="1"/>
    <cellStyle name="Followed Hyperlink" xfId="4844" builtinId="9" hidden="1"/>
    <cellStyle name="Followed Hyperlink" xfId="4797" builtinId="9" hidden="1"/>
    <cellStyle name="Followed Hyperlink" xfId="4796" builtinId="9" hidden="1"/>
    <cellStyle name="Followed Hyperlink" xfId="4795" builtinId="9" hidden="1"/>
    <cellStyle name="Followed Hyperlink" xfId="3501" builtinId="9" hidden="1"/>
    <cellStyle name="Followed Hyperlink" xfId="4778" builtinId="9" hidden="1"/>
    <cellStyle name="Followed Hyperlink" xfId="4053" builtinId="9" hidden="1"/>
    <cellStyle name="Followed Hyperlink" xfId="3500" builtinId="9" hidden="1"/>
    <cellStyle name="Followed Hyperlink" xfId="4855" builtinId="9" hidden="1"/>
    <cellStyle name="Followed Hyperlink" xfId="4818" builtinId="9" hidden="1"/>
    <cellStyle name="Followed Hyperlink" xfId="4702" builtinId="9" hidden="1"/>
    <cellStyle name="Followed Hyperlink" xfId="4662" builtinId="9" hidden="1"/>
    <cellStyle name="Followed Hyperlink" xfId="4640" builtinId="9" hidden="1"/>
    <cellStyle name="Followed Hyperlink" xfId="4591" builtinId="9" hidden="1"/>
    <cellStyle name="Followed Hyperlink" xfId="4224" builtinId="9" hidden="1"/>
    <cellStyle name="Followed Hyperlink" xfId="4762" builtinId="9" hidden="1"/>
    <cellStyle name="Followed Hyperlink" xfId="4648" builtinId="9" hidden="1"/>
    <cellStyle name="Followed Hyperlink" xfId="4562" builtinId="9" hidden="1"/>
    <cellStyle name="Followed Hyperlink" xfId="4561" builtinId="9" hidden="1"/>
    <cellStyle name="Followed Hyperlink" xfId="4560" builtinId="9" hidden="1"/>
    <cellStyle name="Followed Hyperlink" xfId="4559" builtinId="9" hidden="1"/>
    <cellStyle name="Followed Hyperlink" xfId="4207" builtinId="9" hidden="1"/>
    <cellStyle name="Followed Hyperlink" xfId="4881" builtinId="9" hidden="1"/>
    <cellStyle name="Followed Hyperlink" xfId="4192" builtinId="9" hidden="1"/>
    <cellStyle name="Followed Hyperlink" xfId="4686" builtinId="9" hidden="1"/>
    <cellStyle name="Followed Hyperlink" xfId="4676" builtinId="9" hidden="1"/>
    <cellStyle name="Followed Hyperlink" xfId="4589" builtinId="9" hidden="1"/>
    <cellStyle name="Followed Hyperlink" xfId="4204" builtinId="9" hidden="1"/>
    <cellStyle name="Followed Hyperlink" xfId="4772" builtinId="9" hidden="1"/>
    <cellStyle name="Followed Hyperlink" xfId="4677" builtinId="9" hidden="1"/>
    <cellStyle name="Followed Hyperlink" xfId="4588" builtinId="9" hidden="1"/>
    <cellStyle name="Followed Hyperlink" xfId="4155" builtinId="9" hidden="1"/>
    <cellStyle name="Followed Hyperlink" xfId="4556" builtinId="9" hidden="1"/>
    <cellStyle name="Followed Hyperlink" xfId="4555" builtinId="9" hidden="1"/>
    <cellStyle name="Followed Hyperlink" xfId="4191" builtinId="9" hidden="1"/>
    <cellStyle name="Followed Hyperlink" xfId="4554" builtinId="9" hidden="1"/>
    <cellStyle name="Followed Hyperlink" xfId="4190" builtinId="9" hidden="1"/>
    <cellStyle name="Followed Hyperlink" xfId="4830" builtinId="9" hidden="1"/>
    <cellStyle name="Followed Hyperlink" xfId="4793" builtinId="9" hidden="1"/>
    <cellStyle name="Followed Hyperlink" xfId="4549" builtinId="9" hidden="1"/>
    <cellStyle name="Followed Hyperlink" xfId="4553" builtinId="9" hidden="1"/>
    <cellStyle name="Followed Hyperlink" xfId="4585" builtinId="9" hidden="1"/>
    <cellStyle name="Followed Hyperlink" xfId="4209" builtinId="9" hidden="1"/>
    <cellStyle name="Followed Hyperlink" xfId="4863" builtinId="9" hidden="1"/>
    <cellStyle name="Followed Hyperlink" xfId="4550" builtinId="9" hidden="1"/>
    <cellStyle name="Followed Hyperlink" xfId="4551" builtinId="9" hidden="1"/>
    <cellStyle name="Followed Hyperlink" xfId="4189" builtinId="9" hidden="1"/>
    <cellStyle name="Followed Hyperlink" xfId="4886" builtinId="9" hidden="1"/>
    <cellStyle name="Followed Hyperlink" xfId="4828" builtinId="9" hidden="1"/>
    <cellStyle name="Followed Hyperlink" xfId="5241" builtinId="9" hidden="1"/>
    <cellStyle name="Followed Hyperlink" xfId="4900" builtinId="9" hidden="1"/>
    <cellStyle name="Followed Hyperlink" xfId="4897" builtinId="9" hidden="1"/>
    <cellStyle name="Followed Hyperlink" xfId="4883" builtinId="9" hidden="1"/>
    <cellStyle name="Followed Hyperlink" xfId="4186" builtinId="9" hidden="1"/>
    <cellStyle name="Followed Hyperlink" xfId="4790" builtinId="9" hidden="1"/>
    <cellStyle name="Followed Hyperlink" xfId="4789" builtinId="9" hidden="1"/>
    <cellStyle name="Followed Hyperlink" xfId="4788" builtinId="9" hidden="1"/>
    <cellStyle name="Followed Hyperlink" xfId="4787" builtinId="9" hidden="1"/>
    <cellStyle name="Followed Hyperlink" xfId="4582" builtinId="9" hidden="1"/>
    <cellStyle name="Followed Hyperlink" xfId="4222" builtinId="9" hidden="1"/>
    <cellStyle name="Followed Hyperlink" xfId="4547" builtinId="9" hidden="1"/>
    <cellStyle name="Followed Hyperlink" xfId="4580" builtinId="9" hidden="1"/>
    <cellStyle name="Followed Hyperlink" xfId="4187" builtinId="9" hidden="1"/>
    <cellStyle name="Followed Hyperlink" xfId="4885" builtinId="9" hidden="1"/>
    <cellStyle name="Followed Hyperlink" xfId="4827" builtinId="9" hidden="1"/>
    <cellStyle name="Followed Hyperlink" xfId="4825" builtinId="9" hidden="1"/>
    <cellStyle name="Followed Hyperlink" xfId="4879" builtinId="9" hidden="1"/>
    <cellStyle name="Followed Hyperlink" xfId="4877" builtinId="9" hidden="1"/>
    <cellStyle name="Followed Hyperlink" xfId="4872" builtinId="9" hidden="1"/>
    <cellStyle name="Followed Hyperlink" xfId="4857" builtinId="9" hidden="1"/>
    <cellStyle name="Followed Hyperlink" xfId="4906" builtinId="9" hidden="1"/>
    <cellStyle name="Followed Hyperlink" xfId="4185" builtinId="9" hidden="1"/>
    <cellStyle name="Followed Hyperlink" xfId="4542" builtinId="9" hidden="1"/>
    <cellStyle name="Followed Hyperlink" xfId="4543" builtinId="9" hidden="1"/>
    <cellStyle name="Followed Hyperlink" xfId="4043" builtinId="9" hidden="1"/>
    <cellStyle name="Followed Hyperlink" xfId="3992" builtinId="9" hidden="1"/>
    <cellStyle name="Followed Hyperlink" xfId="4823" builtinId="9" hidden="1"/>
    <cellStyle name="Followed Hyperlink" xfId="4839" builtinId="9" hidden="1"/>
    <cellStyle name="Followed Hyperlink" xfId="4705" builtinId="9" hidden="1"/>
    <cellStyle name="Followed Hyperlink" xfId="4840" builtinId="9" hidden="1"/>
    <cellStyle name="Followed Hyperlink" xfId="4776" builtinId="9" hidden="1"/>
    <cellStyle name="Followed Hyperlink" xfId="4694" builtinId="9" hidden="1"/>
    <cellStyle name="Followed Hyperlink" xfId="4650" builtinId="9" hidden="1"/>
    <cellStyle name="Followed Hyperlink" xfId="4659" builtinId="9" hidden="1"/>
    <cellStyle name="Followed Hyperlink" xfId="4854" builtinId="9" hidden="1"/>
    <cellStyle name="Followed Hyperlink" xfId="4817" builtinId="9" hidden="1"/>
    <cellStyle name="Followed Hyperlink" xfId="4700" builtinId="9" hidden="1"/>
    <cellStyle name="Followed Hyperlink" xfId="4680" builtinId="9" hidden="1"/>
    <cellStyle name="Followed Hyperlink" xfId="4852" builtinId="9" hidden="1"/>
    <cellStyle name="Followed Hyperlink" xfId="4815" builtinId="9" hidden="1"/>
    <cellStyle name="Followed Hyperlink" xfId="4763" builtinId="9" hidden="1"/>
    <cellStyle name="Followed Hyperlink" xfId="4689" builtinId="9" hidden="1"/>
    <cellStyle name="Followed Hyperlink" xfId="4575" builtinId="9" hidden="1"/>
    <cellStyle name="Followed Hyperlink" xfId="4673" builtinId="9" hidden="1"/>
    <cellStyle name="Followed Hyperlink" xfId="4755" builtinId="9" hidden="1"/>
    <cellStyle name="Followed Hyperlink" xfId="4541" builtinId="9" hidden="1"/>
    <cellStyle name="Followed Hyperlink" xfId="4639" builtinId="9" hidden="1"/>
    <cellStyle name="Followed Hyperlink" xfId="4745" builtinId="9" hidden="1"/>
    <cellStyle name="Followed Hyperlink" xfId="4181" builtinId="9" hidden="1"/>
    <cellStyle name="Followed Hyperlink" xfId="4744" builtinId="9" hidden="1"/>
    <cellStyle name="Followed Hyperlink" xfId="4683" builtinId="9" hidden="1"/>
    <cellStyle name="Followed Hyperlink" xfId="4180" builtinId="9" hidden="1"/>
    <cellStyle name="Followed Hyperlink" xfId="4699" builtinId="9" hidden="1"/>
    <cellStyle name="Followed Hyperlink" xfId="4635" builtinId="9" hidden="1"/>
    <cellStyle name="Followed Hyperlink" xfId="4206" builtinId="9" hidden="1"/>
    <cellStyle name="Followed Hyperlink" xfId="3395" builtinId="9" hidden="1"/>
    <cellStyle name="Followed Hyperlink" xfId="5238" builtinId="9" hidden="1"/>
    <cellStyle name="Followed Hyperlink" xfId="5236" builtinId="9" hidden="1"/>
    <cellStyle name="Followed Hyperlink" xfId="5234" builtinId="9" hidden="1"/>
    <cellStyle name="Followed Hyperlink" xfId="5232" builtinId="9" hidden="1"/>
    <cellStyle name="Followed Hyperlink" xfId="5230" builtinId="9" hidden="1"/>
    <cellStyle name="Followed Hyperlink" xfId="5228" builtinId="9" hidden="1"/>
    <cellStyle name="Followed Hyperlink" xfId="5226" builtinId="9" hidden="1"/>
    <cellStyle name="Followed Hyperlink" xfId="5224" builtinId="9" hidden="1"/>
    <cellStyle name="Followed Hyperlink" xfId="5222" builtinId="9" hidden="1"/>
    <cellStyle name="Followed Hyperlink" xfId="5220" builtinId="9" hidden="1"/>
    <cellStyle name="Followed Hyperlink" xfId="5218" builtinId="9" hidden="1"/>
    <cellStyle name="Followed Hyperlink" xfId="5216" builtinId="9" hidden="1"/>
    <cellStyle name="Followed Hyperlink" xfId="5214" builtinId="9" hidden="1"/>
    <cellStyle name="Followed Hyperlink" xfId="5212" builtinId="9" hidden="1"/>
    <cellStyle name="Followed Hyperlink" xfId="5210" builtinId="9" hidden="1"/>
    <cellStyle name="Followed Hyperlink" xfId="5208" builtinId="9" hidden="1"/>
    <cellStyle name="Followed Hyperlink" xfId="5206" builtinId="9" hidden="1"/>
    <cellStyle name="Followed Hyperlink" xfId="5204" builtinId="9" hidden="1"/>
    <cellStyle name="Followed Hyperlink" xfId="5202" builtinId="9" hidden="1"/>
    <cellStyle name="Followed Hyperlink" xfId="5200" builtinId="9" hidden="1"/>
    <cellStyle name="Followed Hyperlink" xfId="5198" builtinId="9" hidden="1"/>
    <cellStyle name="Followed Hyperlink" xfId="5196" builtinId="9" hidden="1"/>
    <cellStyle name="Followed Hyperlink" xfId="5194" builtinId="9" hidden="1"/>
    <cellStyle name="Followed Hyperlink" xfId="5192" builtinId="9" hidden="1"/>
    <cellStyle name="Followed Hyperlink" xfId="5190" builtinId="9" hidden="1"/>
    <cellStyle name="Followed Hyperlink" xfId="5188" builtinId="9" hidden="1"/>
    <cellStyle name="Followed Hyperlink" xfId="5186" builtinId="9" hidden="1"/>
    <cellStyle name="Followed Hyperlink" xfId="5184" builtinId="9" hidden="1"/>
    <cellStyle name="Followed Hyperlink" xfId="5182" builtinId="9" hidden="1"/>
    <cellStyle name="Followed Hyperlink" xfId="5180" builtinId="9" hidden="1"/>
    <cellStyle name="Followed Hyperlink" xfId="5178" builtinId="9" hidden="1"/>
    <cellStyle name="Followed Hyperlink" xfId="5176" builtinId="9" hidden="1"/>
    <cellStyle name="Followed Hyperlink" xfId="5174" builtinId="9" hidden="1"/>
    <cellStyle name="Followed Hyperlink" xfId="5172" builtinId="9" hidden="1"/>
    <cellStyle name="Followed Hyperlink" xfId="5170" builtinId="9" hidden="1"/>
    <cellStyle name="Followed Hyperlink" xfId="5168" builtinId="9" hidden="1"/>
    <cellStyle name="Followed Hyperlink" xfId="5166" builtinId="9" hidden="1"/>
    <cellStyle name="Followed Hyperlink" xfId="5164" builtinId="9" hidden="1"/>
    <cellStyle name="Followed Hyperlink" xfId="5162" builtinId="9" hidden="1"/>
    <cellStyle name="Followed Hyperlink" xfId="5160" builtinId="9" hidden="1"/>
    <cellStyle name="Followed Hyperlink" xfId="5158" builtinId="9" hidden="1"/>
    <cellStyle name="Followed Hyperlink" xfId="5156" builtinId="9" hidden="1"/>
    <cellStyle name="Followed Hyperlink" xfId="5154" builtinId="9" hidden="1"/>
    <cellStyle name="Followed Hyperlink" xfId="5152" builtinId="9" hidden="1"/>
    <cellStyle name="Followed Hyperlink" xfId="5150" builtinId="9" hidden="1"/>
    <cellStyle name="Followed Hyperlink" xfId="5148" builtinId="9" hidden="1"/>
    <cellStyle name="Followed Hyperlink" xfId="5146" builtinId="9" hidden="1"/>
    <cellStyle name="Followed Hyperlink" xfId="5144" builtinId="9" hidden="1"/>
    <cellStyle name="Followed Hyperlink" xfId="5142" builtinId="9" hidden="1"/>
    <cellStyle name="Followed Hyperlink" xfId="5140" builtinId="9" hidden="1"/>
    <cellStyle name="Followed Hyperlink" xfId="5138" builtinId="9" hidden="1"/>
    <cellStyle name="Followed Hyperlink" xfId="5136" builtinId="9" hidden="1"/>
    <cellStyle name="Followed Hyperlink" xfId="5134" builtinId="9" hidden="1"/>
    <cellStyle name="Followed Hyperlink" xfId="5132" builtinId="9" hidden="1"/>
    <cellStyle name="Followed Hyperlink" xfId="5130" builtinId="9" hidden="1"/>
    <cellStyle name="Followed Hyperlink" xfId="5128" builtinId="9" hidden="1"/>
    <cellStyle name="Followed Hyperlink" xfId="5126" builtinId="9" hidden="1"/>
    <cellStyle name="Followed Hyperlink" xfId="5124" builtinId="9" hidden="1"/>
    <cellStyle name="Followed Hyperlink" xfId="5122" builtinId="9" hidden="1"/>
    <cellStyle name="Followed Hyperlink" xfId="5120" builtinId="9" hidden="1"/>
    <cellStyle name="Followed Hyperlink" xfId="5118" builtinId="9" hidden="1"/>
    <cellStyle name="Followed Hyperlink" xfId="5116" builtinId="9" hidden="1"/>
    <cellStyle name="Followed Hyperlink" xfId="5114" builtinId="9" hidden="1"/>
    <cellStyle name="Followed Hyperlink" xfId="5112" builtinId="9" hidden="1"/>
    <cellStyle name="Followed Hyperlink" xfId="5110" builtinId="9" hidden="1"/>
    <cellStyle name="Followed Hyperlink" xfId="5108" builtinId="9" hidden="1"/>
    <cellStyle name="Followed Hyperlink" xfId="5106" builtinId="9" hidden="1"/>
    <cellStyle name="Followed Hyperlink" xfId="5104" builtinId="9" hidden="1"/>
    <cellStyle name="Followed Hyperlink" xfId="5102" builtinId="9" hidden="1"/>
    <cellStyle name="Followed Hyperlink" xfId="5100" builtinId="9" hidden="1"/>
    <cellStyle name="Followed Hyperlink" xfId="5092" builtinId="9" hidden="1"/>
    <cellStyle name="Followed Hyperlink" xfId="5090" builtinId="9" hidden="1"/>
    <cellStyle name="Followed Hyperlink" xfId="5088" builtinId="9" hidden="1"/>
    <cellStyle name="Followed Hyperlink" xfId="5086" builtinId="9" hidden="1"/>
    <cellStyle name="Followed Hyperlink" xfId="5084" builtinId="9" hidden="1"/>
    <cellStyle name="Followed Hyperlink" xfId="5082" builtinId="9" hidden="1"/>
    <cellStyle name="Followed Hyperlink" xfId="5080" builtinId="9" hidden="1"/>
    <cellStyle name="Followed Hyperlink" xfId="5078" builtinId="9" hidden="1"/>
    <cellStyle name="Followed Hyperlink" xfId="5076" builtinId="9" hidden="1"/>
    <cellStyle name="Followed Hyperlink" xfId="5074" builtinId="9" hidden="1"/>
    <cellStyle name="Followed Hyperlink" xfId="5072" builtinId="9" hidden="1"/>
    <cellStyle name="Followed Hyperlink" xfId="5070" builtinId="9" hidden="1"/>
    <cellStyle name="Followed Hyperlink" xfId="5068" builtinId="9" hidden="1"/>
    <cellStyle name="Followed Hyperlink" xfId="5066" builtinId="9" hidden="1"/>
    <cellStyle name="Followed Hyperlink" xfId="5064" builtinId="9" hidden="1"/>
    <cellStyle name="Followed Hyperlink" xfId="5062" builtinId="9" hidden="1"/>
    <cellStyle name="Followed Hyperlink" xfId="5060" builtinId="9" hidden="1"/>
    <cellStyle name="Followed Hyperlink" xfId="5058" builtinId="9" hidden="1"/>
    <cellStyle name="Followed Hyperlink" xfId="5056" builtinId="9" hidden="1"/>
    <cellStyle name="Followed Hyperlink" xfId="5054" builtinId="9" hidden="1"/>
    <cellStyle name="Followed Hyperlink" xfId="5052" builtinId="9" hidden="1"/>
    <cellStyle name="Followed Hyperlink" xfId="5050" builtinId="9" hidden="1"/>
    <cellStyle name="Followed Hyperlink" xfId="5048" builtinId="9" hidden="1"/>
    <cellStyle name="Followed Hyperlink" xfId="5046" builtinId="9" hidden="1"/>
    <cellStyle name="Followed Hyperlink" xfId="5044" builtinId="9" hidden="1"/>
    <cellStyle name="Followed Hyperlink" xfId="5042" builtinId="9" hidden="1"/>
    <cellStyle name="Followed Hyperlink" xfId="5040" builtinId="9" hidden="1"/>
    <cellStyle name="Followed Hyperlink" xfId="5039" builtinId="9" hidden="1"/>
    <cellStyle name="Followed Hyperlink" xfId="5037" builtinId="9" hidden="1"/>
    <cellStyle name="Followed Hyperlink" xfId="5035" builtinId="9" hidden="1"/>
    <cellStyle name="Followed Hyperlink" xfId="5033" builtinId="9" hidden="1"/>
    <cellStyle name="Followed Hyperlink" xfId="5031" builtinId="9" hidden="1"/>
    <cellStyle name="Followed Hyperlink" xfId="5029" builtinId="9" hidden="1"/>
    <cellStyle name="Followed Hyperlink" xfId="5027" builtinId="9" hidden="1"/>
    <cellStyle name="Followed Hyperlink" xfId="5025" builtinId="9" hidden="1"/>
    <cellStyle name="Followed Hyperlink" xfId="5023" builtinId="9" hidden="1"/>
    <cellStyle name="Followed Hyperlink" xfId="5021" builtinId="9" hidden="1"/>
    <cellStyle name="Followed Hyperlink" xfId="5019" builtinId="9" hidden="1"/>
    <cellStyle name="Followed Hyperlink" xfId="5017" builtinId="9" hidden="1"/>
    <cellStyle name="Followed Hyperlink" xfId="5015" builtinId="9" hidden="1"/>
    <cellStyle name="Followed Hyperlink" xfId="5013" builtinId="9" hidden="1"/>
    <cellStyle name="Followed Hyperlink" xfId="5011" builtinId="9" hidden="1"/>
    <cellStyle name="Followed Hyperlink" xfId="5009" builtinId="9" hidden="1"/>
    <cellStyle name="Followed Hyperlink" xfId="5007" builtinId="9" hidden="1"/>
    <cellStyle name="Followed Hyperlink" xfId="5005" builtinId="9" hidden="1"/>
    <cellStyle name="Followed Hyperlink" xfId="5003" builtinId="9" hidden="1"/>
    <cellStyle name="Followed Hyperlink" xfId="5001" builtinId="9" hidden="1"/>
    <cellStyle name="Followed Hyperlink" xfId="4999" builtinId="9" hidden="1"/>
    <cellStyle name="Followed Hyperlink" xfId="4997" builtinId="9" hidden="1"/>
    <cellStyle name="Followed Hyperlink" xfId="4995" builtinId="9" hidden="1"/>
    <cellStyle name="Followed Hyperlink" xfId="4993" builtinId="9" hidden="1"/>
    <cellStyle name="Followed Hyperlink" xfId="4991" builtinId="9" hidden="1"/>
    <cellStyle name="Followed Hyperlink" xfId="4989" builtinId="9" hidden="1"/>
    <cellStyle name="Followed Hyperlink" xfId="4987" builtinId="9" hidden="1"/>
    <cellStyle name="Followed Hyperlink" xfId="4985" builtinId="9" hidden="1"/>
    <cellStyle name="Followed Hyperlink" xfId="4983" builtinId="9" hidden="1"/>
    <cellStyle name="Followed Hyperlink" xfId="4981" builtinId="9" hidden="1"/>
    <cellStyle name="Followed Hyperlink" xfId="4979" builtinId="9" hidden="1"/>
    <cellStyle name="Followed Hyperlink" xfId="4977" builtinId="9" hidden="1"/>
    <cellStyle name="Followed Hyperlink" xfId="4975" builtinId="9" hidden="1"/>
    <cellStyle name="Followed Hyperlink" xfId="4973" builtinId="9" hidden="1"/>
    <cellStyle name="Followed Hyperlink" xfId="4971" builtinId="9" hidden="1"/>
    <cellStyle name="Followed Hyperlink" xfId="4969" builtinId="9" hidden="1"/>
    <cellStyle name="Followed Hyperlink" xfId="4967" builtinId="9" hidden="1"/>
    <cellStyle name="Followed Hyperlink" xfId="4965" builtinId="9" hidden="1"/>
    <cellStyle name="Followed Hyperlink" xfId="4963" builtinId="9" hidden="1"/>
    <cellStyle name="Followed Hyperlink" xfId="4961" builtinId="9" hidden="1"/>
    <cellStyle name="Followed Hyperlink" xfId="4959" builtinId="9" hidden="1"/>
    <cellStyle name="Followed Hyperlink" xfId="4957" builtinId="9" hidden="1"/>
    <cellStyle name="Followed Hyperlink" xfId="4955" builtinId="9" hidden="1"/>
    <cellStyle name="Followed Hyperlink" xfId="4953" builtinId="9" hidden="1"/>
    <cellStyle name="Followed Hyperlink" xfId="4951" builtinId="9" hidden="1"/>
    <cellStyle name="Followed Hyperlink" xfId="4949" builtinId="9" hidden="1"/>
    <cellStyle name="Followed Hyperlink" xfId="4947" builtinId="9" hidden="1"/>
    <cellStyle name="Followed Hyperlink" xfId="4945" builtinId="9" hidden="1"/>
    <cellStyle name="Followed Hyperlink" xfId="4943" builtinId="9" hidden="1"/>
    <cellStyle name="Followed Hyperlink" xfId="4941" builtinId="9" hidden="1"/>
    <cellStyle name="Followed Hyperlink" xfId="4939" builtinId="9" hidden="1"/>
    <cellStyle name="Followed Hyperlink" xfId="4937" builtinId="9" hidden="1"/>
    <cellStyle name="Followed Hyperlink" xfId="4936" builtinId="9" hidden="1"/>
    <cellStyle name="Followed Hyperlink" xfId="4934" builtinId="9" hidden="1"/>
    <cellStyle name="Followed Hyperlink" xfId="4932" builtinId="9" hidden="1"/>
    <cellStyle name="Followed Hyperlink" xfId="4930" builtinId="9" hidden="1"/>
    <cellStyle name="Followed Hyperlink" xfId="4928" builtinId="9" hidden="1"/>
    <cellStyle name="Followed Hyperlink" xfId="4926" builtinId="9" hidden="1"/>
    <cellStyle name="Followed Hyperlink" xfId="4924" builtinId="9" hidden="1"/>
    <cellStyle name="Followed Hyperlink" xfId="4922" builtinId="9" hidden="1"/>
    <cellStyle name="Followed Hyperlink" xfId="4920" builtinId="9" hidden="1"/>
    <cellStyle name="Followed Hyperlink" xfId="4918" builtinId="9" hidden="1"/>
    <cellStyle name="Followed Hyperlink" xfId="4916" builtinId="9" hidden="1"/>
    <cellStyle name="Followed Hyperlink" xfId="4914" builtinId="9" hidden="1"/>
    <cellStyle name="Followed Hyperlink" xfId="4912" builtinId="9" hidden="1"/>
    <cellStyle name="Followed Hyperlink" xfId="4910" builtinId="9" hidden="1"/>
    <cellStyle name="Followed Hyperlink" xfId="3851" builtinId="9" hidden="1"/>
    <cellStyle name="Followed Hyperlink" xfId="3857" builtinId="9" hidden="1"/>
    <cellStyle name="Followed Hyperlink" xfId="3861" builtinId="9" hidden="1"/>
    <cellStyle name="Followed Hyperlink" xfId="3865" builtinId="9" hidden="1"/>
    <cellStyle name="Followed Hyperlink" xfId="3869" builtinId="9" hidden="1"/>
    <cellStyle name="Followed Hyperlink" xfId="3873" builtinId="9" hidden="1"/>
    <cellStyle name="Followed Hyperlink" xfId="3877" builtinId="9" hidden="1"/>
    <cellStyle name="Followed Hyperlink" xfId="3881" builtinId="9" hidden="1"/>
    <cellStyle name="Followed Hyperlink" xfId="3885" builtinId="9" hidden="1"/>
    <cellStyle name="Followed Hyperlink" xfId="3889" builtinId="9" hidden="1"/>
    <cellStyle name="Followed Hyperlink" xfId="3893" builtinId="9" hidden="1"/>
    <cellStyle name="Followed Hyperlink" xfId="3897" builtinId="9" hidden="1"/>
    <cellStyle name="Followed Hyperlink" xfId="3901" builtinId="9" hidden="1"/>
    <cellStyle name="Followed Hyperlink" xfId="3905" builtinId="9" hidden="1"/>
    <cellStyle name="Followed Hyperlink" xfId="3909" builtinId="9" hidden="1"/>
    <cellStyle name="Followed Hyperlink" xfId="3913" builtinId="9" hidden="1"/>
    <cellStyle name="Followed Hyperlink" xfId="3917" builtinId="9" hidden="1"/>
    <cellStyle name="Followed Hyperlink" xfId="3915" builtinId="9" hidden="1"/>
    <cellStyle name="Followed Hyperlink" xfId="3907" builtinId="9" hidden="1"/>
    <cellStyle name="Followed Hyperlink" xfId="3899" builtinId="9" hidden="1"/>
    <cellStyle name="Followed Hyperlink" xfId="3891" builtinId="9" hidden="1"/>
    <cellStyle name="Followed Hyperlink" xfId="3883" builtinId="9" hidden="1"/>
    <cellStyle name="Followed Hyperlink" xfId="3875" builtinId="9" hidden="1"/>
    <cellStyle name="Followed Hyperlink" xfId="3867" builtinId="9" hidden="1"/>
    <cellStyle name="Followed Hyperlink" xfId="3859" builtinId="9" hidden="1"/>
    <cellStyle name="Followed Hyperlink" xfId="4909" builtinId="9" hidden="1"/>
    <cellStyle name="Followed Hyperlink" xfId="4913" builtinId="9" hidden="1"/>
    <cellStyle name="Followed Hyperlink" xfId="4917" builtinId="9" hidden="1"/>
    <cellStyle name="Followed Hyperlink" xfId="4921" builtinId="9" hidden="1"/>
    <cellStyle name="Followed Hyperlink" xfId="4925" builtinId="9" hidden="1"/>
    <cellStyle name="Followed Hyperlink" xfId="4929" builtinId="9" hidden="1"/>
    <cellStyle name="Followed Hyperlink" xfId="4933" builtinId="9" hidden="1"/>
    <cellStyle name="Followed Hyperlink" xfId="4658" builtinId="9" hidden="1"/>
    <cellStyle name="Followed Hyperlink" xfId="4940" builtinId="9" hidden="1"/>
    <cellStyle name="Followed Hyperlink" xfId="4944" builtinId="9" hidden="1"/>
    <cellStyle name="Followed Hyperlink" xfId="4948" builtinId="9" hidden="1"/>
    <cellStyle name="Followed Hyperlink" xfId="4952" builtinId="9" hidden="1"/>
    <cellStyle name="Followed Hyperlink" xfId="4956" builtinId="9" hidden="1"/>
    <cellStyle name="Followed Hyperlink" xfId="4960" builtinId="9" hidden="1"/>
    <cellStyle name="Followed Hyperlink" xfId="4964" builtinId="9" hidden="1"/>
    <cellStyle name="Followed Hyperlink" xfId="4968" builtinId="9" hidden="1"/>
    <cellStyle name="Followed Hyperlink" xfId="4972" builtinId="9" hidden="1"/>
    <cellStyle name="Followed Hyperlink" xfId="4976" builtinId="9" hidden="1"/>
    <cellStyle name="Followed Hyperlink" xfId="4980" builtinId="9" hidden="1"/>
    <cellStyle name="Followed Hyperlink" xfId="4984" builtinId="9" hidden="1"/>
    <cellStyle name="Followed Hyperlink" xfId="4988" builtinId="9" hidden="1"/>
    <cellStyle name="Followed Hyperlink" xfId="4992" builtinId="9" hidden="1"/>
    <cellStyle name="Followed Hyperlink" xfId="4996" builtinId="9" hidden="1"/>
    <cellStyle name="Followed Hyperlink" xfId="5000" builtinId="9" hidden="1"/>
    <cellStyle name="Followed Hyperlink" xfId="5004" builtinId="9" hidden="1"/>
    <cellStyle name="Followed Hyperlink" xfId="5008" builtinId="9" hidden="1"/>
    <cellStyle name="Followed Hyperlink" xfId="5012" builtinId="9" hidden="1"/>
    <cellStyle name="Followed Hyperlink" xfId="5016" builtinId="9" hidden="1"/>
    <cellStyle name="Followed Hyperlink" xfId="5020" builtinId="9" hidden="1"/>
    <cellStyle name="Followed Hyperlink" xfId="5024" builtinId="9" hidden="1"/>
    <cellStyle name="Followed Hyperlink" xfId="5028" builtinId="9" hidden="1"/>
    <cellStyle name="Followed Hyperlink" xfId="5032" builtinId="9" hidden="1"/>
    <cellStyle name="Followed Hyperlink" xfId="5036" builtinId="9" hidden="1"/>
    <cellStyle name="Followed Hyperlink" xfId="4178" builtinId="9" hidden="1"/>
    <cellStyle name="Followed Hyperlink" xfId="5043" builtinId="9" hidden="1"/>
    <cellStyle name="Followed Hyperlink" xfId="5047" builtinId="9" hidden="1"/>
    <cellStyle name="Followed Hyperlink" xfId="5051" builtinId="9" hidden="1"/>
    <cellStyle name="Followed Hyperlink" xfId="5055" builtinId="9" hidden="1"/>
    <cellStyle name="Followed Hyperlink" xfId="5059" builtinId="9" hidden="1"/>
    <cellStyle name="Followed Hyperlink" xfId="5063" builtinId="9" hidden="1"/>
    <cellStyle name="Followed Hyperlink" xfId="5067" builtinId="9" hidden="1"/>
    <cellStyle name="Followed Hyperlink" xfId="5071" builtinId="9" hidden="1"/>
    <cellStyle name="Followed Hyperlink" xfId="5075" builtinId="9" hidden="1"/>
    <cellStyle name="Followed Hyperlink" xfId="5079" builtinId="9" hidden="1"/>
    <cellStyle name="Followed Hyperlink" xfId="5083" builtinId="9" hidden="1"/>
    <cellStyle name="Followed Hyperlink" xfId="5087" builtinId="9" hidden="1"/>
    <cellStyle name="Followed Hyperlink" xfId="5091" builtinId="9" hidden="1"/>
    <cellStyle name="Followed Hyperlink" xfId="3919" builtinId="9" hidden="1"/>
    <cellStyle name="Followed Hyperlink" xfId="4871" builtinId="9" hidden="1"/>
    <cellStyle name="Followed Hyperlink" xfId="3921" builtinId="9" hidden="1"/>
    <cellStyle name="Followed Hyperlink" xfId="3929" builtinId="9" hidden="1"/>
    <cellStyle name="Followed Hyperlink" xfId="3933" builtinId="9" hidden="1"/>
    <cellStyle name="Followed Hyperlink" xfId="3937" builtinId="9" hidden="1"/>
    <cellStyle name="Followed Hyperlink" xfId="3941" builtinId="9" hidden="1"/>
    <cellStyle name="Followed Hyperlink" xfId="3945" builtinId="9" hidden="1"/>
    <cellStyle name="Followed Hyperlink" xfId="3949" builtinId="9" hidden="1"/>
    <cellStyle name="Followed Hyperlink" xfId="3953" builtinId="9" hidden="1"/>
    <cellStyle name="Followed Hyperlink" xfId="3957" builtinId="9" hidden="1"/>
    <cellStyle name="Followed Hyperlink" xfId="3961" builtinId="9" hidden="1"/>
    <cellStyle name="Followed Hyperlink" xfId="3965" builtinId="9" hidden="1"/>
    <cellStyle name="Followed Hyperlink" xfId="3969" builtinId="9" hidden="1"/>
    <cellStyle name="Followed Hyperlink" xfId="3973" builtinId="9" hidden="1"/>
    <cellStyle name="Followed Hyperlink" xfId="3977" builtinId="9" hidden="1"/>
    <cellStyle name="Followed Hyperlink" xfId="3981" builtinId="9" hidden="1"/>
    <cellStyle name="Followed Hyperlink" xfId="3985" builtinId="9" hidden="1"/>
    <cellStyle name="Followed Hyperlink" xfId="3989" builtinId="9" hidden="1"/>
    <cellStyle name="Followed Hyperlink" xfId="2928" builtinId="9" hidden="1"/>
    <cellStyle name="Followed Hyperlink" xfId="3495" builtinId="9" hidden="1"/>
    <cellStyle name="Followed Hyperlink" xfId="3388" builtinId="9" hidden="1"/>
    <cellStyle name="Followed Hyperlink" xfId="2799" builtinId="9" hidden="1"/>
    <cellStyle name="Followed Hyperlink" xfId="1998" builtinId="9" hidden="1"/>
    <cellStyle name="Followed Hyperlink" xfId="2003" builtinId="9" hidden="1"/>
    <cellStyle name="Followed Hyperlink" xfId="3293" builtinId="9" hidden="1"/>
    <cellStyle name="Followed Hyperlink" xfId="2934" builtinId="9" hidden="1"/>
    <cellStyle name="Followed Hyperlink" xfId="2788" builtinId="9" hidden="1"/>
    <cellStyle name="Followed Hyperlink" xfId="3653" builtinId="9" hidden="1"/>
    <cellStyle name="Followed Hyperlink" xfId="2831" builtinId="9" hidden="1"/>
    <cellStyle name="Followed Hyperlink" xfId="2845" builtinId="9" hidden="1"/>
    <cellStyle name="Followed Hyperlink" xfId="2941" builtinId="9" hidden="1"/>
    <cellStyle name="Followed Hyperlink" xfId="3117" builtinId="9" hidden="1"/>
    <cellStyle name="Followed Hyperlink" xfId="2846" builtinId="9" hidden="1"/>
    <cellStyle name="Followed Hyperlink" xfId="2800" builtinId="9" hidden="1"/>
    <cellStyle name="Followed Hyperlink" xfId="1999" builtinId="9" hidden="1"/>
    <cellStyle name="Followed Hyperlink" xfId="2945" builtinId="9" hidden="1"/>
    <cellStyle name="Followed Hyperlink" xfId="3321" builtinId="9" hidden="1"/>
    <cellStyle name="Followed Hyperlink" xfId="2978" builtinId="9" hidden="1"/>
    <cellStyle name="Followed Hyperlink" xfId="3393" builtinId="9" hidden="1"/>
    <cellStyle name="Followed Hyperlink" xfId="4176" builtinId="9" hidden="1"/>
    <cellStyle name="Followed Hyperlink" xfId="4657" builtinId="9" hidden="1"/>
    <cellStyle name="Followed Hyperlink" xfId="4050" builtinId="9" hidden="1"/>
    <cellStyle name="Followed Hyperlink" xfId="4634" builtinId="9" hidden="1"/>
    <cellStyle name="Followed Hyperlink" xfId="4049" builtinId="9" hidden="1"/>
    <cellStyle name="Followed Hyperlink" xfId="4633" builtinId="9" hidden="1"/>
    <cellStyle name="Followed Hyperlink" xfId="4173" builtinId="9" hidden="1"/>
    <cellStyle name="Followed Hyperlink" xfId="4739" builtinId="9" hidden="1"/>
    <cellStyle name="Followed Hyperlink" xfId="4632" builtinId="9" hidden="1"/>
    <cellStyle name="Followed Hyperlink" xfId="4631" builtinId="9" hidden="1"/>
    <cellStyle name="Followed Hyperlink" xfId="4172" builtinId="9" hidden="1"/>
    <cellStyle name="Followed Hyperlink" xfId="4629" builtinId="9" hidden="1"/>
    <cellStyle name="Followed Hyperlink" xfId="4777" builtinId="9" hidden="1"/>
    <cellStyle name="Followed Hyperlink" xfId="4040" builtinId="9" hidden="1"/>
    <cellStyle name="Followed Hyperlink" xfId="4626" builtinId="9" hidden="1"/>
    <cellStyle name="Followed Hyperlink" xfId="4864" builtinId="9" hidden="1"/>
    <cellStyle name="Followed Hyperlink" xfId="4860" builtinId="9" hidden="1"/>
    <cellStyle name="Followed Hyperlink" xfId="4822" builtinId="9" hidden="1"/>
    <cellStyle name="Followed Hyperlink" xfId="4821" builtinId="9" hidden="1"/>
    <cellStyle name="Followed Hyperlink" xfId="4820" builtinId="9" hidden="1"/>
    <cellStyle name="Followed Hyperlink" xfId="4782" builtinId="9" hidden="1"/>
    <cellStyle name="Followed Hyperlink" xfId="4848" builtinId="9" hidden="1"/>
    <cellStyle name="Followed Hyperlink" xfId="4841" builtinId="9" hidden="1"/>
    <cellStyle name="Followed Hyperlink" xfId="4812" builtinId="9" hidden="1"/>
    <cellStyle name="Followed Hyperlink" xfId="4779" builtinId="9" hidden="1"/>
    <cellStyle name="Followed Hyperlink" xfId="4707" builtinId="9" hidden="1"/>
    <cellStyle name="Followed Hyperlink" xfId="4851" builtinId="9" hidden="1"/>
    <cellStyle name="Followed Hyperlink" xfId="4843" builtinId="9" hidden="1"/>
    <cellStyle name="Followed Hyperlink" xfId="4814" builtinId="9" hidden="1"/>
    <cellStyle name="Followed Hyperlink" xfId="4781" builtinId="9" hidden="1"/>
    <cellStyle name="Followed Hyperlink" xfId="4735" builtinId="9" hidden="1"/>
    <cellStyle name="Followed Hyperlink" xfId="4809" builtinId="9" hidden="1"/>
    <cellStyle name="Followed Hyperlink" xfId="4615" builtinId="9" hidden="1"/>
    <cellStyle name="Followed Hyperlink" xfId="4614" builtinId="9" hidden="1"/>
    <cellStyle name="Followed Hyperlink" xfId="4613" builtinId="9" hidden="1"/>
    <cellStyle name="Followed Hyperlink" xfId="4612" builtinId="9" hidden="1"/>
    <cellStyle name="Followed Hyperlink" xfId="4611" builtinId="9" hidden="1"/>
    <cellStyle name="Followed Hyperlink" xfId="4610" builtinId="9" hidden="1"/>
    <cellStyle name="Followed Hyperlink" xfId="4609" builtinId="9" hidden="1"/>
    <cellStyle name="Followed Hyperlink" xfId="4608" builtinId="9" hidden="1"/>
    <cellStyle name="Followed Hyperlink" xfId="2804" builtinId="9" hidden="1"/>
    <cellStyle name="Followed Hyperlink" xfId="4734" builtinId="9" hidden="1"/>
    <cellStyle name="Followed Hyperlink" xfId="4056" builtinId="9" hidden="1"/>
    <cellStyle name="Followed Hyperlink" xfId="4733" builtinId="9" hidden="1"/>
    <cellStyle name="Followed Hyperlink" xfId="4607" builtinId="9" hidden="1"/>
    <cellStyle name="Followed Hyperlink" xfId="4160" builtinId="9" hidden="1"/>
    <cellStyle name="Followed Hyperlink" xfId="4054" builtinId="9" hidden="1"/>
    <cellStyle name="Followed Hyperlink" xfId="4682" builtinId="9" hidden="1"/>
    <cellStyle name="Followed Hyperlink" xfId="4606" builtinId="9" hidden="1"/>
    <cellStyle name="Followed Hyperlink" xfId="4159" builtinId="9" hidden="1"/>
    <cellStyle name="Followed Hyperlink" xfId="4697" builtinId="9" hidden="1"/>
    <cellStyle name="Followed Hyperlink" xfId="4696" builtinId="9" hidden="1"/>
    <cellStyle name="Followed Hyperlink" xfId="4732" builtinId="9" hidden="1"/>
    <cellStyle name="Followed Hyperlink" xfId="4672" builtinId="9" hidden="1"/>
    <cellStyle name="Followed Hyperlink" xfId="4157" builtinId="9" hidden="1"/>
    <cellStyle name="Followed Hyperlink" xfId="4605" builtinId="9" hidden="1"/>
    <cellStyle name="Followed Hyperlink" xfId="4519" builtinId="9" hidden="1"/>
    <cellStyle name="Followed Hyperlink" xfId="4107" builtinId="9" hidden="1"/>
    <cellStyle name="Followed Hyperlink" xfId="4518" builtinId="9" hidden="1"/>
    <cellStyle name="Followed Hyperlink" xfId="4093" builtinId="9" hidden="1"/>
    <cellStyle name="Followed Hyperlink" xfId="4075" builtinId="9" hidden="1"/>
    <cellStyle name="Followed Hyperlink" xfId="4711" builtinId="9" hidden="1"/>
    <cellStyle name="Followed Hyperlink" xfId="4517" builtinId="9" hidden="1"/>
    <cellStyle name="Followed Hyperlink" xfId="4105" builtinId="9" hidden="1"/>
    <cellStyle name="Followed Hyperlink" xfId="4516" builtinId="9" hidden="1"/>
    <cellStyle name="Followed Hyperlink" xfId="4091" builtinId="9" hidden="1"/>
    <cellStyle name="Followed Hyperlink" xfId="4071" builtinId="9" hidden="1"/>
    <cellStyle name="Followed Hyperlink" xfId="4710" builtinId="9" hidden="1"/>
    <cellStyle name="Followed Hyperlink" xfId="4366" builtinId="9" hidden="1"/>
    <cellStyle name="Followed Hyperlink" xfId="4103" builtinId="9" hidden="1"/>
    <cellStyle name="Followed Hyperlink" xfId="4231" builtinId="9" hidden="1"/>
    <cellStyle name="Followed Hyperlink" xfId="4090" builtinId="9" hidden="1"/>
    <cellStyle name="Followed Hyperlink" xfId="4067" builtinId="9" hidden="1"/>
    <cellStyle name="Followed Hyperlink" xfId="4882" builtinId="9" hidden="1"/>
    <cellStyle name="Followed Hyperlink" xfId="4709" builtinId="9" hidden="1"/>
    <cellStyle name="Followed Hyperlink" xfId="4756" builtinId="9" hidden="1"/>
    <cellStyle name="Followed Hyperlink" xfId="4604" builtinId="9" hidden="1"/>
    <cellStyle name="Followed Hyperlink" xfId="4307" builtinId="9" hidden="1"/>
    <cellStyle name="Followed Hyperlink" xfId="4101" builtinId="9" hidden="1"/>
    <cellStyle name="Followed Hyperlink" xfId="4362" builtinId="9" hidden="1"/>
    <cellStyle name="Followed Hyperlink" xfId="4088" builtinId="9" hidden="1"/>
    <cellStyle name="Followed Hyperlink" xfId="4063" builtinId="9" hidden="1"/>
    <cellStyle name="Followed Hyperlink" xfId="4708" builtinId="9" hidden="1"/>
    <cellStyle name="Followed Hyperlink" xfId="4308" builtinId="9" hidden="1"/>
    <cellStyle name="Followed Hyperlink" xfId="4099" builtinId="9" hidden="1"/>
    <cellStyle name="Followed Hyperlink" xfId="4309" builtinId="9" hidden="1"/>
    <cellStyle name="Followed Hyperlink" xfId="4086" builtinId="9" hidden="1"/>
    <cellStyle name="Followed Hyperlink" xfId="4310" builtinId="9" hidden="1"/>
    <cellStyle name="Followed Hyperlink" xfId="4082" builtinId="9" hidden="1"/>
    <cellStyle name="Followed Hyperlink" xfId="4230" builtinId="9" hidden="1"/>
    <cellStyle name="Followed Hyperlink" xfId="2166" builtinId="9" hidden="1"/>
    <cellStyle name="Followed Hyperlink" xfId="3852" builtinId="9" hidden="1"/>
    <cellStyle name="Followed Hyperlink" xfId="5244" builtinId="9" hidden="1"/>
    <cellStyle name="Followed Hyperlink" xfId="5245" builtinId="9" hidden="1"/>
    <cellStyle name="Followed Hyperlink" xfId="5246" builtinId="9" hidden="1"/>
    <cellStyle name="Followed Hyperlink" xfId="5247" builtinId="9" hidden="1"/>
    <cellStyle name="Followed Hyperlink" xfId="5248" builtinId="9" hidden="1"/>
    <cellStyle name="Followed Hyperlink" xfId="5249" builtinId="9" hidden="1"/>
    <cellStyle name="Followed Hyperlink" xfId="5250" builtinId="9" hidden="1"/>
    <cellStyle name="Followed Hyperlink" xfId="5251" builtinId="9" hidden="1"/>
    <cellStyle name="Followed Hyperlink" xfId="5252" builtinId="9" hidden="1"/>
    <cellStyle name="Followed Hyperlink" xfId="5253" builtinId="9" hidden="1"/>
    <cellStyle name="Followed Hyperlink" xfId="5254" builtinId="9" hidden="1"/>
    <cellStyle name="Followed Hyperlink" xfId="5255" builtinId="9" hidden="1"/>
    <cellStyle name="Followed Hyperlink" xfId="5256" builtinId="9" hidden="1"/>
    <cellStyle name="Followed Hyperlink" xfId="5257" builtinId="9" hidden="1"/>
    <cellStyle name="Followed Hyperlink" xfId="5258" builtinId="9" hidden="1"/>
    <cellStyle name="Followed Hyperlink" xfId="5259" builtinId="9" hidden="1"/>
    <cellStyle name="Followed Hyperlink" xfId="5260" builtinId="9" hidden="1"/>
    <cellStyle name="Followed Hyperlink" xfId="5261" builtinId="9" hidden="1"/>
    <cellStyle name="Followed Hyperlink" xfId="5262" builtinId="9" hidden="1"/>
    <cellStyle name="Followed Hyperlink" xfId="5263" builtinId="9" hidden="1"/>
    <cellStyle name="Followed Hyperlink" xfId="5264" builtinId="9" hidden="1"/>
    <cellStyle name="Followed Hyperlink" xfId="5265" builtinId="9" hidden="1"/>
    <cellStyle name="Followed Hyperlink" xfId="5266" builtinId="9" hidden="1"/>
    <cellStyle name="Followed Hyperlink" xfId="5267" builtinId="9" hidden="1"/>
    <cellStyle name="Followed Hyperlink" xfId="5268" builtinId="9" hidden="1"/>
    <cellStyle name="Followed Hyperlink" xfId="5269" builtinId="9" hidden="1"/>
    <cellStyle name="Followed Hyperlink" xfId="5270" builtinId="9" hidden="1"/>
    <cellStyle name="Followed Hyperlink" xfId="5271" builtinId="9" hidden="1"/>
    <cellStyle name="Followed Hyperlink" xfId="5272" builtinId="9" hidden="1"/>
    <cellStyle name="Followed Hyperlink" xfId="5273" builtinId="9" hidden="1"/>
    <cellStyle name="Followed Hyperlink" xfId="5274" builtinId="9" hidden="1"/>
    <cellStyle name="Followed Hyperlink" xfId="5275" builtinId="9" hidden="1"/>
    <cellStyle name="Followed Hyperlink" xfId="5276" builtinId="9" hidden="1"/>
    <cellStyle name="Followed Hyperlink" xfId="5277" builtinId="9" hidden="1"/>
    <cellStyle name="Followed Hyperlink" xfId="5278" builtinId="9" hidden="1"/>
    <cellStyle name="Followed Hyperlink" xfId="5279" builtinId="9" hidden="1"/>
    <cellStyle name="Followed Hyperlink" xfId="5280" builtinId="9" hidden="1"/>
    <cellStyle name="Followed Hyperlink" xfId="5281" builtinId="9" hidden="1"/>
    <cellStyle name="Followed Hyperlink" xfId="5282" builtinId="9" hidden="1"/>
    <cellStyle name="Followed Hyperlink" xfId="5288" builtinId="9" hidden="1"/>
    <cellStyle name="Followed Hyperlink" xfId="5289" builtinId="9" hidden="1"/>
    <cellStyle name="Followed Hyperlink" xfId="5290" builtinId="9" hidden="1"/>
    <cellStyle name="Followed Hyperlink" xfId="5291" builtinId="9" hidden="1"/>
    <cellStyle name="Followed Hyperlink" xfId="5292" builtinId="9" hidden="1"/>
    <cellStyle name="Followed Hyperlink" xfId="5293" builtinId="9" hidden="1"/>
    <cellStyle name="Followed Hyperlink" xfId="5294" builtinId="9" hidden="1"/>
    <cellStyle name="Followed Hyperlink" xfId="5295" builtinId="9" hidden="1"/>
    <cellStyle name="Followed Hyperlink" xfId="5296" builtinId="9" hidden="1"/>
    <cellStyle name="Followed Hyperlink" xfId="5297" builtinId="9" hidden="1"/>
    <cellStyle name="Followed Hyperlink" xfId="5298" builtinId="9" hidden="1"/>
    <cellStyle name="Followed Hyperlink" xfId="5299" builtinId="9" hidden="1"/>
    <cellStyle name="Followed Hyperlink" xfId="5300" builtinId="9" hidden="1"/>
    <cellStyle name="Followed Hyperlink" xfId="5301" builtinId="9" hidden="1"/>
    <cellStyle name="Followed Hyperlink" xfId="5302" builtinId="9" hidden="1"/>
    <cellStyle name="Followed Hyperlink" xfId="5303" builtinId="9" hidden="1"/>
    <cellStyle name="Followed Hyperlink" xfId="5304" builtinId="9" hidden="1"/>
    <cellStyle name="Followed Hyperlink" xfId="5305" builtinId="9" hidden="1"/>
    <cellStyle name="Followed Hyperlink" xfId="5306" builtinId="9" hidden="1"/>
    <cellStyle name="Followed Hyperlink" xfId="5307"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5" builtinId="9" hidden="1"/>
    <cellStyle name="Followed Hyperlink" xfId="5326" builtinId="9" hidden="1"/>
    <cellStyle name="Followed Hyperlink" xfId="5327" builtinId="9" hidden="1"/>
    <cellStyle name="Followed Hyperlink" xfId="5328" builtinId="9" hidden="1"/>
    <cellStyle name="Followed Hyperlink" xfId="5329" builtinId="9" hidden="1"/>
    <cellStyle name="Followed Hyperlink" xfId="5330" builtinId="9" hidden="1"/>
    <cellStyle name="Followed Hyperlink" xfId="5331" builtinId="9" hidden="1"/>
    <cellStyle name="Followed Hyperlink" xfId="5332" builtinId="9" hidden="1"/>
    <cellStyle name="Followed Hyperlink" xfId="5333" builtinId="9" hidden="1"/>
    <cellStyle name="Followed Hyperlink" xfId="5334" builtinId="9" hidden="1"/>
    <cellStyle name="Followed Hyperlink" xfId="5335" builtinId="9" hidden="1"/>
    <cellStyle name="Followed Hyperlink" xfId="5336" builtinId="9" hidden="1"/>
    <cellStyle name="Followed Hyperlink" xfId="5337"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3" builtinId="9" hidden="1"/>
    <cellStyle name="Followed Hyperlink" xfId="5364" builtinId="9" hidden="1"/>
    <cellStyle name="Followed Hyperlink" xfId="5365" builtinId="9" hidden="1"/>
    <cellStyle name="Followed Hyperlink" xfId="5366" builtinId="9" hidden="1"/>
    <cellStyle name="Followed Hyperlink" xfId="5367" builtinId="9" hidden="1"/>
    <cellStyle name="Followed Hyperlink" xfId="5368" builtinId="9" hidden="1"/>
    <cellStyle name="Followed Hyperlink" xfId="5369" builtinId="9" hidden="1"/>
    <cellStyle name="Followed Hyperlink" xfId="5370" builtinId="9" hidden="1"/>
    <cellStyle name="Followed Hyperlink" xfId="5371" builtinId="9" hidden="1"/>
    <cellStyle name="Followed Hyperlink" xfId="5372" builtinId="9" hidden="1"/>
    <cellStyle name="Followed Hyperlink" xfId="5373" builtinId="9" hidden="1"/>
    <cellStyle name="Followed Hyperlink" xfId="5374" builtinId="9" hidden="1"/>
    <cellStyle name="Followed Hyperlink" xfId="5375" builtinId="9" hidden="1"/>
    <cellStyle name="Followed Hyperlink" xfId="5376" builtinId="9" hidden="1"/>
    <cellStyle name="Followed Hyperlink" xfId="5377" builtinId="9" hidden="1"/>
    <cellStyle name="Followed Hyperlink" xfId="5378" builtinId="9" hidden="1"/>
    <cellStyle name="Followed Hyperlink" xfId="5379" builtinId="9" hidden="1"/>
    <cellStyle name="Followed Hyperlink" xfId="5380" builtinId="9" hidden="1"/>
    <cellStyle name="Followed Hyperlink" xfId="5381"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6" builtinId="9" hidden="1"/>
    <cellStyle name="Followed Hyperlink" xfId="5407" builtinId="9" hidden="1"/>
    <cellStyle name="Followed Hyperlink" xfId="5408" builtinId="9" hidden="1"/>
    <cellStyle name="Followed Hyperlink" xfId="5409" builtinId="9" hidden="1"/>
    <cellStyle name="Followed Hyperlink" xfId="5410" builtinId="9" hidden="1"/>
    <cellStyle name="Followed Hyperlink" xfId="5411" builtinId="9" hidden="1"/>
    <cellStyle name="Followed Hyperlink" xfId="5412" builtinId="9" hidden="1"/>
    <cellStyle name="Followed Hyperlink" xfId="5413" builtinId="9" hidden="1"/>
    <cellStyle name="Followed Hyperlink" xfId="5414" builtinId="9" hidden="1"/>
    <cellStyle name="Followed Hyperlink" xfId="5415" builtinId="9" hidden="1"/>
    <cellStyle name="Followed Hyperlink" xfId="5416" builtinId="9" hidden="1"/>
    <cellStyle name="Followed Hyperlink" xfId="5417" builtinId="9" hidden="1"/>
    <cellStyle name="Followed Hyperlink" xfId="5418" builtinId="9" hidden="1"/>
    <cellStyle name="Followed Hyperlink" xfId="5419" builtinId="9" hidden="1"/>
    <cellStyle name="Followed Hyperlink" xfId="5420" builtinId="9" hidden="1"/>
    <cellStyle name="Followed Hyperlink" xfId="5421" builtinId="9" hidden="1"/>
    <cellStyle name="Followed Hyperlink" xfId="5422" builtinId="9" hidden="1"/>
    <cellStyle name="Followed Hyperlink" xfId="5423" builtinId="9" hidden="1"/>
    <cellStyle name="Followed Hyperlink" xfId="5424" builtinId="9" hidden="1"/>
    <cellStyle name="Followed Hyperlink" xfId="5425" builtinId="9" hidden="1"/>
    <cellStyle name="Followed Hyperlink" xfId="5426" builtinId="9" hidden="1"/>
    <cellStyle name="Followed Hyperlink" xfId="5427" builtinId="9" hidden="1"/>
    <cellStyle name="Followed Hyperlink" xfId="5428" builtinId="9" hidden="1"/>
    <cellStyle name="Followed Hyperlink" xfId="5429" builtinId="9" hidden="1"/>
    <cellStyle name="Followed Hyperlink" xfId="5430" builtinId="9" hidden="1"/>
    <cellStyle name="Followed Hyperlink" xfId="5431" builtinId="9" hidden="1"/>
    <cellStyle name="Followed Hyperlink" xfId="5432" builtinId="9" hidden="1"/>
    <cellStyle name="Followed Hyperlink" xfId="5433" builtinId="9" hidden="1"/>
    <cellStyle name="Followed Hyperlink" xfId="5434" builtinId="9" hidden="1"/>
    <cellStyle name="Followed Hyperlink" xfId="5435" builtinId="9" hidden="1"/>
    <cellStyle name="Followed Hyperlink" xfId="5436" builtinId="9" hidden="1"/>
    <cellStyle name="Followed Hyperlink" xfId="5437" builtinId="9" hidden="1"/>
    <cellStyle name="Followed Hyperlink" xfId="5438" builtinId="9" hidden="1"/>
    <cellStyle name="Followed Hyperlink" xfId="5439" builtinId="9" hidden="1"/>
    <cellStyle name="Followed Hyperlink" xfId="5440" builtinId="9" hidden="1"/>
    <cellStyle name="Followed Hyperlink" xfId="5441" builtinId="9" hidden="1"/>
    <cellStyle name="Followed Hyperlink" xfId="5442" builtinId="9" hidden="1"/>
    <cellStyle name="Followed Hyperlink" xfId="5443" builtinId="9" hidden="1"/>
    <cellStyle name="Followed Hyperlink" xfId="5444" builtinId="9" hidden="1"/>
    <cellStyle name="Followed Hyperlink" xfId="5445" builtinId="9" hidden="1"/>
    <cellStyle name="Followed Hyperlink" xfId="5446" builtinId="9" hidden="1"/>
    <cellStyle name="Followed Hyperlink" xfId="5447" builtinId="9" hidden="1"/>
    <cellStyle name="Followed Hyperlink" xfId="5448" builtinId="9" hidden="1"/>
    <cellStyle name="Followed Hyperlink" xfId="5449" builtinId="9" hidden="1"/>
    <cellStyle name="Followed Hyperlink" xfId="5450" builtinId="9" hidden="1"/>
    <cellStyle name="Followed Hyperlink" xfId="5451" builtinId="9" hidden="1"/>
    <cellStyle name="Followed Hyperlink" xfId="5452" builtinId="9" hidden="1"/>
    <cellStyle name="Followed Hyperlink" xfId="5453" builtinId="9" hidden="1"/>
    <cellStyle name="Followed Hyperlink" xfId="5454" builtinId="9" hidden="1"/>
    <cellStyle name="Followed Hyperlink" xfId="5455" builtinId="9" hidden="1"/>
    <cellStyle name="Followed Hyperlink" xfId="5456" builtinId="9" hidden="1"/>
    <cellStyle name="Followed Hyperlink" xfId="5457" builtinId="9" hidden="1"/>
    <cellStyle name="Followed Hyperlink" xfId="5458" builtinId="9" hidden="1"/>
    <cellStyle name="Followed Hyperlink" xfId="5459" builtinId="9" hidden="1"/>
    <cellStyle name="Followed Hyperlink" xfId="5460" builtinId="9" hidden="1"/>
    <cellStyle name="Followed Hyperlink" xfId="5461" builtinId="9" hidden="1"/>
    <cellStyle name="Followed Hyperlink" xfId="5462" builtinId="9" hidden="1"/>
    <cellStyle name="Followed Hyperlink" xfId="5463" builtinId="9" hidden="1"/>
    <cellStyle name="Followed Hyperlink" xfId="5464" builtinId="9" hidden="1"/>
    <cellStyle name="Followed Hyperlink" xfId="5465" builtinId="9" hidden="1"/>
    <cellStyle name="Followed Hyperlink" xfId="5466" builtinId="9" hidden="1"/>
    <cellStyle name="Followed Hyperlink" xfId="5467" builtinId="9" hidden="1"/>
    <cellStyle name="Followed Hyperlink" xfId="5468" builtinId="9" hidden="1"/>
    <cellStyle name="Followed Hyperlink" xfId="5469" builtinId="9" hidden="1"/>
    <cellStyle name="Followed Hyperlink" xfId="5470" builtinId="9" hidden="1"/>
    <cellStyle name="Followed Hyperlink" xfId="5471" builtinId="9" hidden="1"/>
    <cellStyle name="Followed Hyperlink" xfId="5472" builtinId="9" hidden="1"/>
    <cellStyle name="Followed Hyperlink" xfId="5473" builtinId="9" hidden="1"/>
    <cellStyle name="Followed Hyperlink" xfId="5474" builtinId="9" hidden="1"/>
    <cellStyle name="Followed Hyperlink" xfId="5475" builtinId="9" hidden="1"/>
    <cellStyle name="Followed Hyperlink" xfId="5476" builtinId="9" hidden="1"/>
    <cellStyle name="Followed Hyperlink" xfId="5477" builtinId="9" hidden="1"/>
    <cellStyle name="Followed Hyperlink" xfId="5478" builtinId="9" hidden="1"/>
    <cellStyle name="Followed Hyperlink" xfId="5479" builtinId="9" hidden="1"/>
    <cellStyle name="Followed Hyperlink" xfId="5480" builtinId="9" hidden="1"/>
    <cellStyle name="Followed Hyperlink" xfId="5481" builtinId="9" hidden="1"/>
    <cellStyle name="Followed Hyperlink" xfId="5482" builtinId="9" hidden="1"/>
    <cellStyle name="Followed Hyperlink" xfId="5483" builtinId="9" hidden="1"/>
    <cellStyle name="Followed Hyperlink" xfId="5484" builtinId="9" hidden="1"/>
    <cellStyle name="Followed Hyperlink" xfId="5485" builtinId="9" hidden="1"/>
    <cellStyle name="Followed Hyperlink" xfId="5486" builtinId="9" hidden="1"/>
    <cellStyle name="Followed Hyperlink" xfId="5487" builtinId="9" hidden="1"/>
    <cellStyle name="Followed Hyperlink" xfId="5488" builtinId="9" hidden="1"/>
    <cellStyle name="Followed Hyperlink" xfId="5489" builtinId="9" hidden="1"/>
    <cellStyle name="Followed Hyperlink" xfId="5490" builtinId="9" hidden="1"/>
    <cellStyle name="Followed Hyperlink" xfId="5491" builtinId="9" hidden="1"/>
    <cellStyle name="Followed Hyperlink" xfId="5657" builtinId="9" hidden="1"/>
    <cellStyle name="Followed Hyperlink" xfId="5660" builtinId="9" hidden="1"/>
    <cellStyle name="Followed Hyperlink" xfId="5735" builtinId="9" hidden="1"/>
    <cellStyle name="Followed Hyperlink" xfId="5576" builtinId="9" hidden="1"/>
    <cellStyle name="Followed Hyperlink" xfId="4713" builtinId="9" hidden="1"/>
    <cellStyle name="Followed Hyperlink" xfId="5647" builtinId="9" hidden="1"/>
    <cellStyle name="Followed Hyperlink" xfId="5548" builtinId="9" hidden="1"/>
    <cellStyle name="Followed Hyperlink" xfId="5727" builtinId="9" hidden="1"/>
    <cellStyle name="Followed Hyperlink" xfId="5547" builtinId="9" hidden="1"/>
    <cellStyle name="Followed Hyperlink" xfId="4520" builtinId="9" hidden="1"/>
    <cellStyle name="Followed Hyperlink" xfId="5857" builtinId="9" hidden="1"/>
    <cellStyle name="Followed Hyperlink" xfId="5724" builtinId="9" hidden="1"/>
    <cellStyle name="Followed Hyperlink" xfId="5625" builtinId="9" hidden="1"/>
    <cellStyle name="Followed Hyperlink" xfId="5545" builtinId="9" hidden="1"/>
    <cellStyle name="Followed Hyperlink" xfId="5546" builtinId="9" hidden="1"/>
    <cellStyle name="Followed Hyperlink" xfId="6209" builtinId="9" hidden="1"/>
    <cellStyle name="Followed Hyperlink" xfId="5863" builtinId="9" hidden="1"/>
    <cellStyle name="Followed Hyperlink" xfId="5876" builtinId="9" hidden="1"/>
    <cellStyle name="Followed Hyperlink" xfId="5773" builtinId="9" hidden="1"/>
    <cellStyle name="Followed Hyperlink" xfId="5772" builtinId="9" hidden="1"/>
    <cellStyle name="Followed Hyperlink" xfId="5771" builtinId="9" hidden="1"/>
    <cellStyle name="Followed Hyperlink" xfId="5770" builtinId="9" hidden="1"/>
    <cellStyle name="Followed Hyperlink" xfId="5572" builtinId="9" hidden="1"/>
    <cellStyle name="Followed Hyperlink" xfId="4044" builtinId="9" hidden="1"/>
    <cellStyle name="Followed Hyperlink" xfId="5543" builtinId="9" hidden="1"/>
    <cellStyle name="Followed Hyperlink" xfId="5839" builtinId="9" hidden="1"/>
    <cellStyle name="Followed Hyperlink" xfId="5541" builtinId="9" hidden="1"/>
    <cellStyle name="Followed Hyperlink" xfId="5542" builtinId="9" hidden="1"/>
    <cellStyle name="Followed Hyperlink" xfId="4716" builtinId="9" hidden="1"/>
    <cellStyle name="Followed Hyperlink" xfId="5736" builtinId="9" hidden="1"/>
    <cellStyle name="Followed Hyperlink" xfId="5567" builtinId="9" hidden="1"/>
    <cellStyle name="Followed Hyperlink" xfId="5568" builtinId="9" hidden="1"/>
    <cellStyle name="Followed Hyperlink" xfId="4100" builtinId="9" hidden="1"/>
    <cellStyle name="Followed Hyperlink" xfId="5769" builtinId="9" hidden="1"/>
    <cellStyle name="Followed Hyperlink" xfId="4046" builtinId="9" hidden="1"/>
    <cellStyle name="Followed Hyperlink" xfId="5827" builtinId="9" hidden="1"/>
    <cellStyle name="Followed Hyperlink" xfId="5802" builtinId="9" hidden="1"/>
    <cellStyle name="Followed Hyperlink" xfId="5768" builtinId="9" hidden="1"/>
    <cellStyle name="Followed Hyperlink" xfId="5811" builtinId="9" hidden="1"/>
    <cellStyle name="Followed Hyperlink" xfId="5750" builtinId="9" hidden="1"/>
    <cellStyle name="Followed Hyperlink" xfId="5813" builtinId="9" hidden="1"/>
    <cellStyle name="Followed Hyperlink" xfId="5767" builtinId="9" hidden="1"/>
    <cellStyle name="Followed Hyperlink" xfId="5766" builtinId="9" hidden="1"/>
    <cellStyle name="Followed Hyperlink" xfId="5765" builtinId="9" hidden="1"/>
    <cellStyle name="Followed Hyperlink" xfId="4749" builtinId="9" hidden="1"/>
    <cellStyle name="Followed Hyperlink" xfId="5748" builtinId="9" hidden="1"/>
    <cellStyle name="Followed Hyperlink" xfId="4167" builtinId="9" hidden="1"/>
    <cellStyle name="Followed Hyperlink" xfId="4748" builtinId="9" hidden="1"/>
    <cellStyle name="Followed Hyperlink" xfId="5824" builtinId="9" hidden="1"/>
    <cellStyle name="Followed Hyperlink" xfId="5788" builtinId="9" hidden="1"/>
    <cellStyle name="Followed Hyperlink" xfId="5676" builtinId="9" hidden="1"/>
    <cellStyle name="Followed Hyperlink" xfId="5638" builtinId="9" hidden="1"/>
    <cellStyle name="Followed Hyperlink" xfId="5616" builtinId="9" hidden="1"/>
    <cellStyle name="Followed Hyperlink" xfId="5566" builtinId="9" hidden="1"/>
    <cellStyle name="Followed Hyperlink" xfId="4521" builtinId="9" hidden="1"/>
    <cellStyle name="Followed Hyperlink" xfId="5732" builtinId="9" hidden="1"/>
    <cellStyle name="Followed Hyperlink" xfId="5624" builtinId="9" hidden="1"/>
    <cellStyle name="Followed Hyperlink" xfId="5537" builtinId="9" hidden="1"/>
    <cellStyle name="Followed Hyperlink" xfId="5536" builtinId="9" hidden="1"/>
    <cellStyle name="Followed Hyperlink" xfId="5535" builtinId="9" hidden="1"/>
    <cellStyle name="Followed Hyperlink" xfId="5534" builtinId="9" hidden="1"/>
    <cellStyle name="Followed Hyperlink" xfId="4102" builtinId="9" hidden="1"/>
    <cellStyle name="Followed Hyperlink" xfId="5850" builtinId="9" hidden="1"/>
    <cellStyle name="Followed Hyperlink" xfId="4076" builtinId="9" hidden="1"/>
    <cellStyle name="Followed Hyperlink" xfId="5662" builtinId="9" hidden="1"/>
    <cellStyle name="Followed Hyperlink" xfId="5652" builtinId="9" hidden="1"/>
    <cellStyle name="Followed Hyperlink" xfId="5564" builtinId="9" hidden="1"/>
    <cellStyle name="Followed Hyperlink" xfId="4068" builtinId="9" hidden="1"/>
    <cellStyle name="Followed Hyperlink" xfId="5742" builtinId="9" hidden="1"/>
    <cellStyle name="Followed Hyperlink" xfId="5653" builtinId="9" hidden="1"/>
    <cellStyle name="Followed Hyperlink" xfId="5563" builtinId="9" hidden="1"/>
    <cellStyle name="Followed Hyperlink" xfId="4695" builtinId="9" hidden="1"/>
    <cellStyle name="Followed Hyperlink" xfId="5531" builtinId="9" hidden="1"/>
    <cellStyle name="Followed Hyperlink" xfId="5530" builtinId="9" hidden="1"/>
    <cellStyle name="Followed Hyperlink" xfId="4094" builtinId="9" hidden="1"/>
    <cellStyle name="Followed Hyperlink" xfId="5529" builtinId="9" hidden="1"/>
    <cellStyle name="Followed Hyperlink" xfId="4533" builtinId="9" hidden="1"/>
    <cellStyle name="Followed Hyperlink" xfId="5800" builtinId="9" hidden="1"/>
    <cellStyle name="Followed Hyperlink" xfId="5763" builtinId="9" hidden="1"/>
    <cellStyle name="Followed Hyperlink" xfId="5524" builtinId="9" hidden="1"/>
    <cellStyle name="Followed Hyperlink" xfId="5528" builtinId="9" hidden="1"/>
    <cellStyle name="Followed Hyperlink" xfId="5560" builtinId="9" hidden="1"/>
    <cellStyle name="Followed Hyperlink" xfId="4089" builtinId="9" hidden="1"/>
    <cellStyle name="Followed Hyperlink" xfId="5832" builtinId="9" hidden="1"/>
    <cellStyle name="Followed Hyperlink" xfId="5525" builtinId="9" hidden="1"/>
    <cellStyle name="Followed Hyperlink" xfId="5526" builtinId="9" hidden="1"/>
    <cellStyle name="Followed Hyperlink" xfId="4108" builtinId="9" hidden="1"/>
    <cellStyle name="Followed Hyperlink" xfId="5855" builtinId="9" hidden="1"/>
    <cellStyle name="Followed Hyperlink" xfId="5798" builtinId="9" hidden="1"/>
    <cellStyle name="Followed Hyperlink" xfId="6208" builtinId="9" hidden="1"/>
    <cellStyle name="Followed Hyperlink" xfId="5869" builtinId="9" hidden="1"/>
    <cellStyle name="Followed Hyperlink" xfId="5866" builtinId="9" hidden="1"/>
    <cellStyle name="Followed Hyperlink" xfId="5852" builtinId="9" hidden="1"/>
    <cellStyle name="Followed Hyperlink" xfId="4078" builtinId="9" hidden="1"/>
    <cellStyle name="Followed Hyperlink" xfId="5760" builtinId="9" hidden="1"/>
    <cellStyle name="Followed Hyperlink" xfId="5759" builtinId="9" hidden="1"/>
    <cellStyle name="Followed Hyperlink" xfId="5758" builtinId="9" hidden="1"/>
    <cellStyle name="Followed Hyperlink" xfId="5757" builtinId="9" hidden="1"/>
    <cellStyle name="Followed Hyperlink" xfId="5557" builtinId="9" hidden="1"/>
    <cellStyle name="Followed Hyperlink" xfId="4083" builtinId="9" hidden="1"/>
    <cellStyle name="Followed Hyperlink" xfId="5522" builtinId="9" hidden="1"/>
    <cellStyle name="Followed Hyperlink" xfId="5555" builtinId="9" hidden="1"/>
    <cellStyle name="Followed Hyperlink" xfId="4718" builtinId="9" hidden="1"/>
    <cellStyle name="Followed Hyperlink" xfId="5854" builtinId="9" hidden="1"/>
    <cellStyle name="Followed Hyperlink" xfId="5797" builtinId="9" hidden="1"/>
    <cellStyle name="Followed Hyperlink" xfId="5795" builtinId="9" hidden="1"/>
    <cellStyle name="Followed Hyperlink" xfId="5755" builtinId="9" hidden="1"/>
    <cellStyle name="Followed Hyperlink" xfId="5097" builtinId="9" hidden="1"/>
    <cellStyle name="Followed Hyperlink" xfId="5849" builtinId="9" hidden="1"/>
    <cellStyle name="Followed Hyperlink" xfId="5847" builtinId="9" hidden="1"/>
    <cellStyle name="Followed Hyperlink" xfId="5875" builtinId="9" hidden="1"/>
    <cellStyle name="Followed Hyperlink" xfId="4096" builtinId="9" hidden="1"/>
    <cellStyle name="Followed Hyperlink" xfId="5517" builtinId="9" hidden="1"/>
    <cellStyle name="Followed Hyperlink" xfId="5518" builtinId="9" hidden="1"/>
    <cellStyle name="Followed Hyperlink" xfId="4621" builtinId="9" hidden="1"/>
    <cellStyle name="Followed Hyperlink" xfId="5240" builtinId="9" hidden="1"/>
    <cellStyle name="Followed Hyperlink" xfId="5793" builtinId="9" hidden="1"/>
    <cellStyle name="Followed Hyperlink" xfId="5808" builtinId="9" hidden="1"/>
    <cellStyle name="Followed Hyperlink" xfId="5679" builtinId="9" hidden="1"/>
    <cellStyle name="Followed Hyperlink" xfId="5809" builtinId="9" hidden="1"/>
    <cellStyle name="Followed Hyperlink" xfId="5746" builtinId="9" hidden="1"/>
    <cellStyle name="Followed Hyperlink" xfId="5668" builtinId="9" hidden="1"/>
    <cellStyle name="Followed Hyperlink" xfId="5626" builtinId="9" hidden="1"/>
    <cellStyle name="Followed Hyperlink" xfId="5635" builtinId="9" hidden="1"/>
    <cellStyle name="Followed Hyperlink" xfId="5823" builtinId="9" hidden="1"/>
    <cellStyle name="Followed Hyperlink" xfId="5787" builtinId="9" hidden="1"/>
    <cellStyle name="Followed Hyperlink" xfId="5674" builtinId="9" hidden="1"/>
    <cellStyle name="Followed Hyperlink" xfId="5656" builtinId="9" hidden="1"/>
    <cellStyle name="Followed Hyperlink" xfId="5821" builtinId="9" hidden="1"/>
    <cellStyle name="Followed Hyperlink" xfId="5785" builtinId="9" hidden="1"/>
    <cellStyle name="Followed Hyperlink" xfId="5733" builtinId="9" hidden="1"/>
    <cellStyle name="Followed Hyperlink" xfId="5664" builtinId="9" hidden="1"/>
    <cellStyle name="Followed Hyperlink" xfId="5550" builtinId="9" hidden="1"/>
    <cellStyle name="Followed Hyperlink" xfId="5649" builtinId="9" hidden="1"/>
    <cellStyle name="Followed Hyperlink" xfId="5725" builtinId="9" hidden="1"/>
    <cellStyle name="Followed Hyperlink" xfId="5516" builtinId="9" hidden="1"/>
    <cellStyle name="Followed Hyperlink" xfId="5615" builtinId="9" hidden="1"/>
    <cellStyle name="Followed Hyperlink" xfId="5717" builtinId="9" hidden="1"/>
    <cellStyle name="Followed Hyperlink" xfId="4719" builtinId="9" hidden="1"/>
    <cellStyle name="Followed Hyperlink" xfId="5716" builtinId="9" hidden="1"/>
    <cellStyle name="Followed Hyperlink" xfId="5659" builtinId="9" hidden="1"/>
    <cellStyle name="Followed Hyperlink" xfId="4156" builtinId="9" hidden="1"/>
    <cellStyle name="Followed Hyperlink" xfId="5673" builtinId="9" hidden="1"/>
    <cellStyle name="Followed Hyperlink" xfId="5611" builtinId="9" hidden="1"/>
    <cellStyle name="Followed Hyperlink" xfId="4528" builtinId="9" hidden="1"/>
    <cellStyle name="Followed Hyperlink" xfId="4643" builtinId="9" hidden="1"/>
    <cellStyle name="Followed Hyperlink" xfId="6206" builtinId="9" hidden="1"/>
    <cellStyle name="Followed Hyperlink" xfId="6204" builtinId="9" hidden="1"/>
    <cellStyle name="Followed Hyperlink" xfId="6202" builtinId="9" hidden="1"/>
    <cellStyle name="Followed Hyperlink" xfId="6200" builtinId="9" hidden="1"/>
    <cellStyle name="Followed Hyperlink" xfId="6198" builtinId="9" hidden="1"/>
    <cellStyle name="Followed Hyperlink" xfId="6196" builtinId="9" hidden="1"/>
    <cellStyle name="Followed Hyperlink" xfId="6194" builtinId="9" hidden="1"/>
    <cellStyle name="Followed Hyperlink" xfId="6192" builtinId="9" hidden="1"/>
    <cellStyle name="Followed Hyperlink" xfId="6190" builtinId="9" hidden="1"/>
    <cellStyle name="Followed Hyperlink" xfId="6188" builtinId="9" hidden="1"/>
    <cellStyle name="Followed Hyperlink" xfId="6186" builtinId="9" hidden="1"/>
    <cellStyle name="Followed Hyperlink" xfId="6184" builtinId="9" hidden="1"/>
    <cellStyle name="Followed Hyperlink" xfId="6182" builtinId="9" hidden="1"/>
    <cellStyle name="Followed Hyperlink" xfId="6180" builtinId="9" hidden="1"/>
    <cellStyle name="Followed Hyperlink" xfId="6178" builtinId="9" hidden="1"/>
    <cellStyle name="Followed Hyperlink" xfId="6176" builtinId="9" hidden="1"/>
    <cellStyle name="Followed Hyperlink" xfId="6174" builtinId="9" hidden="1"/>
    <cellStyle name="Followed Hyperlink" xfId="6172" builtinId="9" hidden="1"/>
    <cellStyle name="Followed Hyperlink" xfId="6170" builtinId="9" hidden="1"/>
    <cellStyle name="Followed Hyperlink" xfId="6168" builtinId="9" hidden="1"/>
    <cellStyle name="Followed Hyperlink" xfId="6166" builtinId="9" hidden="1"/>
    <cellStyle name="Followed Hyperlink" xfId="6164" builtinId="9" hidden="1"/>
    <cellStyle name="Followed Hyperlink" xfId="6162" builtinId="9" hidden="1"/>
    <cellStyle name="Followed Hyperlink" xfId="6160" builtinId="9" hidden="1"/>
    <cellStyle name="Followed Hyperlink" xfId="6158" builtinId="9" hidden="1"/>
    <cellStyle name="Followed Hyperlink" xfId="6156" builtinId="9" hidden="1"/>
    <cellStyle name="Followed Hyperlink" xfId="6154" builtinId="9" hidden="1"/>
    <cellStyle name="Followed Hyperlink" xfId="6152" builtinId="9" hidden="1"/>
    <cellStyle name="Followed Hyperlink" xfId="6150" builtinId="9" hidden="1"/>
    <cellStyle name="Followed Hyperlink" xfId="6148" builtinId="9" hidden="1"/>
    <cellStyle name="Followed Hyperlink" xfId="6146" builtinId="9" hidden="1"/>
    <cellStyle name="Followed Hyperlink" xfId="6144" builtinId="9" hidden="1"/>
    <cellStyle name="Followed Hyperlink" xfId="6142" builtinId="9" hidden="1"/>
    <cellStyle name="Followed Hyperlink" xfId="6140" builtinId="9" hidden="1"/>
    <cellStyle name="Followed Hyperlink" xfId="6138" builtinId="9" hidden="1"/>
    <cellStyle name="Followed Hyperlink" xfId="6136" builtinId="9" hidden="1"/>
    <cellStyle name="Followed Hyperlink" xfId="6134" builtinId="9" hidden="1"/>
    <cellStyle name="Followed Hyperlink" xfId="6132" builtinId="9" hidden="1"/>
    <cellStyle name="Followed Hyperlink" xfId="6130" builtinId="9" hidden="1"/>
    <cellStyle name="Followed Hyperlink" xfId="6128" builtinId="9" hidden="1"/>
    <cellStyle name="Followed Hyperlink" xfId="6126" builtinId="9" hidden="1"/>
    <cellStyle name="Followed Hyperlink" xfId="6124" builtinId="9" hidden="1"/>
    <cellStyle name="Followed Hyperlink" xfId="6122" builtinId="9" hidden="1"/>
    <cellStyle name="Followed Hyperlink" xfId="6120" builtinId="9" hidden="1"/>
    <cellStyle name="Followed Hyperlink" xfId="6118" builtinId="9" hidden="1"/>
    <cellStyle name="Followed Hyperlink" xfId="6116" builtinId="9" hidden="1"/>
    <cellStyle name="Followed Hyperlink" xfId="6114" builtinId="9" hidden="1"/>
    <cellStyle name="Followed Hyperlink" xfId="6112" builtinId="9" hidden="1"/>
    <cellStyle name="Followed Hyperlink" xfId="6110" builtinId="9" hidden="1"/>
    <cellStyle name="Followed Hyperlink" xfId="6108" builtinId="9" hidden="1"/>
    <cellStyle name="Followed Hyperlink" xfId="6106" builtinId="9" hidden="1"/>
    <cellStyle name="Followed Hyperlink" xfId="6104" builtinId="9" hidden="1"/>
    <cellStyle name="Followed Hyperlink" xfId="6102" builtinId="9" hidden="1"/>
    <cellStyle name="Followed Hyperlink" xfId="6100" builtinId="9" hidden="1"/>
    <cellStyle name="Followed Hyperlink" xfId="6098" builtinId="9" hidden="1"/>
    <cellStyle name="Followed Hyperlink" xfId="6096" builtinId="9" hidden="1"/>
    <cellStyle name="Followed Hyperlink" xfId="6094" builtinId="9" hidden="1"/>
    <cellStyle name="Followed Hyperlink" xfId="6092" builtinId="9" hidden="1"/>
    <cellStyle name="Followed Hyperlink" xfId="6090" builtinId="9" hidden="1"/>
    <cellStyle name="Followed Hyperlink" xfId="6088" builtinId="9" hidden="1"/>
    <cellStyle name="Followed Hyperlink" xfId="6086" builtinId="9" hidden="1"/>
    <cellStyle name="Followed Hyperlink" xfId="6084" builtinId="9" hidden="1"/>
    <cellStyle name="Followed Hyperlink" xfId="6082" builtinId="9" hidden="1"/>
    <cellStyle name="Followed Hyperlink" xfId="6080" builtinId="9" hidden="1"/>
    <cellStyle name="Followed Hyperlink" xfId="6078" builtinId="9" hidden="1"/>
    <cellStyle name="Followed Hyperlink" xfId="6076" builtinId="9" hidden="1"/>
    <cellStyle name="Followed Hyperlink" xfId="6074" builtinId="9" hidden="1"/>
    <cellStyle name="Followed Hyperlink" xfId="6072" builtinId="9" hidden="1"/>
    <cellStyle name="Followed Hyperlink" xfId="6070" builtinId="9" hidden="1"/>
    <cellStyle name="Followed Hyperlink" xfId="6068" builtinId="9" hidden="1"/>
    <cellStyle name="Followed Hyperlink" xfId="6066" builtinId="9" hidden="1"/>
    <cellStyle name="Followed Hyperlink" xfId="6064" builtinId="9" hidden="1"/>
    <cellStyle name="Followed Hyperlink" xfId="6062" builtinId="9" hidden="1"/>
    <cellStyle name="Followed Hyperlink" xfId="6060" builtinId="9" hidden="1"/>
    <cellStyle name="Followed Hyperlink" xfId="6053" builtinId="9" hidden="1"/>
    <cellStyle name="Followed Hyperlink" xfId="6051" builtinId="9" hidden="1"/>
    <cellStyle name="Followed Hyperlink" xfId="6049" builtinId="9" hidden="1"/>
    <cellStyle name="Followed Hyperlink" xfId="6047" builtinId="9" hidden="1"/>
    <cellStyle name="Followed Hyperlink" xfId="6045" builtinId="9" hidden="1"/>
    <cellStyle name="Followed Hyperlink" xfId="6043" builtinId="9" hidden="1"/>
    <cellStyle name="Followed Hyperlink" xfId="6041" builtinId="9" hidden="1"/>
    <cellStyle name="Followed Hyperlink" xfId="6039" builtinId="9" hidden="1"/>
    <cellStyle name="Followed Hyperlink" xfId="6037" builtinId="9" hidden="1"/>
    <cellStyle name="Followed Hyperlink" xfId="6035" builtinId="9" hidden="1"/>
    <cellStyle name="Followed Hyperlink" xfId="6033" builtinId="9" hidden="1"/>
    <cellStyle name="Followed Hyperlink" xfId="6031" builtinId="9" hidden="1"/>
    <cellStyle name="Followed Hyperlink" xfId="6029" builtinId="9" hidden="1"/>
    <cellStyle name="Followed Hyperlink" xfId="6027" builtinId="9" hidden="1"/>
    <cellStyle name="Followed Hyperlink" xfId="6025" builtinId="9" hidden="1"/>
    <cellStyle name="Followed Hyperlink" xfId="6023" builtinId="9" hidden="1"/>
    <cellStyle name="Followed Hyperlink" xfId="6021" builtinId="9" hidden="1"/>
    <cellStyle name="Followed Hyperlink" xfId="6019" builtinId="9" hidden="1"/>
    <cellStyle name="Followed Hyperlink" xfId="6017" builtinId="9" hidden="1"/>
    <cellStyle name="Followed Hyperlink" xfId="6015" builtinId="9" hidden="1"/>
    <cellStyle name="Followed Hyperlink" xfId="6013" builtinId="9" hidden="1"/>
    <cellStyle name="Followed Hyperlink" xfId="6011" builtinId="9" hidden="1"/>
    <cellStyle name="Followed Hyperlink" xfId="6009" builtinId="9" hidden="1"/>
    <cellStyle name="Followed Hyperlink" xfId="6008" builtinId="9" hidden="1"/>
    <cellStyle name="Followed Hyperlink" xfId="6006" builtinId="9" hidden="1"/>
    <cellStyle name="Followed Hyperlink" xfId="6004" builtinId="9" hidden="1"/>
    <cellStyle name="Followed Hyperlink" xfId="6002" builtinId="9" hidden="1"/>
    <cellStyle name="Followed Hyperlink" xfId="6000" builtinId="9" hidden="1"/>
    <cellStyle name="Followed Hyperlink" xfId="5998" builtinId="9" hidden="1"/>
    <cellStyle name="Followed Hyperlink" xfId="5996" builtinId="9" hidden="1"/>
    <cellStyle name="Followed Hyperlink" xfId="5994" builtinId="9" hidden="1"/>
    <cellStyle name="Followed Hyperlink" xfId="5992" builtinId="9" hidden="1"/>
    <cellStyle name="Followed Hyperlink" xfId="5990" builtinId="9" hidden="1"/>
    <cellStyle name="Followed Hyperlink" xfId="5988" builtinId="9" hidden="1"/>
    <cellStyle name="Followed Hyperlink" xfId="5986" builtinId="9" hidden="1"/>
    <cellStyle name="Followed Hyperlink" xfId="5984" builtinId="9" hidden="1"/>
    <cellStyle name="Followed Hyperlink" xfId="5982" builtinId="9" hidden="1"/>
    <cellStyle name="Followed Hyperlink" xfId="5980" builtinId="9" hidden="1"/>
    <cellStyle name="Followed Hyperlink" xfId="5978" builtinId="9" hidden="1"/>
    <cellStyle name="Followed Hyperlink" xfId="5976" builtinId="9" hidden="1"/>
    <cellStyle name="Followed Hyperlink" xfId="5974" builtinId="9" hidden="1"/>
    <cellStyle name="Followed Hyperlink" xfId="5972" builtinId="9" hidden="1"/>
    <cellStyle name="Followed Hyperlink" xfId="5970" builtinId="9" hidden="1"/>
    <cellStyle name="Followed Hyperlink" xfId="5968" builtinId="9" hidden="1"/>
    <cellStyle name="Followed Hyperlink" xfId="5966" builtinId="9" hidden="1"/>
    <cellStyle name="Followed Hyperlink" xfId="5964" builtinId="9" hidden="1"/>
    <cellStyle name="Followed Hyperlink" xfId="5962" builtinId="9" hidden="1"/>
    <cellStyle name="Followed Hyperlink" xfId="5960" builtinId="9" hidden="1"/>
    <cellStyle name="Followed Hyperlink" xfId="5958" builtinId="9" hidden="1"/>
    <cellStyle name="Followed Hyperlink" xfId="5956" builtinId="9" hidden="1"/>
    <cellStyle name="Followed Hyperlink" xfId="5954" builtinId="9" hidden="1"/>
    <cellStyle name="Followed Hyperlink" xfId="5952" builtinId="9" hidden="1"/>
    <cellStyle name="Followed Hyperlink" xfId="5950" builtinId="9" hidden="1"/>
    <cellStyle name="Followed Hyperlink" xfId="5948" builtinId="9" hidden="1"/>
    <cellStyle name="Followed Hyperlink" xfId="5946" builtinId="9" hidden="1"/>
    <cellStyle name="Followed Hyperlink" xfId="5944" builtinId="9" hidden="1"/>
    <cellStyle name="Followed Hyperlink" xfId="5942" builtinId="9" hidden="1"/>
    <cellStyle name="Followed Hyperlink" xfId="5940" builtinId="9" hidden="1"/>
    <cellStyle name="Followed Hyperlink" xfId="5938" builtinId="9" hidden="1"/>
    <cellStyle name="Followed Hyperlink" xfId="5936" builtinId="9" hidden="1"/>
    <cellStyle name="Followed Hyperlink" xfId="5934" builtinId="9" hidden="1"/>
    <cellStyle name="Followed Hyperlink" xfId="5932" builtinId="9" hidden="1"/>
    <cellStyle name="Followed Hyperlink" xfId="5930" builtinId="9" hidden="1"/>
    <cellStyle name="Followed Hyperlink" xfId="5928" builtinId="9" hidden="1"/>
    <cellStyle name="Followed Hyperlink" xfId="5926" builtinId="9" hidden="1"/>
    <cellStyle name="Followed Hyperlink" xfId="5924" builtinId="9" hidden="1"/>
    <cellStyle name="Followed Hyperlink" xfId="5922" builtinId="9" hidden="1"/>
    <cellStyle name="Followed Hyperlink" xfId="5920" builtinId="9" hidden="1"/>
    <cellStyle name="Followed Hyperlink" xfId="5918" builtinId="9" hidden="1"/>
    <cellStyle name="Followed Hyperlink" xfId="5916" builtinId="9" hidden="1"/>
    <cellStyle name="Followed Hyperlink" xfId="5914" builtinId="9" hidden="1"/>
    <cellStyle name="Followed Hyperlink" xfId="5912" builtinId="9" hidden="1"/>
    <cellStyle name="Followed Hyperlink" xfId="5910" builtinId="9" hidden="1"/>
    <cellStyle name="Followed Hyperlink" xfId="5908" builtinId="9" hidden="1"/>
    <cellStyle name="Followed Hyperlink" xfId="5906" builtinId="9" hidden="1"/>
    <cellStyle name="Followed Hyperlink" xfId="5905" builtinId="9" hidden="1"/>
    <cellStyle name="Followed Hyperlink" xfId="5903" builtinId="9" hidden="1"/>
    <cellStyle name="Followed Hyperlink" xfId="5901" builtinId="9" hidden="1"/>
    <cellStyle name="Followed Hyperlink" xfId="5899" builtinId="9" hidden="1"/>
    <cellStyle name="Followed Hyperlink" xfId="5897" builtinId="9" hidden="1"/>
    <cellStyle name="Followed Hyperlink" xfId="5895" builtinId="9" hidden="1"/>
    <cellStyle name="Followed Hyperlink" xfId="5893" builtinId="9" hidden="1"/>
    <cellStyle name="Followed Hyperlink" xfId="5891" builtinId="9" hidden="1"/>
    <cellStyle name="Followed Hyperlink" xfId="5889" builtinId="9" hidden="1"/>
    <cellStyle name="Followed Hyperlink" xfId="5887" builtinId="9" hidden="1"/>
    <cellStyle name="Followed Hyperlink" xfId="5885" builtinId="9" hidden="1"/>
    <cellStyle name="Followed Hyperlink" xfId="5883" builtinId="9" hidden="1"/>
    <cellStyle name="Followed Hyperlink" xfId="5881" builtinId="9" hidden="1"/>
    <cellStyle name="Followed Hyperlink" xfId="5879" builtinId="9" hidden="1"/>
    <cellStyle name="Followed Hyperlink" xfId="4042" builtinId="9" hidden="1"/>
    <cellStyle name="Followed Hyperlink" xfId="4862" builtinId="9" hidden="1"/>
    <cellStyle name="Followed Hyperlink" xfId="4546" builtinId="9" hidden="1"/>
    <cellStyle name="Followed Hyperlink" xfId="4581" builtinId="9" hidden="1"/>
    <cellStyle name="Followed Hyperlink" xfId="4363" builtinId="9" hidden="1"/>
    <cellStyle name="Followed Hyperlink" xfId="4660" builtinId="9" hidden="1"/>
    <cellStyle name="Followed Hyperlink" xfId="4791" builtinId="9" hidden="1"/>
    <cellStyle name="Followed Hyperlink" xfId="4890" builtinId="9" hidden="1"/>
    <cellStyle name="Followed Hyperlink" xfId="4901" builtinId="9" hidden="1"/>
    <cellStyle name="Followed Hyperlink" xfId="4829" builtinId="9" hidden="1"/>
    <cellStyle name="Followed Hyperlink" xfId="4212" builtinId="9" hidden="1"/>
    <cellStyle name="Followed Hyperlink" xfId="4583" builtinId="9" hidden="1"/>
    <cellStyle name="Followed Hyperlink" xfId="4552" builtinId="9" hidden="1"/>
    <cellStyle name="Followed Hyperlink" xfId="4586" builtinId="9" hidden="1"/>
    <cellStyle name="Followed Hyperlink" xfId="4794" builtinId="9" hidden="1"/>
    <cellStyle name="Followed Hyperlink" xfId="4365" builtinId="9" hidden="1"/>
    <cellStyle name="Followed Hyperlink" xfId="4227" builtinId="9" hidden="1"/>
    <cellStyle name="Followed Hyperlink" xfId="4587" builtinId="9" hidden="1"/>
    <cellStyle name="Followed Hyperlink" xfId="4647" builtinId="9" hidden="1"/>
    <cellStyle name="Followed Hyperlink" xfId="4904" builtinId="9" hidden="1"/>
    <cellStyle name="Followed Hyperlink" xfId="4645" builtinId="9" hidden="1"/>
    <cellStyle name="Followed Hyperlink" xfId="4558" builtinId="9" hidden="1"/>
    <cellStyle name="Followed Hyperlink" xfId="4557" builtinId="9" hidden="1"/>
    <cellStyle name="Followed Hyperlink" xfId="4097" builtinId="9" hidden="1"/>
    <cellStyle name="Followed Hyperlink" xfId="4792" builtinId="9" hidden="1"/>
    <cellStyle name="Followed Hyperlink" xfId="4188" builtinId="9" hidden="1"/>
    <cellStyle name="Followed Hyperlink" xfId="4893" builtinId="9" hidden="1"/>
    <cellStyle name="Followed Hyperlink" xfId="4899" builtinId="9" hidden="1"/>
    <cellStyle name="Followed Hyperlink" xfId="4661" builtinId="9" hidden="1"/>
    <cellStyle name="Followed Hyperlink" xfId="4548" builtinId="9" hidden="1"/>
    <cellStyle name="Followed Hyperlink" xfId="4892" builtinId="9" hidden="1"/>
    <cellStyle name="Followed Hyperlink" xfId="5878" builtinId="9" hidden="1"/>
    <cellStyle name="Followed Hyperlink" xfId="5882" builtinId="9" hidden="1"/>
    <cellStyle name="Followed Hyperlink" xfId="5886" builtinId="9" hidden="1"/>
    <cellStyle name="Followed Hyperlink" xfId="5890" builtinId="9" hidden="1"/>
    <cellStyle name="Followed Hyperlink" xfId="5894" builtinId="9" hidden="1"/>
    <cellStyle name="Followed Hyperlink" xfId="5898" builtinId="9" hidden="1"/>
    <cellStyle name="Followed Hyperlink" xfId="5902" builtinId="9" hidden="1"/>
    <cellStyle name="Followed Hyperlink" xfId="5634" builtinId="9" hidden="1"/>
    <cellStyle name="Followed Hyperlink" xfId="5909" builtinId="9" hidden="1"/>
    <cellStyle name="Followed Hyperlink" xfId="5913" builtinId="9" hidden="1"/>
    <cellStyle name="Followed Hyperlink" xfId="5917" builtinId="9" hidden="1"/>
    <cellStyle name="Followed Hyperlink" xfId="5921" builtinId="9" hidden="1"/>
    <cellStyle name="Followed Hyperlink" xfId="5925" builtinId="9" hidden="1"/>
    <cellStyle name="Followed Hyperlink" xfId="5929" builtinId="9" hidden="1"/>
    <cellStyle name="Followed Hyperlink" xfId="5933" builtinId="9" hidden="1"/>
    <cellStyle name="Followed Hyperlink" xfId="5937" builtinId="9" hidden="1"/>
    <cellStyle name="Followed Hyperlink" xfId="5941" builtinId="9" hidden="1"/>
    <cellStyle name="Followed Hyperlink" xfId="5945" builtinId="9" hidden="1"/>
    <cellStyle name="Followed Hyperlink" xfId="5949" builtinId="9" hidden="1"/>
    <cellStyle name="Followed Hyperlink" xfId="5953" builtinId="9" hidden="1"/>
    <cellStyle name="Followed Hyperlink" xfId="5957" builtinId="9" hidden="1"/>
    <cellStyle name="Followed Hyperlink" xfId="5961" builtinId="9" hidden="1"/>
    <cellStyle name="Followed Hyperlink" xfId="5965" builtinId="9" hidden="1"/>
    <cellStyle name="Followed Hyperlink" xfId="5969" builtinId="9" hidden="1"/>
    <cellStyle name="Followed Hyperlink" xfId="5973" builtinId="9" hidden="1"/>
    <cellStyle name="Followed Hyperlink" xfId="5977" builtinId="9" hidden="1"/>
    <cellStyle name="Followed Hyperlink" xfId="5981" builtinId="9" hidden="1"/>
    <cellStyle name="Followed Hyperlink" xfId="5985" builtinId="9" hidden="1"/>
    <cellStyle name="Followed Hyperlink" xfId="5989" builtinId="9" hidden="1"/>
    <cellStyle name="Followed Hyperlink" xfId="5993" builtinId="9" hidden="1"/>
    <cellStyle name="Followed Hyperlink" xfId="5997" builtinId="9" hidden="1"/>
    <cellStyle name="Followed Hyperlink" xfId="6001" builtinId="9" hidden="1"/>
    <cellStyle name="Followed Hyperlink" xfId="6005" builtinId="9" hidden="1"/>
    <cellStyle name="Followed Hyperlink" xfId="4720" builtinId="9" hidden="1"/>
    <cellStyle name="Followed Hyperlink" xfId="6012" builtinId="9" hidden="1"/>
    <cellStyle name="Followed Hyperlink" xfId="6016" builtinId="9" hidden="1"/>
    <cellStyle name="Followed Hyperlink" xfId="6020" builtinId="9" hidden="1"/>
    <cellStyle name="Followed Hyperlink" xfId="6024" builtinId="9" hidden="1"/>
    <cellStyle name="Followed Hyperlink" xfId="6028" builtinId="9" hidden="1"/>
    <cellStyle name="Followed Hyperlink" xfId="6032" builtinId="9" hidden="1"/>
    <cellStyle name="Followed Hyperlink" xfId="6036" builtinId="9" hidden="1"/>
    <cellStyle name="Followed Hyperlink" xfId="6040" builtinId="9" hidden="1"/>
    <cellStyle name="Followed Hyperlink" xfId="6044" builtinId="9" hidden="1"/>
    <cellStyle name="Followed Hyperlink" xfId="6048" builtinId="9" hidden="1"/>
    <cellStyle name="Followed Hyperlink" xfId="6052" builtinId="9" hidden="1"/>
    <cellStyle name="Followed Hyperlink" xfId="4771" builtinId="9" hidden="1"/>
    <cellStyle name="Followed Hyperlink" xfId="5826" builtinId="9" hidden="1"/>
    <cellStyle name="Followed Hyperlink" xfId="4761" builtinId="9" hidden="1"/>
    <cellStyle name="Followed Hyperlink" xfId="4085" builtinId="9" hidden="1"/>
    <cellStyle name="Followed Hyperlink" xfId="4194" builtinId="9" hidden="1"/>
    <cellStyle name="Followed Hyperlink" xfId="4679" builtinId="9" hidden="1"/>
    <cellStyle name="Followed Hyperlink" xfId="4563" builtinId="9" hidden="1"/>
    <cellStyle name="Followed Hyperlink" xfId="4764" builtinId="9" hidden="1"/>
    <cellStyle name="Followed Hyperlink" xfId="4807" builtinId="9" hidden="1"/>
    <cellStyle name="Followed Hyperlink" xfId="4865" builtinId="9" hidden="1"/>
    <cellStyle name="Followed Hyperlink" xfId="4641" builtinId="9" hidden="1"/>
    <cellStyle name="Followed Hyperlink" xfId="4663" builtinId="9" hidden="1"/>
    <cellStyle name="Followed Hyperlink" xfId="4747" builtinId="9" hidden="1"/>
    <cellStyle name="Followed Hyperlink" xfId="4850" builtinId="9" hidden="1"/>
    <cellStyle name="Followed Hyperlink" xfId="4846" builtinId="9" hidden="1"/>
    <cellStyle name="Followed Hyperlink" xfId="4833" builtinId="9" hidden="1"/>
    <cellStyle name="Followed Hyperlink" xfId="4197" builtinId="9" hidden="1"/>
    <cellStyle name="Followed Hyperlink" xfId="4565" builtinId="9" hidden="1"/>
    <cellStyle name="Followed Hyperlink" xfId="4687" builtinId="9" hidden="1"/>
    <cellStyle name="Followed Hyperlink" xfId="4214" builtinId="9" hidden="1"/>
    <cellStyle name="Followed Hyperlink" xfId="4594" builtinId="9" hidden="1"/>
    <cellStyle name="Followed Hyperlink" xfId="4596" builtinId="9" hidden="1"/>
    <cellStyle name="Followed Hyperlink" xfId="4364" builtinId="9" hidden="1"/>
    <cellStyle name="Followed Hyperlink" xfId="4666" builtinId="9" hidden="1"/>
    <cellStyle name="Followed Hyperlink" xfId="4196" builtinId="9" hidden="1"/>
    <cellStyle name="Followed Hyperlink" xfId="4903" builtinId="9" hidden="1"/>
    <cellStyle name="Followed Hyperlink" xfId="4889" builtinId="9" hidden="1"/>
    <cellStyle name="Followed Hyperlink" xfId="4678" builtinId="9" hidden="1"/>
    <cellStyle name="Followed Hyperlink" xfId="4200" builtinId="9" hidden="1"/>
    <cellStyle name="Followed Hyperlink" xfId="4599" builtinId="9" hidden="1"/>
    <cellStyle name="Followed Hyperlink" xfId="4600" builtinId="9" hidden="1"/>
    <cellStyle name="Followed Hyperlink" xfId="4574" builtinId="9" hidden="1"/>
    <cellStyle name="Followed Hyperlink" xfId="4576" builtinId="9" hidden="1"/>
    <cellStyle name="Followed Hyperlink" xfId="4691" builtinId="9" hidden="1"/>
    <cellStyle name="Followed Hyperlink" xfId="4836" builtinId="9" hidden="1"/>
    <cellStyle name="Followed Hyperlink" xfId="4642" builtinId="9" hidden="1"/>
    <cellStyle name="Followed Hyperlink" xfId="4721" builtinId="9" hidden="1"/>
    <cellStyle name="Followed Hyperlink" xfId="5633" builtinId="9" hidden="1"/>
    <cellStyle name="Followed Hyperlink" xfId="4168" builtinId="9" hidden="1"/>
    <cellStyle name="Followed Hyperlink" xfId="5610" builtinId="9" hidden="1"/>
    <cellStyle name="Followed Hyperlink" xfId="4170" builtinId="9" hidden="1"/>
    <cellStyle name="Followed Hyperlink" xfId="5609" builtinId="9" hidden="1"/>
    <cellStyle name="Followed Hyperlink" xfId="4073" builtinId="9" hidden="1"/>
    <cellStyle name="Followed Hyperlink" xfId="5711" builtinId="9" hidden="1"/>
    <cellStyle name="Followed Hyperlink" xfId="5608" builtinId="9" hidden="1"/>
    <cellStyle name="Followed Hyperlink" xfId="5607" builtinId="9" hidden="1"/>
    <cellStyle name="Followed Hyperlink" xfId="4723" builtinId="9" hidden="1"/>
    <cellStyle name="Followed Hyperlink" xfId="5710" builtinId="9" hidden="1"/>
    <cellStyle name="Followed Hyperlink" xfId="5604" builtinId="9" hidden="1"/>
    <cellStyle name="Followed Hyperlink" xfId="5603" builtinId="9" hidden="1"/>
    <cellStyle name="Followed Hyperlink" xfId="5601" builtinId="9" hidden="1"/>
    <cellStyle name="Followed Hyperlink" xfId="5599" builtinId="9" hidden="1"/>
    <cellStyle name="Followed Hyperlink" xfId="5597" builtinId="9" hidden="1"/>
    <cellStyle name="Followed Hyperlink" xfId="5631" builtinId="9" hidden="1"/>
    <cellStyle name="Followed Hyperlink" xfId="4724" builtinId="9" hidden="1"/>
    <cellStyle name="Followed Hyperlink" xfId="5749" builtinId="9" hidden="1"/>
    <cellStyle name="Followed Hyperlink" xfId="5681" builtinId="9" hidden="1"/>
    <cellStyle name="Followed Hyperlink" xfId="5820" builtinId="9" hidden="1"/>
    <cellStyle name="Followed Hyperlink" xfId="5812" builtinId="9" hidden="1"/>
    <cellStyle name="Followed Hyperlink" xfId="5784" builtinId="9" hidden="1"/>
    <cellStyle name="Followed Hyperlink" xfId="5751" builtinId="9" hidden="1"/>
    <cellStyle name="Followed Hyperlink" xfId="5707" builtinId="9" hidden="1"/>
    <cellStyle name="Followed Hyperlink" xfId="5779" builtinId="9" hidden="1"/>
    <cellStyle name="Followed Hyperlink" xfId="5590" builtinId="9" hidden="1"/>
    <cellStyle name="Followed Hyperlink" xfId="5589" builtinId="9" hidden="1"/>
    <cellStyle name="Followed Hyperlink" xfId="5588" builtinId="9" hidden="1"/>
    <cellStyle name="Followed Hyperlink" xfId="5587" builtinId="9" hidden="1"/>
    <cellStyle name="Followed Hyperlink" xfId="5586" builtinId="9" hidden="1"/>
    <cellStyle name="Followed Hyperlink" xfId="5585" builtinId="9" hidden="1"/>
    <cellStyle name="Followed Hyperlink" xfId="5584" builtinId="9" hidden="1"/>
    <cellStyle name="Followed Hyperlink" xfId="5583" builtinId="9" hidden="1"/>
    <cellStyle name="Followed Hyperlink" xfId="4057" builtinId="9" hidden="1"/>
    <cellStyle name="Followed Hyperlink" xfId="5706" builtinId="9" hidden="1"/>
    <cellStyle name="Followed Hyperlink" xfId="4736" builtinId="9" hidden="1"/>
    <cellStyle name="Followed Hyperlink" xfId="5705" builtinId="9" hidden="1"/>
    <cellStyle name="Followed Hyperlink" xfId="5582" builtinId="9" hidden="1"/>
    <cellStyle name="Followed Hyperlink" xfId="4729" builtinId="9" hidden="1"/>
    <cellStyle name="Followed Hyperlink" xfId="4619" builtinId="9" hidden="1"/>
    <cellStyle name="Followed Hyperlink" xfId="5658" builtinId="9" hidden="1"/>
    <cellStyle name="Followed Hyperlink" xfId="5581" builtinId="9" hidden="1"/>
    <cellStyle name="Followed Hyperlink" xfId="4074" builtinId="9" hidden="1"/>
    <cellStyle name="Followed Hyperlink" xfId="5671" builtinId="9" hidden="1"/>
    <cellStyle name="Followed Hyperlink" xfId="5670" builtinId="9" hidden="1"/>
    <cellStyle name="Followed Hyperlink" xfId="5704" builtinId="9" hidden="1"/>
    <cellStyle name="Followed Hyperlink" xfId="5648" builtinId="9" hidden="1"/>
    <cellStyle name="Followed Hyperlink" xfId="4045" builtinId="9" hidden="1"/>
    <cellStyle name="Followed Hyperlink" xfId="5580" builtinId="9" hidden="1"/>
    <cellStyle name="Followed Hyperlink" xfId="4730" builtinId="9" hidden="1"/>
    <cellStyle name="Followed Hyperlink" xfId="4169" builtinId="9" hidden="1"/>
    <cellStyle name="Followed Hyperlink" xfId="5669" builtinId="9" hidden="1"/>
    <cellStyle name="Followed Hyperlink" xfId="5703" builtinId="9" hidden="1"/>
    <cellStyle name="Followed Hyperlink" xfId="4523" builtinId="9" hidden="1"/>
    <cellStyle name="Followed Hyperlink" xfId="4171" builtinId="9" hidden="1"/>
    <cellStyle name="Followed Hyperlink" xfId="5702" builtinId="9" hidden="1"/>
    <cellStyle name="Followed Hyperlink" xfId="4759" builtinId="9" hidden="1"/>
    <cellStyle name="Followed Hyperlink" xfId="5701" builtinId="9" hidden="1"/>
    <cellStyle name="Followed Hyperlink" xfId="4165" builtinId="9" hidden="1"/>
    <cellStyle name="Followed Hyperlink" xfId="4769" builtinId="9" hidden="1"/>
    <cellStyle name="Followed Hyperlink" xfId="5684" builtinId="9" hidden="1"/>
    <cellStyle name="Followed Hyperlink" xfId="5342" builtinId="9" hidden="1"/>
    <cellStyle name="Followed Hyperlink" xfId="4751" builtinId="9" hidden="1"/>
    <cellStyle name="Followed Hyperlink" xfId="4712" builtinId="9" hidden="1"/>
    <cellStyle name="Followed Hyperlink" xfId="4164" builtinId="9" hidden="1"/>
    <cellStyle name="Followed Hyperlink" xfId="4693" builtinId="9" hidden="1"/>
    <cellStyle name="Followed Hyperlink" xfId="5851" builtinId="9" hidden="1"/>
    <cellStyle name="Followed Hyperlink" xfId="5683" builtinId="9" hidden="1"/>
    <cellStyle name="Followed Hyperlink" xfId="5726" builtinId="9" hidden="1"/>
    <cellStyle name="Followed Hyperlink" xfId="5579" builtinId="9" hidden="1"/>
    <cellStyle name="Followed Hyperlink" xfId="5283" builtinId="9" hidden="1"/>
    <cellStyle name="Followed Hyperlink" xfId="4868" builtinId="9" hidden="1"/>
    <cellStyle name="Followed Hyperlink" xfId="5338" builtinId="9" hidden="1"/>
    <cellStyle name="Followed Hyperlink" xfId="4161" builtinId="9" hidden="1"/>
    <cellStyle name="Followed Hyperlink" xfId="4835" builtinId="9" hidden="1"/>
    <cellStyle name="Followed Hyperlink" xfId="5682" builtinId="9" hidden="1"/>
    <cellStyle name="Followed Hyperlink" xfId="5284" builtinId="9" hidden="1"/>
    <cellStyle name="Followed Hyperlink" xfId="4884" builtinId="9" hidden="1"/>
    <cellStyle name="Followed Hyperlink" xfId="5285" builtinId="9" hidden="1"/>
    <cellStyle name="Followed Hyperlink" xfId="4538" builtinId="9" hidden="1"/>
    <cellStyle name="Followed Hyperlink" xfId="5286" builtinId="9" hidden="1"/>
    <cellStyle name="Followed Hyperlink" xfId="4646" builtinId="9" hidden="1"/>
    <cellStyle name="Followed Hyperlink" xfId="3394" builtinId="9" hidden="1"/>
    <cellStyle name="Followed Hyperlink" xfId="5099" builtinId="9" hidden="1"/>
    <cellStyle name="Followed Hyperlink" xfId="4785" builtinId="9" hidden="1"/>
    <cellStyle name="Followed Hyperlink" xfId="6211" builtinId="9" hidden="1"/>
    <cellStyle name="Followed Hyperlink" xfId="6212" builtinId="9" hidden="1"/>
    <cellStyle name="Followed Hyperlink" xfId="6213" builtinId="9" hidden="1"/>
    <cellStyle name="Followed Hyperlink" xfId="6214" builtinId="9" hidden="1"/>
    <cellStyle name="Followed Hyperlink" xfId="6215" builtinId="9" hidden="1"/>
    <cellStyle name="Followed Hyperlink" xfId="6216" builtinId="9" hidden="1"/>
    <cellStyle name="Followed Hyperlink" xfId="6217" builtinId="9" hidden="1"/>
    <cellStyle name="Followed Hyperlink" xfId="6218" builtinId="9" hidden="1"/>
    <cellStyle name="Followed Hyperlink" xfId="6219" builtinId="9" hidden="1"/>
    <cellStyle name="Followed Hyperlink" xfId="6220" builtinId="9" hidden="1"/>
    <cellStyle name="Followed Hyperlink" xfId="6221" builtinId="9" hidden="1"/>
    <cellStyle name="Followed Hyperlink" xfId="6222" builtinId="9" hidden="1"/>
    <cellStyle name="Followed Hyperlink" xfId="6223" builtinId="9" hidden="1"/>
    <cellStyle name="Followed Hyperlink" xfId="6224" builtinId="9" hidden="1"/>
    <cellStyle name="Followed Hyperlink" xfId="6225" builtinId="9" hidden="1"/>
    <cellStyle name="Followed Hyperlink" xfId="6226" builtinId="9" hidden="1"/>
    <cellStyle name="Followed Hyperlink" xfId="6227" builtinId="9" hidden="1"/>
    <cellStyle name="Followed Hyperlink" xfId="6228" builtinId="9" hidden="1"/>
    <cellStyle name="Followed Hyperlink" xfId="6229" builtinId="9" hidden="1"/>
    <cellStyle name="Followed Hyperlink" xfId="6230" builtinId="9" hidden="1"/>
    <cellStyle name="Followed Hyperlink" xfId="6231" builtinId="9" hidden="1"/>
    <cellStyle name="Followed Hyperlink" xfId="6232" builtinId="9" hidden="1"/>
    <cellStyle name="Followed Hyperlink" xfId="6233" builtinId="9" hidden="1"/>
    <cellStyle name="Followed Hyperlink" xfId="6234" builtinId="9" hidden="1"/>
    <cellStyle name="Followed Hyperlink" xfId="6235" builtinId="9" hidden="1"/>
    <cellStyle name="Followed Hyperlink" xfId="6236" builtinId="9" hidden="1"/>
    <cellStyle name="Followed Hyperlink" xfId="6237" builtinId="9" hidden="1"/>
    <cellStyle name="Followed Hyperlink" xfId="6238" builtinId="9" hidden="1"/>
    <cellStyle name="Followed Hyperlink" xfId="6239" builtinId="9" hidden="1"/>
    <cellStyle name="Followed Hyperlink" xfId="6240" builtinId="9" hidden="1"/>
    <cellStyle name="Followed Hyperlink" xfId="6241" builtinId="9" hidden="1"/>
    <cellStyle name="Followed Hyperlink" xfId="6242" builtinId="9" hidden="1"/>
    <cellStyle name="Followed Hyperlink" xfId="6243" builtinId="9" hidden="1"/>
    <cellStyle name="Followed Hyperlink" xfId="6244" builtinId="9" hidden="1"/>
    <cellStyle name="Followed Hyperlink" xfId="6245" builtinId="9" hidden="1"/>
    <cellStyle name="Followed Hyperlink" xfId="6246" builtinId="9" hidden="1"/>
    <cellStyle name="Followed Hyperlink" xfId="6247" builtinId="9" hidden="1"/>
    <cellStyle name="Followed Hyperlink" xfId="6248" builtinId="9" hidden="1"/>
    <cellStyle name="Followed Hyperlink" xfId="6249" builtinId="9" hidden="1"/>
    <cellStyle name="Followed Hyperlink" xfId="6250" builtinId="9" hidden="1"/>
    <cellStyle name="Followed Hyperlink" xfId="6251" builtinId="9" hidden="1"/>
    <cellStyle name="Followed Hyperlink" xfId="6252" builtinId="9" hidden="1"/>
    <cellStyle name="Followed Hyperlink" xfId="6253" builtinId="9" hidden="1"/>
    <cellStyle name="Followed Hyperlink" xfId="6254" builtinId="9" hidden="1"/>
    <cellStyle name="Followed Hyperlink" xfId="6255" builtinId="9" hidden="1"/>
    <cellStyle name="Followed Hyperlink" xfId="6256" builtinId="9" hidden="1"/>
    <cellStyle name="Followed Hyperlink" xfId="6257" builtinId="9" hidden="1"/>
    <cellStyle name="Followed Hyperlink" xfId="6258" builtinId="9" hidden="1"/>
    <cellStyle name="Followed Hyperlink" xfId="6264" builtinId="9" hidden="1"/>
    <cellStyle name="Followed Hyperlink" xfId="6265" builtinId="9" hidden="1"/>
    <cellStyle name="Followed Hyperlink" xfId="6266" builtinId="9" hidden="1"/>
    <cellStyle name="Followed Hyperlink" xfId="6267" builtinId="9" hidden="1"/>
    <cellStyle name="Followed Hyperlink" xfId="6268" builtinId="9" hidden="1"/>
    <cellStyle name="Followed Hyperlink" xfId="6269" builtinId="9" hidden="1"/>
    <cellStyle name="Followed Hyperlink" xfId="6270" builtinId="9" hidden="1"/>
    <cellStyle name="Followed Hyperlink" xfId="6271" builtinId="9" hidden="1"/>
    <cellStyle name="Followed Hyperlink" xfId="6272" builtinId="9" hidden="1"/>
    <cellStyle name="Followed Hyperlink" xfId="6273" builtinId="9" hidden="1"/>
    <cellStyle name="Followed Hyperlink" xfId="6274" builtinId="9" hidden="1"/>
    <cellStyle name="Followed Hyperlink" xfId="6275" builtinId="9" hidden="1"/>
    <cellStyle name="Followed Hyperlink" xfId="6276" builtinId="9" hidden="1"/>
    <cellStyle name="Followed Hyperlink" xfId="6277" builtinId="9" hidden="1"/>
    <cellStyle name="Followed Hyperlink" xfId="6278" builtinId="9" hidden="1"/>
    <cellStyle name="Followed Hyperlink" xfId="6279" builtinId="9" hidden="1"/>
    <cellStyle name="Followed Hyperlink" xfId="6280" builtinId="9" hidden="1"/>
    <cellStyle name="Followed Hyperlink" xfId="6281" builtinId="9" hidden="1"/>
    <cellStyle name="Followed Hyperlink" xfId="6282" builtinId="9" hidden="1"/>
    <cellStyle name="Followed Hyperlink" xfId="6283" builtinId="9" hidden="1"/>
    <cellStyle name="Followed Hyperlink" xfId="6284" builtinId="9" hidden="1"/>
    <cellStyle name="Followed Hyperlink" xfId="6285" builtinId="9" hidden="1"/>
    <cellStyle name="Followed Hyperlink" xfId="6286" builtinId="9" hidden="1"/>
    <cellStyle name="Followed Hyperlink" xfId="6287" builtinId="9" hidden="1"/>
    <cellStyle name="Followed Hyperlink" xfId="6288" builtinId="9" hidden="1"/>
    <cellStyle name="Followed Hyperlink" xfId="6289" builtinId="9" hidden="1"/>
    <cellStyle name="Followed Hyperlink" xfId="6290" builtinId="9" hidden="1"/>
    <cellStyle name="Followed Hyperlink" xfId="6291" builtinId="9" hidden="1"/>
    <cellStyle name="Followed Hyperlink" xfId="6292" builtinId="9" hidden="1"/>
    <cellStyle name="Followed Hyperlink" xfId="6293" builtinId="9" hidden="1"/>
    <cellStyle name="Followed Hyperlink" xfId="6294" builtinId="9" hidden="1"/>
    <cellStyle name="Followed Hyperlink" xfId="6295" builtinId="9" hidden="1"/>
    <cellStyle name="Followed Hyperlink" xfId="6296" builtinId="9" hidden="1"/>
    <cellStyle name="Followed Hyperlink" xfId="6297" builtinId="9" hidden="1"/>
    <cellStyle name="Followed Hyperlink" xfId="6298" builtinId="9" hidden="1"/>
    <cellStyle name="Followed Hyperlink" xfId="6299" builtinId="9" hidden="1"/>
    <cellStyle name="Followed Hyperlink" xfId="6300" builtinId="9" hidden="1"/>
    <cellStyle name="Followed Hyperlink" xfId="6301" builtinId="9" hidden="1"/>
    <cellStyle name="Followed Hyperlink" xfId="6302" builtinId="9" hidden="1"/>
    <cellStyle name="Followed Hyperlink" xfId="6303" builtinId="9" hidden="1"/>
    <cellStyle name="Followed Hyperlink" xfId="6304" builtinId="9" hidden="1"/>
    <cellStyle name="Followed Hyperlink" xfId="6305" builtinId="9" hidden="1"/>
    <cellStyle name="Followed Hyperlink" xfId="6306" builtinId="9" hidden="1"/>
    <cellStyle name="Followed Hyperlink" xfId="6307" builtinId="9" hidden="1"/>
    <cellStyle name="Followed Hyperlink" xfId="6308" builtinId="9" hidden="1"/>
    <cellStyle name="Followed Hyperlink" xfId="6309" builtinId="9" hidden="1"/>
    <cellStyle name="Followed Hyperlink" xfId="6310" builtinId="9" hidden="1"/>
    <cellStyle name="Followed Hyperlink" xfId="6311" builtinId="9" hidden="1"/>
    <cellStyle name="Followed Hyperlink" xfId="6312" builtinId="9" hidden="1"/>
    <cellStyle name="Followed Hyperlink" xfId="6313" builtinId="9" hidden="1"/>
    <cellStyle name="Followed Hyperlink" xfId="6320" builtinId="9" hidden="1"/>
    <cellStyle name="Followed Hyperlink" xfId="6321" builtinId="9" hidden="1"/>
    <cellStyle name="Followed Hyperlink" xfId="6322" builtinId="9" hidden="1"/>
    <cellStyle name="Followed Hyperlink" xfId="6323" builtinId="9" hidden="1"/>
    <cellStyle name="Followed Hyperlink" xfId="6324" builtinId="9" hidden="1"/>
    <cellStyle name="Followed Hyperlink" xfId="6325" builtinId="9" hidden="1"/>
    <cellStyle name="Followed Hyperlink" xfId="6326" builtinId="9" hidden="1"/>
    <cellStyle name="Followed Hyperlink" xfId="6327" builtinId="9" hidden="1"/>
    <cellStyle name="Followed Hyperlink" xfId="6328" builtinId="9" hidden="1"/>
    <cellStyle name="Followed Hyperlink" xfId="6329" builtinId="9" hidden="1"/>
    <cellStyle name="Followed Hyperlink" xfId="6330" builtinId="9" hidden="1"/>
    <cellStyle name="Followed Hyperlink" xfId="6331" builtinId="9" hidden="1"/>
    <cellStyle name="Followed Hyperlink" xfId="6332" builtinId="9" hidden="1"/>
    <cellStyle name="Followed Hyperlink" xfId="6333" builtinId="9" hidden="1"/>
    <cellStyle name="Followed Hyperlink" xfId="6334" builtinId="9" hidden="1"/>
    <cellStyle name="Followed Hyperlink" xfId="6335" builtinId="9" hidden="1"/>
    <cellStyle name="Followed Hyperlink" xfId="6336" builtinId="9" hidden="1"/>
    <cellStyle name="Followed Hyperlink" xfId="6337" builtinId="9" hidden="1"/>
    <cellStyle name="Followed Hyperlink" xfId="6338" builtinId="9" hidden="1"/>
    <cellStyle name="Followed Hyperlink" xfId="6339" builtinId="9" hidden="1"/>
    <cellStyle name="Followed Hyperlink" xfId="6340" builtinId="9" hidden="1"/>
    <cellStyle name="Followed Hyperlink" xfId="6341" builtinId="9" hidden="1"/>
    <cellStyle name="Followed Hyperlink" xfId="6342" builtinId="9" hidden="1"/>
    <cellStyle name="Followed Hyperlink" xfId="6343" builtinId="9" hidden="1"/>
    <cellStyle name="Followed Hyperlink" xfId="6344" builtinId="9" hidden="1"/>
    <cellStyle name="Followed Hyperlink" xfId="6345" builtinId="9" hidden="1"/>
    <cellStyle name="Followed Hyperlink" xfId="6346" builtinId="9" hidden="1"/>
    <cellStyle name="Followed Hyperlink" xfId="6347" builtinId="9" hidden="1"/>
    <cellStyle name="Followed Hyperlink" xfId="6348" builtinId="9" hidden="1"/>
    <cellStyle name="Followed Hyperlink" xfId="6349" builtinId="9" hidden="1"/>
    <cellStyle name="Followed Hyperlink" xfId="6350" builtinId="9" hidden="1"/>
    <cellStyle name="Followed Hyperlink" xfId="6351" builtinId="9" hidden="1"/>
    <cellStyle name="Followed Hyperlink" xfId="6352" builtinId="9" hidden="1"/>
    <cellStyle name="Followed Hyperlink" xfId="6353" builtinId="9" hidden="1"/>
    <cellStyle name="Followed Hyperlink" xfId="6354" builtinId="9" hidden="1"/>
    <cellStyle name="Followed Hyperlink" xfId="6355" builtinId="9" hidden="1"/>
    <cellStyle name="Followed Hyperlink" xfId="6356" builtinId="9" hidden="1"/>
    <cellStyle name="Followed Hyperlink" xfId="6357" builtinId="9" hidden="1"/>
    <cellStyle name="Followed Hyperlink" xfId="6358" builtinId="9" hidden="1"/>
    <cellStyle name="Followed Hyperlink" xfId="6359" builtinId="9" hidden="1"/>
    <cellStyle name="Followed Hyperlink" xfId="6360" builtinId="9" hidden="1"/>
    <cellStyle name="Followed Hyperlink" xfId="6361" builtinId="9" hidden="1"/>
    <cellStyle name="Followed Hyperlink" xfId="6362" builtinId="9" hidden="1"/>
    <cellStyle name="Followed Hyperlink" xfId="6363" builtinId="9" hidden="1"/>
    <cellStyle name="Followed Hyperlink" xfId="6364" builtinId="9" hidden="1"/>
    <cellStyle name="Followed Hyperlink" xfId="6365" builtinId="9" hidden="1"/>
    <cellStyle name="Followed Hyperlink" xfId="6366" builtinId="9" hidden="1"/>
    <cellStyle name="Followed Hyperlink" xfId="6367" builtinId="9" hidden="1"/>
    <cellStyle name="Followed Hyperlink" xfId="6368" builtinId="9" hidden="1"/>
    <cellStyle name="Followed Hyperlink" xfId="6369" builtinId="9" hidden="1"/>
    <cellStyle name="Followed Hyperlink" xfId="6370" builtinId="9" hidden="1"/>
    <cellStyle name="Followed Hyperlink" xfId="6371" builtinId="9" hidden="1"/>
    <cellStyle name="Followed Hyperlink" xfId="6372" builtinId="9" hidden="1"/>
    <cellStyle name="Followed Hyperlink" xfId="6373" builtinId="9" hidden="1"/>
    <cellStyle name="Followed Hyperlink" xfId="6374" builtinId="9" hidden="1"/>
    <cellStyle name="Followed Hyperlink" xfId="6375" builtinId="9" hidden="1"/>
    <cellStyle name="Followed Hyperlink" xfId="6376" builtinId="9" hidden="1"/>
    <cellStyle name="Followed Hyperlink" xfId="6377" builtinId="9" hidden="1"/>
    <cellStyle name="Followed Hyperlink" xfId="6378" builtinId="9" hidden="1"/>
    <cellStyle name="Followed Hyperlink" xfId="6379" builtinId="9" hidden="1"/>
    <cellStyle name="Followed Hyperlink" xfId="6380" builtinId="9" hidden="1"/>
    <cellStyle name="Followed Hyperlink" xfId="6381" builtinId="9" hidden="1"/>
    <cellStyle name="Followed Hyperlink" xfId="6382" builtinId="9" hidden="1"/>
    <cellStyle name="Followed Hyperlink" xfId="6383" builtinId="9" hidden="1"/>
    <cellStyle name="Followed Hyperlink" xfId="6384" builtinId="9" hidden="1"/>
    <cellStyle name="Followed Hyperlink" xfId="6385" builtinId="9" hidden="1"/>
    <cellStyle name="Followed Hyperlink" xfId="6386" builtinId="9" hidden="1"/>
    <cellStyle name="Followed Hyperlink" xfId="6387" builtinId="9" hidden="1"/>
    <cellStyle name="Followed Hyperlink" xfId="6388" builtinId="9" hidden="1"/>
    <cellStyle name="Followed Hyperlink" xfId="6389" builtinId="9" hidden="1"/>
    <cellStyle name="Followed Hyperlink" xfId="6390" builtinId="9" hidden="1"/>
    <cellStyle name="Followed Hyperlink" xfId="6391" builtinId="9" hidden="1"/>
    <cellStyle name="Followed Hyperlink" xfId="6392" builtinId="9" hidden="1"/>
    <cellStyle name="Followed Hyperlink" xfId="6393" builtinId="9" hidden="1"/>
    <cellStyle name="Followed Hyperlink" xfId="6394" builtinId="9" hidden="1"/>
    <cellStyle name="Followed Hyperlink" xfId="6395" builtinId="9" hidden="1"/>
    <cellStyle name="Followed Hyperlink" xfId="6396" builtinId="9" hidden="1"/>
    <cellStyle name="Followed Hyperlink" xfId="6397" builtinId="9" hidden="1"/>
    <cellStyle name="Followed Hyperlink" xfId="6398" builtinId="9" hidden="1"/>
    <cellStyle name="Followed Hyperlink" xfId="6399" builtinId="9" hidden="1"/>
    <cellStyle name="Followed Hyperlink" xfId="6400" builtinId="9" hidden="1"/>
    <cellStyle name="Followed Hyperlink" xfId="6401" builtinId="9" hidden="1"/>
    <cellStyle name="Followed Hyperlink" xfId="6402" builtinId="9" hidden="1"/>
    <cellStyle name="Followed Hyperlink" xfId="6403" builtinId="9" hidden="1"/>
    <cellStyle name="Followed Hyperlink" xfId="6404" builtinId="9" hidden="1"/>
    <cellStyle name="Followed Hyperlink" xfId="6405" builtinId="9" hidden="1"/>
    <cellStyle name="Followed Hyperlink" xfId="6406" builtinId="9" hidden="1"/>
    <cellStyle name="Followed Hyperlink" xfId="6407" builtinId="9" hidden="1"/>
    <cellStyle name="Followed Hyperlink" xfId="6408" builtinId="9" hidden="1"/>
    <cellStyle name="Followed Hyperlink" xfId="6409" builtinId="9" hidden="1"/>
    <cellStyle name="Followed Hyperlink" xfId="6410" builtinId="9" hidden="1"/>
    <cellStyle name="Followed Hyperlink" xfId="6411" builtinId="9" hidden="1"/>
    <cellStyle name="Followed Hyperlink" xfId="6412" builtinId="9" hidden="1"/>
    <cellStyle name="Followed Hyperlink" xfId="6413" builtinId="9" hidden="1"/>
    <cellStyle name="Followed Hyperlink" xfId="6414" builtinId="9" hidden="1"/>
    <cellStyle name="Followed Hyperlink" xfId="6415" builtinId="9" hidden="1"/>
    <cellStyle name="Followed Hyperlink" xfId="6416" builtinId="9" hidden="1"/>
    <cellStyle name="Followed Hyperlink" xfId="6417" builtinId="9" hidden="1"/>
    <cellStyle name="Followed Hyperlink" xfId="6418" builtinId="9" hidden="1"/>
    <cellStyle name="Followed Hyperlink" xfId="6419" builtinId="9" hidden="1"/>
    <cellStyle name="Followed Hyperlink" xfId="6420" builtinId="9" hidden="1"/>
    <cellStyle name="Followed Hyperlink" xfId="6421" builtinId="9" hidden="1"/>
    <cellStyle name="Followed Hyperlink" xfId="6422" builtinId="9" hidden="1"/>
    <cellStyle name="Followed Hyperlink" xfId="6423" builtinId="9" hidden="1"/>
    <cellStyle name="Followed Hyperlink" xfId="6424" builtinId="9" hidden="1"/>
    <cellStyle name="Followed Hyperlink" xfId="6425" builtinId="9" hidden="1"/>
    <cellStyle name="Followed Hyperlink" xfId="6426" builtinId="9" hidden="1"/>
    <cellStyle name="Followed Hyperlink" xfId="6427" builtinId="9" hidden="1"/>
    <cellStyle name="Followed Hyperlink" xfId="6428" builtinId="9" hidden="1"/>
    <cellStyle name="Followed Hyperlink" xfId="6429" builtinId="9" hidden="1"/>
    <cellStyle name="Followed Hyperlink" xfId="6430" builtinId="9" hidden="1"/>
    <cellStyle name="Followed Hyperlink" xfId="6431" builtinId="9" hidden="1"/>
    <cellStyle name="Followed Hyperlink" xfId="6432" builtinId="9" hidden="1"/>
    <cellStyle name="Followed Hyperlink" xfId="6433" builtinId="9" hidden="1"/>
    <cellStyle name="Followed Hyperlink" xfId="6434" builtinId="9" hidden="1"/>
    <cellStyle name="Followed Hyperlink" xfId="6435" builtinId="9" hidden="1"/>
    <cellStyle name="Followed Hyperlink" xfId="6436" builtinId="9" hidden="1"/>
    <cellStyle name="Followed Hyperlink" xfId="6437" builtinId="9" hidden="1"/>
    <cellStyle name="Followed Hyperlink" xfId="6438" builtinId="9" hidden="1"/>
    <cellStyle name="Followed Hyperlink" xfId="6439" builtinId="9" hidden="1"/>
    <cellStyle name="Followed Hyperlink" xfId="6440" builtinId="9" hidden="1"/>
    <cellStyle name="Followed Hyperlink" xfId="6441" builtinId="9" hidden="1"/>
    <cellStyle name="Followed Hyperlink" xfId="6442" builtinId="9" hidden="1"/>
    <cellStyle name="Followed Hyperlink" xfId="6443" builtinId="9" hidden="1"/>
    <cellStyle name="Followed Hyperlink" xfId="6444" builtinId="9" hidden="1"/>
    <cellStyle name="Followed Hyperlink" xfId="6445" builtinId="9" hidden="1"/>
    <cellStyle name="Followed Hyperlink" xfId="6446" builtinId="9" hidden="1"/>
    <cellStyle name="Followed Hyperlink" xfId="6447" builtinId="9" hidden="1"/>
    <cellStyle name="Followed Hyperlink" xfId="6448" builtinId="9" hidden="1"/>
    <cellStyle name="Followed Hyperlink" xfId="6449" builtinId="9" hidden="1"/>
    <cellStyle name="Followed Hyperlink" xfId="6450" builtinId="9" hidden="1"/>
    <cellStyle name="Followed Hyperlink" xfId="6451" builtinId="9" hidden="1"/>
    <cellStyle name="Followed Hyperlink" xfId="6452" builtinId="9" hidden="1"/>
    <cellStyle name="Followed Hyperlink" xfId="6453" builtinId="9" hidden="1"/>
    <cellStyle name="Followed Hyperlink" xfId="6454" builtinId="9" hidden="1"/>
    <cellStyle name="Followed Hyperlink" xfId="6455" builtinId="9" hidden="1"/>
    <cellStyle name="Followed Hyperlink" xfId="6456" builtinId="9" hidden="1"/>
    <cellStyle name="Followed Hyperlink" xfId="6457" builtinId="9" hidden="1"/>
    <cellStyle name="Followed Hyperlink" xfId="6458" builtinId="9" hidden="1"/>
    <cellStyle name="Followed Hyperlink" xfId="6459" builtinId="9" hidden="1"/>
    <cellStyle name="Followed Hyperlink" xfId="6460" builtinId="9" hidden="1"/>
    <cellStyle name="Followed Hyperlink" xfId="6461" builtinId="9" hidden="1"/>
    <cellStyle name="Followed Hyperlink" xfId="6462" builtinId="9" hidden="1"/>
    <cellStyle name="Followed Hyperlink" xfId="6463" builtinId="9" hidden="1"/>
    <cellStyle name="Followed Hyperlink" xfId="6464" builtinId="9" hidden="1"/>
    <cellStyle name="Followed Hyperlink" xfId="6465" builtinId="9" hidden="1"/>
    <cellStyle name="Followed Hyperlink" xfId="6466" builtinId="9" hidden="1"/>
    <cellStyle name="Followed Hyperlink" xfId="6467" builtinId="9" hidden="1"/>
    <cellStyle name="Followed Hyperlink" xfId="5688" builtinId="9" hidden="1"/>
    <cellStyle name="Followed Hyperlink" xfId="6800" builtinId="9" hidden="1"/>
    <cellStyle name="Followed Hyperlink" xfId="6763" builtinId="9" hidden="1"/>
    <cellStyle name="Followed Hyperlink" xfId="6650" builtinId="9" hidden="1"/>
    <cellStyle name="Followed Hyperlink" xfId="6630" builtinId="9" hidden="1"/>
    <cellStyle name="Followed Hyperlink" xfId="6633" builtinId="9" hidden="1"/>
    <cellStyle name="Followed Hyperlink" xfId="6712" builtinId="9" hidden="1"/>
    <cellStyle name="Followed Hyperlink" xfId="6550" builtinId="9" hidden="1"/>
    <cellStyle name="Followed Hyperlink" xfId="4620" builtinId="9" hidden="1"/>
    <cellStyle name="Followed Hyperlink" xfId="6620" builtinId="9" hidden="1"/>
    <cellStyle name="Followed Hyperlink" xfId="6522" builtinId="9" hidden="1"/>
    <cellStyle name="Followed Hyperlink" xfId="6704" builtinId="9" hidden="1"/>
    <cellStyle name="Followed Hyperlink" xfId="6521" builtinId="9" hidden="1"/>
    <cellStyle name="Followed Hyperlink" xfId="5685" builtinId="9" hidden="1"/>
    <cellStyle name="Followed Hyperlink" xfId="6833" builtinId="9" hidden="1"/>
    <cellStyle name="Followed Hyperlink" xfId="6701" builtinId="9" hidden="1"/>
    <cellStyle name="Followed Hyperlink" xfId="6598" builtinId="9" hidden="1"/>
    <cellStyle name="Followed Hyperlink" xfId="6519" builtinId="9" hidden="1"/>
    <cellStyle name="Followed Hyperlink" xfId="6520" builtinId="9" hidden="1"/>
    <cellStyle name="Followed Hyperlink" xfId="7185" builtinId="9" hidden="1"/>
    <cellStyle name="Followed Hyperlink" xfId="6839" builtinId="9" hidden="1"/>
    <cellStyle name="Followed Hyperlink" xfId="6851" builtinId="9" hidden="1"/>
    <cellStyle name="Followed Hyperlink" xfId="6750" builtinId="9" hidden="1"/>
    <cellStyle name="Followed Hyperlink" xfId="6749" builtinId="9" hidden="1"/>
    <cellStyle name="Followed Hyperlink" xfId="6748" builtinId="9" hidden="1"/>
    <cellStyle name="Followed Hyperlink" xfId="6747" builtinId="9" hidden="1"/>
    <cellStyle name="Followed Hyperlink" xfId="6546" builtinId="9" hidden="1"/>
    <cellStyle name="Followed Hyperlink" xfId="5494" builtinId="9" hidden="1"/>
    <cellStyle name="Followed Hyperlink" xfId="6517" builtinId="9" hidden="1"/>
    <cellStyle name="Followed Hyperlink" xfId="6816" builtinId="9" hidden="1"/>
    <cellStyle name="Followed Hyperlink" xfId="6515" builtinId="9" hidden="1"/>
    <cellStyle name="Followed Hyperlink" xfId="6516" builtinId="9" hidden="1"/>
    <cellStyle name="Followed Hyperlink" xfId="5502" builtinId="9" hidden="1"/>
    <cellStyle name="Followed Hyperlink" xfId="6713" builtinId="9" hidden="1"/>
    <cellStyle name="Followed Hyperlink" xfId="6541" builtinId="9" hidden="1"/>
    <cellStyle name="Followed Hyperlink" xfId="6542" builtinId="9" hidden="1"/>
    <cellStyle name="Followed Hyperlink" xfId="5497" builtinId="9" hidden="1"/>
    <cellStyle name="Followed Hyperlink" xfId="6746" builtinId="9" hidden="1"/>
    <cellStyle name="Followed Hyperlink" xfId="5776" builtinId="9" hidden="1"/>
    <cellStyle name="Followed Hyperlink" xfId="6804" builtinId="9" hidden="1"/>
    <cellStyle name="Followed Hyperlink" xfId="6779" builtinId="9" hidden="1"/>
    <cellStyle name="Followed Hyperlink" xfId="6745" builtinId="9" hidden="1"/>
    <cellStyle name="Followed Hyperlink" xfId="6789" builtinId="9" hidden="1"/>
    <cellStyle name="Followed Hyperlink" xfId="6727" builtinId="9" hidden="1"/>
    <cellStyle name="Followed Hyperlink" xfId="6791" builtinId="9" hidden="1"/>
    <cellStyle name="Followed Hyperlink" xfId="6744" builtinId="9" hidden="1"/>
    <cellStyle name="Followed Hyperlink" xfId="6743" builtinId="9" hidden="1"/>
    <cellStyle name="Followed Hyperlink" xfId="6742" builtinId="9" hidden="1"/>
    <cellStyle name="Followed Hyperlink" xfId="5618" builtinId="9" hidden="1"/>
    <cellStyle name="Followed Hyperlink" xfId="6725" builtinId="9" hidden="1"/>
    <cellStyle name="Followed Hyperlink" xfId="5630" builtinId="9" hidden="1"/>
    <cellStyle name="Followed Hyperlink" xfId="5822" builtinId="9" hidden="1"/>
    <cellStyle name="Followed Hyperlink" xfId="6802" builtinId="9" hidden="1"/>
    <cellStyle name="Followed Hyperlink" xfId="6765" builtinId="9" hidden="1"/>
    <cellStyle name="Followed Hyperlink" xfId="6651" builtinId="9" hidden="1"/>
    <cellStyle name="Followed Hyperlink" xfId="6611" builtinId="9" hidden="1"/>
    <cellStyle name="Followed Hyperlink" xfId="6588" builtinId="9" hidden="1"/>
    <cellStyle name="Followed Hyperlink" xfId="6540" builtinId="9" hidden="1"/>
    <cellStyle name="Followed Hyperlink" xfId="4651" builtinId="9" hidden="1"/>
    <cellStyle name="Followed Hyperlink" xfId="6709" builtinId="9" hidden="1"/>
    <cellStyle name="Followed Hyperlink" xfId="6597" builtinId="9" hidden="1"/>
    <cellStyle name="Followed Hyperlink" xfId="6511" builtinId="9" hidden="1"/>
    <cellStyle name="Followed Hyperlink" xfId="6510" builtinId="9" hidden="1"/>
    <cellStyle name="Followed Hyperlink" xfId="6509" builtinId="9" hidden="1"/>
    <cellStyle name="Followed Hyperlink" xfId="6508" builtinId="9" hidden="1"/>
    <cellStyle name="Followed Hyperlink" xfId="4783" builtinId="9" hidden="1"/>
    <cellStyle name="Followed Hyperlink" xfId="6826" builtinId="9" hidden="1"/>
    <cellStyle name="Followed Hyperlink" xfId="4537" builtinId="9" hidden="1"/>
    <cellStyle name="Followed Hyperlink" xfId="6635" builtinId="9" hidden="1"/>
    <cellStyle name="Followed Hyperlink" xfId="6625" builtinId="9" hidden="1"/>
    <cellStyle name="Followed Hyperlink" xfId="6538" builtinId="9" hidden="1"/>
    <cellStyle name="Followed Hyperlink" xfId="4875" builtinId="9" hidden="1"/>
    <cellStyle name="Followed Hyperlink" xfId="6719" builtinId="9" hidden="1"/>
    <cellStyle name="Followed Hyperlink" xfId="6626" builtinId="9" hidden="1"/>
    <cellStyle name="Followed Hyperlink" xfId="6537" builtinId="9" hidden="1"/>
    <cellStyle name="Followed Hyperlink" xfId="5700" builtinId="9" hidden="1"/>
    <cellStyle name="Followed Hyperlink" xfId="6505" builtinId="9" hidden="1"/>
    <cellStyle name="Followed Hyperlink" xfId="6504" builtinId="9" hidden="1"/>
    <cellStyle name="Followed Hyperlink" xfId="5505" builtinId="9" hidden="1"/>
    <cellStyle name="Followed Hyperlink" xfId="6503" builtinId="9" hidden="1"/>
    <cellStyle name="Followed Hyperlink" xfId="5690" builtinId="9" hidden="1"/>
    <cellStyle name="Followed Hyperlink" xfId="6777" builtinId="9" hidden="1"/>
    <cellStyle name="Followed Hyperlink" xfId="6740" builtinId="9" hidden="1"/>
    <cellStyle name="Followed Hyperlink" xfId="6498" builtinId="9" hidden="1"/>
    <cellStyle name="Followed Hyperlink" xfId="6502" builtinId="9" hidden="1"/>
    <cellStyle name="Followed Hyperlink" xfId="6534" builtinId="9" hidden="1"/>
    <cellStyle name="Followed Hyperlink" xfId="5499" builtinId="9" hidden="1"/>
    <cellStyle name="Followed Hyperlink" xfId="6809" builtinId="9" hidden="1"/>
    <cellStyle name="Followed Hyperlink" xfId="6499" builtinId="9" hidden="1"/>
    <cellStyle name="Followed Hyperlink" xfId="6500" builtinId="9" hidden="1"/>
    <cellStyle name="Followed Hyperlink" xfId="4674" builtinId="9" hidden="1"/>
    <cellStyle name="Followed Hyperlink" xfId="6831" builtinId="9" hidden="1"/>
    <cellStyle name="Followed Hyperlink" xfId="6775" builtinId="9" hidden="1"/>
    <cellStyle name="Followed Hyperlink" xfId="7184" builtinId="9" hidden="1"/>
    <cellStyle name="Followed Hyperlink" xfId="6844" builtinId="9" hidden="1"/>
    <cellStyle name="Followed Hyperlink" xfId="6841" builtinId="9" hidden="1"/>
    <cellStyle name="Followed Hyperlink" xfId="6828" builtinId="9" hidden="1"/>
    <cellStyle name="Followed Hyperlink" xfId="4162" builtinId="9" hidden="1"/>
    <cellStyle name="Followed Hyperlink" xfId="6737" builtinId="9" hidden="1"/>
    <cellStyle name="Followed Hyperlink" xfId="6736" builtinId="9" hidden="1"/>
    <cellStyle name="Followed Hyperlink" xfId="6735" builtinId="9" hidden="1"/>
    <cellStyle name="Followed Hyperlink" xfId="6734" builtinId="9" hidden="1"/>
    <cellStyle name="Followed Hyperlink" xfId="6531" builtinId="9" hidden="1"/>
    <cellStyle name="Followed Hyperlink" xfId="5686" builtinId="9" hidden="1"/>
    <cellStyle name="Followed Hyperlink" xfId="6496" builtinId="9" hidden="1"/>
    <cellStyle name="Followed Hyperlink" xfId="6529" builtinId="9" hidden="1"/>
    <cellStyle name="Followed Hyperlink" xfId="5506" builtinId="9" hidden="1"/>
    <cellStyle name="Followed Hyperlink" xfId="6830" builtinId="9" hidden="1"/>
    <cellStyle name="Followed Hyperlink" xfId="6774" builtinId="9" hidden="1"/>
    <cellStyle name="Followed Hyperlink" xfId="6772" builtinId="9" hidden="1"/>
    <cellStyle name="Followed Hyperlink" xfId="6825" builtinId="9" hidden="1"/>
    <cellStyle name="Followed Hyperlink" xfId="6823" builtinId="9" hidden="1"/>
    <cellStyle name="Followed Hyperlink" xfId="6818" builtinId="9" hidden="1"/>
    <cellStyle name="Followed Hyperlink" xfId="6803" builtinId="9" hidden="1"/>
    <cellStyle name="Followed Hyperlink" xfId="6850" builtinId="9" hidden="1"/>
    <cellStyle name="Followed Hyperlink" xfId="5507" builtinId="9" hidden="1"/>
    <cellStyle name="Followed Hyperlink" xfId="6491" builtinId="9" hidden="1"/>
    <cellStyle name="Followed Hyperlink" xfId="6492" builtinId="9" hidden="1"/>
    <cellStyle name="Followed Hyperlink" xfId="4725" builtinId="9" hidden="1"/>
    <cellStyle name="Followed Hyperlink" xfId="5786" builtinId="9" hidden="1"/>
    <cellStyle name="Followed Hyperlink" xfId="6770" builtinId="9" hidden="1"/>
    <cellStyle name="Followed Hyperlink" xfId="6786" builtinId="9" hidden="1"/>
    <cellStyle name="Followed Hyperlink" xfId="6654" builtinId="9" hidden="1"/>
    <cellStyle name="Followed Hyperlink" xfId="6787" builtinId="9" hidden="1"/>
    <cellStyle name="Followed Hyperlink" xfId="6723" builtinId="9" hidden="1"/>
    <cellStyle name="Followed Hyperlink" xfId="6643" builtinId="9" hidden="1"/>
    <cellStyle name="Followed Hyperlink" xfId="6599" builtinId="9" hidden="1"/>
    <cellStyle name="Followed Hyperlink" xfId="6608" builtinId="9" hidden="1"/>
    <cellStyle name="Followed Hyperlink" xfId="6801" builtinId="9" hidden="1"/>
    <cellStyle name="Followed Hyperlink" xfId="6764" builtinId="9" hidden="1"/>
    <cellStyle name="Followed Hyperlink" xfId="6649" builtinId="9" hidden="1"/>
    <cellStyle name="Followed Hyperlink" xfId="6629" builtinId="9" hidden="1"/>
    <cellStyle name="Followed Hyperlink" xfId="6799" builtinId="9" hidden="1"/>
    <cellStyle name="Followed Hyperlink" xfId="6762" builtinId="9" hidden="1"/>
    <cellStyle name="Followed Hyperlink" xfId="6710" builtinId="9" hidden="1"/>
    <cellStyle name="Followed Hyperlink" xfId="6638" builtinId="9" hidden="1"/>
    <cellStyle name="Followed Hyperlink" xfId="6524" builtinId="9" hidden="1"/>
    <cellStyle name="Followed Hyperlink" xfId="6622" builtinId="9" hidden="1"/>
    <cellStyle name="Followed Hyperlink" xfId="6702" builtinId="9" hidden="1"/>
    <cellStyle name="Followed Hyperlink" xfId="6490" builtinId="9" hidden="1"/>
    <cellStyle name="Followed Hyperlink" xfId="6587" builtinId="9" hidden="1"/>
    <cellStyle name="Followed Hyperlink" xfId="6692" builtinId="9" hidden="1"/>
    <cellStyle name="Followed Hyperlink" xfId="5508" builtinId="9" hidden="1"/>
    <cellStyle name="Followed Hyperlink" xfId="6691" builtinId="9" hidden="1"/>
    <cellStyle name="Followed Hyperlink" xfId="6632" builtinId="9" hidden="1"/>
    <cellStyle name="Followed Hyperlink" xfId="4163" builtinId="9" hidden="1"/>
    <cellStyle name="Followed Hyperlink" xfId="6648" builtinId="9" hidden="1"/>
    <cellStyle name="Followed Hyperlink" xfId="6583" builtinId="9" hidden="1"/>
    <cellStyle name="Followed Hyperlink" xfId="4229" builtinId="9" hidden="1"/>
    <cellStyle name="Followed Hyperlink" xfId="4104" builtinId="9" hidden="1"/>
    <cellStyle name="Followed Hyperlink" xfId="7181" builtinId="9" hidden="1"/>
    <cellStyle name="Followed Hyperlink" xfId="7179" builtinId="9" hidden="1"/>
    <cellStyle name="Followed Hyperlink" xfId="7177" builtinId="9" hidden="1"/>
    <cellStyle name="Followed Hyperlink" xfId="7175" builtinId="9" hidden="1"/>
    <cellStyle name="Followed Hyperlink" xfId="7173" builtinId="9" hidden="1"/>
    <cellStyle name="Followed Hyperlink" xfId="7171" builtinId="9" hidden="1"/>
    <cellStyle name="Followed Hyperlink" xfId="7169" builtinId="9" hidden="1"/>
    <cellStyle name="Followed Hyperlink" xfId="7167" builtinId="9" hidden="1"/>
    <cellStyle name="Followed Hyperlink" xfId="7165" builtinId="9" hidden="1"/>
    <cellStyle name="Followed Hyperlink" xfId="7163" builtinId="9" hidden="1"/>
    <cellStyle name="Followed Hyperlink" xfId="7161" builtinId="9" hidden="1"/>
    <cellStyle name="Followed Hyperlink" xfId="7159" builtinId="9" hidden="1"/>
    <cellStyle name="Followed Hyperlink" xfId="7157" builtinId="9" hidden="1"/>
    <cellStyle name="Followed Hyperlink" xfId="7155" builtinId="9" hidden="1"/>
    <cellStyle name="Followed Hyperlink" xfId="7153" builtinId="9" hidden="1"/>
    <cellStyle name="Followed Hyperlink" xfId="7151" builtinId="9" hidden="1"/>
    <cellStyle name="Followed Hyperlink" xfId="7149" builtinId="9" hidden="1"/>
    <cellStyle name="Followed Hyperlink" xfId="7147" builtinId="9" hidden="1"/>
    <cellStyle name="Followed Hyperlink" xfId="7145" builtinId="9" hidden="1"/>
    <cellStyle name="Followed Hyperlink" xfId="7143" builtinId="9" hidden="1"/>
    <cellStyle name="Followed Hyperlink" xfId="7141" builtinId="9" hidden="1"/>
    <cellStyle name="Followed Hyperlink" xfId="7139" builtinId="9" hidden="1"/>
    <cellStyle name="Followed Hyperlink" xfId="7137" builtinId="9" hidden="1"/>
    <cellStyle name="Followed Hyperlink" xfId="7135" builtinId="9" hidden="1"/>
    <cellStyle name="Followed Hyperlink" xfId="7133" builtinId="9" hidden="1"/>
    <cellStyle name="Followed Hyperlink" xfId="7131" builtinId="9" hidden="1"/>
    <cellStyle name="Followed Hyperlink" xfId="7129" builtinId="9" hidden="1"/>
    <cellStyle name="Followed Hyperlink" xfId="7127" builtinId="9" hidden="1"/>
    <cellStyle name="Followed Hyperlink" xfId="7125" builtinId="9" hidden="1"/>
    <cellStyle name="Followed Hyperlink" xfId="7123" builtinId="9" hidden="1"/>
    <cellStyle name="Followed Hyperlink" xfId="7121" builtinId="9" hidden="1"/>
    <cellStyle name="Followed Hyperlink" xfId="7119" builtinId="9" hidden="1"/>
    <cellStyle name="Followed Hyperlink" xfId="7117" builtinId="9" hidden="1"/>
    <cellStyle name="Followed Hyperlink" xfId="7115" builtinId="9" hidden="1"/>
    <cellStyle name="Followed Hyperlink" xfId="7113" builtinId="9" hidden="1"/>
    <cellStyle name="Followed Hyperlink" xfId="7111" builtinId="9" hidden="1"/>
    <cellStyle name="Followed Hyperlink" xfId="7109" builtinId="9" hidden="1"/>
    <cellStyle name="Followed Hyperlink" xfId="7107" builtinId="9" hidden="1"/>
    <cellStyle name="Followed Hyperlink" xfId="7105" builtinId="9" hidden="1"/>
    <cellStyle name="Followed Hyperlink" xfId="7103" builtinId="9" hidden="1"/>
    <cellStyle name="Followed Hyperlink" xfId="7101" builtinId="9" hidden="1"/>
    <cellStyle name="Followed Hyperlink" xfId="7099" builtinId="9" hidden="1"/>
    <cellStyle name="Followed Hyperlink" xfId="7097" builtinId="9" hidden="1"/>
    <cellStyle name="Followed Hyperlink" xfId="7095" builtinId="9" hidden="1"/>
    <cellStyle name="Followed Hyperlink" xfId="7093" builtinId="9" hidden="1"/>
    <cellStyle name="Followed Hyperlink" xfId="7091" builtinId="9" hidden="1"/>
    <cellStyle name="Followed Hyperlink" xfId="7089" builtinId="9" hidden="1"/>
    <cellStyle name="Followed Hyperlink" xfId="7087" builtinId="9" hidden="1"/>
    <cellStyle name="Followed Hyperlink" xfId="7085" builtinId="9" hidden="1"/>
    <cellStyle name="Followed Hyperlink" xfId="7083" builtinId="9" hidden="1"/>
    <cellStyle name="Followed Hyperlink" xfId="7081" builtinId="9" hidden="1"/>
    <cellStyle name="Followed Hyperlink" xfId="7079" builtinId="9" hidden="1"/>
    <cellStyle name="Followed Hyperlink" xfId="7077" builtinId="9" hidden="1"/>
    <cellStyle name="Followed Hyperlink" xfId="7075" builtinId="9" hidden="1"/>
    <cellStyle name="Followed Hyperlink" xfId="7073" builtinId="9" hidden="1"/>
    <cellStyle name="Followed Hyperlink" xfId="7071" builtinId="9" hidden="1"/>
    <cellStyle name="Followed Hyperlink" xfId="7069" builtinId="9" hidden="1"/>
    <cellStyle name="Followed Hyperlink" xfId="7067" builtinId="9" hidden="1"/>
    <cellStyle name="Followed Hyperlink" xfId="7065" builtinId="9" hidden="1"/>
    <cellStyle name="Followed Hyperlink" xfId="7063" builtinId="9" hidden="1"/>
    <cellStyle name="Followed Hyperlink" xfId="7061" builtinId="9" hidden="1"/>
    <cellStyle name="Followed Hyperlink" xfId="7059" builtinId="9" hidden="1"/>
    <cellStyle name="Followed Hyperlink" xfId="7057" builtinId="9" hidden="1"/>
    <cellStyle name="Followed Hyperlink" xfId="7055" builtinId="9" hidden="1"/>
    <cellStyle name="Followed Hyperlink" xfId="7053" builtinId="9" hidden="1"/>
    <cellStyle name="Followed Hyperlink" xfId="7051" builtinId="9" hidden="1"/>
    <cellStyle name="Followed Hyperlink" xfId="7049" builtinId="9" hidden="1"/>
    <cellStyle name="Followed Hyperlink" xfId="7047" builtinId="9" hidden="1"/>
    <cellStyle name="Followed Hyperlink" xfId="7045" builtinId="9" hidden="1"/>
    <cellStyle name="Followed Hyperlink" xfId="7043" builtinId="9" hidden="1"/>
    <cellStyle name="Followed Hyperlink" xfId="7036" builtinId="9" hidden="1"/>
    <cellStyle name="Followed Hyperlink" xfId="7034" builtinId="9" hidden="1"/>
    <cellStyle name="Followed Hyperlink" xfId="7032" builtinId="9" hidden="1"/>
    <cellStyle name="Followed Hyperlink" xfId="7030" builtinId="9" hidden="1"/>
    <cellStyle name="Followed Hyperlink" xfId="7028" builtinId="9" hidden="1"/>
    <cellStyle name="Followed Hyperlink" xfId="7026" builtinId="9" hidden="1"/>
    <cellStyle name="Followed Hyperlink" xfId="7024" builtinId="9" hidden="1"/>
    <cellStyle name="Followed Hyperlink" xfId="7022" builtinId="9" hidden="1"/>
    <cellStyle name="Followed Hyperlink" xfId="7020" builtinId="9" hidden="1"/>
    <cellStyle name="Followed Hyperlink" xfId="7018" builtinId="9" hidden="1"/>
    <cellStyle name="Followed Hyperlink" xfId="7016" builtinId="9" hidden="1"/>
    <cellStyle name="Followed Hyperlink" xfId="7014" builtinId="9" hidden="1"/>
    <cellStyle name="Followed Hyperlink" xfId="7012" builtinId="9" hidden="1"/>
    <cellStyle name="Followed Hyperlink" xfId="7010" builtinId="9" hidden="1"/>
    <cellStyle name="Followed Hyperlink" xfId="7008" builtinId="9" hidden="1"/>
    <cellStyle name="Followed Hyperlink" xfId="7006" builtinId="9" hidden="1"/>
    <cellStyle name="Followed Hyperlink" xfId="7004" builtinId="9" hidden="1"/>
    <cellStyle name="Followed Hyperlink" xfId="7002" builtinId="9" hidden="1"/>
    <cellStyle name="Followed Hyperlink" xfId="7000" builtinId="9" hidden="1"/>
    <cellStyle name="Followed Hyperlink" xfId="6998" builtinId="9" hidden="1"/>
    <cellStyle name="Followed Hyperlink" xfId="6996" builtinId="9" hidden="1"/>
    <cellStyle name="Followed Hyperlink" xfId="6994" builtinId="9" hidden="1"/>
    <cellStyle name="Followed Hyperlink" xfId="6992" builtinId="9" hidden="1"/>
    <cellStyle name="Followed Hyperlink" xfId="6990" builtinId="9" hidden="1"/>
    <cellStyle name="Followed Hyperlink" xfId="6988" builtinId="9" hidden="1"/>
    <cellStyle name="Followed Hyperlink" xfId="6986" builtinId="9" hidden="1"/>
    <cellStyle name="Followed Hyperlink" xfId="6984" builtinId="9" hidden="1"/>
    <cellStyle name="Followed Hyperlink" xfId="6983" builtinId="9" hidden="1"/>
    <cellStyle name="Followed Hyperlink" xfId="6981" builtinId="9" hidden="1"/>
    <cellStyle name="Followed Hyperlink" xfId="6979" builtinId="9" hidden="1"/>
    <cellStyle name="Followed Hyperlink" xfId="6977" builtinId="9" hidden="1"/>
    <cellStyle name="Followed Hyperlink" xfId="6975" builtinId="9" hidden="1"/>
    <cellStyle name="Followed Hyperlink" xfId="6973" builtinId="9" hidden="1"/>
    <cellStyle name="Followed Hyperlink" xfId="6971" builtinId="9" hidden="1"/>
    <cellStyle name="Followed Hyperlink" xfId="6969" builtinId="9" hidden="1"/>
    <cellStyle name="Followed Hyperlink" xfId="6967" builtinId="9" hidden="1"/>
    <cellStyle name="Followed Hyperlink" xfId="6965" builtinId="9" hidden="1"/>
    <cellStyle name="Followed Hyperlink" xfId="6963" builtinId="9" hidden="1"/>
    <cellStyle name="Followed Hyperlink" xfId="6961" builtinId="9" hidden="1"/>
    <cellStyle name="Followed Hyperlink" xfId="6959" builtinId="9" hidden="1"/>
    <cellStyle name="Followed Hyperlink" xfId="6957" builtinId="9" hidden="1"/>
    <cellStyle name="Followed Hyperlink" xfId="6955" builtinId="9" hidden="1"/>
    <cellStyle name="Followed Hyperlink" xfId="6953" builtinId="9" hidden="1"/>
    <cellStyle name="Followed Hyperlink" xfId="6951" builtinId="9" hidden="1"/>
    <cellStyle name="Followed Hyperlink" xfId="6949" builtinId="9" hidden="1"/>
    <cellStyle name="Followed Hyperlink" xfId="6947" builtinId="9" hidden="1"/>
    <cellStyle name="Followed Hyperlink" xfId="6945" builtinId="9" hidden="1"/>
    <cellStyle name="Followed Hyperlink" xfId="6943" builtinId="9" hidden="1"/>
    <cellStyle name="Followed Hyperlink" xfId="6941" builtinId="9" hidden="1"/>
    <cellStyle name="Followed Hyperlink" xfId="6939" builtinId="9" hidden="1"/>
    <cellStyle name="Followed Hyperlink" xfId="6937" builtinId="9" hidden="1"/>
    <cellStyle name="Followed Hyperlink" xfId="6935" builtinId="9" hidden="1"/>
    <cellStyle name="Followed Hyperlink" xfId="6933" builtinId="9" hidden="1"/>
    <cellStyle name="Followed Hyperlink" xfId="6931" builtinId="9" hidden="1"/>
    <cellStyle name="Followed Hyperlink" xfId="6929" builtinId="9" hidden="1"/>
    <cellStyle name="Followed Hyperlink" xfId="6927" builtinId="9" hidden="1"/>
    <cellStyle name="Followed Hyperlink" xfId="6925" builtinId="9" hidden="1"/>
    <cellStyle name="Followed Hyperlink" xfId="6923" builtinId="9" hidden="1"/>
    <cellStyle name="Followed Hyperlink" xfId="6921" builtinId="9" hidden="1"/>
    <cellStyle name="Followed Hyperlink" xfId="6919" builtinId="9" hidden="1"/>
    <cellStyle name="Followed Hyperlink" xfId="6917" builtinId="9" hidden="1"/>
    <cellStyle name="Followed Hyperlink" xfId="6915" builtinId="9" hidden="1"/>
    <cellStyle name="Followed Hyperlink" xfId="6913" builtinId="9" hidden="1"/>
    <cellStyle name="Followed Hyperlink" xfId="6911" builtinId="9" hidden="1"/>
    <cellStyle name="Followed Hyperlink" xfId="6909" builtinId="9" hidden="1"/>
    <cellStyle name="Followed Hyperlink" xfId="6907" builtinId="9" hidden="1"/>
    <cellStyle name="Followed Hyperlink" xfId="6905" builtinId="9" hidden="1"/>
    <cellStyle name="Followed Hyperlink" xfId="6903" builtinId="9" hidden="1"/>
    <cellStyle name="Followed Hyperlink" xfId="6901" builtinId="9" hidden="1"/>
    <cellStyle name="Followed Hyperlink" xfId="6899" builtinId="9" hidden="1"/>
    <cellStyle name="Followed Hyperlink" xfId="6897" builtinId="9" hidden="1"/>
    <cellStyle name="Followed Hyperlink" xfId="6895" builtinId="9" hidden="1"/>
    <cellStyle name="Followed Hyperlink" xfId="6893" builtinId="9" hidden="1"/>
    <cellStyle name="Followed Hyperlink" xfId="6891" builtinId="9" hidden="1"/>
    <cellStyle name="Followed Hyperlink" xfId="6889" builtinId="9" hidden="1"/>
    <cellStyle name="Followed Hyperlink" xfId="6887" builtinId="9" hidden="1"/>
    <cellStyle name="Followed Hyperlink" xfId="6885" builtinId="9" hidden="1"/>
    <cellStyle name="Followed Hyperlink" xfId="6883" builtinId="9" hidden="1"/>
    <cellStyle name="Followed Hyperlink" xfId="6881" builtinId="9" hidden="1"/>
    <cellStyle name="Followed Hyperlink" xfId="6880" builtinId="9" hidden="1"/>
    <cellStyle name="Followed Hyperlink" xfId="6878" builtinId="9" hidden="1"/>
    <cellStyle name="Followed Hyperlink" xfId="6876" builtinId="9" hidden="1"/>
    <cellStyle name="Followed Hyperlink" xfId="6874" builtinId="9" hidden="1"/>
    <cellStyle name="Followed Hyperlink" xfId="6872" builtinId="9" hidden="1"/>
    <cellStyle name="Followed Hyperlink" xfId="6870" builtinId="9" hidden="1"/>
    <cellStyle name="Followed Hyperlink" xfId="6868" builtinId="9" hidden="1"/>
    <cellStyle name="Followed Hyperlink" xfId="6866" builtinId="9" hidden="1"/>
    <cellStyle name="Followed Hyperlink" xfId="6864" builtinId="9" hidden="1"/>
    <cellStyle name="Followed Hyperlink" xfId="6862" builtinId="9" hidden="1"/>
    <cellStyle name="Followed Hyperlink" xfId="6860" builtinId="9" hidden="1"/>
    <cellStyle name="Followed Hyperlink" xfId="6858" builtinId="9" hidden="1"/>
    <cellStyle name="Followed Hyperlink" xfId="6856" builtinId="9" hidden="1"/>
    <cellStyle name="Followed Hyperlink" xfId="6854" builtinId="9" hidden="1"/>
    <cellStyle name="Followed Hyperlink" xfId="5841" builtinId="9" hidden="1"/>
    <cellStyle name="Followed Hyperlink" xfId="5840" builtinId="9" hidden="1"/>
    <cellStyle name="Followed Hyperlink" xfId="5756" builtinId="9" hidden="1"/>
    <cellStyle name="Followed Hyperlink" xfId="5831" builtinId="9" hidden="1"/>
    <cellStyle name="Followed Hyperlink" xfId="5521" builtinId="9" hidden="1"/>
    <cellStyle name="Followed Hyperlink" xfId="5556" builtinId="9" hidden="1"/>
    <cellStyle name="Followed Hyperlink" xfId="5339" builtinId="9" hidden="1"/>
    <cellStyle name="Followed Hyperlink" xfId="5636" builtinId="9" hidden="1"/>
    <cellStyle name="Followed Hyperlink" xfId="5761" builtinId="9" hidden="1"/>
    <cellStyle name="Followed Hyperlink" xfId="5859" builtinId="9" hidden="1"/>
    <cellStyle name="Followed Hyperlink" xfId="5870" builtinId="9" hidden="1"/>
    <cellStyle name="Followed Hyperlink" xfId="5799" builtinId="9" hidden="1"/>
    <cellStyle name="Followed Hyperlink" xfId="4526" builtinId="9" hidden="1"/>
    <cellStyle name="Followed Hyperlink" xfId="5558" builtinId="9" hidden="1"/>
    <cellStyle name="Followed Hyperlink" xfId="5527" builtinId="9" hidden="1"/>
    <cellStyle name="Followed Hyperlink" xfId="5561" builtinId="9" hidden="1"/>
    <cellStyle name="Followed Hyperlink" xfId="5764" builtinId="9" hidden="1"/>
    <cellStyle name="Followed Hyperlink" xfId="5762" builtinId="9" hidden="1"/>
    <cellStyle name="Followed Hyperlink" xfId="4534" builtinId="9" hidden="1"/>
    <cellStyle name="Followed Hyperlink" xfId="5862" builtinId="9" hidden="1"/>
    <cellStyle name="Followed Hyperlink" xfId="5868" builtinId="9" hidden="1"/>
    <cellStyle name="Followed Hyperlink" xfId="5637" builtinId="9" hidden="1"/>
    <cellStyle name="Followed Hyperlink" xfId="5523" builtinId="9" hidden="1"/>
    <cellStyle name="Followed Hyperlink" xfId="5861" builtinId="9" hidden="1"/>
    <cellStyle name="Followed Hyperlink" xfId="4622" builtinId="9" hidden="1"/>
    <cellStyle name="Followed Hyperlink" xfId="6853" builtinId="9" hidden="1"/>
    <cellStyle name="Followed Hyperlink" xfId="6857" builtinId="9" hidden="1"/>
    <cellStyle name="Followed Hyperlink" xfId="6861" builtinId="9" hidden="1"/>
    <cellStyle name="Followed Hyperlink" xfId="6865" builtinId="9" hidden="1"/>
    <cellStyle name="Followed Hyperlink" xfId="6869" builtinId="9" hidden="1"/>
    <cellStyle name="Followed Hyperlink" xfId="6873" builtinId="9" hidden="1"/>
    <cellStyle name="Followed Hyperlink" xfId="6877" builtinId="9" hidden="1"/>
    <cellStyle name="Followed Hyperlink" xfId="6607" builtinId="9" hidden="1"/>
    <cellStyle name="Followed Hyperlink" xfId="6884" builtinId="9" hidden="1"/>
    <cellStyle name="Followed Hyperlink" xfId="6888" builtinId="9" hidden="1"/>
    <cellStyle name="Followed Hyperlink" xfId="6892" builtinId="9" hidden="1"/>
    <cellStyle name="Followed Hyperlink" xfId="6896" builtinId="9" hidden="1"/>
    <cellStyle name="Followed Hyperlink" xfId="6900" builtinId="9" hidden="1"/>
    <cellStyle name="Followed Hyperlink" xfId="6904" builtinId="9" hidden="1"/>
    <cellStyle name="Followed Hyperlink" xfId="6908" builtinId="9" hidden="1"/>
    <cellStyle name="Followed Hyperlink" xfId="6912" builtinId="9" hidden="1"/>
    <cellStyle name="Followed Hyperlink" xfId="6916" builtinId="9" hidden="1"/>
    <cellStyle name="Followed Hyperlink" xfId="6920" builtinId="9" hidden="1"/>
    <cellStyle name="Followed Hyperlink" xfId="6924" builtinId="9" hidden="1"/>
    <cellStyle name="Followed Hyperlink" xfId="6928" builtinId="9" hidden="1"/>
    <cellStyle name="Followed Hyperlink" xfId="6932" builtinId="9" hidden="1"/>
    <cellStyle name="Followed Hyperlink" xfId="6936" builtinId="9" hidden="1"/>
    <cellStyle name="Followed Hyperlink" xfId="6940" builtinId="9" hidden="1"/>
    <cellStyle name="Followed Hyperlink" xfId="6944" builtinId="9" hidden="1"/>
    <cellStyle name="Followed Hyperlink" xfId="6948" builtinId="9" hidden="1"/>
    <cellStyle name="Followed Hyperlink" xfId="6952" builtinId="9" hidden="1"/>
    <cellStyle name="Followed Hyperlink" xfId="6956" builtinId="9" hidden="1"/>
    <cellStyle name="Followed Hyperlink" xfId="6960" builtinId="9" hidden="1"/>
    <cellStyle name="Followed Hyperlink" xfId="6964" builtinId="9" hidden="1"/>
    <cellStyle name="Followed Hyperlink" xfId="6968" builtinId="9" hidden="1"/>
    <cellStyle name="Followed Hyperlink" xfId="6972" builtinId="9" hidden="1"/>
    <cellStyle name="Followed Hyperlink" xfId="6976" builtinId="9" hidden="1"/>
    <cellStyle name="Followed Hyperlink" xfId="6980" builtinId="9" hidden="1"/>
    <cellStyle name="Followed Hyperlink" xfId="5692" builtinId="9" hidden="1"/>
    <cellStyle name="Followed Hyperlink" xfId="6987" builtinId="9" hidden="1"/>
    <cellStyle name="Followed Hyperlink" xfId="6991" builtinId="9" hidden="1"/>
    <cellStyle name="Followed Hyperlink" xfId="6995" builtinId="9" hidden="1"/>
    <cellStyle name="Followed Hyperlink" xfId="6999" builtinId="9" hidden="1"/>
    <cellStyle name="Followed Hyperlink" xfId="7003" builtinId="9" hidden="1"/>
    <cellStyle name="Followed Hyperlink" xfId="7007" builtinId="9" hidden="1"/>
    <cellStyle name="Followed Hyperlink" xfId="7011" builtinId="9" hidden="1"/>
    <cellStyle name="Followed Hyperlink" xfId="7015" builtinId="9" hidden="1"/>
    <cellStyle name="Followed Hyperlink" xfId="7019" builtinId="9" hidden="1"/>
    <cellStyle name="Followed Hyperlink" xfId="7023" builtinId="9" hidden="1"/>
    <cellStyle name="Followed Hyperlink" xfId="7027" builtinId="9" hidden="1"/>
    <cellStyle name="Followed Hyperlink" xfId="7031" builtinId="9" hidden="1"/>
    <cellStyle name="Followed Hyperlink" xfId="7035" builtinId="9" hidden="1"/>
    <cellStyle name="Followed Hyperlink" xfId="4644" builtinId="9" hidden="1"/>
    <cellStyle name="Followed Hyperlink" xfId="6817" builtinId="9" hidden="1"/>
    <cellStyle name="Followed Hyperlink" xfId="5341" builtinId="9" hidden="1"/>
    <cellStyle name="Followed Hyperlink" xfId="5562" builtinId="9" hidden="1"/>
    <cellStyle name="Followed Hyperlink" xfId="5623" builtinId="9" hidden="1"/>
    <cellStyle name="Followed Hyperlink" xfId="5873" builtinId="9" hidden="1"/>
    <cellStyle name="Followed Hyperlink" xfId="5621" builtinId="9" hidden="1"/>
    <cellStyle name="Followed Hyperlink" xfId="5731" builtinId="9" hidden="1"/>
    <cellStyle name="Followed Hyperlink" xfId="4675" builtinId="9" hidden="1"/>
    <cellStyle name="Followed Hyperlink" xfId="4577" builtinId="9" hidden="1"/>
    <cellStyle name="Followed Hyperlink" xfId="4532" builtinId="9" hidden="1"/>
    <cellStyle name="Followed Hyperlink" xfId="5655" builtinId="9" hidden="1"/>
    <cellStyle name="Followed Hyperlink" xfId="5538" builtinId="9" hidden="1"/>
    <cellStyle name="Followed Hyperlink" xfId="5734" builtinId="9" hidden="1"/>
    <cellStyle name="Followed Hyperlink" xfId="5777" builtinId="9" hidden="1"/>
    <cellStyle name="Followed Hyperlink" xfId="5834" builtinId="9" hidden="1"/>
    <cellStyle name="Followed Hyperlink" xfId="5617" builtinId="9" hidden="1"/>
    <cellStyle name="Followed Hyperlink" xfId="5639" builtinId="9" hidden="1"/>
    <cellStyle name="Followed Hyperlink" xfId="5719" builtinId="9" hidden="1"/>
    <cellStyle name="Followed Hyperlink" xfId="5819" builtinId="9" hidden="1"/>
    <cellStyle name="Followed Hyperlink" xfId="5815" builtinId="9" hidden="1"/>
    <cellStyle name="Followed Hyperlink" xfId="5803" builtinId="9" hidden="1"/>
    <cellStyle name="Followed Hyperlink" xfId="4092" builtinId="9" hidden="1"/>
    <cellStyle name="Followed Hyperlink" xfId="5540" builtinId="9" hidden="1"/>
    <cellStyle name="Followed Hyperlink" xfId="5663" builtinId="9" hidden="1"/>
    <cellStyle name="Followed Hyperlink" xfId="4525" builtinId="9" hidden="1"/>
    <cellStyle name="Followed Hyperlink" xfId="5569" builtinId="9" hidden="1"/>
    <cellStyle name="Followed Hyperlink" xfId="5571" builtinId="9" hidden="1"/>
    <cellStyle name="Followed Hyperlink" xfId="5340" builtinId="9" hidden="1"/>
    <cellStyle name="Followed Hyperlink" xfId="5642" builtinId="9" hidden="1"/>
    <cellStyle name="Followed Hyperlink" xfId="4531" builtinId="9" hidden="1"/>
    <cellStyle name="Followed Hyperlink" xfId="5872" builtinId="9" hidden="1"/>
    <cellStyle name="Followed Hyperlink" xfId="5858" builtinId="9" hidden="1"/>
    <cellStyle name="Followed Hyperlink" xfId="5654" builtinId="9" hidden="1"/>
    <cellStyle name="Followed Hyperlink" xfId="4530" builtinId="9" hidden="1"/>
    <cellStyle name="Followed Hyperlink" xfId="5574" builtinId="9" hidden="1"/>
    <cellStyle name="Followed Hyperlink" xfId="5575" builtinId="9" hidden="1"/>
    <cellStyle name="Followed Hyperlink" xfId="5549" builtinId="9" hidden="1"/>
    <cellStyle name="Followed Hyperlink" xfId="5551" builtinId="9" hidden="1"/>
    <cellStyle name="Followed Hyperlink" xfId="5666" builtinId="9" hidden="1"/>
    <cellStyle name="Followed Hyperlink" xfId="4898" builtinId="9" hidden="1"/>
    <cellStyle name="Followed Hyperlink" xfId="6606" builtinId="9" hidden="1"/>
    <cellStyle name="Followed Hyperlink" xfId="5593" builtinId="9" hidden="1"/>
    <cellStyle name="Followed Hyperlink" xfId="6582" builtinId="9" hidden="1"/>
    <cellStyle name="Followed Hyperlink" xfId="4062" builtinId="9" hidden="1"/>
    <cellStyle name="Followed Hyperlink" xfId="6581" builtinId="9" hidden="1"/>
    <cellStyle name="Followed Hyperlink" xfId="5511" builtinId="9" hidden="1"/>
    <cellStyle name="Followed Hyperlink" xfId="6686" builtinId="9" hidden="1"/>
    <cellStyle name="Followed Hyperlink" xfId="6580" builtinId="9" hidden="1"/>
    <cellStyle name="Followed Hyperlink" xfId="6579" builtinId="9" hidden="1"/>
    <cellStyle name="Followed Hyperlink" xfId="5693" builtinId="9" hidden="1"/>
    <cellStyle name="Followed Hyperlink" xfId="6577" builtinId="9" hidden="1"/>
    <cellStyle name="Followed Hyperlink" xfId="6724" builtinId="9" hidden="1"/>
    <cellStyle name="Followed Hyperlink" xfId="4166" builtinId="9" hidden="1"/>
    <cellStyle name="Followed Hyperlink" xfId="6574" builtinId="9" hidden="1"/>
    <cellStyle name="Followed Hyperlink" xfId="6810" builtinId="9" hidden="1"/>
    <cellStyle name="Followed Hyperlink" xfId="6806" builtinId="9" hidden="1"/>
    <cellStyle name="Followed Hyperlink" xfId="6769" builtinId="9" hidden="1"/>
    <cellStyle name="Followed Hyperlink" xfId="6768" builtinId="9" hidden="1"/>
    <cellStyle name="Followed Hyperlink" xfId="6767" builtinId="9" hidden="1"/>
    <cellStyle name="Followed Hyperlink" xfId="6729" builtinId="9" hidden="1"/>
    <cellStyle name="Followed Hyperlink" xfId="6795" builtinId="9" hidden="1"/>
    <cellStyle name="Followed Hyperlink" xfId="6788" builtinId="9" hidden="1"/>
    <cellStyle name="Followed Hyperlink" xfId="6759" builtinId="9" hidden="1"/>
    <cellStyle name="Followed Hyperlink" xfId="6726" builtinId="9" hidden="1"/>
    <cellStyle name="Followed Hyperlink" xfId="6656" builtinId="9" hidden="1"/>
    <cellStyle name="Followed Hyperlink" xfId="6798" builtinId="9" hidden="1"/>
    <cellStyle name="Followed Hyperlink" xfId="6790" builtinId="9" hidden="1"/>
    <cellStyle name="Followed Hyperlink" xfId="6761" builtinId="9" hidden="1"/>
    <cellStyle name="Followed Hyperlink" xfId="6728" builtinId="9" hidden="1"/>
    <cellStyle name="Followed Hyperlink" xfId="6682" builtinId="9" hidden="1"/>
    <cellStyle name="Followed Hyperlink" xfId="6756" builtinId="9" hidden="1"/>
    <cellStyle name="Followed Hyperlink" xfId="6564" builtinId="9" hidden="1"/>
    <cellStyle name="Followed Hyperlink" xfId="6563" builtinId="9" hidden="1"/>
    <cellStyle name="Followed Hyperlink" xfId="6562" builtinId="9" hidden="1"/>
    <cellStyle name="Followed Hyperlink" xfId="6561" builtinId="9" hidden="1"/>
    <cellStyle name="Followed Hyperlink" xfId="6560" builtinId="9" hidden="1"/>
    <cellStyle name="Followed Hyperlink" xfId="6559" builtinId="9" hidden="1"/>
    <cellStyle name="Followed Hyperlink" xfId="6558" builtinId="9" hidden="1"/>
    <cellStyle name="Followed Hyperlink" xfId="6557" builtinId="9" hidden="1"/>
    <cellStyle name="Followed Hyperlink" xfId="4529" builtinId="9" hidden="1"/>
    <cellStyle name="Followed Hyperlink" xfId="6681" builtinId="9" hidden="1"/>
    <cellStyle name="Followed Hyperlink" xfId="5789" builtinId="9" hidden="1"/>
    <cellStyle name="Followed Hyperlink" xfId="6680" builtinId="9" hidden="1"/>
    <cellStyle name="Followed Hyperlink" xfId="6556" builtinId="9" hidden="1"/>
    <cellStyle name="Followed Hyperlink" xfId="5699" builtinId="9" hidden="1"/>
    <cellStyle name="Followed Hyperlink" xfId="5825" builtinId="9" hidden="1"/>
    <cellStyle name="Followed Hyperlink" xfId="6631" builtinId="9" hidden="1"/>
    <cellStyle name="Followed Hyperlink" xfId="6555" builtinId="9" hidden="1"/>
    <cellStyle name="Followed Hyperlink" xfId="4218" builtinId="9" hidden="1"/>
    <cellStyle name="Followed Hyperlink" xfId="6646" builtinId="9" hidden="1"/>
    <cellStyle name="Followed Hyperlink" xfId="6645" builtinId="9" hidden="1"/>
    <cellStyle name="Followed Hyperlink" xfId="6679" builtinId="9" hidden="1"/>
    <cellStyle name="Followed Hyperlink" xfId="6621" builtinId="9" hidden="1"/>
    <cellStyle name="Followed Hyperlink" xfId="4856" builtinId="9" hidden="1"/>
    <cellStyle name="Followed Hyperlink" xfId="6554" builtinId="9" hidden="1"/>
    <cellStyle name="Followed Hyperlink" xfId="6471" builtinId="9" hidden="1"/>
    <cellStyle name="Followed Hyperlink" xfId="5790" builtinId="9" hidden="1"/>
    <cellStyle name="Followed Hyperlink" xfId="6470" builtinId="9" hidden="1"/>
    <cellStyle name="Followed Hyperlink" xfId="5843" builtinId="9" hidden="1"/>
    <cellStyle name="Followed Hyperlink" xfId="5620" builtinId="9" hidden="1"/>
    <cellStyle name="Followed Hyperlink" xfId="6660" builtinId="9" hidden="1"/>
    <cellStyle name="Followed Hyperlink" xfId="6469" builtinId="9" hidden="1"/>
    <cellStyle name="Followed Hyperlink" xfId="5792" builtinId="9" hidden="1"/>
    <cellStyle name="Followed Hyperlink" xfId="6468" builtinId="9" hidden="1"/>
    <cellStyle name="Followed Hyperlink" xfId="5844" builtinId="9" hidden="1"/>
    <cellStyle name="Followed Hyperlink" xfId="5740" builtinId="9" hidden="1"/>
    <cellStyle name="Followed Hyperlink" xfId="6659" builtinId="9" hidden="1"/>
    <cellStyle name="Followed Hyperlink" xfId="6318" builtinId="9" hidden="1"/>
    <cellStyle name="Followed Hyperlink" xfId="5833" builtinId="9" hidden="1"/>
    <cellStyle name="Followed Hyperlink" xfId="5492" builtinId="9" hidden="1"/>
    <cellStyle name="Followed Hyperlink" xfId="5860" builtinId="9" hidden="1"/>
    <cellStyle name="Followed Hyperlink" xfId="5514" builtinId="9" hidden="1"/>
    <cellStyle name="Followed Hyperlink" xfId="6827" builtinId="9" hidden="1"/>
    <cellStyle name="Followed Hyperlink" xfId="6658" builtinId="9" hidden="1"/>
    <cellStyle name="Followed Hyperlink" xfId="6703" builtinId="9" hidden="1"/>
    <cellStyle name="Followed Hyperlink" xfId="6553" builtinId="9" hidden="1"/>
    <cellStyle name="Followed Hyperlink" xfId="6259" builtinId="9" hidden="1"/>
    <cellStyle name="Followed Hyperlink" xfId="5836" builtinId="9" hidden="1"/>
    <cellStyle name="Followed Hyperlink" xfId="6314" builtinId="9" hidden="1"/>
    <cellStyle name="Followed Hyperlink" xfId="5867" builtinId="9" hidden="1"/>
    <cellStyle name="Followed Hyperlink" xfId="5650" builtinId="9" hidden="1"/>
    <cellStyle name="Followed Hyperlink" xfId="6657" builtinId="9" hidden="1"/>
    <cellStyle name="Followed Hyperlink" xfId="6260" builtinId="9" hidden="1"/>
    <cellStyle name="Followed Hyperlink" xfId="4728" builtinId="9" hidden="1"/>
    <cellStyle name="Followed Hyperlink" xfId="6261" builtinId="9" hidden="1"/>
    <cellStyle name="Followed Hyperlink" xfId="5871" builtinId="9" hidden="1"/>
    <cellStyle name="Followed Hyperlink" xfId="6262" builtinId="9" hidden="1"/>
    <cellStyle name="Followed Hyperlink" xfId="5628" builtinId="9" hidden="1"/>
    <cellStyle name="Followed Hyperlink" xfId="4205" builtinId="9" hidden="1"/>
    <cellStyle name="Followed Hyperlink" xfId="6059" builtinId="9" hidden="1"/>
    <cellStyle name="Followed Hyperlink" xfId="5845"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6478" builtinId="9" hidden="1"/>
    <cellStyle name="Followed Hyperlink" xfId="7757" builtinId="9" hidden="1"/>
    <cellStyle name="Followed Hyperlink" xfId="7721" builtinId="9" hidden="1"/>
    <cellStyle name="Followed Hyperlink" xfId="7611" builtinId="9" hidden="1"/>
    <cellStyle name="Followed Hyperlink" xfId="7592" builtinId="9" hidden="1"/>
    <cellStyle name="Followed Hyperlink" xfId="7595" builtinId="9" hidden="1"/>
    <cellStyle name="Followed Hyperlink" xfId="7670" builtinId="9" hidden="1"/>
    <cellStyle name="Followed Hyperlink" xfId="7516" builtinId="9" hidden="1"/>
    <cellStyle name="Followed Hyperlink" xfId="6662" builtinId="9" hidden="1"/>
    <cellStyle name="Followed Hyperlink" xfId="7583" builtinId="9" hidden="1"/>
    <cellStyle name="Followed Hyperlink" xfId="7488" builtinId="9" hidden="1"/>
    <cellStyle name="Followed Hyperlink" xfId="7662" builtinId="9" hidden="1"/>
    <cellStyle name="Followed Hyperlink" xfId="7487" builtinId="9" hidden="1"/>
    <cellStyle name="Followed Hyperlink" xfId="6472" builtinId="9" hidden="1"/>
    <cellStyle name="Followed Hyperlink" xfId="7790" builtinId="9" hidden="1"/>
    <cellStyle name="Followed Hyperlink" xfId="7659" builtinId="9" hidden="1"/>
    <cellStyle name="Followed Hyperlink" xfId="7563" builtinId="9" hidden="1"/>
    <cellStyle name="Followed Hyperlink" xfId="7485" builtinId="9" hidden="1"/>
    <cellStyle name="Followed Hyperlink" xfId="7486" builtinId="9" hidden="1"/>
    <cellStyle name="Followed Hyperlink" xfId="8142" builtinId="9" hidden="1"/>
    <cellStyle name="Followed Hyperlink" xfId="7796" builtinId="9" hidden="1"/>
    <cellStyle name="Followed Hyperlink" xfId="7808" builtinId="9" hidden="1"/>
    <cellStyle name="Followed Hyperlink" xfId="7708" builtinId="9" hidden="1"/>
    <cellStyle name="Followed Hyperlink" xfId="7707" builtinId="9" hidden="1"/>
    <cellStyle name="Followed Hyperlink" xfId="7706" builtinId="9" hidden="1"/>
    <cellStyle name="Followed Hyperlink" xfId="7705" builtinId="9" hidden="1"/>
    <cellStyle name="Followed Hyperlink" xfId="7512" builtinId="9" hidden="1"/>
    <cellStyle name="Followed Hyperlink" xfId="4786" builtinId="9" hidden="1"/>
    <cellStyle name="Followed Hyperlink" xfId="7483" builtinId="9" hidden="1"/>
    <cellStyle name="Followed Hyperlink" xfId="7773" builtinId="9" hidden="1"/>
    <cellStyle name="Followed Hyperlink" xfId="7481" builtinId="9" hidden="1"/>
    <cellStyle name="Followed Hyperlink" xfId="7482" builtinId="9" hidden="1"/>
    <cellStyle name="Followed Hyperlink" xfId="6665" builtinId="9" hidden="1"/>
    <cellStyle name="Followed Hyperlink" xfId="7671" builtinId="9" hidden="1"/>
    <cellStyle name="Followed Hyperlink" xfId="7507" builtinId="9" hidden="1"/>
    <cellStyle name="Followed Hyperlink" xfId="7508" builtinId="9" hidden="1"/>
    <cellStyle name="Followed Hyperlink" xfId="5096" builtinId="9" hidden="1"/>
    <cellStyle name="Followed Hyperlink" xfId="7704" builtinId="9" hidden="1"/>
    <cellStyle name="Followed Hyperlink" xfId="5594" builtinId="9" hidden="1"/>
    <cellStyle name="Followed Hyperlink" xfId="7761" builtinId="9" hidden="1"/>
    <cellStyle name="Followed Hyperlink" xfId="7736" builtinId="9" hidden="1"/>
    <cellStyle name="Followed Hyperlink" xfId="7703" builtinId="9" hidden="1"/>
    <cellStyle name="Followed Hyperlink" xfId="7746" builtinId="9" hidden="1"/>
    <cellStyle name="Followed Hyperlink" xfId="7685" builtinId="9" hidden="1"/>
    <cellStyle name="Followed Hyperlink" xfId="7748" builtinId="9" hidden="1"/>
    <cellStyle name="Followed Hyperlink" xfId="7702" builtinId="9" hidden="1"/>
    <cellStyle name="Followed Hyperlink" xfId="7701" builtinId="9" hidden="1"/>
    <cellStyle name="Followed Hyperlink" xfId="7700" builtinId="9" hidden="1"/>
    <cellStyle name="Followed Hyperlink" xfId="6696" builtinId="9" hidden="1"/>
    <cellStyle name="Followed Hyperlink" xfId="7683" builtinId="9" hidden="1"/>
    <cellStyle name="Followed Hyperlink" xfId="4670" builtinId="9" hidden="1"/>
    <cellStyle name="Followed Hyperlink" xfId="6695" builtinId="9" hidden="1"/>
    <cellStyle name="Followed Hyperlink" xfId="7759" builtinId="9" hidden="1"/>
    <cellStyle name="Followed Hyperlink" xfId="7723" builtinId="9" hidden="1"/>
    <cellStyle name="Followed Hyperlink" xfId="7612" builtinId="9" hidden="1"/>
    <cellStyle name="Followed Hyperlink" xfId="7574" builtinId="9" hidden="1"/>
    <cellStyle name="Followed Hyperlink" xfId="7553" builtinId="9" hidden="1"/>
    <cellStyle name="Followed Hyperlink" xfId="7506" builtinId="9" hidden="1"/>
    <cellStyle name="Followed Hyperlink" xfId="6473" builtinId="9" hidden="1"/>
    <cellStyle name="Followed Hyperlink" xfId="7667" builtinId="9" hidden="1"/>
    <cellStyle name="Followed Hyperlink" xfId="7562" builtinId="9" hidden="1"/>
    <cellStyle name="Followed Hyperlink" xfId="7477" builtinId="9" hidden="1"/>
    <cellStyle name="Followed Hyperlink" xfId="7476" builtinId="9" hidden="1"/>
    <cellStyle name="Followed Hyperlink" xfId="7475" builtinId="9" hidden="1"/>
    <cellStyle name="Followed Hyperlink" xfId="7474" builtinId="9" hidden="1"/>
    <cellStyle name="Followed Hyperlink" xfId="5842" builtinId="9" hidden="1"/>
    <cellStyle name="Followed Hyperlink" xfId="7783" builtinId="9" hidden="1"/>
    <cellStyle name="Followed Hyperlink" xfId="5552" builtinId="9" hidden="1"/>
    <cellStyle name="Followed Hyperlink" xfId="7597" builtinId="9" hidden="1"/>
    <cellStyle name="Followed Hyperlink" xfId="7587" builtinId="9" hidden="1"/>
    <cellStyle name="Followed Hyperlink" xfId="7504" builtinId="9" hidden="1"/>
    <cellStyle name="Followed Hyperlink" xfId="4522" builtinId="9" hidden="1"/>
    <cellStyle name="Followed Hyperlink" xfId="7677" builtinId="9" hidden="1"/>
    <cellStyle name="Followed Hyperlink" xfId="7588" builtinId="9" hidden="1"/>
    <cellStyle name="Followed Hyperlink" xfId="7503" builtinId="9" hidden="1"/>
    <cellStyle name="Followed Hyperlink" xfId="6644" builtinId="9" hidden="1"/>
    <cellStyle name="Followed Hyperlink" xfId="7471" builtinId="9" hidden="1"/>
    <cellStyle name="Followed Hyperlink" xfId="7470" builtinId="9" hidden="1"/>
    <cellStyle name="Followed Hyperlink" xfId="5721" builtinId="9" hidden="1"/>
    <cellStyle name="Followed Hyperlink" xfId="7469" builtinId="9" hidden="1"/>
    <cellStyle name="Followed Hyperlink" xfId="6482" builtinId="9" hidden="1"/>
    <cellStyle name="Followed Hyperlink" xfId="7734" builtinId="9" hidden="1"/>
    <cellStyle name="Followed Hyperlink" xfId="7698" builtinId="9" hidden="1"/>
    <cellStyle name="Followed Hyperlink" xfId="7464" builtinId="9" hidden="1"/>
    <cellStyle name="Followed Hyperlink" xfId="7468" builtinId="9" hidden="1"/>
    <cellStyle name="Followed Hyperlink" xfId="7500" builtinId="9" hidden="1"/>
    <cellStyle name="Followed Hyperlink" xfId="5864" builtinId="9" hidden="1"/>
    <cellStyle name="Followed Hyperlink" xfId="7766" builtinId="9" hidden="1"/>
    <cellStyle name="Followed Hyperlink" xfId="7465" builtinId="9" hidden="1"/>
    <cellStyle name="Followed Hyperlink" xfId="7466" builtinId="9" hidden="1"/>
    <cellStyle name="Followed Hyperlink" xfId="5752" builtinId="9" hidden="1"/>
    <cellStyle name="Followed Hyperlink" xfId="7788" builtinId="9" hidden="1"/>
    <cellStyle name="Followed Hyperlink" xfId="7732" builtinId="9" hidden="1"/>
    <cellStyle name="Followed Hyperlink" xfId="8141" builtinId="9" hidden="1"/>
    <cellStyle name="Followed Hyperlink" xfId="7801" builtinId="9" hidden="1"/>
    <cellStyle name="Followed Hyperlink" xfId="7798" builtinId="9" hidden="1"/>
    <cellStyle name="Followed Hyperlink" xfId="7785" builtinId="9" hidden="1"/>
    <cellStyle name="Followed Hyperlink" xfId="3848" builtinId="9" hidden="1"/>
    <cellStyle name="Followed Hyperlink" xfId="7695" builtinId="9" hidden="1"/>
    <cellStyle name="Followed Hyperlink" xfId="7694" builtinId="9" hidden="1"/>
    <cellStyle name="Followed Hyperlink" xfId="7693" builtinId="9" hidden="1"/>
    <cellStyle name="Followed Hyperlink" xfId="7692" builtinId="9" hidden="1"/>
    <cellStyle name="Followed Hyperlink" xfId="7497" builtinId="9" hidden="1"/>
    <cellStyle name="Followed Hyperlink" xfId="4727" builtinId="9" hidden="1"/>
    <cellStyle name="Followed Hyperlink" xfId="7462" builtinId="9" hidden="1"/>
    <cellStyle name="Followed Hyperlink" xfId="7495" builtinId="9" hidden="1"/>
    <cellStyle name="Followed Hyperlink" xfId="6667" builtinId="9" hidden="1"/>
    <cellStyle name="Followed Hyperlink" xfId="7787" builtinId="9" hidden="1"/>
    <cellStyle name="Followed Hyperlink" xfId="7731" builtinId="9" hidden="1"/>
    <cellStyle name="Followed Hyperlink" xfId="7729" builtinId="9" hidden="1"/>
    <cellStyle name="Followed Hyperlink" xfId="7782" builtinId="9" hidden="1"/>
    <cellStyle name="Followed Hyperlink" xfId="7780" builtinId="9" hidden="1"/>
    <cellStyle name="Followed Hyperlink" xfId="7775" builtinId="9" hidden="1"/>
    <cellStyle name="Followed Hyperlink" xfId="7760" builtinId="9" hidden="1"/>
    <cellStyle name="Followed Hyperlink" xfId="7807" builtinId="9" hidden="1"/>
    <cellStyle name="Followed Hyperlink" xfId="4715" builtinId="9" hidden="1"/>
    <cellStyle name="Followed Hyperlink" xfId="7457" builtinId="9" hidden="1"/>
    <cellStyle name="Followed Hyperlink" xfId="7458" builtinId="9" hidden="1"/>
    <cellStyle name="Followed Hyperlink" xfId="6569" builtinId="9" hidden="1"/>
    <cellStyle name="Followed Hyperlink" xfId="7183" builtinId="9" hidden="1"/>
    <cellStyle name="Followed Hyperlink" xfId="7727" builtinId="9" hidden="1"/>
    <cellStyle name="Followed Hyperlink" xfId="7743" builtinId="9" hidden="1"/>
    <cellStyle name="Followed Hyperlink" xfId="7614" builtinId="9" hidden="1"/>
    <cellStyle name="Followed Hyperlink" xfId="7744" builtinId="9" hidden="1"/>
    <cellStyle name="Followed Hyperlink" xfId="7681" builtinId="9" hidden="1"/>
    <cellStyle name="Followed Hyperlink" xfId="7604" builtinId="9" hidden="1"/>
    <cellStyle name="Followed Hyperlink" xfId="7564" builtinId="9" hidden="1"/>
    <cellStyle name="Followed Hyperlink" xfId="7571" builtinId="9" hidden="1"/>
    <cellStyle name="Followed Hyperlink" xfId="7758" builtinId="9" hidden="1"/>
    <cellStyle name="Followed Hyperlink" xfId="7722" builtinId="9" hidden="1"/>
    <cellStyle name="Followed Hyperlink" xfId="7610" builtinId="9" hidden="1"/>
    <cellStyle name="Followed Hyperlink" xfId="7591" builtinId="9" hidden="1"/>
    <cellStyle name="Followed Hyperlink" xfId="7756" builtinId="9" hidden="1"/>
    <cellStyle name="Followed Hyperlink" xfId="7720" builtinId="9" hidden="1"/>
    <cellStyle name="Followed Hyperlink" xfId="7668" builtinId="9" hidden="1"/>
    <cellStyle name="Followed Hyperlink" xfId="7599" builtinId="9" hidden="1"/>
    <cellStyle name="Followed Hyperlink" xfId="7490" builtinId="9" hidden="1"/>
    <cellStyle name="Followed Hyperlink" xfId="7585" builtinId="9" hidden="1"/>
    <cellStyle name="Followed Hyperlink" xfId="7660" builtinId="9" hidden="1"/>
    <cellStyle name="Followed Hyperlink" xfId="7456" builtinId="9" hidden="1"/>
    <cellStyle name="Followed Hyperlink" xfId="7552" builtinId="9" hidden="1"/>
    <cellStyle name="Followed Hyperlink" xfId="7650" builtinId="9" hidden="1"/>
    <cellStyle name="Followed Hyperlink" xfId="6668" builtinId="9" hidden="1"/>
    <cellStyle name="Followed Hyperlink" xfId="7649" builtinId="9" hidden="1"/>
    <cellStyle name="Followed Hyperlink" xfId="7594" builtinId="9" hidden="1"/>
    <cellStyle name="Followed Hyperlink" xfId="4703" builtinId="9" hidden="1"/>
    <cellStyle name="Followed Hyperlink" xfId="7609" builtinId="9" hidden="1"/>
    <cellStyle name="Followed Hyperlink" xfId="7548" builtinId="9" hidden="1"/>
    <cellStyle name="Followed Hyperlink" xfId="6477" builtinId="9" hidden="1"/>
    <cellStyle name="Followed Hyperlink" xfId="6592" builtinId="9" hidden="1"/>
    <cellStyle name="Followed Hyperlink" xfId="8138" builtinId="9" hidden="1"/>
    <cellStyle name="Followed Hyperlink" xfId="8136" builtinId="9" hidden="1"/>
    <cellStyle name="Followed Hyperlink" xfId="8134" builtinId="9" hidden="1"/>
    <cellStyle name="Followed Hyperlink" xfId="8132" builtinId="9" hidden="1"/>
    <cellStyle name="Followed Hyperlink" xfId="8130" builtinId="9" hidden="1"/>
    <cellStyle name="Followed Hyperlink" xfId="8128" builtinId="9" hidden="1"/>
    <cellStyle name="Followed Hyperlink" xfId="8126" builtinId="9" hidden="1"/>
    <cellStyle name="Followed Hyperlink" xfId="8124" builtinId="9" hidden="1"/>
    <cellStyle name="Followed Hyperlink" xfId="8122" builtinId="9" hidden="1"/>
    <cellStyle name="Followed Hyperlink" xfId="8120" builtinId="9" hidden="1"/>
    <cellStyle name="Followed Hyperlink" xfId="8118" builtinId="9" hidden="1"/>
    <cellStyle name="Followed Hyperlink" xfId="8116" builtinId="9" hidden="1"/>
    <cellStyle name="Followed Hyperlink" xfId="8114" builtinId="9" hidden="1"/>
    <cellStyle name="Followed Hyperlink" xfId="8112" builtinId="9" hidden="1"/>
    <cellStyle name="Followed Hyperlink" xfId="8110" builtinId="9" hidden="1"/>
    <cellStyle name="Followed Hyperlink" xfId="8108" builtinId="9" hidden="1"/>
    <cellStyle name="Followed Hyperlink" xfId="8106" builtinId="9" hidden="1"/>
    <cellStyle name="Followed Hyperlink" xfId="8104" builtinId="9" hidden="1"/>
    <cellStyle name="Followed Hyperlink" xfId="8102" builtinId="9" hidden="1"/>
    <cellStyle name="Followed Hyperlink" xfId="8100" builtinId="9" hidden="1"/>
    <cellStyle name="Followed Hyperlink" xfId="8098" builtinId="9" hidden="1"/>
    <cellStyle name="Followed Hyperlink" xfId="8096" builtinId="9" hidden="1"/>
    <cellStyle name="Followed Hyperlink" xfId="8094" builtinId="9" hidden="1"/>
    <cellStyle name="Followed Hyperlink" xfId="8092" builtinId="9" hidden="1"/>
    <cellStyle name="Followed Hyperlink" xfId="8090" builtinId="9" hidden="1"/>
    <cellStyle name="Followed Hyperlink" xfId="8088" builtinId="9" hidden="1"/>
    <cellStyle name="Followed Hyperlink" xfId="8086" builtinId="9" hidden="1"/>
    <cellStyle name="Followed Hyperlink" xfId="8084" builtinId="9" hidden="1"/>
    <cellStyle name="Followed Hyperlink" xfId="8082" builtinId="9" hidden="1"/>
    <cellStyle name="Followed Hyperlink" xfId="8080" builtinId="9" hidden="1"/>
    <cellStyle name="Followed Hyperlink" xfId="8078" builtinId="9" hidden="1"/>
    <cellStyle name="Followed Hyperlink" xfId="8076" builtinId="9" hidden="1"/>
    <cellStyle name="Followed Hyperlink" xfId="8074" builtinId="9" hidden="1"/>
    <cellStyle name="Followed Hyperlink" xfId="8072" builtinId="9" hidden="1"/>
    <cellStyle name="Followed Hyperlink" xfId="8070" builtinId="9" hidden="1"/>
    <cellStyle name="Followed Hyperlink" xfId="8068" builtinId="9" hidden="1"/>
    <cellStyle name="Followed Hyperlink" xfId="8066" builtinId="9" hidden="1"/>
    <cellStyle name="Followed Hyperlink" xfId="8064" builtinId="9" hidden="1"/>
    <cellStyle name="Followed Hyperlink" xfId="8062" builtinId="9" hidden="1"/>
    <cellStyle name="Followed Hyperlink" xfId="8060" builtinId="9" hidden="1"/>
    <cellStyle name="Followed Hyperlink" xfId="8058" builtinId="9" hidden="1"/>
    <cellStyle name="Followed Hyperlink" xfId="8056" builtinId="9" hidden="1"/>
    <cellStyle name="Followed Hyperlink" xfId="8054" builtinId="9" hidden="1"/>
    <cellStyle name="Followed Hyperlink" xfId="8052" builtinId="9" hidden="1"/>
    <cellStyle name="Followed Hyperlink" xfId="8050" builtinId="9" hidden="1"/>
    <cellStyle name="Followed Hyperlink" xfId="8048" builtinId="9" hidden="1"/>
    <cellStyle name="Followed Hyperlink" xfId="8046" builtinId="9" hidden="1"/>
    <cellStyle name="Followed Hyperlink" xfId="8044" builtinId="9" hidden="1"/>
    <cellStyle name="Followed Hyperlink" xfId="8042" builtinId="9" hidden="1"/>
    <cellStyle name="Followed Hyperlink" xfId="8040" builtinId="9" hidden="1"/>
    <cellStyle name="Followed Hyperlink" xfId="8038" builtinId="9" hidden="1"/>
    <cellStyle name="Followed Hyperlink" xfId="8036" builtinId="9" hidden="1"/>
    <cellStyle name="Followed Hyperlink" xfId="8034" builtinId="9" hidden="1"/>
    <cellStyle name="Followed Hyperlink" xfId="8032" builtinId="9" hidden="1"/>
    <cellStyle name="Followed Hyperlink" xfId="8030" builtinId="9" hidden="1"/>
    <cellStyle name="Followed Hyperlink" xfId="8028" builtinId="9" hidden="1"/>
    <cellStyle name="Followed Hyperlink" xfId="8026" builtinId="9" hidden="1"/>
    <cellStyle name="Followed Hyperlink" xfId="8024" builtinId="9" hidden="1"/>
    <cellStyle name="Followed Hyperlink" xfId="8022" builtinId="9" hidden="1"/>
    <cellStyle name="Followed Hyperlink" xfId="8020" builtinId="9" hidden="1"/>
    <cellStyle name="Followed Hyperlink" xfId="8018" builtinId="9" hidden="1"/>
    <cellStyle name="Followed Hyperlink" xfId="8016" builtinId="9" hidden="1"/>
    <cellStyle name="Followed Hyperlink" xfId="8014" builtinId="9" hidden="1"/>
    <cellStyle name="Followed Hyperlink" xfId="8012" builtinId="9" hidden="1"/>
    <cellStyle name="Followed Hyperlink" xfId="8010" builtinId="9" hidden="1"/>
    <cellStyle name="Followed Hyperlink" xfId="8008" builtinId="9" hidden="1"/>
    <cellStyle name="Followed Hyperlink" xfId="8006" builtinId="9" hidden="1"/>
    <cellStyle name="Followed Hyperlink" xfId="8004" builtinId="9" hidden="1"/>
    <cellStyle name="Followed Hyperlink" xfId="8002" builtinId="9" hidden="1"/>
    <cellStyle name="Followed Hyperlink" xfId="8000" builtinId="9" hidden="1"/>
    <cellStyle name="Followed Hyperlink" xfId="7993" builtinId="9" hidden="1"/>
    <cellStyle name="Followed Hyperlink" xfId="7991" builtinId="9" hidden="1"/>
    <cellStyle name="Followed Hyperlink" xfId="7989" builtinId="9" hidden="1"/>
    <cellStyle name="Followed Hyperlink" xfId="7987" builtinId="9" hidden="1"/>
    <cellStyle name="Followed Hyperlink" xfId="7985" builtinId="9" hidden="1"/>
    <cellStyle name="Followed Hyperlink" xfId="7983" builtinId="9" hidden="1"/>
    <cellStyle name="Followed Hyperlink" xfId="7981" builtinId="9" hidden="1"/>
    <cellStyle name="Followed Hyperlink" xfId="7979" builtinId="9" hidden="1"/>
    <cellStyle name="Followed Hyperlink" xfId="7977" builtinId="9" hidden="1"/>
    <cellStyle name="Followed Hyperlink" xfId="7975" builtinId="9" hidden="1"/>
    <cellStyle name="Followed Hyperlink" xfId="7973" builtinId="9" hidden="1"/>
    <cellStyle name="Followed Hyperlink" xfId="7971" builtinId="9" hidden="1"/>
    <cellStyle name="Followed Hyperlink" xfId="7969" builtinId="9" hidden="1"/>
    <cellStyle name="Followed Hyperlink" xfId="7967" builtinId="9" hidden="1"/>
    <cellStyle name="Followed Hyperlink" xfId="7965" builtinId="9" hidden="1"/>
    <cellStyle name="Followed Hyperlink" xfId="7963" builtinId="9" hidden="1"/>
    <cellStyle name="Followed Hyperlink" xfId="7961" builtinId="9" hidden="1"/>
    <cellStyle name="Followed Hyperlink" xfId="7959" builtinId="9" hidden="1"/>
    <cellStyle name="Followed Hyperlink" xfId="7957" builtinId="9" hidden="1"/>
    <cellStyle name="Followed Hyperlink" xfId="7955" builtinId="9" hidden="1"/>
    <cellStyle name="Followed Hyperlink" xfId="7953" builtinId="9" hidden="1"/>
    <cellStyle name="Followed Hyperlink" xfId="7951" builtinId="9" hidden="1"/>
    <cellStyle name="Followed Hyperlink" xfId="7949" builtinId="9" hidden="1"/>
    <cellStyle name="Followed Hyperlink" xfId="7947" builtinId="9" hidden="1"/>
    <cellStyle name="Followed Hyperlink" xfId="7945" builtinId="9" hidden="1"/>
    <cellStyle name="Followed Hyperlink" xfId="7943" builtinId="9" hidden="1"/>
    <cellStyle name="Followed Hyperlink" xfId="7941" builtinId="9" hidden="1"/>
    <cellStyle name="Followed Hyperlink" xfId="7940" builtinId="9" hidden="1"/>
    <cellStyle name="Followed Hyperlink" xfId="7938" builtinId="9" hidden="1"/>
    <cellStyle name="Followed Hyperlink" xfId="7936" builtinId="9" hidden="1"/>
    <cellStyle name="Followed Hyperlink" xfId="7934" builtinId="9" hidden="1"/>
    <cellStyle name="Followed Hyperlink" xfId="7932" builtinId="9" hidden="1"/>
    <cellStyle name="Followed Hyperlink" xfId="7930" builtinId="9" hidden="1"/>
    <cellStyle name="Followed Hyperlink" xfId="7928" builtinId="9" hidden="1"/>
    <cellStyle name="Followed Hyperlink" xfId="7926" builtinId="9" hidden="1"/>
    <cellStyle name="Followed Hyperlink" xfId="7924" builtinId="9" hidden="1"/>
    <cellStyle name="Followed Hyperlink" xfId="7922" builtinId="9" hidden="1"/>
    <cellStyle name="Followed Hyperlink" xfId="7920" builtinId="9" hidden="1"/>
    <cellStyle name="Followed Hyperlink" xfId="7918" builtinId="9" hidden="1"/>
    <cellStyle name="Followed Hyperlink" xfId="7916" builtinId="9" hidden="1"/>
    <cellStyle name="Followed Hyperlink" xfId="7914" builtinId="9" hidden="1"/>
    <cellStyle name="Followed Hyperlink" xfId="7912" builtinId="9" hidden="1"/>
    <cellStyle name="Followed Hyperlink" xfId="7910" builtinId="9" hidden="1"/>
    <cellStyle name="Followed Hyperlink" xfId="7908" builtinId="9" hidden="1"/>
    <cellStyle name="Followed Hyperlink" xfId="7906" builtinId="9" hidden="1"/>
    <cellStyle name="Followed Hyperlink" xfId="7904" builtinId="9" hidden="1"/>
    <cellStyle name="Followed Hyperlink" xfId="7902" builtinId="9" hidden="1"/>
    <cellStyle name="Followed Hyperlink" xfId="7900" builtinId="9" hidden="1"/>
    <cellStyle name="Followed Hyperlink" xfId="7898" builtinId="9" hidden="1"/>
    <cellStyle name="Followed Hyperlink" xfId="7896" builtinId="9" hidden="1"/>
    <cellStyle name="Followed Hyperlink" xfId="7894" builtinId="9" hidden="1"/>
    <cellStyle name="Followed Hyperlink" xfId="7892" builtinId="9" hidden="1"/>
    <cellStyle name="Followed Hyperlink" xfId="7890" builtinId="9" hidden="1"/>
    <cellStyle name="Followed Hyperlink" xfId="7888" builtinId="9" hidden="1"/>
    <cellStyle name="Followed Hyperlink" xfId="7886" builtinId="9" hidden="1"/>
    <cellStyle name="Followed Hyperlink" xfId="7884" builtinId="9" hidden="1"/>
    <cellStyle name="Followed Hyperlink" xfId="7882" builtinId="9" hidden="1"/>
    <cellStyle name="Followed Hyperlink" xfId="7880" builtinId="9" hidden="1"/>
    <cellStyle name="Followed Hyperlink" xfId="7878" builtinId="9" hidden="1"/>
    <cellStyle name="Followed Hyperlink" xfId="7876" builtinId="9" hidden="1"/>
    <cellStyle name="Followed Hyperlink" xfId="7874" builtinId="9" hidden="1"/>
    <cellStyle name="Followed Hyperlink" xfId="7872" builtinId="9" hidden="1"/>
    <cellStyle name="Followed Hyperlink" xfId="7870" builtinId="9" hidden="1"/>
    <cellStyle name="Followed Hyperlink" xfId="7868" builtinId="9" hidden="1"/>
    <cellStyle name="Followed Hyperlink" xfId="7866" builtinId="9" hidden="1"/>
    <cellStyle name="Followed Hyperlink" xfId="7864" builtinId="9" hidden="1"/>
    <cellStyle name="Followed Hyperlink" xfId="7862" builtinId="9" hidden="1"/>
    <cellStyle name="Followed Hyperlink" xfId="7860" builtinId="9" hidden="1"/>
    <cellStyle name="Followed Hyperlink" xfId="7858" builtinId="9" hidden="1"/>
    <cellStyle name="Followed Hyperlink" xfId="7856" builtinId="9" hidden="1"/>
    <cellStyle name="Followed Hyperlink" xfId="7854" builtinId="9" hidden="1"/>
    <cellStyle name="Followed Hyperlink" xfId="7852" builtinId="9" hidden="1"/>
    <cellStyle name="Followed Hyperlink" xfId="7850" builtinId="9" hidden="1"/>
    <cellStyle name="Followed Hyperlink" xfId="7848" builtinId="9" hidden="1"/>
    <cellStyle name="Followed Hyperlink" xfId="7846" builtinId="9" hidden="1"/>
    <cellStyle name="Followed Hyperlink" xfId="7844" builtinId="9" hidden="1"/>
    <cellStyle name="Followed Hyperlink" xfId="7842" builtinId="9" hidden="1"/>
    <cellStyle name="Followed Hyperlink" xfId="7840" builtinId="9" hidden="1"/>
    <cellStyle name="Followed Hyperlink" xfId="7838" builtinId="9" hidden="1"/>
    <cellStyle name="Followed Hyperlink" xfId="7837" builtinId="9" hidden="1"/>
    <cellStyle name="Followed Hyperlink" xfId="7835" builtinId="9" hidden="1"/>
    <cellStyle name="Followed Hyperlink" xfId="7833" builtinId="9" hidden="1"/>
    <cellStyle name="Followed Hyperlink" xfId="7831" builtinId="9" hidden="1"/>
    <cellStyle name="Followed Hyperlink" xfId="7829" builtinId="9" hidden="1"/>
    <cellStyle name="Followed Hyperlink" xfId="7827" builtinId="9" hidden="1"/>
    <cellStyle name="Followed Hyperlink" xfId="7825" builtinId="9" hidden="1"/>
    <cellStyle name="Followed Hyperlink" xfId="7823" builtinId="9" hidden="1"/>
    <cellStyle name="Followed Hyperlink" xfId="7821" builtinId="9" hidden="1"/>
    <cellStyle name="Followed Hyperlink" xfId="7819" builtinId="9" hidden="1"/>
    <cellStyle name="Followed Hyperlink" xfId="7817" builtinId="9" hidden="1"/>
    <cellStyle name="Followed Hyperlink" xfId="7815" builtinId="9" hidden="1"/>
    <cellStyle name="Followed Hyperlink" xfId="7813" builtinId="9" hidden="1"/>
    <cellStyle name="Followed Hyperlink" xfId="7811" builtinId="9" hidden="1"/>
    <cellStyle name="Followed Hyperlink" xfId="4059" builtinId="9" hidden="1"/>
    <cellStyle name="Followed Hyperlink" xfId="6808" builtinId="9" hidden="1"/>
    <cellStyle name="Followed Hyperlink" xfId="6495" builtinId="9" hidden="1"/>
    <cellStyle name="Followed Hyperlink" xfId="6530" builtinId="9" hidden="1"/>
    <cellStyle name="Followed Hyperlink" xfId="6315" builtinId="9" hidden="1"/>
    <cellStyle name="Followed Hyperlink" xfId="6609" builtinId="9" hidden="1"/>
    <cellStyle name="Followed Hyperlink" xfId="6738" builtinId="9" hidden="1"/>
    <cellStyle name="Followed Hyperlink" xfId="6835" builtinId="9" hidden="1"/>
    <cellStyle name="Followed Hyperlink" xfId="6845" builtinId="9" hidden="1"/>
    <cellStyle name="Followed Hyperlink" xfId="6776" builtinId="9" hidden="1"/>
    <cellStyle name="Followed Hyperlink" xfId="4896" builtinId="9" hidden="1"/>
    <cellStyle name="Followed Hyperlink" xfId="6532" builtinId="9" hidden="1"/>
    <cellStyle name="Followed Hyperlink" xfId="6501" builtinId="9" hidden="1"/>
    <cellStyle name="Followed Hyperlink" xfId="6535" builtinId="9" hidden="1"/>
    <cellStyle name="Followed Hyperlink" xfId="6741" builtinId="9" hidden="1"/>
    <cellStyle name="Followed Hyperlink" xfId="6317" builtinId="9" hidden="1"/>
    <cellStyle name="Followed Hyperlink" xfId="4578" builtinId="9" hidden="1"/>
    <cellStyle name="Followed Hyperlink" xfId="4070" builtinId="9" hidden="1"/>
    <cellStyle name="Followed Hyperlink" xfId="6739" builtinId="9" hidden="1"/>
    <cellStyle name="Followed Hyperlink" xfId="4153" builtinId="9" hidden="1"/>
    <cellStyle name="Followed Hyperlink" xfId="6838" builtinId="9" hidden="1"/>
    <cellStyle name="Followed Hyperlink" xfId="6843" builtinId="9" hidden="1"/>
    <cellStyle name="Followed Hyperlink" xfId="6610" builtinId="9" hidden="1"/>
    <cellStyle name="Followed Hyperlink" xfId="6497" builtinId="9" hidden="1"/>
    <cellStyle name="Followed Hyperlink" xfId="6837" builtinId="9" hidden="1"/>
    <cellStyle name="Followed Hyperlink" xfId="7810" builtinId="9" hidden="1"/>
    <cellStyle name="Followed Hyperlink" xfId="7814" builtinId="9" hidden="1"/>
    <cellStyle name="Followed Hyperlink" xfId="7818" builtinId="9" hidden="1"/>
    <cellStyle name="Followed Hyperlink" xfId="7822" builtinId="9" hidden="1"/>
    <cellStyle name="Followed Hyperlink" xfId="7826" builtinId="9" hidden="1"/>
    <cellStyle name="Followed Hyperlink" xfId="7830" builtinId="9" hidden="1"/>
    <cellStyle name="Followed Hyperlink" xfId="7834" builtinId="9" hidden="1"/>
    <cellStyle name="Followed Hyperlink" xfId="7570" builtinId="9" hidden="1"/>
    <cellStyle name="Followed Hyperlink" xfId="7841" builtinId="9" hidden="1"/>
    <cellStyle name="Followed Hyperlink" xfId="7845" builtinId="9" hidden="1"/>
    <cellStyle name="Followed Hyperlink" xfId="7849" builtinId="9" hidden="1"/>
    <cellStyle name="Followed Hyperlink" xfId="7853" builtinId="9" hidden="1"/>
    <cellStyle name="Followed Hyperlink" xfId="7857" builtinId="9" hidden="1"/>
    <cellStyle name="Followed Hyperlink" xfId="7861" builtinId="9" hidden="1"/>
    <cellStyle name="Followed Hyperlink" xfId="7865" builtinId="9" hidden="1"/>
    <cellStyle name="Followed Hyperlink" xfId="7869" builtinId="9" hidden="1"/>
    <cellStyle name="Followed Hyperlink" xfId="7873" builtinId="9" hidden="1"/>
    <cellStyle name="Followed Hyperlink" xfId="7877" builtinId="9" hidden="1"/>
    <cellStyle name="Followed Hyperlink" xfId="7881" builtinId="9" hidden="1"/>
    <cellStyle name="Followed Hyperlink" xfId="7885" builtinId="9" hidden="1"/>
    <cellStyle name="Followed Hyperlink" xfId="7889" builtinId="9" hidden="1"/>
    <cellStyle name="Followed Hyperlink" xfId="7893" builtinId="9" hidden="1"/>
    <cellStyle name="Followed Hyperlink" xfId="7897" builtinId="9" hidden="1"/>
    <cellStyle name="Followed Hyperlink" xfId="7901" builtinId="9" hidden="1"/>
    <cellStyle name="Followed Hyperlink" xfId="7905" builtinId="9" hidden="1"/>
    <cellStyle name="Followed Hyperlink" xfId="7909" builtinId="9" hidden="1"/>
    <cellStyle name="Followed Hyperlink" xfId="7913" builtinId="9" hidden="1"/>
    <cellStyle name="Followed Hyperlink" xfId="7917" builtinId="9" hidden="1"/>
    <cellStyle name="Followed Hyperlink" xfId="7921" builtinId="9" hidden="1"/>
    <cellStyle name="Followed Hyperlink" xfId="7925" builtinId="9" hidden="1"/>
    <cellStyle name="Followed Hyperlink" xfId="7929" builtinId="9" hidden="1"/>
    <cellStyle name="Followed Hyperlink" xfId="7933" builtinId="9" hidden="1"/>
    <cellStyle name="Followed Hyperlink" xfId="7937" builtinId="9" hidden="1"/>
    <cellStyle name="Followed Hyperlink" xfId="6669" builtinId="9" hidden="1"/>
    <cellStyle name="Followed Hyperlink" xfId="7944" builtinId="9" hidden="1"/>
    <cellStyle name="Followed Hyperlink" xfId="7948" builtinId="9" hidden="1"/>
    <cellStyle name="Followed Hyperlink" xfId="7952" builtinId="9" hidden="1"/>
    <cellStyle name="Followed Hyperlink" xfId="7956" builtinId="9" hidden="1"/>
    <cellStyle name="Followed Hyperlink" xfId="7960" builtinId="9" hidden="1"/>
    <cellStyle name="Followed Hyperlink" xfId="7964" builtinId="9" hidden="1"/>
    <cellStyle name="Followed Hyperlink" xfId="7968" builtinId="9" hidden="1"/>
    <cellStyle name="Followed Hyperlink" xfId="7972" builtinId="9" hidden="1"/>
    <cellStyle name="Followed Hyperlink" xfId="7976" builtinId="9" hidden="1"/>
    <cellStyle name="Followed Hyperlink" xfId="7980" builtinId="9" hidden="1"/>
    <cellStyle name="Followed Hyperlink" xfId="7984" builtinId="9" hidden="1"/>
    <cellStyle name="Followed Hyperlink" xfId="7988" builtinId="9" hidden="1"/>
    <cellStyle name="Followed Hyperlink" xfId="7992" builtinId="9" hidden="1"/>
    <cellStyle name="Followed Hyperlink" xfId="5782" builtinId="9" hidden="1"/>
    <cellStyle name="Followed Hyperlink" xfId="7774" builtinId="9" hidden="1"/>
    <cellStyle name="Followed Hyperlink" xfId="6536" builtinId="9" hidden="1"/>
    <cellStyle name="Followed Hyperlink" xfId="6848" builtinId="9" hidden="1"/>
    <cellStyle name="Followed Hyperlink" xfId="6594" builtinId="9" hidden="1"/>
    <cellStyle name="Followed Hyperlink" xfId="6708" builtinId="9" hidden="1"/>
    <cellStyle name="Followed Hyperlink" xfId="4066" builtinId="9" hidden="1"/>
    <cellStyle name="Followed Hyperlink" xfId="6210" builtinId="9" hidden="1"/>
    <cellStyle name="Followed Hyperlink" xfId="4652" builtinId="9" hidden="1"/>
    <cellStyle name="Followed Hyperlink" xfId="6628" builtinId="9" hidden="1"/>
    <cellStyle name="Followed Hyperlink" xfId="6512" builtinId="9" hidden="1"/>
    <cellStyle name="Followed Hyperlink" xfId="6711" builtinId="9" hidden="1"/>
    <cellStyle name="Followed Hyperlink" xfId="6754" builtinId="9" hidden="1"/>
    <cellStyle name="Followed Hyperlink" xfId="6811" builtinId="9" hidden="1"/>
    <cellStyle name="Followed Hyperlink" xfId="6589" builtinId="9" hidden="1"/>
    <cellStyle name="Followed Hyperlink" xfId="6612" builtinId="9" hidden="1"/>
    <cellStyle name="Followed Hyperlink" xfId="6694" builtinId="9" hidden="1"/>
    <cellStyle name="Followed Hyperlink" xfId="6797" builtinId="9" hidden="1"/>
    <cellStyle name="Followed Hyperlink" xfId="6793" builtinId="9" hidden="1"/>
    <cellStyle name="Followed Hyperlink" xfId="6780" builtinId="9" hidden="1"/>
    <cellStyle name="Followed Hyperlink" xfId="5503" builtinId="9" hidden="1"/>
    <cellStyle name="Followed Hyperlink" xfId="6514" builtinId="9" hidden="1"/>
    <cellStyle name="Followed Hyperlink" xfId="6636" builtinId="9" hidden="1"/>
    <cellStyle name="Followed Hyperlink" xfId="4220" builtinId="9" hidden="1"/>
    <cellStyle name="Followed Hyperlink" xfId="6543" builtinId="9" hidden="1"/>
    <cellStyle name="Followed Hyperlink" xfId="6545" builtinId="9" hidden="1"/>
    <cellStyle name="Followed Hyperlink" xfId="6316" builtinId="9" hidden="1"/>
    <cellStyle name="Followed Hyperlink" xfId="6615" builtinId="9" hidden="1"/>
    <cellStyle name="Followed Hyperlink" xfId="5689" builtinId="9" hidden="1"/>
    <cellStyle name="Followed Hyperlink" xfId="6847" builtinId="9" hidden="1"/>
    <cellStyle name="Followed Hyperlink" xfId="6834" builtinId="9" hidden="1"/>
    <cellStyle name="Followed Hyperlink" xfId="6627" builtinId="9" hidden="1"/>
    <cellStyle name="Followed Hyperlink" xfId="4653" builtinId="9" hidden="1"/>
    <cellStyle name="Followed Hyperlink" xfId="6548" builtinId="9" hidden="1"/>
    <cellStyle name="Followed Hyperlink" xfId="6549" builtinId="9" hidden="1"/>
    <cellStyle name="Followed Hyperlink" xfId="6523" builtinId="9" hidden="1"/>
    <cellStyle name="Followed Hyperlink" xfId="6525" builtinId="9" hidden="1"/>
    <cellStyle name="Followed Hyperlink" xfId="6640" builtinId="9" hidden="1"/>
    <cellStyle name="Followed Hyperlink" xfId="6783" builtinId="9" hidden="1"/>
    <cellStyle name="Followed Hyperlink" xfId="6590" builtinId="9" hidden="1"/>
    <cellStyle name="Followed Hyperlink" xfId="6670" builtinId="9" hidden="1"/>
    <cellStyle name="Followed Hyperlink" xfId="7569" builtinId="9" hidden="1"/>
    <cellStyle name="Followed Hyperlink" xfId="5695" builtinId="9" hidden="1"/>
    <cellStyle name="Followed Hyperlink" xfId="7547" builtinId="9" hidden="1"/>
    <cellStyle name="Followed Hyperlink" xfId="5694" builtinId="9" hidden="1"/>
    <cellStyle name="Followed Hyperlink" xfId="7546" builtinId="9" hidden="1"/>
    <cellStyle name="Followed Hyperlink" xfId="5622" builtinId="9" hidden="1"/>
    <cellStyle name="Followed Hyperlink" xfId="7644" builtinId="9" hidden="1"/>
    <cellStyle name="Followed Hyperlink" xfId="7545" builtinId="9" hidden="1"/>
    <cellStyle name="Followed Hyperlink" xfId="7544" builtinId="9" hidden="1"/>
    <cellStyle name="Followed Hyperlink" xfId="6672" builtinId="9" hidden="1"/>
    <cellStyle name="Followed Hyperlink" xfId="7542" builtinId="9" hidden="1"/>
    <cellStyle name="Followed Hyperlink" xfId="7682" builtinId="9" hidden="1"/>
    <cellStyle name="Followed Hyperlink" xfId="6572" builtinId="9" hidden="1"/>
    <cellStyle name="Followed Hyperlink" xfId="7539" builtinId="9" hidden="1"/>
    <cellStyle name="Followed Hyperlink" xfId="7767" builtinId="9" hidden="1"/>
    <cellStyle name="Followed Hyperlink" xfId="7763" builtinId="9" hidden="1"/>
    <cellStyle name="Followed Hyperlink" xfId="7726" builtinId="9" hidden="1"/>
    <cellStyle name="Followed Hyperlink" xfId="7725" builtinId="9" hidden="1"/>
    <cellStyle name="Followed Hyperlink" xfId="7724" builtinId="9" hidden="1"/>
    <cellStyle name="Followed Hyperlink" xfId="7687" builtinId="9" hidden="1"/>
    <cellStyle name="Followed Hyperlink" xfId="7752" builtinId="9" hidden="1"/>
    <cellStyle name="Followed Hyperlink" xfId="7745" builtinId="9" hidden="1"/>
    <cellStyle name="Followed Hyperlink" xfId="7717" builtinId="9" hidden="1"/>
    <cellStyle name="Followed Hyperlink" xfId="7684" builtinId="9" hidden="1"/>
    <cellStyle name="Followed Hyperlink" xfId="7616" builtinId="9" hidden="1"/>
    <cellStyle name="Followed Hyperlink" xfId="7755" builtinId="9" hidden="1"/>
    <cellStyle name="Followed Hyperlink" xfId="7747" builtinId="9" hidden="1"/>
    <cellStyle name="Followed Hyperlink" xfId="7719" builtinId="9" hidden="1"/>
    <cellStyle name="Followed Hyperlink" xfId="7686" builtinId="9" hidden="1"/>
    <cellStyle name="Followed Hyperlink" xfId="7640" builtinId="9" hidden="1"/>
    <cellStyle name="Followed Hyperlink" xfId="7714" builtinId="9" hidden="1"/>
    <cellStyle name="Followed Hyperlink" xfId="7530" builtinId="9" hidden="1"/>
    <cellStyle name="Followed Hyperlink" xfId="7529" builtinId="9" hidden="1"/>
    <cellStyle name="Followed Hyperlink" xfId="7528" builtinId="9" hidden="1"/>
    <cellStyle name="Followed Hyperlink" xfId="7527" builtinId="9" hidden="1"/>
    <cellStyle name="Followed Hyperlink" xfId="7526" builtinId="9" hidden="1"/>
    <cellStyle name="Followed Hyperlink" xfId="7525" builtinId="9" hidden="1"/>
    <cellStyle name="Followed Hyperlink" xfId="7524" builtinId="9" hidden="1"/>
    <cellStyle name="Followed Hyperlink" xfId="7523" builtinId="9" hidden="1"/>
    <cellStyle name="Followed Hyperlink" xfId="5775" builtinId="9" hidden="1"/>
    <cellStyle name="Followed Hyperlink" xfId="7639" builtinId="9" hidden="1"/>
    <cellStyle name="Followed Hyperlink" xfId="6683" builtinId="9" hidden="1"/>
    <cellStyle name="Followed Hyperlink" xfId="7638" builtinId="9" hidden="1"/>
    <cellStyle name="Followed Hyperlink" xfId="7522" builtinId="9" hidden="1"/>
    <cellStyle name="Followed Hyperlink" xfId="6677" builtinId="9" hidden="1"/>
    <cellStyle name="Followed Hyperlink" xfId="6567" builtinId="9" hidden="1"/>
    <cellStyle name="Followed Hyperlink" xfId="7593" builtinId="9" hidden="1"/>
    <cellStyle name="Followed Hyperlink" xfId="7521" builtinId="9" hidden="1"/>
    <cellStyle name="Followed Hyperlink" xfId="4095" builtinId="9" hidden="1"/>
    <cellStyle name="Followed Hyperlink" xfId="7607" builtinId="9" hidden="1"/>
    <cellStyle name="Followed Hyperlink" xfId="7606" builtinId="9" hidden="1"/>
    <cellStyle name="Followed Hyperlink" xfId="7637" builtinId="9" hidden="1"/>
    <cellStyle name="Followed Hyperlink" xfId="7584" builtinId="9" hidden="1"/>
    <cellStyle name="Followed Hyperlink" xfId="5595" builtinId="9" hidden="1"/>
    <cellStyle name="Followed Hyperlink" xfId="7520" builtinId="9" hidden="1"/>
    <cellStyle name="Followed Hyperlink" xfId="7438" builtinId="9" hidden="1"/>
    <cellStyle name="Followed Hyperlink" xfId="6600" builtinId="9" hidden="1"/>
    <cellStyle name="Followed Hyperlink" xfId="7437" builtinId="9" hidden="1"/>
    <cellStyle name="Followed Hyperlink" xfId="7186" builtinId="9" hidden="1"/>
    <cellStyle name="Followed Hyperlink" xfId="6527" builtinId="9" hidden="1"/>
    <cellStyle name="Followed Hyperlink" xfId="7620" builtinId="9" hidden="1"/>
    <cellStyle name="Followed Hyperlink" xfId="7436" builtinId="9" hidden="1"/>
    <cellStyle name="Followed Hyperlink" xfId="5500" builtinId="9" hidden="1"/>
    <cellStyle name="Followed Hyperlink" xfId="7435" builtinId="9" hidden="1"/>
    <cellStyle name="Followed Hyperlink" xfId="4616" builtinId="9" hidden="1"/>
    <cellStyle name="Followed Hyperlink" xfId="6716" builtinId="9" hidden="1"/>
    <cellStyle name="Followed Hyperlink" xfId="7619" builtinId="9" hidden="1"/>
    <cellStyle name="Followed Hyperlink" xfId="7285" builtinId="9" hidden="1"/>
    <cellStyle name="Followed Hyperlink" xfId="6698" builtinId="9" hidden="1"/>
    <cellStyle name="Followed Hyperlink" xfId="6661" builtinId="9" hidden="1"/>
    <cellStyle name="Followed Hyperlink" xfId="5697" builtinId="9" hidden="1"/>
    <cellStyle name="Followed Hyperlink" xfId="6642" builtinId="9" hidden="1"/>
    <cellStyle name="Followed Hyperlink" xfId="7784" builtinId="9" hidden="1"/>
    <cellStyle name="Followed Hyperlink" xfId="7618" builtinId="9" hidden="1"/>
    <cellStyle name="Followed Hyperlink" xfId="7661" builtinId="9" hidden="1"/>
    <cellStyle name="Followed Hyperlink" xfId="7519" builtinId="9" hidden="1"/>
    <cellStyle name="Followed Hyperlink" xfId="7226" builtinId="9" hidden="1"/>
    <cellStyle name="Followed Hyperlink" xfId="6814" builtinId="9" hidden="1"/>
    <cellStyle name="Followed Hyperlink" xfId="7281" builtinId="9" hidden="1"/>
    <cellStyle name="Followed Hyperlink" xfId="4688" builtinId="9" hidden="1"/>
    <cellStyle name="Followed Hyperlink" xfId="6782" builtinId="9" hidden="1"/>
    <cellStyle name="Followed Hyperlink" xfId="7617" builtinId="9" hidden="1"/>
    <cellStyle name="Followed Hyperlink" xfId="7227" builtinId="9" hidden="1"/>
    <cellStyle name="Followed Hyperlink" xfId="6829" builtinId="9" hidden="1"/>
    <cellStyle name="Followed Hyperlink" xfId="7228" builtinId="9" hidden="1"/>
    <cellStyle name="Followed Hyperlink" xfId="6487" builtinId="9" hidden="1"/>
    <cellStyle name="Followed Hyperlink" xfId="7229" builtinId="9" hidden="1"/>
    <cellStyle name="Followed Hyperlink" xfId="6595" builtinId="9" hidden="1"/>
    <cellStyle name="Followed Hyperlink" xfId="5675" builtinId="9" hidden="1"/>
    <cellStyle name="Followed Hyperlink" xfId="7042" builtinId="9" hidden="1"/>
    <cellStyle name="Followed Hyperlink" xfId="6732"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Followed Hyperlink" xfId="8151" builtinId="9" hidden="1"/>
    <cellStyle name="Followed Hyperlink" xfId="8152" builtinId="9" hidden="1"/>
    <cellStyle name="Followed Hyperlink" xfId="8153" builtinId="9" hidden="1"/>
    <cellStyle name="Followed Hyperlink" xfId="8154" builtinId="9" hidden="1"/>
    <cellStyle name="Followed Hyperlink" xfId="8155" builtinId="9" hidden="1"/>
    <cellStyle name="Followed Hyperlink" xfId="8156" builtinId="9" hidden="1"/>
    <cellStyle name="Followed Hyperlink" xfId="8157" builtinId="9" hidden="1"/>
    <cellStyle name="Followed Hyperlink" xfId="8158" builtinId="9" hidden="1"/>
    <cellStyle name="Followed Hyperlink" xfId="8159" builtinId="9" hidden="1"/>
    <cellStyle name="Followed Hyperlink" xfId="8160" builtinId="9" hidden="1"/>
    <cellStyle name="Followed Hyperlink" xfId="8161" builtinId="9" hidden="1"/>
    <cellStyle name="Followed Hyperlink" xfId="8162" builtinId="9" hidden="1"/>
    <cellStyle name="Followed Hyperlink" xfId="8163" builtinId="9" hidden="1"/>
    <cellStyle name="Followed Hyperlink" xfId="8164" builtinId="9" hidden="1"/>
    <cellStyle name="Followed Hyperlink" xfId="8165" builtinId="9" hidden="1"/>
    <cellStyle name="Followed Hyperlink" xfId="8166" builtinId="9" hidden="1"/>
    <cellStyle name="Followed Hyperlink" xfId="8167" builtinId="9" hidden="1"/>
    <cellStyle name="Followed Hyperlink" xfId="8168" builtinId="9" hidden="1"/>
    <cellStyle name="Followed Hyperlink" xfId="8169" builtinId="9" hidden="1"/>
    <cellStyle name="Followed Hyperlink" xfId="8170" builtinId="9" hidden="1"/>
    <cellStyle name="Followed Hyperlink" xfId="8171" builtinId="9" hidden="1"/>
    <cellStyle name="Followed Hyperlink" xfId="8172" builtinId="9" hidden="1"/>
    <cellStyle name="Followed Hyperlink" xfId="8173" builtinId="9" hidden="1"/>
    <cellStyle name="Followed Hyperlink" xfId="8174" builtinId="9" hidden="1"/>
    <cellStyle name="Followed Hyperlink" xfId="8175" builtinId="9" hidden="1"/>
    <cellStyle name="Followed Hyperlink" xfId="8176" builtinId="9" hidden="1"/>
    <cellStyle name="Followed Hyperlink" xfId="8177" builtinId="9" hidden="1"/>
    <cellStyle name="Followed Hyperlink" xfId="8178" builtinId="9" hidden="1"/>
    <cellStyle name="Followed Hyperlink" xfId="8179" builtinId="9" hidden="1"/>
    <cellStyle name="Followed Hyperlink" xfId="8180" builtinId="9" hidden="1"/>
    <cellStyle name="Followed Hyperlink" xfId="8181" builtinId="9" hidden="1"/>
    <cellStyle name="Followed Hyperlink" xfId="8182" builtinId="9" hidden="1"/>
    <cellStyle name="Followed Hyperlink" xfId="8188" builtinId="9" hidden="1"/>
    <cellStyle name="Followed Hyperlink" xfId="8189" builtinId="9" hidden="1"/>
    <cellStyle name="Followed Hyperlink" xfId="8190" builtinId="9" hidden="1"/>
    <cellStyle name="Followed Hyperlink" xfId="8191" builtinId="9" hidden="1"/>
    <cellStyle name="Followed Hyperlink" xfId="8192" builtinId="9" hidden="1"/>
    <cellStyle name="Followed Hyperlink" xfId="8193" builtinId="9" hidden="1"/>
    <cellStyle name="Followed Hyperlink" xfId="8194" builtinId="9" hidden="1"/>
    <cellStyle name="Followed Hyperlink" xfId="8195" builtinId="9" hidden="1"/>
    <cellStyle name="Followed Hyperlink" xfId="8196" builtinId="9" hidden="1"/>
    <cellStyle name="Followed Hyperlink" xfId="8197" builtinId="9" hidden="1"/>
    <cellStyle name="Followed Hyperlink" xfId="8198" builtinId="9" hidden="1"/>
    <cellStyle name="Followed Hyperlink" xfId="8199" builtinId="9" hidden="1"/>
    <cellStyle name="Followed Hyperlink" xfId="8200" builtinId="9" hidden="1"/>
    <cellStyle name="Followed Hyperlink" xfId="8201" builtinId="9" hidden="1"/>
    <cellStyle name="Followed Hyperlink" xfId="8202" builtinId="9" hidden="1"/>
    <cellStyle name="Followed Hyperlink" xfId="8203" builtinId="9" hidden="1"/>
    <cellStyle name="Followed Hyperlink" xfId="8204" builtinId="9" hidden="1"/>
    <cellStyle name="Followed Hyperlink" xfId="8205" builtinId="9" hidden="1"/>
    <cellStyle name="Followed Hyperlink" xfId="8206" builtinId="9" hidden="1"/>
    <cellStyle name="Followed Hyperlink" xfId="8207" builtinId="9" hidden="1"/>
    <cellStyle name="Followed Hyperlink" xfId="8208" builtinId="9" hidden="1"/>
    <cellStyle name="Followed Hyperlink" xfId="8209" builtinId="9" hidden="1"/>
    <cellStyle name="Followed Hyperlink" xfId="8210" builtinId="9" hidden="1"/>
    <cellStyle name="Followed Hyperlink" xfId="8211" builtinId="9" hidden="1"/>
    <cellStyle name="Followed Hyperlink" xfId="8212" builtinId="9" hidden="1"/>
    <cellStyle name="Followed Hyperlink" xfId="8213" builtinId="9" hidden="1"/>
    <cellStyle name="Followed Hyperlink" xfId="8214" builtinId="9" hidden="1"/>
    <cellStyle name="Followed Hyperlink" xfId="8215" builtinId="9" hidden="1"/>
    <cellStyle name="Followed Hyperlink" xfId="8216" builtinId="9" hidden="1"/>
    <cellStyle name="Followed Hyperlink" xfId="8217" builtinId="9" hidden="1"/>
    <cellStyle name="Followed Hyperlink" xfId="8218" builtinId="9" hidden="1"/>
    <cellStyle name="Followed Hyperlink" xfId="8219" builtinId="9" hidden="1"/>
    <cellStyle name="Followed Hyperlink" xfId="8220" builtinId="9" hidden="1"/>
    <cellStyle name="Followed Hyperlink" xfId="8221" builtinId="9" hidden="1"/>
    <cellStyle name="Followed Hyperlink" xfId="8222" builtinId="9" hidden="1"/>
    <cellStyle name="Followed Hyperlink" xfId="8223" builtinId="9" hidden="1"/>
    <cellStyle name="Followed Hyperlink" xfId="8224" builtinId="9" hidden="1"/>
    <cellStyle name="Followed Hyperlink" xfId="8225" builtinId="9" hidden="1"/>
    <cellStyle name="Followed Hyperlink" xfId="8226" builtinId="9" hidden="1"/>
    <cellStyle name="Followed Hyperlink" xfId="8227" builtinId="9" hidden="1"/>
    <cellStyle name="Followed Hyperlink" xfId="8228" builtinId="9" hidden="1"/>
    <cellStyle name="Followed Hyperlink" xfId="8229" builtinId="9" hidden="1"/>
    <cellStyle name="Followed Hyperlink" xfId="8230" builtinId="9" hidden="1"/>
    <cellStyle name="Followed Hyperlink" xfId="8231" builtinId="9" hidden="1"/>
    <cellStyle name="Followed Hyperlink" xfId="8232" builtinId="9" hidden="1"/>
    <cellStyle name="Followed Hyperlink" xfId="8233" builtinId="9" hidden="1"/>
    <cellStyle name="Followed Hyperlink" xfId="8234" builtinId="9" hidden="1"/>
    <cellStyle name="Followed Hyperlink" xfId="8235" builtinId="9" hidden="1"/>
    <cellStyle name="Followed Hyperlink" xfId="8236" builtinId="9" hidden="1"/>
    <cellStyle name="Followed Hyperlink" xfId="8237" builtinId="9" hidden="1"/>
    <cellStyle name="Followed Hyperlink" xfId="8244" builtinId="9" hidden="1"/>
    <cellStyle name="Followed Hyperlink" xfId="8245" builtinId="9" hidden="1"/>
    <cellStyle name="Followed Hyperlink" xfId="8246" builtinId="9" hidden="1"/>
    <cellStyle name="Followed Hyperlink" xfId="8247" builtinId="9" hidden="1"/>
    <cellStyle name="Followed Hyperlink" xfId="8248" builtinId="9" hidden="1"/>
    <cellStyle name="Followed Hyperlink" xfId="8249" builtinId="9" hidden="1"/>
    <cellStyle name="Followed Hyperlink" xfId="8250" builtinId="9" hidden="1"/>
    <cellStyle name="Followed Hyperlink" xfId="8251" builtinId="9" hidden="1"/>
    <cellStyle name="Followed Hyperlink" xfId="8252" builtinId="9" hidden="1"/>
    <cellStyle name="Followed Hyperlink" xfId="8253" builtinId="9" hidden="1"/>
    <cellStyle name="Followed Hyperlink" xfId="8254" builtinId="9" hidden="1"/>
    <cellStyle name="Followed Hyperlink" xfId="8255" builtinId="9" hidden="1"/>
    <cellStyle name="Followed Hyperlink" xfId="8256" builtinId="9" hidden="1"/>
    <cellStyle name="Followed Hyperlink" xfId="8257" builtinId="9" hidden="1"/>
    <cellStyle name="Followed Hyperlink" xfId="8258" builtinId="9" hidden="1"/>
    <cellStyle name="Followed Hyperlink" xfId="8259" builtinId="9" hidden="1"/>
    <cellStyle name="Followed Hyperlink" xfId="8260" builtinId="9" hidden="1"/>
    <cellStyle name="Followed Hyperlink" xfId="8261" builtinId="9" hidden="1"/>
    <cellStyle name="Followed Hyperlink" xfId="8262" builtinId="9" hidden="1"/>
    <cellStyle name="Followed Hyperlink" xfId="8263" builtinId="9" hidden="1"/>
    <cellStyle name="Followed Hyperlink" xfId="8264" builtinId="9" hidden="1"/>
    <cellStyle name="Followed Hyperlink" xfId="8265" builtinId="9" hidden="1"/>
    <cellStyle name="Followed Hyperlink" xfId="8266" builtinId="9" hidden="1"/>
    <cellStyle name="Followed Hyperlink" xfId="8267" builtinId="9" hidden="1"/>
    <cellStyle name="Followed Hyperlink" xfId="8268" builtinId="9" hidden="1"/>
    <cellStyle name="Followed Hyperlink" xfId="8269" builtinId="9" hidden="1"/>
    <cellStyle name="Followed Hyperlink" xfId="8270" builtinId="9" hidden="1"/>
    <cellStyle name="Followed Hyperlink" xfId="8271" builtinId="9" hidden="1"/>
    <cellStyle name="Followed Hyperlink" xfId="8272" builtinId="9" hidden="1"/>
    <cellStyle name="Followed Hyperlink" xfId="8273" builtinId="9" hidden="1"/>
    <cellStyle name="Followed Hyperlink" xfId="8274" builtinId="9" hidden="1"/>
    <cellStyle name="Followed Hyperlink" xfId="8275" builtinId="9" hidden="1"/>
    <cellStyle name="Followed Hyperlink" xfId="8276" builtinId="9" hidden="1"/>
    <cellStyle name="Followed Hyperlink" xfId="8277" builtinId="9" hidden="1"/>
    <cellStyle name="Followed Hyperlink" xfId="8278" builtinId="9" hidden="1"/>
    <cellStyle name="Followed Hyperlink" xfId="8279" builtinId="9" hidden="1"/>
    <cellStyle name="Followed Hyperlink" xfId="8280" builtinId="9" hidden="1"/>
    <cellStyle name="Followed Hyperlink" xfId="8281" builtinId="9" hidden="1"/>
    <cellStyle name="Followed Hyperlink" xfId="8282" builtinId="9" hidden="1"/>
    <cellStyle name="Followed Hyperlink" xfId="8283" builtinId="9" hidden="1"/>
    <cellStyle name="Followed Hyperlink" xfId="8284" builtinId="9" hidden="1"/>
    <cellStyle name="Followed Hyperlink" xfId="8285" builtinId="9" hidden="1"/>
    <cellStyle name="Followed Hyperlink" xfId="8286" builtinId="9" hidden="1"/>
    <cellStyle name="Followed Hyperlink" xfId="8287" builtinId="9" hidden="1"/>
    <cellStyle name="Followed Hyperlink" xfId="8288" builtinId="9" hidden="1"/>
    <cellStyle name="Followed Hyperlink" xfId="8289" builtinId="9" hidden="1"/>
    <cellStyle name="Followed Hyperlink" xfId="8290" builtinId="9" hidden="1"/>
    <cellStyle name="Followed Hyperlink" xfId="8291" builtinId="9" hidden="1"/>
    <cellStyle name="Followed Hyperlink" xfId="8292" builtinId="9" hidden="1"/>
    <cellStyle name="Followed Hyperlink" xfId="8293" builtinId="9" hidden="1"/>
    <cellStyle name="Followed Hyperlink" xfId="8294" builtinId="9" hidden="1"/>
    <cellStyle name="Followed Hyperlink" xfId="8295" builtinId="9" hidden="1"/>
    <cellStyle name="Followed Hyperlink" xfId="8296" builtinId="9" hidden="1"/>
    <cellStyle name="Followed Hyperlink" xfId="8297" builtinId="9" hidden="1"/>
    <cellStyle name="Followed Hyperlink" xfId="8298" builtinId="9" hidden="1"/>
    <cellStyle name="Followed Hyperlink" xfId="8299" builtinId="9" hidden="1"/>
    <cellStyle name="Followed Hyperlink" xfId="8300" builtinId="9" hidden="1"/>
    <cellStyle name="Followed Hyperlink" xfId="8301" builtinId="9" hidden="1"/>
    <cellStyle name="Followed Hyperlink" xfId="8302" builtinId="9" hidden="1"/>
    <cellStyle name="Followed Hyperlink" xfId="8303" builtinId="9" hidden="1"/>
    <cellStyle name="Followed Hyperlink" xfId="8304" builtinId="9" hidden="1"/>
    <cellStyle name="Followed Hyperlink" xfId="8305" builtinId="9" hidden="1"/>
    <cellStyle name="Followed Hyperlink" xfId="8306" builtinId="9" hidden="1"/>
    <cellStyle name="Followed Hyperlink" xfId="8307" builtinId="9" hidden="1"/>
    <cellStyle name="Followed Hyperlink" xfId="8308" builtinId="9" hidden="1"/>
    <cellStyle name="Followed Hyperlink" xfId="8309" builtinId="9" hidden="1"/>
    <cellStyle name="Followed Hyperlink" xfId="8310" builtinId="9" hidden="1"/>
    <cellStyle name="Followed Hyperlink" xfId="8311" builtinId="9" hidden="1"/>
    <cellStyle name="Followed Hyperlink" xfId="8312" builtinId="9" hidden="1"/>
    <cellStyle name="Followed Hyperlink" xfId="8313" builtinId="9" hidden="1"/>
    <cellStyle name="Followed Hyperlink" xfId="8314" builtinId="9" hidden="1"/>
    <cellStyle name="Followed Hyperlink" xfId="8315" builtinId="9" hidden="1"/>
    <cellStyle name="Followed Hyperlink" xfId="8316" builtinId="9" hidden="1"/>
    <cellStyle name="Followed Hyperlink" xfId="8317" builtinId="9" hidden="1"/>
    <cellStyle name="Followed Hyperlink" xfId="8318" builtinId="9" hidden="1"/>
    <cellStyle name="Followed Hyperlink" xfId="8319" builtinId="9" hidden="1"/>
    <cellStyle name="Followed Hyperlink" xfId="8320" builtinId="9" hidden="1"/>
    <cellStyle name="Followed Hyperlink" xfId="8321" builtinId="9" hidden="1"/>
    <cellStyle name="Followed Hyperlink" xfId="8322" builtinId="9" hidden="1"/>
    <cellStyle name="Followed Hyperlink" xfId="8323" builtinId="9" hidden="1"/>
    <cellStyle name="Followed Hyperlink" xfId="8324" builtinId="9" hidden="1"/>
    <cellStyle name="Followed Hyperlink" xfId="8325" builtinId="9" hidden="1"/>
    <cellStyle name="Followed Hyperlink" xfId="8326" builtinId="9" hidden="1"/>
    <cellStyle name="Followed Hyperlink" xfId="8327" builtinId="9" hidden="1"/>
    <cellStyle name="Followed Hyperlink" xfId="8328" builtinId="9" hidden="1"/>
    <cellStyle name="Followed Hyperlink" xfId="8329" builtinId="9" hidden="1"/>
    <cellStyle name="Followed Hyperlink" xfId="8330" builtinId="9" hidden="1"/>
    <cellStyle name="Followed Hyperlink" xfId="8331" builtinId="9" hidden="1"/>
    <cellStyle name="Followed Hyperlink" xfId="8332" builtinId="9" hidden="1"/>
    <cellStyle name="Followed Hyperlink" xfId="8333" builtinId="9" hidden="1"/>
    <cellStyle name="Followed Hyperlink" xfId="8334" builtinId="9" hidden="1"/>
    <cellStyle name="Followed Hyperlink" xfId="8335" builtinId="9" hidden="1"/>
    <cellStyle name="Followed Hyperlink" xfId="8336" builtinId="9" hidden="1"/>
    <cellStyle name="Followed Hyperlink" xfId="8337" builtinId="9" hidden="1"/>
    <cellStyle name="Followed Hyperlink" xfId="8338" builtinId="9" hidden="1"/>
    <cellStyle name="Followed Hyperlink" xfId="8339" builtinId="9" hidden="1"/>
    <cellStyle name="Followed Hyperlink" xfId="8340" builtinId="9" hidden="1"/>
    <cellStyle name="Followed Hyperlink" xfId="8341" builtinId="9" hidden="1"/>
    <cellStyle name="Followed Hyperlink" xfId="8342" builtinId="9" hidden="1"/>
    <cellStyle name="Followed Hyperlink" xfId="8343" builtinId="9" hidden="1"/>
    <cellStyle name="Followed Hyperlink" xfId="8344" builtinId="9" hidden="1"/>
    <cellStyle name="Followed Hyperlink" xfId="8345" builtinId="9" hidden="1"/>
    <cellStyle name="Followed Hyperlink" xfId="8346" builtinId="9" hidden="1"/>
    <cellStyle name="Followed Hyperlink" xfId="8347" builtinId="9" hidden="1"/>
    <cellStyle name="Followed Hyperlink" xfId="8348" builtinId="9" hidden="1"/>
    <cellStyle name="Followed Hyperlink" xfId="8349" builtinId="9" hidden="1"/>
    <cellStyle name="Followed Hyperlink" xfId="8350" builtinId="9" hidden="1"/>
    <cellStyle name="Followed Hyperlink" xfId="8351" builtinId="9" hidden="1"/>
    <cellStyle name="Followed Hyperlink" xfId="8352" builtinId="9" hidden="1"/>
    <cellStyle name="Followed Hyperlink" xfId="8353" builtinId="9" hidden="1"/>
    <cellStyle name="Followed Hyperlink" xfId="8354" builtinId="9" hidden="1"/>
    <cellStyle name="Followed Hyperlink" xfId="8355" builtinId="9" hidden="1"/>
    <cellStyle name="Followed Hyperlink" xfId="8356" builtinId="9" hidden="1"/>
    <cellStyle name="Followed Hyperlink" xfId="8357" builtinId="9" hidden="1"/>
    <cellStyle name="Followed Hyperlink" xfId="8358" builtinId="9" hidden="1"/>
    <cellStyle name="Followed Hyperlink" xfId="8359" builtinId="9" hidden="1"/>
    <cellStyle name="Followed Hyperlink" xfId="8360" builtinId="9" hidden="1"/>
    <cellStyle name="Followed Hyperlink" xfId="8361" builtinId="9" hidden="1"/>
    <cellStyle name="Followed Hyperlink" xfId="8362" builtinId="9" hidden="1"/>
    <cellStyle name="Followed Hyperlink" xfId="8363" builtinId="9" hidden="1"/>
    <cellStyle name="Followed Hyperlink" xfId="8364" builtinId="9" hidden="1"/>
    <cellStyle name="Followed Hyperlink" xfId="8365" builtinId="9" hidden="1"/>
    <cellStyle name="Followed Hyperlink" xfId="8366" builtinId="9" hidden="1"/>
    <cellStyle name="Followed Hyperlink" xfId="8367" builtinId="9" hidden="1"/>
    <cellStyle name="Followed Hyperlink" xfId="8368" builtinId="9" hidden="1"/>
    <cellStyle name="Followed Hyperlink" xfId="8369" builtinId="9" hidden="1"/>
    <cellStyle name="Followed Hyperlink" xfId="8370" builtinId="9" hidden="1"/>
    <cellStyle name="Followed Hyperlink" xfId="8371" builtinId="9" hidden="1"/>
    <cellStyle name="Followed Hyperlink" xfId="8372" builtinId="9" hidden="1"/>
    <cellStyle name="Followed Hyperlink" xfId="8373" builtinId="9" hidden="1"/>
    <cellStyle name="Followed Hyperlink" xfId="8374" builtinId="9" hidden="1"/>
    <cellStyle name="Followed Hyperlink" xfId="8375" builtinId="9" hidden="1"/>
    <cellStyle name="Followed Hyperlink" xfId="8376" builtinId="9" hidden="1"/>
    <cellStyle name="Followed Hyperlink" xfId="8377" builtinId="9" hidden="1"/>
    <cellStyle name="Followed Hyperlink" xfId="8378" builtinId="9" hidden="1"/>
    <cellStyle name="Followed Hyperlink" xfId="8379" builtinId="9" hidden="1"/>
    <cellStyle name="Followed Hyperlink" xfId="8380" builtinId="9" hidden="1"/>
    <cellStyle name="Followed Hyperlink" xfId="8381" builtinId="9" hidden="1"/>
    <cellStyle name="Followed Hyperlink" xfId="8382" builtinId="9" hidden="1"/>
    <cellStyle name="Followed Hyperlink" xfId="8383" builtinId="9" hidden="1"/>
    <cellStyle name="Followed Hyperlink" xfId="8384" builtinId="9" hidden="1"/>
    <cellStyle name="Followed Hyperlink" xfId="8385" builtinId="9" hidden="1"/>
    <cellStyle name="Followed Hyperlink" xfId="8386" builtinId="9" hidden="1"/>
    <cellStyle name="Followed Hyperlink" xfId="8387" builtinId="9" hidden="1"/>
    <cellStyle name="Followed Hyperlink" xfId="8388" builtinId="9" hidden="1"/>
    <cellStyle name="Followed Hyperlink" xfId="8389" builtinId="9" hidden="1"/>
    <cellStyle name="Followed Hyperlink" xfId="8390" builtinId="9" hidden="1"/>
    <cellStyle name="Followed Hyperlink" xfId="8391" builtinId="9" hidden="1"/>
    <cellStyle name="Followed Hyperlink" xfId="7445" builtinId="9" hidden="1"/>
    <cellStyle name="Followed Hyperlink" xfId="8684" builtinId="9" hidden="1"/>
    <cellStyle name="Followed Hyperlink" xfId="8648" builtinId="9" hidden="1"/>
    <cellStyle name="Followed Hyperlink" xfId="8549" builtinId="9" hidden="1"/>
    <cellStyle name="Followed Hyperlink" xfId="8531" builtinId="9" hidden="1"/>
    <cellStyle name="Followed Hyperlink" xfId="8534" builtinId="9" hidden="1"/>
    <cellStyle name="Followed Hyperlink" xfId="8601" builtinId="9" hidden="1"/>
    <cellStyle name="Followed Hyperlink" xfId="8464" builtinId="9" hidden="1"/>
    <cellStyle name="Followed Hyperlink" xfId="7622" builtinId="9" hidden="1"/>
    <cellStyle name="Followed Hyperlink" xfId="8523" builtinId="9" hidden="1"/>
    <cellStyle name="Followed Hyperlink" xfId="8437" builtinId="9" hidden="1"/>
    <cellStyle name="Followed Hyperlink" xfId="8595" builtinId="9" hidden="1"/>
    <cellStyle name="Followed Hyperlink" xfId="8436" builtinId="9" hidden="1"/>
    <cellStyle name="Followed Hyperlink" xfId="7439" builtinId="9" hidden="1"/>
    <cellStyle name="Followed Hyperlink" xfId="8713" builtinId="9" hidden="1"/>
    <cellStyle name="Followed Hyperlink" xfId="8592" builtinId="9" hidden="1"/>
    <cellStyle name="Followed Hyperlink" xfId="8506" builtinId="9" hidden="1"/>
    <cellStyle name="Followed Hyperlink" xfId="8434" builtinId="9" hidden="1"/>
    <cellStyle name="Followed Hyperlink" xfId="8435" builtinId="9" hidden="1"/>
    <cellStyle name="Followed Hyperlink" xfId="9060" builtinId="9" hidden="1"/>
    <cellStyle name="Followed Hyperlink" xfId="8718" builtinId="9" hidden="1"/>
    <cellStyle name="Followed Hyperlink" xfId="8727" builtinId="9" hidden="1"/>
    <cellStyle name="Followed Hyperlink" xfId="8636" builtinId="9" hidden="1"/>
    <cellStyle name="Followed Hyperlink" xfId="8635" builtinId="9" hidden="1"/>
    <cellStyle name="Followed Hyperlink" xfId="8634" builtinId="9" hidden="1"/>
    <cellStyle name="Followed Hyperlink" xfId="8633" builtinId="9" hidden="1"/>
    <cellStyle name="Followed Hyperlink" xfId="8460" builtinId="9" hidden="1"/>
    <cellStyle name="Followed Hyperlink" xfId="6568" builtinId="9" hidden="1"/>
    <cellStyle name="Followed Hyperlink" xfId="8432" builtinId="9" hidden="1"/>
    <cellStyle name="Followed Hyperlink" xfId="8699" builtinId="9" hidden="1"/>
    <cellStyle name="Followed Hyperlink" xfId="8430" builtinId="9" hidden="1"/>
    <cellStyle name="Followed Hyperlink" xfId="8431" builtinId="9" hidden="1"/>
    <cellStyle name="Followed Hyperlink" xfId="7625" builtinId="9" hidden="1"/>
    <cellStyle name="Followed Hyperlink" xfId="8602" builtinId="9" hidden="1"/>
    <cellStyle name="Followed Hyperlink" xfId="8455" builtinId="9" hidden="1"/>
    <cellStyle name="Followed Hyperlink" xfId="8456" builtinId="9" hidden="1"/>
    <cellStyle name="Followed Hyperlink" xfId="6821" builtinId="9" hidden="1"/>
    <cellStyle name="Followed Hyperlink" xfId="8632" builtinId="9" hidden="1"/>
    <cellStyle name="Followed Hyperlink" xfId="4654" builtinId="9" hidden="1"/>
    <cellStyle name="Followed Hyperlink" xfId="8688" builtinId="9" hidden="1"/>
    <cellStyle name="Followed Hyperlink" xfId="8663" builtinId="9" hidden="1"/>
    <cellStyle name="Followed Hyperlink" xfId="8631" builtinId="9" hidden="1"/>
    <cellStyle name="Followed Hyperlink" xfId="8673" builtinId="9" hidden="1"/>
    <cellStyle name="Followed Hyperlink" xfId="8615" builtinId="9" hidden="1"/>
    <cellStyle name="Followed Hyperlink" xfId="8675" builtinId="9" hidden="1"/>
    <cellStyle name="Followed Hyperlink" xfId="8630" builtinId="9" hidden="1"/>
    <cellStyle name="Followed Hyperlink" xfId="8629" builtinId="9" hidden="1"/>
    <cellStyle name="Followed Hyperlink" xfId="8628" builtinId="9" hidden="1"/>
    <cellStyle name="Followed Hyperlink" xfId="7654" builtinId="9" hidden="1"/>
    <cellStyle name="Followed Hyperlink" xfId="8613" builtinId="9" hidden="1"/>
    <cellStyle name="Followed Hyperlink" xfId="6674" builtinId="9" hidden="1"/>
    <cellStyle name="Followed Hyperlink" xfId="7653" builtinId="9" hidden="1"/>
    <cellStyle name="Followed Hyperlink" xfId="8686" builtinId="9" hidden="1"/>
    <cellStyle name="Followed Hyperlink" xfId="8650" builtinId="9" hidden="1"/>
    <cellStyle name="Followed Hyperlink" xfId="8550" builtinId="9" hidden="1"/>
    <cellStyle name="Followed Hyperlink" xfId="8515" builtinId="9" hidden="1"/>
    <cellStyle name="Followed Hyperlink" xfId="8498" builtinId="9" hidden="1"/>
    <cellStyle name="Followed Hyperlink" xfId="8454" builtinId="9" hidden="1"/>
    <cellStyle name="Followed Hyperlink" xfId="7440" builtinId="9" hidden="1"/>
    <cellStyle name="Followed Hyperlink" xfId="8598" builtinId="9" hidden="1"/>
    <cellStyle name="Followed Hyperlink" xfId="8505" builtinId="9" hidden="1"/>
    <cellStyle name="Followed Hyperlink" xfId="8426" builtinId="9" hidden="1"/>
    <cellStyle name="Followed Hyperlink" xfId="8425" builtinId="9" hidden="1"/>
    <cellStyle name="Followed Hyperlink" xfId="8424" builtinId="9" hidden="1"/>
    <cellStyle name="Followed Hyperlink" xfId="8423" builtinId="9" hidden="1"/>
    <cellStyle name="Followed Hyperlink" xfId="6820" builtinId="9" hidden="1"/>
    <cellStyle name="Followed Hyperlink" xfId="8706" builtinId="9" hidden="1"/>
    <cellStyle name="Followed Hyperlink" xfId="6488" builtinId="9" hidden="1"/>
    <cellStyle name="Followed Hyperlink" xfId="8535" builtinId="9" hidden="1"/>
    <cellStyle name="Followed Hyperlink" xfId="8526" builtinId="9" hidden="1"/>
    <cellStyle name="Followed Hyperlink" xfId="8452" builtinId="9" hidden="1"/>
    <cellStyle name="Followed Hyperlink" xfId="6634" builtinId="9" hidden="1"/>
    <cellStyle name="Followed Hyperlink" xfId="8607" builtinId="9" hidden="1"/>
    <cellStyle name="Followed Hyperlink" xfId="8527" builtinId="9" hidden="1"/>
    <cellStyle name="Followed Hyperlink" xfId="8451" builtinId="9" hidden="1"/>
    <cellStyle name="Followed Hyperlink" xfId="7605" builtinId="9" hidden="1"/>
    <cellStyle name="Followed Hyperlink" xfId="8420" builtinId="9" hidden="1"/>
    <cellStyle name="Followed Hyperlink" xfId="8419" builtinId="9" hidden="1"/>
    <cellStyle name="Followed Hyperlink" xfId="6846" builtinId="9" hidden="1"/>
    <cellStyle name="Followed Hyperlink" xfId="8418" builtinId="9" hidden="1"/>
    <cellStyle name="Followed Hyperlink" xfId="7449" builtinId="9" hidden="1"/>
    <cellStyle name="Followed Hyperlink" xfId="8661" builtinId="9" hidden="1"/>
    <cellStyle name="Followed Hyperlink" xfId="8626" builtinId="9" hidden="1"/>
    <cellStyle name="Followed Hyperlink" xfId="8413" builtinId="9" hidden="1"/>
    <cellStyle name="Followed Hyperlink" xfId="8417" builtinId="9" hidden="1"/>
    <cellStyle name="Followed Hyperlink" xfId="8448" builtinId="9" hidden="1"/>
    <cellStyle name="Followed Hyperlink" xfId="6602" builtinId="9" hidden="1"/>
    <cellStyle name="Followed Hyperlink" xfId="8693" builtinId="9" hidden="1"/>
    <cellStyle name="Followed Hyperlink" xfId="8414" builtinId="9" hidden="1"/>
    <cellStyle name="Followed Hyperlink" xfId="8415" builtinId="9" hidden="1"/>
    <cellStyle name="Followed Hyperlink" xfId="4221" builtinId="9" hidden="1"/>
    <cellStyle name="Followed Hyperlink" xfId="8711" builtinId="9" hidden="1"/>
    <cellStyle name="Followed Hyperlink" xfId="8659" builtinId="9" hidden="1"/>
    <cellStyle name="Followed Hyperlink" xfId="9059" builtinId="9" hidden="1"/>
    <cellStyle name="Followed Hyperlink" xfId="8721" builtinId="9" hidden="1"/>
    <cellStyle name="Followed Hyperlink" xfId="8719" builtinId="9" hidden="1"/>
    <cellStyle name="Followed Hyperlink" xfId="8708" builtinId="9" hidden="1"/>
    <cellStyle name="Followed Hyperlink" xfId="6707" builtinId="9" hidden="1"/>
    <cellStyle name="Followed Hyperlink" xfId="8623" builtinId="9" hidden="1"/>
    <cellStyle name="Followed Hyperlink" xfId="8622" builtinId="9" hidden="1"/>
    <cellStyle name="Followed Hyperlink" xfId="8621" builtinId="9" hidden="1"/>
    <cellStyle name="Followed Hyperlink" xfId="8620" builtinId="9" hidden="1"/>
    <cellStyle name="Followed Hyperlink" xfId="8445" builtinId="9" hidden="1"/>
    <cellStyle name="Followed Hyperlink" xfId="4880" builtinId="9" hidden="1"/>
    <cellStyle name="Followed Hyperlink" xfId="8411" builtinId="9" hidden="1"/>
    <cellStyle name="Followed Hyperlink" xfId="8443" builtinId="9" hidden="1"/>
    <cellStyle name="Followed Hyperlink" xfId="7627" builtinId="9" hidden="1"/>
    <cellStyle name="Followed Hyperlink" xfId="8710" builtinId="9" hidden="1"/>
    <cellStyle name="Followed Hyperlink" xfId="8658" builtinId="9" hidden="1"/>
    <cellStyle name="Followed Hyperlink" xfId="8656" builtinId="9" hidden="1"/>
    <cellStyle name="Followed Hyperlink" xfId="8705" builtinId="9" hidden="1"/>
    <cellStyle name="Followed Hyperlink" xfId="8703" builtinId="9" hidden="1"/>
    <cellStyle name="Followed Hyperlink" xfId="8701" builtinId="9" hidden="1"/>
    <cellStyle name="Followed Hyperlink" xfId="8687" builtinId="9" hidden="1"/>
    <cellStyle name="Followed Hyperlink" xfId="8726" builtinId="9" hidden="1"/>
    <cellStyle name="Followed Hyperlink" xfId="6842" builtinId="9" hidden="1"/>
    <cellStyle name="Followed Hyperlink" xfId="8406" builtinId="9" hidden="1"/>
    <cellStyle name="Followed Hyperlink" xfId="8407" builtinId="9" hidden="1"/>
    <cellStyle name="Followed Hyperlink" xfId="7535" builtinId="9" hidden="1"/>
    <cellStyle name="Followed Hyperlink" xfId="8140" builtinId="9" hidden="1"/>
    <cellStyle name="Followed Hyperlink" xfId="8654" builtinId="9" hidden="1"/>
    <cellStyle name="Followed Hyperlink" xfId="8670" builtinId="9" hidden="1"/>
    <cellStyle name="Followed Hyperlink" xfId="8552" builtinId="9" hidden="1"/>
    <cellStyle name="Followed Hyperlink" xfId="8671" builtinId="9" hidden="1"/>
    <cellStyle name="Followed Hyperlink" xfId="8611" builtinId="9" hidden="1"/>
    <cellStyle name="Followed Hyperlink" xfId="8542" builtinId="9" hidden="1"/>
    <cellStyle name="Followed Hyperlink" xfId="8507" builtinId="9" hidden="1"/>
    <cellStyle name="Followed Hyperlink" xfId="8512" builtinId="9" hidden="1"/>
    <cellStyle name="Followed Hyperlink" xfId="8685" builtinId="9" hidden="1"/>
    <cellStyle name="Followed Hyperlink" xfId="8649" builtinId="9" hidden="1"/>
    <cellStyle name="Followed Hyperlink" xfId="8548" builtinId="9" hidden="1"/>
    <cellStyle name="Followed Hyperlink" xfId="8530" builtinId="9" hidden="1"/>
    <cellStyle name="Followed Hyperlink" xfId="8683" builtinId="9" hidden="1"/>
    <cellStyle name="Followed Hyperlink" xfId="8647" builtinId="9" hidden="1"/>
    <cellStyle name="Followed Hyperlink" xfId="8599" builtinId="9" hidden="1"/>
    <cellStyle name="Followed Hyperlink" xfId="8537" builtinId="9" hidden="1"/>
    <cellStyle name="Followed Hyperlink" xfId="8439" builtinId="9" hidden="1"/>
    <cellStyle name="Followed Hyperlink" xfId="8525" builtinId="9" hidden="1"/>
    <cellStyle name="Followed Hyperlink" xfId="8593" builtinId="9" hidden="1"/>
    <cellStyle name="Followed Hyperlink" xfId="8405" builtinId="9" hidden="1"/>
    <cellStyle name="Followed Hyperlink" xfId="8497" builtinId="9" hidden="1"/>
    <cellStyle name="Followed Hyperlink" xfId="8583" builtinId="9" hidden="1"/>
    <cellStyle name="Followed Hyperlink" xfId="7628" builtinId="9" hidden="1"/>
    <cellStyle name="Followed Hyperlink" xfId="8582" builtinId="9" hidden="1"/>
    <cellStyle name="Followed Hyperlink" xfId="8533" builtinId="9" hidden="1"/>
    <cellStyle name="Followed Hyperlink" xfId="6678" builtinId="9" hidden="1"/>
    <cellStyle name="Followed Hyperlink" xfId="8547" builtinId="9" hidden="1"/>
    <cellStyle name="Followed Hyperlink" xfId="8493" builtinId="9" hidden="1"/>
    <cellStyle name="Followed Hyperlink" xfId="7444" builtinId="9" hidden="1"/>
    <cellStyle name="Followed Hyperlink" xfId="7557" builtinId="9" hidden="1"/>
    <cellStyle name="Followed Hyperlink" xfId="9056" builtinId="9" hidden="1"/>
    <cellStyle name="Followed Hyperlink" xfId="9054" builtinId="9" hidden="1"/>
    <cellStyle name="Followed Hyperlink" xfId="9052" builtinId="9" hidden="1"/>
    <cellStyle name="Followed Hyperlink" xfId="9050" builtinId="9" hidden="1"/>
    <cellStyle name="Followed Hyperlink" xfId="9048" builtinId="9" hidden="1"/>
    <cellStyle name="Followed Hyperlink" xfId="9046" builtinId="9" hidden="1"/>
    <cellStyle name="Followed Hyperlink" xfId="9044" builtinId="9" hidden="1"/>
    <cellStyle name="Followed Hyperlink" xfId="9042" builtinId="9" hidden="1"/>
    <cellStyle name="Followed Hyperlink" xfId="9040" builtinId="9" hidden="1"/>
    <cellStyle name="Followed Hyperlink" xfId="9038" builtinId="9" hidden="1"/>
    <cellStyle name="Followed Hyperlink" xfId="9036" builtinId="9" hidden="1"/>
    <cellStyle name="Followed Hyperlink" xfId="9034" builtinId="9" hidden="1"/>
    <cellStyle name="Followed Hyperlink" xfId="9032" builtinId="9" hidden="1"/>
    <cellStyle name="Followed Hyperlink" xfId="9030" builtinId="9" hidden="1"/>
    <cellStyle name="Followed Hyperlink" xfId="9028" builtinId="9" hidden="1"/>
    <cellStyle name="Followed Hyperlink" xfId="9026" builtinId="9" hidden="1"/>
    <cellStyle name="Followed Hyperlink" xfId="9024" builtinId="9" hidden="1"/>
    <cellStyle name="Followed Hyperlink" xfId="9022" builtinId="9" hidden="1"/>
    <cellStyle name="Followed Hyperlink" xfId="9020" builtinId="9" hidden="1"/>
    <cellStyle name="Followed Hyperlink" xfId="9018" builtinId="9" hidden="1"/>
    <cellStyle name="Followed Hyperlink" xfId="9016" builtinId="9" hidden="1"/>
    <cellStyle name="Followed Hyperlink" xfId="9014" builtinId="9" hidden="1"/>
    <cellStyle name="Followed Hyperlink" xfId="9012" builtinId="9" hidden="1"/>
    <cellStyle name="Followed Hyperlink" xfId="9010" builtinId="9" hidden="1"/>
    <cellStyle name="Followed Hyperlink" xfId="9008" builtinId="9" hidden="1"/>
    <cellStyle name="Followed Hyperlink" xfId="9006" builtinId="9" hidden="1"/>
    <cellStyle name="Followed Hyperlink" xfId="9004" builtinId="9" hidden="1"/>
    <cellStyle name="Followed Hyperlink" xfId="9002" builtinId="9" hidden="1"/>
    <cellStyle name="Followed Hyperlink" xfId="9000" builtinId="9" hidden="1"/>
    <cellStyle name="Followed Hyperlink" xfId="8998" builtinId="9" hidden="1"/>
    <cellStyle name="Followed Hyperlink" xfId="8996" builtinId="9" hidden="1"/>
    <cellStyle name="Followed Hyperlink" xfId="8994" builtinId="9" hidden="1"/>
    <cellStyle name="Followed Hyperlink" xfId="8992" builtinId="9" hidden="1"/>
    <cellStyle name="Followed Hyperlink" xfId="8990" builtinId="9" hidden="1"/>
    <cellStyle name="Followed Hyperlink" xfId="8988" builtinId="9" hidden="1"/>
    <cellStyle name="Followed Hyperlink" xfId="8986" builtinId="9" hidden="1"/>
    <cellStyle name="Followed Hyperlink" xfId="8984" builtinId="9" hidden="1"/>
    <cellStyle name="Followed Hyperlink" xfId="8982" builtinId="9" hidden="1"/>
    <cellStyle name="Followed Hyperlink" xfId="8980" builtinId="9" hidden="1"/>
    <cellStyle name="Followed Hyperlink" xfId="8978" builtinId="9" hidden="1"/>
    <cellStyle name="Followed Hyperlink" xfId="8976" builtinId="9" hidden="1"/>
    <cellStyle name="Followed Hyperlink" xfId="8974" builtinId="9" hidden="1"/>
    <cellStyle name="Followed Hyperlink" xfId="8972" builtinId="9" hidden="1"/>
    <cellStyle name="Followed Hyperlink" xfId="8970" builtinId="9" hidden="1"/>
    <cellStyle name="Followed Hyperlink" xfId="8968" builtinId="9" hidden="1"/>
    <cellStyle name="Followed Hyperlink" xfId="8966" builtinId="9" hidden="1"/>
    <cellStyle name="Followed Hyperlink" xfId="8964" builtinId="9" hidden="1"/>
    <cellStyle name="Followed Hyperlink" xfId="8962" builtinId="9" hidden="1"/>
    <cellStyle name="Followed Hyperlink" xfId="8960" builtinId="9" hidden="1"/>
    <cellStyle name="Followed Hyperlink" xfId="8958" builtinId="9" hidden="1"/>
    <cellStyle name="Followed Hyperlink" xfId="8956" builtinId="9" hidden="1"/>
    <cellStyle name="Followed Hyperlink" xfId="8954" builtinId="9" hidden="1"/>
    <cellStyle name="Followed Hyperlink" xfId="8952" builtinId="9" hidden="1"/>
    <cellStyle name="Followed Hyperlink" xfId="8950" builtinId="9" hidden="1"/>
    <cellStyle name="Followed Hyperlink" xfId="8948" builtinId="9" hidden="1"/>
    <cellStyle name="Followed Hyperlink" xfId="8946" builtinId="9" hidden="1"/>
    <cellStyle name="Followed Hyperlink" xfId="8944" builtinId="9" hidden="1"/>
    <cellStyle name="Followed Hyperlink" xfId="8942" builtinId="9" hidden="1"/>
    <cellStyle name="Followed Hyperlink" xfId="8940" builtinId="9" hidden="1"/>
    <cellStyle name="Followed Hyperlink" xfId="8938" builtinId="9" hidden="1"/>
    <cellStyle name="Followed Hyperlink" xfId="8936" builtinId="9" hidden="1"/>
    <cellStyle name="Followed Hyperlink" xfId="8934" builtinId="9" hidden="1"/>
    <cellStyle name="Followed Hyperlink" xfId="8932" builtinId="9" hidden="1"/>
    <cellStyle name="Followed Hyperlink" xfId="8930" builtinId="9" hidden="1"/>
    <cellStyle name="Followed Hyperlink" xfId="8928" builtinId="9" hidden="1"/>
    <cellStyle name="Followed Hyperlink" xfId="8926" builtinId="9" hidden="1"/>
    <cellStyle name="Followed Hyperlink" xfId="8924" builtinId="9" hidden="1"/>
    <cellStyle name="Followed Hyperlink" xfId="8922" builtinId="9" hidden="1"/>
    <cellStyle name="Followed Hyperlink" xfId="8920" builtinId="9" hidden="1"/>
    <cellStyle name="Followed Hyperlink" xfId="8918" builtinId="9" hidden="1"/>
    <cellStyle name="Followed Hyperlink" xfId="8911" builtinId="9" hidden="1"/>
    <cellStyle name="Followed Hyperlink" xfId="8909" builtinId="9" hidden="1"/>
    <cellStyle name="Followed Hyperlink" xfId="8907" builtinId="9" hidden="1"/>
    <cellStyle name="Followed Hyperlink" xfId="8905" builtinId="9" hidden="1"/>
    <cellStyle name="Followed Hyperlink" xfId="8903" builtinId="9" hidden="1"/>
    <cellStyle name="Followed Hyperlink" xfId="8901" builtinId="9" hidden="1"/>
    <cellStyle name="Followed Hyperlink" xfId="8899" builtinId="9" hidden="1"/>
    <cellStyle name="Followed Hyperlink" xfId="8897" builtinId="9" hidden="1"/>
    <cellStyle name="Followed Hyperlink" xfId="8895" builtinId="9" hidden="1"/>
    <cellStyle name="Followed Hyperlink" xfId="8893" builtinId="9" hidden="1"/>
    <cellStyle name="Followed Hyperlink" xfId="8891" builtinId="9" hidden="1"/>
    <cellStyle name="Followed Hyperlink" xfId="8889" builtinId="9" hidden="1"/>
    <cellStyle name="Followed Hyperlink" xfId="8887" builtinId="9" hidden="1"/>
    <cellStyle name="Followed Hyperlink" xfId="8885" builtinId="9" hidden="1"/>
    <cellStyle name="Followed Hyperlink" xfId="8883" builtinId="9" hidden="1"/>
    <cellStyle name="Followed Hyperlink" xfId="8881" builtinId="9" hidden="1"/>
    <cellStyle name="Followed Hyperlink" xfId="8879" builtinId="9" hidden="1"/>
    <cellStyle name="Followed Hyperlink" xfId="8877" builtinId="9" hidden="1"/>
    <cellStyle name="Followed Hyperlink" xfId="8875" builtinId="9" hidden="1"/>
    <cellStyle name="Followed Hyperlink" xfId="8873" builtinId="9" hidden="1"/>
    <cellStyle name="Followed Hyperlink" xfId="8871" builtinId="9" hidden="1"/>
    <cellStyle name="Followed Hyperlink" xfId="8869" builtinId="9" hidden="1"/>
    <cellStyle name="Followed Hyperlink" xfId="8867" builtinId="9" hidden="1"/>
    <cellStyle name="Followed Hyperlink" xfId="8865" builtinId="9" hidden="1"/>
    <cellStyle name="Followed Hyperlink" xfId="8863" builtinId="9" hidden="1"/>
    <cellStyle name="Followed Hyperlink" xfId="8861" builtinId="9" hidden="1"/>
    <cellStyle name="Followed Hyperlink" xfId="8859" builtinId="9" hidden="1"/>
    <cellStyle name="Followed Hyperlink" xfId="8858" builtinId="9" hidden="1"/>
    <cellStyle name="Followed Hyperlink" xfId="8856" builtinId="9" hidden="1"/>
    <cellStyle name="Followed Hyperlink" xfId="8854" builtinId="9" hidden="1"/>
    <cellStyle name="Followed Hyperlink" xfId="8852" builtinId="9" hidden="1"/>
    <cellStyle name="Followed Hyperlink" xfId="8850" builtinId="9" hidden="1"/>
    <cellStyle name="Followed Hyperlink" xfId="8848" builtinId="9" hidden="1"/>
    <cellStyle name="Followed Hyperlink" xfId="8846" builtinId="9" hidden="1"/>
    <cellStyle name="Followed Hyperlink" xfId="8844" builtinId="9" hidden="1"/>
    <cellStyle name="Followed Hyperlink" xfId="8842" builtinId="9" hidden="1"/>
    <cellStyle name="Followed Hyperlink" xfId="8840" builtinId="9" hidden="1"/>
    <cellStyle name="Followed Hyperlink" xfId="8838" builtinId="9" hidden="1"/>
    <cellStyle name="Followed Hyperlink" xfId="8836" builtinId="9" hidden="1"/>
    <cellStyle name="Followed Hyperlink" xfId="8834" builtinId="9" hidden="1"/>
    <cellStyle name="Followed Hyperlink" xfId="8832" builtinId="9" hidden="1"/>
    <cellStyle name="Followed Hyperlink" xfId="8830" builtinId="9" hidden="1"/>
    <cellStyle name="Followed Hyperlink" xfId="8828" builtinId="9" hidden="1"/>
    <cellStyle name="Followed Hyperlink" xfId="8826" builtinId="9" hidden="1"/>
    <cellStyle name="Followed Hyperlink" xfId="8824" builtinId="9" hidden="1"/>
    <cellStyle name="Followed Hyperlink" xfId="8822" builtinId="9" hidden="1"/>
    <cellStyle name="Followed Hyperlink" xfId="8820" builtinId="9" hidden="1"/>
    <cellStyle name="Followed Hyperlink" xfId="8818" builtinId="9" hidden="1"/>
    <cellStyle name="Followed Hyperlink" xfId="8816" builtinId="9" hidden="1"/>
    <cellStyle name="Followed Hyperlink" xfId="8814" builtinId="9" hidden="1"/>
    <cellStyle name="Followed Hyperlink" xfId="8812" builtinId="9" hidden="1"/>
    <cellStyle name="Followed Hyperlink" xfId="8810" builtinId="9" hidden="1"/>
    <cellStyle name="Followed Hyperlink" xfId="8808" builtinId="9" hidden="1"/>
    <cellStyle name="Followed Hyperlink" xfId="8806" builtinId="9" hidden="1"/>
    <cellStyle name="Followed Hyperlink" xfId="8804" builtinId="9" hidden="1"/>
    <cellStyle name="Followed Hyperlink" xfId="8802" builtinId="9" hidden="1"/>
    <cellStyle name="Followed Hyperlink" xfId="8800" builtinId="9" hidden="1"/>
    <cellStyle name="Followed Hyperlink" xfId="8798" builtinId="9" hidden="1"/>
    <cellStyle name="Followed Hyperlink" xfId="8796" builtinId="9" hidden="1"/>
    <cellStyle name="Followed Hyperlink" xfId="8794" builtinId="9" hidden="1"/>
    <cellStyle name="Followed Hyperlink" xfId="8792" builtinId="9" hidden="1"/>
    <cellStyle name="Followed Hyperlink" xfId="8790" builtinId="9" hidden="1"/>
    <cellStyle name="Followed Hyperlink" xfId="8788" builtinId="9" hidden="1"/>
    <cellStyle name="Followed Hyperlink" xfId="8786" builtinId="9" hidden="1"/>
    <cellStyle name="Followed Hyperlink" xfId="8784" builtinId="9" hidden="1"/>
    <cellStyle name="Followed Hyperlink" xfId="8782" builtinId="9" hidden="1"/>
    <cellStyle name="Followed Hyperlink" xfId="8780" builtinId="9" hidden="1"/>
    <cellStyle name="Followed Hyperlink" xfId="8778" builtinId="9" hidden="1"/>
    <cellStyle name="Followed Hyperlink" xfId="8776" builtinId="9" hidden="1"/>
    <cellStyle name="Followed Hyperlink" xfId="8774" builtinId="9" hidden="1"/>
    <cellStyle name="Followed Hyperlink" xfId="8772" builtinId="9" hidden="1"/>
    <cellStyle name="Followed Hyperlink" xfId="8770" builtinId="9" hidden="1"/>
    <cellStyle name="Followed Hyperlink" xfId="8768" builtinId="9" hidden="1"/>
    <cellStyle name="Followed Hyperlink" xfId="8766" builtinId="9" hidden="1"/>
    <cellStyle name="Followed Hyperlink" xfId="8764" builtinId="9" hidden="1"/>
    <cellStyle name="Followed Hyperlink" xfId="8762" builtinId="9" hidden="1"/>
    <cellStyle name="Followed Hyperlink" xfId="8760" builtinId="9" hidden="1"/>
    <cellStyle name="Followed Hyperlink" xfId="8758" builtinId="9" hidden="1"/>
    <cellStyle name="Followed Hyperlink" xfId="8756" builtinId="9" hidden="1"/>
    <cellStyle name="Followed Hyperlink" xfId="8755" builtinId="9" hidden="1"/>
    <cellStyle name="Followed Hyperlink" xfId="8753" builtinId="9" hidden="1"/>
    <cellStyle name="Followed Hyperlink" xfId="8751" builtinId="9" hidden="1"/>
    <cellStyle name="Followed Hyperlink" xfId="8749" builtinId="9" hidden="1"/>
    <cellStyle name="Followed Hyperlink" xfId="8747" builtinId="9" hidden="1"/>
    <cellStyle name="Followed Hyperlink" xfId="8745" builtinId="9" hidden="1"/>
    <cellStyle name="Followed Hyperlink" xfId="8743" builtinId="9" hidden="1"/>
    <cellStyle name="Followed Hyperlink" xfId="8741" builtinId="9" hidden="1"/>
    <cellStyle name="Followed Hyperlink" xfId="8739" builtinId="9" hidden="1"/>
    <cellStyle name="Followed Hyperlink" xfId="8737" builtinId="9" hidden="1"/>
    <cellStyle name="Followed Hyperlink" xfId="8735" builtinId="9" hidden="1"/>
    <cellStyle name="Followed Hyperlink" xfId="8733" builtinId="9" hidden="1"/>
    <cellStyle name="Followed Hyperlink" xfId="8731" builtinId="9" hidden="1"/>
    <cellStyle name="Followed Hyperlink" xfId="8729" builtinId="9" hidden="1"/>
    <cellStyle name="Followed Hyperlink" xfId="6570" builtinId="9" hidden="1"/>
    <cellStyle name="Followed Hyperlink" xfId="7765" builtinId="9" hidden="1"/>
    <cellStyle name="Followed Hyperlink" xfId="7461" builtinId="9" hidden="1"/>
    <cellStyle name="Followed Hyperlink" xfId="7496" builtinId="9" hidden="1"/>
    <cellStyle name="Followed Hyperlink" xfId="7282" builtinId="9" hidden="1"/>
    <cellStyle name="Followed Hyperlink" xfId="7572" builtinId="9" hidden="1"/>
    <cellStyle name="Followed Hyperlink" xfId="7696" builtinId="9" hidden="1"/>
    <cellStyle name="Followed Hyperlink" xfId="7792" builtinId="9" hidden="1"/>
    <cellStyle name="Followed Hyperlink" xfId="7802" builtinId="9" hidden="1"/>
    <cellStyle name="Followed Hyperlink" xfId="7733" builtinId="9" hidden="1"/>
    <cellStyle name="Followed Hyperlink" xfId="6475" builtinId="9" hidden="1"/>
    <cellStyle name="Followed Hyperlink" xfId="7498" builtinId="9" hidden="1"/>
    <cellStyle name="Followed Hyperlink" xfId="7467" builtinId="9" hidden="1"/>
    <cellStyle name="Followed Hyperlink" xfId="7501" builtinId="9" hidden="1"/>
    <cellStyle name="Followed Hyperlink" xfId="7699" builtinId="9" hidden="1"/>
    <cellStyle name="Followed Hyperlink" xfId="7284" builtinId="9" hidden="1"/>
    <cellStyle name="Followed Hyperlink" xfId="4079" builtinId="9" hidden="1"/>
    <cellStyle name="Followed Hyperlink" xfId="6840" builtinId="9" hidden="1"/>
    <cellStyle name="Followed Hyperlink" xfId="7697" builtinId="9" hidden="1"/>
    <cellStyle name="Followed Hyperlink" xfId="6483" builtinId="9" hidden="1"/>
    <cellStyle name="Followed Hyperlink" xfId="7795" builtinId="9" hidden="1"/>
    <cellStyle name="Followed Hyperlink" xfId="7800" builtinId="9" hidden="1"/>
    <cellStyle name="Followed Hyperlink" xfId="7573" builtinId="9" hidden="1"/>
    <cellStyle name="Followed Hyperlink" xfId="7463" builtinId="9" hidden="1"/>
    <cellStyle name="Followed Hyperlink" xfId="7794" builtinId="9" hidden="1"/>
    <cellStyle name="Followed Hyperlink" xfId="8728" builtinId="9" hidden="1"/>
    <cellStyle name="Followed Hyperlink" xfId="8732" builtinId="9" hidden="1"/>
    <cellStyle name="Followed Hyperlink" xfId="8736" builtinId="9" hidden="1"/>
    <cellStyle name="Followed Hyperlink" xfId="8740" builtinId="9" hidden="1"/>
    <cellStyle name="Followed Hyperlink" xfId="8744" builtinId="9" hidden="1"/>
    <cellStyle name="Followed Hyperlink" xfId="8748" builtinId="9" hidden="1"/>
    <cellStyle name="Followed Hyperlink" xfId="8752" builtinId="9" hidden="1"/>
    <cellStyle name="Followed Hyperlink" xfId="8511" builtinId="9" hidden="1"/>
    <cellStyle name="Followed Hyperlink" xfId="8759" builtinId="9" hidden="1"/>
    <cellStyle name="Followed Hyperlink" xfId="8763" builtinId="9" hidden="1"/>
    <cellStyle name="Followed Hyperlink" xfId="8767" builtinId="9" hidden="1"/>
    <cellStyle name="Followed Hyperlink" xfId="8771" builtinId="9" hidden="1"/>
    <cellStyle name="Followed Hyperlink" xfId="8775" builtinId="9" hidden="1"/>
    <cellStyle name="Followed Hyperlink" xfId="8779" builtinId="9" hidden="1"/>
    <cellStyle name="Followed Hyperlink" xfId="8783" builtinId="9" hidden="1"/>
    <cellStyle name="Followed Hyperlink" xfId="8787" builtinId="9" hidden="1"/>
    <cellStyle name="Followed Hyperlink" xfId="8791" builtinId="9" hidden="1"/>
    <cellStyle name="Followed Hyperlink" xfId="8795" builtinId="9" hidden="1"/>
    <cellStyle name="Followed Hyperlink" xfId="8799" builtinId="9" hidden="1"/>
    <cellStyle name="Followed Hyperlink" xfId="8803" builtinId="9" hidden="1"/>
    <cellStyle name="Followed Hyperlink" xfId="8807" builtinId="9" hidden="1"/>
    <cellStyle name="Followed Hyperlink" xfId="8811" builtinId="9" hidden="1"/>
    <cellStyle name="Followed Hyperlink" xfId="8815" builtinId="9" hidden="1"/>
    <cellStyle name="Followed Hyperlink" xfId="8819" builtinId="9" hidden="1"/>
    <cellStyle name="Followed Hyperlink" xfId="8823" builtinId="9" hidden="1"/>
    <cellStyle name="Followed Hyperlink" xfId="8827" builtinId="9" hidden="1"/>
    <cellStyle name="Followed Hyperlink" xfId="8831" builtinId="9" hidden="1"/>
    <cellStyle name="Followed Hyperlink" xfId="8835" builtinId="9" hidden="1"/>
    <cellStyle name="Followed Hyperlink" xfId="8839" builtinId="9" hidden="1"/>
    <cellStyle name="Followed Hyperlink" xfId="8843" builtinId="9" hidden="1"/>
    <cellStyle name="Followed Hyperlink" xfId="8847" builtinId="9" hidden="1"/>
    <cellStyle name="Followed Hyperlink" xfId="8851" builtinId="9" hidden="1"/>
    <cellStyle name="Followed Hyperlink" xfId="8855" builtinId="9" hidden="1"/>
    <cellStyle name="Followed Hyperlink" xfId="7629" builtinId="9" hidden="1"/>
    <cellStyle name="Followed Hyperlink" xfId="8862" builtinId="9" hidden="1"/>
    <cellStyle name="Followed Hyperlink" xfId="8866" builtinId="9" hidden="1"/>
    <cellStyle name="Followed Hyperlink" xfId="8870" builtinId="9" hidden="1"/>
    <cellStyle name="Followed Hyperlink" xfId="8874" builtinId="9" hidden="1"/>
    <cellStyle name="Followed Hyperlink" xfId="8878" builtinId="9" hidden="1"/>
    <cellStyle name="Followed Hyperlink" xfId="8882" builtinId="9" hidden="1"/>
    <cellStyle name="Followed Hyperlink" xfId="8886" builtinId="9" hidden="1"/>
    <cellStyle name="Followed Hyperlink" xfId="8890" builtinId="9" hidden="1"/>
    <cellStyle name="Followed Hyperlink" xfId="8894" builtinId="9" hidden="1"/>
    <cellStyle name="Followed Hyperlink" xfId="8898" builtinId="9" hidden="1"/>
    <cellStyle name="Followed Hyperlink" xfId="8902" builtinId="9" hidden="1"/>
    <cellStyle name="Followed Hyperlink" xfId="8906" builtinId="9" hidden="1"/>
    <cellStyle name="Followed Hyperlink" xfId="8910" builtinId="9" hidden="1"/>
    <cellStyle name="Followed Hyperlink" xfId="6819" builtinId="9" hidden="1"/>
    <cellStyle name="Followed Hyperlink" xfId="8700" builtinId="9" hidden="1"/>
    <cellStyle name="Followed Hyperlink" xfId="7502" builtinId="9" hidden="1"/>
    <cellStyle name="Followed Hyperlink" xfId="7805" builtinId="9" hidden="1"/>
    <cellStyle name="Followed Hyperlink" xfId="7559" builtinId="9" hidden="1"/>
    <cellStyle name="Followed Hyperlink" xfId="7666" builtinId="9" hidden="1"/>
    <cellStyle name="Followed Hyperlink" xfId="6624" builtinId="9" hidden="1"/>
    <cellStyle name="Followed Hyperlink" xfId="6526" builtinId="9" hidden="1"/>
    <cellStyle name="Followed Hyperlink" xfId="6481" builtinId="9" hidden="1"/>
    <cellStyle name="Followed Hyperlink" xfId="7590" builtinId="9" hidden="1"/>
    <cellStyle name="Followed Hyperlink" xfId="7478" builtinId="9" hidden="1"/>
    <cellStyle name="Followed Hyperlink" xfId="7669" builtinId="9" hidden="1"/>
    <cellStyle name="Followed Hyperlink" xfId="7712" builtinId="9" hidden="1"/>
    <cellStyle name="Followed Hyperlink" xfId="7768" builtinId="9" hidden="1"/>
    <cellStyle name="Followed Hyperlink" xfId="7554" builtinId="9" hidden="1"/>
    <cellStyle name="Followed Hyperlink" xfId="7575" builtinId="9" hidden="1"/>
    <cellStyle name="Followed Hyperlink" xfId="7652" builtinId="9" hidden="1"/>
    <cellStyle name="Followed Hyperlink" xfId="7754" builtinId="9" hidden="1"/>
    <cellStyle name="Followed Hyperlink" xfId="7750" builtinId="9" hidden="1"/>
    <cellStyle name="Followed Hyperlink" xfId="7737" builtinId="9" hidden="1"/>
    <cellStyle name="Followed Hyperlink" xfId="5837" builtinId="9" hidden="1"/>
    <cellStyle name="Followed Hyperlink" xfId="7480" builtinId="9" hidden="1"/>
    <cellStyle name="Followed Hyperlink" xfId="7598" builtinId="9" hidden="1"/>
    <cellStyle name="Followed Hyperlink" xfId="6474" builtinId="9" hidden="1"/>
    <cellStyle name="Followed Hyperlink" xfId="7509" builtinId="9" hidden="1"/>
    <cellStyle name="Followed Hyperlink" xfId="7511" builtinId="9" hidden="1"/>
    <cellStyle name="Followed Hyperlink" xfId="7283" builtinId="9" hidden="1"/>
    <cellStyle name="Followed Hyperlink" xfId="7578" builtinId="9" hidden="1"/>
    <cellStyle name="Followed Hyperlink" xfId="6480" builtinId="9" hidden="1"/>
    <cellStyle name="Followed Hyperlink" xfId="7804" builtinId="9" hidden="1"/>
    <cellStyle name="Followed Hyperlink" xfId="7791" builtinId="9" hidden="1"/>
    <cellStyle name="Followed Hyperlink" xfId="7589" builtinId="9" hidden="1"/>
    <cellStyle name="Followed Hyperlink" xfId="6479" builtinId="9" hidden="1"/>
    <cellStyle name="Followed Hyperlink" xfId="7514" builtinId="9" hidden="1"/>
    <cellStyle name="Followed Hyperlink" xfId="7515" builtinId="9" hidden="1"/>
    <cellStyle name="Followed Hyperlink" xfId="7489" builtinId="9" hidden="1"/>
    <cellStyle name="Followed Hyperlink" xfId="7491" builtinId="9" hidden="1"/>
    <cellStyle name="Followed Hyperlink" xfId="7601" builtinId="9" hidden="1"/>
    <cellStyle name="Followed Hyperlink" xfId="7740" builtinId="9" hidden="1"/>
    <cellStyle name="Followed Hyperlink" xfId="7555" builtinId="9" hidden="1"/>
    <cellStyle name="Followed Hyperlink" xfId="7630" builtinId="9" hidden="1"/>
    <cellStyle name="Followed Hyperlink" xfId="8510" builtinId="9" hidden="1"/>
    <cellStyle name="Followed Hyperlink" xfId="5661" builtinId="9" hidden="1"/>
    <cellStyle name="Followed Hyperlink" xfId="8492" builtinId="9" hidden="1"/>
    <cellStyle name="Followed Hyperlink" xfId="4219" builtinId="9" hidden="1"/>
    <cellStyle name="Followed Hyperlink" xfId="8491" builtinId="9" hidden="1"/>
    <cellStyle name="Followed Hyperlink" xfId="6565" builtinId="9" hidden="1"/>
    <cellStyle name="Followed Hyperlink" xfId="8577" builtinId="9" hidden="1"/>
    <cellStyle name="Followed Hyperlink" xfId="8490" builtinId="9" hidden="1"/>
    <cellStyle name="Followed Hyperlink" xfId="8489" builtinId="9" hidden="1"/>
    <cellStyle name="Followed Hyperlink" xfId="7632" builtinId="9" hidden="1"/>
    <cellStyle name="Followed Hyperlink" xfId="8487" builtinId="9" hidden="1"/>
    <cellStyle name="Followed Hyperlink" xfId="8612" builtinId="9" hidden="1"/>
    <cellStyle name="Followed Hyperlink" xfId="7537" builtinId="9" hidden="1"/>
    <cellStyle name="Followed Hyperlink" xfId="8484" builtinId="9" hidden="1"/>
    <cellStyle name="Followed Hyperlink" xfId="8694" builtinId="9" hidden="1"/>
    <cellStyle name="Followed Hyperlink" xfId="8690" builtinId="9" hidden="1"/>
    <cellStyle name="Followed Hyperlink" xfId="8653" builtinId="9" hidden="1"/>
    <cellStyle name="Followed Hyperlink" xfId="8652" builtinId="9" hidden="1"/>
    <cellStyle name="Followed Hyperlink" xfId="8651" builtinId="9" hidden="1"/>
    <cellStyle name="Followed Hyperlink" xfId="8617" builtinId="9" hidden="1"/>
    <cellStyle name="Followed Hyperlink" xfId="8679" builtinId="9" hidden="1"/>
    <cellStyle name="Followed Hyperlink" xfId="8672" builtinId="9" hidden="1"/>
    <cellStyle name="Followed Hyperlink" xfId="8644" builtinId="9" hidden="1"/>
    <cellStyle name="Followed Hyperlink" xfId="8614" builtinId="9" hidden="1"/>
    <cellStyle name="Followed Hyperlink" xfId="8554" builtinId="9" hidden="1"/>
    <cellStyle name="Followed Hyperlink" xfId="8682" builtinId="9" hidden="1"/>
    <cellStyle name="Followed Hyperlink" xfId="8674" builtinId="9" hidden="1"/>
    <cellStyle name="Followed Hyperlink" xfId="8646" builtinId="9" hidden="1"/>
    <cellStyle name="Followed Hyperlink" xfId="8616" builtinId="9" hidden="1"/>
    <cellStyle name="Followed Hyperlink" xfId="8573" builtinId="9" hidden="1"/>
    <cellStyle name="Followed Hyperlink" xfId="8641" builtinId="9" hidden="1"/>
    <cellStyle name="Followed Hyperlink" xfId="8478" builtinId="9" hidden="1"/>
    <cellStyle name="Followed Hyperlink" xfId="8477" builtinId="9" hidden="1"/>
    <cellStyle name="Followed Hyperlink" xfId="8476" builtinId="9" hidden="1"/>
    <cellStyle name="Followed Hyperlink" xfId="8475" builtinId="9" hidden="1"/>
    <cellStyle name="Followed Hyperlink" xfId="8474" builtinId="9" hidden="1"/>
    <cellStyle name="Followed Hyperlink" xfId="8473" builtinId="9" hidden="1"/>
    <cellStyle name="Followed Hyperlink" xfId="8472" builtinId="9" hidden="1"/>
    <cellStyle name="Followed Hyperlink" xfId="8471" builtinId="9" hidden="1"/>
    <cellStyle name="Followed Hyperlink" xfId="4726" builtinId="9" hidden="1"/>
    <cellStyle name="Followed Hyperlink" xfId="8572" builtinId="9" hidden="1"/>
    <cellStyle name="Followed Hyperlink" xfId="7641" builtinId="9" hidden="1"/>
    <cellStyle name="Followed Hyperlink" xfId="8571" builtinId="9" hidden="1"/>
    <cellStyle name="Followed Hyperlink" xfId="8470" builtinId="9" hidden="1"/>
    <cellStyle name="Followed Hyperlink" xfId="7635" builtinId="9" hidden="1"/>
    <cellStyle name="Followed Hyperlink" xfId="7533" builtinId="9" hidden="1"/>
    <cellStyle name="Followed Hyperlink" xfId="8532" builtinId="9" hidden="1"/>
    <cellStyle name="Followed Hyperlink" xfId="8469" builtinId="9" hidden="1"/>
    <cellStyle name="Followed Hyperlink" xfId="6706" builtinId="9" hidden="1"/>
    <cellStyle name="Followed Hyperlink" xfId="8545" builtinId="9" hidden="1"/>
    <cellStyle name="Followed Hyperlink" xfId="8544" builtinId="9" hidden="1"/>
    <cellStyle name="Followed Hyperlink" xfId="8570" builtinId="9" hidden="1"/>
    <cellStyle name="Followed Hyperlink" xfId="8524" builtinId="9" hidden="1"/>
    <cellStyle name="Followed Hyperlink" xfId="4731" builtinId="9" hidden="1"/>
    <cellStyle name="Followed Hyperlink" xfId="8468" builtinId="9" hidden="1"/>
    <cellStyle name="Followed Hyperlink" xfId="8395" builtinId="9" hidden="1"/>
    <cellStyle name="Followed Hyperlink" xfId="7565" builtinId="9" hidden="1"/>
    <cellStyle name="Followed Hyperlink" xfId="8394" builtinId="9" hidden="1"/>
    <cellStyle name="Followed Hyperlink" xfId="8143" builtinId="9" hidden="1"/>
    <cellStyle name="Followed Hyperlink" xfId="7493" builtinId="9" hidden="1"/>
    <cellStyle name="Followed Hyperlink" xfId="8558" builtinId="9" hidden="1"/>
    <cellStyle name="Followed Hyperlink" xfId="8393" builtinId="9" hidden="1"/>
    <cellStyle name="Followed Hyperlink" xfId="6664" builtinId="9" hidden="1"/>
    <cellStyle name="Followed Hyperlink" xfId="8392" builtinId="9" hidden="1"/>
    <cellStyle name="Followed Hyperlink" xfId="6675" builtinId="9" hidden="1"/>
    <cellStyle name="Followed Hyperlink" xfId="7674" builtinId="9" hidden="1"/>
    <cellStyle name="Followed Hyperlink" xfId="8557" builtinId="9" hidden="1"/>
    <cellStyle name="Followed Hyperlink" xfId="8242" builtinId="9" hidden="1"/>
    <cellStyle name="Followed Hyperlink" xfId="7656" builtinId="9" hidden="1"/>
    <cellStyle name="Followed Hyperlink" xfId="7621" builtinId="9" hidden="1"/>
    <cellStyle name="Followed Hyperlink" xfId="5553" builtinId="9" hidden="1"/>
    <cellStyle name="Followed Hyperlink" xfId="7603" builtinId="9" hidden="1"/>
    <cellStyle name="Followed Hyperlink" xfId="8707" builtinId="9" hidden="1"/>
    <cellStyle name="Followed Hyperlink" xfId="8556" builtinId="9" hidden="1"/>
    <cellStyle name="Followed Hyperlink" xfId="8594" builtinId="9" hidden="1"/>
    <cellStyle name="Followed Hyperlink" xfId="8467" builtinId="9" hidden="1"/>
    <cellStyle name="Followed Hyperlink" xfId="8183" builtinId="9" hidden="1"/>
    <cellStyle name="Followed Hyperlink" xfId="7771" builtinId="9" hidden="1"/>
    <cellStyle name="Followed Hyperlink" xfId="8238" builtinId="9" hidden="1"/>
    <cellStyle name="Followed Hyperlink" xfId="4623" builtinId="9" hidden="1"/>
    <cellStyle name="Followed Hyperlink" xfId="7739" builtinId="9" hidden="1"/>
    <cellStyle name="Followed Hyperlink" xfId="8555" builtinId="9" hidden="1"/>
    <cellStyle name="Followed Hyperlink" xfId="8184" builtinId="9" hidden="1"/>
    <cellStyle name="Followed Hyperlink" xfId="7786" builtinId="9" hidden="1"/>
    <cellStyle name="Followed Hyperlink" xfId="8185" builtinId="9" hidden="1"/>
    <cellStyle name="Followed Hyperlink" xfId="7453" builtinId="9" hidden="1"/>
    <cellStyle name="Followed Hyperlink" xfId="8186" builtinId="9" hidden="1"/>
    <cellStyle name="Followed Hyperlink" xfId="7560" builtinId="9" hidden="1"/>
    <cellStyle name="Followed Hyperlink" xfId="6591" builtinId="9" hidden="1"/>
    <cellStyle name="Followed Hyperlink" xfId="7999" builtinId="9" hidden="1"/>
    <cellStyle name="Followed Hyperlink" xfId="7690" builtinId="9" hidden="1"/>
    <cellStyle name="Followed Hyperlink" xfId="9062" builtinId="9" hidden="1"/>
    <cellStyle name="Followed Hyperlink" xfId="9063" builtinId="9" hidden="1"/>
    <cellStyle name="Followed Hyperlink" xfId="9064" builtinId="9" hidden="1"/>
    <cellStyle name="Followed Hyperlink" xfId="9065" builtinId="9" hidden="1"/>
    <cellStyle name="Followed Hyperlink" xfId="9066" builtinId="9" hidden="1"/>
    <cellStyle name="Followed Hyperlink" xfId="9067" builtinId="9" hidden="1"/>
    <cellStyle name="Followed Hyperlink" xfId="9068" builtinId="9" hidden="1"/>
    <cellStyle name="Followed Hyperlink" xfId="9069" builtinId="9" hidden="1"/>
    <cellStyle name="Followed Hyperlink" xfId="9070" builtinId="9" hidden="1"/>
    <cellStyle name="Followed Hyperlink" xfId="9071" builtinId="9" hidden="1"/>
    <cellStyle name="Followed Hyperlink" xfId="9072" builtinId="9" hidden="1"/>
    <cellStyle name="Followed Hyperlink" xfId="9073" builtinId="9" hidden="1"/>
    <cellStyle name="Followed Hyperlink" xfId="9074" builtinId="9" hidden="1"/>
    <cellStyle name="Followed Hyperlink" xfId="9075" builtinId="9" hidden="1"/>
    <cellStyle name="Followed Hyperlink" xfId="9076" builtinId="9" hidden="1"/>
    <cellStyle name="Followed Hyperlink" xfId="9077" builtinId="9" hidden="1"/>
    <cellStyle name="Followed Hyperlink" xfId="9078" builtinId="9" hidden="1"/>
    <cellStyle name="Followed Hyperlink" xfId="9079" builtinId="9" hidden="1"/>
    <cellStyle name="Followed Hyperlink" xfId="9080" builtinId="9" hidden="1"/>
    <cellStyle name="Followed Hyperlink" xfId="9081" builtinId="9" hidden="1"/>
    <cellStyle name="Followed Hyperlink" xfId="9082" builtinId="9" hidden="1"/>
    <cellStyle name="Followed Hyperlink" xfId="9083" builtinId="9" hidden="1"/>
    <cellStyle name="Followed Hyperlink" xfId="9084" builtinId="9" hidden="1"/>
    <cellStyle name="Followed Hyperlink" xfId="9085" builtinId="9" hidden="1"/>
    <cellStyle name="Followed Hyperlink" xfId="9086" builtinId="9" hidden="1"/>
    <cellStyle name="Followed Hyperlink" xfId="9087" builtinId="9" hidden="1"/>
    <cellStyle name="Followed Hyperlink" xfId="9088" builtinId="9" hidden="1"/>
    <cellStyle name="Followed Hyperlink" xfId="9089" builtinId="9" hidden="1"/>
    <cellStyle name="Followed Hyperlink" xfId="9090" builtinId="9" hidden="1"/>
    <cellStyle name="Followed Hyperlink" xfId="9091" builtinId="9" hidden="1"/>
    <cellStyle name="Followed Hyperlink" xfId="9092" builtinId="9" hidden="1"/>
    <cellStyle name="Followed Hyperlink" xfId="9093" builtinId="9" hidden="1"/>
    <cellStyle name="Followed Hyperlink" xfId="9094" builtinId="9" hidden="1"/>
    <cellStyle name="Followed Hyperlink" xfId="9095" builtinId="9" hidden="1"/>
    <cellStyle name="Followed Hyperlink" xfId="9096" builtinId="9" hidden="1"/>
    <cellStyle name="Followed Hyperlink" xfId="9097" builtinId="9" hidden="1"/>
    <cellStyle name="Followed Hyperlink" xfId="9098" builtinId="9" hidden="1"/>
    <cellStyle name="Followed Hyperlink" xfId="9099" builtinId="9" hidden="1"/>
    <cellStyle name="Followed Hyperlink" xfId="9100" builtinId="9" hidden="1"/>
    <cellStyle name="Followed Hyperlink" xfId="9105" builtinId="9" hidden="1"/>
    <cellStyle name="Followed Hyperlink" xfId="9106" builtinId="9" hidden="1"/>
    <cellStyle name="Followed Hyperlink" xfId="9107" builtinId="9" hidden="1"/>
    <cellStyle name="Followed Hyperlink" xfId="9108" builtinId="9" hidden="1"/>
    <cellStyle name="Followed Hyperlink" xfId="9109" builtinId="9" hidden="1"/>
    <cellStyle name="Followed Hyperlink" xfId="9110" builtinId="9" hidden="1"/>
    <cellStyle name="Followed Hyperlink" xfId="9111" builtinId="9" hidden="1"/>
    <cellStyle name="Followed Hyperlink" xfId="9112" builtinId="9" hidden="1"/>
    <cellStyle name="Followed Hyperlink" xfId="9113" builtinId="9" hidden="1"/>
    <cellStyle name="Followed Hyperlink" xfId="9114" builtinId="9" hidden="1"/>
    <cellStyle name="Followed Hyperlink" xfId="9115" builtinId="9" hidden="1"/>
    <cellStyle name="Followed Hyperlink" xfId="9116" builtinId="9" hidden="1"/>
    <cellStyle name="Followed Hyperlink" xfId="9117" builtinId="9" hidden="1"/>
    <cellStyle name="Followed Hyperlink" xfId="9118" builtinId="9" hidden="1"/>
    <cellStyle name="Followed Hyperlink" xfId="9119" builtinId="9" hidden="1"/>
    <cellStyle name="Followed Hyperlink" xfId="9120" builtinId="9" hidden="1"/>
    <cellStyle name="Followed Hyperlink" xfId="9121" builtinId="9" hidden="1"/>
    <cellStyle name="Followed Hyperlink" xfId="9122" builtinId="9" hidden="1"/>
    <cellStyle name="Followed Hyperlink" xfId="9123" builtinId="9" hidden="1"/>
    <cellStyle name="Followed Hyperlink" xfId="9124" builtinId="9" hidden="1"/>
    <cellStyle name="Followed Hyperlink" xfId="9125" builtinId="9" hidden="1"/>
    <cellStyle name="Followed Hyperlink" xfId="9126" builtinId="9" hidden="1"/>
    <cellStyle name="Followed Hyperlink" xfId="9127" builtinId="9" hidden="1"/>
    <cellStyle name="Followed Hyperlink" xfId="9128" builtinId="9" hidden="1"/>
    <cellStyle name="Followed Hyperlink" xfId="9129" builtinId="9" hidden="1"/>
    <cellStyle name="Followed Hyperlink" xfId="9130" builtinId="9" hidden="1"/>
    <cellStyle name="Followed Hyperlink" xfId="9131" builtinId="9" hidden="1"/>
    <cellStyle name="Followed Hyperlink" xfId="9132" builtinId="9" hidden="1"/>
    <cellStyle name="Followed Hyperlink" xfId="9133" builtinId="9" hidden="1"/>
    <cellStyle name="Followed Hyperlink" xfId="9134" builtinId="9" hidden="1"/>
    <cellStyle name="Followed Hyperlink" xfId="9135" builtinId="9" hidden="1"/>
    <cellStyle name="Followed Hyperlink" xfId="9136" builtinId="9" hidden="1"/>
    <cellStyle name="Followed Hyperlink" xfId="9137" builtinId="9" hidden="1"/>
    <cellStyle name="Followed Hyperlink" xfId="9138" builtinId="9" hidden="1"/>
    <cellStyle name="Followed Hyperlink" xfId="9139" builtinId="9" hidden="1"/>
    <cellStyle name="Followed Hyperlink" xfId="9140" builtinId="9" hidden="1"/>
    <cellStyle name="Followed Hyperlink" xfId="9141" builtinId="9" hidden="1"/>
    <cellStyle name="Followed Hyperlink" xfId="9142" builtinId="9" hidden="1"/>
    <cellStyle name="Followed Hyperlink" xfId="9143" builtinId="9" hidden="1"/>
    <cellStyle name="Followed Hyperlink" xfId="9144" builtinId="9" hidden="1"/>
    <cellStyle name="Followed Hyperlink" xfId="9145" builtinId="9" hidden="1"/>
    <cellStyle name="Followed Hyperlink" xfId="9146" builtinId="9" hidden="1"/>
    <cellStyle name="Followed Hyperlink" xfId="9147" builtinId="9" hidden="1"/>
    <cellStyle name="Followed Hyperlink" xfId="9148" builtinId="9" hidden="1"/>
    <cellStyle name="Followed Hyperlink" xfId="9149" builtinId="9" hidden="1"/>
    <cellStyle name="Followed Hyperlink" xfId="9150" builtinId="9" hidden="1"/>
    <cellStyle name="Followed Hyperlink" xfId="9151" builtinId="9" hidden="1"/>
    <cellStyle name="Followed Hyperlink" xfId="9152" builtinId="9" hidden="1"/>
    <cellStyle name="Followed Hyperlink" xfId="9153" builtinId="9" hidden="1"/>
    <cellStyle name="Followed Hyperlink" xfId="9154" builtinId="9" hidden="1"/>
    <cellStyle name="Followed Hyperlink" xfId="9157" builtinId="9" hidden="1"/>
    <cellStyle name="Followed Hyperlink" xfId="9158" builtinId="9" hidden="1"/>
    <cellStyle name="Followed Hyperlink" xfId="9159" builtinId="9" hidden="1"/>
    <cellStyle name="Followed Hyperlink" xfId="9160" builtinId="9" hidden="1"/>
    <cellStyle name="Followed Hyperlink" xfId="9161" builtinId="9" hidden="1"/>
    <cellStyle name="Followed Hyperlink" xfId="9162" builtinId="9" hidden="1"/>
    <cellStyle name="Followed Hyperlink" xfId="9163" builtinId="9" hidden="1"/>
    <cellStyle name="Followed Hyperlink" xfId="9164" builtinId="9" hidden="1"/>
    <cellStyle name="Followed Hyperlink" xfId="9165" builtinId="9" hidden="1"/>
    <cellStyle name="Followed Hyperlink" xfId="9166" builtinId="9" hidden="1"/>
    <cellStyle name="Followed Hyperlink" xfId="9167" builtinId="9" hidden="1"/>
    <cellStyle name="Followed Hyperlink" xfId="9168" builtinId="9" hidden="1"/>
    <cellStyle name="Followed Hyperlink" xfId="9169" builtinId="9" hidden="1"/>
    <cellStyle name="Followed Hyperlink" xfId="9170" builtinId="9" hidden="1"/>
    <cellStyle name="Followed Hyperlink" xfId="9171" builtinId="9" hidden="1"/>
    <cellStyle name="Followed Hyperlink" xfId="9172" builtinId="9" hidden="1"/>
    <cellStyle name="Followed Hyperlink" xfId="9173" builtinId="9" hidden="1"/>
    <cellStyle name="Followed Hyperlink" xfId="9174" builtinId="9" hidden="1"/>
    <cellStyle name="Followed Hyperlink" xfId="9175" builtinId="9" hidden="1"/>
    <cellStyle name="Followed Hyperlink" xfId="9176" builtinId="9" hidden="1"/>
    <cellStyle name="Followed Hyperlink" xfId="9177" builtinId="9" hidden="1"/>
    <cellStyle name="Followed Hyperlink" xfId="9178" builtinId="9" hidden="1"/>
    <cellStyle name="Followed Hyperlink" xfId="9179" builtinId="9" hidden="1"/>
    <cellStyle name="Followed Hyperlink" xfId="9180" builtinId="9" hidden="1"/>
    <cellStyle name="Followed Hyperlink" xfId="9181" builtinId="9" hidden="1"/>
    <cellStyle name="Followed Hyperlink" xfId="9182" builtinId="9" hidden="1"/>
    <cellStyle name="Followed Hyperlink" xfId="9183" builtinId="9" hidden="1"/>
    <cellStyle name="Followed Hyperlink" xfId="9184" builtinId="9" hidden="1"/>
    <cellStyle name="Followed Hyperlink" xfId="9185" builtinId="9" hidden="1"/>
    <cellStyle name="Followed Hyperlink" xfId="9186" builtinId="9" hidden="1"/>
    <cellStyle name="Followed Hyperlink" xfId="9187" builtinId="9" hidden="1"/>
    <cellStyle name="Followed Hyperlink" xfId="9188" builtinId="9" hidden="1"/>
    <cellStyle name="Followed Hyperlink" xfId="9189" builtinId="9" hidden="1"/>
    <cellStyle name="Followed Hyperlink" xfId="9190" builtinId="9" hidden="1"/>
    <cellStyle name="Followed Hyperlink" xfId="9191" builtinId="9" hidden="1"/>
    <cellStyle name="Followed Hyperlink" xfId="9192" builtinId="9" hidden="1"/>
    <cellStyle name="Followed Hyperlink" xfId="9193" builtinId="9" hidden="1"/>
    <cellStyle name="Followed Hyperlink" xfId="9194" builtinId="9" hidden="1"/>
    <cellStyle name="Followed Hyperlink" xfId="9195" builtinId="9" hidden="1"/>
    <cellStyle name="Followed Hyperlink" xfId="9196" builtinId="9" hidden="1"/>
    <cellStyle name="Followed Hyperlink" xfId="9197" builtinId="9" hidden="1"/>
    <cellStyle name="Followed Hyperlink" xfId="9198" builtinId="9" hidden="1"/>
    <cellStyle name="Followed Hyperlink" xfId="9199" builtinId="9" hidden="1"/>
    <cellStyle name="Followed Hyperlink" xfId="9200" builtinId="9" hidden="1"/>
    <cellStyle name="Followed Hyperlink" xfId="9201" builtinId="9" hidden="1"/>
    <cellStyle name="Followed Hyperlink" xfId="9202" builtinId="9" hidden="1"/>
    <cellStyle name="Followed Hyperlink" xfId="9203" builtinId="9" hidden="1"/>
    <cellStyle name="Followed Hyperlink" xfId="9204" builtinId="9" hidden="1"/>
    <cellStyle name="Followed Hyperlink" xfId="9205" builtinId="9" hidden="1"/>
    <cellStyle name="Followed Hyperlink" xfId="9206" builtinId="9" hidden="1"/>
    <cellStyle name="Followed Hyperlink" xfId="9207" builtinId="9" hidden="1"/>
    <cellStyle name="Followed Hyperlink" xfId="9208" builtinId="9" hidden="1"/>
    <cellStyle name="Followed Hyperlink" xfId="9209" builtinId="9" hidden="1"/>
    <cellStyle name="Followed Hyperlink" xfId="9210" builtinId="9" hidden="1"/>
    <cellStyle name="Followed Hyperlink" xfId="9211" builtinId="9" hidden="1"/>
    <cellStyle name="Followed Hyperlink" xfId="9212" builtinId="9" hidden="1"/>
    <cellStyle name="Followed Hyperlink" xfId="9213" builtinId="9" hidden="1"/>
    <cellStyle name="Followed Hyperlink" xfId="9214" builtinId="9" hidden="1"/>
    <cellStyle name="Followed Hyperlink" xfId="9215" builtinId="9" hidden="1"/>
    <cellStyle name="Followed Hyperlink" xfId="9216" builtinId="9" hidden="1"/>
    <cellStyle name="Followed Hyperlink" xfId="9217" builtinId="9" hidden="1"/>
    <cellStyle name="Followed Hyperlink" xfId="9218" builtinId="9" hidden="1"/>
    <cellStyle name="Followed Hyperlink" xfId="9219" builtinId="9" hidden="1"/>
    <cellStyle name="Followed Hyperlink" xfId="9220" builtinId="9" hidden="1"/>
    <cellStyle name="Followed Hyperlink" xfId="9221" builtinId="9" hidden="1"/>
    <cellStyle name="Followed Hyperlink" xfId="9222" builtinId="9" hidden="1"/>
    <cellStyle name="Followed Hyperlink" xfId="9223" builtinId="9" hidden="1"/>
    <cellStyle name="Followed Hyperlink" xfId="9224" builtinId="9" hidden="1"/>
    <cellStyle name="Followed Hyperlink" xfId="9225" builtinId="9" hidden="1"/>
    <cellStyle name="Followed Hyperlink" xfId="9226" builtinId="9" hidden="1"/>
    <cellStyle name="Followed Hyperlink" xfId="9227" builtinId="9" hidden="1"/>
    <cellStyle name="Followed Hyperlink" xfId="9228" builtinId="9" hidden="1"/>
    <cellStyle name="Followed Hyperlink" xfId="9229" builtinId="9" hidden="1"/>
    <cellStyle name="Followed Hyperlink" xfId="9230" builtinId="9" hidden="1"/>
    <cellStyle name="Followed Hyperlink" xfId="9231" builtinId="9" hidden="1"/>
    <cellStyle name="Followed Hyperlink" xfId="9232" builtinId="9" hidden="1"/>
    <cellStyle name="Followed Hyperlink" xfId="9233" builtinId="9" hidden="1"/>
    <cellStyle name="Followed Hyperlink" xfId="9234" builtinId="9" hidden="1"/>
    <cellStyle name="Followed Hyperlink" xfId="9235" builtinId="9" hidden="1"/>
    <cellStyle name="Followed Hyperlink" xfId="9236" builtinId="9" hidden="1"/>
    <cellStyle name="Followed Hyperlink" xfId="9237" builtinId="9" hidden="1"/>
    <cellStyle name="Followed Hyperlink" xfId="9238" builtinId="9" hidden="1"/>
    <cellStyle name="Followed Hyperlink" xfId="9239" builtinId="9" hidden="1"/>
    <cellStyle name="Followed Hyperlink" xfId="9240" builtinId="9" hidden="1"/>
    <cellStyle name="Followed Hyperlink" xfId="9241" builtinId="9" hidden="1"/>
    <cellStyle name="Followed Hyperlink" xfId="9242" builtinId="9" hidden="1"/>
    <cellStyle name="Followed Hyperlink" xfId="9243" builtinId="9" hidden="1"/>
    <cellStyle name="Followed Hyperlink" xfId="9244" builtinId="9" hidden="1"/>
    <cellStyle name="Followed Hyperlink" xfId="9245" builtinId="9" hidden="1"/>
    <cellStyle name="Followed Hyperlink" xfId="9246" builtinId="9" hidden="1"/>
    <cellStyle name="Followed Hyperlink" xfId="9247" builtinId="9" hidden="1"/>
    <cellStyle name="Followed Hyperlink" xfId="9248" builtinId="9" hidden="1"/>
    <cellStyle name="Followed Hyperlink" xfId="9249" builtinId="9" hidden="1"/>
    <cellStyle name="Followed Hyperlink" xfId="9250" builtinId="9" hidden="1"/>
    <cellStyle name="Followed Hyperlink" xfId="9251" builtinId="9" hidden="1"/>
    <cellStyle name="Followed Hyperlink" xfId="9252" builtinId="9" hidden="1"/>
    <cellStyle name="Followed Hyperlink" xfId="9253" builtinId="9" hidden="1"/>
    <cellStyle name="Followed Hyperlink" xfId="9254" builtinId="9" hidden="1"/>
    <cellStyle name="Followed Hyperlink" xfId="9255" builtinId="9" hidden="1"/>
    <cellStyle name="Followed Hyperlink" xfId="9256" builtinId="9" hidden="1"/>
    <cellStyle name="Followed Hyperlink" xfId="9257" builtinId="9" hidden="1"/>
    <cellStyle name="Followed Hyperlink" xfId="9258" builtinId="9" hidden="1"/>
    <cellStyle name="Followed Hyperlink" xfId="9259" builtinId="9" hidden="1"/>
    <cellStyle name="Followed Hyperlink" xfId="9260" builtinId="9" hidden="1"/>
    <cellStyle name="Followed Hyperlink" xfId="9261" builtinId="9" hidden="1"/>
    <cellStyle name="Followed Hyperlink" xfId="9262" builtinId="9" hidden="1"/>
    <cellStyle name="Followed Hyperlink" xfId="9263" builtinId="9" hidden="1"/>
    <cellStyle name="Followed Hyperlink" xfId="9264" builtinId="9" hidden="1"/>
    <cellStyle name="Followed Hyperlink" xfId="9265" builtinId="9" hidden="1"/>
    <cellStyle name="Followed Hyperlink" xfId="9266" builtinId="9" hidden="1"/>
    <cellStyle name="Followed Hyperlink" xfId="9267" builtinId="9" hidden="1"/>
    <cellStyle name="Followed Hyperlink" xfId="9268" builtinId="9" hidden="1"/>
    <cellStyle name="Followed Hyperlink" xfId="9269" builtinId="9" hidden="1"/>
    <cellStyle name="Followed Hyperlink" xfId="9270" builtinId="9" hidden="1"/>
    <cellStyle name="Followed Hyperlink" xfId="9271" builtinId="9" hidden="1"/>
    <cellStyle name="Followed Hyperlink" xfId="9272" builtinId="9" hidden="1"/>
    <cellStyle name="Followed Hyperlink" xfId="9273" builtinId="9" hidden="1"/>
    <cellStyle name="Followed Hyperlink" xfId="9274" builtinId="9" hidden="1"/>
    <cellStyle name="Followed Hyperlink" xfId="9275" builtinId="9" hidden="1"/>
    <cellStyle name="Followed Hyperlink" xfId="9276" builtinId="9" hidden="1"/>
    <cellStyle name="Followed Hyperlink" xfId="9277" builtinId="9" hidden="1"/>
    <cellStyle name="Followed Hyperlink" xfId="9278" builtinId="9" hidden="1"/>
    <cellStyle name="Followed Hyperlink" xfId="9279" builtinId="9" hidden="1"/>
    <cellStyle name="Followed Hyperlink" xfId="9280" builtinId="9" hidden="1"/>
    <cellStyle name="Followed Hyperlink" xfId="9281" builtinId="9" hidden="1"/>
    <cellStyle name="Followed Hyperlink" xfId="9282" builtinId="9" hidden="1"/>
    <cellStyle name="Followed Hyperlink" xfId="9283" builtinId="9" hidden="1"/>
    <cellStyle name="Followed Hyperlink" xfId="9284" builtinId="9" hidden="1"/>
    <cellStyle name="Followed Hyperlink" xfId="9285" builtinId="9" hidden="1"/>
    <cellStyle name="Followed Hyperlink" xfId="9286" builtinId="9" hidden="1"/>
    <cellStyle name="Followed Hyperlink" xfId="9287" builtinId="9" hidden="1"/>
    <cellStyle name="Followed Hyperlink" xfId="9288" builtinId="9" hidden="1"/>
    <cellStyle name="Followed Hyperlink" xfId="9289" builtinId="9" hidden="1"/>
    <cellStyle name="Followed Hyperlink" xfId="9290" builtinId="9" hidden="1"/>
    <cellStyle name="Followed Hyperlink" xfId="9291" builtinId="9" hidden="1"/>
    <cellStyle name="Followed Hyperlink" xfId="9292" builtinId="9" hidden="1"/>
    <cellStyle name="Followed Hyperlink" xfId="9293" builtinId="9" hidden="1"/>
    <cellStyle name="Followed Hyperlink" xfId="9294" builtinId="9" hidden="1"/>
    <cellStyle name="Followed Hyperlink" xfId="9295" builtinId="9" hidden="1"/>
    <cellStyle name="Followed Hyperlink" xfId="9296" builtinId="9" hidden="1"/>
    <cellStyle name="Followed Hyperlink" xfId="9297" builtinId="9" hidden="1"/>
    <cellStyle name="Followed Hyperlink" xfId="9298" builtinId="9" hidden="1"/>
    <cellStyle name="Followed Hyperlink" xfId="9299" builtinId="9" hidden="1"/>
    <cellStyle name="Followed Hyperlink" xfId="9300" builtinId="9" hidden="1"/>
    <cellStyle name="Followed Hyperlink" xfId="9301" builtinId="9" hidden="1"/>
    <cellStyle name="Followed Hyperlink" xfId="9302" builtinId="9" hidden="1"/>
    <cellStyle name="Followed Hyperlink" xfId="9303" builtinId="9" hidden="1"/>
    <cellStyle name="Followed Hyperlink" xfId="9304" builtinId="9" hidden="1"/>
    <cellStyle name="Followed Hyperlink" xfId="8399" builtinId="9" hidden="1"/>
    <cellStyle name="Followed Hyperlink" xfId="9492" builtinId="9" hidden="1"/>
    <cellStyle name="Followed Hyperlink" xfId="9465" builtinId="9" hidden="1"/>
    <cellStyle name="Followed Hyperlink" xfId="9401" builtinId="9" hidden="1"/>
    <cellStyle name="Followed Hyperlink" xfId="9388" builtinId="9" hidden="1"/>
    <cellStyle name="Followed Hyperlink" xfId="9391" builtinId="9" hidden="1"/>
    <cellStyle name="Followed Hyperlink" xfId="9431" builtinId="9" hidden="1"/>
    <cellStyle name="Followed Hyperlink" xfId="9342" builtinId="9" hidden="1"/>
    <cellStyle name="Followed Hyperlink" xfId="8560" builtinId="9" hidden="1"/>
    <cellStyle name="Followed Hyperlink" xfId="9382" builtinId="9" hidden="1"/>
    <cellStyle name="Followed Hyperlink" xfId="9330" builtinId="9" hidden="1"/>
    <cellStyle name="Followed Hyperlink" xfId="9428" builtinId="9" hidden="1"/>
    <cellStyle name="Followed Hyperlink" xfId="9329" builtinId="9" hidden="1"/>
    <cellStyle name="Followed Hyperlink" xfId="8396" builtinId="9" hidden="1"/>
    <cellStyle name="Followed Hyperlink" xfId="9513" builtinId="9" hidden="1"/>
    <cellStyle name="Followed Hyperlink" xfId="9425" builtinId="9" hidden="1"/>
    <cellStyle name="Followed Hyperlink" xfId="9374" builtinId="9" hidden="1"/>
    <cellStyle name="Followed Hyperlink" xfId="9327" builtinId="9" hidden="1"/>
    <cellStyle name="Followed Hyperlink" xfId="9328" builtinId="9" hidden="1"/>
    <cellStyle name="Followed Hyperlink" xfId="9847" builtinId="9" hidden="1"/>
    <cellStyle name="Followed Hyperlink" xfId="9514" builtinId="9" hidden="1"/>
    <cellStyle name="Followed Hyperlink" xfId="9518" builtinId="9" hidden="1"/>
    <cellStyle name="Followed Hyperlink" xfId="9457" builtinId="9" hidden="1"/>
    <cellStyle name="Followed Hyperlink" xfId="9456" builtinId="9" hidden="1"/>
    <cellStyle name="Followed Hyperlink" xfId="9455" builtinId="9" hidden="1"/>
    <cellStyle name="Followed Hyperlink" xfId="9454" builtinId="9" hidden="1"/>
    <cellStyle name="Followed Hyperlink" xfId="9341" builtinId="9" hidden="1"/>
    <cellStyle name="Followed Hyperlink" xfId="7534" builtinId="9" hidden="1"/>
    <cellStyle name="Followed Hyperlink" xfId="9326" builtinId="9" hidden="1"/>
    <cellStyle name="Followed Hyperlink" xfId="9501" builtinId="9" hidden="1"/>
    <cellStyle name="Followed Hyperlink" xfId="9324" builtinId="9" hidden="1"/>
    <cellStyle name="Followed Hyperlink" xfId="9325" builtinId="9" hidden="1"/>
    <cellStyle name="Followed Hyperlink" xfId="8561" builtinId="9" hidden="1"/>
    <cellStyle name="Followed Hyperlink" xfId="9432" builtinId="9" hidden="1"/>
    <cellStyle name="Followed Hyperlink" xfId="9339" builtinId="9" hidden="1"/>
    <cellStyle name="Followed Hyperlink" xfId="9340" builtinId="9" hidden="1"/>
    <cellStyle name="Followed Hyperlink" xfId="7778" builtinId="9" hidden="1"/>
    <cellStyle name="Followed Hyperlink" xfId="9453" builtinId="9" hidden="1"/>
    <cellStyle name="Followed Hyperlink" xfId="6673" builtinId="9" hidden="1"/>
    <cellStyle name="Followed Hyperlink" xfId="9496" builtinId="9" hidden="1"/>
    <cellStyle name="Followed Hyperlink" xfId="9477" builtinId="9" hidden="1"/>
    <cellStyle name="Followed Hyperlink" xfId="9452" builtinId="9" hidden="1"/>
    <cellStyle name="Followed Hyperlink" xfId="9483" builtinId="9" hidden="1"/>
    <cellStyle name="Followed Hyperlink" xfId="9440" builtinId="9" hidden="1"/>
    <cellStyle name="Followed Hyperlink" xfId="9485" builtinId="9" hidden="1"/>
    <cellStyle name="Followed Hyperlink" xfId="9451" builtinId="9" hidden="1"/>
    <cellStyle name="Followed Hyperlink" xfId="9450" builtinId="9" hidden="1"/>
    <cellStyle name="Followed Hyperlink" xfId="9449" builtinId="9" hidden="1"/>
    <cellStyle name="Followed Hyperlink" xfId="8587" builtinId="9" hidden="1"/>
    <cellStyle name="Followed Hyperlink" xfId="9438" builtinId="9" hidden="1"/>
    <cellStyle name="Followed Hyperlink" xfId="7633" builtinId="9" hidden="1"/>
    <cellStyle name="Followed Hyperlink" xfId="8586" builtinId="9" hidden="1"/>
    <cellStyle name="Followed Hyperlink" xfId="9494" builtinId="9" hidden="1"/>
    <cellStyle name="Followed Hyperlink" xfId="9467" builtinId="9" hidden="1"/>
    <cellStyle name="Followed Hyperlink" xfId="9402" builtinId="9" hidden="1"/>
    <cellStyle name="Followed Hyperlink" xfId="9380" builtinId="9" hidden="1"/>
    <cellStyle name="Followed Hyperlink" xfId="9372" builtinId="9" hidden="1"/>
    <cellStyle name="Followed Hyperlink" xfId="9338" builtinId="9" hidden="1"/>
    <cellStyle name="Followed Hyperlink" xfId="8397" builtinId="9" hidden="1"/>
    <cellStyle name="Followed Hyperlink" xfId="9429" builtinId="9" hidden="1"/>
    <cellStyle name="Followed Hyperlink" xfId="9373" builtinId="9" hidden="1"/>
    <cellStyle name="Followed Hyperlink" xfId="9323" builtinId="9" hidden="1"/>
    <cellStyle name="Followed Hyperlink" xfId="9322" builtinId="9" hidden="1"/>
    <cellStyle name="Followed Hyperlink" xfId="9321" builtinId="9" hidden="1"/>
    <cellStyle name="Followed Hyperlink" xfId="9320" builtinId="9" hidden="1"/>
    <cellStyle name="Followed Hyperlink" xfId="7777" builtinId="9" hidden="1"/>
    <cellStyle name="Followed Hyperlink" xfId="9508" builtinId="9" hidden="1"/>
    <cellStyle name="Followed Hyperlink" xfId="7454" builtinId="9" hidden="1"/>
    <cellStyle name="Followed Hyperlink" xfId="9392" builtinId="9" hidden="1"/>
    <cellStyle name="Followed Hyperlink" xfId="9385" builtinId="9" hidden="1"/>
    <cellStyle name="Followed Hyperlink" xfId="9337" builtinId="9" hidden="1"/>
    <cellStyle name="Followed Hyperlink" xfId="7596" builtinId="9" hidden="1"/>
    <cellStyle name="Followed Hyperlink" xfId="9434" builtinId="9" hidden="1"/>
    <cellStyle name="Followed Hyperlink" xfId="9386" builtinId="9" hidden="1"/>
    <cellStyle name="Followed Hyperlink" xfId="9336" builtinId="9" hidden="1"/>
    <cellStyle name="Followed Hyperlink" xfId="8543" builtinId="9" hidden="1"/>
    <cellStyle name="Followed Hyperlink" xfId="9319" builtinId="9" hidden="1"/>
    <cellStyle name="Followed Hyperlink" xfId="9318" builtinId="9" hidden="1"/>
    <cellStyle name="Followed Hyperlink" xfId="7803" builtinId="9" hidden="1"/>
    <cellStyle name="Followed Hyperlink" xfId="9317" builtinId="9" hidden="1"/>
    <cellStyle name="Followed Hyperlink" xfId="8400" builtinId="9" hidden="1"/>
    <cellStyle name="Followed Hyperlink" xfId="9476" builtinId="9" hidden="1"/>
    <cellStyle name="Followed Hyperlink" xfId="9448" builtinId="9" hidden="1"/>
    <cellStyle name="Followed Hyperlink" xfId="9313" builtinId="9" hidden="1"/>
    <cellStyle name="Followed Hyperlink" xfId="9316" builtinId="9" hidden="1"/>
    <cellStyle name="Followed Hyperlink" xfId="9335" builtinId="9" hidden="1"/>
    <cellStyle name="Followed Hyperlink" xfId="7566" builtinId="9" hidden="1"/>
    <cellStyle name="Followed Hyperlink" xfId="9500" builtinId="9" hidden="1"/>
    <cellStyle name="Followed Hyperlink" xfId="9314" builtinId="9" hidden="1"/>
    <cellStyle name="Followed Hyperlink" xfId="9315" builtinId="9" hidden="1"/>
    <cellStyle name="Followed Hyperlink" xfId="6676" builtinId="9" hidden="1"/>
    <cellStyle name="Followed Hyperlink" xfId="9512" builtinId="9" hidden="1"/>
    <cellStyle name="Followed Hyperlink" xfId="9475" builtinId="9" hidden="1"/>
    <cellStyle name="Followed Hyperlink" xfId="9846" builtinId="9" hidden="1"/>
    <cellStyle name="Followed Hyperlink" xfId="9516" builtinId="9" hidden="1"/>
    <cellStyle name="Followed Hyperlink" xfId="9515" builtinId="9" hidden="1"/>
    <cellStyle name="Followed Hyperlink" xfId="9510" builtinId="9" hidden="1"/>
    <cellStyle name="Followed Hyperlink" xfId="7665" builtinId="9" hidden="1"/>
    <cellStyle name="Followed Hyperlink" xfId="9447" builtinId="9" hidden="1"/>
    <cellStyle name="Followed Hyperlink" xfId="9446" builtinId="9" hidden="1"/>
    <cellStyle name="Followed Hyperlink" xfId="9445" builtinId="9" hidden="1"/>
    <cellStyle name="Followed Hyperlink" xfId="9444" builtinId="9" hidden="1"/>
    <cellStyle name="Followed Hyperlink" xfId="9334" builtinId="9" hidden="1"/>
    <cellStyle name="Followed Hyperlink" xfId="5512" builtinId="9" hidden="1"/>
    <cellStyle name="Followed Hyperlink" xfId="9312" builtinId="9" hidden="1"/>
    <cellStyle name="Followed Hyperlink" xfId="9333" builtinId="9" hidden="1"/>
    <cellStyle name="Followed Hyperlink" xfId="8562" builtinId="9" hidden="1"/>
    <cellStyle name="Followed Hyperlink" xfId="9511" builtinId="9" hidden="1"/>
    <cellStyle name="Followed Hyperlink" xfId="9474" builtinId="9" hidden="1"/>
    <cellStyle name="Followed Hyperlink" xfId="9473" builtinId="9" hidden="1"/>
    <cellStyle name="Followed Hyperlink" xfId="9507" builtinId="9" hidden="1"/>
    <cellStyle name="Followed Hyperlink" xfId="9505" builtinId="9" hidden="1"/>
    <cellStyle name="Followed Hyperlink" xfId="9503" builtinId="9" hidden="1"/>
    <cellStyle name="Followed Hyperlink" xfId="9495" builtinId="9" hidden="1"/>
    <cellStyle name="Followed Hyperlink" xfId="9517" builtinId="9" hidden="1"/>
    <cellStyle name="Followed Hyperlink" xfId="7799" builtinId="9" hidden="1"/>
    <cellStyle name="Followed Hyperlink" xfId="9310" builtinId="9" hidden="1"/>
    <cellStyle name="Followed Hyperlink" xfId="9311" builtinId="9" hidden="1"/>
    <cellStyle name="Followed Hyperlink" xfId="8481" builtinId="9" hidden="1"/>
    <cellStyle name="Followed Hyperlink" xfId="9058" builtinId="9" hidden="1"/>
    <cellStyle name="Followed Hyperlink" xfId="9471" builtinId="9" hidden="1"/>
    <cellStyle name="Followed Hyperlink" xfId="9480" builtinId="9" hidden="1"/>
    <cellStyle name="Followed Hyperlink" xfId="9404" builtinId="9" hidden="1"/>
    <cellStyle name="Followed Hyperlink" xfId="9481" builtinId="9" hidden="1"/>
    <cellStyle name="Followed Hyperlink" xfId="9436" builtinId="9" hidden="1"/>
    <cellStyle name="Followed Hyperlink" xfId="9395" builtinId="9" hidden="1"/>
    <cellStyle name="Followed Hyperlink" xfId="9375" builtinId="9" hidden="1"/>
    <cellStyle name="Followed Hyperlink" xfId="9379" builtinId="9" hidden="1"/>
    <cellStyle name="Followed Hyperlink" xfId="9493" builtinId="9" hidden="1"/>
    <cellStyle name="Followed Hyperlink" xfId="9466" builtinId="9" hidden="1"/>
    <cellStyle name="Followed Hyperlink" xfId="9400" builtinId="9" hidden="1"/>
    <cellStyle name="Followed Hyperlink" xfId="9387" builtinId="9" hidden="1"/>
    <cellStyle name="Followed Hyperlink" xfId="9491" builtinId="9" hidden="1"/>
    <cellStyle name="Followed Hyperlink" xfId="9464" builtinId="9" hidden="1"/>
    <cellStyle name="Followed Hyperlink" xfId="9430" builtinId="9" hidden="1"/>
    <cellStyle name="Followed Hyperlink" xfId="9393" builtinId="9" hidden="1"/>
    <cellStyle name="Followed Hyperlink" xfId="9331" builtinId="9" hidden="1"/>
    <cellStyle name="Followed Hyperlink" xfId="9384" builtinId="9" hidden="1"/>
    <cellStyle name="Followed Hyperlink" xfId="9426" builtinId="9" hidden="1"/>
    <cellStyle name="Followed Hyperlink" xfId="9309" builtinId="9" hidden="1"/>
    <cellStyle name="Followed Hyperlink" xfId="9371" builtinId="9" hidden="1"/>
    <cellStyle name="Followed Hyperlink" xfId="9422" builtinId="9" hidden="1"/>
    <cellStyle name="Followed Hyperlink" xfId="8563" builtinId="9" hidden="1"/>
    <cellStyle name="Followed Hyperlink" xfId="9421" builtinId="9" hidden="1"/>
    <cellStyle name="Followed Hyperlink" xfId="9390" builtinId="9" hidden="1"/>
    <cellStyle name="Followed Hyperlink" xfId="7636" builtinId="9" hidden="1"/>
    <cellStyle name="Followed Hyperlink" xfId="9399" builtinId="9" hidden="1"/>
    <cellStyle name="Followed Hyperlink" xfId="9367" builtinId="9" hidden="1"/>
    <cellStyle name="Followed Hyperlink" xfId="8398" builtinId="9" hidden="1"/>
    <cellStyle name="Followed Hyperlink" xfId="8501" builtinId="9" hidden="1"/>
    <cellStyle name="Followed Hyperlink" xfId="9844" builtinId="9" hidden="1"/>
    <cellStyle name="Followed Hyperlink" xfId="9842" builtinId="9" hidden="1"/>
    <cellStyle name="Followed Hyperlink" xfId="9840" builtinId="9" hidden="1"/>
    <cellStyle name="Followed Hyperlink" xfId="9838" builtinId="9" hidden="1"/>
    <cellStyle name="Followed Hyperlink" xfId="9836" builtinId="9" hidden="1"/>
    <cellStyle name="Followed Hyperlink" xfId="9834" builtinId="9" hidden="1"/>
    <cellStyle name="Followed Hyperlink" xfId="9832" builtinId="9" hidden="1"/>
    <cellStyle name="Followed Hyperlink" xfId="9830" builtinId="9" hidden="1"/>
    <cellStyle name="Followed Hyperlink" xfId="9828" builtinId="9" hidden="1"/>
    <cellStyle name="Followed Hyperlink" xfId="9826" builtinId="9" hidden="1"/>
    <cellStyle name="Followed Hyperlink" xfId="9824" builtinId="9" hidden="1"/>
    <cellStyle name="Followed Hyperlink" xfId="9822" builtinId="9" hidden="1"/>
    <cellStyle name="Followed Hyperlink" xfId="9820" builtinId="9" hidden="1"/>
    <cellStyle name="Followed Hyperlink" xfId="9818" builtinId="9" hidden="1"/>
    <cellStyle name="Followed Hyperlink" xfId="9816" builtinId="9" hidden="1"/>
    <cellStyle name="Followed Hyperlink" xfId="9814" builtinId="9" hidden="1"/>
    <cellStyle name="Followed Hyperlink" xfId="9812" builtinId="9" hidden="1"/>
    <cellStyle name="Followed Hyperlink" xfId="9810" builtinId="9" hidden="1"/>
    <cellStyle name="Followed Hyperlink" xfId="9808" builtinId="9" hidden="1"/>
    <cellStyle name="Followed Hyperlink" xfId="9806" builtinId="9" hidden="1"/>
    <cellStyle name="Followed Hyperlink" xfId="9804" builtinId="9" hidden="1"/>
    <cellStyle name="Followed Hyperlink" xfId="9802" builtinId="9" hidden="1"/>
    <cellStyle name="Followed Hyperlink" xfId="9800" builtinId="9" hidden="1"/>
    <cellStyle name="Followed Hyperlink" xfId="9798" builtinId="9" hidden="1"/>
    <cellStyle name="Followed Hyperlink" xfId="9796" builtinId="9" hidden="1"/>
    <cellStyle name="Followed Hyperlink" xfId="9794" builtinId="9" hidden="1"/>
    <cellStyle name="Followed Hyperlink" xfId="9792" builtinId="9" hidden="1"/>
    <cellStyle name="Followed Hyperlink" xfId="9790" builtinId="9" hidden="1"/>
    <cellStyle name="Followed Hyperlink" xfId="9788" builtinId="9" hidden="1"/>
    <cellStyle name="Followed Hyperlink" xfId="9786" builtinId="9" hidden="1"/>
    <cellStyle name="Followed Hyperlink" xfId="9784" builtinId="9" hidden="1"/>
    <cellStyle name="Followed Hyperlink" xfId="9782" builtinId="9" hidden="1"/>
    <cellStyle name="Followed Hyperlink" xfId="9780" builtinId="9" hidden="1"/>
    <cellStyle name="Followed Hyperlink" xfId="9778" builtinId="9" hidden="1"/>
    <cellStyle name="Followed Hyperlink" xfId="9776" builtinId="9" hidden="1"/>
    <cellStyle name="Followed Hyperlink" xfId="9774" builtinId="9" hidden="1"/>
    <cellStyle name="Followed Hyperlink" xfId="9772" builtinId="9" hidden="1"/>
    <cellStyle name="Followed Hyperlink" xfId="9770" builtinId="9" hidden="1"/>
    <cellStyle name="Followed Hyperlink" xfId="9768" builtinId="9" hidden="1"/>
    <cellStyle name="Followed Hyperlink" xfId="9766" builtinId="9" hidden="1"/>
    <cellStyle name="Followed Hyperlink" xfId="9764" builtinId="9" hidden="1"/>
    <cellStyle name="Followed Hyperlink" xfId="9762" builtinId="9" hidden="1"/>
    <cellStyle name="Followed Hyperlink" xfId="9760" builtinId="9" hidden="1"/>
    <cellStyle name="Followed Hyperlink" xfId="9758" builtinId="9" hidden="1"/>
    <cellStyle name="Followed Hyperlink" xfId="9756" builtinId="9" hidden="1"/>
    <cellStyle name="Followed Hyperlink" xfId="9754" builtinId="9" hidden="1"/>
    <cellStyle name="Followed Hyperlink" xfId="9752" builtinId="9" hidden="1"/>
    <cellStyle name="Followed Hyperlink" xfId="9750" builtinId="9" hidden="1"/>
    <cellStyle name="Followed Hyperlink" xfId="9748" builtinId="9" hidden="1"/>
    <cellStyle name="Followed Hyperlink" xfId="9746" builtinId="9" hidden="1"/>
    <cellStyle name="Followed Hyperlink" xfId="9744" builtinId="9" hidden="1"/>
    <cellStyle name="Followed Hyperlink" xfId="9742" builtinId="9" hidden="1"/>
    <cellStyle name="Followed Hyperlink" xfId="9740" builtinId="9" hidden="1"/>
    <cellStyle name="Followed Hyperlink" xfId="9738" builtinId="9" hidden="1"/>
    <cellStyle name="Followed Hyperlink" xfId="9736" builtinId="9" hidden="1"/>
    <cellStyle name="Followed Hyperlink" xfId="9734" builtinId="9" hidden="1"/>
    <cellStyle name="Followed Hyperlink" xfId="9732" builtinId="9" hidden="1"/>
    <cellStyle name="Followed Hyperlink" xfId="9730" builtinId="9" hidden="1"/>
    <cellStyle name="Followed Hyperlink" xfId="9728" builtinId="9" hidden="1"/>
    <cellStyle name="Followed Hyperlink" xfId="9726" builtinId="9" hidden="1"/>
    <cellStyle name="Followed Hyperlink" xfId="9724" builtinId="9" hidden="1"/>
    <cellStyle name="Followed Hyperlink" xfId="9722" builtinId="9" hidden="1"/>
    <cellStyle name="Followed Hyperlink" xfId="9720" builtinId="9" hidden="1"/>
    <cellStyle name="Followed Hyperlink" xfId="9718" builtinId="9" hidden="1"/>
    <cellStyle name="Followed Hyperlink" xfId="9716" builtinId="9" hidden="1"/>
    <cellStyle name="Followed Hyperlink" xfId="9714" builtinId="9" hidden="1"/>
    <cellStyle name="Followed Hyperlink" xfId="9712" builtinId="9" hidden="1"/>
    <cellStyle name="Followed Hyperlink" xfId="9710" builtinId="9" hidden="1"/>
    <cellStyle name="Followed Hyperlink" xfId="9708" builtinId="9" hidden="1"/>
    <cellStyle name="Followed Hyperlink" xfId="9706" builtinId="9" hidden="1"/>
    <cellStyle name="Followed Hyperlink" xfId="9702" builtinId="9" hidden="1"/>
    <cellStyle name="Followed Hyperlink" xfId="9700" builtinId="9" hidden="1"/>
    <cellStyle name="Followed Hyperlink" xfId="9698" builtinId="9" hidden="1"/>
    <cellStyle name="Followed Hyperlink" xfId="9696" builtinId="9" hidden="1"/>
    <cellStyle name="Followed Hyperlink" xfId="9694" builtinId="9" hidden="1"/>
    <cellStyle name="Followed Hyperlink" xfId="9692" builtinId="9" hidden="1"/>
    <cellStyle name="Followed Hyperlink" xfId="9690" builtinId="9" hidden="1"/>
    <cellStyle name="Followed Hyperlink" xfId="9688" builtinId="9" hidden="1"/>
    <cellStyle name="Followed Hyperlink" xfId="9686" builtinId="9" hidden="1"/>
    <cellStyle name="Followed Hyperlink" xfId="9684" builtinId="9" hidden="1"/>
    <cellStyle name="Followed Hyperlink" xfId="9682" builtinId="9" hidden="1"/>
    <cellStyle name="Followed Hyperlink" xfId="9680" builtinId="9" hidden="1"/>
    <cellStyle name="Followed Hyperlink" xfId="9678" builtinId="9" hidden="1"/>
    <cellStyle name="Followed Hyperlink" xfId="9676" builtinId="9" hidden="1"/>
    <cellStyle name="Followed Hyperlink" xfId="9674" builtinId="9" hidden="1"/>
    <cellStyle name="Followed Hyperlink" xfId="9672" builtinId="9" hidden="1"/>
    <cellStyle name="Followed Hyperlink" xfId="9670" builtinId="9" hidden="1"/>
    <cellStyle name="Followed Hyperlink" xfId="9668" builtinId="9" hidden="1"/>
    <cellStyle name="Followed Hyperlink" xfId="9666" builtinId="9" hidden="1"/>
    <cellStyle name="Followed Hyperlink" xfId="9664" builtinId="9" hidden="1"/>
    <cellStyle name="Followed Hyperlink" xfId="9662" builtinId="9" hidden="1"/>
    <cellStyle name="Followed Hyperlink" xfId="9660" builtinId="9" hidden="1"/>
    <cellStyle name="Followed Hyperlink" xfId="9658" builtinId="9" hidden="1"/>
    <cellStyle name="Followed Hyperlink" xfId="9656" builtinId="9" hidden="1"/>
    <cellStyle name="Followed Hyperlink" xfId="9654" builtinId="9" hidden="1"/>
    <cellStyle name="Followed Hyperlink" xfId="9652" builtinId="9" hidden="1"/>
    <cellStyle name="Followed Hyperlink" xfId="9650" builtinId="9" hidden="1"/>
    <cellStyle name="Followed Hyperlink" xfId="9649" builtinId="9" hidden="1"/>
    <cellStyle name="Followed Hyperlink" xfId="9647" builtinId="9" hidden="1"/>
    <cellStyle name="Followed Hyperlink" xfId="9645" builtinId="9" hidden="1"/>
    <cellStyle name="Followed Hyperlink" xfId="9643" builtinId="9" hidden="1"/>
    <cellStyle name="Followed Hyperlink" xfId="9641" builtinId="9" hidden="1"/>
    <cellStyle name="Followed Hyperlink" xfId="9639" builtinId="9" hidden="1"/>
    <cellStyle name="Followed Hyperlink" xfId="9637" builtinId="9" hidden="1"/>
    <cellStyle name="Followed Hyperlink" xfId="9635" builtinId="9" hidden="1"/>
    <cellStyle name="Followed Hyperlink" xfId="9633" builtinId="9" hidden="1"/>
    <cellStyle name="Followed Hyperlink" xfId="9631" builtinId="9" hidden="1"/>
    <cellStyle name="Followed Hyperlink" xfId="9629" builtinId="9" hidden="1"/>
    <cellStyle name="Followed Hyperlink" xfId="9627" builtinId="9" hidden="1"/>
    <cellStyle name="Followed Hyperlink" xfId="9625" builtinId="9" hidden="1"/>
    <cellStyle name="Followed Hyperlink" xfId="9623" builtinId="9" hidden="1"/>
    <cellStyle name="Followed Hyperlink" xfId="9621" builtinId="9" hidden="1"/>
    <cellStyle name="Followed Hyperlink" xfId="9619" builtinId="9" hidden="1"/>
    <cellStyle name="Followed Hyperlink" xfId="9617" builtinId="9" hidden="1"/>
    <cellStyle name="Followed Hyperlink" xfId="9615" builtinId="9" hidden="1"/>
    <cellStyle name="Followed Hyperlink" xfId="9613" builtinId="9" hidden="1"/>
    <cellStyle name="Followed Hyperlink" xfId="9611" builtinId="9" hidden="1"/>
    <cellStyle name="Followed Hyperlink" xfId="9609" builtinId="9" hidden="1"/>
    <cellStyle name="Followed Hyperlink" xfId="9607" builtinId="9" hidden="1"/>
    <cellStyle name="Followed Hyperlink" xfId="9605" builtinId="9" hidden="1"/>
    <cellStyle name="Followed Hyperlink" xfId="9603" builtinId="9" hidden="1"/>
    <cellStyle name="Followed Hyperlink" xfId="9601" builtinId="9" hidden="1"/>
    <cellStyle name="Followed Hyperlink" xfId="9599" builtinId="9" hidden="1"/>
    <cellStyle name="Followed Hyperlink" xfId="9597" builtinId="9" hidden="1"/>
    <cellStyle name="Followed Hyperlink" xfId="9595" builtinId="9" hidden="1"/>
    <cellStyle name="Followed Hyperlink" xfId="9593" builtinId="9" hidden="1"/>
    <cellStyle name="Followed Hyperlink" xfId="9591" builtinId="9" hidden="1"/>
    <cellStyle name="Followed Hyperlink" xfId="9589" builtinId="9" hidden="1"/>
    <cellStyle name="Followed Hyperlink" xfId="9587" builtinId="9" hidden="1"/>
    <cellStyle name="Followed Hyperlink" xfId="9585" builtinId="9" hidden="1"/>
    <cellStyle name="Followed Hyperlink" xfId="9583" builtinId="9" hidden="1"/>
    <cellStyle name="Followed Hyperlink" xfId="9581" builtinId="9" hidden="1"/>
    <cellStyle name="Followed Hyperlink" xfId="9579" builtinId="9" hidden="1"/>
    <cellStyle name="Followed Hyperlink" xfId="9577" builtinId="9" hidden="1"/>
    <cellStyle name="Followed Hyperlink" xfId="9575" builtinId="9" hidden="1"/>
    <cellStyle name="Followed Hyperlink" xfId="9573" builtinId="9" hidden="1"/>
    <cellStyle name="Followed Hyperlink" xfId="9571" builtinId="9" hidden="1"/>
    <cellStyle name="Followed Hyperlink" xfId="9569" builtinId="9" hidden="1"/>
    <cellStyle name="Followed Hyperlink" xfId="9567" builtinId="9" hidden="1"/>
    <cellStyle name="Followed Hyperlink" xfId="9565" builtinId="9" hidden="1"/>
    <cellStyle name="Followed Hyperlink" xfId="9563" builtinId="9" hidden="1"/>
    <cellStyle name="Followed Hyperlink" xfId="9561" builtinId="9" hidden="1"/>
    <cellStyle name="Followed Hyperlink" xfId="9559" builtinId="9" hidden="1"/>
    <cellStyle name="Followed Hyperlink" xfId="9557" builtinId="9" hidden="1"/>
    <cellStyle name="Followed Hyperlink" xfId="9555" builtinId="9" hidden="1"/>
    <cellStyle name="Followed Hyperlink" xfId="9553" builtinId="9" hidden="1"/>
    <cellStyle name="Followed Hyperlink" xfId="9551" builtinId="9" hidden="1"/>
    <cellStyle name="Followed Hyperlink" xfId="9549" builtinId="9" hidden="1"/>
    <cellStyle name="Followed Hyperlink" xfId="9547" builtinId="9" hidden="1"/>
    <cellStyle name="Followed Hyperlink" xfId="9546" builtinId="9" hidden="1"/>
    <cellStyle name="Followed Hyperlink" xfId="9544" builtinId="9" hidden="1"/>
    <cellStyle name="Followed Hyperlink" xfId="9542" builtinId="9" hidden="1"/>
    <cellStyle name="Followed Hyperlink" xfId="9540" builtinId="9" hidden="1"/>
    <cellStyle name="Followed Hyperlink" xfId="9538" builtinId="9" hidden="1"/>
    <cellStyle name="Followed Hyperlink" xfId="9536" builtinId="9" hidden="1"/>
    <cellStyle name="Followed Hyperlink" xfId="9534" builtinId="9" hidden="1"/>
    <cellStyle name="Followed Hyperlink" xfId="9532" builtinId="9" hidden="1"/>
    <cellStyle name="Followed Hyperlink" xfId="9530" builtinId="9" hidden="1"/>
    <cellStyle name="Followed Hyperlink" xfId="9528" builtinId="9" hidden="1"/>
    <cellStyle name="Followed Hyperlink" xfId="9526" builtinId="9" hidden="1"/>
    <cellStyle name="Followed Hyperlink" xfId="9524" builtinId="9" hidden="1"/>
    <cellStyle name="Followed Hyperlink" xfId="9522" builtinId="9" hidden="1"/>
    <cellStyle name="Followed Hyperlink" xfId="9520" builtinId="9" hidden="1"/>
    <cellStyle name="Followed Hyperlink" xfId="7536" builtinId="9" hidden="1"/>
    <cellStyle name="Followed Hyperlink" xfId="8692" builtinId="9" hidden="1"/>
    <cellStyle name="Followed Hyperlink" xfId="8410" builtinId="9" hidden="1"/>
    <cellStyle name="Followed Hyperlink" xfId="8444" builtinId="9" hidden="1"/>
    <cellStyle name="Followed Hyperlink" xfId="8239" builtinId="9" hidden="1"/>
    <cellStyle name="Followed Hyperlink" xfId="8513" builtinId="9" hidden="1"/>
    <cellStyle name="Followed Hyperlink" xfId="8624" builtinId="9" hidden="1"/>
    <cellStyle name="Followed Hyperlink" xfId="8715" builtinId="9" hidden="1"/>
    <cellStyle name="Followed Hyperlink" xfId="8722" builtinId="9" hidden="1"/>
    <cellStyle name="Followed Hyperlink" xfId="8660" builtinId="9" hidden="1"/>
    <cellStyle name="Followed Hyperlink" xfId="7442" builtinId="9" hidden="1"/>
    <cellStyle name="Followed Hyperlink" xfId="8446" builtinId="9" hidden="1"/>
    <cellStyle name="Followed Hyperlink" xfId="8416" builtinId="9" hidden="1"/>
    <cellStyle name="Followed Hyperlink" xfId="8449" builtinId="9" hidden="1"/>
    <cellStyle name="Followed Hyperlink" xfId="8627" builtinId="9" hidden="1"/>
    <cellStyle name="Followed Hyperlink" xfId="8241" builtinId="9" hidden="1"/>
    <cellStyle name="Followed Hyperlink" xfId="6571" builtinId="9" hidden="1"/>
    <cellStyle name="Followed Hyperlink" xfId="7797" builtinId="9" hidden="1"/>
    <cellStyle name="Followed Hyperlink" xfId="8625" builtinId="9" hidden="1"/>
    <cellStyle name="Followed Hyperlink" xfId="7450" builtinId="9" hidden="1"/>
    <cellStyle name="Followed Hyperlink" xfId="8717" builtinId="9" hidden="1"/>
    <cellStyle name="Followed Hyperlink" xfId="8720" builtinId="9" hidden="1"/>
    <cellStyle name="Followed Hyperlink" xfId="8514" builtinId="9" hidden="1"/>
    <cellStyle name="Followed Hyperlink" xfId="8412" builtinId="9" hidden="1"/>
    <cellStyle name="Followed Hyperlink" xfId="8716" builtinId="9" hidden="1"/>
    <cellStyle name="Followed Hyperlink" xfId="9519" builtinId="9" hidden="1"/>
    <cellStyle name="Followed Hyperlink" xfId="9523" builtinId="9" hidden="1"/>
    <cellStyle name="Followed Hyperlink" xfId="9527" builtinId="9" hidden="1"/>
    <cellStyle name="Followed Hyperlink" xfId="9531" builtinId="9" hidden="1"/>
    <cellStyle name="Followed Hyperlink" xfId="9535" builtinId="9" hidden="1"/>
    <cellStyle name="Followed Hyperlink" xfId="9539" builtinId="9" hidden="1"/>
    <cellStyle name="Followed Hyperlink" xfId="9543" builtinId="9" hidden="1"/>
    <cellStyle name="Followed Hyperlink" xfId="9378" builtinId="9" hidden="1"/>
    <cellStyle name="Followed Hyperlink" xfId="9550" builtinId="9" hidden="1"/>
    <cellStyle name="Followed Hyperlink" xfId="9554" builtinId="9" hidden="1"/>
    <cellStyle name="Followed Hyperlink" xfId="9558" builtinId="9" hidden="1"/>
    <cellStyle name="Followed Hyperlink" xfId="9562" builtinId="9" hidden="1"/>
    <cellStyle name="Followed Hyperlink" xfId="9566" builtinId="9" hidden="1"/>
    <cellStyle name="Followed Hyperlink" xfId="9570" builtinId="9" hidden="1"/>
    <cellStyle name="Followed Hyperlink" xfId="9574" builtinId="9" hidden="1"/>
    <cellStyle name="Followed Hyperlink" xfId="9578" builtinId="9" hidden="1"/>
    <cellStyle name="Followed Hyperlink" xfId="9582" builtinId="9" hidden="1"/>
    <cellStyle name="Followed Hyperlink" xfId="9586" builtinId="9" hidden="1"/>
    <cellStyle name="Followed Hyperlink" xfId="9590" builtinId="9" hidden="1"/>
    <cellStyle name="Followed Hyperlink" xfId="9594" builtinId="9" hidden="1"/>
    <cellStyle name="Followed Hyperlink" xfId="9598" builtinId="9" hidden="1"/>
    <cellStyle name="Followed Hyperlink" xfId="9602" builtinId="9" hidden="1"/>
    <cellStyle name="Followed Hyperlink" xfId="9606" builtinId="9" hidden="1"/>
    <cellStyle name="Followed Hyperlink" xfId="9610" builtinId="9" hidden="1"/>
    <cellStyle name="Followed Hyperlink" xfId="9614" builtinId="9" hidden="1"/>
    <cellStyle name="Followed Hyperlink" xfId="9618" builtinId="9" hidden="1"/>
    <cellStyle name="Followed Hyperlink" xfId="9622" builtinId="9" hidden="1"/>
    <cellStyle name="Followed Hyperlink" xfId="9626" builtinId="9" hidden="1"/>
    <cellStyle name="Followed Hyperlink" xfId="9630" builtinId="9" hidden="1"/>
    <cellStyle name="Followed Hyperlink" xfId="9634" builtinId="9" hidden="1"/>
    <cellStyle name="Followed Hyperlink" xfId="9638" builtinId="9" hidden="1"/>
    <cellStyle name="Followed Hyperlink" xfId="9642" builtinId="9" hidden="1"/>
    <cellStyle name="Followed Hyperlink" xfId="9646" builtinId="9" hidden="1"/>
    <cellStyle name="Followed Hyperlink" xfId="8564" builtinId="9" hidden="1"/>
    <cellStyle name="Followed Hyperlink" xfId="9653" builtinId="9" hidden="1"/>
    <cellStyle name="Followed Hyperlink" xfId="9657" builtinId="9" hidden="1"/>
    <cellStyle name="Followed Hyperlink" xfId="9661" builtinId="9" hidden="1"/>
    <cellStyle name="Followed Hyperlink" xfId="9665" builtinId="9" hidden="1"/>
    <cellStyle name="Followed Hyperlink" xfId="9669" builtinId="9" hidden="1"/>
    <cellStyle name="Followed Hyperlink" xfId="9673" builtinId="9" hidden="1"/>
    <cellStyle name="Followed Hyperlink" xfId="9677" builtinId="9" hidden="1"/>
    <cellStyle name="Followed Hyperlink" xfId="9681" builtinId="9" hidden="1"/>
    <cellStyle name="Followed Hyperlink" xfId="9685" builtinId="9" hidden="1"/>
    <cellStyle name="Followed Hyperlink" xfId="9689" builtinId="9" hidden="1"/>
    <cellStyle name="Followed Hyperlink" xfId="9693" builtinId="9" hidden="1"/>
    <cellStyle name="Followed Hyperlink" xfId="9697" builtinId="9" hidden="1"/>
    <cellStyle name="Followed Hyperlink" xfId="9701" builtinId="9" hidden="1"/>
    <cellStyle name="Followed Hyperlink" xfId="7776" builtinId="9" hidden="1"/>
    <cellStyle name="Followed Hyperlink" xfId="9502" builtinId="9" hidden="1"/>
    <cellStyle name="Followed Hyperlink" xfId="8450" builtinId="9" hidden="1"/>
    <cellStyle name="Followed Hyperlink" xfId="8724" builtinId="9" hidden="1"/>
    <cellStyle name="Followed Hyperlink" xfId="8502" builtinId="9" hidden="1"/>
    <cellStyle name="Followed Hyperlink" xfId="8597" builtinId="9" hidden="1"/>
    <cellStyle name="Followed Hyperlink" xfId="7586" builtinId="9" hidden="1"/>
    <cellStyle name="Followed Hyperlink" xfId="7492" builtinId="9" hidden="1"/>
    <cellStyle name="Followed Hyperlink" xfId="7448" builtinId="9" hidden="1"/>
    <cellStyle name="Followed Hyperlink" xfId="8529" builtinId="9" hidden="1"/>
    <cellStyle name="Followed Hyperlink" xfId="8427" builtinId="9" hidden="1"/>
    <cellStyle name="Followed Hyperlink" xfId="8600" builtinId="9" hidden="1"/>
    <cellStyle name="Followed Hyperlink" xfId="8639" builtinId="9" hidden="1"/>
    <cellStyle name="Followed Hyperlink" xfId="8695" builtinId="9" hidden="1"/>
    <cellStyle name="Followed Hyperlink" xfId="8499" builtinId="9" hidden="1"/>
    <cellStyle name="Followed Hyperlink" xfId="8516" builtinId="9" hidden="1"/>
    <cellStyle name="Followed Hyperlink" xfId="8585" builtinId="9" hidden="1"/>
    <cellStyle name="Followed Hyperlink" xfId="8681" builtinId="9" hidden="1"/>
    <cellStyle name="Followed Hyperlink" xfId="8677" builtinId="9" hidden="1"/>
    <cellStyle name="Followed Hyperlink" xfId="8664" builtinId="9" hidden="1"/>
    <cellStyle name="Followed Hyperlink" xfId="4109" builtinId="9" hidden="1"/>
    <cellStyle name="Followed Hyperlink" xfId="8429" builtinId="9" hidden="1"/>
    <cellStyle name="Followed Hyperlink" xfId="8536" builtinId="9" hidden="1"/>
    <cellStyle name="Followed Hyperlink" xfId="7441" builtinId="9" hidden="1"/>
    <cellStyle name="Followed Hyperlink" xfId="8457" builtinId="9" hidden="1"/>
    <cellStyle name="Followed Hyperlink" xfId="8459" builtinId="9" hidden="1"/>
    <cellStyle name="Followed Hyperlink" xfId="8240" builtinId="9" hidden="1"/>
    <cellStyle name="Followed Hyperlink" xfId="8519" builtinId="9" hidden="1"/>
    <cellStyle name="Followed Hyperlink" xfId="7447" builtinId="9" hidden="1"/>
    <cellStyle name="Followed Hyperlink" xfId="8723" builtinId="9" hidden="1"/>
    <cellStyle name="Followed Hyperlink" xfId="8714" builtinId="9" hidden="1"/>
    <cellStyle name="Followed Hyperlink" xfId="8528" builtinId="9" hidden="1"/>
    <cellStyle name="Followed Hyperlink" xfId="7446" builtinId="9" hidden="1"/>
    <cellStyle name="Followed Hyperlink" xfId="8462" builtinId="9" hidden="1"/>
    <cellStyle name="Followed Hyperlink" xfId="8463" builtinId="9" hidden="1"/>
    <cellStyle name="Followed Hyperlink" xfId="8438" builtinId="9" hidden="1"/>
    <cellStyle name="Followed Hyperlink" xfId="8440" builtinId="9" hidden="1"/>
    <cellStyle name="Followed Hyperlink" xfId="8539" builtinId="9" hidden="1"/>
    <cellStyle name="Followed Hyperlink" xfId="8667" builtinId="9" hidden="1"/>
    <cellStyle name="Followed Hyperlink" xfId="8500" builtinId="9" hidden="1"/>
    <cellStyle name="Followed Hyperlink" xfId="8565" builtinId="9" hidden="1"/>
    <cellStyle name="Followed Hyperlink" xfId="9377" builtinId="9" hidden="1"/>
    <cellStyle name="Followed Hyperlink" xfId="5287" builtinId="9" hidden="1"/>
    <cellStyle name="Followed Hyperlink" xfId="9366" builtinId="9" hidden="1"/>
    <cellStyle name="Followed Hyperlink" xfId="6637" builtinId="9" hidden="1"/>
    <cellStyle name="Followed Hyperlink" xfId="9365" builtinId="9" hidden="1"/>
    <cellStyle name="Followed Hyperlink" xfId="7531" builtinId="9" hidden="1"/>
    <cellStyle name="Followed Hyperlink" xfId="9416" builtinId="9" hidden="1"/>
    <cellStyle name="Followed Hyperlink" xfId="9364" builtinId="9" hidden="1"/>
    <cellStyle name="Followed Hyperlink" xfId="9363" builtinId="9" hidden="1"/>
    <cellStyle name="Followed Hyperlink" xfId="8567" builtinId="9" hidden="1"/>
    <cellStyle name="Followed Hyperlink" xfId="9415" builtinId="9" hidden="1"/>
    <cellStyle name="Followed Hyperlink" xfId="9360" builtinId="9" hidden="1"/>
    <cellStyle name="Followed Hyperlink" xfId="9359" builtinId="9" hidden="1"/>
    <cellStyle name="Followed Hyperlink" xfId="9357" builtinId="9" hidden="1"/>
    <cellStyle name="Followed Hyperlink" xfId="9498" builtinId="9" hidden="1"/>
    <cellStyle name="Followed Hyperlink" xfId="9470" builtinId="9" hidden="1"/>
    <cellStyle name="Followed Hyperlink" xfId="9469" builtinId="9" hidden="1"/>
    <cellStyle name="Followed Hyperlink" xfId="9468" builtinId="9" hidden="1"/>
    <cellStyle name="Followed Hyperlink" xfId="9442" builtinId="9" hidden="1"/>
    <cellStyle name="Followed Hyperlink" xfId="9488" builtinId="9" hidden="1"/>
    <cellStyle name="Followed Hyperlink" xfId="9482" builtinId="9" hidden="1"/>
    <cellStyle name="Followed Hyperlink" xfId="9462" builtinId="9" hidden="1"/>
    <cellStyle name="Followed Hyperlink" xfId="9439" builtinId="9" hidden="1"/>
    <cellStyle name="Followed Hyperlink" xfId="9406" builtinId="9" hidden="1"/>
    <cellStyle name="Followed Hyperlink" xfId="9490" builtinId="9" hidden="1"/>
    <cellStyle name="Followed Hyperlink" xfId="9484" builtinId="9" hidden="1"/>
    <cellStyle name="Followed Hyperlink" xfId="9463" builtinId="9" hidden="1"/>
    <cellStyle name="Followed Hyperlink" xfId="9441" builtinId="9" hidden="1"/>
    <cellStyle name="Followed Hyperlink" xfId="9414" builtinId="9" hidden="1"/>
    <cellStyle name="Followed Hyperlink" xfId="9460" builtinId="9" hidden="1"/>
    <cellStyle name="Followed Hyperlink" xfId="9355" builtinId="9" hidden="1"/>
    <cellStyle name="Followed Hyperlink" xfId="9354" builtinId="9" hidden="1"/>
    <cellStyle name="Followed Hyperlink" xfId="9353" builtinId="9" hidden="1"/>
    <cellStyle name="Followed Hyperlink" xfId="9352" builtinId="9" hidden="1"/>
    <cellStyle name="Followed Hyperlink" xfId="9351" builtinId="9" hidden="1"/>
    <cellStyle name="Followed Hyperlink" xfId="9350" builtinId="9" hidden="1"/>
    <cellStyle name="Followed Hyperlink" xfId="9349" builtinId="9" hidden="1"/>
    <cellStyle name="Followed Hyperlink" xfId="9348" builtinId="9" hidden="1"/>
    <cellStyle name="Followed Hyperlink" xfId="6604" builtinId="9" hidden="1"/>
    <cellStyle name="Followed Hyperlink" xfId="9413" builtinId="9" hidden="1"/>
    <cellStyle name="Followed Hyperlink" xfId="8574" builtinId="9" hidden="1"/>
    <cellStyle name="Followed Hyperlink" xfId="9412" builtinId="9" hidden="1"/>
    <cellStyle name="Followed Hyperlink" xfId="9347" builtinId="9" hidden="1"/>
    <cellStyle name="Followed Hyperlink" xfId="8568" builtinId="9" hidden="1"/>
    <cellStyle name="Followed Hyperlink" xfId="8480" builtinId="9" hidden="1"/>
    <cellStyle name="Followed Hyperlink" xfId="9389" builtinId="9" hidden="1"/>
    <cellStyle name="Followed Hyperlink" xfId="9346" builtinId="9" hidden="1"/>
    <cellStyle name="Followed Hyperlink" xfId="7664" builtinId="9" hidden="1"/>
    <cellStyle name="Followed Hyperlink" xfId="9397" builtinId="9" hidden="1"/>
    <cellStyle name="Followed Hyperlink" xfId="9396" builtinId="9" hidden="1"/>
    <cellStyle name="Followed Hyperlink" xfId="9411" builtinId="9" hidden="1"/>
    <cellStyle name="Followed Hyperlink" xfId="9383" builtinId="9" hidden="1"/>
    <cellStyle name="Followed Hyperlink" xfId="5513" builtinId="9" hidden="1"/>
    <cellStyle name="Followed Hyperlink" xfId="9345" builtinId="9" hidden="1"/>
    <cellStyle name="Followed Hyperlink" xfId="8569" builtinId="9" hidden="1"/>
    <cellStyle name="Followed Hyperlink" xfId="8508" builtinId="9" hidden="1"/>
    <cellStyle name="Followed Hyperlink" xfId="9307" builtinId="9" hidden="1"/>
    <cellStyle name="Followed Hyperlink" xfId="9061" builtinId="9" hidden="1"/>
    <cellStyle name="Followed Hyperlink" xfId="8441" builtinId="9" hidden="1"/>
    <cellStyle name="Followed Hyperlink" xfId="9410" builtinId="9" hidden="1"/>
    <cellStyle name="Followed Hyperlink" xfId="9306" builtinId="9" hidden="1"/>
    <cellStyle name="Followed Hyperlink" xfId="7624" builtinId="9" hidden="1"/>
    <cellStyle name="Followed Hyperlink" xfId="9305" builtinId="9" hidden="1"/>
    <cellStyle name="Followed Hyperlink" xfId="7634" builtinId="9" hidden="1"/>
    <cellStyle name="Followed Hyperlink" xfId="8605" builtinId="9" hidden="1"/>
    <cellStyle name="Followed Hyperlink" xfId="9409" builtinId="9" hidden="1"/>
    <cellStyle name="Followed Hyperlink" xfId="9156" builtinId="9" hidden="1"/>
    <cellStyle name="Followed Hyperlink" xfId="8589" builtinId="9" hidden="1"/>
    <cellStyle name="Followed Hyperlink" xfId="8559" builtinId="9" hidden="1"/>
    <cellStyle name="Followed Hyperlink" xfId="6652" builtinId="9" hidden="1"/>
    <cellStyle name="Followed Hyperlink" xfId="8541" builtinId="9" hidden="1"/>
    <cellStyle name="Followed Hyperlink" xfId="9509" builtinId="9" hidden="1"/>
    <cellStyle name="Followed Hyperlink" xfId="9408" builtinId="9" hidden="1"/>
    <cellStyle name="Followed Hyperlink" xfId="9427" builtinId="9" hidden="1"/>
    <cellStyle name="Followed Hyperlink" xfId="9344" builtinId="9" hidden="1"/>
    <cellStyle name="Followed Hyperlink" xfId="9101" builtinId="9" hidden="1"/>
    <cellStyle name="Followed Hyperlink" xfId="8697" builtinId="9" hidden="1"/>
    <cellStyle name="Followed Hyperlink" xfId="9155" builtinId="9" hidden="1"/>
    <cellStyle name="Followed Hyperlink" xfId="5817" builtinId="9" hidden="1"/>
    <cellStyle name="Followed Hyperlink" xfId="8666" builtinId="9" hidden="1"/>
    <cellStyle name="Followed Hyperlink" xfId="9407" builtinId="9" hidden="1"/>
    <cellStyle name="Followed Hyperlink" xfId="9102" builtinId="9" hidden="1"/>
    <cellStyle name="Followed Hyperlink" xfId="8709" builtinId="9" hidden="1"/>
    <cellStyle name="Followed Hyperlink" xfId="9103" builtinId="9" hidden="1"/>
    <cellStyle name="Followed Hyperlink" xfId="8403" builtinId="9" hidden="1"/>
    <cellStyle name="Followed Hyperlink" xfId="9104" builtinId="9" hidden="1"/>
    <cellStyle name="Followed Hyperlink" xfId="8503" builtinId="9" hidden="1"/>
    <cellStyle name="Followed Hyperlink" xfId="7556" builtinId="9" hidden="1"/>
    <cellStyle name="Followed Hyperlink" xfId="8917" builtinId="9" hidden="1"/>
    <cellStyle name="Followed Hyperlink" xfId="8619" builtinId="9" hidden="1"/>
    <cellStyle name="Followed Hyperlink" xfId="9848" builtinId="9" hidden="1"/>
    <cellStyle name="Followed Hyperlink" xfId="9849" builtinId="9" hidden="1"/>
    <cellStyle name="Followed Hyperlink" xfId="9850" builtinId="9" hidden="1"/>
    <cellStyle name="Followed Hyperlink" xfId="9851" builtinId="9" hidden="1"/>
    <cellStyle name="Followed Hyperlink" xfId="9852" builtinId="9" hidden="1"/>
    <cellStyle name="Followed Hyperlink" xfId="9853" builtinId="9" hidden="1"/>
    <cellStyle name="Followed Hyperlink" xfId="9854" builtinId="9" hidden="1"/>
    <cellStyle name="Followed Hyperlink" xfId="9855" builtinId="9" hidden="1"/>
    <cellStyle name="Followed Hyperlink" xfId="9856" builtinId="9" hidden="1"/>
    <cellStyle name="Followed Hyperlink" xfId="9857" builtinId="9" hidden="1"/>
    <cellStyle name="Followed Hyperlink" xfId="9858" builtinId="9" hidden="1"/>
    <cellStyle name="Followed Hyperlink" xfId="9859" builtinId="9" hidden="1"/>
    <cellStyle name="Followed Hyperlink" xfId="9860" builtinId="9" hidden="1"/>
    <cellStyle name="Followed Hyperlink" xfId="9861" builtinId="9" hidden="1"/>
    <cellStyle name="Followed Hyperlink" xfId="9862" builtinId="9" hidden="1"/>
    <cellStyle name="Followed Hyperlink" xfId="9863" builtinId="9" hidden="1"/>
    <cellStyle name="Followed Hyperlink" xfId="9864" builtinId="9" hidden="1"/>
    <cellStyle name="Followed Hyperlink" xfId="9865" builtinId="9" hidden="1"/>
    <cellStyle name="Followed Hyperlink" xfId="9866" builtinId="9" hidden="1"/>
    <cellStyle name="Followed Hyperlink" xfId="9867" builtinId="9" hidden="1"/>
    <cellStyle name="Followed Hyperlink" xfId="9868" builtinId="9" hidden="1"/>
    <cellStyle name="Followed Hyperlink" xfId="9869" builtinId="9" hidden="1"/>
    <cellStyle name="Followed Hyperlink" xfId="9870" builtinId="9" hidden="1"/>
    <cellStyle name="Followed Hyperlink" xfId="9871" builtinId="9" hidden="1"/>
    <cellStyle name="Followed Hyperlink" xfId="9872" builtinId="9" hidden="1"/>
    <cellStyle name="Followed Hyperlink" xfId="9873" builtinId="9" hidden="1"/>
    <cellStyle name="Followed Hyperlink" xfId="9874" builtinId="9" hidden="1"/>
    <cellStyle name="Followed Hyperlink" xfId="9875" builtinId="9" hidden="1"/>
    <cellStyle name="Followed Hyperlink" xfId="9876" builtinId="9" hidden="1"/>
    <cellStyle name="Followed Hyperlink" xfId="9877" builtinId="9" hidden="1"/>
    <cellStyle name="Followed Hyperlink" xfId="9878" builtinId="9" hidden="1"/>
    <cellStyle name="Followed Hyperlink" xfId="9879" builtinId="9" hidden="1"/>
    <cellStyle name="Followed Hyperlink" xfId="9880" builtinId="9" hidden="1"/>
    <cellStyle name="Followed Hyperlink" xfId="9881" builtinId="9" hidden="1"/>
    <cellStyle name="Followed Hyperlink" xfId="9882" builtinId="9" hidden="1"/>
    <cellStyle name="Followed Hyperlink" xfId="9883" builtinId="9" hidden="1"/>
    <cellStyle name="Followed Hyperlink" xfId="9884" builtinId="9" hidden="1"/>
    <cellStyle name="Followed Hyperlink" xfId="9885" builtinId="9" hidden="1"/>
    <cellStyle name="Followed Hyperlink" xfId="9886" builtinId="9" hidden="1"/>
    <cellStyle name="Followed Hyperlink" xfId="9887" builtinId="9" hidden="1"/>
    <cellStyle name="Followed Hyperlink" xfId="9888" builtinId="9" hidden="1"/>
    <cellStyle name="Followed Hyperlink" xfId="9889" builtinId="9" hidden="1"/>
    <cellStyle name="Followed Hyperlink" xfId="9890" builtinId="9" hidden="1"/>
    <cellStyle name="Followed Hyperlink" xfId="9891" builtinId="9" hidden="1"/>
    <cellStyle name="Followed Hyperlink" xfId="9892" builtinId="9" hidden="1"/>
    <cellStyle name="Followed Hyperlink" xfId="9893" builtinId="9" hidden="1"/>
    <cellStyle name="Followed Hyperlink" xfId="9894" builtinId="9" hidden="1"/>
    <cellStyle name="Followed Hyperlink" xfId="9895" builtinId="9" hidden="1"/>
    <cellStyle name="Followed Hyperlink" xfId="9896" builtinId="9" hidden="1"/>
    <cellStyle name="Followed Hyperlink" xfId="9897" builtinId="9" hidden="1"/>
    <cellStyle name="Followed Hyperlink" xfId="9898" builtinId="9" hidden="1"/>
    <cellStyle name="Followed Hyperlink" xfId="9899" builtinId="9" hidden="1"/>
    <cellStyle name="Followed Hyperlink" xfId="9900" builtinId="9" hidden="1"/>
    <cellStyle name="Followed Hyperlink" xfId="9901" builtinId="9" hidden="1"/>
    <cellStyle name="Followed Hyperlink" xfId="9902" builtinId="9" hidden="1"/>
    <cellStyle name="Followed Hyperlink" xfId="9903" builtinId="9" hidden="1"/>
    <cellStyle name="Followed Hyperlink" xfId="9904" builtinId="9" hidden="1"/>
    <cellStyle name="Followed Hyperlink" xfId="9905" builtinId="9" hidden="1"/>
    <cellStyle name="Followed Hyperlink" xfId="9906" builtinId="9" hidden="1"/>
    <cellStyle name="Followed Hyperlink" xfId="9907" builtinId="9" hidden="1"/>
    <cellStyle name="Followed Hyperlink" xfId="9908" builtinId="9" hidden="1"/>
    <cellStyle name="Followed Hyperlink" xfId="9909" builtinId="9" hidden="1"/>
    <cellStyle name="Followed Hyperlink" xfId="9910" builtinId="9" hidden="1"/>
    <cellStyle name="Followed Hyperlink" xfId="9911" builtinId="9" hidden="1"/>
    <cellStyle name="Followed Hyperlink" xfId="9912" builtinId="9" hidden="1"/>
    <cellStyle name="Followed Hyperlink" xfId="9913" builtinId="9" hidden="1"/>
    <cellStyle name="Followed Hyperlink" xfId="9914" builtinId="9" hidden="1"/>
    <cellStyle name="Followed Hyperlink" xfId="9915" builtinId="9" hidden="1"/>
    <cellStyle name="Followed Hyperlink" xfId="9916" builtinId="9" hidden="1"/>
    <cellStyle name="Followed Hyperlink" xfId="9917" builtinId="9" hidden="1"/>
    <cellStyle name="Followed Hyperlink" xfId="9918" builtinId="9" hidden="1"/>
    <cellStyle name="Followed Hyperlink" xfId="9919" builtinId="9" hidden="1"/>
    <cellStyle name="Followed Hyperlink" xfId="9920" builtinId="9" hidden="1"/>
    <cellStyle name="Followed Hyperlink" xfId="9921" builtinId="9" hidden="1"/>
    <cellStyle name="Followed Hyperlink" xfId="9922" builtinId="9" hidden="1"/>
    <cellStyle name="Followed Hyperlink" xfId="9923" builtinId="9" hidden="1"/>
    <cellStyle name="Followed Hyperlink" xfId="9924" builtinId="9" hidden="1"/>
    <cellStyle name="Followed Hyperlink" xfId="9925" builtinId="9" hidden="1"/>
    <cellStyle name="Followed Hyperlink" xfId="9926" builtinId="9" hidden="1"/>
    <cellStyle name="Followed Hyperlink" xfId="9927" builtinId="9" hidden="1"/>
    <cellStyle name="Followed Hyperlink" xfId="9928" builtinId="9" hidden="1"/>
    <cellStyle name="Followed Hyperlink" xfId="9929" builtinId="9" hidden="1"/>
    <cellStyle name="Followed Hyperlink" xfId="9930" builtinId="9" hidden="1"/>
    <cellStyle name="Followed Hyperlink" xfId="9931" builtinId="9" hidden="1"/>
    <cellStyle name="Followed Hyperlink" xfId="9932" builtinId="9" hidden="1"/>
    <cellStyle name="Followed Hyperlink" xfId="9933" builtinId="9" hidden="1"/>
    <cellStyle name="Followed Hyperlink" xfId="9934" builtinId="9" hidden="1"/>
    <cellStyle name="Followed Hyperlink" xfId="9935" builtinId="9" hidden="1"/>
    <cellStyle name="Followed Hyperlink" xfId="9936" builtinId="9" hidden="1"/>
    <cellStyle name="Followed Hyperlink" xfId="9937" builtinId="9" hidden="1"/>
    <cellStyle name="Followed Hyperlink" xfId="9938" builtinId="9" hidden="1"/>
    <cellStyle name="Followed Hyperlink" xfId="9939" builtinId="9" hidden="1"/>
    <cellStyle name="Followed Hyperlink" xfId="9940" builtinId="9" hidden="1"/>
    <cellStyle name="Followed Hyperlink" xfId="9941" builtinId="9" hidden="1"/>
    <cellStyle name="Followed Hyperlink" xfId="9942" builtinId="9" hidden="1"/>
    <cellStyle name="Followed Hyperlink" xfId="9943" builtinId="9" hidden="1"/>
    <cellStyle name="Followed Hyperlink" xfId="9944" builtinId="9" hidden="1"/>
    <cellStyle name="Followed Hyperlink" xfId="9945" builtinId="9" hidden="1"/>
    <cellStyle name="Followed Hyperlink" xfId="9946" builtinId="9" hidden="1"/>
    <cellStyle name="Followed Hyperlink" xfId="9947" builtinId="9" hidden="1"/>
    <cellStyle name="Followed Hyperlink" xfId="9948" builtinId="9" hidden="1"/>
    <cellStyle name="Followed Hyperlink" xfId="9949" builtinId="9" hidden="1"/>
    <cellStyle name="Followed Hyperlink" xfId="9950" builtinId="9" hidden="1"/>
    <cellStyle name="Followed Hyperlink" xfId="9951" builtinId="9" hidden="1"/>
    <cellStyle name="Followed Hyperlink" xfId="9952" builtinId="9" hidden="1"/>
    <cellStyle name="Followed Hyperlink" xfId="9953" builtinId="9" hidden="1"/>
    <cellStyle name="Followed Hyperlink" xfId="9954" builtinId="9" hidden="1"/>
    <cellStyle name="Followed Hyperlink" xfId="9955" builtinId="9" hidden="1"/>
    <cellStyle name="Followed Hyperlink" xfId="9956" builtinId="9" hidden="1"/>
    <cellStyle name="Followed Hyperlink" xfId="9957" builtinId="9" hidden="1"/>
    <cellStyle name="Followed Hyperlink" xfId="9958" builtinId="9" hidden="1"/>
    <cellStyle name="Followed Hyperlink" xfId="9959" builtinId="9" hidden="1"/>
    <cellStyle name="Followed Hyperlink" xfId="9960" builtinId="9" hidden="1"/>
    <cellStyle name="Followed Hyperlink" xfId="9961" builtinId="9" hidden="1"/>
    <cellStyle name="Followed Hyperlink" xfId="9962" builtinId="9" hidden="1"/>
    <cellStyle name="Followed Hyperlink" xfId="9963" builtinId="9" hidden="1"/>
    <cellStyle name="Followed Hyperlink" xfId="9964" builtinId="9" hidden="1"/>
    <cellStyle name="Followed Hyperlink" xfId="9965" builtinId="9" hidden="1"/>
    <cellStyle name="Followed Hyperlink" xfId="9966" builtinId="9" hidden="1"/>
    <cellStyle name="Followed Hyperlink" xfId="9967" builtinId="9" hidden="1"/>
    <cellStyle name="Followed Hyperlink" xfId="9968" builtinId="9" hidden="1"/>
    <cellStyle name="Followed Hyperlink" xfId="9969" builtinId="9" hidden="1"/>
    <cellStyle name="Followed Hyperlink" xfId="9970" builtinId="9" hidden="1"/>
    <cellStyle name="Followed Hyperlink" xfId="9971" builtinId="9" hidden="1"/>
    <cellStyle name="Followed Hyperlink" xfId="9972" builtinId="9" hidden="1"/>
    <cellStyle name="Followed Hyperlink" xfId="9973" builtinId="9" hidden="1"/>
    <cellStyle name="Followed Hyperlink" xfId="9974" builtinId="9" hidden="1"/>
    <cellStyle name="Followed Hyperlink" xfId="9975" builtinId="9" hidden="1"/>
    <cellStyle name="Followed Hyperlink" xfId="9976" builtinId="9" hidden="1"/>
    <cellStyle name="Followed Hyperlink" xfId="9977" builtinId="9" hidden="1"/>
    <cellStyle name="Followed Hyperlink" xfId="9978" builtinId="9" hidden="1"/>
    <cellStyle name="Followed Hyperlink" xfId="9979" builtinId="9" hidden="1"/>
    <cellStyle name="Followed Hyperlink" xfId="9980" builtinId="9" hidden="1"/>
    <cellStyle name="Followed Hyperlink" xfId="9981" builtinId="9" hidden="1"/>
    <cellStyle name="Followed Hyperlink" xfId="9982" builtinId="9" hidden="1"/>
    <cellStyle name="Followed Hyperlink" xfId="9983" builtinId="9" hidden="1"/>
    <cellStyle name="Followed Hyperlink" xfId="9984" builtinId="9" hidden="1"/>
    <cellStyle name="Followed Hyperlink" xfId="9985" builtinId="9" hidden="1"/>
    <cellStyle name="Followed Hyperlink" xfId="9986" builtinId="9" hidden="1"/>
    <cellStyle name="Followed Hyperlink" xfId="9987" builtinId="9" hidden="1"/>
    <cellStyle name="Followed Hyperlink" xfId="9988" builtinId="9" hidden="1"/>
    <cellStyle name="Followed Hyperlink" xfId="9989" builtinId="9" hidden="1"/>
    <cellStyle name="Followed Hyperlink" xfId="9990" builtinId="9" hidden="1"/>
    <cellStyle name="Followed Hyperlink" xfId="9991" builtinId="9" hidden="1"/>
    <cellStyle name="Followed Hyperlink" xfId="9992" builtinId="9" hidden="1"/>
    <cellStyle name="Followed Hyperlink" xfId="9993" builtinId="9" hidden="1"/>
    <cellStyle name="Followed Hyperlink" xfId="9994" builtinId="9" hidden="1"/>
    <cellStyle name="Followed Hyperlink" xfId="9995" builtinId="9" hidden="1"/>
    <cellStyle name="Followed Hyperlink" xfId="9996" builtinId="9" hidden="1"/>
    <cellStyle name="Followed Hyperlink" xfId="9997" builtinId="9" hidden="1"/>
    <cellStyle name="Followed Hyperlink" xfId="9998" builtinId="9" hidden="1"/>
    <cellStyle name="Followed Hyperlink" xfId="9999" builtinId="9" hidden="1"/>
    <cellStyle name="Followed Hyperlink" xfId="10000" builtinId="9" hidden="1"/>
    <cellStyle name="Followed Hyperlink" xfId="10001" builtinId="9" hidden="1"/>
    <cellStyle name="Followed Hyperlink" xfId="10002" builtinId="9" hidden="1"/>
    <cellStyle name="Followed Hyperlink" xfId="10003" builtinId="9" hidden="1"/>
    <cellStyle name="Followed Hyperlink" xfId="10004" builtinId="9" hidden="1"/>
    <cellStyle name="Followed Hyperlink" xfId="10005" builtinId="9" hidden="1"/>
    <cellStyle name="Followed Hyperlink" xfId="10006" builtinId="9" hidden="1"/>
    <cellStyle name="Followed Hyperlink" xfId="10007" builtinId="9" hidden="1"/>
    <cellStyle name="Followed Hyperlink" xfId="10008" builtinId="9" hidden="1"/>
    <cellStyle name="Followed Hyperlink" xfId="10009" builtinId="9" hidden="1"/>
    <cellStyle name="Followed Hyperlink" xfId="10010" builtinId="9" hidden="1"/>
    <cellStyle name="Followed Hyperlink" xfId="10011" builtinId="9" hidden="1"/>
    <cellStyle name="Followed Hyperlink" xfId="10012" builtinId="9" hidden="1"/>
    <cellStyle name="Followed Hyperlink" xfId="10013" builtinId="9" hidden="1"/>
    <cellStyle name="Followed Hyperlink" xfId="10014" builtinId="9" hidden="1"/>
    <cellStyle name="Followed Hyperlink" xfId="10015" builtinId="9" hidden="1"/>
    <cellStyle name="Followed Hyperlink" xfId="10016" builtinId="9" hidden="1"/>
    <cellStyle name="Followed Hyperlink" xfId="10017" builtinId="9" hidden="1"/>
    <cellStyle name="Followed Hyperlink" xfId="10018" builtinId="9" hidden="1"/>
    <cellStyle name="Followed Hyperlink" xfId="10019" builtinId="9" hidden="1"/>
    <cellStyle name="Followed Hyperlink" xfId="10020" builtinId="9" hidden="1"/>
    <cellStyle name="Followed Hyperlink" xfId="10021" builtinId="9" hidden="1"/>
    <cellStyle name="Followed Hyperlink" xfId="10022" builtinId="9" hidden="1"/>
    <cellStyle name="Followed Hyperlink" xfId="10023" builtinId="9" hidden="1"/>
    <cellStyle name="Followed Hyperlink" xfId="10024" builtinId="9" hidden="1"/>
    <cellStyle name="Followed Hyperlink" xfId="10025" builtinId="9" hidden="1"/>
    <cellStyle name="Followed Hyperlink" xfId="10026" builtinId="9" hidden="1"/>
    <cellStyle name="Followed Hyperlink" xfId="10027" builtinId="9" hidden="1"/>
    <cellStyle name="Followed Hyperlink" xfId="10028" builtinId="9" hidden="1"/>
    <cellStyle name="Followed Hyperlink" xfId="10029" builtinId="9" hidden="1"/>
    <cellStyle name="Followed Hyperlink" xfId="10030" builtinId="9" hidden="1"/>
    <cellStyle name="Followed Hyperlink" xfId="10031" builtinId="9" hidden="1"/>
    <cellStyle name="Followed Hyperlink" xfId="10032" builtinId="9" hidden="1"/>
    <cellStyle name="Followed Hyperlink" xfId="10033" builtinId="9" hidden="1"/>
    <cellStyle name="Followed Hyperlink" xfId="10034" builtinId="9" hidden="1"/>
    <cellStyle name="Followed Hyperlink" xfId="10035" builtinId="9" hidden="1"/>
    <cellStyle name="Followed Hyperlink" xfId="10036" builtinId="9" hidden="1"/>
    <cellStyle name="Followed Hyperlink" xfId="10037" builtinId="9" hidden="1"/>
    <cellStyle name="Followed Hyperlink" xfId="10038" builtinId="9" hidden="1"/>
    <cellStyle name="Followed Hyperlink" xfId="10039" builtinId="9" hidden="1"/>
    <cellStyle name="Followed Hyperlink" xfId="10040" builtinId="9" hidden="1"/>
    <cellStyle name="Followed Hyperlink" xfId="10041" builtinId="9" hidden="1"/>
    <cellStyle name="Followed Hyperlink" xfId="10042" builtinId="9" hidden="1"/>
    <cellStyle name="Followed Hyperlink" xfId="10043" builtinId="9" hidden="1"/>
    <cellStyle name="Followed Hyperlink" xfId="10044" builtinId="9" hidden="1"/>
    <cellStyle name="Followed Hyperlink" xfId="10045" builtinId="9" hidden="1"/>
    <cellStyle name="Followed Hyperlink" xfId="10046" builtinId="9" hidden="1"/>
    <cellStyle name="Followed Hyperlink" xfId="10047" builtinId="9" hidden="1"/>
    <cellStyle name="Followed Hyperlink" xfId="10048" builtinId="9" hidden="1"/>
    <cellStyle name="Followed Hyperlink" xfId="10049" builtinId="9" hidden="1"/>
    <cellStyle name="Followed Hyperlink" xfId="10050" builtinId="9" hidden="1"/>
    <cellStyle name="Followed Hyperlink" xfId="10051" builtinId="9" hidden="1"/>
    <cellStyle name="Followed Hyperlink" xfId="10052" builtinId="9" hidden="1"/>
    <cellStyle name="Followed Hyperlink" xfId="10053" builtinId="9" hidden="1"/>
    <cellStyle name="Followed Hyperlink" xfId="10054" builtinId="9" hidden="1"/>
    <cellStyle name="Followed Hyperlink" xfId="10055" builtinId="9" hidden="1"/>
    <cellStyle name="Followed Hyperlink" xfId="10056" builtinId="9" hidden="1"/>
    <cellStyle name="Followed Hyperlink" xfId="10057" builtinId="9" hidden="1"/>
    <cellStyle name="Followed Hyperlink" xfId="10058" builtinId="9" hidden="1"/>
    <cellStyle name="Followed Hyperlink" xfId="10059" builtinId="9" hidden="1"/>
    <cellStyle name="Followed Hyperlink" xfId="10060" builtinId="9" hidden="1"/>
    <cellStyle name="Followed Hyperlink" xfId="10061" builtinId="9" hidden="1"/>
    <cellStyle name="Followed Hyperlink" xfId="10062" builtinId="9" hidden="1"/>
    <cellStyle name="Followed Hyperlink" xfId="10063" builtinId="9" hidden="1"/>
    <cellStyle name="Followed Hyperlink" xfId="10064" builtinId="9" hidden="1"/>
    <cellStyle name="Followed Hyperlink" xfId="10065" builtinId="9" hidden="1"/>
    <cellStyle name="Followed Hyperlink" xfId="10066" builtinId="9" hidden="1"/>
    <cellStyle name="Followed Hyperlink" xfId="10067" builtinId="9" hidden="1"/>
    <cellStyle name="Followed Hyperlink" xfId="10068" builtinId="9" hidden="1"/>
    <cellStyle name="Followed Hyperlink" xfId="10069" builtinId="9" hidden="1"/>
    <cellStyle name="Followed Hyperlink" xfId="10070" builtinId="9" hidden="1"/>
    <cellStyle name="Followed Hyperlink" xfId="10071" builtinId="9" hidden="1"/>
    <cellStyle name="Followed Hyperlink" xfId="10072" builtinId="9" hidden="1"/>
    <cellStyle name="Followed Hyperlink" xfId="10073" builtinId="9" hidden="1"/>
    <cellStyle name="Followed Hyperlink" xfId="10074" builtinId="9" hidden="1"/>
    <cellStyle name="Followed Hyperlink" xfId="10075" builtinId="9" hidden="1"/>
    <cellStyle name="Followed Hyperlink" xfId="10076" builtinId="9" hidden="1"/>
    <cellStyle name="Followed Hyperlink" xfId="10077" builtinId="9" hidden="1"/>
    <cellStyle name="Followed Hyperlink" xfId="10078" builtinId="9" hidden="1"/>
    <cellStyle name="Followed Hyperlink" xfId="10079" builtinId="9" hidden="1"/>
    <cellStyle name="Followed Hyperlink" xfId="10080" builtinId="9" hidden="1"/>
    <cellStyle name="Followed Hyperlink" xfId="10081" builtinId="9" hidden="1"/>
    <cellStyle name="Followed Hyperlink" xfId="10082" builtinId="9" hidden="1"/>
    <cellStyle name="Followed Hyperlink" xfId="10083" builtinId="9" hidden="1"/>
    <cellStyle name="Followed Hyperlink" xfId="10084" builtinId="9" hidden="1"/>
    <cellStyle name="Followed Hyperlink" xfId="10085" builtinId="9" hidden="1"/>
    <cellStyle name="Followed Hyperlink" xfId="10086" builtinId="9" hidden="1"/>
    <cellStyle name="Followed Hyperlink" xfId="10087" builtinId="9" hidden="1"/>
    <cellStyle name="Followed Hyperlink" xfId="10088" builtinId="9" hidden="1"/>
    <cellStyle name="Followed Hyperlink" xfId="10089" builtinId="9" hidden="1"/>
    <cellStyle name="Followed Hyperlink" xfId="10090" builtinId="9" hidden="1"/>
    <cellStyle name="Followed Hyperlink" xfId="10091" builtinId="9" hidden="1"/>
    <cellStyle name="Followed Hyperlink" xfId="10092" builtinId="9" hidden="1"/>
    <cellStyle name="Followed Hyperlink" xfId="10093" builtinId="9" hidden="1"/>
    <cellStyle name="Followed Hyperlink" xfId="10094" builtinId="9" hidden="1"/>
    <cellStyle name="Followed Hyperlink" xfId="10095" builtinId="9" hidden="1"/>
    <cellStyle name="Followed Hyperlink" xfId="10096" builtinId="9" hidden="1"/>
    <cellStyle name="Followed Hyperlink" xfId="10097" builtinId="9" hidden="1"/>
    <cellStyle name="Followed Hyperlink" xfId="10098" builtinId="9" hidden="1"/>
    <cellStyle name="Followed Hyperlink" xfId="10099" builtinId="9" hidden="1"/>
    <cellStyle name="Followed Hyperlink" xfId="10100" builtinId="9" hidden="1"/>
    <cellStyle name="Followed Hyperlink" xfId="10101" builtinId="9" hidden="1"/>
    <cellStyle name="Followed Hyperlink" xfId="10102" builtinId="9" hidden="1"/>
    <cellStyle name="Followed Hyperlink" xfId="10103" builtinId="9" hidden="1"/>
    <cellStyle name="Followed Hyperlink" xfId="10104" builtinId="9" hidden="1"/>
    <cellStyle name="Followed Hyperlink" xfId="10105" builtinId="9" hidden="1"/>
    <cellStyle name="Followed Hyperlink" xfId="10106" builtinId="9" hidden="1"/>
    <cellStyle name="Followed Hyperlink" xfId="10107" builtinId="9" hidden="1"/>
    <cellStyle name="Followed Hyperlink" xfId="10108" builtinId="9" hidden="1"/>
    <cellStyle name="Followed Hyperlink" xfId="10109" builtinId="9" hidden="1"/>
    <cellStyle name="Followed Hyperlink" xfId="10110" builtinId="9" hidden="1"/>
    <cellStyle name="Followed Hyperlink" xfId="10111" builtinId="9" hidden="1"/>
    <cellStyle name="Followed Hyperlink" xfId="10112" builtinId="9" hidden="1"/>
    <cellStyle name="Followed Hyperlink" xfId="10113" builtinId="9" hidden="1"/>
    <cellStyle name="Followed Hyperlink" xfId="10114" builtinId="9" hidden="1"/>
    <cellStyle name="Followed Hyperlink" xfId="10115" builtinId="9" hidden="1"/>
    <cellStyle name="Followed Hyperlink" xfId="10116" builtinId="9" hidden="1"/>
    <cellStyle name="Followed Hyperlink" xfId="10117" builtinId="9" hidden="1"/>
    <cellStyle name="Followed Hyperlink" xfId="10118" builtinId="9" hidden="1"/>
    <cellStyle name="Followed Hyperlink" xfId="10119" builtinId="9" hidden="1"/>
    <cellStyle name="Followed Hyperlink" xfId="10120" builtinId="9" hidden="1"/>
    <cellStyle name="Followed Hyperlink" xfId="10121" builtinId="9" hidden="1"/>
    <cellStyle name="Followed Hyperlink" xfId="10122" builtinId="9" hidden="1"/>
    <cellStyle name="Followed Hyperlink" xfId="10123" builtinId="9" hidden="1"/>
    <cellStyle name="Followed Hyperlink" xfId="10124" builtinId="9" hidden="1"/>
    <cellStyle name="Followed Hyperlink" xfId="10125" builtinId="9" hidden="1"/>
    <cellStyle name="Followed Hyperlink" xfId="10126" builtinId="9" hidden="1"/>
    <cellStyle name="Followed Hyperlink" xfId="10127" builtinId="9" hidden="1"/>
    <cellStyle name="Followed Hyperlink" xfId="10128" builtinId="9" hidden="1"/>
    <cellStyle name="Followed Hyperlink" xfId="10129" builtinId="9" hidden="1"/>
    <cellStyle name="Followed Hyperlink" xfId="10130" builtinId="9" hidden="1"/>
    <cellStyle name="Followed Hyperlink" xfId="10131" builtinId="9" hidden="1"/>
    <cellStyle name="Followed Hyperlink" xfId="10132" builtinId="9" hidden="1"/>
    <cellStyle name="Followed Hyperlink" xfId="10133" builtinId="9" hidden="1"/>
    <cellStyle name="Followed Hyperlink" xfId="10134" builtinId="9" hidden="1"/>
    <cellStyle name="Followed Hyperlink" xfId="10135" builtinId="9" hidden="1"/>
    <cellStyle name="Followed Hyperlink" xfId="10136" builtinId="9" hidden="1"/>
    <cellStyle name="Followed Hyperlink" xfId="10137" builtinId="9" hidden="1"/>
    <cellStyle name="Followed Hyperlink" xfId="10138" builtinId="9" hidden="1"/>
    <cellStyle name="Followed Hyperlink" xfId="10139" builtinId="9" hidden="1"/>
    <cellStyle name="Followed Hyperlink" xfId="10140" builtinId="9" hidden="1"/>
    <cellStyle name="Followed Hyperlink" xfId="10141" builtinId="9" hidden="1"/>
    <cellStyle name="Followed Hyperlink" xfId="10142" builtinId="9" hidden="1"/>
    <cellStyle name="Followed Hyperlink" xfId="10143" builtinId="9" hidden="1"/>
    <cellStyle name="Followed Hyperlink" xfId="10144" builtinId="9" hidden="1"/>
    <cellStyle name="Followed Hyperlink" xfId="10145" builtinId="9" hidden="1"/>
    <cellStyle name="Followed Hyperlink" xfId="10146" builtinId="9" hidden="1"/>
    <cellStyle name="Followed Hyperlink" xfId="10147" builtinId="9" hidden="1"/>
    <cellStyle name="Followed Hyperlink" xfId="10148" builtinId="9" hidden="1"/>
    <cellStyle name="Followed Hyperlink" xfId="10149" builtinId="9" hidden="1"/>
    <cellStyle name="Followed Hyperlink" xfId="10150" builtinId="9" hidden="1"/>
    <cellStyle name="Followed Hyperlink" xfId="10151" builtinId="9" hidden="1"/>
    <cellStyle name="Followed Hyperlink" xfId="10152" builtinId="9" hidden="1"/>
    <cellStyle name="Followed Hyperlink" xfId="10153" builtinId="9" hidden="1"/>
    <cellStyle name="Followed Hyperlink" xfId="10154" builtinId="9" hidden="1"/>
    <cellStyle name="Followed Hyperlink" xfId="10155" builtinId="9" hidden="1"/>
    <cellStyle name="Followed Hyperlink" xfId="10156" builtinId="9" hidden="1"/>
    <cellStyle name="Followed Hyperlink" xfId="10157" builtinId="9" hidden="1"/>
    <cellStyle name="Followed Hyperlink" xfId="10158" builtinId="9" hidden="1"/>
    <cellStyle name="Followed Hyperlink" xfId="10159" builtinId="9" hidden="1"/>
    <cellStyle name="Followed Hyperlink" xfId="10160" builtinId="9" hidden="1"/>
    <cellStyle name="Followed Hyperlink" xfId="10161" builtinId="9" hidden="1"/>
    <cellStyle name="Followed Hyperlink" xfId="10162" builtinId="9" hidden="1"/>
    <cellStyle name="Followed Hyperlink" xfId="10163" builtinId="9" hidden="1"/>
    <cellStyle name="Followed Hyperlink" xfId="10164" builtinId="9" hidden="1"/>
    <cellStyle name="Followed Hyperlink" xfId="10165" builtinId="9" hidden="1"/>
    <cellStyle name="Followed Hyperlink" xfId="10166" builtinId="9" hidden="1"/>
    <cellStyle name="Followed Hyperlink" xfId="10167" builtinId="9" hidden="1"/>
    <cellStyle name="Followed Hyperlink" xfId="10168" builtinId="9" hidden="1"/>
    <cellStyle name="Followed Hyperlink" xfId="10169" builtinId="9" hidden="1"/>
    <cellStyle name="Followed Hyperlink" xfId="10170" builtinId="9" hidden="1"/>
    <cellStyle name="Followed Hyperlink" xfId="10171" builtinId="9" hidden="1"/>
    <cellStyle name="Followed Hyperlink" xfId="10172" builtinId="9" hidden="1"/>
    <cellStyle name="Followed Hyperlink" xfId="10173" builtinId="9" hidden="1"/>
    <cellStyle name="Followed Hyperlink" xfId="10174" builtinId="9" hidden="1"/>
    <cellStyle name="Followed Hyperlink" xfId="10175" builtinId="9" hidden="1"/>
    <cellStyle name="Followed Hyperlink" xfId="10176" builtinId="9" hidden="1"/>
    <cellStyle name="Followed Hyperlink" xfId="10177" builtinId="9" hidden="1"/>
    <cellStyle name="Followed Hyperlink" xfId="10178" builtinId="9" hidden="1"/>
    <cellStyle name="Followed Hyperlink" xfId="10179" builtinId="9" hidden="1"/>
    <cellStyle name="Followed Hyperlink" xfId="10180" builtinId="9" hidden="1"/>
    <cellStyle name="Followed Hyperlink" xfId="10181" builtinId="9" hidden="1"/>
    <cellStyle name="Followed Hyperlink" xfId="10182" builtinId="9" hidden="1"/>
    <cellStyle name="Followed Hyperlink" xfId="10183" builtinId="9" hidden="1"/>
    <cellStyle name="Followed Hyperlink" xfId="10184" builtinId="9" hidden="1"/>
    <cellStyle name="Followed Hyperlink" xfId="10185" builtinId="9" hidden="1"/>
    <cellStyle name="Followed Hyperlink" xfId="10186" builtinId="9" hidden="1"/>
    <cellStyle name="Followed Hyperlink" xfId="10187" builtinId="9" hidden="1"/>
    <cellStyle name="Followed Hyperlink" xfId="10188" builtinId="9" hidden="1"/>
    <cellStyle name="Followed Hyperlink" xfId="10189" builtinId="9" hidden="1"/>
    <cellStyle name="Followed Hyperlink" xfId="10190" builtinId="9" hidden="1"/>
    <cellStyle name="Followed Hyperlink" xfId="10191" builtinId="9" hidden="1"/>
    <cellStyle name="Followed Hyperlink" xfId="10192" builtinId="9" hidden="1"/>
    <cellStyle name="Followed Hyperlink" xfId="10193" builtinId="9" hidden="1"/>
    <cellStyle name="Followed Hyperlink" xfId="10194" builtinId="9" hidden="1"/>
    <cellStyle name="Followed Hyperlink" xfId="10195" builtinId="9" hidden="1"/>
    <cellStyle name="Followed Hyperlink" xfId="10198" builtinId="9" hidden="1"/>
    <cellStyle name="Followed Hyperlink" xfId="10200" builtinId="9" hidden="1"/>
    <cellStyle name="Followed Hyperlink" xfId="10202" builtinId="9" hidden="1"/>
    <cellStyle name="Followed Hyperlink" xfId="10204" builtinId="9" hidden="1"/>
    <cellStyle name="Followed Hyperlink" xfId="10206" builtinId="9" hidden="1"/>
    <cellStyle name="Followed Hyperlink" xfId="10208" builtinId="9" hidden="1"/>
    <cellStyle name="Followed Hyperlink" xfId="10210" builtinId="9" hidden="1"/>
    <cellStyle name="Followed Hyperlink" xfId="10212" builtinId="9" hidden="1"/>
    <cellStyle name="Followed Hyperlink" xfId="10214" builtinId="9" hidden="1"/>
    <cellStyle name="Followed Hyperlink" xfId="10216" builtinId="9" hidden="1"/>
    <cellStyle name="Followed Hyperlink" xfId="10218" builtinId="9" hidden="1"/>
    <cellStyle name="Followed Hyperlink" xfId="10220" builtinId="9" hidden="1"/>
    <cellStyle name="Followed Hyperlink" xfId="10222" builtinId="9" hidden="1"/>
    <cellStyle name="Followed Hyperlink" xfId="10224" builtinId="9" hidden="1"/>
    <cellStyle name="Followed Hyperlink" xfId="10226" builtinId="9" hidden="1"/>
    <cellStyle name="Followed Hyperlink" xfId="10228" builtinId="9" hidden="1"/>
    <cellStyle name="Followed Hyperlink" xfId="10230" builtinId="9" hidden="1"/>
    <cellStyle name="Followed Hyperlink" xfId="10232" builtinId="9" hidden="1"/>
    <cellStyle name="Followed Hyperlink" xfId="10234" builtinId="9" hidden="1"/>
    <cellStyle name="Followed Hyperlink" xfId="10236" builtinId="9" hidden="1"/>
    <cellStyle name="Followed Hyperlink" xfId="10238" builtinId="9" hidden="1"/>
    <cellStyle name="Followed Hyperlink" xfId="10240" builtinId="9" hidden="1"/>
    <cellStyle name="Followed Hyperlink" xfId="10242" builtinId="9" hidden="1"/>
    <cellStyle name="Followed Hyperlink" xfId="10244" builtinId="9" hidden="1"/>
    <cellStyle name="Followed Hyperlink" xfId="10246" builtinId="9" hidden="1"/>
    <cellStyle name="Followed Hyperlink" xfId="10248" builtinId="9" hidden="1"/>
    <cellStyle name="Followed Hyperlink" xfId="10250" builtinId="9" hidden="1"/>
    <cellStyle name="Followed Hyperlink" xfId="10252" builtinId="9" hidden="1"/>
    <cellStyle name="Followed Hyperlink" xfId="10254" builtinId="9" hidden="1"/>
    <cellStyle name="Followed Hyperlink" xfId="10256" builtinId="9" hidden="1"/>
    <cellStyle name="Followed Hyperlink" xfId="10258" builtinId="9" hidden="1"/>
    <cellStyle name="Followed Hyperlink" xfId="10260" builtinId="9" hidden="1"/>
    <cellStyle name="Followed Hyperlink" xfId="10262" builtinId="9" hidden="1"/>
    <cellStyle name="Followed Hyperlink" xfId="10264" builtinId="9" hidden="1"/>
    <cellStyle name="Followed Hyperlink" xfId="10266" builtinId="9" hidden="1"/>
    <cellStyle name="Followed Hyperlink" xfId="10268" builtinId="9" hidden="1"/>
    <cellStyle name="Followed Hyperlink" xfId="10270" builtinId="9" hidden="1"/>
    <cellStyle name="Followed Hyperlink" xfId="10272" builtinId="9" hidden="1"/>
    <cellStyle name="Followed Hyperlink" xfId="10274" builtinId="9" hidden="1"/>
    <cellStyle name="Followed Hyperlink" xfId="10276" builtinId="9" hidden="1"/>
    <cellStyle name="Followed Hyperlink" xfId="10278" builtinId="9" hidden="1"/>
    <cellStyle name="Followed Hyperlink" xfId="10280" builtinId="9" hidden="1"/>
    <cellStyle name="Followed Hyperlink" xfId="10282" builtinId="9" hidden="1"/>
    <cellStyle name="Followed Hyperlink" xfId="10284" builtinId="9" hidden="1"/>
    <cellStyle name="Followed Hyperlink" xfId="10286" builtinId="9" hidden="1"/>
    <cellStyle name="Followed Hyperlink" xfId="10288" builtinId="9" hidden="1"/>
    <cellStyle name="Followed Hyperlink" xfId="10290" builtinId="9" hidden="1"/>
    <cellStyle name="Followed Hyperlink" xfId="10292" builtinId="9" hidden="1"/>
    <cellStyle name="Followed Hyperlink" xfId="10294" builtinId="9" hidden="1"/>
    <cellStyle name="Followed Hyperlink" xfId="10296" builtinId="9" hidden="1"/>
    <cellStyle name="Followed Hyperlink" xfId="10298" builtinId="9" hidden="1"/>
    <cellStyle name="Followed Hyperlink" xfId="10300" builtinId="9" hidden="1"/>
    <cellStyle name="Followed Hyperlink" xfId="10302" builtinId="9" hidden="1"/>
    <cellStyle name="Followed Hyperlink" xfId="10304" builtinId="9" hidden="1"/>
    <cellStyle name="Followed Hyperlink" xfId="10306" builtinId="9" hidden="1"/>
    <cellStyle name="Followed Hyperlink" xfId="10308" builtinId="9" hidden="1"/>
    <cellStyle name="Followed Hyperlink" xfId="10310" builtinId="9" hidden="1"/>
    <cellStyle name="Followed Hyperlink" xfId="10312" builtinId="9" hidden="1"/>
    <cellStyle name="Followed Hyperlink" xfId="10314" builtinId="9" hidden="1"/>
    <cellStyle name="Followed Hyperlink" xfId="10316" builtinId="9" hidden="1"/>
    <cellStyle name="Followed Hyperlink" xfId="10318" builtinId="9" hidden="1"/>
    <cellStyle name="Followed Hyperlink" xfId="10320" builtinId="9" hidden="1"/>
    <cellStyle name="Followed Hyperlink" xfId="10322" builtinId="9" hidden="1"/>
    <cellStyle name="Followed Hyperlink" xfId="10324" builtinId="9" hidden="1"/>
    <cellStyle name="Followed Hyperlink" xfId="10326" builtinId="9" hidden="1"/>
    <cellStyle name="Followed Hyperlink" xfId="10328" builtinId="9" hidden="1"/>
    <cellStyle name="Followed Hyperlink" xfId="10330" builtinId="9" hidden="1"/>
    <cellStyle name="Followed Hyperlink" xfId="10332" builtinId="9" hidden="1"/>
    <cellStyle name="Followed Hyperlink" xfId="10334" builtinId="9" hidden="1"/>
    <cellStyle name="Followed Hyperlink" xfId="10336" builtinId="9" hidden="1"/>
    <cellStyle name="Followed Hyperlink" xfId="10338" builtinId="9" hidden="1"/>
    <cellStyle name="Followed Hyperlink" xfId="10340" builtinId="9" hidden="1"/>
    <cellStyle name="Followed Hyperlink" xfId="10342" builtinId="9" hidden="1"/>
    <cellStyle name="Followed Hyperlink" xfId="10344" builtinId="9" hidden="1"/>
    <cellStyle name="Followed Hyperlink" xfId="10346" builtinId="9" hidden="1"/>
    <cellStyle name="Followed Hyperlink" xfId="10348" builtinId="9" hidden="1"/>
    <cellStyle name="Followed Hyperlink" xfId="10350" builtinId="9" hidden="1"/>
    <cellStyle name="Followed Hyperlink" xfId="10352" builtinId="9" hidden="1"/>
    <cellStyle name="Followed Hyperlink" xfId="10354" builtinId="9" hidden="1"/>
    <cellStyle name="Followed Hyperlink" xfId="10356" builtinId="9" hidden="1"/>
    <cellStyle name="Followed Hyperlink" xfId="10358" builtinId="9" hidden="1"/>
    <cellStyle name="Followed Hyperlink" xfId="10360" builtinId="9" hidden="1"/>
    <cellStyle name="Followed Hyperlink" xfId="10362" builtinId="9" hidden="1"/>
    <cellStyle name="Followed Hyperlink" xfId="10364" builtinId="9" hidden="1"/>
    <cellStyle name="Followed Hyperlink" xfId="10366" builtinId="9" hidden="1"/>
    <cellStyle name="Followed Hyperlink" xfId="10368" builtinId="9" hidden="1"/>
    <cellStyle name="Followed Hyperlink" xfId="10370" builtinId="9" hidden="1"/>
    <cellStyle name="Followed Hyperlink" xfId="10372" builtinId="9" hidden="1"/>
    <cellStyle name="Followed Hyperlink" xfId="10374" builtinId="9" hidden="1"/>
    <cellStyle name="Followed Hyperlink" xfId="10376" builtinId="9" hidden="1"/>
    <cellStyle name="Followed Hyperlink" xfId="10378" builtinId="9" hidden="1"/>
    <cellStyle name="Followed Hyperlink" xfId="10380" builtinId="9" hidden="1"/>
    <cellStyle name="Followed Hyperlink" xfId="10382" builtinId="9" hidden="1"/>
    <cellStyle name="Followed Hyperlink" xfId="10384" builtinId="9" hidden="1"/>
    <cellStyle name="Followed Hyperlink" xfId="10386" builtinId="9" hidden="1"/>
    <cellStyle name="Followed Hyperlink" xfId="10388" builtinId="9" hidden="1"/>
    <cellStyle name="Followed Hyperlink" xfId="10390" builtinId="9" hidden="1"/>
    <cellStyle name="Followed Hyperlink" xfId="10392" builtinId="9" hidden="1"/>
    <cellStyle name="Followed Hyperlink" xfId="10394" builtinId="9" hidden="1"/>
    <cellStyle name="Followed Hyperlink" xfId="10396" builtinId="9" hidden="1"/>
    <cellStyle name="Followed Hyperlink" xfId="10398" builtinId="9" hidden="1"/>
    <cellStyle name="Followed Hyperlink" xfId="10400" builtinId="9" hidden="1"/>
    <cellStyle name="Followed Hyperlink" xfId="10402" builtinId="9" hidden="1"/>
    <cellStyle name="Followed Hyperlink" xfId="10404" builtinId="9" hidden="1"/>
    <cellStyle name="Followed Hyperlink" xfId="10406" builtinId="9" hidden="1"/>
    <cellStyle name="Followed Hyperlink" xfId="10408" builtinId="9" hidden="1"/>
    <cellStyle name="Followed Hyperlink" xfId="10410" builtinId="9" hidden="1"/>
    <cellStyle name="Followed Hyperlink" xfId="10412" builtinId="9" hidden="1"/>
    <cellStyle name="Followed Hyperlink" xfId="10414" builtinId="9" hidden="1"/>
    <cellStyle name="Followed Hyperlink" xfId="10416" builtinId="9" hidden="1"/>
    <cellStyle name="Followed Hyperlink" xfId="10420" builtinId="9" hidden="1"/>
    <cellStyle name="Followed Hyperlink" xfId="10422" builtinId="9" hidden="1"/>
    <cellStyle name="Followed Hyperlink" xfId="10424" builtinId="9" hidden="1"/>
    <cellStyle name="Followed Hyperlink" xfId="10426" builtinId="9" hidden="1"/>
    <cellStyle name="Followed Hyperlink" xfId="10428" builtinId="9" hidden="1"/>
    <cellStyle name="Followed Hyperlink" xfId="10430" builtinId="9" hidden="1"/>
    <cellStyle name="Followed Hyperlink" xfId="10432" builtinId="9" hidden="1"/>
    <cellStyle name="Followed Hyperlink" xfId="10434" builtinId="9" hidden="1"/>
    <cellStyle name="Followed Hyperlink" xfId="10436" builtinId="9" hidden="1"/>
    <cellStyle name="Followed Hyperlink" xfId="10438" builtinId="9" hidden="1"/>
    <cellStyle name="Followed Hyperlink" xfId="10440" builtinId="9" hidden="1"/>
    <cellStyle name="Followed Hyperlink" xfId="10442" builtinId="9" hidden="1"/>
    <cellStyle name="Followed Hyperlink" xfId="10444" builtinId="9" hidden="1"/>
    <cellStyle name="Followed Hyperlink" xfId="10446" builtinId="9" hidden="1"/>
    <cellStyle name="Followed Hyperlink" xfId="10448" builtinId="9" hidden="1"/>
    <cellStyle name="Followed Hyperlink" xfId="10450" builtinId="9" hidden="1"/>
    <cellStyle name="Followed Hyperlink" xfId="10452" builtinId="9" hidden="1"/>
    <cellStyle name="Followed Hyperlink" xfId="10454" builtinId="9" hidden="1"/>
    <cellStyle name="Followed Hyperlink" xfId="10456" builtinId="9" hidden="1"/>
    <cellStyle name="Followed Hyperlink" xfId="10458" builtinId="9" hidden="1"/>
    <cellStyle name="Followed Hyperlink" xfId="10460" builtinId="9" hidden="1"/>
    <cellStyle name="Followed Hyperlink" xfId="10462" builtinId="9" hidden="1"/>
    <cellStyle name="Followed Hyperlink" xfId="10464" builtinId="9" hidden="1"/>
    <cellStyle name="Followed Hyperlink" xfId="10466" builtinId="9" hidden="1"/>
    <cellStyle name="Followed Hyperlink" xfId="10468" builtinId="9" hidden="1"/>
    <cellStyle name="Followed Hyperlink" xfId="10470" builtinId="9" hidden="1"/>
    <cellStyle name="Followed Hyperlink" xfId="10472" builtinId="9" hidden="1"/>
    <cellStyle name="Followed Hyperlink" xfId="10474" builtinId="9" hidden="1"/>
    <cellStyle name="Followed Hyperlink" xfId="10476" builtinId="9" hidden="1"/>
    <cellStyle name="Followed Hyperlink" xfId="10478" builtinId="9" hidden="1"/>
    <cellStyle name="Followed Hyperlink" xfId="10480" builtinId="9" hidden="1"/>
    <cellStyle name="Followed Hyperlink" xfId="10482" builtinId="9" hidden="1"/>
    <cellStyle name="Followed Hyperlink" xfId="10484" builtinId="9" hidden="1"/>
    <cellStyle name="Followed Hyperlink" xfId="10486" builtinId="9" hidden="1"/>
    <cellStyle name="Followed Hyperlink" xfId="10488" builtinId="9" hidden="1"/>
    <cellStyle name="Followed Hyperlink" xfId="10490" builtinId="9" hidden="1"/>
    <cellStyle name="Followed Hyperlink" xfId="10492" builtinId="9" hidden="1"/>
    <cellStyle name="Followed Hyperlink" xfId="10494" builtinId="9" hidden="1"/>
    <cellStyle name="Followed Hyperlink" xfId="10496" builtinId="9" hidden="1"/>
    <cellStyle name="Followed Hyperlink" xfId="10498" builtinId="9" hidden="1"/>
    <cellStyle name="Followed Hyperlink" xfId="10500" builtinId="9" hidden="1"/>
    <cellStyle name="Followed Hyperlink" xfId="10502" builtinId="9" hidden="1"/>
    <cellStyle name="Followed Hyperlink" xfId="10504" builtinId="9" hidden="1"/>
    <cellStyle name="Followed Hyperlink" xfId="10506" builtinId="9" hidden="1"/>
    <cellStyle name="Followed Hyperlink" xfId="10508" builtinId="9" hidden="1"/>
    <cellStyle name="Followed Hyperlink" xfId="10510" builtinId="9" hidden="1"/>
    <cellStyle name="Followed Hyperlink" xfId="10512" builtinId="9" hidden="1"/>
    <cellStyle name="Followed Hyperlink" xfId="10514" builtinId="9" hidden="1"/>
    <cellStyle name="Followed Hyperlink" xfId="10516" builtinId="9" hidden="1"/>
    <cellStyle name="Followed Hyperlink" xfId="10518" builtinId="9" hidden="1"/>
    <cellStyle name="Followed Hyperlink" xfId="10520" builtinId="9" hidden="1"/>
    <cellStyle name="Followed Hyperlink" xfId="10522" builtinId="9" hidden="1"/>
    <cellStyle name="Followed Hyperlink" xfId="10524" builtinId="9" hidden="1"/>
    <cellStyle name="Followed Hyperlink" xfId="10526" builtinId="9" hidden="1"/>
    <cellStyle name="Followed Hyperlink" xfId="10528" builtinId="9" hidden="1"/>
    <cellStyle name="Followed Hyperlink" xfId="10530" builtinId="9" hidden="1"/>
    <cellStyle name="Followed Hyperlink" xfId="10532" builtinId="9" hidden="1"/>
    <cellStyle name="Followed Hyperlink" xfId="10534" builtinId="9" hidden="1"/>
    <cellStyle name="Followed Hyperlink" xfId="10536" builtinId="9" hidden="1"/>
    <cellStyle name="Followed Hyperlink" xfId="10538" builtinId="9" hidden="1"/>
    <cellStyle name="Followed Hyperlink" xfId="10540" builtinId="9" hidden="1"/>
    <cellStyle name="Followed Hyperlink" xfId="10542" builtinId="9" hidden="1"/>
    <cellStyle name="Followed Hyperlink" xfId="10544" builtinId="9" hidden="1"/>
    <cellStyle name="Followed Hyperlink" xfId="10546" builtinId="9" hidden="1"/>
    <cellStyle name="Followed Hyperlink" xfId="10548" builtinId="9" hidden="1"/>
    <cellStyle name="Followed Hyperlink" xfId="10550" builtinId="9" hidden="1"/>
    <cellStyle name="Followed Hyperlink" xfId="10552" builtinId="9" hidden="1"/>
    <cellStyle name="Followed Hyperlink" xfId="10554" builtinId="9" hidden="1"/>
    <cellStyle name="Followed Hyperlink" xfId="10556" builtinId="9" hidden="1"/>
    <cellStyle name="Followed Hyperlink" xfId="10558" builtinId="9" hidden="1"/>
    <cellStyle name="Followed Hyperlink" xfId="10560" builtinId="9" hidden="1"/>
    <cellStyle name="Followed Hyperlink" xfId="10562" builtinId="9" hidden="1"/>
    <cellStyle name="Followed Hyperlink" xfId="10564" builtinId="9" hidden="1"/>
    <cellStyle name="Followed Hyperlink" xfId="10566" builtinId="9" hidden="1"/>
    <cellStyle name="Followed Hyperlink" xfId="10568" builtinId="9" hidden="1"/>
    <cellStyle name="Followed Hyperlink" xfId="10570" builtinId="9" hidden="1"/>
    <cellStyle name="Followed Hyperlink" xfId="10572" builtinId="9" hidden="1"/>
    <cellStyle name="Followed Hyperlink" xfId="10574" builtinId="9" hidden="1"/>
    <cellStyle name="Followed Hyperlink" xfId="10576" builtinId="9" hidden="1"/>
    <cellStyle name="Followed Hyperlink" xfId="10578" builtinId="9" hidden="1"/>
    <cellStyle name="Followed Hyperlink" xfId="10580" builtinId="9" hidden="1"/>
    <cellStyle name="Followed Hyperlink" xfId="10582" builtinId="9" hidden="1"/>
    <cellStyle name="Followed Hyperlink" xfId="10584" builtinId="9" hidden="1"/>
    <cellStyle name="Followed Hyperlink" xfId="10586" builtinId="9" hidden="1"/>
    <cellStyle name="Followed Hyperlink" xfId="10588" builtinId="9" hidden="1"/>
    <cellStyle name="Followed Hyperlink" xfId="10590" builtinId="9" hidden="1"/>
    <cellStyle name="Followed Hyperlink" xfId="10592" builtinId="9" hidden="1"/>
    <cellStyle name="Followed Hyperlink" xfId="10594" builtinId="9" hidden="1"/>
    <cellStyle name="Followed Hyperlink" xfId="10596" builtinId="9" hidden="1"/>
    <cellStyle name="Followed Hyperlink" xfId="10598" builtinId="9" hidden="1"/>
    <cellStyle name="Followed Hyperlink" xfId="10600" builtinId="9" hidden="1"/>
    <cellStyle name="Followed Hyperlink" xfId="10602" builtinId="9" hidden="1"/>
    <cellStyle name="Followed Hyperlink" xfId="10604" builtinId="9" hidden="1"/>
    <cellStyle name="Followed Hyperlink" xfId="10606" builtinId="9" hidden="1"/>
    <cellStyle name="Followed Hyperlink" xfId="10608" builtinId="9" hidden="1"/>
    <cellStyle name="Followed Hyperlink" xfId="10610" builtinId="9" hidden="1"/>
    <cellStyle name="Followed Hyperlink" xfId="10612" builtinId="9" hidden="1"/>
    <cellStyle name="Followed Hyperlink" xfId="10614" builtinId="9" hidden="1"/>
    <cellStyle name="Followed Hyperlink" xfId="10616" builtinId="9" hidden="1"/>
    <cellStyle name="Followed Hyperlink" xfId="10618" builtinId="9" hidden="1"/>
    <cellStyle name="Followed Hyperlink" xfId="10620" builtinId="9" hidden="1"/>
    <cellStyle name="Followed Hyperlink" xfId="10622" builtinId="9" hidden="1"/>
    <cellStyle name="Followed Hyperlink" xfId="10624" builtinId="9" hidden="1"/>
    <cellStyle name="Followed Hyperlink" xfId="10626" builtinId="9" hidden="1"/>
    <cellStyle name="Followed Hyperlink" xfId="10628" builtinId="9" hidden="1"/>
    <cellStyle name="Followed Hyperlink" xfId="10630" builtinId="9" hidden="1"/>
    <cellStyle name="Followed Hyperlink" xfId="10632" builtinId="9" hidden="1"/>
    <cellStyle name="Followed Hyperlink" xfId="10634" builtinId="9" hidden="1"/>
    <cellStyle name="Followed Hyperlink" xfId="10636" builtinId="9" hidden="1"/>
    <cellStyle name="Followed Hyperlink" xfId="10638" builtinId="9" hidden="1"/>
    <cellStyle name="Followed Hyperlink" xfId="10637" builtinId="9" hidden="1"/>
    <cellStyle name="Followed Hyperlink" xfId="10633" builtinId="9" hidden="1"/>
    <cellStyle name="Followed Hyperlink" xfId="10629" builtinId="9" hidden="1"/>
    <cellStyle name="Followed Hyperlink" xfId="10625" builtinId="9" hidden="1"/>
    <cellStyle name="Followed Hyperlink" xfId="10621" builtinId="9" hidden="1"/>
    <cellStyle name="Followed Hyperlink" xfId="10617" builtinId="9" hidden="1"/>
    <cellStyle name="Followed Hyperlink" xfId="10613" builtinId="9" hidden="1"/>
    <cellStyle name="Followed Hyperlink" xfId="10609" builtinId="9" hidden="1"/>
    <cellStyle name="Followed Hyperlink" xfId="10605" builtinId="9" hidden="1"/>
    <cellStyle name="Followed Hyperlink" xfId="10601" builtinId="9" hidden="1"/>
    <cellStyle name="Followed Hyperlink" xfId="10597" builtinId="9" hidden="1"/>
    <cellStyle name="Followed Hyperlink" xfId="10593" builtinId="9" hidden="1"/>
    <cellStyle name="Followed Hyperlink" xfId="10589" builtinId="9" hidden="1"/>
    <cellStyle name="Followed Hyperlink" xfId="10585" builtinId="9" hidden="1"/>
    <cellStyle name="Followed Hyperlink" xfId="10581" builtinId="9" hidden="1"/>
    <cellStyle name="Followed Hyperlink" xfId="10577" builtinId="9" hidden="1"/>
    <cellStyle name="Followed Hyperlink" xfId="10573" builtinId="9" hidden="1"/>
    <cellStyle name="Followed Hyperlink" xfId="10569" builtinId="9" hidden="1"/>
    <cellStyle name="Followed Hyperlink" xfId="10565" builtinId="9" hidden="1"/>
    <cellStyle name="Followed Hyperlink" xfId="10561" builtinId="9" hidden="1"/>
    <cellStyle name="Followed Hyperlink" xfId="10557" builtinId="9" hidden="1"/>
    <cellStyle name="Followed Hyperlink" xfId="10553" builtinId="9" hidden="1"/>
    <cellStyle name="Followed Hyperlink" xfId="10549" builtinId="9" hidden="1"/>
    <cellStyle name="Followed Hyperlink" xfId="10545" builtinId="9" hidden="1"/>
    <cellStyle name="Followed Hyperlink" xfId="10541" builtinId="9" hidden="1"/>
    <cellStyle name="Followed Hyperlink" xfId="10537" builtinId="9" hidden="1"/>
    <cellStyle name="Followed Hyperlink" xfId="10533" builtinId="9" hidden="1"/>
    <cellStyle name="Followed Hyperlink" xfId="10529" builtinId="9" hidden="1"/>
    <cellStyle name="Followed Hyperlink" xfId="10525" builtinId="9" hidden="1"/>
    <cellStyle name="Followed Hyperlink" xfId="10521" builtinId="9" hidden="1"/>
    <cellStyle name="Followed Hyperlink" xfId="10517" builtinId="9" hidden="1"/>
    <cellStyle name="Followed Hyperlink" xfId="10513" builtinId="9" hidden="1"/>
    <cellStyle name="Followed Hyperlink" xfId="10509" builtinId="9" hidden="1"/>
    <cellStyle name="Followed Hyperlink" xfId="10505" builtinId="9" hidden="1"/>
    <cellStyle name="Followed Hyperlink" xfId="10501" builtinId="9" hidden="1"/>
    <cellStyle name="Followed Hyperlink" xfId="10497" builtinId="9" hidden="1"/>
    <cellStyle name="Followed Hyperlink" xfId="10493" builtinId="9" hidden="1"/>
    <cellStyle name="Followed Hyperlink" xfId="10489" builtinId="9" hidden="1"/>
    <cellStyle name="Followed Hyperlink" xfId="10485" builtinId="9" hidden="1"/>
    <cellStyle name="Followed Hyperlink" xfId="10481" builtinId="9" hidden="1"/>
    <cellStyle name="Followed Hyperlink" xfId="10477" builtinId="9" hidden="1"/>
    <cellStyle name="Followed Hyperlink" xfId="10473" builtinId="9" hidden="1"/>
    <cellStyle name="Followed Hyperlink" xfId="10469" builtinId="9" hidden="1"/>
    <cellStyle name="Followed Hyperlink" xfId="10465" builtinId="9" hidden="1"/>
    <cellStyle name="Followed Hyperlink" xfId="10461" builtinId="9" hidden="1"/>
    <cellStyle name="Followed Hyperlink" xfId="10457" builtinId="9" hidden="1"/>
    <cellStyle name="Followed Hyperlink" xfId="10453" builtinId="9" hidden="1"/>
    <cellStyle name="Followed Hyperlink" xfId="10449" builtinId="9" hidden="1"/>
    <cellStyle name="Followed Hyperlink" xfId="10445" builtinId="9" hidden="1"/>
    <cellStyle name="Followed Hyperlink" xfId="10441" builtinId="9" hidden="1"/>
    <cellStyle name="Followed Hyperlink" xfId="10437" builtinId="9" hidden="1"/>
    <cellStyle name="Followed Hyperlink" xfId="10433" builtinId="9" hidden="1"/>
    <cellStyle name="Followed Hyperlink" xfId="10429" builtinId="9" hidden="1"/>
    <cellStyle name="Followed Hyperlink" xfId="10425" builtinId="9" hidden="1"/>
    <cellStyle name="Followed Hyperlink" xfId="10421" builtinId="9" hidden="1"/>
    <cellStyle name="Followed Hyperlink" xfId="10639" builtinId="9" hidden="1"/>
    <cellStyle name="Followed Hyperlink" xfId="10197" builtinId="9" hidden="1"/>
    <cellStyle name="Followed Hyperlink" xfId="10640" builtinId="9" hidden="1"/>
    <cellStyle name="Followed Hyperlink" xfId="10644" builtinId="9" hidden="1"/>
    <cellStyle name="Followed Hyperlink" xfId="10646" builtinId="9" hidden="1"/>
    <cellStyle name="Followed Hyperlink" xfId="10648" builtinId="9" hidden="1"/>
    <cellStyle name="Followed Hyperlink" xfId="10650" builtinId="9" hidden="1"/>
    <cellStyle name="Followed Hyperlink" xfId="10652" builtinId="9" hidden="1"/>
    <cellStyle name="Followed Hyperlink" xfId="10654" builtinId="9" hidden="1"/>
    <cellStyle name="Followed Hyperlink" xfId="10656" builtinId="9" hidden="1"/>
    <cellStyle name="Followed Hyperlink" xfId="10658" builtinId="9" hidden="1"/>
    <cellStyle name="Followed Hyperlink" xfId="10660" builtinId="9" hidden="1"/>
    <cellStyle name="Followed Hyperlink" xfId="10662" builtinId="9" hidden="1"/>
    <cellStyle name="Followed Hyperlink" xfId="10664" builtinId="9" hidden="1"/>
    <cellStyle name="Followed Hyperlink" xfId="10666" builtinId="9" hidden="1"/>
    <cellStyle name="Followed Hyperlink" xfId="10668" builtinId="9" hidden="1"/>
    <cellStyle name="Followed Hyperlink" xfId="10670" builtinId="9" hidden="1"/>
    <cellStyle name="Followed Hyperlink" xfId="10672" builtinId="9" hidden="1"/>
    <cellStyle name="Followed Hyperlink" xfId="10674" builtinId="9" hidden="1"/>
    <cellStyle name="Followed Hyperlink" xfId="10676" builtinId="9" hidden="1"/>
    <cellStyle name="Followed Hyperlink" xfId="10678" builtinId="9" hidden="1"/>
    <cellStyle name="Followed Hyperlink" xfId="10680" builtinId="9" hidden="1"/>
    <cellStyle name="Followed Hyperlink" xfId="10682" builtinId="9" hidden="1"/>
    <cellStyle name="Followed Hyperlink" xfId="10684" builtinId="9" hidden="1"/>
    <cellStyle name="Followed Hyperlink" xfId="10686" builtinId="9" hidden="1"/>
    <cellStyle name="Followed Hyperlink" xfId="10688" builtinId="9" hidden="1"/>
    <cellStyle name="Followed Hyperlink" xfId="10690" builtinId="9" hidden="1"/>
    <cellStyle name="Followed Hyperlink" xfId="10692" builtinId="9" hidden="1"/>
    <cellStyle name="Followed Hyperlink" xfId="10694" builtinId="9" hidden="1"/>
    <cellStyle name="Followed Hyperlink" xfId="10696" builtinId="9" hidden="1"/>
    <cellStyle name="Followed Hyperlink" xfId="10698" builtinId="9" hidden="1"/>
    <cellStyle name="Followed Hyperlink" xfId="10700" builtinId="9" hidden="1"/>
    <cellStyle name="Followed Hyperlink" xfId="10702" builtinId="9" hidden="1"/>
    <cellStyle name="Followed Hyperlink" xfId="10704" builtinId="9" hidden="1"/>
    <cellStyle name="Followed Hyperlink" xfId="10706" builtinId="9" hidden="1"/>
    <cellStyle name="Followed Hyperlink" xfId="10708" builtinId="9" hidden="1"/>
    <cellStyle name="Followed Hyperlink" xfId="10710" builtinId="9" hidden="1"/>
    <cellStyle name="Followed Hyperlink" xfId="10712" builtinId="9" hidden="1"/>
    <cellStyle name="Followed Hyperlink" xfId="10714" builtinId="9" hidden="1"/>
    <cellStyle name="Followed Hyperlink" xfId="10716" builtinId="9" hidden="1"/>
    <cellStyle name="Followed Hyperlink" xfId="10718" builtinId="9" hidden="1"/>
    <cellStyle name="Followed Hyperlink" xfId="10720" builtinId="9" hidden="1"/>
    <cellStyle name="Followed Hyperlink" xfId="10722" builtinId="9" hidden="1"/>
    <cellStyle name="Followed Hyperlink" xfId="10724" builtinId="9" hidden="1"/>
    <cellStyle name="Followed Hyperlink" xfId="10726" builtinId="9" hidden="1"/>
    <cellStyle name="Followed Hyperlink" xfId="10728" builtinId="9" hidden="1"/>
    <cellStyle name="Followed Hyperlink" xfId="10730" builtinId="9" hidden="1"/>
    <cellStyle name="Followed Hyperlink" xfId="10732" builtinId="9" hidden="1"/>
    <cellStyle name="Followed Hyperlink" xfId="10734" builtinId="9" hidden="1"/>
    <cellStyle name="Followed Hyperlink" xfId="10736" builtinId="9" hidden="1"/>
    <cellStyle name="Followed Hyperlink" xfId="10738" builtinId="9" hidden="1"/>
    <cellStyle name="Followed Hyperlink" xfId="10740" builtinId="9" hidden="1"/>
    <cellStyle name="Followed Hyperlink" xfId="10742" builtinId="9" hidden="1"/>
    <cellStyle name="Followed Hyperlink" xfId="10744" builtinId="9" hidden="1"/>
    <cellStyle name="Followed Hyperlink" xfId="10746" builtinId="9" hidden="1"/>
    <cellStyle name="Followed Hyperlink" xfId="10749" builtinId="9" hidden="1"/>
    <cellStyle name="Followed Hyperlink" xfId="10750" builtinId="9" hidden="1"/>
    <cellStyle name="Followed Hyperlink" xfId="10751" builtinId="9" hidden="1"/>
    <cellStyle name="Followed Hyperlink" xfId="10752" builtinId="9" hidden="1"/>
    <cellStyle name="Followed Hyperlink" xfId="10753" builtinId="9" hidden="1"/>
    <cellStyle name="Followed Hyperlink" xfId="10754" builtinId="9" hidden="1"/>
    <cellStyle name="Followed Hyperlink" xfId="10755" builtinId="9" hidden="1"/>
    <cellStyle name="Followed Hyperlink" xfId="10756" builtinId="9" hidden="1"/>
    <cellStyle name="Followed Hyperlink" xfId="10757" builtinId="9" hidden="1"/>
    <cellStyle name="Followed Hyperlink" xfId="10758" builtinId="9" hidden="1"/>
    <cellStyle name="Followed Hyperlink" xfId="10759" builtinId="9" hidden="1"/>
    <cellStyle name="Followed Hyperlink" xfId="10760" builtinId="9" hidden="1"/>
    <cellStyle name="Followed Hyperlink" xfId="10761" builtinId="9" hidden="1"/>
    <cellStyle name="Followed Hyperlink" xfId="10762" builtinId="9" hidden="1"/>
    <cellStyle name="Followed Hyperlink" xfId="10763" builtinId="9" hidden="1"/>
    <cellStyle name="Followed Hyperlink" xfId="10764" builtinId="9" hidden="1"/>
    <cellStyle name="Followed Hyperlink" xfId="10765" builtinId="9" hidden="1"/>
    <cellStyle name="Followed Hyperlink" xfId="10766" builtinId="9" hidden="1"/>
    <cellStyle name="Followed Hyperlink" xfId="10767" builtinId="9" hidden="1"/>
    <cellStyle name="Followed Hyperlink" xfId="10768" builtinId="9" hidden="1"/>
    <cellStyle name="Followed Hyperlink" xfId="10769" builtinId="9" hidden="1"/>
    <cellStyle name="Followed Hyperlink" xfId="10770" builtinId="9" hidden="1"/>
    <cellStyle name="Followed Hyperlink" xfId="10771" builtinId="9" hidden="1"/>
    <cellStyle name="Followed Hyperlink" xfId="10772" builtinId="9" hidden="1"/>
    <cellStyle name="Followed Hyperlink" xfId="10773" builtinId="9" hidden="1"/>
    <cellStyle name="Followed Hyperlink" xfId="10774" builtinId="9" hidden="1"/>
    <cellStyle name="Followed Hyperlink" xfId="10775" builtinId="9" hidden="1"/>
    <cellStyle name="Followed Hyperlink" xfId="10776" builtinId="9" hidden="1"/>
    <cellStyle name="Followed Hyperlink" xfId="10777" builtinId="9" hidden="1"/>
    <cellStyle name="Followed Hyperlink" xfId="10778" builtinId="9" hidden="1"/>
    <cellStyle name="Followed Hyperlink" xfId="10779" builtinId="9" hidden="1"/>
    <cellStyle name="Followed Hyperlink" xfId="10780" builtinId="9" hidden="1"/>
    <cellStyle name="Followed Hyperlink" xfId="10781" builtinId="9" hidden="1"/>
    <cellStyle name="Followed Hyperlink" xfId="10782" builtinId="9" hidden="1"/>
    <cellStyle name="Followed Hyperlink" xfId="10783" builtinId="9" hidden="1"/>
    <cellStyle name="Followed Hyperlink" xfId="10784" builtinId="9" hidden="1"/>
    <cellStyle name="Followed Hyperlink" xfId="10785" builtinId="9" hidden="1"/>
    <cellStyle name="Followed Hyperlink" xfId="10786" builtinId="9" hidden="1"/>
    <cellStyle name="Followed Hyperlink" xfId="10787" builtinId="9" hidden="1"/>
    <cellStyle name="Followed Hyperlink" xfId="10788" builtinId="9" hidden="1"/>
    <cellStyle name="Followed Hyperlink" xfId="10789" builtinId="9" hidden="1"/>
    <cellStyle name="Followed Hyperlink" xfId="10814" builtinId="9" hidden="1"/>
    <cellStyle name="Followed Hyperlink" xfId="10815" builtinId="9" hidden="1"/>
    <cellStyle name="Followed Hyperlink" xfId="10816" builtinId="9" hidden="1"/>
    <cellStyle name="Followed Hyperlink" xfId="10817" builtinId="9" hidden="1"/>
    <cellStyle name="Followed Hyperlink" xfId="10818" builtinId="9" hidden="1"/>
    <cellStyle name="Followed Hyperlink" xfId="10819" builtinId="9" hidden="1"/>
    <cellStyle name="Followed Hyperlink" xfId="10820" builtinId="9" hidden="1"/>
    <cellStyle name="Followed Hyperlink" xfId="10821" builtinId="9" hidden="1"/>
    <cellStyle name="Followed Hyperlink" xfId="10822" builtinId="9" hidden="1"/>
    <cellStyle name="Followed Hyperlink" xfId="10823" builtinId="9" hidden="1"/>
    <cellStyle name="Followed Hyperlink" xfId="10824" builtinId="9" hidden="1"/>
    <cellStyle name="Followed Hyperlink" xfId="10825" builtinId="9" hidden="1"/>
    <cellStyle name="Followed Hyperlink" xfId="10826" builtinId="9" hidden="1"/>
    <cellStyle name="Followed Hyperlink" xfId="10827" builtinId="9" hidden="1"/>
    <cellStyle name="Followed Hyperlink" xfId="10828" builtinId="9" hidden="1"/>
    <cellStyle name="Followed Hyperlink" xfId="10829" builtinId="9" hidden="1"/>
    <cellStyle name="Followed Hyperlink" xfId="10830" builtinId="9" hidden="1"/>
    <cellStyle name="Followed Hyperlink" xfId="10831" builtinId="9" hidden="1"/>
    <cellStyle name="Followed Hyperlink" xfId="10832" builtinId="9" hidden="1"/>
    <cellStyle name="Followed Hyperlink" xfId="10833" builtinId="9" hidden="1"/>
    <cellStyle name="Followed Hyperlink" xfId="10834" builtinId="9" hidden="1"/>
    <cellStyle name="Followed Hyperlink" xfId="10835" builtinId="9" hidden="1"/>
    <cellStyle name="Followed Hyperlink" xfId="10836" builtinId="9" hidden="1"/>
    <cellStyle name="Followed Hyperlink" xfId="10837" builtinId="9" hidden="1"/>
    <cellStyle name="Followed Hyperlink" xfId="10838" builtinId="9" hidden="1"/>
    <cellStyle name="Followed Hyperlink" xfId="10839" builtinId="9" hidden="1"/>
    <cellStyle name="Followed Hyperlink" xfId="10840" builtinId="9" hidden="1"/>
    <cellStyle name="Followed Hyperlink" xfId="10841" builtinId="9" hidden="1"/>
    <cellStyle name="Followed Hyperlink" xfId="10842" builtinId="9" hidden="1"/>
    <cellStyle name="Followed Hyperlink" xfId="10843" builtinId="9" hidden="1"/>
    <cellStyle name="Followed Hyperlink" xfId="10844" builtinId="9" hidden="1"/>
    <cellStyle name="Followed Hyperlink" xfId="10845" builtinId="9" hidden="1"/>
    <cellStyle name="Followed Hyperlink" xfId="10846" builtinId="9" hidden="1"/>
    <cellStyle name="Followed Hyperlink" xfId="10847" builtinId="9" hidden="1"/>
    <cellStyle name="Followed Hyperlink" xfId="10848" builtinId="9" hidden="1"/>
    <cellStyle name="Followed Hyperlink" xfId="10849" builtinId="9" hidden="1"/>
    <cellStyle name="Followed Hyperlink" xfId="10850" builtinId="9" hidden="1"/>
    <cellStyle name="Followed Hyperlink" xfId="10851" builtinId="9" hidden="1"/>
    <cellStyle name="Followed Hyperlink" xfId="10852" builtinId="9" hidden="1"/>
    <cellStyle name="Followed Hyperlink" xfId="10853" builtinId="9" hidden="1"/>
    <cellStyle name="Followed Hyperlink" xfId="10854" builtinId="9" hidden="1"/>
    <cellStyle name="Followed Hyperlink" xfId="10855" builtinId="9" hidden="1"/>
    <cellStyle name="Followed Hyperlink" xfId="10856" builtinId="9" hidden="1"/>
    <cellStyle name="Followed Hyperlink" xfId="10857" builtinId="9" hidden="1"/>
    <cellStyle name="Followed Hyperlink" xfId="10858" builtinId="9" hidden="1"/>
    <cellStyle name="Followed Hyperlink" xfId="10859" builtinId="9" hidden="1"/>
    <cellStyle name="Followed Hyperlink" xfId="10860" builtinId="9" hidden="1"/>
    <cellStyle name="Followed Hyperlink" xfId="10861" builtinId="9" hidden="1"/>
    <cellStyle name="Followed Hyperlink" xfId="10862" builtinId="9" hidden="1"/>
    <cellStyle name="Followed Hyperlink" xfId="10863" builtinId="9" hidden="1"/>
    <cellStyle name="Followed Hyperlink" xfId="10864" builtinId="9" hidden="1"/>
    <cellStyle name="Followed Hyperlink" xfId="10865" builtinId="9" hidden="1"/>
    <cellStyle name="Followed Hyperlink" xfId="10866" builtinId="9" hidden="1"/>
    <cellStyle name="Followed Hyperlink" xfId="10867" builtinId="9" hidden="1"/>
    <cellStyle name="Followed Hyperlink" xfId="10868" builtinId="9" hidden="1"/>
    <cellStyle name="Followed Hyperlink" xfId="10869" builtinId="9" hidden="1"/>
    <cellStyle name="Followed Hyperlink" xfId="10870" builtinId="9" hidden="1"/>
    <cellStyle name="Followed Hyperlink" xfId="10871" builtinId="9" hidden="1"/>
    <cellStyle name="Followed Hyperlink" xfId="10872" builtinId="9" hidden="1"/>
    <cellStyle name="Followed Hyperlink" xfId="10873" builtinId="9" hidden="1"/>
    <cellStyle name="Followed Hyperlink" xfId="10874" builtinId="9" hidden="1"/>
    <cellStyle name="Followed Hyperlink" xfId="10875" builtinId="9" hidden="1"/>
    <cellStyle name="Followed Hyperlink" xfId="10876" builtinId="9" hidden="1"/>
    <cellStyle name="Followed Hyperlink" xfId="10877" builtinId="9" hidden="1"/>
    <cellStyle name="Followed Hyperlink" xfId="10878" builtinId="9" hidden="1"/>
    <cellStyle name="Followed Hyperlink" xfId="10879" builtinId="9" hidden="1"/>
    <cellStyle name="Followed Hyperlink" xfId="10880" builtinId="9" hidden="1"/>
    <cellStyle name="Followed Hyperlink" xfId="10881" builtinId="9" hidden="1"/>
    <cellStyle name="Followed Hyperlink" xfId="10882" builtinId="9" hidden="1"/>
    <cellStyle name="Followed Hyperlink" xfId="10883" builtinId="9" hidden="1"/>
    <cellStyle name="Followed Hyperlink" xfId="10884" builtinId="9" hidden="1"/>
    <cellStyle name="Followed Hyperlink" xfId="10885" builtinId="9" hidden="1"/>
    <cellStyle name="Followed Hyperlink" xfId="10886" builtinId="9" hidden="1"/>
    <cellStyle name="Followed Hyperlink" xfId="10887" builtinId="9" hidden="1"/>
    <cellStyle name="Followed Hyperlink" xfId="10888" builtinId="9" hidden="1"/>
    <cellStyle name="Followed Hyperlink" xfId="10889" builtinId="9" hidden="1"/>
    <cellStyle name="Followed Hyperlink" xfId="10890" builtinId="9" hidden="1"/>
    <cellStyle name="Followed Hyperlink" xfId="10891" builtinId="9" hidden="1"/>
    <cellStyle name="Followed Hyperlink" xfId="10892" builtinId="9" hidden="1"/>
    <cellStyle name="Followed Hyperlink" xfId="10893" builtinId="9" hidden="1"/>
    <cellStyle name="Followed Hyperlink" xfId="10894" builtinId="9" hidden="1"/>
    <cellStyle name="Followed Hyperlink" xfId="10895" builtinId="9" hidden="1"/>
    <cellStyle name="Followed Hyperlink" xfId="10896" builtinId="9" hidden="1"/>
    <cellStyle name="Followed Hyperlink" xfId="10897" builtinId="9" hidden="1"/>
    <cellStyle name="Followed Hyperlink" xfId="10898" builtinId="9" hidden="1"/>
    <cellStyle name="Followed Hyperlink" xfId="10899" builtinId="9" hidden="1"/>
    <cellStyle name="Followed Hyperlink" xfId="10900" builtinId="9" hidden="1"/>
    <cellStyle name="Followed Hyperlink" xfId="10901" builtinId="9" hidden="1"/>
    <cellStyle name="Followed Hyperlink" xfId="10902" builtinId="9" hidden="1"/>
    <cellStyle name="Followed Hyperlink" xfId="10903" builtinId="9" hidden="1"/>
    <cellStyle name="Followed Hyperlink" xfId="10904" builtinId="9" hidden="1"/>
    <cellStyle name="Followed Hyperlink" xfId="10905" builtinId="9" hidden="1"/>
    <cellStyle name="Followed Hyperlink" xfId="10906" builtinId="9" hidden="1"/>
    <cellStyle name="Followed Hyperlink" xfId="10907" builtinId="9" hidden="1"/>
    <cellStyle name="Followed Hyperlink" xfId="10908" builtinId="9" hidden="1"/>
    <cellStyle name="Followed Hyperlink" xfId="10909" builtinId="9" hidden="1"/>
    <cellStyle name="Followed Hyperlink" xfId="10910" builtinId="9" hidden="1"/>
    <cellStyle name="Followed Hyperlink" xfId="10911" builtinId="9" hidden="1"/>
    <cellStyle name="Followed Hyperlink" xfId="10912" builtinId="9" hidden="1"/>
    <cellStyle name="Followed Hyperlink" xfId="10913" builtinId="9" hidden="1"/>
    <cellStyle name="Followed Hyperlink" xfId="10914" builtinId="9" hidden="1"/>
    <cellStyle name="Followed Hyperlink" xfId="10915" builtinId="9" hidden="1"/>
    <cellStyle name="Followed Hyperlink" xfId="10916" builtinId="9" hidden="1"/>
    <cellStyle name="Followed Hyperlink" xfId="10917" builtinId="9" hidden="1"/>
    <cellStyle name="Followed Hyperlink" xfId="10918" builtinId="9" hidden="1"/>
    <cellStyle name="Followed Hyperlink" xfId="10919" builtinId="9" hidden="1"/>
    <cellStyle name="Followed Hyperlink" xfId="10920" builtinId="9" hidden="1"/>
    <cellStyle name="Followed Hyperlink" xfId="10921" builtinId="9" hidden="1"/>
    <cellStyle name="Followed Hyperlink" xfId="10922" builtinId="9" hidden="1"/>
    <cellStyle name="Followed Hyperlink" xfId="10923" builtinId="9" hidden="1"/>
    <cellStyle name="Followed Hyperlink" xfId="10924" builtinId="9" hidden="1"/>
    <cellStyle name="Followed Hyperlink" xfId="10925" builtinId="9" hidden="1"/>
    <cellStyle name="Followed Hyperlink" xfId="10926" builtinId="9" hidden="1"/>
    <cellStyle name="Followed Hyperlink" xfId="10927" builtinId="9" hidden="1"/>
    <cellStyle name="Followed Hyperlink" xfId="10928" builtinId="9" hidden="1"/>
    <cellStyle name="Followed Hyperlink" xfId="10929" builtinId="9" hidden="1"/>
    <cellStyle name="Followed Hyperlink" xfId="10930" builtinId="9" hidden="1"/>
    <cellStyle name="Followed Hyperlink" xfId="10931" builtinId="9" hidden="1"/>
    <cellStyle name="Followed Hyperlink" xfId="10932" builtinId="9" hidden="1"/>
    <cellStyle name="Followed Hyperlink" xfId="10933" builtinId="9" hidden="1"/>
    <cellStyle name="Followed Hyperlink" xfId="10934" builtinId="9" hidden="1"/>
    <cellStyle name="Followed Hyperlink" xfId="10935" builtinId="9" hidden="1"/>
    <cellStyle name="Followed Hyperlink" xfId="10936" builtinId="9" hidden="1"/>
    <cellStyle name="Followed Hyperlink" xfId="10937" builtinId="9" hidden="1"/>
    <cellStyle name="Followed Hyperlink" xfId="10938" builtinId="9" hidden="1"/>
    <cellStyle name="Followed Hyperlink" xfId="10941" builtinId="9" hidden="1"/>
    <cellStyle name="Followed Hyperlink" xfId="10942" builtinId="9" hidden="1"/>
    <cellStyle name="Followed Hyperlink" xfId="10943" builtinId="9" hidden="1"/>
    <cellStyle name="Followed Hyperlink" xfId="10944" builtinId="9" hidden="1"/>
    <cellStyle name="Followed Hyperlink" xfId="10945" builtinId="9" hidden="1"/>
    <cellStyle name="Followed Hyperlink" xfId="10946" builtinId="9" hidden="1"/>
    <cellStyle name="Followed Hyperlink" xfId="10947" builtinId="9" hidden="1"/>
    <cellStyle name="Followed Hyperlink" xfId="10948" builtinId="9" hidden="1"/>
    <cellStyle name="Followed Hyperlink" xfId="10949" builtinId="9" hidden="1"/>
    <cellStyle name="Followed Hyperlink" xfId="10950" builtinId="9" hidden="1"/>
    <cellStyle name="Followed Hyperlink" xfId="10951" builtinId="9" hidden="1"/>
    <cellStyle name="Followed Hyperlink" xfId="10952" builtinId="9" hidden="1"/>
    <cellStyle name="Followed Hyperlink" xfId="10953" builtinId="9" hidden="1"/>
    <cellStyle name="Followed Hyperlink" xfId="10954" builtinId="9" hidden="1"/>
    <cellStyle name="Followed Hyperlink" xfId="10955" builtinId="9" hidden="1"/>
    <cellStyle name="Followed Hyperlink" xfId="10956" builtinId="9" hidden="1"/>
    <cellStyle name="Followed Hyperlink" xfId="10957" builtinId="9" hidden="1"/>
    <cellStyle name="Followed Hyperlink" xfId="10958" builtinId="9" hidden="1"/>
    <cellStyle name="Followed Hyperlink" xfId="10959" builtinId="9" hidden="1"/>
    <cellStyle name="Followed Hyperlink" xfId="10960" builtinId="9" hidden="1"/>
    <cellStyle name="Followed Hyperlink" xfId="10961" builtinId="9" hidden="1"/>
    <cellStyle name="Followed Hyperlink" xfId="10962" builtinId="9" hidden="1"/>
    <cellStyle name="Followed Hyperlink" xfId="10963" builtinId="9" hidden="1"/>
    <cellStyle name="Followed Hyperlink" xfId="10964" builtinId="9" hidden="1"/>
    <cellStyle name="Followed Hyperlink" xfId="10965" builtinId="9" hidden="1"/>
    <cellStyle name="Followed Hyperlink" xfId="10966" builtinId="9" hidden="1"/>
    <cellStyle name="Followed Hyperlink" xfId="10967" builtinId="9" hidden="1"/>
    <cellStyle name="Followed Hyperlink" xfId="10968" builtinId="9" hidden="1"/>
    <cellStyle name="Followed Hyperlink" xfId="10969" builtinId="9" hidden="1"/>
    <cellStyle name="Followed Hyperlink" xfId="10970" builtinId="9" hidden="1"/>
    <cellStyle name="Followed Hyperlink" xfId="10971" builtinId="9" hidden="1"/>
    <cellStyle name="Followed Hyperlink" xfId="10972" builtinId="9" hidden="1"/>
    <cellStyle name="Followed Hyperlink" xfId="10973" builtinId="9" hidden="1"/>
    <cellStyle name="Followed Hyperlink" xfId="10974" builtinId="9" hidden="1"/>
    <cellStyle name="Followed Hyperlink" xfId="10975" builtinId="9" hidden="1"/>
    <cellStyle name="Followed Hyperlink" xfId="10976" builtinId="9" hidden="1"/>
    <cellStyle name="Followed Hyperlink" xfId="10977" builtinId="9" hidden="1"/>
    <cellStyle name="Followed Hyperlink" xfId="10978" builtinId="9" hidden="1"/>
    <cellStyle name="Followed Hyperlink" xfId="10979" builtinId="9" hidden="1"/>
    <cellStyle name="Followed Hyperlink" xfId="10980" builtinId="9" hidden="1"/>
    <cellStyle name="Followed Hyperlink" xfId="10981" builtinId="9" hidden="1"/>
    <cellStyle name="Followed Hyperlink" xfId="10982" builtinId="9" hidden="1"/>
    <cellStyle name="Followed Hyperlink" xfId="10983" builtinId="9" hidden="1"/>
    <cellStyle name="Followed Hyperlink" xfId="10984" builtinId="9" hidden="1"/>
    <cellStyle name="Followed Hyperlink" xfId="10985" builtinId="9" hidden="1"/>
    <cellStyle name="Followed Hyperlink" xfId="10986" builtinId="9" hidden="1"/>
    <cellStyle name="Followed Hyperlink" xfId="10987" builtinId="9" hidden="1"/>
    <cellStyle name="Followed Hyperlink" xfId="10988" builtinId="9" hidden="1"/>
    <cellStyle name="Followed Hyperlink" xfId="10989" builtinId="9" hidden="1"/>
    <cellStyle name="Followed Hyperlink" xfId="10990" builtinId="9" hidden="1"/>
    <cellStyle name="Followed Hyperlink" xfId="10991" builtinId="9" hidden="1"/>
    <cellStyle name="Followed Hyperlink" xfId="10992" builtinId="9" hidden="1"/>
    <cellStyle name="Followed Hyperlink" xfId="10993" builtinId="9" hidden="1"/>
    <cellStyle name="Followed Hyperlink" xfId="10994" builtinId="9" hidden="1"/>
    <cellStyle name="Followed Hyperlink" xfId="10995" builtinId="9" hidden="1"/>
    <cellStyle name="Followed Hyperlink" xfId="10996" builtinId="9" hidden="1"/>
    <cellStyle name="Followed Hyperlink" xfId="10997" builtinId="9" hidden="1"/>
    <cellStyle name="Followed Hyperlink" xfId="10998" builtinId="9" hidden="1"/>
    <cellStyle name="Followed Hyperlink" xfId="10999" builtinId="9" hidden="1"/>
    <cellStyle name="Followed Hyperlink" xfId="11000" builtinId="9" hidden="1"/>
    <cellStyle name="Followed Hyperlink" xfId="11001" builtinId="9" hidden="1"/>
    <cellStyle name="Followed Hyperlink" xfId="11002" builtinId="9" hidden="1"/>
    <cellStyle name="Followed Hyperlink" xfId="11003" builtinId="9" hidden="1"/>
    <cellStyle name="Followed Hyperlink" xfId="11004" builtinId="9" hidden="1"/>
    <cellStyle name="Followed Hyperlink" xfId="11005" builtinId="9" hidden="1"/>
    <cellStyle name="Followed Hyperlink" xfId="11006" builtinId="9" hidden="1"/>
    <cellStyle name="Followed Hyperlink" xfId="11007" builtinId="9" hidden="1"/>
    <cellStyle name="Followed Hyperlink" xfId="11008" builtinId="9" hidden="1"/>
    <cellStyle name="Followed Hyperlink" xfId="11009" builtinId="9" hidden="1"/>
    <cellStyle name="Followed Hyperlink" xfId="11010" builtinId="9" hidden="1"/>
    <cellStyle name="Followed Hyperlink" xfId="11011" builtinId="9" hidden="1"/>
    <cellStyle name="Followed Hyperlink" xfId="11012" builtinId="9" hidden="1"/>
    <cellStyle name="Followed Hyperlink" xfId="11013" builtinId="9" hidden="1"/>
    <cellStyle name="Followed Hyperlink" xfId="11014" builtinId="9" hidden="1"/>
    <cellStyle name="Followed Hyperlink" xfId="11015" builtinId="9" hidden="1"/>
    <cellStyle name="Followed Hyperlink" xfId="11016" builtinId="9" hidden="1"/>
    <cellStyle name="Followed Hyperlink" xfId="11017" builtinId="9" hidden="1"/>
    <cellStyle name="Followed Hyperlink" xfId="11018" builtinId="9" hidden="1"/>
    <cellStyle name="Followed Hyperlink" xfId="11019" builtinId="9" hidden="1"/>
    <cellStyle name="Followed Hyperlink" xfId="11020" builtinId="9" hidden="1"/>
    <cellStyle name="Followed Hyperlink" xfId="11021" builtinId="9" hidden="1"/>
    <cellStyle name="Followed Hyperlink" xfId="11022" builtinId="9" hidden="1"/>
    <cellStyle name="Followed Hyperlink" xfId="11023" builtinId="9" hidden="1"/>
    <cellStyle name="Followed Hyperlink" xfId="11024" builtinId="9" hidden="1"/>
    <cellStyle name="Followed Hyperlink" xfId="11025" builtinId="9" hidden="1"/>
    <cellStyle name="Followed Hyperlink" xfId="11026" builtinId="9" hidden="1"/>
    <cellStyle name="Followed Hyperlink" xfId="11027" builtinId="9" hidden="1"/>
    <cellStyle name="Followed Hyperlink" xfId="11028" builtinId="9" hidden="1"/>
    <cellStyle name="Followed Hyperlink" xfId="11029" builtinId="9" hidden="1"/>
    <cellStyle name="Followed Hyperlink" xfId="11030" builtinId="9" hidden="1"/>
    <cellStyle name="Followed Hyperlink" xfId="11031" builtinId="9" hidden="1"/>
    <cellStyle name="Followed Hyperlink" xfId="11032" builtinId="9" hidden="1"/>
    <cellStyle name="Followed Hyperlink" xfId="11033" builtinId="9" hidden="1"/>
    <cellStyle name="Followed Hyperlink" xfId="11034" builtinId="9" hidden="1"/>
    <cellStyle name="Followed Hyperlink" xfId="11035" builtinId="9" hidden="1"/>
    <cellStyle name="Followed Hyperlink" xfId="11036" builtinId="9" hidden="1"/>
    <cellStyle name="Followed Hyperlink" xfId="11037" builtinId="9" hidden="1"/>
    <cellStyle name="Followed Hyperlink" xfId="11038" builtinId="9" hidden="1"/>
    <cellStyle name="Followed Hyperlink" xfId="11039" builtinId="9" hidden="1"/>
    <cellStyle name="Followed Hyperlink" xfId="11040" builtinId="9" hidden="1"/>
    <cellStyle name="Followed Hyperlink" xfId="11041" builtinId="9" hidden="1"/>
    <cellStyle name="Followed Hyperlink" xfId="11042" builtinId="9" hidden="1"/>
    <cellStyle name="Followed Hyperlink" xfId="11043" builtinId="9" hidden="1"/>
    <cellStyle name="Followed Hyperlink" xfId="11044" builtinId="9" hidden="1"/>
    <cellStyle name="Followed Hyperlink" xfId="11045" builtinId="9" hidden="1"/>
    <cellStyle name="Followed Hyperlink" xfId="11046" builtinId="9" hidden="1"/>
    <cellStyle name="Followed Hyperlink" xfId="11047" builtinId="9" hidden="1"/>
    <cellStyle name="Followed Hyperlink" xfId="11048" builtinId="9" hidden="1"/>
    <cellStyle name="Followed Hyperlink" xfId="11049" builtinId="9" hidden="1"/>
    <cellStyle name="Followed Hyperlink" xfId="11050" builtinId="9" hidden="1"/>
    <cellStyle name="Followed Hyperlink" xfId="11051" builtinId="9" hidden="1"/>
    <cellStyle name="Followed Hyperlink" xfId="11052" builtinId="9" hidden="1"/>
    <cellStyle name="Followed Hyperlink" xfId="11053" builtinId="9" hidden="1"/>
    <cellStyle name="Followed Hyperlink" xfId="11054" builtinId="9" hidden="1"/>
    <cellStyle name="Followed Hyperlink" xfId="11055" builtinId="9" hidden="1"/>
    <cellStyle name="Followed Hyperlink" xfId="11056" builtinId="9" hidden="1"/>
    <cellStyle name="Followed Hyperlink" xfId="11057" builtinId="9" hidden="1"/>
    <cellStyle name="Followed Hyperlink" xfId="11058" builtinId="9" hidden="1"/>
    <cellStyle name="Followed Hyperlink" xfId="11059" builtinId="9" hidden="1"/>
    <cellStyle name="Followed Hyperlink" xfId="11060" builtinId="9" hidden="1"/>
    <cellStyle name="Followed Hyperlink" xfId="11061" builtinId="9" hidden="1"/>
    <cellStyle name="Followed Hyperlink" xfId="11062" builtinId="9" hidden="1"/>
    <cellStyle name="Followed Hyperlink" xfId="11063" builtinId="9" hidden="1"/>
    <cellStyle name="Followed Hyperlink" xfId="11064" builtinId="9" hidden="1"/>
    <cellStyle name="Followed Hyperlink" xfId="11065" builtinId="9" hidden="1"/>
    <cellStyle name="Followed Hyperlink" xfId="11066" builtinId="9" hidden="1"/>
    <cellStyle name="Followed Hyperlink" xfId="11067" builtinId="9" hidden="1"/>
    <cellStyle name="Followed Hyperlink" xfId="11068" builtinId="9" hidden="1"/>
    <cellStyle name="Followed Hyperlink" xfId="11069" builtinId="9" hidden="1"/>
    <cellStyle name="Followed Hyperlink" xfId="11070" builtinId="9" hidden="1"/>
    <cellStyle name="Followed Hyperlink" xfId="11071" builtinId="9" hidden="1"/>
    <cellStyle name="Followed Hyperlink" xfId="11072" builtinId="9" hidden="1"/>
    <cellStyle name="Followed Hyperlink" xfId="11073" builtinId="9" hidden="1"/>
    <cellStyle name="Followed Hyperlink" xfId="11074" builtinId="9" hidden="1"/>
    <cellStyle name="Followed Hyperlink" xfId="11075" builtinId="9" hidden="1"/>
    <cellStyle name="Followed Hyperlink" xfId="11076" builtinId="9" hidden="1"/>
    <cellStyle name="Followed Hyperlink" xfId="11077" builtinId="9" hidden="1"/>
    <cellStyle name="Followed Hyperlink" xfId="11078" builtinId="9" hidden="1"/>
    <cellStyle name="Followed Hyperlink" xfId="11079" builtinId="9" hidden="1"/>
    <cellStyle name="Followed Hyperlink" xfId="11080" builtinId="9" hidden="1"/>
    <cellStyle name="Followed Hyperlink" xfId="11081" builtinId="9" hidden="1"/>
    <cellStyle name="Followed Hyperlink" xfId="11082" builtinId="9" hidden="1"/>
    <cellStyle name="Followed Hyperlink" xfId="11083" builtinId="9" hidden="1"/>
    <cellStyle name="Followed Hyperlink" xfId="11084" builtinId="9" hidden="1"/>
    <cellStyle name="Followed Hyperlink" xfId="11085" builtinId="9" hidden="1"/>
    <cellStyle name="Followed Hyperlink" xfId="11086" builtinId="9" hidden="1"/>
    <cellStyle name="Followed Hyperlink" xfId="11087" builtinId="9" hidden="1"/>
    <cellStyle name="Followed Hyperlink" xfId="11088" builtinId="9" hidden="1"/>
    <cellStyle name="Followed Hyperlink" xfId="11341" builtinId="9" hidden="1"/>
    <cellStyle name="Followed Hyperlink" xfId="11343" builtinId="9" hidden="1"/>
    <cellStyle name="Followed Hyperlink" xfId="11345" builtinId="9" hidden="1"/>
    <cellStyle name="Followed Hyperlink" xfId="11347" builtinId="9" hidden="1"/>
    <cellStyle name="Followed Hyperlink" xfId="11349" builtinId="9" hidden="1"/>
    <cellStyle name="Followed Hyperlink" xfId="11351" builtinId="9" hidden="1"/>
    <cellStyle name="Followed Hyperlink" xfId="11353" builtinId="9" hidden="1"/>
    <cellStyle name="Followed Hyperlink" xfId="11355" builtinId="9" hidden="1"/>
    <cellStyle name="Followed Hyperlink" xfId="11357" builtinId="9" hidden="1"/>
    <cellStyle name="Followed Hyperlink" xfId="11359" builtinId="9" hidden="1"/>
    <cellStyle name="Followed Hyperlink" xfId="11361" builtinId="9" hidden="1"/>
    <cellStyle name="Followed Hyperlink" xfId="11363" builtinId="9" hidden="1"/>
    <cellStyle name="Followed Hyperlink" xfId="11365" builtinId="9" hidden="1"/>
    <cellStyle name="Followed Hyperlink" xfId="11367" builtinId="9" hidden="1"/>
    <cellStyle name="Followed Hyperlink" xfId="11369" builtinId="9" hidden="1"/>
    <cellStyle name="Followed Hyperlink" xfId="11371" builtinId="9" hidden="1"/>
    <cellStyle name="Followed Hyperlink" xfId="11373" builtinId="9" hidden="1"/>
    <cellStyle name="Followed Hyperlink" xfId="11375" builtinId="9" hidden="1"/>
    <cellStyle name="Followed Hyperlink" xfId="11377" builtinId="9" hidden="1"/>
    <cellStyle name="Followed Hyperlink" xfId="11379" builtinId="9" hidden="1"/>
    <cellStyle name="Followed Hyperlink" xfId="11381" builtinId="9" hidden="1"/>
    <cellStyle name="Followed Hyperlink" xfId="11383" builtinId="9" hidden="1"/>
    <cellStyle name="Followed Hyperlink" xfId="11385" builtinId="9" hidden="1"/>
    <cellStyle name="Followed Hyperlink" xfId="11387" builtinId="9" hidden="1"/>
    <cellStyle name="Followed Hyperlink" xfId="11389" builtinId="9" hidden="1"/>
    <cellStyle name="Followed Hyperlink" xfId="11391" builtinId="9" hidden="1"/>
    <cellStyle name="Followed Hyperlink" xfId="11393" builtinId="9" hidden="1"/>
    <cellStyle name="Followed Hyperlink" xfId="11395" builtinId="9" hidden="1"/>
    <cellStyle name="Followed Hyperlink" xfId="11397" builtinId="9" hidden="1"/>
    <cellStyle name="Followed Hyperlink" xfId="11399" builtinId="9" hidden="1"/>
    <cellStyle name="Followed Hyperlink" xfId="11401" builtinId="9" hidden="1"/>
    <cellStyle name="Followed Hyperlink" xfId="11403" builtinId="9" hidden="1"/>
    <cellStyle name="Followed Hyperlink" xfId="11405" builtinId="9" hidden="1"/>
    <cellStyle name="Followed Hyperlink" xfId="11407" builtinId="9" hidden="1"/>
    <cellStyle name="Followed Hyperlink" xfId="11409" builtinId="9" hidden="1"/>
    <cellStyle name="Followed Hyperlink" xfId="11411" builtinId="9" hidden="1"/>
    <cellStyle name="Followed Hyperlink" xfId="11413" builtinId="9" hidden="1"/>
    <cellStyle name="Followed Hyperlink" xfId="11415" builtinId="9" hidden="1"/>
    <cellStyle name="Followed Hyperlink" xfId="11417" builtinId="9" hidden="1"/>
    <cellStyle name="Followed Hyperlink" xfId="11419" builtinId="9" hidden="1"/>
    <cellStyle name="Followed Hyperlink" xfId="11421" builtinId="9" hidden="1"/>
    <cellStyle name="Followed Hyperlink" xfId="11423" builtinId="9" hidden="1"/>
    <cellStyle name="Followed Hyperlink" xfId="11425" builtinId="9" hidden="1"/>
    <cellStyle name="Followed Hyperlink" xfId="11427" builtinId="9" hidden="1"/>
    <cellStyle name="Followed Hyperlink" xfId="11429" builtinId="9" hidden="1"/>
    <cellStyle name="Followed Hyperlink" xfId="11431" builtinId="9" hidden="1"/>
    <cellStyle name="Followed Hyperlink" xfId="11433" builtinId="9" hidden="1"/>
    <cellStyle name="Followed Hyperlink" xfId="11435" builtinId="9" hidden="1"/>
    <cellStyle name="Followed Hyperlink" xfId="11437" builtinId="9" hidden="1"/>
    <cellStyle name="Followed Hyperlink" xfId="11439" builtinId="9" hidden="1"/>
    <cellStyle name="Followed Hyperlink" xfId="11441" builtinId="9" hidden="1"/>
    <cellStyle name="Followed Hyperlink" xfId="11443" builtinId="9" hidden="1"/>
    <cellStyle name="Followed Hyperlink" xfId="11445" builtinId="9" hidden="1"/>
    <cellStyle name="Followed Hyperlink" xfId="11447" builtinId="9" hidden="1"/>
    <cellStyle name="Followed Hyperlink" xfId="11449" builtinId="9" hidden="1"/>
    <cellStyle name="Followed Hyperlink" xfId="11451" builtinId="9" hidden="1"/>
    <cellStyle name="Followed Hyperlink" xfId="11453" builtinId="9" hidden="1"/>
    <cellStyle name="Followed Hyperlink" xfId="11455" builtinId="9" hidden="1"/>
    <cellStyle name="Followed Hyperlink" xfId="11457" builtinId="9" hidden="1"/>
    <cellStyle name="Followed Hyperlink" xfId="11459" builtinId="9" hidden="1"/>
    <cellStyle name="Followed Hyperlink" xfId="11461" builtinId="9" hidden="1"/>
    <cellStyle name="Followed Hyperlink" xfId="11463" builtinId="9" hidden="1"/>
    <cellStyle name="Followed Hyperlink" xfId="11465" builtinId="9" hidden="1"/>
    <cellStyle name="Followed Hyperlink" xfId="11467" builtinId="9" hidden="1"/>
    <cellStyle name="Followed Hyperlink" xfId="11469" builtinId="9" hidden="1"/>
    <cellStyle name="Followed Hyperlink" xfId="11471" builtinId="9" hidden="1"/>
    <cellStyle name="Followed Hyperlink" xfId="11473" builtinId="9" hidden="1"/>
    <cellStyle name="Followed Hyperlink" xfId="11475" builtinId="9" hidden="1"/>
    <cellStyle name="Followed Hyperlink" xfId="11477" builtinId="9" hidden="1"/>
    <cellStyle name="Followed Hyperlink" xfId="11479" builtinId="9" hidden="1"/>
    <cellStyle name="Followed Hyperlink" xfId="11481" builtinId="9" hidden="1"/>
    <cellStyle name="Followed Hyperlink" xfId="11483" builtinId="9" hidden="1"/>
    <cellStyle name="Followed Hyperlink" xfId="11485" builtinId="9" hidden="1"/>
    <cellStyle name="Followed Hyperlink" xfId="11487" builtinId="9" hidden="1"/>
    <cellStyle name="Followed Hyperlink" xfId="11489" builtinId="9" hidden="1"/>
    <cellStyle name="Followed Hyperlink" xfId="11491" builtinId="9" hidden="1"/>
    <cellStyle name="Followed Hyperlink" xfId="11493" builtinId="9" hidden="1"/>
    <cellStyle name="Followed Hyperlink" xfId="11495" builtinId="9" hidden="1"/>
    <cellStyle name="Followed Hyperlink" xfId="11497" builtinId="9" hidden="1"/>
    <cellStyle name="Followed Hyperlink" xfId="11499" builtinId="9" hidden="1"/>
    <cellStyle name="Followed Hyperlink" xfId="11500" builtinId="9" hidden="1"/>
    <cellStyle name="Followed Hyperlink" xfId="11501" builtinId="9" hidden="1"/>
    <cellStyle name="Followed Hyperlink" xfId="11502" builtinId="9" hidden="1"/>
    <cellStyle name="Followed Hyperlink" xfId="11504" builtinId="9" hidden="1"/>
    <cellStyle name="Followed Hyperlink" xfId="11505" builtinId="9" hidden="1"/>
    <cellStyle name="Followed Hyperlink" xfId="11507" builtinId="9" hidden="1"/>
    <cellStyle name="Followed Hyperlink" xfId="11509" builtinId="9" hidden="1"/>
    <cellStyle name="Followed Hyperlink" xfId="11511" builtinId="9" hidden="1"/>
    <cellStyle name="Followed Hyperlink" xfId="11513" builtinId="9" hidden="1"/>
    <cellStyle name="Followed Hyperlink" xfId="11515" builtinId="9" hidden="1"/>
    <cellStyle name="Followed Hyperlink" xfId="11517" builtinId="9" hidden="1"/>
    <cellStyle name="Followed Hyperlink" xfId="11519" builtinId="9" hidden="1"/>
    <cellStyle name="Followed Hyperlink" xfId="11521" builtinId="9" hidden="1"/>
    <cellStyle name="Followed Hyperlink" xfId="11523" builtinId="9" hidden="1"/>
    <cellStyle name="Followed Hyperlink" xfId="11525" builtinId="9" hidden="1"/>
    <cellStyle name="Followed Hyperlink" xfId="11527" builtinId="9" hidden="1"/>
    <cellStyle name="Followed Hyperlink" xfId="11529" builtinId="9" hidden="1"/>
    <cellStyle name="Followed Hyperlink" xfId="11531" builtinId="9" hidden="1"/>
    <cellStyle name="Followed Hyperlink" xfId="11533" builtinId="9" hidden="1"/>
    <cellStyle name="Followed Hyperlink" xfId="11535" builtinId="9" hidden="1"/>
    <cellStyle name="Followed Hyperlink" xfId="11537" builtinId="9" hidden="1"/>
    <cellStyle name="Followed Hyperlink" xfId="11539" builtinId="9" hidden="1"/>
    <cellStyle name="Followed Hyperlink" xfId="11541" builtinId="9" hidden="1"/>
    <cellStyle name="Followed Hyperlink" xfId="11543" builtinId="9" hidden="1"/>
    <cellStyle name="Followed Hyperlink" xfId="11545" builtinId="9" hidden="1"/>
    <cellStyle name="Followed Hyperlink" xfId="11547" builtinId="9" hidden="1"/>
    <cellStyle name="Followed Hyperlink" xfId="11549" builtinId="9" hidden="1"/>
    <cellStyle name="Followed Hyperlink" xfId="11551" builtinId="9" hidden="1"/>
    <cellStyle name="Followed Hyperlink" xfId="11553" builtinId="9" hidden="1"/>
    <cellStyle name="Followed Hyperlink" xfId="11555" builtinId="9" hidden="1"/>
    <cellStyle name="Followed Hyperlink" xfId="11562" builtinId="9" hidden="1"/>
    <cellStyle name="Followed Hyperlink" xfId="11564" builtinId="9" hidden="1"/>
    <cellStyle name="Followed Hyperlink" xfId="11566" builtinId="9" hidden="1"/>
    <cellStyle name="Followed Hyperlink" xfId="11568" builtinId="9" hidden="1"/>
    <cellStyle name="Followed Hyperlink" xfId="11570" builtinId="9" hidden="1"/>
    <cellStyle name="Followed Hyperlink" xfId="11572" builtinId="9" hidden="1"/>
    <cellStyle name="Followed Hyperlink" xfId="11574" builtinId="9" hidden="1"/>
    <cellStyle name="Followed Hyperlink" xfId="11576" builtinId="9" hidden="1"/>
    <cellStyle name="Followed Hyperlink" xfId="11578" builtinId="9" hidden="1"/>
    <cellStyle name="Followed Hyperlink" xfId="11580" builtinId="9" hidden="1"/>
    <cellStyle name="Followed Hyperlink" xfId="11582" builtinId="9" hidden="1"/>
    <cellStyle name="Followed Hyperlink" xfId="11584" builtinId="9" hidden="1"/>
    <cellStyle name="Followed Hyperlink" xfId="11586" builtinId="9" hidden="1"/>
    <cellStyle name="Followed Hyperlink" xfId="11588" builtinId="9" hidden="1"/>
    <cellStyle name="Followed Hyperlink" xfId="11590" builtinId="9" hidden="1"/>
    <cellStyle name="Followed Hyperlink" xfId="11592" builtinId="9" hidden="1"/>
    <cellStyle name="Followed Hyperlink" xfId="11594" builtinId="9" hidden="1"/>
    <cellStyle name="Followed Hyperlink" xfId="11596" builtinId="9" hidden="1"/>
    <cellStyle name="Followed Hyperlink" xfId="11598" builtinId="9" hidden="1"/>
    <cellStyle name="Followed Hyperlink" xfId="11600" builtinId="9" hidden="1"/>
    <cellStyle name="Followed Hyperlink" xfId="11602" builtinId="9" hidden="1"/>
    <cellStyle name="Followed Hyperlink" xfId="11604" builtinId="9" hidden="1"/>
    <cellStyle name="Followed Hyperlink" xfId="11606" builtinId="9" hidden="1"/>
    <cellStyle name="Followed Hyperlink" xfId="11608" builtinId="9" hidden="1"/>
    <cellStyle name="Followed Hyperlink" xfId="11610" builtinId="9" hidden="1"/>
    <cellStyle name="Followed Hyperlink" xfId="11612" builtinId="9" hidden="1"/>
    <cellStyle name="Followed Hyperlink" xfId="11614" builtinId="9" hidden="1"/>
    <cellStyle name="Followed Hyperlink" xfId="11616" builtinId="9" hidden="1"/>
    <cellStyle name="Followed Hyperlink" xfId="11618" builtinId="9" hidden="1"/>
    <cellStyle name="Followed Hyperlink" xfId="11620" builtinId="9" hidden="1"/>
    <cellStyle name="Followed Hyperlink" xfId="11622" builtinId="9" hidden="1"/>
    <cellStyle name="Followed Hyperlink" xfId="11624" builtinId="9" hidden="1"/>
    <cellStyle name="Followed Hyperlink" xfId="11626" builtinId="9" hidden="1"/>
    <cellStyle name="Followed Hyperlink" xfId="11628" builtinId="9" hidden="1"/>
    <cellStyle name="Followed Hyperlink" xfId="11630" builtinId="9" hidden="1"/>
    <cellStyle name="Followed Hyperlink" xfId="11632" builtinId="9" hidden="1"/>
    <cellStyle name="Followed Hyperlink" xfId="11634" builtinId="9" hidden="1"/>
    <cellStyle name="Followed Hyperlink" xfId="11636" builtinId="9" hidden="1"/>
    <cellStyle name="Followed Hyperlink" xfId="11638" builtinId="9" hidden="1"/>
    <cellStyle name="Followed Hyperlink" xfId="11640" builtinId="9" hidden="1"/>
    <cellStyle name="Followed Hyperlink" xfId="11642" builtinId="9" hidden="1"/>
    <cellStyle name="Followed Hyperlink" xfId="11644" builtinId="9" hidden="1"/>
    <cellStyle name="Followed Hyperlink" xfId="11646" builtinId="9" hidden="1"/>
    <cellStyle name="Followed Hyperlink" xfId="11648" builtinId="9" hidden="1"/>
    <cellStyle name="Followed Hyperlink" xfId="11650" builtinId="9" hidden="1"/>
    <cellStyle name="Followed Hyperlink" xfId="11652" builtinId="9" hidden="1"/>
    <cellStyle name="Followed Hyperlink" xfId="11654" builtinId="9" hidden="1"/>
    <cellStyle name="Followed Hyperlink" xfId="11656" builtinId="9" hidden="1"/>
    <cellStyle name="Followed Hyperlink" xfId="11658" builtinId="9" hidden="1"/>
    <cellStyle name="Followed Hyperlink" xfId="11660" builtinId="9" hidden="1"/>
    <cellStyle name="Followed Hyperlink" xfId="11662" builtinId="9" hidden="1"/>
    <cellStyle name="Followed Hyperlink" xfId="11664" builtinId="9" hidden="1"/>
    <cellStyle name="Followed Hyperlink" xfId="11666" builtinId="9" hidden="1"/>
    <cellStyle name="Followed Hyperlink" xfId="11668" builtinId="9" hidden="1"/>
    <cellStyle name="Followed Hyperlink" xfId="11670" builtinId="9" hidden="1"/>
    <cellStyle name="Followed Hyperlink" xfId="11672" builtinId="9" hidden="1"/>
    <cellStyle name="Followed Hyperlink" xfId="11674" builtinId="9" hidden="1"/>
    <cellStyle name="Followed Hyperlink" xfId="11676" builtinId="9" hidden="1"/>
    <cellStyle name="Followed Hyperlink" xfId="11678" builtinId="9" hidden="1"/>
    <cellStyle name="Followed Hyperlink" xfId="11680" builtinId="9" hidden="1"/>
    <cellStyle name="Followed Hyperlink" xfId="11682" builtinId="9" hidden="1"/>
    <cellStyle name="Followed Hyperlink" xfId="11684" builtinId="9" hidden="1"/>
    <cellStyle name="Followed Hyperlink" xfId="11686" builtinId="9" hidden="1"/>
    <cellStyle name="Followed Hyperlink" xfId="11688" builtinId="9" hidden="1"/>
    <cellStyle name="Followed Hyperlink" xfId="11690" builtinId="9" hidden="1"/>
    <cellStyle name="Followed Hyperlink" xfId="11692" builtinId="9" hidden="1"/>
    <cellStyle name="Followed Hyperlink" xfId="11694" builtinId="9" hidden="1"/>
    <cellStyle name="Followed Hyperlink" xfId="11696" builtinId="9" hidden="1"/>
    <cellStyle name="Followed Hyperlink" xfId="11698" builtinId="9" hidden="1"/>
    <cellStyle name="Followed Hyperlink" xfId="11700" builtinId="9" hidden="1"/>
    <cellStyle name="Followed Hyperlink" xfId="11702" builtinId="9" hidden="1"/>
    <cellStyle name="Followed Hyperlink" xfId="11704" builtinId="9" hidden="1"/>
    <cellStyle name="Followed Hyperlink" xfId="11706" builtinId="9" hidden="1"/>
    <cellStyle name="Followed Hyperlink" xfId="11708" builtinId="9" hidden="1"/>
    <cellStyle name="Followed Hyperlink" xfId="11710" builtinId="9" hidden="1"/>
    <cellStyle name="Followed Hyperlink" xfId="11712" builtinId="9" hidden="1"/>
    <cellStyle name="Followed Hyperlink" xfId="11714" builtinId="9" hidden="1"/>
    <cellStyle name="Followed Hyperlink" xfId="11716" builtinId="9" hidden="1"/>
    <cellStyle name="Followed Hyperlink" xfId="11718" builtinId="9" hidden="1"/>
    <cellStyle name="Followed Hyperlink" xfId="11720" builtinId="9" hidden="1"/>
    <cellStyle name="Followed Hyperlink" xfId="11722" builtinId="9" hidden="1"/>
    <cellStyle name="Followed Hyperlink" xfId="11724" builtinId="9" hidden="1"/>
    <cellStyle name="Followed Hyperlink" xfId="11726" builtinId="9" hidden="1"/>
    <cellStyle name="Followed Hyperlink" xfId="11728" builtinId="9" hidden="1"/>
    <cellStyle name="Followed Hyperlink" xfId="11730" builtinId="9" hidden="1"/>
    <cellStyle name="Followed Hyperlink" xfId="11732" builtinId="9" hidden="1"/>
    <cellStyle name="Followed Hyperlink" xfId="11734" builtinId="9" hidden="1"/>
    <cellStyle name="Followed Hyperlink" xfId="11736" builtinId="9" hidden="1"/>
    <cellStyle name="Followed Hyperlink" xfId="11738" builtinId="9" hidden="1"/>
    <cellStyle name="Followed Hyperlink" xfId="11740" builtinId="9" hidden="1"/>
    <cellStyle name="Followed Hyperlink" xfId="11742" builtinId="9" hidden="1"/>
    <cellStyle name="Followed Hyperlink" xfId="11744" builtinId="9" hidden="1"/>
    <cellStyle name="Followed Hyperlink" xfId="11746" builtinId="9" hidden="1"/>
    <cellStyle name="Followed Hyperlink" xfId="11748" builtinId="9" hidden="1"/>
    <cellStyle name="Followed Hyperlink" xfId="11750" builtinId="9" hidden="1"/>
    <cellStyle name="Followed Hyperlink" xfId="11752" builtinId="9" hidden="1"/>
    <cellStyle name="Followed Hyperlink" xfId="11754" builtinId="9" hidden="1"/>
    <cellStyle name="Followed Hyperlink" xfId="11756" builtinId="9" hidden="1"/>
    <cellStyle name="Followed Hyperlink" xfId="11758" builtinId="9" hidden="1"/>
    <cellStyle name="Followed Hyperlink" xfId="11760" builtinId="9" hidden="1"/>
    <cellStyle name="Followed Hyperlink" xfId="11762" builtinId="9" hidden="1"/>
    <cellStyle name="Followed Hyperlink" xfId="11764" builtinId="9" hidden="1"/>
    <cellStyle name="Followed Hyperlink" xfId="11766" builtinId="9" hidden="1"/>
    <cellStyle name="Followed Hyperlink" xfId="11768" builtinId="9" hidden="1"/>
    <cellStyle name="Followed Hyperlink" xfId="11770" builtinId="9" hidden="1"/>
    <cellStyle name="Followed Hyperlink" xfId="11772" builtinId="9" hidden="1"/>
    <cellStyle name="Followed Hyperlink" xfId="11774" builtinId="9" hidden="1"/>
    <cellStyle name="Followed Hyperlink" xfId="11776" builtinId="9" hidden="1"/>
    <cellStyle name="Followed Hyperlink" xfId="11778" builtinId="9" hidden="1"/>
    <cellStyle name="Followed Hyperlink" xfId="11780" builtinId="9" hidden="1"/>
    <cellStyle name="Followed Hyperlink" xfId="11788" builtinId="9" hidden="1"/>
    <cellStyle name="Followed Hyperlink" xfId="11790" builtinId="9" hidden="1"/>
    <cellStyle name="Followed Hyperlink" xfId="11792" builtinId="9" hidden="1"/>
    <cellStyle name="Followed Hyperlink" xfId="11794" builtinId="9" hidden="1"/>
    <cellStyle name="Followed Hyperlink" xfId="11796" builtinId="9" hidden="1"/>
    <cellStyle name="Followed Hyperlink" xfId="11798" builtinId="9" hidden="1"/>
    <cellStyle name="Followed Hyperlink" xfId="11800" builtinId="9" hidden="1"/>
    <cellStyle name="Followed Hyperlink" xfId="11802" builtinId="9" hidden="1"/>
    <cellStyle name="Followed Hyperlink" xfId="11804" builtinId="9" hidden="1"/>
    <cellStyle name="Followed Hyperlink" xfId="11806" builtinId="9" hidden="1"/>
    <cellStyle name="Followed Hyperlink" xfId="11808" builtinId="9" hidden="1"/>
    <cellStyle name="Followed Hyperlink" xfId="11810" builtinId="9" hidden="1"/>
    <cellStyle name="Followed Hyperlink" xfId="11812" builtinId="9" hidden="1"/>
    <cellStyle name="Followed Hyperlink" xfId="11814" builtinId="9" hidden="1"/>
    <cellStyle name="Followed Hyperlink" xfId="11816" builtinId="9" hidden="1"/>
    <cellStyle name="Followed Hyperlink" xfId="11818" builtinId="9" hidden="1"/>
    <cellStyle name="Followed Hyperlink" xfId="11820" builtinId="9" hidden="1"/>
    <cellStyle name="Followed Hyperlink" xfId="11822" builtinId="9" hidden="1"/>
    <cellStyle name="Followed Hyperlink" xfId="11824" builtinId="9" hidden="1"/>
    <cellStyle name="Followed Hyperlink" xfId="11826" builtinId="9" hidden="1"/>
    <cellStyle name="Followed Hyperlink" xfId="11828" builtinId="9" hidden="1"/>
    <cellStyle name="Followed Hyperlink" xfId="11830" builtinId="9" hidden="1"/>
    <cellStyle name="Followed Hyperlink" xfId="11832" builtinId="9" hidden="1"/>
    <cellStyle name="Followed Hyperlink" xfId="11834" builtinId="9" hidden="1"/>
    <cellStyle name="Followed Hyperlink" xfId="11836" builtinId="9" hidden="1"/>
    <cellStyle name="Followed Hyperlink" xfId="11838" builtinId="9" hidden="1"/>
    <cellStyle name="Followed Hyperlink" xfId="11840" builtinId="9" hidden="1"/>
    <cellStyle name="Followed Hyperlink" xfId="11842" builtinId="9" hidden="1"/>
    <cellStyle name="Followed Hyperlink" xfId="11844" builtinId="9" hidden="1"/>
    <cellStyle name="Followed Hyperlink" xfId="11846" builtinId="9" hidden="1"/>
    <cellStyle name="Followed Hyperlink" xfId="11848" builtinId="9" hidden="1"/>
    <cellStyle name="Followed Hyperlink" xfId="11850" builtinId="9" hidden="1"/>
    <cellStyle name="Followed Hyperlink" xfId="11852" builtinId="9" hidden="1"/>
    <cellStyle name="Followed Hyperlink" xfId="11854" builtinId="9" hidden="1"/>
    <cellStyle name="Followed Hyperlink" xfId="11856" builtinId="9" hidden="1"/>
    <cellStyle name="Followed Hyperlink" xfId="11858" builtinId="9" hidden="1"/>
    <cellStyle name="Followed Hyperlink" xfId="11860" builtinId="9" hidden="1"/>
    <cellStyle name="Followed Hyperlink" xfId="11862" builtinId="9" hidden="1"/>
    <cellStyle name="Followed Hyperlink" xfId="11864" builtinId="9" hidden="1"/>
    <cellStyle name="Followed Hyperlink" xfId="11866" builtinId="9" hidden="1"/>
    <cellStyle name="Followed Hyperlink" xfId="11868" builtinId="9" hidden="1"/>
    <cellStyle name="Followed Hyperlink" xfId="11870" builtinId="9" hidden="1"/>
    <cellStyle name="Followed Hyperlink" xfId="11872" builtinId="9" hidden="1"/>
    <cellStyle name="Followed Hyperlink" xfId="11874" builtinId="9" hidden="1"/>
    <cellStyle name="Followed Hyperlink" xfId="11876" builtinId="9" hidden="1"/>
    <cellStyle name="Followed Hyperlink" xfId="11878" builtinId="9" hidden="1"/>
    <cellStyle name="Followed Hyperlink" xfId="11880" builtinId="9" hidden="1"/>
    <cellStyle name="Followed Hyperlink" xfId="11882" builtinId="9" hidden="1"/>
    <cellStyle name="Followed Hyperlink" xfId="11884" builtinId="9" hidden="1"/>
    <cellStyle name="Followed Hyperlink" xfId="11886" builtinId="9" hidden="1"/>
    <cellStyle name="Followed Hyperlink" xfId="11888" builtinId="9" hidden="1"/>
    <cellStyle name="Followed Hyperlink" xfId="11890" builtinId="9" hidden="1"/>
    <cellStyle name="Followed Hyperlink" xfId="11892" builtinId="9" hidden="1"/>
    <cellStyle name="Followed Hyperlink" xfId="11894" builtinId="9" hidden="1"/>
    <cellStyle name="Followed Hyperlink" xfId="11896" builtinId="9" hidden="1"/>
    <cellStyle name="Followed Hyperlink" xfId="11898" builtinId="9" hidden="1"/>
    <cellStyle name="Followed Hyperlink" xfId="11900" builtinId="9" hidden="1"/>
    <cellStyle name="Followed Hyperlink" xfId="11902" builtinId="9" hidden="1"/>
    <cellStyle name="Followed Hyperlink" xfId="11904" builtinId="9" hidden="1"/>
    <cellStyle name="Followed Hyperlink" xfId="11906" builtinId="9" hidden="1"/>
    <cellStyle name="Followed Hyperlink" xfId="11908" builtinId="9" hidden="1"/>
    <cellStyle name="Followed Hyperlink" xfId="11910" builtinId="9" hidden="1"/>
    <cellStyle name="Followed Hyperlink" xfId="11912" builtinId="9" hidden="1"/>
    <cellStyle name="Followed Hyperlink" xfId="11914" builtinId="9" hidden="1"/>
    <cellStyle name="Followed Hyperlink" xfId="11916" builtinId="9" hidden="1"/>
    <cellStyle name="Followed Hyperlink" xfId="11918" builtinId="9" hidden="1"/>
    <cellStyle name="Followed Hyperlink" xfId="11920" builtinId="9" hidden="1"/>
    <cellStyle name="Followed Hyperlink" xfId="11922" builtinId="9" hidden="1"/>
    <cellStyle name="Followed Hyperlink" xfId="11924" builtinId="9" hidden="1"/>
    <cellStyle name="Followed Hyperlink" xfId="11926" builtinId="9" hidden="1"/>
    <cellStyle name="Followed Hyperlink" xfId="11928" builtinId="9" hidden="1"/>
    <cellStyle name="Followed Hyperlink" xfId="11930" builtinId="9" hidden="1"/>
    <cellStyle name="Followed Hyperlink" xfId="11932" builtinId="9" hidden="1"/>
    <cellStyle name="Followed Hyperlink" xfId="11934" builtinId="9" hidden="1"/>
    <cellStyle name="Followed Hyperlink" xfId="11936" builtinId="9" hidden="1"/>
    <cellStyle name="Followed Hyperlink" xfId="11938" builtinId="9" hidden="1"/>
    <cellStyle name="Followed Hyperlink" xfId="11940" builtinId="9" hidden="1"/>
    <cellStyle name="Followed Hyperlink" xfId="11942" builtinId="9" hidden="1"/>
    <cellStyle name="Followed Hyperlink" xfId="11944" builtinId="9" hidden="1"/>
    <cellStyle name="Followed Hyperlink" xfId="11946" builtinId="9" hidden="1"/>
    <cellStyle name="Followed Hyperlink" xfId="11948" builtinId="9" hidden="1"/>
    <cellStyle name="Followed Hyperlink" xfId="11950" builtinId="9" hidden="1"/>
    <cellStyle name="Followed Hyperlink" xfId="11952" builtinId="9" hidden="1"/>
    <cellStyle name="Followed Hyperlink" xfId="11954" builtinId="9" hidden="1"/>
    <cellStyle name="Followed Hyperlink" xfId="11956" builtinId="9" hidden="1"/>
    <cellStyle name="Followed Hyperlink" xfId="11958" builtinId="9" hidden="1"/>
    <cellStyle name="Followed Hyperlink" xfId="11960" builtinId="9" hidden="1"/>
    <cellStyle name="Followed Hyperlink" xfId="11962" builtinId="9" hidden="1"/>
    <cellStyle name="Followed Hyperlink" xfId="11964" builtinId="9" hidden="1"/>
    <cellStyle name="Followed Hyperlink" xfId="11966" builtinId="9" hidden="1"/>
    <cellStyle name="Followed Hyperlink" xfId="11968" builtinId="9" hidden="1"/>
    <cellStyle name="Followed Hyperlink" xfId="11970" builtinId="9" hidden="1"/>
    <cellStyle name="Followed Hyperlink" xfId="11972" builtinId="9" hidden="1"/>
    <cellStyle name="Followed Hyperlink" xfId="11974" builtinId="9" hidden="1"/>
    <cellStyle name="Followed Hyperlink" xfId="11976" builtinId="9" hidden="1"/>
    <cellStyle name="Followed Hyperlink" xfId="11978" builtinId="9" hidden="1"/>
    <cellStyle name="Followed Hyperlink" xfId="11980" builtinId="9" hidden="1"/>
    <cellStyle name="Followed Hyperlink" xfId="11982" builtinId="9" hidden="1"/>
    <cellStyle name="Followed Hyperlink" xfId="11984" builtinId="9" hidden="1"/>
    <cellStyle name="Followed Hyperlink" xfId="11986" builtinId="9" hidden="1"/>
    <cellStyle name="Followed Hyperlink" xfId="11988" builtinId="9" hidden="1"/>
    <cellStyle name="Followed Hyperlink" xfId="11990" builtinId="9" hidden="1"/>
    <cellStyle name="Followed Hyperlink" xfId="11992" builtinId="9" hidden="1"/>
    <cellStyle name="Followed Hyperlink" xfId="11994" builtinId="9" hidden="1"/>
    <cellStyle name="Followed Hyperlink" xfId="11996" builtinId="9" hidden="1"/>
    <cellStyle name="Followed Hyperlink" xfId="11998" builtinId="9" hidden="1"/>
    <cellStyle name="Followed Hyperlink" xfId="12000" builtinId="9" hidden="1"/>
    <cellStyle name="Followed Hyperlink" xfId="12002" builtinId="9" hidden="1"/>
    <cellStyle name="Followed Hyperlink" xfId="12004" builtinId="9" hidden="1"/>
    <cellStyle name="Followed Hyperlink" xfId="12006" builtinId="9" hidden="1"/>
    <cellStyle name="Followed Hyperlink" xfId="12005" builtinId="9" hidden="1"/>
    <cellStyle name="Followed Hyperlink" xfId="12001" builtinId="9" hidden="1"/>
    <cellStyle name="Followed Hyperlink" xfId="11997" builtinId="9" hidden="1"/>
    <cellStyle name="Followed Hyperlink" xfId="11993" builtinId="9" hidden="1"/>
    <cellStyle name="Followed Hyperlink" xfId="11989" builtinId="9" hidden="1"/>
    <cellStyle name="Followed Hyperlink" xfId="11985" builtinId="9" hidden="1"/>
    <cellStyle name="Followed Hyperlink" xfId="11981" builtinId="9" hidden="1"/>
    <cellStyle name="Followed Hyperlink" xfId="11977" builtinId="9" hidden="1"/>
    <cellStyle name="Followed Hyperlink" xfId="11973" builtinId="9" hidden="1"/>
    <cellStyle name="Followed Hyperlink" xfId="11969" builtinId="9" hidden="1"/>
    <cellStyle name="Followed Hyperlink" xfId="11965" builtinId="9" hidden="1"/>
    <cellStyle name="Followed Hyperlink" xfId="11961" builtinId="9" hidden="1"/>
    <cellStyle name="Followed Hyperlink" xfId="11957" builtinId="9" hidden="1"/>
    <cellStyle name="Followed Hyperlink" xfId="11953" builtinId="9" hidden="1"/>
    <cellStyle name="Followed Hyperlink" xfId="11949" builtinId="9" hidden="1"/>
    <cellStyle name="Followed Hyperlink" xfId="11945" builtinId="9" hidden="1"/>
    <cellStyle name="Followed Hyperlink" xfId="11941" builtinId="9" hidden="1"/>
    <cellStyle name="Followed Hyperlink" xfId="11937" builtinId="9" hidden="1"/>
    <cellStyle name="Followed Hyperlink" xfId="11933" builtinId="9" hidden="1"/>
    <cellStyle name="Followed Hyperlink" xfId="11929" builtinId="9" hidden="1"/>
    <cellStyle name="Followed Hyperlink" xfId="11925" builtinId="9" hidden="1"/>
    <cellStyle name="Followed Hyperlink" xfId="11921" builtinId="9" hidden="1"/>
    <cellStyle name="Followed Hyperlink" xfId="11917" builtinId="9" hidden="1"/>
    <cellStyle name="Followed Hyperlink" xfId="11913" builtinId="9" hidden="1"/>
    <cellStyle name="Followed Hyperlink" xfId="11909" builtinId="9" hidden="1"/>
    <cellStyle name="Followed Hyperlink" xfId="11905" builtinId="9" hidden="1"/>
    <cellStyle name="Followed Hyperlink" xfId="11901" builtinId="9" hidden="1"/>
    <cellStyle name="Followed Hyperlink" xfId="11897" builtinId="9" hidden="1"/>
    <cellStyle name="Followed Hyperlink" xfId="11893" builtinId="9" hidden="1"/>
    <cellStyle name="Followed Hyperlink" xfId="11889" builtinId="9" hidden="1"/>
    <cellStyle name="Followed Hyperlink" xfId="11885" builtinId="9" hidden="1"/>
    <cellStyle name="Followed Hyperlink" xfId="11881" builtinId="9" hidden="1"/>
    <cellStyle name="Followed Hyperlink" xfId="11877" builtinId="9" hidden="1"/>
    <cellStyle name="Followed Hyperlink" xfId="11873" builtinId="9" hidden="1"/>
    <cellStyle name="Followed Hyperlink" xfId="11869" builtinId="9" hidden="1"/>
    <cellStyle name="Followed Hyperlink" xfId="11865" builtinId="9" hidden="1"/>
    <cellStyle name="Followed Hyperlink" xfId="11861" builtinId="9" hidden="1"/>
    <cellStyle name="Followed Hyperlink" xfId="11857" builtinId="9" hidden="1"/>
    <cellStyle name="Followed Hyperlink" xfId="11853" builtinId="9" hidden="1"/>
    <cellStyle name="Followed Hyperlink" xfId="11849" builtinId="9" hidden="1"/>
    <cellStyle name="Followed Hyperlink" xfId="11845" builtinId="9" hidden="1"/>
    <cellStyle name="Followed Hyperlink" xfId="11841" builtinId="9" hidden="1"/>
    <cellStyle name="Followed Hyperlink" xfId="11837" builtinId="9" hidden="1"/>
    <cellStyle name="Followed Hyperlink" xfId="11833" builtinId="9" hidden="1"/>
    <cellStyle name="Followed Hyperlink" xfId="11829" builtinId="9" hidden="1"/>
    <cellStyle name="Followed Hyperlink" xfId="11825" builtinId="9" hidden="1"/>
    <cellStyle name="Followed Hyperlink" xfId="11821" builtinId="9" hidden="1"/>
    <cellStyle name="Followed Hyperlink" xfId="11817" builtinId="9" hidden="1"/>
    <cellStyle name="Followed Hyperlink" xfId="11813" builtinId="9" hidden="1"/>
    <cellStyle name="Followed Hyperlink" xfId="11809" builtinId="9" hidden="1"/>
    <cellStyle name="Followed Hyperlink" xfId="11805" builtinId="9" hidden="1"/>
    <cellStyle name="Followed Hyperlink" xfId="11801" builtinId="9" hidden="1"/>
    <cellStyle name="Followed Hyperlink" xfId="11797" builtinId="9" hidden="1"/>
    <cellStyle name="Followed Hyperlink" xfId="11793" builtinId="9" hidden="1"/>
    <cellStyle name="Followed Hyperlink" xfId="11789" builtinId="9" hidden="1"/>
    <cellStyle name="Followed Hyperlink" xfId="12007" builtinId="9" hidden="1"/>
    <cellStyle name="Followed Hyperlink" xfId="11560" builtinId="9" hidden="1"/>
    <cellStyle name="Followed Hyperlink" xfId="12008" builtinId="9" hidden="1"/>
    <cellStyle name="Followed Hyperlink" xfId="12012" builtinId="9" hidden="1"/>
    <cellStyle name="Followed Hyperlink" xfId="12014" builtinId="9" hidden="1"/>
    <cellStyle name="Followed Hyperlink" xfId="12016" builtinId="9" hidden="1"/>
    <cellStyle name="Followed Hyperlink" xfId="12018" builtinId="9" hidden="1"/>
    <cellStyle name="Followed Hyperlink" xfId="12020" builtinId="9" hidden="1"/>
    <cellStyle name="Followed Hyperlink" xfId="12022" builtinId="9" hidden="1"/>
    <cellStyle name="Followed Hyperlink" xfId="12024" builtinId="9" hidden="1"/>
    <cellStyle name="Followed Hyperlink" xfId="12026" builtinId="9" hidden="1"/>
    <cellStyle name="Followed Hyperlink" xfId="12028" builtinId="9" hidden="1"/>
    <cellStyle name="Followed Hyperlink" xfId="12030" builtinId="9" hidden="1"/>
    <cellStyle name="Followed Hyperlink" xfId="12032" builtinId="9" hidden="1"/>
    <cellStyle name="Followed Hyperlink" xfId="12034" builtinId="9" hidden="1"/>
    <cellStyle name="Followed Hyperlink" xfId="12036" builtinId="9" hidden="1"/>
    <cellStyle name="Followed Hyperlink" xfId="12038" builtinId="9" hidden="1"/>
    <cellStyle name="Followed Hyperlink" xfId="12040" builtinId="9" hidden="1"/>
    <cellStyle name="Followed Hyperlink" xfId="12042" builtinId="9" hidden="1"/>
    <cellStyle name="Followed Hyperlink" xfId="12044" builtinId="9" hidden="1"/>
    <cellStyle name="Followed Hyperlink" xfId="12046" builtinId="9" hidden="1"/>
    <cellStyle name="Followed Hyperlink" xfId="12048" builtinId="9" hidden="1"/>
    <cellStyle name="Followed Hyperlink" xfId="12050" builtinId="9" hidden="1"/>
    <cellStyle name="Followed Hyperlink" xfId="12052" builtinId="9" hidden="1"/>
    <cellStyle name="Followed Hyperlink" xfId="12054" builtinId="9" hidden="1"/>
    <cellStyle name="Followed Hyperlink" xfId="12056" builtinId="9" hidden="1"/>
    <cellStyle name="Followed Hyperlink" xfId="12058" builtinId="9" hidden="1"/>
    <cellStyle name="Followed Hyperlink" xfId="12060" builtinId="9" hidden="1"/>
    <cellStyle name="Followed Hyperlink" xfId="12062" builtinId="9" hidden="1"/>
    <cellStyle name="Followed Hyperlink" xfId="12064" builtinId="9" hidden="1"/>
    <cellStyle name="Followed Hyperlink" xfId="12066" builtinId="9" hidden="1"/>
    <cellStyle name="Followed Hyperlink" xfId="12068" builtinId="9" hidden="1"/>
    <cellStyle name="Followed Hyperlink" xfId="12070" builtinId="9" hidden="1"/>
    <cellStyle name="Followed Hyperlink" xfId="12072" builtinId="9" hidden="1"/>
    <cellStyle name="Followed Hyperlink" xfId="12074" builtinId="9" hidden="1"/>
    <cellStyle name="Followed Hyperlink" xfId="12076" builtinId="9" hidden="1"/>
    <cellStyle name="Followed Hyperlink" xfId="12078" builtinId="9" hidden="1"/>
    <cellStyle name="Followed Hyperlink" xfId="12080" builtinId="9" hidden="1"/>
    <cellStyle name="Followed Hyperlink" xfId="12082" builtinId="9" hidden="1"/>
    <cellStyle name="Followed Hyperlink" xfId="12084" builtinId="9" hidden="1"/>
    <cellStyle name="Followed Hyperlink" xfId="12086" builtinId="9" hidden="1"/>
    <cellStyle name="Followed Hyperlink" xfId="12088" builtinId="9" hidden="1"/>
    <cellStyle name="Followed Hyperlink" xfId="12090" builtinId="9" hidden="1"/>
    <cellStyle name="Followed Hyperlink" xfId="12092" builtinId="9" hidden="1"/>
    <cellStyle name="Followed Hyperlink" xfId="12094" builtinId="9" hidden="1"/>
    <cellStyle name="Followed Hyperlink" xfId="12096" builtinId="9" hidden="1"/>
    <cellStyle name="Followed Hyperlink" xfId="12098" builtinId="9" hidden="1"/>
    <cellStyle name="Followed Hyperlink" xfId="12100" builtinId="9" hidden="1"/>
    <cellStyle name="Followed Hyperlink" xfId="12102" builtinId="9" hidden="1"/>
    <cellStyle name="Followed Hyperlink" xfId="12104" builtinId="9" hidden="1"/>
    <cellStyle name="Followed Hyperlink" xfId="12106" builtinId="9" hidden="1"/>
    <cellStyle name="Followed Hyperlink" xfId="12108" builtinId="9" hidden="1"/>
    <cellStyle name="Followed Hyperlink" xfId="12110" builtinId="9" hidden="1"/>
    <cellStyle name="Followed Hyperlink" xfId="12112" builtinId="9" hidden="1"/>
    <cellStyle name="Followed Hyperlink" xfId="12114" builtinId="9" hidden="1"/>
    <cellStyle name="Followed Hyperlink" xfId="12178" builtinId="9" hidden="1"/>
    <cellStyle name="Followed Hyperlink" xfId="12179" builtinId="9" hidden="1"/>
    <cellStyle name="Followed Hyperlink" xfId="12180" builtinId="9" hidden="1"/>
    <cellStyle name="Followed Hyperlink" xfId="12181" builtinId="9" hidden="1"/>
    <cellStyle name="Followed Hyperlink" xfId="12182" builtinId="9" hidden="1"/>
    <cellStyle name="Followed Hyperlink" xfId="12183" builtinId="9" hidden="1"/>
    <cellStyle name="Followed Hyperlink" xfId="12184" builtinId="9" hidden="1"/>
    <cellStyle name="Followed Hyperlink" xfId="12185" builtinId="9" hidden="1"/>
    <cellStyle name="Followed Hyperlink" xfId="12186" builtinId="9" hidden="1"/>
    <cellStyle name="Followed Hyperlink" xfId="12187" builtinId="9" hidden="1"/>
    <cellStyle name="Followed Hyperlink" xfId="12188" builtinId="9" hidden="1"/>
    <cellStyle name="Followed Hyperlink" xfId="12189" builtinId="9" hidden="1"/>
    <cellStyle name="Followed Hyperlink" xfId="12190" builtinId="9" hidden="1"/>
    <cellStyle name="Followed Hyperlink" xfId="12191" builtinId="9" hidden="1"/>
    <cellStyle name="Followed Hyperlink" xfId="12192" builtinId="9" hidden="1"/>
    <cellStyle name="Followed Hyperlink" xfId="12193" builtinId="9" hidden="1"/>
    <cellStyle name="Followed Hyperlink" xfId="12194" builtinId="9" hidden="1"/>
    <cellStyle name="Followed Hyperlink" xfId="12195" builtinId="9" hidden="1"/>
    <cellStyle name="Followed Hyperlink" xfId="12196" builtinId="9" hidden="1"/>
    <cellStyle name="Followed Hyperlink" xfId="12197" builtinId="9" hidden="1"/>
    <cellStyle name="Followed Hyperlink" xfId="12198" builtinId="9" hidden="1"/>
    <cellStyle name="Followed Hyperlink" xfId="12199" builtinId="9" hidden="1"/>
    <cellStyle name="Followed Hyperlink" xfId="12200" builtinId="9" hidden="1"/>
    <cellStyle name="Followed Hyperlink" xfId="12201" builtinId="9" hidden="1"/>
    <cellStyle name="Followed Hyperlink" xfId="12202" builtinId="9" hidden="1"/>
    <cellStyle name="Followed Hyperlink" xfId="12203" builtinId="9" hidden="1"/>
    <cellStyle name="Followed Hyperlink" xfId="12204" builtinId="9" hidden="1"/>
    <cellStyle name="Followed Hyperlink" xfId="12205" builtinId="9" hidden="1"/>
    <cellStyle name="Followed Hyperlink" xfId="12206" builtinId="9" hidden="1"/>
    <cellStyle name="Followed Hyperlink" xfId="12207" builtinId="9" hidden="1"/>
    <cellStyle name="Followed Hyperlink" xfId="12208" builtinId="9" hidden="1"/>
    <cellStyle name="Followed Hyperlink" xfId="12209" builtinId="9" hidden="1"/>
    <cellStyle name="Followed Hyperlink" xfId="12210" builtinId="9" hidden="1"/>
    <cellStyle name="Followed Hyperlink" xfId="12211" builtinId="9" hidden="1"/>
    <cellStyle name="Followed Hyperlink" xfId="12212" builtinId="9" hidden="1"/>
    <cellStyle name="Followed Hyperlink" xfId="12213" builtinId="9" hidden="1"/>
    <cellStyle name="Followed Hyperlink" xfId="12214" builtinId="9" hidden="1"/>
    <cellStyle name="Followed Hyperlink" xfId="12215" builtinId="9" hidden="1"/>
    <cellStyle name="Followed Hyperlink" xfId="12216" builtinId="9" hidden="1"/>
    <cellStyle name="Followed Hyperlink" xfId="12217" builtinId="9" hidden="1"/>
    <cellStyle name="Followed Hyperlink" xfId="12218" builtinId="9" hidden="1"/>
    <cellStyle name="Followed Hyperlink" xfId="12290" builtinId="9" hidden="1"/>
    <cellStyle name="Followed Hyperlink" xfId="12291" builtinId="9" hidden="1"/>
    <cellStyle name="Followed Hyperlink" xfId="12292" builtinId="9" hidden="1"/>
    <cellStyle name="Followed Hyperlink" xfId="12293" builtinId="9" hidden="1"/>
    <cellStyle name="Followed Hyperlink" xfId="12294" builtinId="9" hidden="1"/>
    <cellStyle name="Followed Hyperlink" xfId="12295" builtinId="9" hidden="1"/>
    <cellStyle name="Followed Hyperlink" xfId="12296" builtinId="9" hidden="1"/>
    <cellStyle name="Followed Hyperlink" xfId="12297" builtinId="9" hidden="1"/>
    <cellStyle name="Followed Hyperlink" xfId="12298" builtinId="9" hidden="1"/>
    <cellStyle name="Followed Hyperlink" xfId="12299" builtinId="9" hidden="1"/>
    <cellStyle name="Followed Hyperlink" xfId="12300" builtinId="9" hidden="1"/>
    <cellStyle name="Followed Hyperlink" xfId="12301" builtinId="9" hidden="1"/>
    <cellStyle name="Followed Hyperlink" xfId="12302" builtinId="9" hidden="1"/>
    <cellStyle name="Followed Hyperlink" xfId="12303" builtinId="9" hidden="1"/>
    <cellStyle name="Followed Hyperlink" xfId="12304" builtinId="9" hidden="1"/>
    <cellStyle name="Followed Hyperlink" xfId="12305" builtinId="9" hidden="1"/>
    <cellStyle name="Followed Hyperlink" xfId="12306" builtinId="9" hidden="1"/>
    <cellStyle name="Followed Hyperlink" xfId="12307" builtinId="9" hidden="1"/>
    <cellStyle name="Followed Hyperlink" xfId="12308" builtinId="9" hidden="1"/>
    <cellStyle name="Followed Hyperlink" xfId="12309" builtinId="9" hidden="1"/>
    <cellStyle name="Followed Hyperlink" xfId="12310" builtinId="9" hidden="1"/>
    <cellStyle name="Followed Hyperlink" xfId="12311" builtinId="9" hidden="1"/>
    <cellStyle name="Followed Hyperlink" xfId="12312" builtinId="9" hidden="1"/>
    <cellStyle name="Followed Hyperlink" xfId="12313" builtinId="9" hidden="1"/>
    <cellStyle name="Followed Hyperlink" xfId="12314" builtinId="9" hidden="1"/>
    <cellStyle name="Followed Hyperlink" xfId="12315" builtinId="9" hidden="1"/>
    <cellStyle name="Followed Hyperlink" xfId="12316" builtinId="9" hidden="1"/>
    <cellStyle name="Followed Hyperlink" xfId="12317" builtinId="9" hidden="1"/>
    <cellStyle name="Followed Hyperlink" xfId="12318" builtinId="9" hidden="1"/>
    <cellStyle name="Followed Hyperlink" xfId="12319" builtinId="9" hidden="1"/>
    <cellStyle name="Followed Hyperlink" xfId="12320" builtinId="9" hidden="1"/>
    <cellStyle name="Followed Hyperlink" xfId="12321" builtinId="9" hidden="1"/>
    <cellStyle name="Followed Hyperlink" xfId="12322" builtinId="9" hidden="1"/>
    <cellStyle name="Followed Hyperlink" xfId="12323" builtinId="9" hidden="1"/>
    <cellStyle name="Followed Hyperlink" xfId="12324" builtinId="9" hidden="1"/>
    <cellStyle name="Followed Hyperlink" xfId="12325" builtinId="9" hidden="1"/>
    <cellStyle name="Followed Hyperlink" xfId="12326" builtinId="9" hidden="1"/>
    <cellStyle name="Followed Hyperlink" xfId="12327" builtinId="9" hidden="1"/>
    <cellStyle name="Followed Hyperlink" xfId="12328" builtinId="9" hidden="1"/>
    <cellStyle name="Followed Hyperlink" xfId="12329" builtinId="9" hidden="1"/>
    <cellStyle name="Followed Hyperlink" xfId="12330" builtinId="9" hidden="1"/>
    <cellStyle name="Followed Hyperlink" xfId="12331" builtinId="9" hidden="1"/>
    <cellStyle name="Followed Hyperlink" xfId="12332" builtinId="9" hidden="1"/>
    <cellStyle name="Followed Hyperlink" xfId="12333" builtinId="9" hidden="1"/>
    <cellStyle name="Followed Hyperlink" xfId="12334" builtinId="9" hidden="1"/>
    <cellStyle name="Followed Hyperlink" xfId="12335" builtinId="9" hidden="1"/>
    <cellStyle name="Followed Hyperlink" xfId="12336" builtinId="9" hidden="1"/>
    <cellStyle name="Followed Hyperlink" xfId="12337" builtinId="9" hidden="1"/>
    <cellStyle name="Followed Hyperlink" xfId="12338" builtinId="9" hidden="1"/>
    <cellStyle name="Followed Hyperlink" xfId="12339" builtinId="9" hidden="1"/>
    <cellStyle name="Followed Hyperlink" xfId="12340" builtinId="9" hidden="1"/>
    <cellStyle name="Followed Hyperlink" xfId="12341" builtinId="9" hidden="1"/>
    <cellStyle name="Followed Hyperlink" xfId="12342" builtinId="9" hidden="1"/>
    <cellStyle name="Followed Hyperlink" xfId="12343" builtinId="9" hidden="1"/>
    <cellStyle name="Followed Hyperlink" xfId="12344" builtinId="9" hidden="1"/>
    <cellStyle name="Followed Hyperlink" xfId="12345" builtinId="9" hidden="1"/>
    <cellStyle name="Followed Hyperlink" xfId="12346" builtinId="9" hidden="1"/>
    <cellStyle name="Followed Hyperlink" xfId="12347" builtinId="9" hidden="1"/>
    <cellStyle name="Followed Hyperlink" xfId="12348" builtinId="9" hidden="1"/>
    <cellStyle name="Followed Hyperlink" xfId="12349" builtinId="9" hidden="1"/>
    <cellStyle name="Followed Hyperlink" xfId="12350" builtinId="9" hidden="1"/>
    <cellStyle name="Followed Hyperlink" xfId="12351" builtinId="9" hidden="1"/>
    <cellStyle name="Followed Hyperlink" xfId="12352" builtinId="9" hidden="1"/>
    <cellStyle name="Followed Hyperlink" xfId="12353" builtinId="9" hidden="1"/>
    <cellStyle name="Followed Hyperlink" xfId="12354" builtinId="9" hidden="1"/>
    <cellStyle name="Followed Hyperlink" xfId="12355" builtinId="9" hidden="1"/>
    <cellStyle name="Followed Hyperlink" xfId="12356" builtinId="9" hidden="1"/>
    <cellStyle name="Followed Hyperlink" xfId="12357" builtinId="9" hidden="1"/>
    <cellStyle name="Followed Hyperlink" xfId="12358" builtinId="9" hidden="1"/>
    <cellStyle name="Followed Hyperlink" xfId="12359" builtinId="9" hidden="1"/>
    <cellStyle name="Followed Hyperlink" xfId="12360" builtinId="9" hidden="1"/>
    <cellStyle name="Followed Hyperlink" xfId="12361" builtinId="9" hidden="1"/>
    <cellStyle name="Followed Hyperlink" xfId="12362" builtinId="9" hidden="1"/>
    <cellStyle name="Followed Hyperlink" xfId="12363" builtinId="9" hidden="1"/>
    <cellStyle name="Followed Hyperlink" xfId="12364" builtinId="9" hidden="1"/>
    <cellStyle name="Followed Hyperlink" xfId="12370" builtinId="9" hidden="1"/>
    <cellStyle name="Followed Hyperlink" xfId="12371" builtinId="9" hidden="1"/>
    <cellStyle name="Followed Hyperlink" xfId="12372" builtinId="9" hidden="1"/>
    <cellStyle name="Followed Hyperlink" xfId="12373" builtinId="9" hidden="1"/>
    <cellStyle name="Followed Hyperlink" xfId="12374" builtinId="9" hidden="1"/>
    <cellStyle name="Followed Hyperlink" xfId="12375" builtinId="9" hidden="1"/>
    <cellStyle name="Followed Hyperlink" xfId="12376" builtinId="9" hidden="1"/>
    <cellStyle name="Followed Hyperlink" xfId="12377" builtinId="9" hidden="1"/>
    <cellStyle name="Followed Hyperlink" xfId="12378" builtinId="9" hidden="1"/>
    <cellStyle name="Followed Hyperlink" xfId="12379" builtinId="9" hidden="1"/>
    <cellStyle name="Followed Hyperlink" xfId="12380" builtinId="9" hidden="1"/>
    <cellStyle name="Followed Hyperlink" xfId="12381" builtinId="9" hidden="1"/>
    <cellStyle name="Followed Hyperlink" xfId="12382" builtinId="9" hidden="1"/>
    <cellStyle name="Followed Hyperlink" xfId="12383" builtinId="9" hidden="1"/>
    <cellStyle name="Followed Hyperlink" xfId="12384" builtinId="9" hidden="1"/>
    <cellStyle name="Followed Hyperlink" xfId="12385" builtinId="9" hidden="1"/>
    <cellStyle name="Followed Hyperlink" xfId="12386" builtinId="9" hidden="1"/>
    <cellStyle name="Followed Hyperlink" xfId="12387" builtinId="9" hidden="1"/>
    <cellStyle name="Followed Hyperlink" xfId="12388" builtinId="9" hidden="1"/>
    <cellStyle name="Followed Hyperlink" xfId="12389" builtinId="9" hidden="1"/>
    <cellStyle name="Followed Hyperlink" xfId="12390" builtinId="9" hidden="1"/>
    <cellStyle name="Followed Hyperlink" xfId="12391" builtinId="9" hidden="1"/>
    <cellStyle name="Followed Hyperlink" xfId="12392" builtinId="9" hidden="1"/>
    <cellStyle name="Followed Hyperlink" xfId="12393" builtinId="9" hidden="1"/>
    <cellStyle name="Followed Hyperlink" xfId="12394" builtinId="9" hidden="1"/>
    <cellStyle name="Followed Hyperlink" xfId="12395" builtinId="9" hidden="1"/>
    <cellStyle name="Followed Hyperlink" xfId="12396" builtinId="9" hidden="1"/>
    <cellStyle name="Followed Hyperlink" xfId="12397" builtinId="9" hidden="1"/>
    <cellStyle name="Followed Hyperlink" xfId="12398" builtinId="9" hidden="1"/>
    <cellStyle name="Followed Hyperlink" xfId="12399" builtinId="9" hidden="1"/>
    <cellStyle name="Followed Hyperlink" xfId="12400" builtinId="9" hidden="1"/>
    <cellStyle name="Followed Hyperlink" xfId="12401" builtinId="9" hidden="1"/>
    <cellStyle name="Followed Hyperlink" xfId="12402" builtinId="9" hidden="1"/>
    <cellStyle name="Followed Hyperlink" xfId="12403" builtinId="9" hidden="1"/>
    <cellStyle name="Followed Hyperlink" xfId="12404" builtinId="9" hidden="1"/>
    <cellStyle name="Followed Hyperlink" xfId="12405" builtinId="9" hidden="1"/>
    <cellStyle name="Followed Hyperlink" xfId="12406" builtinId="9" hidden="1"/>
    <cellStyle name="Followed Hyperlink" xfId="12407" builtinId="9" hidden="1"/>
    <cellStyle name="Followed Hyperlink" xfId="12408" builtinId="9" hidden="1"/>
    <cellStyle name="Followed Hyperlink" xfId="12409" builtinId="9" hidden="1"/>
    <cellStyle name="Followed Hyperlink" xfId="12410" builtinId="9" hidden="1"/>
    <cellStyle name="Followed Hyperlink" xfId="12411" builtinId="9" hidden="1"/>
    <cellStyle name="Followed Hyperlink" xfId="12412" builtinId="9" hidden="1"/>
    <cellStyle name="Followed Hyperlink" xfId="12413" builtinId="9" hidden="1"/>
    <cellStyle name="Followed Hyperlink" xfId="12414" builtinId="9" hidden="1"/>
    <cellStyle name="Followed Hyperlink" xfId="12415" builtinId="9" hidden="1"/>
    <cellStyle name="Followed Hyperlink" xfId="12416" builtinId="9" hidden="1"/>
    <cellStyle name="Followed Hyperlink" xfId="12417" builtinId="9" hidden="1"/>
    <cellStyle name="Followed Hyperlink" xfId="12418" builtinId="9" hidden="1"/>
    <cellStyle name="Followed Hyperlink" xfId="12419" builtinId="9" hidden="1"/>
    <cellStyle name="Followed Hyperlink" xfId="12424" builtinId="9" hidden="1"/>
    <cellStyle name="Followed Hyperlink" xfId="12425" builtinId="9" hidden="1"/>
    <cellStyle name="Followed Hyperlink" xfId="12426" builtinId="9" hidden="1"/>
    <cellStyle name="Followed Hyperlink" xfId="12427" builtinId="9" hidden="1"/>
    <cellStyle name="Followed Hyperlink" xfId="12428" builtinId="9" hidden="1"/>
    <cellStyle name="Followed Hyperlink" xfId="12429" builtinId="9" hidden="1"/>
    <cellStyle name="Followed Hyperlink" xfId="12430" builtinId="9" hidden="1"/>
    <cellStyle name="Followed Hyperlink" xfId="12431" builtinId="9" hidden="1"/>
    <cellStyle name="Followed Hyperlink" xfId="12432" builtinId="9" hidden="1"/>
    <cellStyle name="Followed Hyperlink" xfId="12433" builtinId="9" hidden="1"/>
    <cellStyle name="Followed Hyperlink" xfId="12434" builtinId="9" hidden="1"/>
    <cellStyle name="Followed Hyperlink" xfId="12435" builtinId="9" hidden="1"/>
    <cellStyle name="Followed Hyperlink" xfId="12436" builtinId="9" hidden="1"/>
    <cellStyle name="Followed Hyperlink" xfId="12437" builtinId="9" hidden="1"/>
    <cellStyle name="Followed Hyperlink" xfId="12438" builtinId="9" hidden="1"/>
    <cellStyle name="Followed Hyperlink" xfId="12439" builtinId="9" hidden="1"/>
    <cellStyle name="Followed Hyperlink" xfId="12440" builtinId="9" hidden="1"/>
    <cellStyle name="Followed Hyperlink" xfId="12441" builtinId="9" hidden="1"/>
    <cellStyle name="Followed Hyperlink" xfId="12442" builtinId="9" hidden="1"/>
    <cellStyle name="Followed Hyperlink" xfId="12443" builtinId="9" hidden="1"/>
    <cellStyle name="Followed Hyperlink" xfId="12444" builtinId="9" hidden="1"/>
    <cellStyle name="Followed Hyperlink" xfId="12445" builtinId="9" hidden="1"/>
    <cellStyle name="Followed Hyperlink" xfId="12446" builtinId="9" hidden="1"/>
    <cellStyle name="Followed Hyperlink" xfId="12447" builtinId="9" hidden="1"/>
    <cellStyle name="Followed Hyperlink" xfId="12448" builtinId="9" hidden="1"/>
    <cellStyle name="Followed Hyperlink" xfId="12449" builtinId="9" hidden="1"/>
    <cellStyle name="Followed Hyperlink" xfId="12450" builtinId="9" hidden="1"/>
    <cellStyle name="Followed Hyperlink" xfId="12451" builtinId="9" hidden="1"/>
    <cellStyle name="Followed Hyperlink" xfId="12452" builtinId="9" hidden="1"/>
    <cellStyle name="Followed Hyperlink" xfId="12453" builtinId="9" hidden="1"/>
    <cellStyle name="Followed Hyperlink" xfId="12454" builtinId="9" hidden="1"/>
    <cellStyle name="Followed Hyperlink" xfId="12455" builtinId="9" hidden="1"/>
    <cellStyle name="Followed Hyperlink" xfId="12456" builtinId="9" hidden="1"/>
    <cellStyle name="Followed Hyperlink" xfId="12457" builtinId="9" hidden="1"/>
    <cellStyle name="Followed Hyperlink" xfId="12458" builtinId="9" hidden="1"/>
    <cellStyle name="Followed Hyperlink" xfId="12459" builtinId="9" hidden="1"/>
    <cellStyle name="Followed Hyperlink" xfId="12460" builtinId="9" hidden="1"/>
    <cellStyle name="Followed Hyperlink" xfId="12461" builtinId="9" hidden="1"/>
    <cellStyle name="Followed Hyperlink" xfId="12462" builtinId="9" hidden="1"/>
    <cellStyle name="Followed Hyperlink" xfId="12463" builtinId="9" hidden="1"/>
    <cellStyle name="Followed Hyperlink" xfId="12464" builtinId="9" hidden="1"/>
    <cellStyle name="Followed Hyperlink" xfId="12465" builtinId="9" hidden="1"/>
    <cellStyle name="Followed Hyperlink" xfId="12466" builtinId="9" hidden="1"/>
    <cellStyle name="Followed Hyperlink" xfId="12467" builtinId="9" hidden="1"/>
    <cellStyle name="Followed Hyperlink" xfId="12468" builtinId="9" hidden="1"/>
    <cellStyle name="Followed Hyperlink" xfId="12469" builtinId="9" hidden="1"/>
    <cellStyle name="Followed Hyperlink" xfId="12470" builtinId="9" hidden="1"/>
    <cellStyle name="Followed Hyperlink" xfId="12471" builtinId="9" hidden="1"/>
    <cellStyle name="Followed Hyperlink" xfId="12472" builtinId="9" hidden="1"/>
    <cellStyle name="Followed Hyperlink" xfId="12473" builtinId="9" hidden="1"/>
    <cellStyle name="Followed Hyperlink" xfId="12474" builtinId="9" hidden="1"/>
    <cellStyle name="Followed Hyperlink" xfId="12475" builtinId="9" hidden="1"/>
    <cellStyle name="Followed Hyperlink" xfId="12476" builtinId="9" hidden="1"/>
    <cellStyle name="Followed Hyperlink" xfId="12477" builtinId="9" hidden="1"/>
    <cellStyle name="Followed Hyperlink" xfId="12478" builtinId="9" hidden="1"/>
    <cellStyle name="Followed Hyperlink" xfId="12479" builtinId="9" hidden="1"/>
    <cellStyle name="Followed Hyperlink" xfId="12480" builtinId="9" hidden="1"/>
    <cellStyle name="Followed Hyperlink" xfId="12481" builtinId="9" hidden="1"/>
    <cellStyle name="Followed Hyperlink" xfId="12482" builtinId="9" hidden="1"/>
    <cellStyle name="Followed Hyperlink" xfId="12483" builtinId="9" hidden="1"/>
    <cellStyle name="Followed Hyperlink" xfId="12484" builtinId="9" hidden="1"/>
    <cellStyle name="Followed Hyperlink" xfId="12485" builtinId="9" hidden="1"/>
    <cellStyle name="Followed Hyperlink" xfId="12486" builtinId="9" hidden="1"/>
    <cellStyle name="Followed Hyperlink" xfId="12487" builtinId="9" hidden="1"/>
    <cellStyle name="Followed Hyperlink" xfId="12488" builtinId="9" hidden="1"/>
    <cellStyle name="Followed Hyperlink" xfId="12489" builtinId="9" hidden="1"/>
    <cellStyle name="Followed Hyperlink" xfId="12490" builtinId="9" hidden="1"/>
    <cellStyle name="Followed Hyperlink" xfId="12491" builtinId="9" hidden="1"/>
    <cellStyle name="Followed Hyperlink" xfId="12492" builtinId="9" hidden="1"/>
    <cellStyle name="Followed Hyperlink" xfId="12493" builtinId="9" hidden="1"/>
    <cellStyle name="Followed Hyperlink" xfId="12494" builtinId="9" hidden="1"/>
    <cellStyle name="Followed Hyperlink" xfId="12495" builtinId="9" hidden="1"/>
    <cellStyle name="Followed Hyperlink" xfId="12496" builtinId="9" hidden="1"/>
    <cellStyle name="Followed Hyperlink" xfId="12497" builtinId="9" hidden="1"/>
    <cellStyle name="Followed Hyperlink" xfId="12498" builtinId="9" hidden="1"/>
    <cellStyle name="Followed Hyperlink" xfId="12499" builtinId="9" hidden="1"/>
    <cellStyle name="Followed Hyperlink" xfId="12500" builtinId="9" hidden="1"/>
    <cellStyle name="Followed Hyperlink" xfId="12501" builtinId="9" hidden="1"/>
    <cellStyle name="Followed Hyperlink" xfId="12502" builtinId="9" hidden="1"/>
    <cellStyle name="Followed Hyperlink" xfId="12503" builtinId="9" hidden="1"/>
    <cellStyle name="Followed Hyperlink" xfId="12504" builtinId="9" hidden="1"/>
    <cellStyle name="Followed Hyperlink" xfId="12505" builtinId="9" hidden="1"/>
    <cellStyle name="Followed Hyperlink" xfId="12506" builtinId="9" hidden="1"/>
    <cellStyle name="Followed Hyperlink" xfId="12507" builtinId="9" hidden="1"/>
    <cellStyle name="Followed Hyperlink" xfId="12508" builtinId="9" hidden="1"/>
    <cellStyle name="Followed Hyperlink" xfId="12509" builtinId="9" hidden="1"/>
    <cellStyle name="Followed Hyperlink" xfId="12510" builtinId="9" hidden="1"/>
    <cellStyle name="Followed Hyperlink" xfId="12511" builtinId="9" hidden="1"/>
    <cellStyle name="Followed Hyperlink" xfId="12512" builtinId="9" hidden="1"/>
    <cellStyle name="Followed Hyperlink" xfId="12513" builtinId="9" hidden="1"/>
    <cellStyle name="Followed Hyperlink" xfId="12514" builtinId="9" hidden="1"/>
    <cellStyle name="Followed Hyperlink" xfId="12515" builtinId="9" hidden="1"/>
    <cellStyle name="Followed Hyperlink" xfId="12516" builtinId="9" hidden="1"/>
    <cellStyle name="Followed Hyperlink" xfId="12517" builtinId="9" hidden="1"/>
    <cellStyle name="Followed Hyperlink" xfId="12518" builtinId="9" hidden="1"/>
    <cellStyle name="Followed Hyperlink" xfId="12519" builtinId="9" hidden="1"/>
    <cellStyle name="Followed Hyperlink" xfId="12520" builtinId="9" hidden="1"/>
    <cellStyle name="Followed Hyperlink" xfId="12521" builtinId="9" hidden="1"/>
    <cellStyle name="Followed Hyperlink" xfId="12522" builtinId="9" hidden="1"/>
    <cellStyle name="Followed Hyperlink" xfId="12523" builtinId="9" hidden="1"/>
    <cellStyle name="Followed Hyperlink" xfId="12524" builtinId="9" hidden="1"/>
    <cellStyle name="Followed Hyperlink" xfId="12525" builtinId="9" hidden="1"/>
    <cellStyle name="Followed Hyperlink" xfId="12526" builtinId="9" hidden="1"/>
    <cellStyle name="Followed Hyperlink" xfId="12527" builtinId="9" hidden="1"/>
    <cellStyle name="Followed Hyperlink" xfId="12528" builtinId="9" hidden="1"/>
    <cellStyle name="Followed Hyperlink" xfId="12529" builtinId="9" hidden="1"/>
    <cellStyle name="Followed Hyperlink" xfId="12530" builtinId="9" hidden="1"/>
    <cellStyle name="Followed Hyperlink" xfId="12531" builtinId="9" hidden="1"/>
    <cellStyle name="Followed Hyperlink" xfId="12532" builtinId="9" hidden="1"/>
    <cellStyle name="Followed Hyperlink" xfId="12533" builtinId="9" hidden="1"/>
    <cellStyle name="Followed Hyperlink" xfId="12534" builtinId="9" hidden="1"/>
    <cellStyle name="Followed Hyperlink" xfId="12535" builtinId="9" hidden="1"/>
    <cellStyle name="Followed Hyperlink" xfId="12536" builtinId="9" hidden="1"/>
    <cellStyle name="Followed Hyperlink" xfId="12537" builtinId="9" hidden="1"/>
    <cellStyle name="Followed Hyperlink" xfId="12538" builtinId="9" hidden="1"/>
    <cellStyle name="Followed Hyperlink" xfId="12539" builtinId="9" hidden="1"/>
    <cellStyle name="Followed Hyperlink" xfId="12540" builtinId="9" hidden="1"/>
    <cellStyle name="Followed Hyperlink" xfId="12541" builtinId="9" hidden="1"/>
    <cellStyle name="Followed Hyperlink" xfId="12542" builtinId="9" hidden="1"/>
    <cellStyle name="Followed Hyperlink" xfId="12543" builtinId="9" hidden="1"/>
    <cellStyle name="Followed Hyperlink" xfId="12544" builtinId="9" hidden="1"/>
    <cellStyle name="Followed Hyperlink" xfId="12545" builtinId="9" hidden="1"/>
    <cellStyle name="Followed Hyperlink" xfId="12546" builtinId="9" hidden="1"/>
    <cellStyle name="Followed Hyperlink" xfId="12547" builtinId="9" hidden="1"/>
    <cellStyle name="Followed Hyperlink" xfId="12548" builtinId="9" hidden="1"/>
    <cellStyle name="Followed Hyperlink" xfId="12549" builtinId="9" hidden="1"/>
    <cellStyle name="Followed Hyperlink" xfId="12550" builtinId="9" hidden="1"/>
    <cellStyle name="Followed Hyperlink" xfId="12551" builtinId="9" hidden="1"/>
    <cellStyle name="Followed Hyperlink" xfId="12552" builtinId="9" hidden="1"/>
    <cellStyle name="Followed Hyperlink" xfId="12553" builtinId="9" hidden="1"/>
    <cellStyle name="Followed Hyperlink" xfId="12554" builtinId="9" hidden="1"/>
    <cellStyle name="Followed Hyperlink" xfId="12555" builtinId="9" hidden="1"/>
    <cellStyle name="Followed Hyperlink" xfId="12556" builtinId="9" hidden="1"/>
    <cellStyle name="Followed Hyperlink" xfId="12557" builtinId="9" hidden="1"/>
    <cellStyle name="Followed Hyperlink" xfId="12558" builtinId="9" hidden="1"/>
    <cellStyle name="Followed Hyperlink" xfId="12559" builtinId="9" hidden="1"/>
    <cellStyle name="Followed Hyperlink" xfId="12560" builtinId="9" hidden="1"/>
    <cellStyle name="Followed Hyperlink" xfId="12561" builtinId="9" hidden="1"/>
    <cellStyle name="Followed Hyperlink" xfId="12562" builtinId="9" hidden="1"/>
    <cellStyle name="Followed Hyperlink" xfId="12563" builtinId="9" hidden="1"/>
    <cellStyle name="Followed Hyperlink" xfId="12564" builtinId="9" hidden="1"/>
    <cellStyle name="Followed Hyperlink" xfId="12565" builtinId="9" hidden="1"/>
    <cellStyle name="Followed Hyperlink" xfId="12566" builtinId="9" hidden="1"/>
    <cellStyle name="Followed Hyperlink" xfId="12567" builtinId="9" hidden="1"/>
    <cellStyle name="Followed Hyperlink" xfId="12568" builtinId="9" hidden="1"/>
    <cellStyle name="Followed Hyperlink" xfId="12569" builtinId="9" hidden="1"/>
    <cellStyle name="Followed Hyperlink" xfId="12570" builtinId="9" hidden="1"/>
    <cellStyle name="Followed Hyperlink" xfId="12571" builtinId="9" hidden="1"/>
    <cellStyle name="Followed Hyperlink" xfId="13219" builtinId="9" hidden="1"/>
    <cellStyle name="Followed Hyperlink" xfId="13221" builtinId="9" hidden="1"/>
    <cellStyle name="Followed Hyperlink" xfId="13223" builtinId="9" hidden="1"/>
    <cellStyle name="Followed Hyperlink" xfId="13225" builtinId="9" hidden="1"/>
    <cellStyle name="Followed Hyperlink" xfId="13227" builtinId="9" hidden="1"/>
    <cellStyle name="Followed Hyperlink" xfId="13229" builtinId="9" hidden="1"/>
    <cellStyle name="Followed Hyperlink" xfId="13231" builtinId="9" hidden="1"/>
    <cellStyle name="Followed Hyperlink" xfId="13233" builtinId="9" hidden="1"/>
    <cellStyle name="Followed Hyperlink" xfId="13235" builtinId="9" hidden="1"/>
    <cellStyle name="Followed Hyperlink" xfId="13237" builtinId="9" hidden="1"/>
    <cellStyle name="Followed Hyperlink" xfId="13239" builtinId="9" hidden="1"/>
    <cellStyle name="Followed Hyperlink" xfId="13241" builtinId="9" hidden="1"/>
    <cellStyle name="Followed Hyperlink" xfId="13243" builtinId="9" hidden="1"/>
    <cellStyle name="Followed Hyperlink" xfId="13245" builtinId="9" hidden="1"/>
    <cellStyle name="Followed Hyperlink" xfId="13247" builtinId="9" hidden="1"/>
    <cellStyle name="Followed Hyperlink" xfId="13249" builtinId="9" hidden="1"/>
    <cellStyle name="Followed Hyperlink" xfId="13251" builtinId="9" hidden="1"/>
    <cellStyle name="Followed Hyperlink" xfId="13253" builtinId="9" hidden="1"/>
    <cellStyle name="Followed Hyperlink" xfId="13255" builtinId="9" hidden="1"/>
    <cellStyle name="Followed Hyperlink" xfId="13257" builtinId="9" hidden="1"/>
    <cellStyle name="Followed Hyperlink" xfId="13259" builtinId="9" hidden="1"/>
    <cellStyle name="Followed Hyperlink" xfId="13261" builtinId="9" hidden="1"/>
    <cellStyle name="Followed Hyperlink" xfId="13263" builtinId="9" hidden="1"/>
    <cellStyle name="Followed Hyperlink" xfId="13265" builtinId="9" hidden="1"/>
    <cellStyle name="Followed Hyperlink" xfId="13267" builtinId="9" hidden="1"/>
    <cellStyle name="Followed Hyperlink" xfId="13269" builtinId="9" hidden="1"/>
    <cellStyle name="Followed Hyperlink" xfId="13271" builtinId="9" hidden="1"/>
    <cellStyle name="Followed Hyperlink" xfId="13273" builtinId="9" hidden="1"/>
    <cellStyle name="Followed Hyperlink" xfId="13275" builtinId="9" hidden="1"/>
    <cellStyle name="Followed Hyperlink" xfId="13277" builtinId="9" hidden="1"/>
    <cellStyle name="Followed Hyperlink" xfId="13279" builtinId="9" hidden="1"/>
    <cellStyle name="Followed Hyperlink" xfId="13281" builtinId="9" hidden="1"/>
    <cellStyle name="Followed Hyperlink" xfId="13283" builtinId="9" hidden="1"/>
    <cellStyle name="Followed Hyperlink" xfId="13285" builtinId="9" hidden="1"/>
    <cellStyle name="Followed Hyperlink" xfId="13287" builtinId="9" hidden="1"/>
    <cellStyle name="Followed Hyperlink" xfId="13289" builtinId="9" hidden="1"/>
    <cellStyle name="Followed Hyperlink" xfId="13291" builtinId="9" hidden="1"/>
    <cellStyle name="Followed Hyperlink" xfId="13293" builtinId="9" hidden="1"/>
    <cellStyle name="Followed Hyperlink" xfId="13295" builtinId="9" hidden="1"/>
    <cellStyle name="Followed Hyperlink" xfId="13297" builtinId="9" hidden="1"/>
    <cellStyle name="Followed Hyperlink" xfId="13299" builtinId="9" hidden="1"/>
    <cellStyle name="Followed Hyperlink" xfId="13301" builtinId="9" hidden="1"/>
    <cellStyle name="Followed Hyperlink" xfId="13303" builtinId="9" hidden="1"/>
    <cellStyle name="Followed Hyperlink" xfId="13305" builtinId="9" hidden="1"/>
    <cellStyle name="Followed Hyperlink" xfId="13307" builtinId="9" hidden="1"/>
    <cellStyle name="Followed Hyperlink" xfId="13309" builtinId="9" hidden="1"/>
    <cellStyle name="Followed Hyperlink" xfId="13311" builtinId="9" hidden="1"/>
    <cellStyle name="Followed Hyperlink" xfId="13313" builtinId="9" hidden="1"/>
    <cellStyle name="Followed Hyperlink" xfId="13315" builtinId="9" hidden="1"/>
    <cellStyle name="Followed Hyperlink" xfId="13317" builtinId="9" hidden="1"/>
    <cellStyle name="Followed Hyperlink" xfId="13319" builtinId="9" hidden="1"/>
    <cellStyle name="Followed Hyperlink" xfId="13321" builtinId="9" hidden="1"/>
    <cellStyle name="Followed Hyperlink" xfId="13323" builtinId="9" hidden="1"/>
    <cellStyle name="Followed Hyperlink" xfId="13325" builtinId="9" hidden="1"/>
    <cellStyle name="Followed Hyperlink" xfId="13327" builtinId="9" hidden="1"/>
    <cellStyle name="Followed Hyperlink" xfId="13329" builtinId="9" hidden="1"/>
    <cellStyle name="Followed Hyperlink" xfId="13331" builtinId="9" hidden="1"/>
    <cellStyle name="Followed Hyperlink" xfId="13333" builtinId="9" hidden="1"/>
    <cellStyle name="Followed Hyperlink" xfId="13335" builtinId="9" hidden="1"/>
    <cellStyle name="Followed Hyperlink" xfId="13337" builtinId="9" hidden="1"/>
    <cellStyle name="Followed Hyperlink" xfId="13339" builtinId="9" hidden="1"/>
    <cellStyle name="Followed Hyperlink" xfId="13341" builtinId="9" hidden="1"/>
    <cellStyle name="Followed Hyperlink" xfId="13343" builtinId="9" hidden="1"/>
    <cellStyle name="Followed Hyperlink" xfId="13345" builtinId="9" hidden="1"/>
    <cellStyle name="Followed Hyperlink" xfId="13347" builtinId="9" hidden="1"/>
    <cellStyle name="Followed Hyperlink" xfId="13349" builtinId="9" hidden="1"/>
    <cellStyle name="Followed Hyperlink" xfId="13351" builtinId="9" hidden="1"/>
    <cellStyle name="Followed Hyperlink" xfId="13353" builtinId="9" hidden="1"/>
    <cellStyle name="Followed Hyperlink" xfId="13355" builtinId="9" hidden="1"/>
    <cellStyle name="Followed Hyperlink" xfId="13357" builtinId="9" hidden="1"/>
    <cellStyle name="Followed Hyperlink" xfId="13359" builtinId="9" hidden="1"/>
    <cellStyle name="Followed Hyperlink" xfId="13361" builtinId="9" hidden="1"/>
    <cellStyle name="Followed Hyperlink" xfId="13363" builtinId="9" hidden="1"/>
    <cellStyle name="Followed Hyperlink" xfId="13365" builtinId="9" hidden="1"/>
    <cellStyle name="Followed Hyperlink" xfId="13367" builtinId="9" hidden="1"/>
    <cellStyle name="Followed Hyperlink" xfId="13369" builtinId="9" hidden="1"/>
    <cellStyle name="Followed Hyperlink" xfId="13371" builtinId="9" hidden="1"/>
    <cellStyle name="Followed Hyperlink" xfId="13373" builtinId="9" hidden="1"/>
    <cellStyle name="Followed Hyperlink" xfId="13375" builtinId="9" hidden="1"/>
    <cellStyle name="Followed Hyperlink" xfId="13377" builtinId="9" hidden="1"/>
    <cellStyle name="Followed Hyperlink" xfId="13379" builtinId="9" hidden="1"/>
    <cellStyle name="Followed Hyperlink" xfId="13381" builtinId="9" hidden="1"/>
    <cellStyle name="Followed Hyperlink" xfId="13383" builtinId="9" hidden="1"/>
    <cellStyle name="Followed Hyperlink" xfId="13385" builtinId="9" hidden="1"/>
    <cellStyle name="Followed Hyperlink" xfId="13387" builtinId="9" hidden="1"/>
    <cellStyle name="Followed Hyperlink" xfId="13389" builtinId="9" hidden="1"/>
    <cellStyle name="Followed Hyperlink" xfId="13391" builtinId="9" hidden="1"/>
    <cellStyle name="Followed Hyperlink" xfId="13393" builtinId="9" hidden="1"/>
    <cellStyle name="Followed Hyperlink" xfId="13395" builtinId="9" hidden="1"/>
    <cellStyle name="Followed Hyperlink" xfId="13397" builtinId="9" hidden="1"/>
    <cellStyle name="Followed Hyperlink" xfId="13399" builtinId="9" hidden="1"/>
    <cellStyle name="Followed Hyperlink" xfId="13401" builtinId="9" hidden="1"/>
    <cellStyle name="Followed Hyperlink" xfId="13403" builtinId="9" hidden="1"/>
    <cellStyle name="Followed Hyperlink" xfId="13405" builtinId="9" hidden="1"/>
    <cellStyle name="Followed Hyperlink" xfId="13407" builtinId="9" hidden="1"/>
    <cellStyle name="Followed Hyperlink" xfId="13409" builtinId="9" hidden="1"/>
    <cellStyle name="Followed Hyperlink" xfId="13411" builtinId="9" hidden="1"/>
    <cellStyle name="Followed Hyperlink" xfId="13413" builtinId="9" hidden="1"/>
    <cellStyle name="Followed Hyperlink" xfId="13415" builtinId="9" hidden="1"/>
    <cellStyle name="Followed Hyperlink" xfId="13417" builtinId="9" hidden="1"/>
    <cellStyle name="Followed Hyperlink" xfId="13419" builtinId="9" hidden="1"/>
    <cellStyle name="Followed Hyperlink" xfId="13421" builtinId="9" hidden="1"/>
    <cellStyle name="Followed Hyperlink" xfId="13423" builtinId="9" hidden="1"/>
    <cellStyle name="Followed Hyperlink" xfId="13425" builtinId="9" hidden="1"/>
    <cellStyle name="Followed Hyperlink" xfId="13427" builtinId="9" hidden="1"/>
    <cellStyle name="Followed Hyperlink" xfId="13429" builtinId="9" hidden="1"/>
    <cellStyle name="Followed Hyperlink" xfId="13431" builtinId="9" hidden="1"/>
    <cellStyle name="Followed Hyperlink" xfId="13433" builtinId="9" hidden="1"/>
    <cellStyle name="Followed Hyperlink" xfId="13435" builtinId="9" hidden="1"/>
    <cellStyle name="Followed Hyperlink" xfId="13437" builtinId="9" hidden="1"/>
    <cellStyle name="Followed Hyperlink" xfId="13444" builtinId="9" hidden="1"/>
    <cellStyle name="Followed Hyperlink" xfId="13446" builtinId="9" hidden="1"/>
    <cellStyle name="Followed Hyperlink" xfId="13448" builtinId="9" hidden="1"/>
    <cellStyle name="Followed Hyperlink" xfId="13450" builtinId="9" hidden="1"/>
    <cellStyle name="Followed Hyperlink" xfId="13452" builtinId="9" hidden="1"/>
    <cellStyle name="Followed Hyperlink" xfId="13454" builtinId="9" hidden="1"/>
    <cellStyle name="Followed Hyperlink" xfId="13456" builtinId="9" hidden="1"/>
    <cellStyle name="Followed Hyperlink" xfId="13458" builtinId="9" hidden="1"/>
    <cellStyle name="Followed Hyperlink" xfId="13460" builtinId="9" hidden="1"/>
    <cellStyle name="Followed Hyperlink" xfId="13462" builtinId="9" hidden="1"/>
    <cellStyle name="Followed Hyperlink" xfId="13464" builtinId="9" hidden="1"/>
    <cellStyle name="Followed Hyperlink" xfId="13466" builtinId="9" hidden="1"/>
    <cellStyle name="Followed Hyperlink" xfId="13468" builtinId="9" hidden="1"/>
    <cellStyle name="Followed Hyperlink" xfId="13470" builtinId="9" hidden="1"/>
    <cellStyle name="Followed Hyperlink" xfId="13472" builtinId="9" hidden="1"/>
    <cellStyle name="Followed Hyperlink" xfId="13474" builtinId="9" hidden="1"/>
    <cellStyle name="Followed Hyperlink" xfId="13476" builtinId="9" hidden="1"/>
    <cellStyle name="Followed Hyperlink" xfId="13478" builtinId="9" hidden="1"/>
    <cellStyle name="Followed Hyperlink" xfId="13480" builtinId="9" hidden="1"/>
    <cellStyle name="Followed Hyperlink" xfId="13482" builtinId="9" hidden="1"/>
    <cellStyle name="Followed Hyperlink" xfId="13484" builtinId="9" hidden="1"/>
    <cellStyle name="Followed Hyperlink" xfId="13486" builtinId="9" hidden="1"/>
    <cellStyle name="Followed Hyperlink" xfId="13488" builtinId="9" hidden="1"/>
    <cellStyle name="Followed Hyperlink" xfId="13490" builtinId="9" hidden="1"/>
    <cellStyle name="Followed Hyperlink" xfId="13492" builtinId="9" hidden="1"/>
    <cellStyle name="Followed Hyperlink" xfId="13494" builtinId="9" hidden="1"/>
    <cellStyle name="Followed Hyperlink" xfId="13496" builtinId="9" hidden="1"/>
    <cellStyle name="Followed Hyperlink" xfId="13498" builtinId="9" hidden="1"/>
    <cellStyle name="Followed Hyperlink" xfId="13500" builtinId="9" hidden="1"/>
    <cellStyle name="Followed Hyperlink" xfId="13502" builtinId="9" hidden="1"/>
    <cellStyle name="Followed Hyperlink" xfId="13504" builtinId="9" hidden="1"/>
    <cellStyle name="Followed Hyperlink" xfId="13506" builtinId="9" hidden="1"/>
    <cellStyle name="Followed Hyperlink" xfId="13508" builtinId="9" hidden="1"/>
    <cellStyle name="Followed Hyperlink" xfId="13510" builtinId="9" hidden="1"/>
    <cellStyle name="Followed Hyperlink" xfId="13512" builtinId="9" hidden="1"/>
    <cellStyle name="Followed Hyperlink" xfId="13514" builtinId="9" hidden="1"/>
    <cellStyle name="Followed Hyperlink" xfId="13516" builtinId="9" hidden="1"/>
    <cellStyle name="Followed Hyperlink" xfId="13518" builtinId="9" hidden="1"/>
    <cellStyle name="Followed Hyperlink" xfId="13520" builtinId="9" hidden="1"/>
    <cellStyle name="Followed Hyperlink" xfId="13522" builtinId="9" hidden="1"/>
    <cellStyle name="Followed Hyperlink" xfId="13524" builtinId="9" hidden="1"/>
    <cellStyle name="Followed Hyperlink" xfId="13526" builtinId="9" hidden="1"/>
    <cellStyle name="Followed Hyperlink" xfId="13528" builtinId="9" hidden="1"/>
    <cellStyle name="Followed Hyperlink" xfId="13530" builtinId="9" hidden="1"/>
    <cellStyle name="Followed Hyperlink" xfId="13532" builtinId="9" hidden="1"/>
    <cellStyle name="Followed Hyperlink" xfId="13534" builtinId="9" hidden="1"/>
    <cellStyle name="Followed Hyperlink" xfId="13536" builtinId="9" hidden="1"/>
    <cellStyle name="Followed Hyperlink" xfId="13538" builtinId="9" hidden="1"/>
    <cellStyle name="Followed Hyperlink" xfId="13540" builtinId="9" hidden="1"/>
    <cellStyle name="Followed Hyperlink" xfId="13542" builtinId="9" hidden="1"/>
    <cellStyle name="Followed Hyperlink" xfId="13544" builtinId="9" hidden="1"/>
    <cellStyle name="Followed Hyperlink" xfId="13546" builtinId="9" hidden="1"/>
    <cellStyle name="Followed Hyperlink" xfId="13548" builtinId="9" hidden="1"/>
    <cellStyle name="Followed Hyperlink" xfId="13550" builtinId="9" hidden="1"/>
    <cellStyle name="Followed Hyperlink" xfId="13552" builtinId="9" hidden="1"/>
    <cellStyle name="Followed Hyperlink" xfId="13554" builtinId="9" hidden="1"/>
    <cellStyle name="Followed Hyperlink" xfId="13556" builtinId="9" hidden="1"/>
    <cellStyle name="Followed Hyperlink" xfId="13558" builtinId="9" hidden="1"/>
    <cellStyle name="Followed Hyperlink" xfId="13560" builtinId="9" hidden="1"/>
    <cellStyle name="Followed Hyperlink" xfId="13562" builtinId="9" hidden="1"/>
    <cellStyle name="Followed Hyperlink" xfId="13564" builtinId="9" hidden="1"/>
    <cellStyle name="Followed Hyperlink" xfId="13566" builtinId="9" hidden="1"/>
    <cellStyle name="Followed Hyperlink" xfId="13568" builtinId="9" hidden="1"/>
    <cellStyle name="Followed Hyperlink" xfId="13570" builtinId="9" hidden="1"/>
    <cellStyle name="Followed Hyperlink" xfId="13572" builtinId="9" hidden="1"/>
    <cellStyle name="Followed Hyperlink" xfId="13574" builtinId="9" hidden="1"/>
    <cellStyle name="Followed Hyperlink" xfId="13576" builtinId="9" hidden="1"/>
    <cellStyle name="Followed Hyperlink" xfId="13578" builtinId="9" hidden="1"/>
    <cellStyle name="Followed Hyperlink" xfId="13580" builtinId="9" hidden="1"/>
    <cellStyle name="Followed Hyperlink" xfId="13582" builtinId="9" hidden="1"/>
    <cellStyle name="Followed Hyperlink" xfId="13584" builtinId="9" hidden="1"/>
    <cellStyle name="Followed Hyperlink" xfId="13586" builtinId="9" hidden="1"/>
    <cellStyle name="Followed Hyperlink" xfId="13588" builtinId="9" hidden="1"/>
    <cellStyle name="Followed Hyperlink" xfId="13590" builtinId="9" hidden="1"/>
    <cellStyle name="Followed Hyperlink" xfId="13592" builtinId="9" hidden="1"/>
    <cellStyle name="Followed Hyperlink" xfId="13594" builtinId="9" hidden="1"/>
    <cellStyle name="Followed Hyperlink" xfId="13596" builtinId="9" hidden="1"/>
    <cellStyle name="Followed Hyperlink" xfId="13598" builtinId="9" hidden="1"/>
    <cellStyle name="Followed Hyperlink" xfId="13600" builtinId="9" hidden="1"/>
    <cellStyle name="Followed Hyperlink" xfId="13602" builtinId="9" hidden="1"/>
    <cellStyle name="Followed Hyperlink" xfId="13604" builtinId="9" hidden="1"/>
    <cellStyle name="Followed Hyperlink" xfId="13606" builtinId="9" hidden="1"/>
    <cellStyle name="Followed Hyperlink" xfId="13608" builtinId="9" hidden="1"/>
    <cellStyle name="Followed Hyperlink" xfId="13610" builtinId="9" hidden="1"/>
    <cellStyle name="Followed Hyperlink" xfId="13612" builtinId="9" hidden="1"/>
    <cellStyle name="Followed Hyperlink" xfId="13614" builtinId="9" hidden="1"/>
    <cellStyle name="Followed Hyperlink" xfId="13616" builtinId="9" hidden="1"/>
    <cellStyle name="Followed Hyperlink" xfId="13618" builtinId="9" hidden="1"/>
    <cellStyle name="Followed Hyperlink" xfId="13620" builtinId="9" hidden="1"/>
    <cellStyle name="Followed Hyperlink" xfId="13622" builtinId="9" hidden="1"/>
    <cellStyle name="Followed Hyperlink" xfId="13624" builtinId="9" hidden="1"/>
    <cellStyle name="Followed Hyperlink" xfId="13626" builtinId="9" hidden="1"/>
    <cellStyle name="Followed Hyperlink" xfId="13628" builtinId="9" hidden="1"/>
    <cellStyle name="Followed Hyperlink" xfId="13630" builtinId="9" hidden="1"/>
    <cellStyle name="Followed Hyperlink" xfId="13632" builtinId="9" hidden="1"/>
    <cellStyle name="Followed Hyperlink" xfId="13634" builtinId="9" hidden="1"/>
    <cellStyle name="Followed Hyperlink" xfId="13636" builtinId="9" hidden="1"/>
    <cellStyle name="Followed Hyperlink" xfId="13638" builtinId="9" hidden="1"/>
    <cellStyle name="Followed Hyperlink" xfId="13640" builtinId="9" hidden="1"/>
    <cellStyle name="Followed Hyperlink" xfId="13642" builtinId="9" hidden="1"/>
    <cellStyle name="Followed Hyperlink" xfId="13644" builtinId="9" hidden="1"/>
    <cellStyle name="Followed Hyperlink" xfId="13646" builtinId="9" hidden="1"/>
    <cellStyle name="Followed Hyperlink" xfId="13648" builtinId="9" hidden="1"/>
    <cellStyle name="Followed Hyperlink" xfId="13650" builtinId="9" hidden="1"/>
    <cellStyle name="Followed Hyperlink" xfId="13652" builtinId="9" hidden="1"/>
    <cellStyle name="Followed Hyperlink" xfId="13654" builtinId="9" hidden="1"/>
    <cellStyle name="Followed Hyperlink" xfId="13656" builtinId="9" hidden="1"/>
    <cellStyle name="Followed Hyperlink" xfId="13658" builtinId="9" hidden="1"/>
    <cellStyle name="Followed Hyperlink" xfId="13660" builtinId="9" hidden="1"/>
    <cellStyle name="Followed Hyperlink" xfId="13662" builtinId="9" hidden="1"/>
    <cellStyle name="Followed Hyperlink" xfId="13670" builtinId="9" hidden="1"/>
    <cellStyle name="Followed Hyperlink" xfId="13672" builtinId="9" hidden="1"/>
    <cellStyle name="Followed Hyperlink" xfId="13674" builtinId="9" hidden="1"/>
    <cellStyle name="Followed Hyperlink" xfId="13676" builtinId="9" hidden="1"/>
    <cellStyle name="Followed Hyperlink" xfId="13678" builtinId="9" hidden="1"/>
    <cellStyle name="Followed Hyperlink" xfId="13680" builtinId="9" hidden="1"/>
    <cellStyle name="Followed Hyperlink" xfId="13682" builtinId="9" hidden="1"/>
    <cellStyle name="Followed Hyperlink" xfId="13684" builtinId="9" hidden="1"/>
    <cellStyle name="Followed Hyperlink" xfId="13686" builtinId="9" hidden="1"/>
    <cellStyle name="Followed Hyperlink" xfId="13688" builtinId="9" hidden="1"/>
    <cellStyle name="Followed Hyperlink" xfId="13690" builtinId="9" hidden="1"/>
    <cellStyle name="Followed Hyperlink" xfId="13692" builtinId="9" hidden="1"/>
    <cellStyle name="Followed Hyperlink" xfId="13694" builtinId="9" hidden="1"/>
    <cellStyle name="Followed Hyperlink" xfId="13696" builtinId="9" hidden="1"/>
    <cellStyle name="Followed Hyperlink" xfId="13698" builtinId="9" hidden="1"/>
    <cellStyle name="Followed Hyperlink" xfId="13700" builtinId="9" hidden="1"/>
    <cellStyle name="Followed Hyperlink" xfId="13702" builtinId="9" hidden="1"/>
    <cellStyle name="Followed Hyperlink" xfId="13704" builtinId="9" hidden="1"/>
    <cellStyle name="Followed Hyperlink" xfId="13706" builtinId="9" hidden="1"/>
    <cellStyle name="Followed Hyperlink" xfId="13708" builtinId="9" hidden="1"/>
    <cellStyle name="Followed Hyperlink" xfId="13710" builtinId="9" hidden="1"/>
    <cellStyle name="Followed Hyperlink" xfId="13712" builtinId="9" hidden="1"/>
    <cellStyle name="Followed Hyperlink" xfId="13714" builtinId="9" hidden="1"/>
    <cellStyle name="Followed Hyperlink" xfId="13716" builtinId="9" hidden="1"/>
    <cellStyle name="Followed Hyperlink" xfId="13718" builtinId="9" hidden="1"/>
    <cellStyle name="Followed Hyperlink" xfId="13720" builtinId="9" hidden="1"/>
    <cellStyle name="Followed Hyperlink" xfId="13722" builtinId="9" hidden="1"/>
    <cellStyle name="Followed Hyperlink" xfId="13724" builtinId="9" hidden="1"/>
    <cellStyle name="Followed Hyperlink" xfId="13726" builtinId="9" hidden="1"/>
    <cellStyle name="Followed Hyperlink" xfId="13728" builtinId="9" hidden="1"/>
    <cellStyle name="Followed Hyperlink" xfId="13730" builtinId="9" hidden="1"/>
    <cellStyle name="Followed Hyperlink" xfId="13732" builtinId="9" hidden="1"/>
    <cellStyle name="Followed Hyperlink" xfId="13734" builtinId="9" hidden="1"/>
    <cellStyle name="Followed Hyperlink" xfId="13736" builtinId="9" hidden="1"/>
    <cellStyle name="Followed Hyperlink" xfId="13738" builtinId="9" hidden="1"/>
    <cellStyle name="Followed Hyperlink" xfId="13740" builtinId="9" hidden="1"/>
    <cellStyle name="Followed Hyperlink" xfId="13742" builtinId="9" hidden="1"/>
    <cellStyle name="Followed Hyperlink" xfId="13744" builtinId="9" hidden="1"/>
    <cellStyle name="Followed Hyperlink" xfId="13746" builtinId="9" hidden="1"/>
    <cellStyle name="Followed Hyperlink" xfId="13748" builtinId="9" hidden="1"/>
    <cellStyle name="Followed Hyperlink" xfId="13750" builtinId="9" hidden="1"/>
    <cellStyle name="Followed Hyperlink" xfId="13752" builtinId="9" hidden="1"/>
    <cellStyle name="Followed Hyperlink" xfId="13754" builtinId="9" hidden="1"/>
    <cellStyle name="Followed Hyperlink" xfId="13756" builtinId="9" hidden="1"/>
    <cellStyle name="Followed Hyperlink" xfId="13758" builtinId="9" hidden="1"/>
    <cellStyle name="Followed Hyperlink" xfId="13760" builtinId="9" hidden="1"/>
    <cellStyle name="Followed Hyperlink" xfId="13762" builtinId="9" hidden="1"/>
    <cellStyle name="Followed Hyperlink" xfId="13764" builtinId="9" hidden="1"/>
    <cellStyle name="Followed Hyperlink" xfId="13766" builtinId="9" hidden="1"/>
    <cellStyle name="Followed Hyperlink" xfId="13768" builtinId="9" hidden="1"/>
    <cellStyle name="Followed Hyperlink" xfId="13770" builtinId="9" hidden="1"/>
    <cellStyle name="Followed Hyperlink" xfId="13772" builtinId="9" hidden="1"/>
    <cellStyle name="Followed Hyperlink" xfId="13774" builtinId="9" hidden="1"/>
    <cellStyle name="Followed Hyperlink" xfId="13776" builtinId="9" hidden="1"/>
    <cellStyle name="Followed Hyperlink" xfId="13778" builtinId="9" hidden="1"/>
    <cellStyle name="Followed Hyperlink" xfId="13780" builtinId="9" hidden="1"/>
    <cellStyle name="Followed Hyperlink" xfId="13782" builtinId="9" hidden="1"/>
    <cellStyle name="Followed Hyperlink" xfId="13784" builtinId="9" hidden="1"/>
    <cellStyle name="Followed Hyperlink" xfId="13786" builtinId="9" hidden="1"/>
    <cellStyle name="Followed Hyperlink" xfId="13788" builtinId="9" hidden="1"/>
    <cellStyle name="Followed Hyperlink" xfId="13790" builtinId="9" hidden="1"/>
    <cellStyle name="Followed Hyperlink" xfId="13792" builtinId="9" hidden="1"/>
    <cellStyle name="Followed Hyperlink" xfId="13794" builtinId="9" hidden="1"/>
    <cellStyle name="Followed Hyperlink" xfId="13796" builtinId="9" hidden="1"/>
    <cellStyle name="Followed Hyperlink" xfId="13798" builtinId="9" hidden="1"/>
    <cellStyle name="Followed Hyperlink" xfId="13800" builtinId="9" hidden="1"/>
    <cellStyle name="Followed Hyperlink" xfId="13802" builtinId="9" hidden="1"/>
    <cellStyle name="Followed Hyperlink" xfId="13804" builtinId="9" hidden="1"/>
    <cellStyle name="Followed Hyperlink" xfId="13806" builtinId="9" hidden="1"/>
    <cellStyle name="Followed Hyperlink" xfId="13808" builtinId="9" hidden="1"/>
    <cellStyle name="Followed Hyperlink" xfId="13810" builtinId="9" hidden="1"/>
    <cellStyle name="Followed Hyperlink" xfId="13812" builtinId="9" hidden="1"/>
    <cellStyle name="Followed Hyperlink" xfId="13814" builtinId="9" hidden="1"/>
    <cellStyle name="Followed Hyperlink" xfId="13816" builtinId="9" hidden="1"/>
    <cellStyle name="Followed Hyperlink" xfId="13818" builtinId="9" hidden="1"/>
    <cellStyle name="Followed Hyperlink" xfId="13820" builtinId="9" hidden="1"/>
    <cellStyle name="Followed Hyperlink" xfId="13822" builtinId="9" hidden="1"/>
    <cellStyle name="Followed Hyperlink" xfId="13824" builtinId="9" hidden="1"/>
    <cellStyle name="Followed Hyperlink" xfId="13826" builtinId="9" hidden="1"/>
    <cellStyle name="Followed Hyperlink" xfId="13828" builtinId="9" hidden="1"/>
    <cellStyle name="Followed Hyperlink" xfId="13830" builtinId="9" hidden="1"/>
    <cellStyle name="Followed Hyperlink" xfId="13832" builtinId="9" hidden="1"/>
    <cellStyle name="Followed Hyperlink" xfId="13834" builtinId="9" hidden="1"/>
    <cellStyle name="Followed Hyperlink" xfId="13836" builtinId="9" hidden="1"/>
    <cellStyle name="Followed Hyperlink" xfId="13838" builtinId="9" hidden="1"/>
    <cellStyle name="Followed Hyperlink" xfId="13840" builtinId="9" hidden="1"/>
    <cellStyle name="Followed Hyperlink" xfId="13842" builtinId="9" hidden="1"/>
    <cellStyle name="Followed Hyperlink" xfId="13844" builtinId="9" hidden="1"/>
    <cellStyle name="Followed Hyperlink" xfId="13846" builtinId="9" hidden="1"/>
    <cellStyle name="Followed Hyperlink" xfId="13848" builtinId="9" hidden="1"/>
    <cellStyle name="Followed Hyperlink" xfId="13850" builtinId="9" hidden="1"/>
    <cellStyle name="Followed Hyperlink" xfId="13852" builtinId="9" hidden="1"/>
    <cellStyle name="Followed Hyperlink" xfId="13854" builtinId="9" hidden="1"/>
    <cellStyle name="Followed Hyperlink" xfId="13856" builtinId="9" hidden="1"/>
    <cellStyle name="Followed Hyperlink" xfId="13858" builtinId="9" hidden="1"/>
    <cellStyle name="Followed Hyperlink" xfId="13860" builtinId="9" hidden="1"/>
    <cellStyle name="Followed Hyperlink" xfId="13862" builtinId="9" hidden="1"/>
    <cellStyle name="Followed Hyperlink" xfId="13864" builtinId="9" hidden="1"/>
    <cellStyle name="Followed Hyperlink" xfId="13866" builtinId="9" hidden="1"/>
    <cellStyle name="Followed Hyperlink" xfId="13868" builtinId="9" hidden="1"/>
    <cellStyle name="Followed Hyperlink" xfId="13870" builtinId="9" hidden="1"/>
    <cellStyle name="Followed Hyperlink" xfId="13872" builtinId="9" hidden="1"/>
    <cellStyle name="Followed Hyperlink" xfId="13874" builtinId="9" hidden="1"/>
    <cellStyle name="Followed Hyperlink" xfId="13876" builtinId="9" hidden="1"/>
    <cellStyle name="Followed Hyperlink" xfId="13878" builtinId="9" hidden="1"/>
    <cellStyle name="Followed Hyperlink" xfId="13880" builtinId="9" hidden="1"/>
    <cellStyle name="Followed Hyperlink" xfId="13882" builtinId="9" hidden="1"/>
    <cellStyle name="Followed Hyperlink" xfId="13884" builtinId="9" hidden="1"/>
    <cellStyle name="Followed Hyperlink" xfId="13886" builtinId="9" hidden="1"/>
    <cellStyle name="Followed Hyperlink" xfId="13888" builtinId="9" hidden="1"/>
    <cellStyle name="Followed Hyperlink" xfId="13887" builtinId="9" hidden="1"/>
    <cellStyle name="Followed Hyperlink" xfId="13883" builtinId="9" hidden="1"/>
    <cellStyle name="Followed Hyperlink" xfId="13879" builtinId="9" hidden="1"/>
    <cellStyle name="Followed Hyperlink" xfId="13875" builtinId="9" hidden="1"/>
    <cellStyle name="Followed Hyperlink" xfId="13871" builtinId="9" hidden="1"/>
    <cellStyle name="Followed Hyperlink" xfId="13867" builtinId="9" hidden="1"/>
    <cellStyle name="Followed Hyperlink" xfId="13863" builtinId="9" hidden="1"/>
    <cellStyle name="Followed Hyperlink" xfId="13859" builtinId="9" hidden="1"/>
    <cellStyle name="Followed Hyperlink" xfId="13855" builtinId="9" hidden="1"/>
    <cellStyle name="Followed Hyperlink" xfId="13851" builtinId="9" hidden="1"/>
    <cellStyle name="Followed Hyperlink" xfId="13847" builtinId="9" hidden="1"/>
    <cellStyle name="Followed Hyperlink" xfId="13843" builtinId="9" hidden="1"/>
    <cellStyle name="Followed Hyperlink" xfId="13839" builtinId="9" hidden="1"/>
    <cellStyle name="Followed Hyperlink" xfId="13835" builtinId="9" hidden="1"/>
    <cellStyle name="Followed Hyperlink" xfId="13831" builtinId="9" hidden="1"/>
    <cellStyle name="Followed Hyperlink" xfId="13827" builtinId="9" hidden="1"/>
    <cellStyle name="Followed Hyperlink" xfId="13823" builtinId="9" hidden="1"/>
    <cellStyle name="Followed Hyperlink" xfId="13819" builtinId="9" hidden="1"/>
    <cellStyle name="Followed Hyperlink" xfId="13815" builtinId="9" hidden="1"/>
    <cellStyle name="Followed Hyperlink" xfId="13811" builtinId="9" hidden="1"/>
    <cellStyle name="Followed Hyperlink" xfId="13807" builtinId="9" hidden="1"/>
    <cellStyle name="Followed Hyperlink" xfId="13803" builtinId="9" hidden="1"/>
    <cellStyle name="Followed Hyperlink" xfId="13799" builtinId="9" hidden="1"/>
    <cellStyle name="Followed Hyperlink" xfId="13795" builtinId="9" hidden="1"/>
    <cellStyle name="Followed Hyperlink" xfId="13791" builtinId="9" hidden="1"/>
    <cellStyle name="Followed Hyperlink" xfId="13787" builtinId="9" hidden="1"/>
    <cellStyle name="Followed Hyperlink" xfId="13783" builtinId="9" hidden="1"/>
    <cellStyle name="Followed Hyperlink" xfId="13779" builtinId="9" hidden="1"/>
    <cellStyle name="Followed Hyperlink" xfId="13775" builtinId="9" hidden="1"/>
    <cellStyle name="Followed Hyperlink" xfId="13771" builtinId="9" hidden="1"/>
    <cellStyle name="Followed Hyperlink" xfId="13767" builtinId="9" hidden="1"/>
    <cellStyle name="Followed Hyperlink" xfId="13763" builtinId="9" hidden="1"/>
    <cellStyle name="Followed Hyperlink" xfId="13759" builtinId="9" hidden="1"/>
    <cellStyle name="Followed Hyperlink" xfId="13755" builtinId="9" hidden="1"/>
    <cellStyle name="Followed Hyperlink" xfId="13751" builtinId="9" hidden="1"/>
    <cellStyle name="Followed Hyperlink" xfId="13747" builtinId="9" hidden="1"/>
    <cellStyle name="Followed Hyperlink" xfId="13743" builtinId="9" hidden="1"/>
    <cellStyle name="Followed Hyperlink" xfId="13739" builtinId="9" hidden="1"/>
    <cellStyle name="Followed Hyperlink" xfId="13735" builtinId="9" hidden="1"/>
    <cellStyle name="Followed Hyperlink" xfId="13731" builtinId="9" hidden="1"/>
    <cellStyle name="Followed Hyperlink" xfId="13727" builtinId="9" hidden="1"/>
    <cellStyle name="Followed Hyperlink" xfId="13723" builtinId="9" hidden="1"/>
    <cellStyle name="Followed Hyperlink" xfId="13719" builtinId="9" hidden="1"/>
    <cellStyle name="Followed Hyperlink" xfId="13715" builtinId="9" hidden="1"/>
    <cellStyle name="Followed Hyperlink" xfId="13711" builtinId="9" hidden="1"/>
    <cellStyle name="Followed Hyperlink" xfId="13707" builtinId="9" hidden="1"/>
    <cellStyle name="Followed Hyperlink" xfId="13703" builtinId="9" hidden="1"/>
    <cellStyle name="Followed Hyperlink" xfId="13699" builtinId="9" hidden="1"/>
    <cellStyle name="Followed Hyperlink" xfId="13695" builtinId="9" hidden="1"/>
    <cellStyle name="Followed Hyperlink" xfId="13691" builtinId="9" hidden="1"/>
    <cellStyle name="Followed Hyperlink" xfId="13687" builtinId="9" hidden="1"/>
    <cellStyle name="Followed Hyperlink" xfId="13683" builtinId="9" hidden="1"/>
    <cellStyle name="Followed Hyperlink" xfId="13679" builtinId="9" hidden="1"/>
    <cellStyle name="Followed Hyperlink" xfId="13675" builtinId="9" hidden="1"/>
    <cellStyle name="Followed Hyperlink" xfId="13671" builtinId="9" hidden="1"/>
    <cellStyle name="Followed Hyperlink" xfId="13889" builtinId="9" hidden="1"/>
    <cellStyle name="Followed Hyperlink" xfId="13442" builtinId="9" hidden="1"/>
    <cellStyle name="Followed Hyperlink" xfId="13890" builtinId="9" hidden="1"/>
    <cellStyle name="Followed Hyperlink" xfId="13894" builtinId="9" hidden="1"/>
    <cellStyle name="Followed Hyperlink" xfId="13896" builtinId="9" hidden="1"/>
    <cellStyle name="Followed Hyperlink" xfId="13898" builtinId="9" hidden="1"/>
    <cellStyle name="Followed Hyperlink" xfId="13900" builtinId="9" hidden="1"/>
    <cellStyle name="Followed Hyperlink" xfId="13902" builtinId="9" hidden="1"/>
    <cellStyle name="Followed Hyperlink" xfId="13904" builtinId="9" hidden="1"/>
    <cellStyle name="Followed Hyperlink" xfId="13906" builtinId="9" hidden="1"/>
    <cellStyle name="Followed Hyperlink" xfId="13908" builtinId="9" hidden="1"/>
    <cellStyle name="Followed Hyperlink" xfId="13910" builtinId="9" hidden="1"/>
    <cellStyle name="Followed Hyperlink" xfId="13912" builtinId="9" hidden="1"/>
    <cellStyle name="Followed Hyperlink" xfId="13914" builtinId="9" hidden="1"/>
    <cellStyle name="Followed Hyperlink" xfId="13916" builtinId="9" hidden="1"/>
    <cellStyle name="Followed Hyperlink" xfId="13918" builtinId="9" hidden="1"/>
    <cellStyle name="Followed Hyperlink" xfId="13920" builtinId="9" hidden="1"/>
    <cellStyle name="Followed Hyperlink" xfId="13922" builtinId="9" hidden="1"/>
    <cellStyle name="Followed Hyperlink" xfId="13924" builtinId="9" hidden="1"/>
    <cellStyle name="Followed Hyperlink" xfId="13926" builtinId="9" hidden="1"/>
    <cellStyle name="Followed Hyperlink" xfId="13928" builtinId="9" hidden="1"/>
    <cellStyle name="Followed Hyperlink" xfId="13930" builtinId="9" hidden="1"/>
    <cellStyle name="Followed Hyperlink" xfId="13932" builtinId="9" hidden="1"/>
    <cellStyle name="Followed Hyperlink" xfId="13934" builtinId="9" hidden="1"/>
    <cellStyle name="Followed Hyperlink" xfId="13936" builtinId="9" hidden="1"/>
    <cellStyle name="Followed Hyperlink" xfId="13938" builtinId="9" hidden="1"/>
    <cellStyle name="Followed Hyperlink" xfId="13940" builtinId="9" hidden="1"/>
    <cellStyle name="Followed Hyperlink" xfId="13942" builtinId="9" hidden="1"/>
    <cellStyle name="Followed Hyperlink" xfId="13944" builtinId="9" hidden="1"/>
    <cellStyle name="Followed Hyperlink" xfId="13946" builtinId="9" hidden="1"/>
    <cellStyle name="Followed Hyperlink" xfId="13948" builtinId="9" hidden="1"/>
    <cellStyle name="Followed Hyperlink" xfId="13950" builtinId="9" hidden="1"/>
    <cellStyle name="Followed Hyperlink" xfId="13952" builtinId="9" hidden="1"/>
    <cellStyle name="Followed Hyperlink" xfId="13954" builtinId="9" hidden="1"/>
    <cellStyle name="Followed Hyperlink" xfId="13956" builtinId="9" hidden="1"/>
    <cellStyle name="Followed Hyperlink" xfId="13958" builtinId="9" hidden="1"/>
    <cellStyle name="Followed Hyperlink" xfId="13960" builtinId="9" hidden="1"/>
    <cellStyle name="Followed Hyperlink" xfId="13962" builtinId="9" hidden="1"/>
    <cellStyle name="Followed Hyperlink" xfId="13964" builtinId="9" hidden="1"/>
    <cellStyle name="Followed Hyperlink" xfId="13966" builtinId="9" hidden="1"/>
    <cellStyle name="Followed Hyperlink" xfId="13968" builtinId="9" hidden="1"/>
    <cellStyle name="Followed Hyperlink" xfId="13970" builtinId="9" hidden="1"/>
    <cellStyle name="Followed Hyperlink" xfId="13972" builtinId="9" hidden="1"/>
    <cellStyle name="Followed Hyperlink" xfId="13974" builtinId="9" hidden="1"/>
    <cellStyle name="Followed Hyperlink" xfId="13976" builtinId="9" hidden="1"/>
    <cellStyle name="Followed Hyperlink" xfId="13978" builtinId="9" hidden="1"/>
    <cellStyle name="Followed Hyperlink" xfId="13980" builtinId="9" hidden="1"/>
    <cellStyle name="Followed Hyperlink" xfId="13982" builtinId="9" hidden="1"/>
    <cellStyle name="Followed Hyperlink" xfId="13984" builtinId="9" hidden="1"/>
    <cellStyle name="Followed Hyperlink" xfId="13986" builtinId="9" hidden="1"/>
    <cellStyle name="Followed Hyperlink" xfId="13988" builtinId="9" hidden="1"/>
    <cellStyle name="Followed Hyperlink" xfId="13990" builtinId="9" hidden="1"/>
    <cellStyle name="Followed Hyperlink" xfId="13992" builtinId="9" hidden="1"/>
    <cellStyle name="Followed Hyperlink" xfId="13994" builtinId="9" hidden="1"/>
    <cellStyle name="Followed Hyperlink" xfId="13996" builtinId="9" hidden="1"/>
    <cellStyle name="Followed Hyperlink" xfId="14072" builtinId="9" hidden="1"/>
    <cellStyle name="Followed Hyperlink" xfId="14073" builtinId="9" hidden="1"/>
    <cellStyle name="Followed Hyperlink" xfId="14074" builtinId="9" hidden="1"/>
    <cellStyle name="Followed Hyperlink" xfId="14075" builtinId="9" hidden="1"/>
    <cellStyle name="Followed Hyperlink" xfId="14076" builtinId="9" hidden="1"/>
    <cellStyle name="Followed Hyperlink" xfId="14077" builtinId="9" hidden="1"/>
    <cellStyle name="Followed Hyperlink" xfId="14078" builtinId="9" hidden="1"/>
    <cellStyle name="Followed Hyperlink" xfId="14079" builtinId="9" hidden="1"/>
    <cellStyle name="Followed Hyperlink" xfId="14080" builtinId="9" hidden="1"/>
    <cellStyle name="Followed Hyperlink" xfId="14081" builtinId="9" hidden="1"/>
    <cellStyle name="Followed Hyperlink" xfId="14082" builtinId="9" hidden="1"/>
    <cellStyle name="Followed Hyperlink" xfId="14083" builtinId="9" hidden="1"/>
    <cellStyle name="Followed Hyperlink" xfId="14084" builtinId="9" hidden="1"/>
    <cellStyle name="Followed Hyperlink" xfId="14085" builtinId="9" hidden="1"/>
    <cellStyle name="Followed Hyperlink" xfId="14086" builtinId="9" hidden="1"/>
    <cellStyle name="Followed Hyperlink" xfId="14087" builtinId="9" hidden="1"/>
    <cellStyle name="Followed Hyperlink" xfId="14088" builtinId="9" hidden="1"/>
    <cellStyle name="Followed Hyperlink" xfId="14089" builtinId="9" hidden="1"/>
    <cellStyle name="Followed Hyperlink" xfId="14090" builtinId="9" hidden="1"/>
    <cellStyle name="Followed Hyperlink" xfId="14091" builtinId="9" hidden="1"/>
    <cellStyle name="Followed Hyperlink" xfId="14092" builtinId="9" hidden="1"/>
    <cellStyle name="Followed Hyperlink" xfId="14093" builtinId="9" hidden="1"/>
    <cellStyle name="Followed Hyperlink" xfId="14094" builtinId="9" hidden="1"/>
    <cellStyle name="Followed Hyperlink" xfId="14095" builtinId="9" hidden="1"/>
    <cellStyle name="Followed Hyperlink" xfId="14096" builtinId="9" hidden="1"/>
    <cellStyle name="Followed Hyperlink" xfId="14097" builtinId="9" hidden="1"/>
    <cellStyle name="Followed Hyperlink" xfId="14098" builtinId="9" hidden="1"/>
    <cellStyle name="Followed Hyperlink" xfId="14099" builtinId="9" hidden="1"/>
    <cellStyle name="Followed Hyperlink" xfId="14100" builtinId="9" hidden="1"/>
    <cellStyle name="Followed Hyperlink" xfId="14101" builtinId="9" hidden="1"/>
    <cellStyle name="Followed Hyperlink" xfId="14102" builtinId="9" hidden="1"/>
    <cellStyle name="Followed Hyperlink" xfId="14103" builtinId="9" hidden="1"/>
    <cellStyle name="Followed Hyperlink" xfId="14104" builtinId="9" hidden="1"/>
    <cellStyle name="Followed Hyperlink" xfId="14105" builtinId="9" hidden="1"/>
    <cellStyle name="Followed Hyperlink" xfId="14106" builtinId="9" hidden="1"/>
    <cellStyle name="Followed Hyperlink" xfId="14107" builtinId="9" hidden="1"/>
    <cellStyle name="Followed Hyperlink" xfId="14108" builtinId="9" hidden="1"/>
    <cellStyle name="Followed Hyperlink" xfId="14109" builtinId="9" hidden="1"/>
    <cellStyle name="Followed Hyperlink" xfId="14110" builtinId="9" hidden="1"/>
    <cellStyle name="Followed Hyperlink" xfId="14111" builtinId="9" hidden="1"/>
    <cellStyle name="Followed Hyperlink" xfId="14112" builtinId="9" hidden="1"/>
    <cellStyle name="Followed Hyperlink" xfId="14194" builtinId="9" hidden="1"/>
    <cellStyle name="Followed Hyperlink" xfId="14195" builtinId="9" hidden="1"/>
    <cellStyle name="Followed Hyperlink" xfId="14196" builtinId="9" hidden="1"/>
    <cellStyle name="Followed Hyperlink" xfId="14197" builtinId="9" hidden="1"/>
    <cellStyle name="Followed Hyperlink" xfId="14198" builtinId="9" hidden="1"/>
    <cellStyle name="Followed Hyperlink" xfId="14199" builtinId="9" hidden="1"/>
    <cellStyle name="Followed Hyperlink" xfId="14200" builtinId="9" hidden="1"/>
    <cellStyle name="Followed Hyperlink" xfId="14201" builtinId="9" hidden="1"/>
    <cellStyle name="Followed Hyperlink" xfId="14202" builtinId="9" hidden="1"/>
    <cellStyle name="Followed Hyperlink" xfId="14203" builtinId="9" hidden="1"/>
    <cellStyle name="Followed Hyperlink" xfId="14204" builtinId="9" hidden="1"/>
    <cellStyle name="Followed Hyperlink" xfId="14205" builtinId="9" hidden="1"/>
    <cellStyle name="Followed Hyperlink" xfId="14206" builtinId="9" hidden="1"/>
    <cellStyle name="Followed Hyperlink" xfId="14207" builtinId="9" hidden="1"/>
    <cellStyle name="Followed Hyperlink" xfId="14208" builtinId="9" hidden="1"/>
    <cellStyle name="Followed Hyperlink" xfId="14209" builtinId="9" hidden="1"/>
    <cellStyle name="Followed Hyperlink" xfId="14210" builtinId="9" hidden="1"/>
    <cellStyle name="Followed Hyperlink" xfId="14211" builtinId="9" hidden="1"/>
    <cellStyle name="Followed Hyperlink" xfId="14212" builtinId="9" hidden="1"/>
    <cellStyle name="Followed Hyperlink" xfId="14213" builtinId="9" hidden="1"/>
    <cellStyle name="Followed Hyperlink" xfId="14214" builtinId="9" hidden="1"/>
    <cellStyle name="Followed Hyperlink" xfId="14215" builtinId="9" hidden="1"/>
    <cellStyle name="Followed Hyperlink" xfId="14216" builtinId="9" hidden="1"/>
    <cellStyle name="Followed Hyperlink" xfId="14217" builtinId="9" hidden="1"/>
    <cellStyle name="Followed Hyperlink" xfId="14218" builtinId="9" hidden="1"/>
    <cellStyle name="Followed Hyperlink" xfId="14219" builtinId="9" hidden="1"/>
    <cellStyle name="Followed Hyperlink" xfId="14220" builtinId="9" hidden="1"/>
    <cellStyle name="Followed Hyperlink" xfId="14221" builtinId="9" hidden="1"/>
    <cellStyle name="Followed Hyperlink" xfId="14222" builtinId="9" hidden="1"/>
    <cellStyle name="Followed Hyperlink" xfId="14223" builtinId="9" hidden="1"/>
    <cellStyle name="Followed Hyperlink" xfId="14224" builtinId="9" hidden="1"/>
    <cellStyle name="Followed Hyperlink" xfId="14225" builtinId="9" hidden="1"/>
    <cellStyle name="Followed Hyperlink" xfId="14226" builtinId="9" hidden="1"/>
    <cellStyle name="Followed Hyperlink" xfId="14227" builtinId="9" hidden="1"/>
    <cellStyle name="Followed Hyperlink" xfId="14228" builtinId="9" hidden="1"/>
    <cellStyle name="Followed Hyperlink" xfId="14229" builtinId="9" hidden="1"/>
    <cellStyle name="Followed Hyperlink" xfId="14230" builtinId="9" hidden="1"/>
    <cellStyle name="Followed Hyperlink" xfId="14231" builtinId="9" hidden="1"/>
    <cellStyle name="Followed Hyperlink" xfId="14232" builtinId="9" hidden="1"/>
    <cellStyle name="Followed Hyperlink" xfId="14233" builtinId="9" hidden="1"/>
    <cellStyle name="Followed Hyperlink" xfId="14234" builtinId="9" hidden="1"/>
    <cellStyle name="Followed Hyperlink" xfId="14235" builtinId="9" hidden="1"/>
    <cellStyle name="Followed Hyperlink" xfId="14236" builtinId="9" hidden="1"/>
    <cellStyle name="Followed Hyperlink" xfId="14237" builtinId="9" hidden="1"/>
    <cellStyle name="Followed Hyperlink" xfId="14238" builtinId="9" hidden="1"/>
    <cellStyle name="Followed Hyperlink" xfId="14239" builtinId="9" hidden="1"/>
    <cellStyle name="Followed Hyperlink" xfId="14240" builtinId="9" hidden="1"/>
    <cellStyle name="Followed Hyperlink" xfId="14241" builtinId="9" hidden="1"/>
    <cellStyle name="Followed Hyperlink" xfId="14242" builtinId="9" hidden="1"/>
    <cellStyle name="Followed Hyperlink" xfId="14243" builtinId="9" hidden="1"/>
    <cellStyle name="Followed Hyperlink" xfId="14244" builtinId="9" hidden="1"/>
    <cellStyle name="Followed Hyperlink" xfId="14245" builtinId="9" hidden="1"/>
    <cellStyle name="Followed Hyperlink" xfId="14246" builtinId="9" hidden="1"/>
    <cellStyle name="Followed Hyperlink" xfId="14247" builtinId="9" hidden="1"/>
    <cellStyle name="Followed Hyperlink" xfId="14248" builtinId="9" hidden="1"/>
    <cellStyle name="Followed Hyperlink" xfId="14249" builtinId="9" hidden="1"/>
    <cellStyle name="Followed Hyperlink" xfId="14250" builtinId="9" hidden="1"/>
    <cellStyle name="Followed Hyperlink" xfId="14251" builtinId="9" hidden="1"/>
    <cellStyle name="Followed Hyperlink" xfId="14252" builtinId="9" hidden="1"/>
    <cellStyle name="Followed Hyperlink" xfId="14253" builtinId="9" hidden="1"/>
    <cellStyle name="Followed Hyperlink" xfId="14254" builtinId="9" hidden="1"/>
    <cellStyle name="Followed Hyperlink" xfId="14255" builtinId="9" hidden="1"/>
    <cellStyle name="Followed Hyperlink" xfId="14256" builtinId="9" hidden="1"/>
    <cellStyle name="Followed Hyperlink" xfId="14257" builtinId="9" hidden="1"/>
    <cellStyle name="Followed Hyperlink" xfId="14258" builtinId="9" hidden="1"/>
    <cellStyle name="Followed Hyperlink" xfId="14259" builtinId="9" hidden="1"/>
    <cellStyle name="Followed Hyperlink" xfId="14260" builtinId="9" hidden="1"/>
    <cellStyle name="Followed Hyperlink" xfId="14261" builtinId="9" hidden="1"/>
    <cellStyle name="Followed Hyperlink" xfId="14262" builtinId="9" hidden="1"/>
    <cellStyle name="Followed Hyperlink" xfId="14263" builtinId="9" hidden="1"/>
    <cellStyle name="Followed Hyperlink" xfId="14264" builtinId="9" hidden="1"/>
    <cellStyle name="Followed Hyperlink" xfId="14265" builtinId="9" hidden="1"/>
    <cellStyle name="Followed Hyperlink" xfId="14266" builtinId="9" hidden="1"/>
    <cellStyle name="Followed Hyperlink" xfId="14267" builtinId="9" hidden="1"/>
    <cellStyle name="Followed Hyperlink" xfId="14268" builtinId="9" hidden="1"/>
    <cellStyle name="Followed Hyperlink" xfId="14274" builtinId="9" hidden="1"/>
    <cellStyle name="Followed Hyperlink" xfId="14275" builtinId="9" hidden="1"/>
    <cellStyle name="Followed Hyperlink" xfId="14276" builtinId="9" hidden="1"/>
    <cellStyle name="Followed Hyperlink" xfId="14277" builtinId="9" hidden="1"/>
    <cellStyle name="Followed Hyperlink" xfId="14278" builtinId="9" hidden="1"/>
    <cellStyle name="Followed Hyperlink" xfId="14279" builtinId="9" hidden="1"/>
    <cellStyle name="Followed Hyperlink" xfId="14280" builtinId="9" hidden="1"/>
    <cellStyle name="Followed Hyperlink" xfId="14281" builtinId="9" hidden="1"/>
    <cellStyle name="Followed Hyperlink" xfId="14282" builtinId="9" hidden="1"/>
    <cellStyle name="Followed Hyperlink" xfId="14283" builtinId="9" hidden="1"/>
    <cellStyle name="Followed Hyperlink" xfId="14284" builtinId="9" hidden="1"/>
    <cellStyle name="Followed Hyperlink" xfId="14285" builtinId="9" hidden="1"/>
    <cellStyle name="Followed Hyperlink" xfId="14286" builtinId="9" hidden="1"/>
    <cellStyle name="Followed Hyperlink" xfId="14287" builtinId="9" hidden="1"/>
    <cellStyle name="Followed Hyperlink" xfId="14288" builtinId="9" hidden="1"/>
    <cellStyle name="Followed Hyperlink" xfId="14289" builtinId="9" hidden="1"/>
    <cellStyle name="Followed Hyperlink" xfId="14290" builtinId="9" hidden="1"/>
    <cellStyle name="Followed Hyperlink" xfId="14291" builtinId="9" hidden="1"/>
    <cellStyle name="Followed Hyperlink" xfId="14292" builtinId="9" hidden="1"/>
    <cellStyle name="Followed Hyperlink" xfId="14293" builtinId="9" hidden="1"/>
    <cellStyle name="Followed Hyperlink" xfId="14294" builtinId="9" hidden="1"/>
    <cellStyle name="Followed Hyperlink" xfId="14295" builtinId="9" hidden="1"/>
    <cellStyle name="Followed Hyperlink" xfId="14296" builtinId="9" hidden="1"/>
    <cellStyle name="Followed Hyperlink" xfId="14297" builtinId="9" hidden="1"/>
    <cellStyle name="Followed Hyperlink" xfId="14298" builtinId="9" hidden="1"/>
    <cellStyle name="Followed Hyperlink" xfId="14299" builtinId="9" hidden="1"/>
    <cellStyle name="Followed Hyperlink" xfId="14300" builtinId="9" hidden="1"/>
    <cellStyle name="Followed Hyperlink" xfId="14301" builtinId="9" hidden="1"/>
    <cellStyle name="Followed Hyperlink" xfId="14302" builtinId="9" hidden="1"/>
    <cellStyle name="Followed Hyperlink" xfId="14303" builtinId="9" hidden="1"/>
    <cellStyle name="Followed Hyperlink" xfId="14304" builtinId="9" hidden="1"/>
    <cellStyle name="Followed Hyperlink" xfId="14305" builtinId="9" hidden="1"/>
    <cellStyle name="Followed Hyperlink" xfId="14306" builtinId="9" hidden="1"/>
    <cellStyle name="Followed Hyperlink" xfId="14307" builtinId="9" hidden="1"/>
    <cellStyle name="Followed Hyperlink" xfId="14308" builtinId="9" hidden="1"/>
    <cellStyle name="Followed Hyperlink" xfId="14309" builtinId="9" hidden="1"/>
    <cellStyle name="Followed Hyperlink" xfId="14310" builtinId="9" hidden="1"/>
    <cellStyle name="Followed Hyperlink" xfId="14311" builtinId="9" hidden="1"/>
    <cellStyle name="Followed Hyperlink" xfId="14312" builtinId="9" hidden="1"/>
    <cellStyle name="Followed Hyperlink" xfId="14313" builtinId="9" hidden="1"/>
    <cellStyle name="Followed Hyperlink" xfId="14314" builtinId="9" hidden="1"/>
    <cellStyle name="Followed Hyperlink" xfId="14315" builtinId="9" hidden="1"/>
    <cellStyle name="Followed Hyperlink" xfId="14316" builtinId="9" hidden="1"/>
    <cellStyle name="Followed Hyperlink" xfId="14317" builtinId="9" hidden="1"/>
    <cellStyle name="Followed Hyperlink" xfId="14318" builtinId="9" hidden="1"/>
    <cellStyle name="Followed Hyperlink" xfId="14319" builtinId="9" hidden="1"/>
    <cellStyle name="Followed Hyperlink" xfId="14320" builtinId="9" hidden="1"/>
    <cellStyle name="Followed Hyperlink" xfId="14321" builtinId="9" hidden="1"/>
    <cellStyle name="Followed Hyperlink" xfId="14322" builtinId="9" hidden="1"/>
    <cellStyle name="Followed Hyperlink" xfId="14323" builtinId="9" hidden="1"/>
    <cellStyle name="Followed Hyperlink" xfId="14330" builtinId="9" hidden="1"/>
    <cellStyle name="Followed Hyperlink" xfId="14331" builtinId="9" hidden="1"/>
    <cellStyle name="Followed Hyperlink" xfId="14332" builtinId="9" hidden="1"/>
    <cellStyle name="Followed Hyperlink" xfId="14333" builtinId="9" hidden="1"/>
    <cellStyle name="Followed Hyperlink" xfId="14334" builtinId="9" hidden="1"/>
    <cellStyle name="Followed Hyperlink" xfId="14335" builtinId="9" hidden="1"/>
    <cellStyle name="Followed Hyperlink" xfId="14336" builtinId="9" hidden="1"/>
    <cellStyle name="Followed Hyperlink" xfId="14337" builtinId="9" hidden="1"/>
    <cellStyle name="Followed Hyperlink" xfId="14338" builtinId="9" hidden="1"/>
    <cellStyle name="Followed Hyperlink" xfId="14339" builtinId="9" hidden="1"/>
    <cellStyle name="Followed Hyperlink" xfId="14340" builtinId="9" hidden="1"/>
    <cellStyle name="Followed Hyperlink" xfId="14341" builtinId="9" hidden="1"/>
    <cellStyle name="Followed Hyperlink" xfId="14342" builtinId="9" hidden="1"/>
    <cellStyle name="Followed Hyperlink" xfId="14343" builtinId="9" hidden="1"/>
    <cellStyle name="Followed Hyperlink" xfId="14344" builtinId="9" hidden="1"/>
    <cellStyle name="Followed Hyperlink" xfId="14345" builtinId="9" hidden="1"/>
    <cellStyle name="Followed Hyperlink" xfId="14346" builtinId="9" hidden="1"/>
    <cellStyle name="Followed Hyperlink" xfId="14347" builtinId="9" hidden="1"/>
    <cellStyle name="Followed Hyperlink" xfId="14348" builtinId="9" hidden="1"/>
    <cellStyle name="Followed Hyperlink" xfId="14349" builtinId="9" hidden="1"/>
    <cellStyle name="Followed Hyperlink" xfId="14350" builtinId="9" hidden="1"/>
    <cellStyle name="Followed Hyperlink" xfId="14351" builtinId="9" hidden="1"/>
    <cellStyle name="Followed Hyperlink" xfId="14352" builtinId="9" hidden="1"/>
    <cellStyle name="Followed Hyperlink" xfId="14353" builtinId="9" hidden="1"/>
    <cellStyle name="Followed Hyperlink" xfId="14354" builtinId="9" hidden="1"/>
    <cellStyle name="Followed Hyperlink" xfId="14355" builtinId="9" hidden="1"/>
    <cellStyle name="Followed Hyperlink" xfId="14356" builtinId="9" hidden="1"/>
    <cellStyle name="Followed Hyperlink" xfId="14357" builtinId="9" hidden="1"/>
    <cellStyle name="Followed Hyperlink" xfId="14358" builtinId="9" hidden="1"/>
    <cellStyle name="Followed Hyperlink" xfId="14359" builtinId="9" hidden="1"/>
    <cellStyle name="Followed Hyperlink" xfId="14360" builtinId="9" hidden="1"/>
    <cellStyle name="Followed Hyperlink" xfId="14361" builtinId="9" hidden="1"/>
    <cellStyle name="Followed Hyperlink" xfId="14362" builtinId="9" hidden="1"/>
    <cellStyle name="Followed Hyperlink" xfId="14363" builtinId="9" hidden="1"/>
    <cellStyle name="Followed Hyperlink" xfId="14364" builtinId="9" hidden="1"/>
    <cellStyle name="Followed Hyperlink" xfId="14365" builtinId="9" hidden="1"/>
    <cellStyle name="Followed Hyperlink" xfId="14366" builtinId="9" hidden="1"/>
    <cellStyle name="Followed Hyperlink" xfId="14367" builtinId="9" hidden="1"/>
    <cellStyle name="Followed Hyperlink" xfId="14368" builtinId="9" hidden="1"/>
    <cellStyle name="Followed Hyperlink" xfId="14369" builtinId="9" hidden="1"/>
    <cellStyle name="Followed Hyperlink" xfId="14370" builtinId="9" hidden="1"/>
    <cellStyle name="Followed Hyperlink" xfId="14371" builtinId="9" hidden="1"/>
    <cellStyle name="Followed Hyperlink" xfId="14372" builtinId="9" hidden="1"/>
    <cellStyle name="Followed Hyperlink" xfId="14373" builtinId="9" hidden="1"/>
    <cellStyle name="Followed Hyperlink" xfId="14374" builtinId="9" hidden="1"/>
    <cellStyle name="Followed Hyperlink" xfId="14375" builtinId="9" hidden="1"/>
    <cellStyle name="Followed Hyperlink" xfId="14376" builtinId="9" hidden="1"/>
    <cellStyle name="Followed Hyperlink" xfId="14377" builtinId="9" hidden="1"/>
    <cellStyle name="Followed Hyperlink" xfId="14378" builtinId="9" hidden="1"/>
    <cellStyle name="Followed Hyperlink" xfId="14379" builtinId="9" hidden="1"/>
    <cellStyle name="Followed Hyperlink" xfId="14380" builtinId="9" hidden="1"/>
    <cellStyle name="Followed Hyperlink" xfId="14381" builtinId="9" hidden="1"/>
    <cellStyle name="Followed Hyperlink" xfId="14382" builtinId="9" hidden="1"/>
    <cellStyle name="Followed Hyperlink" xfId="14383" builtinId="9" hidden="1"/>
    <cellStyle name="Followed Hyperlink" xfId="14384" builtinId="9" hidden="1"/>
    <cellStyle name="Followed Hyperlink" xfId="14385" builtinId="9" hidden="1"/>
    <cellStyle name="Followed Hyperlink" xfId="14386" builtinId="9" hidden="1"/>
    <cellStyle name="Followed Hyperlink" xfId="14387" builtinId="9" hidden="1"/>
    <cellStyle name="Followed Hyperlink" xfId="14388" builtinId="9" hidden="1"/>
    <cellStyle name="Followed Hyperlink" xfId="14389" builtinId="9" hidden="1"/>
    <cellStyle name="Followed Hyperlink" xfId="14390" builtinId="9" hidden="1"/>
    <cellStyle name="Followed Hyperlink" xfId="14391" builtinId="9" hidden="1"/>
    <cellStyle name="Followed Hyperlink" xfId="14392" builtinId="9" hidden="1"/>
    <cellStyle name="Followed Hyperlink" xfId="14393" builtinId="9" hidden="1"/>
    <cellStyle name="Followed Hyperlink" xfId="14394" builtinId="9" hidden="1"/>
    <cellStyle name="Followed Hyperlink" xfId="14395" builtinId="9" hidden="1"/>
    <cellStyle name="Followed Hyperlink" xfId="14396" builtinId="9" hidden="1"/>
    <cellStyle name="Followed Hyperlink" xfId="14397" builtinId="9" hidden="1"/>
    <cellStyle name="Followed Hyperlink" xfId="14398" builtinId="9" hidden="1"/>
    <cellStyle name="Followed Hyperlink" xfId="14399" builtinId="9" hidden="1"/>
    <cellStyle name="Followed Hyperlink" xfId="14400" builtinId="9" hidden="1"/>
    <cellStyle name="Followed Hyperlink" xfId="14401" builtinId="9" hidden="1"/>
    <cellStyle name="Followed Hyperlink" xfId="14402" builtinId="9" hidden="1"/>
    <cellStyle name="Followed Hyperlink" xfId="14403" builtinId="9" hidden="1"/>
    <cellStyle name="Followed Hyperlink" xfId="14404" builtinId="9" hidden="1"/>
    <cellStyle name="Followed Hyperlink" xfId="14405" builtinId="9" hidden="1"/>
    <cellStyle name="Followed Hyperlink" xfId="14406" builtinId="9" hidden="1"/>
    <cellStyle name="Followed Hyperlink" xfId="14407" builtinId="9" hidden="1"/>
    <cellStyle name="Followed Hyperlink" xfId="14408" builtinId="9" hidden="1"/>
    <cellStyle name="Followed Hyperlink" xfId="14409" builtinId="9" hidden="1"/>
    <cellStyle name="Followed Hyperlink" xfId="14410" builtinId="9" hidden="1"/>
    <cellStyle name="Followed Hyperlink" xfId="14411" builtinId="9" hidden="1"/>
    <cellStyle name="Followed Hyperlink" xfId="14412" builtinId="9" hidden="1"/>
    <cellStyle name="Followed Hyperlink" xfId="14413" builtinId="9" hidden="1"/>
    <cellStyle name="Followed Hyperlink" xfId="14414" builtinId="9" hidden="1"/>
    <cellStyle name="Followed Hyperlink" xfId="14415" builtinId="9" hidden="1"/>
    <cellStyle name="Followed Hyperlink" xfId="14416" builtinId="9" hidden="1"/>
    <cellStyle name="Followed Hyperlink" xfId="14417" builtinId="9" hidden="1"/>
    <cellStyle name="Followed Hyperlink" xfId="14418" builtinId="9" hidden="1"/>
    <cellStyle name="Followed Hyperlink" xfId="14419" builtinId="9" hidden="1"/>
    <cellStyle name="Followed Hyperlink" xfId="14420" builtinId="9" hidden="1"/>
    <cellStyle name="Followed Hyperlink" xfId="14421" builtinId="9" hidden="1"/>
    <cellStyle name="Followed Hyperlink" xfId="14422" builtinId="9" hidden="1"/>
    <cellStyle name="Followed Hyperlink" xfId="14423" builtinId="9" hidden="1"/>
    <cellStyle name="Followed Hyperlink" xfId="14424" builtinId="9" hidden="1"/>
    <cellStyle name="Followed Hyperlink" xfId="14425" builtinId="9" hidden="1"/>
    <cellStyle name="Followed Hyperlink" xfId="14426" builtinId="9" hidden="1"/>
    <cellStyle name="Followed Hyperlink" xfId="14427" builtinId="9" hidden="1"/>
    <cellStyle name="Followed Hyperlink" xfId="14428" builtinId="9" hidden="1"/>
    <cellStyle name="Followed Hyperlink" xfId="14429" builtinId="9" hidden="1"/>
    <cellStyle name="Followed Hyperlink" xfId="14430" builtinId="9" hidden="1"/>
    <cellStyle name="Followed Hyperlink" xfId="14431" builtinId="9" hidden="1"/>
    <cellStyle name="Followed Hyperlink" xfId="14432" builtinId="9" hidden="1"/>
    <cellStyle name="Followed Hyperlink" xfId="14433" builtinId="9" hidden="1"/>
    <cellStyle name="Followed Hyperlink" xfId="14434" builtinId="9" hidden="1"/>
    <cellStyle name="Followed Hyperlink" xfId="14435" builtinId="9" hidden="1"/>
    <cellStyle name="Followed Hyperlink" xfId="14436" builtinId="9" hidden="1"/>
    <cellStyle name="Followed Hyperlink" xfId="14437" builtinId="9" hidden="1"/>
    <cellStyle name="Followed Hyperlink" xfId="14438" builtinId="9" hidden="1"/>
    <cellStyle name="Followed Hyperlink" xfId="14439" builtinId="9" hidden="1"/>
    <cellStyle name="Followed Hyperlink" xfId="14440" builtinId="9" hidden="1"/>
    <cellStyle name="Followed Hyperlink" xfId="14441" builtinId="9" hidden="1"/>
    <cellStyle name="Followed Hyperlink" xfId="14442" builtinId="9" hidden="1"/>
    <cellStyle name="Followed Hyperlink" xfId="14443" builtinId="9" hidden="1"/>
    <cellStyle name="Followed Hyperlink" xfId="14444" builtinId="9" hidden="1"/>
    <cellStyle name="Followed Hyperlink" xfId="14445" builtinId="9" hidden="1"/>
    <cellStyle name="Followed Hyperlink" xfId="14446" builtinId="9" hidden="1"/>
    <cellStyle name="Followed Hyperlink" xfId="14447" builtinId="9" hidden="1"/>
    <cellStyle name="Followed Hyperlink" xfId="14448" builtinId="9" hidden="1"/>
    <cellStyle name="Followed Hyperlink" xfId="14449" builtinId="9" hidden="1"/>
    <cellStyle name="Followed Hyperlink" xfId="14450" builtinId="9" hidden="1"/>
    <cellStyle name="Followed Hyperlink" xfId="14451" builtinId="9" hidden="1"/>
    <cellStyle name="Followed Hyperlink" xfId="14452" builtinId="9" hidden="1"/>
    <cellStyle name="Followed Hyperlink" xfId="14453" builtinId="9" hidden="1"/>
    <cellStyle name="Followed Hyperlink" xfId="14454" builtinId="9" hidden="1"/>
    <cellStyle name="Followed Hyperlink" xfId="14455" builtinId="9" hidden="1"/>
    <cellStyle name="Followed Hyperlink" xfId="14456" builtinId="9" hidden="1"/>
    <cellStyle name="Followed Hyperlink" xfId="14457" builtinId="9" hidden="1"/>
    <cellStyle name="Followed Hyperlink" xfId="14458" builtinId="9" hidden="1"/>
    <cellStyle name="Followed Hyperlink" xfId="14459" builtinId="9" hidden="1"/>
    <cellStyle name="Followed Hyperlink" xfId="14460" builtinId="9" hidden="1"/>
    <cellStyle name="Followed Hyperlink" xfId="14461" builtinId="9" hidden="1"/>
    <cellStyle name="Followed Hyperlink" xfId="14462" builtinId="9" hidden="1"/>
    <cellStyle name="Followed Hyperlink" xfId="14463" builtinId="9" hidden="1"/>
    <cellStyle name="Followed Hyperlink" xfId="14464" builtinId="9" hidden="1"/>
    <cellStyle name="Followed Hyperlink" xfId="14465" builtinId="9" hidden="1"/>
    <cellStyle name="Followed Hyperlink" xfId="14466" builtinId="9" hidden="1"/>
    <cellStyle name="Followed Hyperlink" xfId="14467" builtinId="9" hidden="1"/>
    <cellStyle name="Followed Hyperlink" xfId="14468" builtinId="9" hidden="1"/>
    <cellStyle name="Followed Hyperlink" xfId="14469" builtinId="9" hidden="1"/>
    <cellStyle name="Followed Hyperlink" xfId="14470" builtinId="9" hidden="1"/>
    <cellStyle name="Followed Hyperlink" xfId="14471" builtinId="9" hidden="1"/>
    <cellStyle name="Followed Hyperlink" xfId="14472" builtinId="9" hidden="1"/>
    <cellStyle name="Followed Hyperlink" xfId="14473" builtinId="9" hidden="1"/>
    <cellStyle name="Followed Hyperlink" xfId="14474" builtinId="9" hidden="1"/>
    <cellStyle name="Followed Hyperlink" xfId="14475" builtinId="9" hidden="1"/>
    <cellStyle name="Followed Hyperlink" xfId="14476" builtinId="9" hidden="1"/>
    <cellStyle name="Followed Hyperlink" xfId="14477" builtinId="9" hidden="1"/>
    <cellStyle name="Followed Hyperlink" xfId="14163" builtinId="9" hidden="1"/>
    <cellStyle name="Followed Hyperlink" xfId="14648" builtinId="9" hidden="1"/>
    <cellStyle name="Followed Hyperlink" xfId="14161" builtinId="9" hidden="1"/>
    <cellStyle name="Followed Hyperlink" xfId="14852" builtinId="9" hidden="1"/>
    <cellStyle name="Followed Hyperlink" xfId="14114" builtinId="9" hidden="1"/>
    <cellStyle name="Followed Hyperlink" xfId="14870" builtinId="9" hidden="1"/>
    <cellStyle name="Followed Hyperlink" xfId="14158" builtinId="9" hidden="1"/>
    <cellStyle name="Followed Hyperlink" xfId="14710" builtinId="9" hidden="1"/>
    <cellStyle name="Followed Hyperlink" xfId="14709" builtinId="9" hidden="1"/>
    <cellStyle name="Followed Hyperlink" xfId="14604" builtinId="9" hidden="1"/>
    <cellStyle name="Followed Hyperlink" xfId="14868" builtinId="9" hidden="1"/>
    <cellStyle name="Followed Hyperlink" xfId="14523" builtinId="9" hidden="1"/>
    <cellStyle name="Followed Hyperlink" xfId="14522" builtinId="9" hidden="1"/>
    <cellStyle name="Followed Hyperlink" xfId="14521" builtinId="9" hidden="1"/>
    <cellStyle name="Followed Hyperlink" xfId="14168" builtinId="9" hidden="1"/>
    <cellStyle name="Followed Hyperlink" xfId="14154" builtinId="9" hidden="1"/>
    <cellStyle name="Followed Hyperlink" xfId="14867" builtinId="9" hidden="1"/>
    <cellStyle name="Followed Hyperlink" xfId="14152" builtinId="9" hidden="1"/>
    <cellStyle name="Followed Hyperlink" xfId="14516" builtinId="9" hidden="1"/>
    <cellStyle name="Followed Hyperlink" xfId="14151" builtinId="9" hidden="1"/>
    <cellStyle name="Followed Hyperlink" xfId="14511" builtinId="9" hidden="1"/>
    <cellStyle name="Followed Hyperlink" xfId="14039" builtinId="9" hidden="1"/>
    <cellStyle name="Followed Hyperlink" xfId="14506" builtinId="9" hidden="1"/>
    <cellStyle name="Followed Hyperlink" xfId="14507" builtinId="9" hidden="1"/>
    <cellStyle name="Followed Hyperlink" xfId="13665" builtinId="9" hidden="1"/>
    <cellStyle name="Followed Hyperlink" xfId="14143" builtinId="9" hidden="1"/>
    <cellStyle name="Followed Hyperlink" xfId="14145" builtinId="9" hidden="1"/>
    <cellStyle name="Followed Hyperlink" xfId="14144" builtinId="9" hidden="1"/>
    <cellStyle name="Followed Hyperlink" xfId="14176" builtinId="9" hidden="1"/>
    <cellStyle name="Followed Hyperlink" xfId="13667" builtinId="9" hidden="1"/>
    <cellStyle name="Followed Hyperlink" xfId="14669" builtinId="9" hidden="1"/>
    <cellStyle name="Followed Hyperlink" xfId="14602" builtinId="9" hidden="1"/>
    <cellStyle name="Followed Hyperlink" xfId="14708" builtinId="9" hidden="1"/>
    <cellStyle name="Followed Hyperlink" xfId="14142" builtinId="9" hidden="1"/>
    <cellStyle name="Followed Hyperlink" xfId="14707" builtinId="9" hidden="1"/>
    <cellStyle name="Followed Hyperlink" xfId="14647" builtinId="9" hidden="1"/>
    <cellStyle name="Followed Hyperlink" xfId="14141" builtinId="9" hidden="1"/>
    <cellStyle name="Followed Hyperlink" xfId="14662" builtinId="9" hidden="1"/>
    <cellStyle name="Followed Hyperlink" xfId="14598" builtinId="9" hidden="1"/>
    <cellStyle name="Followed Hyperlink" xfId="14167" builtinId="9" hidden="1"/>
    <cellStyle name="Followed Hyperlink" xfId="13213" builtinId="9" hidden="1"/>
    <cellStyle name="Followed Hyperlink" xfId="15201" builtinId="9" hidden="1"/>
    <cellStyle name="Followed Hyperlink" xfId="15199" builtinId="9" hidden="1"/>
    <cellStyle name="Followed Hyperlink" xfId="15197" builtinId="9" hidden="1"/>
    <cellStyle name="Followed Hyperlink" xfId="15195" builtinId="9" hidden="1"/>
    <cellStyle name="Followed Hyperlink" xfId="15193" builtinId="9" hidden="1"/>
    <cellStyle name="Followed Hyperlink" xfId="15191" builtinId="9" hidden="1"/>
    <cellStyle name="Followed Hyperlink" xfId="15189" builtinId="9" hidden="1"/>
    <cellStyle name="Followed Hyperlink" xfId="15187" builtinId="9" hidden="1"/>
    <cellStyle name="Followed Hyperlink" xfId="15185" builtinId="9" hidden="1"/>
    <cellStyle name="Followed Hyperlink" xfId="15183" builtinId="9" hidden="1"/>
    <cellStyle name="Followed Hyperlink" xfId="15181" builtinId="9" hidden="1"/>
    <cellStyle name="Followed Hyperlink" xfId="15179" builtinId="9" hidden="1"/>
    <cellStyle name="Followed Hyperlink" xfId="15177" builtinId="9" hidden="1"/>
    <cellStyle name="Followed Hyperlink" xfId="15175" builtinId="9" hidden="1"/>
    <cellStyle name="Followed Hyperlink" xfId="15173" builtinId="9" hidden="1"/>
    <cellStyle name="Followed Hyperlink" xfId="15171" builtinId="9" hidden="1"/>
    <cellStyle name="Followed Hyperlink" xfId="15169" builtinId="9" hidden="1"/>
    <cellStyle name="Followed Hyperlink" xfId="15167" builtinId="9" hidden="1"/>
    <cellStyle name="Followed Hyperlink" xfId="15165" builtinId="9" hidden="1"/>
    <cellStyle name="Followed Hyperlink" xfId="15163" builtinId="9" hidden="1"/>
    <cellStyle name="Followed Hyperlink" xfId="15161" builtinId="9" hidden="1"/>
    <cellStyle name="Followed Hyperlink" xfId="15159" builtinId="9" hidden="1"/>
    <cellStyle name="Followed Hyperlink" xfId="15157" builtinId="9" hidden="1"/>
    <cellStyle name="Followed Hyperlink" xfId="15155" builtinId="9" hidden="1"/>
    <cellStyle name="Followed Hyperlink" xfId="15153" builtinId="9" hidden="1"/>
    <cellStyle name="Followed Hyperlink" xfId="15151" builtinId="9" hidden="1"/>
    <cellStyle name="Followed Hyperlink" xfId="15149" builtinId="9" hidden="1"/>
    <cellStyle name="Followed Hyperlink" xfId="15147" builtinId="9" hidden="1"/>
    <cellStyle name="Followed Hyperlink" xfId="15145" builtinId="9" hidden="1"/>
    <cellStyle name="Followed Hyperlink" xfId="15143" builtinId="9" hidden="1"/>
    <cellStyle name="Followed Hyperlink" xfId="15141" builtinId="9" hidden="1"/>
    <cellStyle name="Followed Hyperlink" xfId="15139" builtinId="9" hidden="1"/>
    <cellStyle name="Followed Hyperlink" xfId="15137" builtinId="9" hidden="1"/>
    <cellStyle name="Followed Hyperlink" xfId="15135" builtinId="9" hidden="1"/>
    <cellStyle name="Followed Hyperlink" xfId="15133" builtinId="9" hidden="1"/>
    <cellStyle name="Followed Hyperlink" xfId="15131" builtinId="9" hidden="1"/>
    <cellStyle name="Followed Hyperlink" xfId="15129" builtinId="9" hidden="1"/>
    <cellStyle name="Followed Hyperlink" xfId="15127" builtinId="9" hidden="1"/>
    <cellStyle name="Followed Hyperlink" xfId="15125" builtinId="9" hidden="1"/>
    <cellStyle name="Followed Hyperlink" xfId="15123" builtinId="9" hidden="1"/>
    <cellStyle name="Followed Hyperlink" xfId="15121" builtinId="9" hidden="1"/>
    <cellStyle name="Followed Hyperlink" xfId="15119" builtinId="9" hidden="1"/>
    <cellStyle name="Followed Hyperlink" xfId="15117" builtinId="9" hidden="1"/>
    <cellStyle name="Followed Hyperlink" xfId="15115" builtinId="9" hidden="1"/>
    <cellStyle name="Followed Hyperlink" xfId="15113" builtinId="9" hidden="1"/>
    <cellStyle name="Followed Hyperlink" xfId="15111" builtinId="9" hidden="1"/>
    <cellStyle name="Followed Hyperlink" xfId="15109" builtinId="9" hidden="1"/>
    <cellStyle name="Followed Hyperlink" xfId="15107" builtinId="9" hidden="1"/>
    <cellStyle name="Followed Hyperlink" xfId="15105" builtinId="9" hidden="1"/>
    <cellStyle name="Followed Hyperlink" xfId="15103" builtinId="9" hidden="1"/>
    <cellStyle name="Followed Hyperlink" xfId="15101" builtinId="9" hidden="1"/>
    <cellStyle name="Followed Hyperlink" xfId="15099" builtinId="9" hidden="1"/>
    <cellStyle name="Followed Hyperlink" xfId="15097" builtinId="9" hidden="1"/>
    <cellStyle name="Followed Hyperlink" xfId="15095" builtinId="9" hidden="1"/>
    <cellStyle name="Followed Hyperlink" xfId="15093" builtinId="9" hidden="1"/>
    <cellStyle name="Followed Hyperlink" xfId="15091" builtinId="9" hidden="1"/>
    <cellStyle name="Followed Hyperlink" xfId="15089" builtinId="9" hidden="1"/>
    <cellStyle name="Followed Hyperlink" xfId="15087" builtinId="9" hidden="1"/>
    <cellStyle name="Followed Hyperlink" xfId="15085" builtinId="9" hidden="1"/>
    <cellStyle name="Followed Hyperlink" xfId="15083" builtinId="9" hidden="1"/>
    <cellStyle name="Followed Hyperlink" xfId="15081" builtinId="9" hidden="1"/>
    <cellStyle name="Followed Hyperlink" xfId="15079" builtinId="9" hidden="1"/>
    <cellStyle name="Followed Hyperlink" xfId="15077" builtinId="9" hidden="1"/>
    <cellStyle name="Followed Hyperlink" xfId="15075" builtinId="9" hidden="1"/>
    <cellStyle name="Followed Hyperlink" xfId="15073" builtinId="9" hidden="1"/>
    <cellStyle name="Followed Hyperlink" xfId="15071" builtinId="9" hidden="1"/>
    <cellStyle name="Followed Hyperlink" xfId="15069" builtinId="9" hidden="1"/>
    <cellStyle name="Followed Hyperlink" xfId="15067" builtinId="9" hidden="1"/>
    <cellStyle name="Followed Hyperlink" xfId="15065" builtinId="9" hidden="1"/>
    <cellStyle name="Followed Hyperlink" xfId="15058" builtinId="9" hidden="1"/>
    <cellStyle name="Followed Hyperlink" xfId="15056" builtinId="9" hidden="1"/>
    <cellStyle name="Followed Hyperlink" xfId="15054" builtinId="9" hidden="1"/>
    <cellStyle name="Followed Hyperlink" xfId="15052" builtinId="9" hidden="1"/>
    <cellStyle name="Followed Hyperlink" xfId="15050" builtinId="9" hidden="1"/>
    <cellStyle name="Followed Hyperlink" xfId="15048" builtinId="9" hidden="1"/>
    <cellStyle name="Followed Hyperlink" xfId="15046" builtinId="9" hidden="1"/>
    <cellStyle name="Followed Hyperlink" xfId="15044" builtinId="9" hidden="1"/>
    <cellStyle name="Followed Hyperlink" xfId="15042" builtinId="9" hidden="1"/>
    <cellStyle name="Followed Hyperlink" xfId="15040" builtinId="9" hidden="1"/>
    <cellStyle name="Followed Hyperlink" xfId="15038" builtinId="9" hidden="1"/>
    <cellStyle name="Followed Hyperlink" xfId="15036" builtinId="9" hidden="1"/>
    <cellStyle name="Followed Hyperlink" xfId="15034" builtinId="9" hidden="1"/>
    <cellStyle name="Followed Hyperlink" xfId="15032" builtinId="9" hidden="1"/>
    <cellStyle name="Followed Hyperlink" xfId="15030" builtinId="9" hidden="1"/>
    <cellStyle name="Followed Hyperlink" xfId="15028" builtinId="9" hidden="1"/>
    <cellStyle name="Followed Hyperlink" xfId="15026" builtinId="9" hidden="1"/>
    <cellStyle name="Followed Hyperlink" xfId="15024" builtinId="9" hidden="1"/>
    <cellStyle name="Followed Hyperlink" xfId="15022" builtinId="9" hidden="1"/>
    <cellStyle name="Followed Hyperlink" xfId="15020" builtinId="9" hidden="1"/>
    <cellStyle name="Followed Hyperlink" xfId="15018" builtinId="9" hidden="1"/>
    <cellStyle name="Followed Hyperlink" xfId="15016" builtinId="9" hidden="1"/>
    <cellStyle name="Followed Hyperlink" xfId="15014" builtinId="9" hidden="1"/>
    <cellStyle name="Followed Hyperlink" xfId="15012" builtinId="9" hidden="1"/>
    <cellStyle name="Followed Hyperlink" xfId="15010" builtinId="9" hidden="1"/>
    <cellStyle name="Followed Hyperlink" xfId="15008" builtinId="9" hidden="1"/>
    <cellStyle name="Followed Hyperlink" xfId="15006" builtinId="9" hidden="1"/>
    <cellStyle name="Followed Hyperlink" xfId="15004" builtinId="9" hidden="1"/>
    <cellStyle name="Followed Hyperlink" xfId="14139" builtinId="9" hidden="1"/>
    <cellStyle name="Followed Hyperlink" xfId="15001" builtinId="9" hidden="1"/>
    <cellStyle name="Followed Hyperlink" xfId="14999" builtinId="9" hidden="1"/>
    <cellStyle name="Followed Hyperlink" xfId="14997" builtinId="9" hidden="1"/>
    <cellStyle name="Followed Hyperlink" xfId="14995" builtinId="9" hidden="1"/>
    <cellStyle name="Followed Hyperlink" xfId="14993" builtinId="9" hidden="1"/>
    <cellStyle name="Followed Hyperlink" xfId="14991" builtinId="9" hidden="1"/>
    <cellStyle name="Followed Hyperlink" xfId="14989" builtinId="9" hidden="1"/>
    <cellStyle name="Followed Hyperlink" xfId="14987" builtinId="9" hidden="1"/>
    <cellStyle name="Followed Hyperlink" xfId="14985" builtinId="9" hidden="1"/>
    <cellStyle name="Followed Hyperlink" xfId="14983" builtinId="9" hidden="1"/>
    <cellStyle name="Followed Hyperlink" xfId="14981" builtinId="9" hidden="1"/>
    <cellStyle name="Followed Hyperlink" xfId="14979" builtinId="9" hidden="1"/>
    <cellStyle name="Followed Hyperlink" xfId="14977" builtinId="9" hidden="1"/>
    <cellStyle name="Followed Hyperlink" xfId="14975" builtinId="9" hidden="1"/>
    <cellStyle name="Followed Hyperlink" xfId="14973" builtinId="9" hidden="1"/>
    <cellStyle name="Followed Hyperlink" xfId="14971" builtinId="9" hidden="1"/>
    <cellStyle name="Followed Hyperlink" xfId="14969" builtinId="9" hidden="1"/>
    <cellStyle name="Followed Hyperlink" xfId="14967" builtinId="9" hidden="1"/>
    <cellStyle name="Followed Hyperlink" xfId="14965" builtinId="9" hidden="1"/>
    <cellStyle name="Followed Hyperlink" xfId="14963" builtinId="9" hidden="1"/>
    <cellStyle name="Followed Hyperlink" xfId="14961" builtinId="9" hidden="1"/>
    <cellStyle name="Followed Hyperlink" xfId="14959" builtinId="9" hidden="1"/>
    <cellStyle name="Followed Hyperlink" xfId="14957" builtinId="9" hidden="1"/>
    <cellStyle name="Followed Hyperlink" xfId="14955" builtinId="9" hidden="1"/>
    <cellStyle name="Followed Hyperlink" xfId="14953" builtinId="9" hidden="1"/>
    <cellStyle name="Followed Hyperlink" xfId="14951" builtinId="9" hidden="1"/>
    <cellStyle name="Followed Hyperlink" xfId="14949" builtinId="9" hidden="1"/>
    <cellStyle name="Followed Hyperlink" xfId="14947" builtinId="9" hidden="1"/>
    <cellStyle name="Followed Hyperlink" xfId="14945" builtinId="9" hidden="1"/>
    <cellStyle name="Followed Hyperlink" xfId="14943" builtinId="9" hidden="1"/>
    <cellStyle name="Followed Hyperlink" xfId="14941" builtinId="9" hidden="1"/>
    <cellStyle name="Followed Hyperlink" xfId="14939" builtinId="9" hidden="1"/>
    <cellStyle name="Followed Hyperlink" xfId="14937" builtinId="9" hidden="1"/>
    <cellStyle name="Followed Hyperlink" xfId="14935" builtinId="9" hidden="1"/>
    <cellStyle name="Followed Hyperlink" xfId="14933" builtinId="9" hidden="1"/>
    <cellStyle name="Followed Hyperlink" xfId="14931" builtinId="9" hidden="1"/>
    <cellStyle name="Followed Hyperlink" xfId="14929" builtinId="9" hidden="1"/>
    <cellStyle name="Followed Hyperlink" xfId="14927" builtinId="9" hidden="1"/>
    <cellStyle name="Followed Hyperlink" xfId="14925" builtinId="9" hidden="1"/>
    <cellStyle name="Followed Hyperlink" xfId="14923" builtinId="9" hidden="1"/>
    <cellStyle name="Followed Hyperlink" xfId="14921" builtinId="9" hidden="1"/>
    <cellStyle name="Followed Hyperlink" xfId="14919" builtinId="9" hidden="1"/>
    <cellStyle name="Followed Hyperlink" xfId="14917" builtinId="9" hidden="1"/>
    <cellStyle name="Followed Hyperlink" xfId="14915" builtinId="9" hidden="1"/>
    <cellStyle name="Followed Hyperlink" xfId="14913" builtinId="9" hidden="1"/>
    <cellStyle name="Followed Hyperlink" xfId="14911" builtinId="9" hidden="1"/>
    <cellStyle name="Followed Hyperlink" xfId="14909" builtinId="9" hidden="1"/>
    <cellStyle name="Followed Hyperlink" xfId="14907" builtinId="9" hidden="1"/>
    <cellStyle name="Followed Hyperlink" xfId="14905" builtinId="9" hidden="1"/>
    <cellStyle name="Followed Hyperlink" xfId="14903" builtinId="9" hidden="1"/>
    <cellStyle name="Followed Hyperlink" xfId="14901" builtinId="9" hidden="1"/>
    <cellStyle name="Followed Hyperlink" xfId="14622" builtinId="9" hidden="1"/>
    <cellStyle name="Followed Hyperlink" xfId="14898" builtinId="9" hidden="1"/>
    <cellStyle name="Followed Hyperlink" xfId="14896" builtinId="9" hidden="1"/>
    <cellStyle name="Followed Hyperlink" xfId="14894" builtinId="9" hidden="1"/>
    <cellStyle name="Followed Hyperlink" xfId="14892" builtinId="9" hidden="1"/>
    <cellStyle name="Followed Hyperlink" xfId="14890" builtinId="9" hidden="1"/>
    <cellStyle name="Followed Hyperlink" xfId="14888" builtinId="9" hidden="1"/>
    <cellStyle name="Followed Hyperlink" xfId="14886" builtinId="9" hidden="1"/>
    <cellStyle name="Followed Hyperlink" xfId="14884" builtinId="9" hidden="1"/>
    <cellStyle name="Followed Hyperlink" xfId="14882" builtinId="9" hidden="1"/>
    <cellStyle name="Followed Hyperlink" xfId="14880" builtinId="9" hidden="1"/>
    <cellStyle name="Followed Hyperlink" xfId="14878" builtinId="9" hidden="1"/>
    <cellStyle name="Followed Hyperlink" xfId="14876" builtinId="9" hidden="1"/>
    <cellStyle name="Followed Hyperlink" xfId="14874" builtinId="9" hidden="1"/>
    <cellStyle name="Followed Hyperlink" xfId="14872" builtinId="9" hidden="1"/>
    <cellStyle name="Followed Hyperlink" xfId="13436" builtinId="9" hidden="1"/>
    <cellStyle name="Followed Hyperlink" xfId="13432" builtinId="9" hidden="1"/>
    <cellStyle name="Followed Hyperlink" xfId="13428" builtinId="9" hidden="1"/>
    <cellStyle name="Followed Hyperlink" xfId="13424" builtinId="9" hidden="1"/>
    <cellStyle name="Followed Hyperlink" xfId="13420" builtinId="9" hidden="1"/>
    <cellStyle name="Followed Hyperlink" xfId="13416" builtinId="9" hidden="1"/>
    <cellStyle name="Followed Hyperlink" xfId="13412" builtinId="9" hidden="1"/>
    <cellStyle name="Followed Hyperlink" xfId="13408" builtinId="9" hidden="1"/>
    <cellStyle name="Followed Hyperlink" xfId="13404" builtinId="9" hidden="1"/>
    <cellStyle name="Followed Hyperlink" xfId="13400" builtinId="9" hidden="1"/>
    <cellStyle name="Followed Hyperlink" xfId="13396" builtinId="9" hidden="1"/>
    <cellStyle name="Followed Hyperlink" xfId="13392" builtinId="9" hidden="1"/>
    <cellStyle name="Followed Hyperlink" xfId="13388" builtinId="9" hidden="1"/>
    <cellStyle name="Followed Hyperlink" xfId="13384" builtinId="9" hidden="1"/>
    <cellStyle name="Followed Hyperlink" xfId="13380" builtinId="9" hidden="1"/>
    <cellStyle name="Followed Hyperlink" xfId="13364" builtinId="9" hidden="1"/>
    <cellStyle name="Followed Hyperlink" xfId="13360" builtinId="9" hidden="1"/>
    <cellStyle name="Followed Hyperlink" xfId="13356" builtinId="9" hidden="1"/>
    <cellStyle name="Followed Hyperlink" xfId="13352" builtinId="9" hidden="1"/>
    <cellStyle name="Followed Hyperlink" xfId="13348" builtinId="9" hidden="1"/>
    <cellStyle name="Followed Hyperlink" xfId="13344" builtinId="9" hidden="1"/>
    <cellStyle name="Followed Hyperlink" xfId="13340" builtinId="9" hidden="1"/>
    <cellStyle name="Followed Hyperlink" xfId="13336" builtinId="9" hidden="1"/>
    <cellStyle name="Followed Hyperlink" xfId="13332" builtinId="9" hidden="1"/>
    <cellStyle name="Followed Hyperlink" xfId="13328" builtinId="9" hidden="1"/>
    <cellStyle name="Followed Hyperlink" xfId="13324" builtinId="9" hidden="1"/>
    <cellStyle name="Followed Hyperlink" xfId="13320" builtinId="9" hidden="1"/>
    <cellStyle name="Followed Hyperlink" xfId="13316" builtinId="9" hidden="1"/>
    <cellStyle name="Followed Hyperlink" xfId="13312" builtinId="9" hidden="1"/>
    <cellStyle name="Followed Hyperlink" xfId="13308" builtinId="9" hidden="1"/>
    <cellStyle name="Followed Hyperlink" xfId="13304" builtinId="9" hidden="1"/>
    <cellStyle name="Followed Hyperlink" xfId="13300" builtinId="9" hidden="1"/>
    <cellStyle name="Followed Hyperlink" xfId="13296" builtinId="9" hidden="1"/>
    <cellStyle name="Followed Hyperlink" xfId="13292" builtinId="9" hidden="1"/>
    <cellStyle name="Followed Hyperlink" xfId="13288" builtinId="9" hidden="1"/>
    <cellStyle name="Followed Hyperlink" xfId="13284" builtinId="9" hidden="1"/>
    <cellStyle name="Followed Hyperlink" xfId="13280" builtinId="9" hidden="1"/>
    <cellStyle name="Followed Hyperlink" xfId="13276" builtinId="9" hidden="1"/>
    <cellStyle name="Followed Hyperlink" xfId="13272" builtinId="9" hidden="1"/>
    <cellStyle name="Followed Hyperlink" xfId="13268" builtinId="9" hidden="1"/>
    <cellStyle name="Followed Hyperlink" xfId="13264" builtinId="9" hidden="1"/>
    <cellStyle name="Followed Hyperlink" xfId="13260" builtinId="9" hidden="1"/>
    <cellStyle name="Followed Hyperlink" xfId="13256" builtinId="9" hidden="1"/>
    <cellStyle name="Followed Hyperlink" xfId="13252" builtinId="9" hidden="1"/>
    <cellStyle name="Followed Hyperlink" xfId="13248" builtinId="9" hidden="1"/>
    <cellStyle name="Followed Hyperlink" xfId="13244" builtinId="9" hidden="1"/>
    <cellStyle name="Followed Hyperlink" xfId="13240" builtinId="9" hidden="1"/>
    <cellStyle name="Followed Hyperlink" xfId="13236" builtinId="9" hidden="1"/>
    <cellStyle name="Followed Hyperlink" xfId="13232" builtinId="9" hidden="1"/>
    <cellStyle name="Followed Hyperlink" xfId="13228" builtinId="9" hidden="1"/>
    <cellStyle name="Followed Hyperlink" xfId="13224" builtinId="9" hidden="1"/>
    <cellStyle name="Followed Hyperlink" xfId="13220" builtinId="9" hidden="1"/>
    <cellStyle name="Followed Hyperlink" xfId="14138" builtinId="9" hidden="1"/>
    <cellStyle name="Followed Hyperlink" xfId="14705" builtinId="9" hidden="1"/>
    <cellStyle name="Followed Hyperlink" xfId="14136" builtinId="9" hidden="1"/>
    <cellStyle name="Followed Hyperlink" xfId="14704" builtinId="9" hidden="1"/>
    <cellStyle name="Followed Hyperlink" xfId="14135" builtinId="9" hidden="1"/>
    <cellStyle name="Followed Hyperlink" xfId="14703" builtinId="9" hidden="1"/>
    <cellStyle name="Followed Hyperlink" xfId="14620" builtinId="9" hidden="1"/>
    <cellStyle name="Followed Hyperlink" xfId="14007" builtinId="9" hidden="1"/>
    <cellStyle name="Followed Hyperlink" xfId="14738" builtinId="9" hidden="1"/>
    <cellStyle name="Followed Hyperlink" xfId="14661" builtinId="9" hidden="1"/>
    <cellStyle name="Followed Hyperlink" xfId="14006" builtinId="9" hidden="1"/>
    <cellStyle name="Followed Hyperlink" xfId="14592" builtinId="9" hidden="1"/>
    <cellStyle name="Followed Hyperlink" xfId="14740" builtinId="9" hidden="1"/>
    <cellStyle name="Followed Hyperlink" xfId="13998" builtinId="9" hidden="1"/>
    <cellStyle name="Followed Hyperlink" xfId="14589" builtinId="9" hidden="1"/>
    <cellStyle name="Followed Hyperlink" xfId="14587" builtinId="9" hidden="1"/>
    <cellStyle name="Followed Hyperlink" xfId="14585" builtinId="9" hidden="1"/>
    <cellStyle name="Followed Hyperlink" xfId="14583" builtinId="9" hidden="1"/>
    <cellStyle name="Followed Hyperlink" xfId="14132" builtinId="9" hidden="1"/>
    <cellStyle name="Followed Hyperlink" xfId="14700" builtinId="9" hidden="1"/>
    <cellStyle name="Followed Hyperlink" xfId="14130" builtinId="9" hidden="1"/>
    <cellStyle name="Followed Hyperlink" xfId="14129" builtinId="9" hidden="1"/>
    <cellStyle name="Followed Hyperlink" xfId="14127" builtinId="9" hidden="1"/>
    <cellStyle name="Followed Hyperlink" xfId="14581" builtinId="9" hidden="1"/>
    <cellStyle name="Followed Hyperlink" xfId="14003" builtinId="9" hidden="1"/>
    <cellStyle name="Followed Hyperlink" xfId="14580" builtinId="9" hidden="1"/>
    <cellStyle name="Followed Hyperlink" xfId="14182" builtinId="9" hidden="1"/>
    <cellStyle name="Followed Hyperlink" xfId="14191" builtinId="9" hidden="1"/>
    <cellStyle name="Followed Hyperlink" xfId="14124" builtinId="9" hidden="1"/>
    <cellStyle name="Followed Hyperlink" xfId="14125" builtinId="9" hidden="1"/>
    <cellStyle name="Followed Hyperlink" xfId="14865" builtinId="9" hidden="1"/>
    <cellStyle name="Followed Hyperlink" xfId="14499" builtinId="9" hidden="1"/>
    <cellStyle name="Followed Hyperlink" xfId="14122" builtinId="9" hidden="1"/>
    <cellStyle name="Followed Hyperlink" xfId="14123" builtinId="9" hidden="1"/>
    <cellStyle name="Followed Hyperlink" xfId="14670" builtinId="9" hidden="1"/>
    <cellStyle name="Followed Hyperlink" xfId="14772" builtinId="9" hidden="1"/>
    <cellStyle name="Followed Hyperlink" xfId="14576" builtinId="9" hidden="1"/>
    <cellStyle name="Followed Hyperlink" xfId="14574" builtinId="9" hidden="1"/>
    <cellStyle name="Followed Hyperlink" xfId="14572" builtinId="9" hidden="1"/>
    <cellStyle name="Followed Hyperlink" xfId="14570" builtinId="9" hidden="1"/>
    <cellStyle name="Followed Hyperlink" xfId="14697" builtinId="9" hidden="1"/>
    <cellStyle name="Followed Hyperlink" xfId="14696" builtinId="9" hidden="1"/>
    <cellStyle name="Followed Hyperlink" xfId="14120" builtinId="9" hidden="1"/>
    <cellStyle name="Followed Hyperlink" xfId="14646" builtinId="9" hidden="1"/>
    <cellStyle name="Followed Hyperlink" xfId="14119" builtinId="9" hidden="1"/>
    <cellStyle name="Followed Hyperlink" xfId="14659" builtinId="9" hidden="1"/>
    <cellStyle name="Followed Hyperlink" xfId="14636" builtinId="9" hidden="1"/>
    <cellStyle name="Followed Hyperlink" xfId="14567" builtinId="9" hidden="1"/>
    <cellStyle name="Followed Hyperlink" xfId="14010" builtinId="9" hidden="1"/>
    <cellStyle name="Followed Hyperlink" xfId="14694" builtinId="9" hidden="1"/>
    <cellStyle name="Followed Hyperlink" xfId="14004" builtinId="9" hidden="1"/>
    <cellStyle name="Followed Hyperlink" xfId="14033" builtinId="9" hidden="1"/>
    <cellStyle name="Followed Hyperlink" xfId="14180" builtinId="9" hidden="1"/>
    <cellStyle name="Followed Hyperlink" xfId="14691" builtinId="9" hidden="1"/>
    <cellStyle name="Followed Hyperlink" xfId="14690" builtinId="9" hidden="1"/>
    <cellStyle name="Followed Hyperlink" xfId="14689" builtinId="9" hidden="1"/>
    <cellStyle name="Followed Hyperlink" xfId="14688" builtinId="9" hidden="1"/>
    <cellStyle name="Followed Hyperlink" xfId="14687" builtinId="9" hidden="1"/>
    <cellStyle name="Followed Hyperlink" xfId="14686" builtinId="9" hidden="1"/>
    <cellStyle name="Followed Hyperlink" xfId="14685" builtinId="9" hidden="1"/>
    <cellStyle name="Followed Hyperlink" xfId="14684" builtinId="9" hidden="1"/>
    <cellStyle name="Followed Hyperlink" xfId="14683" builtinId="9" hidden="1"/>
    <cellStyle name="Followed Hyperlink" xfId="14116" builtinId="9" hidden="1"/>
    <cellStyle name="Followed Hyperlink" xfId="14498" builtinId="9" hidden="1"/>
    <cellStyle name="Followed Hyperlink" xfId="14497" builtinId="9" hidden="1"/>
    <cellStyle name="Followed Hyperlink" xfId="14037" builtinId="9" hidden="1"/>
    <cellStyle name="Followed Hyperlink" xfId="14496" builtinId="9" hidden="1"/>
    <cellStyle name="Followed Hyperlink" xfId="14495" builtinId="9" hidden="1"/>
    <cellStyle name="Followed Hyperlink" xfId="14035" builtinId="9" hidden="1"/>
    <cellStyle name="Followed Hyperlink" xfId="14494" builtinId="9" hidden="1"/>
    <cellStyle name="Followed Hyperlink" xfId="14493" builtinId="9" hidden="1"/>
    <cellStyle name="Followed Hyperlink" xfId="14031" builtinId="9" hidden="1"/>
    <cellStyle name="Followed Hyperlink" xfId="14492" builtinId="9" hidden="1"/>
    <cellStyle name="Followed Hyperlink" xfId="14679" builtinId="9" hidden="1"/>
    <cellStyle name="Followed Hyperlink" xfId="14066" builtinId="9" hidden="1"/>
    <cellStyle name="Followed Hyperlink" xfId="14054" builtinId="9" hidden="1"/>
    <cellStyle name="Followed Hyperlink" xfId="14681" builtinId="9" hidden="1"/>
    <cellStyle name="Followed Hyperlink" xfId="14070" builtinId="9" hidden="1"/>
    <cellStyle name="Followed Hyperlink" xfId="14020" builtinId="9" hidden="1"/>
    <cellStyle name="Followed Hyperlink" xfId="14028" builtinId="9" hidden="1"/>
    <cellStyle name="Followed Hyperlink" xfId="14036" builtinId="9" hidden="1"/>
    <cellStyle name="Followed Hyperlink" xfId="14018" builtinId="9" hidden="1"/>
    <cellStyle name="Followed Hyperlink" xfId="14025" builtinId="9" hidden="1"/>
    <cellStyle name="Followed Hyperlink" xfId="14692" builtinId="9" hidden="1"/>
    <cellStyle name="Followed Hyperlink" xfId="14181" builtinId="9" hidden="1"/>
    <cellStyle name="Followed Hyperlink" xfId="14118" builtinId="9" hidden="1"/>
    <cellStyle name="Followed Hyperlink" xfId="14695" builtinId="9" hidden="1"/>
    <cellStyle name="Followed Hyperlink" xfId="14568" builtinId="9" hidden="1"/>
    <cellStyle name="Followed Hyperlink" xfId="14569" builtinId="9" hidden="1"/>
    <cellStyle name="Followed Hyperlink" xfId="13212" builtinId="9" hidden="1"/>
    <cellStyle name="Followed Hyperlink" xfId="14573" builtinId="9" hidden="1"/>
    <cellStyle name="Followed Hyperlink" xfId="14577" builtinId="9" hidden="1"/>
    <cellStyle name="Followed Hyperlink" xfId="13666" builtinId="9" hidden="1"/>
    <cellStyle name="Followed Hyperlink" xfId="14166" builtinId="9" hidden="1"/>
    <cellStyle name="Followed Hyperlink" xfId="14113" builtinId="9" hidden="1"/>
    <cellStyle name="Followed Hyperlink" xfId="14617" builtinId="9" hidden="1"/>
    <cellStyle name="Followed Hyperlink" xfId="14179" builtinId="9" hidden="1"/>
    <cellStyle name="Followed Hyperlink" xfId="14699" builtinId="9" hidden="1"/>
    <cellStyle name="Followed Hyperlink" xfId="13438" builtinId="9" hidden="1"/>
    <cellStyle name="Followed Hyperlink" xfId="14017" builtinId="9" hidden="1"/>
    <cellStyle name="Followed Hyperlink" xfId="14619" builtinId="9" hidden="1"/>
    <cellStyle name="Followed Hyperlink" xfId="14586" builtinId="9" hidden="1"/>
    <cellStyle name="Followed Hyperlink" xfId="14590" builtinId="9" hidden="1"/>
    <cellStyle name="Followed Hyperlink" xfId="14701" builtinId="9" hidden="1"/>
    <cellStyle name="Followed Hyperlink" xfId="14594" builtinId="9" hidden="1"/>
    <cellStyle name="Followed Hyperlink" xfId="14702" builtinId="9" hidden="1"/>
    <cellStyle name="Followed Hyperlink" xfId="14596" builtinId="9" hidden="1"/>
    <cellStyle name="Followed Hyperlink" xfId="14597" builtinId="9" hidden="1"/>
    <cellStyle name="Followed Hyperlink" xfId="14621" builtinId="9" hidden="1"/>
    <cellStyle name="Followed Hyperlink" xfId="13218" builtinId="9" hidden="1"/>
    <cellStyle name="Followed Hyperlink" xfId="13226" builtinId="9" hidden="1"/>
    <cellStyle name="Followed Hyperlink" xfId="13234" builtinId="9" hidden="1"/>
    <cellStyle name="Followed Hyperlink" xfId="13242" builtinId="9" hidden="1"/>
    <cellStyle name="Followed Hyperlink" xfId="13250" builtinId="9" hidden="1"/>
    <cellStyle name="Followed Hyperlink" xfId="13258" builtinId="9" hidden="1"/>
    <cellStyle name="Followed Hyperlink" xfId="13266" builtinId="9" hidden="1"/>
    <cellStyle name="Followed Hyperlink" xfId="13274" builtinId="9" hidden="1"/>
    <cellStyle name="Followed Hyperlink" xfId="13282" builtinId="9" hidden="1"/>
    <cellStyle name="Followed Hyperlink" xfId="13290" builtinId="9" hidden="1"/>
    <cellStyle name="Followed Hyperlink" xfId="13298" builtinId="9" hidden="1"/>
    <cellStyle name="Followed Hyperlink" xfId="13306" builtinId="9" hidden="1"/>
    <cellStyle name="Followed Hyperlink" xfId="13314" builtinId="9" hidden="1"/>
    <cellStyle name="Followed Hyperlink" xfId="13322" builtinId="9" hidden="1"/>
    <cellStyle name="Followed Hyperlink" xfId="13330" builtinId="9" hidden="1"/>
    <cellStyle name="Followed Hyperlink" xfId="13338" builtinId="9" hidden="1"/>
    <cellStyle name="Followed Hyperlink" xfId="13346" builtinId="9" hidden="1"/>
    <cellStyle name="Followed Hyperlink" xfId="13354" builtinId="9" hidden="1"/>
    <cellStyle name="Followed Hyperlink" xfId="13362" builtinId="9" hidden="1"/>
    <cellStyle name="Followed Hyperlink" xfId="14064" builtinId="9" hidden="1"/>
    <cellStyle name="Followed Hyperlink" xfId="15060" builtinId="9" hidden="1"/>
    <cellStyle name="Followed Hyperlink" xfId="14491" builtinId="9" hidden="1"/>
    <cellStyle name="Followed Hyperlink" xfId="14490" builtinId="9" hidden="1"/>
    <cellStyle name="Followed Hyperlink" xfId="14489" builtinId="9" hidden="1"/>
    <cellStyle name="Followed Hyperlink" xfId="14023" builtinId="9" hidden="1"/>
    <cellStyle name="Followed Hyperlink" xfId="14488" builtinId="9" hidden="1"/>
    <cellStyle name="Followed Hyperlink" xfId="14487" builtinId="9" hidden="1"/>
    <cellStyle name="Followed Hyperlink" xfId="14019" builtinId="9" hidden="1"/>
    <cellStyle name="Followed Hyperlink" xfId="14486" builtinId="9" hidden="1"/>
    <cellStyle name="Followed Hyperlink" xfId="14485" builtinId="9" hidden="1"/>
    <cellStyle name="Followed Hyperlink" xfId="14484" builtinId="9" hidden="1"/>
    <cellStyle name="Followed Hyperlink" xfId="14871" builtinId="9" hidden="1"/>
    <cellStyle name="Followed Hyperlink" xfId="14002" builtinId="9" hidden="1"/>
    <cellStyle name="Followed Hyperlink" xfId="13999" builtinId="9" hidden="1"/>
    <cellStyle name="Followed Hyperlink" xfId="13443" builtinId="9" hidden="1"/>
    <cellStyle name="Followed Hyperlink" xfId="14675" builtinId="9" hidden="1"/>
    <cellStyle name="Followed Hyperlink" xfId="14067" builtinId="9" hidden="1"/>
    <cellStyle name="Followed Hyperlink" xfId="14053" builtinId="9" hidden="1"/>
    <cellStyle name="Followed Hyperlink" xfId="14674" builtinId="9" hidden="1"/>
    <cellStyle name="Followed Hyperlink" xfId="14065" builtinId="9" hidden="1"/>
    <cellStyle name="Followed Hyperlink" xfId="14051" builtinId="9" hidden="1"/>
    <cellStyle name="Followed Hyperlink" xfId="14673" builtinId="9" hidden="1"/>
    <cellStyle name="Followed Hyperlink" xfId="14063" builtinId="9" hidden="1"/>
    <cellStyle name="Followed Hyperlink" xfId="14049" builtinId="9" hidden="1"/>
    <cellStyle name="Followed Hyperlink" xfId="14672" builtinId="9" hidden="1"/>
    <cellStyle name="Followed Hyperlink" xfId="14061" builtinId="9" hidden="1"/>
    <cellStyle name="Followed Hyperlink" xfId="14047" builtinId="9" hidden="1"/>
    <cellStyle name="Followed Hyperlink" xfId="14671" builtinId="9" hidden="1"/>
    <cellStyle name="Followed Hyperlink" xfId="14059" builtinId="9" hidden="1"/>
    <cellStyle name="Followed Hyperlink" xfId="14045" builtinId="9" hidden="1"/>
    <cellStyle name="Followed Hyperlink" xfId="14041" builtinId="9" hidden="1"/>
    <cellStyle name="Followed Hyperlink" xfId="13663" builtinId="9" hidden="1"/>
    <cellStyle name="Followed Hyperlink" xfId="15207" builtinId="9" hidden="1"/>
    <cellStyle name="Followed Hyperlink" xfId="15209" builtinId="9" hidden="1"/>
    <cellStyle name="Followed Hyperlink" xfId="15211" builtinId="9" hidden="1"/>
    <cellStyle name="Followed Hyperlink" xfId="15213" builtinId="9" hidden="1"/>
    <cellStyle name="Followed Hyperlink" xfId="15215" builtinId="9" hidden="1"/>
    <cellStyle name="Followed Hyperlink" xfId="15217" builtinId="9" hidden="1"/>
    <cellStyle name="Followed Hyperlink" xfId="15219" builtinId="9" hidden="1"/>
    <cellStyle name="Followed Hyperlink" xfId="15221" builtinId="9" hidden="1"/>
    <cellStyle name="Followed Hyperlink" xfId="15223" builtinId="9" hidden="1"/>
    <cellStyle name="Followed Hyperlink" xfId="15225" builtinId="9" hidden="1"/>
    <cellStyle name="Followed Hyperlink" xfId="15227" builtinId="9" hidden="1"/>
    <cellStyle name="Followed Hyperlink" xfId="15229" builtinId="9" hidden="1"/>
    <cellStyle name="Followed Hyperlink" xfId="15231" builtinId="9" hidden="1"/>
    <cellStyle name="Followed Hyperlink" xfId="15233" builtinId="9" hidden="1"/>
    <cellStyle name="Followed Hyperlink" xfId="15235" builtinId="9" hidden="1"/>
    <cellStyle name="Followed Hyperlink" xfId="15237" builtinId="9" hidden="1"/>
    <cellStyle name="Followed Hyperlink" xfId="15239" builtinId="9" hidden="1"/>
    <cellStyle name="Followed Hyperlink" xfId="15241" builtinId="9" hidden="1"/>
    <cellStyle name="Followed Hyperlink" xfId="15243" builtinId="9" hidden="1"/>
    <cellStyle name="Followed Hyperlink" xfId="15245" builtinId="9" hidden="1"/>
    <cellStyle name="Followed Hyperlink" xfId="15247" builtinId="9" hidden="1"/>
    <cellStyle name="Followed Hyperlink" xfId="15249" builtinId="9" hidden="1"/>
    <cellStyle name="Followed Hyperlink" xfId="15323" builtinId="9" hidden="1"/>
    <cellStyle name="Followed Hyperlink" xfId="15324" builtinId="9" hidden="1"/>
    <cellStyle name="Followed Hyperlink" xfId="15325" builtinId="9" hidden="1"/>
    <cellStyle name="Followed Hyperlink" xfId="15326" builtinId="9" hidden="1"/>
    <cellStyle name="Followed Hyperlink" xfId="15327" builtinId="9" hidden="1"/>
    <cellStyle name="Followed Hyperlink" xfId="15328" builtinId="9" hidden="1"/>
    <cellStyle name="Followed Hyperlink" xfId="15329" builtinId="9" hidden="1"/>
    <cellStyle name="Followed Hyperlink" xfId="15330" builtinId="9" hidden="1"/>
    <cellStyle name="Followed Hyperlink" xfId="15331" builtinId="9" hidden="1"/>
    <cellStyle name="Followed Hyperlink" xfId="15332" builtinId="9" hidden="1"/>
    <cellStyle name="Followed Hyperlink" xfId="15333" builtinId="9" hidden="1"/>
    <cellStyle name="Followed Hyperlink" xfId="15334" builtinId="9" hidden="1"/>
    <cellStyle name="Followed Hyperlink" xfId="15335" builtinId="9" hidden="1"/>
    <cellStyle name="Followed Hyperlink" xfId="15336" builtinId="9" hidden="1"/>
    <cellStyle name="Followed Hyperlink" xfId="15337" builtinId="9" hidden="1"/>
    <cellStyle name="Followed Hyperlink" xfId="15338" builtinId="9" hidden="1"/>
    <cellStyle name="Followed Hyperlink" xfId="15339" builtinId="9" hidden="1"/>
    <cellStyle name="Followed Hyperlink" xfId="15340" builtinId="9" hidden="1"/>
    <cellStyle name="Followed Hyperlink" xfId="15341" builtinId="9" hidden="1"/>
    <cellStyle name="Followed Hyperlink" xfId="15342" builtinId="9" hidden="1"/>
    <cellStyle name="Followed Hyperlink" xfId="15343" builtinId="9" hidden="1"/>
    <cellStyle name="Followed Hyperlink" xfId="15344" builtinId="9" hidden="1"/>
    <cellStyle name="Followed Hyperlink" xfId="15345" builtinId="9" hidden="1"/>
    <cellStyle name="Followed Hyperlink" xfId="15346" builtinId="9" hidden="1"/>
    <cellStyle name="Followed Hyperlink" xfId="15347" builtinId="9" hidden="1"/>
    <cellStyle name="Followed Hyperlink" xfId="15348" builtinId="9" hidden="1"/>
    <cellStyle name="Followed Hyperlink" xfId="15349" builtinId="9" hidden="1"/>
    <cellStyle name="Followed Hyperlink" xfId="15350" builtinId="9" hidden="1"/>
    <cellStyle name="Followed Hyperlink" xfId="15351" builtinId="9" hidden="1"/>
    <cellStyle name="Followed Hyperlink" xfId="15352" builtinId="9" hidden="1"/>
    <cellStyle name="Followed Hyperlink" xfId="15353" builtinId="9" hidden="1"/>
    <cellStyle name="Followed Hyperlink" xfId="15354" builtinId="9" hidden="1"/>
    <cellStyle name="Followed Hyperlink" xfId="15355" builtinId="9" hidden="1"/>
    <cellStyle name="Followed Hyperlink" xfId="15356" builtinId="9" hidden="1"/>
    <cellStyle name="Followed Hyperlink" xfId="15357" builtinId="9" hidden="1"/>
    <cellStyle name="Followed Hyperlink" xfId="15358" builtinId="9" hidden="1"/>
    <cellStyle name="Followed Hyperlink" xfId="15359" builtinId="9" hidden="1"/>
    <cellStyle name="Followed Hyperlink" xfId="15360" builtinId="9" hidden="1"/>
    <cellStyle name="Followed Hyperlink" xfId="15361" builtinId="9" hidden="1"/>
    <cellStyle name="Followed Hyperlink" xfId="15362" builtinId="9" hidden="1"/>
    <cellStyle name="Followed Hyperlink" xfId="15363" builtinId="9" hidden="1"/>
    <cellStyle name="Followed Hyperlink" xfId="15443" builtinId="9" hidden="1"/>
    <cellStyle name="Followed Hyperlink" xfId="15444" builtinId="9" hidden="1"/>
    <cellStyle name="Followed Hyperlink" xfId="15445" builtinId="9" hidden="1"/>
    <cellStyle name="Followed Hyperlink" xfId="15446" builtinId="9" hidden="1"/>
    <cellStyle name="Followed Hyperlink" xfId="15447" builtinId="9" hidden="1"/>
    <cellStyle name="Followed Hyperlink" xfId="15448" builtinId="9" hidden="1"/>
    <cellStyle name="Followed Hyperlink" xfId="15449" builtinId="9" hidden="1"/>
    <cellStyle name="Followed Hyperlink" xfId="15450" builtinId="9" hidden="1"/>
    <cellStyle name="Followed Hyperlink" xfId="15451" builtinId="9" hidden="1"/>
    <cellStyle name="Followed Hyperlink" xfId="15452" builtinId="9" hidden="1"/>
    <cellStyle name="Followed Hyperlink" xfId="15453" builtinId="9" hidden="1"/>
    <cellStyle name="Followed Hyperlink" xfId="15454" builtinId="9" hidden="1"/>
    <cellStyle name="Followed Hyperlink" xfId="15455" builtinId="9" hidden="1"/>
    <cellStyle name="Followed Hyperlink" xfId="15456" builtinId="9" hidden="1"/>
    <cellStyle name="Followed Hyperlink" xfId="15457" builtinId="9" hidden="1"/>
    <cellStyle name="Followed Hyperlink" xfId="15458" builtinId="9" hidden="1"/>
    <cellStyle name="Followed Hyperlink" xfId="15459" builtinId="9" hidden="1"/>
    <cellStyle name="Followed Hyperlink" xfId="15460" builtinId="9" hidden="1"/>
    <cellStyle name="Followed Hyperlink" xfId="15461" builtinId="9" hidden="1"/>
    <cellStyle name="Followed Hyperlink" xfId="15462" builtinId="9" hidden="1"/>
    <cellStyle name="Followed Hyperlink" xfId="15463" builtinId="9" hidden="1"/>
    <cellStyle name="Followed Hyperlink" xfId="15464" builtinId="9" hidden="1"/>
    <cellStyle name="Followed Hyperlink" xfId="15465" builtinId="9" hidden="1"/>
    <cellStyle name="Followed Hyperlink" xfId="15466" builtinId="9" hidden="1"/>
    <cellStyle name="Followed Hyperlink" xfId="15467" builtinId="9" hidden="1"/>
    <cellStyle name="Followed Hyperlink" xfId="15468" builtinId="9" hidden="1"/>
    <cellStyle name="Followed Hyperlink" xfId="15469" builtinId="9" hidden="1"/>
    <cellStyle name="Followed Hyperlink" xfId="15470" builtinId="9" hidden="1"/>
    <cellStyle name="Followed Hyperlink" xfId="15471" builtinId="9" hidden="1"/>
    <cellStyle name="Followed Hyperlink" xfId="15472" builtinId="9" hidden="1"/>
    <cellStyle name="Followed Hyperlink" xfId="15473" builtinId="9" hidden="1"/>
    <cellStyle name="Followed Hyperlink" xfId="15474" builtinId="9" hidden="1"/>
    <cellStyle name="Followed Hyperlink" xfId="15475" builtinId="9" hidden="1"/>
    <cellStyle name="Followed Hyperlink" xfId="15476" builtinId="9" hidden="1"/>
    <cellStyle name="Followed Hyperlink" xfId="15477" builtinId="9" hidden="1"/>
    <cellStyle name="Followed Hyperlink" xfId="15478" builtinId="9" hidden="1"/>
    <cellStyle name="Followed Hyperlink" xfId="15479" builtinId="9" hidden="1"/>
    <cellStyle name="Followed Hyperlink" xfId="15480" builtinId="9" hidden="1"/>
    <cellStyle name="Followed Hyperlink" xfId="15481" builtinId="9" hidden="1"/>
    <cellStyle name="Followed Hyperlink" xfId="15482" builtinId="9" hidden="1"/>
    <cellStyle name="Followed Hyperlink" xfId="15483" builtinId="9" hidden="1"/>
    <cellStyle name="Followed Hyperlink" xfId="15484" builtinId="9" hidden="1"/>
    <cellStyle name="Followed Hyperlink" xfId="15485" builtinId="9" hidden="1"/>
    <cellStyle name="Followed Hyperlink" xfId="15486" builtinId="9" hidden="1"/>
    <cellStyle name="Followed Hyperlink" xfId="15487" builtinId="9" hidden="1"/>
    <cellStyle name="Followed Hyperlink" xfId="15488" builtinId="9" hidden="1"/>
    <cellStyle name="Followed Hyperlink" xfId="15489" builtinId="9" hidden="1"/>
    <cellStyle name="Followed Hyperlink" xfId="15490" builtinId="9" hidden="1"/>
    <cellStyle name="Followed Hyperlink" xfId="15491" builtinId="9" hidden="1"/>
    <cellStyle name="Followed Hyperlink" xfId="15492" builtinId="9" hidden="1"/>
    <cellStyle name="Followed Hyperlink" xfId="15493" builtinId="9" hidden="1"/>
    <cellStyle name="Followed Hyperlink" xfId="15494" builtinId="9" hidden="1"/>
    <cellStyle name="Followed Hyperlink" xfId="15495" builtinId="9" hidden="1"/>
    <cellStyle name="Followed Hyperlink" xfId="15496" builtinId="9" hidden="1"/>
    <cellStyle name="Followed Hyperlink" xfId="15497" builtinId="9" hidden="1"/>
    <cellStyle name="Followed Hyperlink" xfId="15498" builtinId="9" hidden="1"/>
    <cellStyle name="Followed Hyperlink" xfId="15499" builtinId="9" hidden="1"/>
    <cellStyle name="Followed Hyperlink" xfId="15500" builtinId="9" hidden="1"/>
    <cellStyle name="Followed Hyperlink" xfId="15501" builtinId="9" hidden="1"/>
    <cellStyle name="Followed Hyperlink" xfId="15502" builtinId="9" hidden="1"/>
    <cellStyle name="Followed Hyperlink" xfId="15503" builtinId="9" hidden="1"/>
    <cellStyle name="Followed Hyperlink" xfId="15504" builtinId="9" hidden="1"/>
    <cellStyle name="Followed Hyperlink" xfId="15505" builtinId="9" hidden="1"/>
    <cellStyle name="Followed Hyperlink" xfId="15506" builtinId="9" hidden="1"/>
    <cellStyle name="Followed Hyperlink" xfId="15507" builtinId="9" hidden="1"/>
    <cellStyle name="Followed Hyperlink" xfId="15508" builtinId="9" hidden="1"/>
    <cellStyle name="Followed Hyperlink" xfId="15509" builtinId="9" hidden="1"/>
    <cellStyle name="Followed Hyperlink" xfId="15510" builtinId="9" hidden="1"/>
    <cellStyle name="Followed Hyperlink" xfId="15511" builtinId="9" hidden="1"/>
    <cellStyle name="Followed Hyperlink" xfId="15512" builtinId="9" hidden="1"/>
    <cellStyle name="Followed Hyperlink" xfId="15513" builtinId="9" hidden="1"/>
    <cellStyle name="Followed Hyperlink" xfId="15514" builtinId="9" hidden="1"/>
    <cellStyle name="Followed Hyperlink" xfId="15515" builtinId="9" hidden="1"/>
    <cellStyle name="Followed Hyperlink" xfId="15516" builtinId="9" hidden="1"/>
    <cellStyle name="Followed Hyperlink" xfId="15517" builtinId="9" hidden="1"/>
    <cellStyle name="Followed Hyperlink" xfId="15523" builtinId="9" hidden="1"/>
    <cellStyle name="Followed Hyperlink" xfId="15524" builtinId="9" hidden="1"/>
    <cellStyle name="Followed Hyperlink" xfId="15525" builtinId="9" hidden="1"/>
    <cellStyle name="Followed Hyperlink" xfId="15526" builtinId="9" hidden="1"/>
    <cellStyle name="Followed Hyperlink" xfId="15527" builtinId="9" hidden="1"/>
    <cellStyle name="Followed Hyperlink" xfId="15528" builtinId="9" hidden="1"/>
    <cellStyle name="Followed Hyperlink" xfId="15529" builtinId="9" hidden="1"/>
    <cellStyle name="Followed Hyperlink" xfId="15530" builtinId="9" hidden="1"/>
    <cellStyle name="Followed Hyperlink" xfId="15531" builtinId="9" hidden="1"/>
    <cellStyle name="Followed Hyperlink" xfId="15532" builtinId="9" hidden="1"/>
    <cellStyle name="Followed Hyperlink" xfId="15533" builtinId="9" hidden="1"/>
    <cellStyle name="Followed Hyperlink" xfId="15534" builtinId="9" hidden="1"/>
    <cellStyle name="Followed Hyperlink" xfId="15535" builtinId="9" hidden="1"/>
    <cellStyle name="Followed Hyperlink" xfId="15536" builtinId="9" hidden="1"/>
    <cellStyle name="Followed Hyperlink" xfId="15537" builtinId="9" hidden="1"/>
    <cellStyle name="Followed Hyperlink" xfId="15538" builtinId="9" hidden="1"/>
    <cellStyle name="Followed Hyperlink" xfId="15539" builtinId="9" hidden="1"/>
    <cellStyle name="Followed Hyperlink" xfId="15540" builtinId="9" hidden="1"/>
    <cellStyle name="Followed Hyperlink" xfId="15541" builtinId="9" hidden="1"/>
    <cellStyle name="Followed Hyperlink" xfId="15542" builtinId="9" hidden="1"/>
    <cellStyle name="Followed Hyperlink" xfId="15543" builtinId="9" hidden="1"/>
    <cellStyle name="Followed Hyperlink" xfId="15544" builtinId="9" hidden="1"/>
    <cellStyle name="Followed Hyperlink" xfId="15545" builtinId="9" hidden="1"/>
    <cellStyle name="Followed Hyperlink" xfId="15546" builtinId="9" hidden="1"/>
    <cellStyle name="Followed Hyperlink" xfId="15547" builtinId="9" hidden="1"/>
    <cellStyle name="Followed Hyperlink" xfId="15548" builtinId="9" hidden="1"/>
    <cellStyle name="Followed Hyperlink" xfId="15549" builtinId="9" hidden="1"/>
    <cellStyle name="Followed Hyperlink" xfId="15550" builtinId="9" hidden="1"/>
    <cellStyle name="Followed Hyperlink" xfId="15551" builtinId="9" hidden="1"/>
    <cellStyle name="Followed Hyperlink" xfId="15552" builtinId="9" hidden="1"/>
    <cellStyle name="Followed Hyperlink" xfId="15553" builtinId="9" hidden="1"/>
    <cellStyle name="Followed Hyperlink" xfId="15554" builtinId="9" hidden="1"/>
    <cellStyle name="Followed Hyperlink" xfId="15555" builtinId="9" hidden="1"/>
    <cellStyle name="Followed Hyperlink" xfId="15556" builtinId="9" hidden="1"/>
    <cellStyle name="Followed Hyperlink" xfId="15557" builtinId="9" hidden="1"/>
    <cellStyle name="Followed Hyperlink" xfId="15558" builtinId="9" hidden="1"/>
    <cellStyle name="Followed Hyperlink" xfId="15559" builtinId="9" hidden="1"/>
    <cellStyle name="Followed Hyperlink" xfId="15560" builtinId="9" hidden="1"/>
    <cellStyle name="Followed Hyperlink" xfId="15561" builtinId="9" hidden="1"/>
    <cellStyle name="Followed Hyperlink" xfId="15562" builtinId="9" hidden="1"/>
    <cellStyle name="Followed Hyperlink" xfId="15563" builtinId="9" hidden="1"/>
    <cellStyle name="Followed Hyperlink" xfId="15564" builtinId="9" hidden="1"/>
    <cellStyle name="Followed Hyperlink" xfId="15565" builtinId="9" hidden="1"/>
    <cellStyle name="Followed Hyperlink" xfId="15566" builtinId="9" hidden="1"/>
    <cellStyle name="Followed Hyperlink" xfId="15567" builtinId="9" hidden="1"/>
    <cellStyle name="Followed Hyperlink" xfId="15568" builtinId="9" hidden="1"/>
    <cellStyle name="Followed Hyperlink" xfId="15569" builtinId="9" hidden="1"/>
    <cellStyle name="Followed Hyperlink" xfId="15570" builtinId="9" hidden="1"/>
    <cellStyle name="Followed Hyperlink" xfId="15571" builtinId="9" hidden="1"/>
    <cellStyle name="Followed Hyperlink" xfId="15572" builtinId="9" hidden="1"/>
    <cellStyle name="Followed Hyperlink" xfId="15579" builtinId="9" hidden="1"/>
    <cellStyle name="Followed Hyperlink" xfId="15580" builtinId="9" hidden="1"/>
    <cellStyle name="Followed Hyperlink" xfId="15581" builtinId="9" hidden="1"/>
    <cellStyle name="Followed Hyperlink" xfId="15582" builtinId="9" hidden="1"/>
    <cellStyle name="Followed Hyperlink" xfId="15583" builtinId="9" hidden="1"/>
    <cellStyle name="Followed Hyperlink" xfId="15584" builtinId="9" hidden="1"/>
    <cellStyle name="Followed Hyperlink" xfId="15585" builtinId="9" hidden="1"/>
    <cellStyle name="Followed Hyperlink" xfId="15586" builtinId="9" hidden="1"/>
    <cellStyle name="Followed Hyperlink" xfId="15587" builtinId="9" hidden="1"/>
    <cellStyle name="Followed Hyperlink" xfId="15588" builtinId="9" hidden="1"/>
    <cellStyle name="Followed Hyperlink" xfId="15589" builtinId="9" hidden="1"/>
    <cellStyle name="Followed Hyperlink" xfId="15590" builtinId="9" hidden="1"/>
    <cellStyle name="Followed Hyperlink" xfId="15591" builtinId="9" hidden="1"/>
    <cellStyle name="Followed Hyperlink" xfId="15592" builtinId="9" hidden="1"/>
    <cellStyle name="Followed Hyperlink" xfId="15593" builtinId="9" hidden="1"/>
    <cellStyle name="Followed Hyperlink" xfId="15594" builtinId="9" hidden="1"/>
    <cellStyle name="Followed Hyperlink" xfId="15595" builtinId="9" hidden="1"/>
    <cellStyle name="Followed Hyperlink" xfId="15596" builtinId="9" hidden="1"/>
    <cellStyle name="Followed Hyperlink" xfId="15597" builtinId="9" hidden="1"/>
    <cellStyle name="Followed Hyperlink" xfId="15598" builtinId="9" hidden="1"/>
    <cellStyle name="Followed Hyperlink" xfId="15599" builtinId="9" hidden="1"/>
    <cellStyle name="Followed Hyperlink" xfId="15600" builtinId="9" hidden="1"/>
    <cellStyle name="Followed Hyperlink" xfId="15601" builtinId="9" hidden="1"/>
    <cellStyle name="Followed Hyperlink" xfId="15602" builtinId="9" hidden="1"/>
    <cellStyle name="Followed Hyperlink" xfId="15603" builtinId="9" hidden="1"/>
    <cellStyle name="Followed Hyperlink" xfId="15604" builtinId="9" hidden="1"/>
    <cellStyle name="Followed Hyperlink" xfId="15605" builtinId="9" hidden="1"/>
    <cellStyle name="Followed Hyperlink" xfId="15606" builtinId="9" hidden="1"/>
    <cellStyle name="Followed Hyperlink" xfId="15607" builtinId="9" hidden="1"/>
    <cellStyle name="Followed Hyperlink" xfId="15608" builtinId="9" hidden="1"/>
    <cellStyle name="Followed Hyperlink" xfId="15609" builtinId="9" hidden="1"/>
    <cellStyle name="Followed Hyperlink" xfId="15610" builtinId="9" hidden="1"/>
    <cellStyle name="Followed Hyperlink" xfId="15611" builtinId="9" hidden="1"/>
    <cellStyle name="Followed Hyperlink" xfId="15612" builtinId="9" hidden="1"/>
    <cellStyle name="Followed Hyperlink" xfId="15613" builtinId="9" hidden="1"/>
    <cellStyle name="Followed Hyperlink" xfId="15614" builtinId="9" hidden="1"/>
    <cellStyle name="Followed Hyperlink" xfId="15615" builtinId="9" hidden="1"/>
    <cellStyle name="Followed Hyperlink" xfId="15616" builtinId="9" hidden="1"/>
    <cellStyle name="Followed Hyperlink" xfId="15617" builtinId="9" hidden="1"/>
    <cellStyle name="Followed Hyperlink" xfId="15618" builtinId="9" hidden="1"/>
    <cellStyle name="Followed Hyperlink" xfId="15619" builtinId="9" hidden="1"/>
    <cellStyle name="Followed Hyperlink" xfId="15620" builtinId="9" hidden="1"/>
    <cellStyle name="Followed Hyperlink" xfId="15621" builtinId="9" hidden="1"/>
    <cellStyle name="Followed Hyperlink" xfId="15622" builtinId="9" hidden="1"/>
    <cellStyle name="Followed Hyperlink" xfId="15623" builtinId="9" hidden="1"/>
    <cellStyle name="Followed Hyperlink" xfId="15624" builtinId="9" hidden="1"/>
    <cellStyle name="Followed Hyperlink" xfId="15625" builtinId="9" hidden="1"/>
    <cellStyle name="Followed Hyperlink" xfId="15626" builtinId="9" hidden="1"/>
    <cellStyle name="Followed Hyperlink" xfId="15627" builtinId="9" hidden="1"/>
    <cellStyle name="Followed Hyperlink" xfId="15628" builtinId="9" hidden="1"/>
    <cellStyle name="Followed Hyperlink" xfId="15629" builtinId="9" hidden="1"/>
    <cellStyle name="Followed Hyperlink" xfId="15630" builtinId="9" hidden="1"/>
    <cellStyle name="Followed Hyperlink" xfId="15631" builtinId="9" hidden="1"/>
    <cellStyle name="Followed Hyperlink" xfId="15632" builtinId="9" hidden="1"/>
    <cellStyle name="Followed Hyperlink" xfId="15633" builtinId="9" hidden="1"/>
    <cellStyle name="Followed Hyperlink" xfId="15634" builtinId="9" hidden="1"/>
    <cellStyle name="Followed Hyperlink" xfId="15635" builtinId="9" hidden="1"/>
    <cellStyle name="Followed Hyperlink" xfId="15636" builtinId="9" hidden="1"/>
    <cellStyle name="Followed Hyperlink" xfId="15637" builtinId="9" hidden="1"/>
    <cellStyle name="Followed Hyperlink" xfId="15638" builtinId="9" hidden="1"/>
    <cellStyle name="Followed Hyperlink" xfId="15639" builtinId="9" hidden="1"/>
    <cellStyle name="Followed Hyperlink" xfId="15640" builtinId="9" hidden="1"/>
    <cellStyle name="Followed Hyperlink" xfId="15641" builtinId="9" hidden="1"/>
    <cellStyle name="Followed Hyperlink" xfId="15642" builtinId="9" hidden="1"/>
    <cellStyle name="Followed Hyperlink" xfId="15643" builtinId="9" hidden="1"/>
    <cellStyle name="Followed Hyperlink" xfId="15644" builtinId="9" hidden="1"/>
    <cellStyle name="Followed Hyperlink" xfId="15645" builtinId="9" hidden="1"/>
    <cellStyle name="Followed Hyperlink" xfId="15646" builtinId="9" hidden="1"/>
    <cellStyle name="Followed Hyperlink" xfId="15647" builtinId="9" hidden="1"/>
    <cellStyle name="Followed Hyperlink" xfId="15648" builtinId="9" hidden="1"/>
    <cellStyle name="Followed Hyperlink" xfId="15649" builtinId="9" hidden="1"/>
    <cellStyle name="Followed Hyperlink" xfId="15650" builtinId="9" hidden="1"/>
    <cellStyle name="Followed Hyperlink" xfId="15651" builtinId="9" hidden="1"/>
    <cellStyle name="Followed Hyperlink" xfId="15652" builtinId="9" hidden="1"/>
    <cellStyle name="Followed Hyperlink" xfId="15653" builtinId="9" hidden="1"/>
    <cellStyle name="Followed Hyperlink" xfId="15654" builtinId="9" hidden="1"/>
    <cellStyle name="Followed Hyperlink" xfId="15655" builtinId="9" hidden="1"/>
    <cellStyle name="Followed Hyperlink" xfId="15656" builtinId="9" hidden="1"/>
    <cellStyle name="Followed Hyperlink" xfId="15657" builtinId="9" hidden="1"/>
    <cellStyle name="Followed Hyperlink" xfId="15658" builtinId="9" hidden="1"/>
    <cellStyle name="Followed Hyperlink" xfId="15659" builtinId="9" hidden="1"/>
    <cellStyle name="Followed Hyperlink" xfId="15660" builtinId="9" hidden="1"/>
    <cellStyle name="Followed Hyperlink" xfId="15661" builtinId="9" hidden="1"/>
    <cellStyle name="Followed Hyperlink" xfId="15662" builtinId="9" hidden="1"/>
    <cellStyle name="Followed Hyperlink" xfId="15663" builtinId="9" hidden="1"/>
    <cellStyle name="Followed Hyperlink" xfId="15664" builtinId="9" hidden="1"/>
    <cellStyle name="Followed Hyperlink" xfId="15665" builtinId="9" hidden="1"/>
    <cellStyle name="Followed Hyperlink" xfId="15666" builtinId="9" hidden="1"/>
    <cellStyle name="Followed Hyperlink" xfId="15667" builtinId="9" hidden="1"/>
    <cellStyle name="Followed Hyperlink" xfId="15668" builtinId="9" hidden="1"/>
    <cellStyle name="Followed Hyperlink" xfId="15669" builtinId="9" hidden="1"/>
    <cellStyle name="Followed Hyperlink" xfId="15670" builtinId="9" hidden="1"/>
    <cellStyle name="Followed Hyperlink" xfId="15671" builtinId="9" hidden="1"/>
    <cellStyle name="Followed Hyperlink" xfId="15672" builtinId="9" hidden="1"/>
    <cellStyle name="Followed Hyperlink" xfId="15673" builtinId="9" hidden="1"/>
    <cellStyle name="Followed Hyperlink" xfId="15674" builtinId="9" hidden="1"/>
    <cellStyle name="Followed Hyperlink" xfId="15675" builtinId="9" hidden="1"/>
    <cellStyle name="Followed Hyperlink" xfId="15676" builtinId="9" hidden="1"/>
    <cellStyle name="Followed Hyperlink" xfId="15677" builtinId="9" hidden="1"/>
    <cellStyle name="Followed Hyperlink" xfId="15678" builtinId="9" hidden="1"/>
    <cellStyle name="Followed Hyperlink" xfId="15679" builtinId="9" hidden="1"/>
    <cellStyle name="Followed Hyperlink" xfId="15680" builtinId="9" hidden="1"/>
    <cellStyle name="Followed Hyperlink" xfId="15681" builtinId="9" hidden="1"/>
    <cellStyle name="Followed Hyperlink" xfId="15682" builtinId="9" hidden="1"/>
    <cellStyle name="Followed Hyperlink" xfId="15683" builtinId="9" hidden="1"/>
    <cellStyle name="Followed Hyperlink" xfId="15684" builtinId="9" hidden="1"/>
    <cellStyle name="Followed Hyperlink" xfId="15685" builtinId="9" hidden="1"/>
    <cellStyle name="Followed Hyperlink" xfId="15686" builtinId="9" hidden="1"/>
    <cellStyle name="Followed Hyperlink" xfId="15687" builtinId="9" hidden="1"/>
    <cellStyle name="Followed Hyperlink" xfId="15688" builtinId="9" hidden="1"/>
    <cellStyle name="Followed Hyperlink" xfId="15689" builtinId="9" hidden="1"/>
    <cellStyle name="Followed Hyperlink" xfId="15690" builtinId="9" hidden="1"/>
    <cellStyle name="Followed Hyperlink" xfId="15691" builtinId="9" hidden="1"/>
    <cellStyle name="Followed Hyperlink" xfId="15692" builtinId="9" hidden="1"/>
    <cellStyle name="Followed Hyperlink" xfId="15693" builtinId="9" hidden="1"/>
    <cellStyle name="Followed Hyperlink" xfId="15694" builtinId="9" hidden="1"/>
    <cellStyle name="Followed Hyperlink" xfId="15695" builtinId="9" hidden="1"/>
    <cellStyle name="Followed Hyperlink" xfId="15696" builtinId="9" hidden="1"/>
    <cellStyle name="Followed Hyperlink" xfId="15697" builtinId="9" hidden="1"/>
    <cellStyle name="Followed Hyperlink" xfId="15698" builtinId="9" hidden="1"/>
    <cellStyle name="Followed Hyperlink" xfId="15699" builtinId="9" hidden="1"/>
    <cellStyle name="Followed Hyperlink" xfId="15700" builtinId="9" hidden="1"/>
    <cellStyle name="Followed Hyperlink" xfId="15701" builtinId="9" hidden="1"/>
    <cellStyle name="Followed Hyperlink" xfId="15702" builtinId="9" hidden="1"/>
    <cellStyle name="Followed Hyperlink" xfId="15703" builtinId="9" hidden="1"/>
    <cellStyle name="Followed Hyperlink" xfId="15704" builtinId="9" hidden="1"/>
    <cellStyle name="Followed Hyperlink" xfId="15705" builtinId="9" hidden="1"/>
    <cellStyle name="Followed Hyperlink" xfId="15706" builtinId="9" hidden="1"/>
    <cellStyle name="Followed Hyperlink" xfId="15707" builtinId="9" hidden="1"/>
    <cellStyle name="Followed Hyperlink" xfId="15708" builtinId="9" hidden="1"/>
    <cellStyle name="Followed Hyperlink" xfId="15709" builtinId="9" hidden="1"/>
    <cellStyle name="Followed Hyperlink" xfId="15710" builtinId="9" hidden="1"/>
    <cellStyle name="Followed Hyperlink" xfId="15711" builtinId="9" hidden="1"/>
    <cellStyle name="Followed Hyperlink" xfId="15712" builtinId="9" hidden="1"/>
    <cellStyle name="Followed Hyperlink" xfId="15713" builtinId="9" hidden="1"/>
    <cellStyle name="Followed Hyperlink" xfId="15714" builtinId="9" hidden="1"/>
    <cellStyle name="Followed Hyperlink" xfId="15715" builtinId="9" hidden="1"/>
    <cellStyle name="Followed Hyperlink" xfId="15716" builtinId="9" hidden="1"/>
    <cellStyle name="Followed Hyperlink" xfId="15717" builtinId="9" hidden="1"/>
    <cellStyle name="Followed Hyperlink" xfId="15718" builtinId="9" hidden="1"/>
    <cellStyle name="Followed Hyperlink" xfId="15719" builtinId="9" hidden="1"/>
    <cellStyle name="Followed Hyperlink" xfId="15720" builtinId="9" hidden="1"/>
    <cellStyle name="Followed Hyperlink" xfId="15721" builtinId="9" hidden="1"/>
    <cellStyle name="Followed Hyperlink" xfId="15722" builtinId="9" hidden="1"/>
    <cellStyle name="Followed Hyperlink" xfId="15723" builtinId="9" hidden="1"/>
    <cellStyle name="Followed Hyperlink" xfId="15724" builtinId="9" hidden="1"/>
    <cellStyle name="Followed Hyperlink" xfId="15725" builtinId="9" hidden="1"/>
    <cellStyle name="Followed Hyperlink" xfId="15726" builtinId="9" hidden="1"/>
    <cellStyle name="Followed Hyperlink" xfId="15413" builtinId="9" hidden="1"/>
    <cellStyle name="Followed Hyperlink" xfId="16064" builtinId="9" hidden="1"/>
    <cellStyle name="Followed Hyperlink" xfId="16027" builtinId="9" hidden="1"/>
    <cellStyle name="Followed Hyperlink" xfId="15912" builtinId="9" hidden="1"/>
    <cellStyle name="Followed Hyperlink" xfId="15892" builtinId="9" hidden="1"/>
    <cellStyle name="Followed Hyperlink" xfId="15895" builtinId="9" hidden="1"/>
    <cellStyle name="Followed Hyperlink" xfId="15976" builtinId="9" hidden="1"/>
    <cellStyle name="Followed Hyperlink" xfId="15812" builtinId="9" hidden="1"/>
    <cellStyle name="Followed Hyperlink" xfId="15428" builtinId="9" hidden="1"/>
    <cellStyle name="Followed Hyperlink" xfId="15882" builtinId="9" hidden="1"/>
    <cellStyle name="Followed Hyperlink" xfId="15784" builtinId="9" hidden="1"/>
    <cellStyle name="Followed Hyperlink" xfId="15968" builtinId="9" hidden="1"/>
    <cellStyle name="Followed Hyperlink" xfId="15783" builtinId="9" hidden="1"/>
    <cellStyle name="Followed Hyperlink" xfId="15439" builtinId="9" hidden="1"/>
    <cellStyle name="Followed Hyperlink" xfId="16099" builtinId="9" hidden="1"/>
    <cellStyle name="Followed Hyperlink" xfId="15965" builtinId="9" hidden="1"/>
    <cellStyle name="Followed Hyperlink" xfId="15860" builtinId="9" hidden="1"/>
    <cellStyle name="Followed Hyperlink" xfId="15781" builtinId="9" hidden="1"/>
    <cellStyle name="Followed Hyperlink" xfId="15782" builtinId="9" hidden="1"/>
    <cellStyle name="Followed Hyperlink" xfId="16453" builtinId="9" hidden="1"/>
    <cellStyle name="Followed Hyperlink" xfId="16105" builtinId="9" hidden="1"/>
    <cellStyle name="Followed Hyperlink" xfId="16118" builtinId="9" hidden="1"/>
    <cellStyle name="Followed Hyperlink" xfId="16014" builtinId="9" hidden="1"/>
    <cellStyle name="Followed Hyperlink" xfId="16013" builtinId="9" hidden="1"/>
    <cellStyle name="Followed Hyperlink" xfId="16012" builtinId="9" hidden="1"/>
    <cellStyle name="Followed Hyperlink" xfId="16011" builtinId="9" hidden="1"/>
    <cellStyle name="Followed Hyperlink" xfId="15808" builtinId="9" hidden="1"/>
    <cellStyle name="Followed Hyperlink" xfId="15436" builtinId="9" hidden="1"/>
    <cellStyle name="Followed Hyperlink" xfId="15779" builtinId="9" hidden="1"/>
    <cellStyle name="Followed Hyperlink" xfId="16081" builtinId="9" hidden="1"/>
    <cellStyle name="Followed Hyperlink" xfId="15777" builtinId="9" hidden="1"/>
    <cellStyle name="Followed Hyperlink" xfId="15778" builtinId="9" hidden="1"/>
    <cellStyle name="Followed Hyperlink" xfId="15410" builtinId="9" hidden="1"/>
    <cellStyle name="Followed Hyperlink" xfId="15977" builtinId="9" hidden="1"/>
    <cellStyle name="Followed Hyperlink" xfId="15803" builtinId="9" hidden="1"/>
    <cellStyle name="Followed Hyperlink" xfId="15804" builtinId="9" hidden="1"/>
    <cellStyle name="Followed Hyperlink" xfId="15424" builtinId="9" hidden="1"/>
    <cellStyle name="Followed Hyperlink" xfId="16010" builtinId="9" hidden="1"/>
    <cellStyle name="Followed Hyperlink" xfId="14005" builtinId="9" hidden="1"/>
    <cellStyle name="Followed Hyperlink" xfId="16069" builtinId="9" hidden="1"/>
    <cellStyle name="Followed Hyperlink" xfId="16043" builtinId="9" hidden="1"/>
    <cellStyle name="Followed Hyperlink" xfId="16009" builtinId="9" hidden="1"/>
    <cellStyle name="Followed Hyperlink" xfId="16053" builtinId="9" hidden="1"/>
    <cellStyle name="Followed Hyperlink" xfId="15991" builtinId="9" hidden="1"/>
    <cellStyle name="Followed Hyperlink" xfId="16055" builtinId="9" hidden="1"/>
    <cellStyle name="Followed Hyperlink" xfId="16008" builtinId="9" hidden="1"/>
    <cellStyle name="Followed Hyperlink" xfId="16007" builtinId="9" hidden="1"/>
    <cellStyle name="Followed Hyperlink" xfId="16006" builtinId="9" hidden="1"/>
    <cellStyle name="Followed Hyperlink" xfId="14712" builtinId="9" hidden="1"/>
    <cellStyle name="Followed Hyperlink" xfId="15989" builtinId="9" hidden="1"/>
    <cellStyle name="Followed Hyperlink" xfId="15264" builtinId="9" hidden="1"/>
    <cellStyle name="Followed Hyperlink" xfId="14711" builtinId="9" hidden="1"/>
    <cellStyle name="Followed Hyperlink" xfId="16066" builtinId="9" hidden="1"/>
    <cellStyle name="Followed Hyperlink" xfId="16029" builtinId="9" hidden="1"/>
    <cellStyle name="Followed Hyperlink" xfId="15913" builtinId="9" hidden="1"/>
    <cellStyle name="Followed Hyperlink" xfId="15873" builtinId="9" hidden="1"/>
    <cellStyle name="Followed Hyperlink" xfId="15851" builtinId="9" hidden="1"/>
    <cellStyle name="Followed Hyperlink" xfId="15802" builtinId="9" hidden="1"/>
    <cellStyle name="Followed Hyperlink" xfId="15435" builtinId="9" hidden="1"/>
    <cellStyle name="Followed Hyperlink" xfId="15973" builtinId="9" hidden="1"/>
    <cellStyle name="Followed Hyperlink" xfId="15859" builtinId="9" hidden="1"/>
    <cellStyle name="Followed Hyperlink" xfId="15773" builtinId="9" hidden="1"/>
    <cellStyle name="Followed Hyperlink" xfId="15772" builtinId="9" hidden="1"/>
    <cellStyle name="Followed Hyperlink" xfId="15771" builtinId="9" hidden="1"/>
    <cellStyle name="Followed Hyperlink" xfId="15770" builtinId="9" hidden="1"/>
    <cellStyle name="Followed Hyperlink" xfId="15418" builtinId="9" hidden="1"/>
    <cellStyle name="Followed Hyperlink" xfId="16092" builtinId="9" hidden="1"/>
    <cellStyle name="Followed Hyperlink" xfId="15403" builtinId="9" hidden="1"/>
    <cellStyle name="Followed Hyperlink" xfId="15897" builtinId="9" hidden="1"/>
    <cellStyle name="Followed Hyperlink" xfId="15887" builtinId="9" hidden="1"/>
    <cellStyle name="Followed Hyperlink" xfId="15800" builtinId="9" hidden="1"/>
    <cellStyle name="Followed Hyperlink" xfId="15415" builtinId="9" hidden="1"/>
    <cellStyle name="Followed Hyperlink" xfId="15983" builtinId="9" hidden="1"/>
    <cellStyle name="Followed Hyperlink" xfId="15888" builtinId="9" hidden="1"/>
    <cellStyle name="Followed Hyperlink" xfId="15799" builtinId="9" hidden="1"/>
    <cellStyle name="Followed Hyperlink" xfId="15366" builtinId="9" hidden="1"/>
    <cellStyle name="Followed Hyperlink" xfId="15767" builtinId="9" hidden="1"/>
    <cellStyle name="Followed Hyperlink" xfId="15766" builtinId="9" hidden="1"/>
    <cellStyle name="Followed Hyperlink" xfId="15402" builtinId="9" hidden="1"/>
    <cellStyle name="Followed Hyperlink" xfId="15765" builtinId="9" hidden="1"/>
    <cellStyle name="Followed Hyperlink" xfId="15401" builtinId="9" hidden="1"/>
    <cellStyle name="Followed Hyperlink" xfId="16041" builtinId="9" hidden="1"/>
    <cellStyle name="Followed Hyperlink" xfId="16004" builtinId="9" hidden="1"/>
    <cellStyle name="Followed Hyperlink" xfId="15760" builtinId="9" hidden="1"/>
    <cellStyle name="Followed Hyperlink" xfId="15764" builtinId="9" hidden="1"/>
    <cellStyle name="Followed Hyperlink" xfId="15796" builtinId="9" hidden="1"/>
    <cellStyle name="Followed Hyperlink" xfId="15420" builtinId="9" hidden="1"/>
    <cellStyle name="Followed Hyperlink" xfId="16074" builtinId="9" hidden="1"/>
    <cellStyle name="Followed Hyperlink" xfId="15761" builtinId="9" hidden="1"/>
    <cellStyle name="Followed Hyperlink" xfId="15762" builtinId="9" hidden="1"/>
    <cellStyle name="Followed Hyperlink" xfId="15400" builtinId="9" hidden="1"/>
    <cellStyle name="Followed Hyperlink" xfId="16097" builtinId="9" hidden="1"/>
    <cellStyle name="Followed Hyperlink" xfId="16039" builtinId="9" hidden="1"/>
    <cellStyle name="Followed Hyperlink" xfId="16452" builtinId="9" hidden="1"/>
    <cellStyle name="Followed Hyperlink" xfId="16111" builtinId="9" hidden="1"/>
    <cellStyle name="Followed Hyperlink" xfId="16108" builtinId="9" hidden="1"/>
    <cellStyle name="Followed Hyperlink" xfId="16094" builtinId="9" hidden="1"/>
    <cellStyle name="Followed Hyperlink" xfId="15397" builtinId="9" hidden="1"/>
    <cellStyle name="Followed Hyperlink" xfId="16001" builtinId="9" hidden="1"/>
    <cellStyle name="Followed Hyperlink" xfId="16000" builtinId="9" hidden="1"/>
    <cellStyle name="Followed Hyperlink" xfId="15999" builtinId="9" hidden="1"/>
    <cellStyle name="Followed Hyperlink" xfId="15998" builtinId="9" hidden="1"/>
    <cellStyle name="Followed Hyperlink" xfId="15793" builtinId="9" hidden="1"/>
    <cellStyle name="Followed Hyperlink" xfId="15433" builtinId="9" hidden="1"/>
    <cellStyle name="Followed Hyperlink" xfId="15758" builtinId="9" hidden="1"/>
    <cellStyle name="Followed Hyperlink" xfId="15791" builtinId="9" hidden="1"/>
    <cellStyle name="Followed Hyperlink" xfId="15398" builtinId="9" hidden="1"/>
    <cellStyle name="Followed Hyperlink" xfId="16096" builtinId="9" hidden="1"/>
    <cellStyle name="Followed Hyperlink" xfId="16038" builtinId="9" hidden="1"/>
    <cellStyle name="Followed Hyperlink" xfId="16036" builtinId="9" hidden="1"/>
    <cellStyle name="Followed Hyperlink" xfId="16090" builtinId="9" hidden="1"/>
    <cellStyle name="Followed Hyperlink" xfId="16088" builtinId="9" hidden="1"/>
    <cellStyle name="Followed Hyperlink" xfId="16083" builtinId="9" hidden="1"/>
    <cellStyle name="Followed Hyperlink" xfId="16068" builtinId="9" hidden="1"/>
    <cellStyle name="Followed Hyperlink" xfId="16117" builtinId="9" hidden="1"/>
    <cellStyle name="Followed Hyperlink" xfId="15396" builtinId="9" hidden="1"/>
    <cellStyle name="Followed Hyperlink" xfId="15753" builtinId="9" hidden="1"/>
    <cellStyle name="Followed Hyperlink" xfId="15754" builtinId="9" hidden="1"/>
    <cellStyle name="Followed Hyperlink" xfId="15254" builtinId="9" hidden="1"/>
    <cellStyle name="Followed Hyperlink" xfId="15203" builtinId="9" hidden="1"/>
    <cellStyle name="Followed Hyperlink" xfId="16034" builtinId="9" hidden="1"/>
    <cellStyle name="Followed Hyperlink" xfId="16050" builtinId="9" hidden="1"/>
    <cellStyle name="Followed Hyperlink" xfId="15916" builtinId="9" hidden="1"/>
    <cellStyle name="Followed Hyperlink" xfId="16051" builtinId="9" hidden="1"/>
    <cellStyle name="Followed Hyperlink" xfId="15987" builtinId="9" hidden="1"/>
    <cellStyle name="Followed Hyperlink" xfId="15905" builtinId="9" hidden="1"/>
    <cellStyle name="Followed Hyperlink" xfId="15861" builtinId="9" hidden="1"/>
    <cellStyle name="Followed Hyperlink" xfId="15870" builtinId="9" hidden="1"/>
    <cellStyle name="Followed Hyperlink" xfId="16065" builtinId="9" hidden="1"/>
    <cellStyle name="Followed Hyperlink" xfId="16028" builtinId="9" hidden="1"/>
    <cellStyle name="Followed Hyperlink" xfId="15911" builtinId="9" hidden="1"/>
    <cellStyle name="Followed Hyperlink" xfId="15891" builtinId="9" hidden="1"/>
    <cellStyle name="Followed Hyperlink" xfId="16063" builtinId="9" hidden="1"/>
    <cellStyle name="Followed Hyperlink" xfId="16026" builtinId="9" hidden="1"/>
    <cellStyle name="Followed Hyperlink" xfId="15974" builtinId="9" hidden="1"/>
    <cellStyle name="Followed Hyperlink" xfId="15900" builtinId="9" hidden="1"/>
    <cellStyle name="Followed Hyperlink" xfId="15786" builtinId="9" hidden="1"/>
    <cellStyle name="Followed Hyperlink" xfId="15884" builtinId="9" hidden="1"/>
    <cellStyle name="Followed Hyperlink" xfId="15966" builtinId="9" hidden="1"/>
    <cellStyle name="Followed Hyperlink" xfId="15752" builtinId="9" hidden="1"/>
    <cellStyle name="Followed Hyperlink" xfId="15850" builtinId="9" hidden="1"/>
    <cellStyle name="Followed Hyperlink" xfId="15956" builtinId="9" hidden="1"/>
    <cellStyle name="Followed Hyperlink" xfId="15392" builtinId="9" hidden="1"/>
    <cellStyle name="Followed Hyperlink" xfId="15955" builtinId="9" hidden="1"/>
    <cellStyle name="Followed Hyperlink" xfId="15894" builtinId="9" hidden="1"/>
    <cellStyle name="Followed Hyperlink" xfId="15391" builtinId="9" hidden="1"/>
    <cellStyle name="Followed Hyperlink" xfId="15910" builtinId="9" hidden="1"/>
    <cellStyle name="Followed Hyperlink" xfId="15846" builtinId="9" hidden="1"/>
    <cellStyle name="Followed Hyperlink" xfId="15417" builtinId="9" hidden="1"/>
    <cellStyle name="Followed Hyperlink" xfId="14607" builtinId="9" hidden="1"/>
    <cellStyle name="Followed Hyperlink" xfId="16449" builtinId="9" hidden="1"/>
    <cellStyle name="Followed Hyperlink" xfId="16447" builtinId="9" hidden="1"/>
    <cellStyle name="Followed Hyperlink" xfId="16445" builtinId="9" hidden="1"/>
    <cellStyle name="Followed Hyperlink" xfId="16443" builtinId="9" hidden="1"/>
    <cellStyle name="Followed Hyperlink" xfId="16441" builtinId="9" hidden="1"/>
    <cellStyle name="Followed Hyperlink" xfId="16439" builtinId="9" hidden="1"/>
    <cellStyle name="Followed Hyperlink" xfId="16437" builtinId="9" hidden="1"/>
    <cellStyle name="Followed Hyperlink" xfId="16435" builtinId="9" hidden="1"/>
    <cellStyle name="Followed Hyperlink" xfId="16433" builtinId="9" hidden="1"/>
    <cellStyle name="Followed Hyperlink" xfId="16431" builtinId="9" hidden="1"/>
    <cellStyle name="Followed Hyperlink" xfId="16429" builtinId="9" hidden="1"/>
    <cellStyle name="Followed Hyperlink" xfId="16427" builtinId="9" hidden="1"/>
    <cellStyle name="Followed Hyperlink" xfId="16425" builtinId="9" hidden="1"/>
    <cellStyle name="Followed Hyperlink" xfId="16423" builtinId="9" hidden="1"/>
    <cellStyle name="Followed Hyperlink" xfId="16421" builtinId="9" hidden="1"/>
    <cellStyle name="Followed Hyperlink" xfId="16419" builtinId="9" hidden="1"/>
    <cellStyle name="Followed Hyperlink" xfId="16417" builtinId="9" hidden="1"/>
    <cellStyle name="Followed Hyperlink" xfId="16415" builtinId="9" hidden="1"/>
    <cellStyle name="Followed Hyperlink" xfId="16413" builtinId="9" hidden="1"/>
    <cellStyle name="Followed Hyperlink" xfId="16411" builtinId="9" hidden="1"/>
    <cellStyle name="Followed Hyperlink" xfId="16409" builtinId="9" hidden="1"/>
    <cellStyle name="Followed Hyperlink" xfId="16407" builtinId="9" hidden="1"/>
    <cellStyle name="Followed Hyperlink" xfId="16405" builtinId="9" hidden="1"/>
    <cellStyle name="Followed Hyperlink" xfId="16403" builtinId="9" hidden="1"/>
    <cellStyle name="Followed Hyperlink" xfId="16401" builtinId="9" hidden="1"/>
    <cellStyle name="Followed Hyperlink" xfId="16399" builtinId="9" hidden="1"/>
    <cellStyle name="Followed Hyperlink" xfId="16397" builtinId="9" hidden="1"/>
    <cellStyle name="Followed Hyperlink" xfId="16395" builtinId="9" hidden="1"/>
    <cellStyle name="Followed Hyperlink" xfId="16393" builtinId="9" hidden="1"/>
    <cellStyle name="Followed Hyperlink" xfId="16391" builtinId="9" hidden="1"/>
    <cellStyle name="Followed Hyperlink" xfId="16389" builtinId="9" hidden="1"/>
    <cellStyle name="Followed Hyperlink" xfId="16387" builtinId="9" hidden="1"/>
    <cellStyle name="Followed Hyperlink" xfId="16385" builtinId="9" hidden="1"/>
    <cellStyle name="Followed Hyperlink" xfId="16383" builtinId="9" hidden="1"/>
    <cellStyle name="Followed Hyperlink" xfId="16381" builtinId="9" hidden="1"/>
    <cellStyle name="Followed Hyperlink" xfId="16379" builtinId="9" hidden="1"/>
    <cellStyle name="Followed Hyperlink" xfId="16377" builtinId="9" hidden="1"/>
    <cellStyle name="Followed Hyperlink" xfId="16375" builtinId="9" hidden="1"/>
    <cellStyle name="Followed Hyperlink" xfId="16373" builtinId="9" hidden="1"/>
    <cellStyle name="Followed Hyperlink" xfId="16371" builtinId="9" hidden="1"/>
    <cellStyle name="Followed Hyperlink" xfId="16369" builtinId="9" hidden="1"/>
    <cellStyle name="Followed Hyperlink" xfId="16367" builtinId="9" hidden="1"/>
    <cellStyle name="Followed Hyperlink" xfId="16365" builtinId="9" hidden="1"/>
    <cellStyle name="Followed Hyperlink" xfId="16363" builtinId="9" hidden="1"/>
    <cellStyle name="Followed Hyperlink" xfId="16361" builtinId="9" hidden="1"/>
    <cellStyle name="Followed Hyperlink" xfId="16359" builtinId="9" hidden="1"/>
    <cellStyle name="Followed Hyperlink" xfId="16357" builtinId="9" hidden="1"/>
    <cellStyle name="Followed Hyperlink" xfId="16355" builtinId="9" hidden="1"/>
    <cellStyle name="Followed Hyperlink" xfId="16353" builtinId="9" hidden="1"/>
    <cellStyle name="Followed Hyperlink" xfId="16351" builtinId="9" hidden="1"/>
    <cellStyle name="Followed Hyperlink" xfId="16349" builtinId="9" hidden="1"/>
    <cellStyle name="Followed Hyperlink" xfId="16347" builtinId="9" hidden="1"/>
    <cellStyle name="Followed Hyperlink" xfId="16345" builtinId="9" hidden="1"/>
    <cellStyle name="Followed Hyperlink" xfId="16343" builtinId="9" hidden="1"/>
    <cellStyle name="Followed Hyperlink" xfId="16341" builtinId="9" hidden="1"/>
    <cellStyle name="Followed Hyperlink" xfId="16339" builtinId="9" hidden="1"/>
    <cellStyle name="Followed Hyperlink" xfId="16337" builtinId="9" hidden="1"/>
    <cellStyle name="Followed Hyperlink" xfId="16335" builtinId="9" hidden="1"/>
    <cellStyle name="Followed Hyperlink" xfId="16333" builtinId="9" hidden="1"/>
    <cellStyle name="Followed Hyperlink" xfId="16331" builtinId="9" hidden="1"/>
    <cellStyle name="Followed Hyperlink" xfId="16329" builtinId="9" hidden="1"/>
    <cellStyle name="Followed Hyperlink" xfId="16327" builtinId="9" hidden="1"/>
    <cellStyle name="Followed Hyperlink" xfId="16325" builtinId="9" hidden="1"/>
    <cellStyle name="Followed Hyperlink" xfId="16323" builtinId="9" hidden="1"/>
    <cellStyle name="Followed Hyperlink" xfId="16321" builtinId="9" hidden="1"/>
    <cellStyle name="Followed Hyperlink" xfId="16319" builtinId="9" hidden="1"/>
    <cellStyle name="Followed Hyperlink" xfId="16317" builtinId="9" hidden="1"/>
    <cellStyle name="Followed Hyperlink" xfId="16315" builtinId="9" hidden="1"/>
    <cellStyle name="Followed Hyperlink" xfId="16313" builtinId="9" hidden="1"/>
    <cellStyle name="Followed Hyperlink" xfId="16311" builtinId="9" hidden="1"/>
    <cellStyle name="Followed Hyperlink" xfId="16303" builtinId="9" hidden="1"/>
    <cellStyle name="Followed Hyperlink" xfId="16301" builtinId="9" hidden="1"/>
    <cellStyle name="Followed Hyperlink" xfId="16299" builtinId="9" hidden="1"/>
    <cellStyle name="Followed Hyperlink" xfId="16297" builtinId="9" hidden="1"/>
    <cellStyle name="Followed Hyperlink" xfId="16295" builtinId="9" hidden="1"/>
    <cellStyle name="Followed Hyperlink" xfId="16293" builtinId="9" hidden="1"/>
    <cellStyle name="Followed Hyperlink" xfId="16291" builtinId="9" hidden="1"/>
    <cellStyle name="Followed Hyperlink" xfId="16289" builtinId="9" hidden="1"/>
    <cellStyle name="Followed Hyperlink" xfId="16287" builtinId="9" hidden="1"/>
    <cellStyle name="Followed Hyperlink" xfId="16285" builtinId="9" hidden="1"/>
    <cellStyle name="Followed Hyperlink" xfId="16283" builtinId="9" hidden="1"/>
    <cellStyle name="Followed Hyperlink" xfId="16281" builtinId="9" hidden="1"/>
    <cellStyle name="Followed Hyperlink" xfId="16279" builtinId="9" hidden="1"/>
    <cellStyle name="Followed Hyperlink" xfId="16277" builtinId="9" hidden="1"/>
    <cellStyle name="Followed Hyperlink" xfId="16275" builtinId="9" hidden="1"/>
    <cellStyle name="Followed Hyperlink" xfId="16273" builtinId="9" hidden="1"/>
    <cellStyle name="Followed Hyperlink" xfId="16271" builtinId="9" hidden="1"/>
    <cellStyle name="Followed Hyperlink" xfId="16269" builtinId="9" hidden="1"/>
    <cellStyle name="Followed Hyperlink" xfId="16267" builtinId="9" hidden="1"/>
    <cellStyle name="Followed Hyperlink" xfId="16265" builtinId="9" hidden="1"/>
    <cellStyle name="Followed Hyperlink" xfId="16263" builtinId="9" hidden="1"/>
    <cellStyle name="Followed Hyperlink" xfId="16261" builtinId="9" hidden="1"/>
    <cellStyle name="Followed Hyperlink" xfId="16259" builtinId="9" hidden="1"/>
    <cellStyle name="Followed Hyperlink" xfId="16257" builtinId="9" hidden="1"/>
    <cellStyle name="Followed Hyperlink" xfId="16255" builtinId="9" hidden="1"/>
    <cellStyle name="Followed Hyperlink" xfId="16253" builtinId="9" hidden="1"/>
    <cellStyle name="Followed Hyperlink" xfId="16251" builtinId="9" hidden="1"/>
    <cellStyle name="Followed Hyperlink" xfId="16250" builtinId="9" hidden="1"/>
    <cellStyle name="Followed Hyperlink" xfId="16248" builtinId="9" hidden="1"/>
    <cellStyle name="Followed Hyperlink" xfId="16246" builtinId="9" hidden="1"/>
    <cellStyle name="Followed Hyperlink" xfId="16244" builtinId="9" hidden="1"/>
    <cellStyle name="Followed Hyperlink" xfId="16242" builtinId="9" hidden="1"/>
    <cellStyle name="Followed Hyperlink" xfId="16240" builtinId="9" hidden="1"/>
    <cellStyle name="Followed Hyperlink" xfId="16238" builtinId="9" hidden="1"/>
    <cellStyle name="Followed Hyperlink" xfId="16236" builtinId="9" hidden="1"/>
    <cellStyle name="Followed Hyperlink" xfId="16234" builtinId="9" hidden="1"/>
    <cellStyle name="Followed Hyperlink" xfId="16232" builtinId="9" hidden="1"/>
    <cellStyle name="Followed Hyperlink" xfId="16230" builtinId="9" hidden="1"/>
    <cellStyle name="Followed Hyperlink" xfId="16228" builtinId="9" hidden="1"/>
    <cellStyle name="Followed Hyperlink" xfId="16226" builtinId="9" hidden="1"/>
    <cellStyle name="Followed Hyperlink" xfId="16224" builtinId="9" hidden="1"/>
    <cellStyle name="Followed Hyperlink" xfId="16222" builtinId="9" hidden="1"/>
    <cellStyle name="Followed Hyperlink" xfId="16220" builtinId="9" hidden="1"/>
    <cellStyle name="Followed Hyperlink" xfId="16218" builtinId="9" hidden="1"/>
    <cellStyle name="Followed Hyperlink" xfId="16216" builtinId="9" hidden="1"/>
    <cellStyle name="Followed Hyperlink" xfId="16214" builtinId="9" hidden="1"/>
    <cellStyle name="Followed Hyperlink" xfId="16212" builtinId="9" hidden="1"/>
    <cellStyle name="Followed Hyperlink" xfId="16210" builtinId="9" hidden="1"/>
    <cellStyle name="Followed Hyperlink" xfId="16208" builtinId="9" hidden="1"/>
    <cellStyle name="Followed Hyperlink" xfId="16206" builtinId="9" hidden="1"/>
    <cellStyle name="Followed Hyperlink" xfId="16204" builtinId="9" hidden="1"/>
    <cellStyle name="Followed Hyperlink" xfId="16202" builtinId="9" hidden="1"/>
    <cellStyle name="Followed Hyperlink" xfId="16200" builtinId="9" hidden="1"/>
    <cellStyle name="Followed Hyperlink" xfId="16198" builtinId="9" hidden="1"/>
    <cellStyle name="Followed Hyperlink" xfId="16196" builtinId="9" hidden="1"/>
    <cellStyle name="Followed Hyperlink" xfId="16194" builtinId="9" hidden="1"/>
    <cellStyle name="Followed Hyperlink" xfId="16192" builtinId="9" hidden="1"/>
    <cellStyle name="Followed Hyperlink" xfId="16190" builtinId="9" hidden="1"/>
    <cellStyle name="Followed Hyperlink" xfId="16188" builtinId="9" hidden="1"/>
    <cellStyle name="Followed Hyperlink" xfId="16186" builtinId="9" hidden="1"/>
    <cellStyle name="Followed Hyperlink" xfId="16184" builtinId="9" hidden="1"/>
    <cellStyle name="Followed Hyperlink" xfId="16182" builtinId="9" hidden="1"/>
    <cellStyle name="Followed Hyperlink" xfId="16180" builtinId="9" hidden="1"/>
    <cellStyle name="Followed Hyperlink" xfId="16178" builtinId="9" hidden="1"/>
    <cellStyle name="Followed Hyperlink" xfId="16176" builtinId="9" hidden="1"/>
    <cellStyle name="Followed Hyperlink" xfId="16174" builtinId="9" hidden="1"/>
    <cellStyle name="Followed Hyperlink" xfId="16172" builtinId="9" hidden="1"/>
    <cellStyle name="Followed Hyperlink" xfId="16170" builtinId="9" hidden="1"/>
    <cellStyle name="Followed Hyperlink" xfId="16168" builtinId="9" hidden="1"/>
    <cellStyle name="Followed Hyperlink" xfId="16166" builtinId="9" hidden="1"/>
    <cellStyle name="Followed Hyperlink" xfId="16164" builtinId="9" hidden="1"/>
    <cellStyle name="Followed Hyperlink" xfId="16162" builtinId="9" hidden="1"/>
    <cellStyle name="Followed Hyperlink" xfId="16160" builtinId="9" hidden="1"/>
    <cellStyle name="Followed Hyperlink" xfId="16158" builtinId="9" hidden="1"/>
    <cellStyle name="Followed Hyperlink" xfId="16156" builtinId="9" hidden="1"/>
    <cellStyle name="Followed Hyperlink" xfId="16154" builtinId="9" hidden="1"/>
    <cellStyle name="Followed Hyperlink" xfId="16152" builtinId="9" hidden="1"/>
    <cellStyle name="Followed Hyperlink" xfId="16150" builtinId="9" hidden="1"/>
    <cellStyle name="Followed Hyperlink" xfId="16148" builtinId="9" hidden="1"/>
    <cellStyle name="Followed Hyperlink" xfId="16147" builtinId="9" hidden="1"/>
    <cellStyle name="Followed Hyperlink" xfId="16145" builtinId="9" hidden="1"/>
    <cellStyle name="Followed Hyperlink" xfId="16143" builtinId="9" hidden="1"/>
    <cellStyle name="Followed Hyperlink" xfId="16141" builtinId="9" hidden="1"/>
    <cellStyle name="Followed Hyperlink" xfId="16139" builtinId="9" hidden="1"/>
    <cellStyle name="Followed Hyperlink" xfId="16137" builtinId="9" hidden="1"/>
    <cellStyle name="Followed Hyperlink" xfId="16135" builtinId="9" hidden="1"/>
    <cellStyle name="Followed Hyperlink" xfId="16133" builtinId="9" hidden="1"/>
    <cellStyle name="Followed Hyperlink" xfId="16131" builtinId="9" hidden="1"/>
    <cellStyle name="Followed Hyperlink" xfId="16129" builtinId="9" hidden="1"/>
    <cellStyle name="Followed Hyperlink" xfId="16127" builtinId="9" hidden="1"/>
    <cellStyle name="Followed Hyperlink" xfId="16125" builtinId="9" hidden="1"/>
    <cellStyle name="Followed Hyperlink" xfId="16123" builtinId="9" hidden="1"/>
    <cellStyle name="Followed Hyperlink" xfId="16121" builtinId="9" hidden="1"/>
    <cellStyle name="Followed Hyperlink" xfId="15062" builtinId="9" hidden="1"/>
    <cellStyle name="Followed Hyperlink" xfId="15068" builtinId="9" hidden="1"/>
    <cellStyle name="Followed Hyperlink" xfId="15072" builtinId="9" hidden="1"/>
    <cellStyle name="Followed Hyperlink" xfId="15076" builtinId="9" hidden="1"/>
    <cellStyle name="Followed Hyperlink" xfId="15080" builtinId="9" hidden="1"/>
    <cellStyle name="Followed Hyperlink" xfId="15084" builtinId="9" hidden="1"/>
    <cellStyle name="Followed Hyperlink" xfId="15088" builtinId="9" hidden="1"/>
    <cellStyle name="Followed Hyperlink" xfId="15092" builtinId="9" hidden="1"/>
    <cellStyle name="Followed Hyperlink" xfId="15096" builtinId="9" hidden="1"/>
    <cellStyle name="Followed Hyperlink" xfId="15100" builtinId="9" hidden="1"/>
    <cellStyle name="Followed Hyperlink" xfId="15104" builtinId="9" hidden="1"/>
    <cellStyle name="Followed Hyperlink" xfId="15108" builtinId="9" hidden="1"/>
    <cellStyle name="Followed Hyperlink" xfId="15112" builtinId="9" hidden="1"/>
    <cellStyle name="Followed Hyperlink" xfId="15116" builtinId="9" hidden="1"/>
    <cellStyle name="Followed Hyperlink" xfId="15120" builtinId="9" hidden="1"/>
    <cellStyle name="Followed Hyperlink" xfId="15124" builtinId="9" hidden="1"/>
    <cellStyle name="Followed Hyperlink" xfId="15128" builtinId="9" hidden="1"/>
    <cellStyle name="Followed Hyperlink" xfId="15126" builtinId="9" hidden="1"/>
    <cellStyle name="Followed Hyperlink" xfId="15118" builtinId="9" hidden="1"/>
    <cellStyle name="Followed Hyperlink" xfId="15110" builtinId="9" hidden="1"/>
    <cellStyle name="Followed Hyperlink" xfId="15102" builtinId="9" hidden="1"/>
    <cellStyle name="Followed Hyperlink" xfId="15094" builtinId="9" hidden="1"/>
    <cellStyle name="Followed Hyperlink" xfId="15086" builtinId="9" hidden="1"/>
    <cellStyle name="Followed Hyperlink" xfId="15078" builtinId="9" hidden="1"/>
    <cellStyle name="Followed Hyperlink" xfId="15070" builtinId="9" hidden="1"/>
    <cellStyle name="Followed Hyperlink" xfId="16120" builtinId="9" hidden="1"/>
    <cellStyle name="Followed Hyperlink" xfId="16124" builtinId="9" hidden="1"/>
    <cellStyle name="Followed Hyperlink" xfId="16128" builtinId="9" hidden="1"/>
    <cellStyle name="Followed Hyperlink" xfId="16132" builtinId="9" hidden="1"/>
    <cellStyle name="Followed Hyperlink" xfId="16136" builtinId="9" hidden="1"/>
    <cellStyle name="Followed Hyperlink" xfId="16140" builtinId="9" hidden="1"/>
    <cellStyle name="Followed Hyperlink" xfId="16144" builtinId="9" hidden="1"/>
    <cellStyle name="Followed Hyperlink" xfId="15869" builtinId="9" hidden="1"/>
    <cellStyle name="Followed Hyperlink" xfId="16151" builtinId="9" hidden="1"/>
    <cellStyle name="Followed Hyperlink" xfId="16155" builtinId="9" hidden="1"/>
    <cellStyle name="Followed Hyperlink" xfId="16159" builtinId="9" hidden="1"/>
    <cellStyle name="Followed Hyperlink" xfId="16163" builtinId="9" hidden="1"/>
    <cellStyle name="Followed Hyperlink" xfId="16167" builtinId="9" hidden="1"/>
    <cellStyle name="Followed Hyperlink" xfId="16171" builtinId="9" hidden="1"/>
    <cellStyle name="Followed Hyperlink" xfId="16175" builtinId="9" hidden="1"/>
    <cellStyle name="Followed Hyperlink" xfId="16179" builtinId="9" hidden="1"/>
    <cellStyle name="Followed Hyperlink" xfId="16183" builtinId="9" hidden="1"/>
    <cellStyle name="Followed Hyperlink" xfId="16187" builtinId="9" hidden="1"/>
    <cellStyle name="Followed Hyperlink" xfId="16191" builtinId="9" hidden="1"/>
    <cellStyle name="Followed Hyperlink" xfId="16195" builtinId="9" hidden="1"/>
    <cellStyle name="Followed Hyperlink" xfId="16199" builtinId="9" hidden="1"/>
    <cellStyle name="Followed Hyperlink" xfId="16203" builtinId="9" hidden="1"/>
    <cellStyle name="Followed Hyperlink" xfId="16207" builtinId="9" hidden="1"/>
    <cellStyle name="Followed Hyperlink" xfId="16211" builtinId="9" hidden="1"/>
    <cellStyle name="Followed Hyperlink" xfId="16215" builtinId="9" hidden="1"/>
    <cellStyle name="Followed Hyperlink" xfId="16219" builtinId="9" hidden="1"/>
    <cellStyle name="Followed Hyperlink" xfId="16223" builtinId="9" hidden="1"/>
    <cellStyle name="Followed Hyperlink" xfId="16227" builtinId="9" hidden="1"/>
    <cellStyle name="Followed Hyperlink" xfId="16231" builtinId="9" hidden="1"/>
    <cellStyle name="Followed Hyperlink" xfId="16235" builtinId="9" hidden="1"/>
    <cellStyle name="Followed Hyperlink" xfId="16239" builtinId="9" hidden="1"/>
    <cellStyle name="Followed Hyperlink" xfId="16243" builtinId="9" hidden="1"/>
    <cellStyle name="Followed Hyperlink" xfId="16247" builtinId="9" hidden="1"/>
    <cellStyle name="Followed Hyperlink" xfId="15389" builtinId="9" hidden="1"/>
    <cellStyle name="Followed Hyperlink" xfId="16254" builtinId="9" hidden="1"/>
    <cellStyle name="Followed Hyperlink" xfId="16258" builtinId="9" hidden="1"/>
    <cellStyle name="Followed Hyperlink" xfId="16262" builtinId="9" hidden="1"/>
    <cellStyle name="Followed Hyperlink" xfId="16266" builtinId="9" hidden="1"/>
    <cellStyle name="Followed Hyperlink" xfId="16270" builtinId="9" hidden="1"/>
    <cellStyle name="Followed Hyperlink" xfId="16274" builtinId="9" hidden="1"/>
    <cellStyle name="Followed Hyperlink" xfId="16278" builtinId="9" hidden="1"/>
    <cellStyle name="Followed Hyperlink" xfId="16282" builtinId="9" hidden="1"/>
    <cellStyle name="Followed Hyperlink" xfId="16286" builtinId="9" hidden="1"/>
    <cellStyle name="Followed Hyperlink" xfId="16290" builtinId="9" hidden="1"/>
    <cellStyle name="Followed Hyperlink" xfId="16294" builtinId="9" hidden="1"/>
    <cellStyle name="Followed Hyperlink" xfId="16298" builtinId="9" hidden="1"/>
    <cellStyle name="Followed Hyperlink" xfId="16302" builtinId="9" hidden="1"/>
    <cellStyle name="Followed Hyperlink" xfId="15130" builtinId="9" hidden="1"/>
    <cellStyle name="Followed Hyperlink" xfId="16082" builtinId="9" hidden="1"/>
    <cellStyle name="Followed Hyperlink" xfId="15132" builtinId="9" hidden="1"/>
    <cellStyle name="Followed Hyperlink" xfId="15140" builtinId="9" hidden="1"/>
    <cellStyle name="Followed Hyperlink" xfId="15144" builtinId="9" hidden="1"/>
    <cellStyle name="Followed Hyperlink" xfId="15148" builtinId="9" hidden="1"/>
    <cellStyle name="Followed Hyperlink" xfId="15152" builtinId="9" hidden="1"/>
    <cellStyle name="Followed Hyperlink" xfId="15156" builtinId="9" hidden="1"/>
    <cellStyle name="Followed Hyperlink" xfId="15160" builtinId="9" hidden="1"/>
    <cellStyle name="Followed Hyperlink" xfId="15164" builtinId="9" hidden="1"/>
    <cellStyle name="Followed Hyperlink" xfId="15168" builtinId="9" hidden="1"/>
    <cellStyle name="Followed Hyperlink" xfId="15172" builtinId="9" hidden="1"/>
    <cellStyle name="Followed Hyperlink" xfId="15176" builtinId="9" hidden="1"/>
    <cellStyle name="Followed Hyperlink" xfId="15180" builtinId="9" hidden="1"/>
    <cellStyle name="Followed Hyperlink" xfId="15184" builtinId="9" hidden="1"/>
    <cellStyle name="Followed Hyperlink" xfId="15188" builtinId="9" hidden="1"/>
    <cellStyle name="Followed Hyperlink" xfId="15192" builtinId="9" hidden="1"/>
    <cellStyle name="Followed Hyperlink" xfId="15196" builtinId="9" hidden="1"/>
    <cellStyle name="Followed Hyperlink" xfId="15200" builtinId="9" hidden="1"/>
    <cellStyle name="Followed Hyperlink" xfId="14140" builtinId="9" hidden="1"/>
    <cellStyle name="Followed Hyperlink" xfId="14706" builtinId="9" hidden="1"/>
    <cellStyle name="Followed Hyperlink" xfId="14600" builtinId="9" hidden="1"/>
    <cellStyle name="Followed Hyperlink" xfId="14011" builtinId="9" hidden="1"/>
    <cellStyle name="Followed Hyperlink" xfId="13210" builtinId="9" hidden="1"/>
    <cellStyle name="Followed Hyperlink" xfId="13215" builtinId="9" hidden="1"/>
    <cellStyle name="Followed Hyperlink" xfId="14505" builtinId="9" hidden="1"/>
    <cellStyle name="Followed Hyperlink" xfId="14146" builtinId="9" hidden="1"/>
    <cellStyle name="Followed Hyperlink" xfId="14000" builtinId="9" hidden="1"/>
    <cellStyle name="Followed Hyperlink" xfId="14864" builtinId="9" hidden="1"/>
    <cellStyle name="Followed Hyperlink" xfId="14043" builtinId="9" hidden="1"/>
    <cellStyle name="Followed Hyperlink" xfId="14057" builtinId="9" hidden="1"/>
    <cellStyle name="Followed Hyperlink" xfId="14153" builtinId="9" hidden="1"/>
    <cellStyle name="Followed Hyperlink" xfId="14329" builtinId="9" hidden="1"/>
    <cellStyle name="Followed Hyperlink" xfId="14058" builtinId="9" hidden="1"/>
    <cellStyle name="Followed Hyperlink" xfId="14012" builtinId="9" hidden="1"/>
    <cellStyle name="Followed Hyperlink" xfId="13211" builtinId="9" hidden="1"/>
    <cellStyle name="Followed Hyperlink" xfId="14157" builtinId="9" hidden="1"/>
    <cellStyle name="Followed Hyperlink" xfId="14533" builtinId="9" hidden="1"/>
    <cellStyle name="Followed Hyperlink" xfId="14190" builtinId="9" hidden="1"/>
    <cellStyle name="Followed Hyperlink" xfId="14605" builtinId="9" hidden="1"/>
    <cellStyle name="Followed Hyperlink" xfId="15387" builtinId="9" hidden="1"/>
    <cellStyle name="Followed Hyperlink" xfId="15868" builtinId="9" hidden="1"/>
    <cellStyle name="Followed Hyperlink" xfId="15261" builtinId="9" hidden="1"/>
    <cellStyle name="Followed Hyperlink" xfId="15845" builtinId="9" hidden="1"/>
    <cellStyle name="Followed Hyperlink" xfId="15260" builtinId="9" hidden="1"/>
    <cellStyle name="Followed Hyperlink" xfId="15844" builtinId="9" hidden="1"/>
    <cellStyle name="Followed Hyperlink" xfId="15384" builtinId="9" hidden="1"/>
    <cellStyle name="Followed Hyperlink" xfId="15950" builtinId="9" hidden="1"/>
    <cellStyle name="Followed Hyperlink" xfId="15843" builtinId="9" hidden="1"/>
    <cellStyle name="Followed Hyperlink" xfId="15842" builtinId="9" hidden="1"/>
    <cellStyle name="Followed Hyperlink" xfId="15383" builtinId="9" hidden="1"/>
    <cellStyle name="Followed Hyperlink" xfId="15840" builtinId="9" hidden="1"/>
    <cellStyle name="Followed Hyperlink" xfId="15988" builtinId="9" hidden="1"/>
    <cellStyle name="Followed Hyperlink" xfId="15251" builtinId="9" hidden="1"/>
    <cellStyle name="Followed Hyperlink" xfId="15837" builtinId="9" hidden="1"/>
    <cellStyle name="Followed Hyperlink" xfId="16075" builtinId="9" hidden="1"/>
    <cellStyle name="Followed Hyperlink" xfId="16071" builtinId="9" hidden="1"/>
    <cellStyle name="Followed Hyperlink" xfId="16033" builtinId="9" hidden="1"/>
    <cellStyle name="Followed Hyperlink" xfId="16032" builtinId="9" hidden="1"/>
    <cellStyle name="Followed Hyperlink" xfId="16031" builtinId="9" hidden="1"/>
    <cellStyle name="Followed Hyperlink" xfId="15993" builtinId="9" hidden="1"/>
    <cellStyle name="Followed Hyperlink" xfId="16059" builtinId="9" hidden="1"/>
    <cellStyle name="Followed Hyperlink" xfId="16052" builtinId="9" hidden="1"/>
    <cellStyle name="Followed Hyperlink" xfId="16023" builtinId="9" hidden="1"/>
    <cellStyle name="Followed Hyperlink" xfId="15990" builtinId="9" hidden="1"/>
    <cellStyle name="Followed Hyperlink" xfId="15918" builtinId="9" hidden="1"/>
    <cellStyle name="Followed Hyperlink" xfId="16062" builtinId="9" hidden="1"/>
    <cellStyle name="Followed Hyperlink" xfId="16054" builtinId="9" hidden="1"/>
    <cellStyle name="Followed Hyperlink" xfId="16025" builtinId="9" hidden="1"/>
    <cellStyle name="Followed Hyperlink" xfId="15992" builtinId="9" hidden="1"/>
    <cellStyle name="Followed Hyperlink" xfId="15946" builtinId="9" hidden="1"/>
    <cellStyle name="Followed Hyperlink" xfId="16020" builtinId="9" hidden="1"/>
    <cellStyle name="Followed Hyperlink" xfId="15826" builtinId="9" hidden="1"/>
    <cellStyle name="Followed Hyperlink" xfId="15825" builtinId="9" hidden="1"/>
    <cellStyle name="Followed Hyperlink" xfId="15824" builtinId="9" hidden="1"/>
    <cellStyle name="Followed Hyperlink" xfId="15823" builtinId="9" hidden="1"/>
    <cellStyle name="Followed Hyperlink" xfId="15822" builtinId="9" hidden="1"/>
    <cellStyle name="Followed Hyperlink" xfId="15821" builtinId="9" hidden="1"/>
    <cellStyle name="Followed Hyperlink" xfId="15820" builtinId="9" hidden="1"/>
    <cellStyle name="Followed Hyperlink" xfId="15819" builtinId="9" hidden="1"/>
    <cellStyle name="Followed Hyperlink" xfId="14016" builtinId="9" hidden="1"/>
    <cellStyle name="Followed Hyperlink" xfId="15945" builtinId="9" hidden="1"/>
    <cellStyle name="Followed Hyperlink" xfId="15267" builtinId="9" hidden="1"/>
    <cellStyle name="Followed Hyperlink" xfId="15944" builtinId="9" hidden="1"/>
    <cellStyle name="Followed Hyperlink" xfId="15818" builtinId="9" hidden="1"/>
    <cellStyle name="Followed Hyperlink" xfId="15371" builtinId="9" hidden="1"/>
    <cellStyle name="Followed Hyperlink" xfId="15265" builtinId="9" hidden="1"/>
    <cellStyle name="Followed Hyperlink" xfId="15893" builtinId="9" hidden="1"/>
    <cellStyle name="Followed Hyperlink" xfId="15817" builtinId="9" hidden="1"/>
    <cellStyle name="Followed Hyperlink" xfId="15370" builtinId="9" hidden="1"/>
    <cellStyle name="Followed Hyperlink" xfId="15908" builtinId="9" hidden="1"/>
    <cellStyle name="Followed Hyperlink" xfId="15907" builtinId="9" hidden="1"/>
    <cellStyle name="Followed Hyperlink" xfId="15943" builtinId="9" hidden="1"/>
    <cellStyle name="Followed Hyperlink" xfId="15883" builtinId="9" hidden="1"/>
    <cellStyle name="Followed Hyperlink" xfId="15368" builtinId="9" hidden="1"/>
    <cellStyle name="Followed Hyperlink" xfId="15816" builtinId="9" hidden="1"/>
    <cellStyle name="Followed Hyperlink" xfId="15730" builtinId="9" hidden="1"/>
    <cellStyle name="Followed Hyperlink" xfId="15318" builtinId="9" hidden="1"/>
    <cellStyle name="Followed Hyperlink" xfId="15729" builtinId="9" hidden="1"/>
    <cellStyle name="Followed Hyperlink" xfId="15304" builtinId="9" hidden="1"/>
    <cellStyle name="Followed Hyperlink" xfId="15286" builtinId="9" hidden="1"/>
    <cellStyle name="Followed Hyperlink" xfId="15922" builtinId="9" hidden="1"/>
    <cellStyle name="Followed Hyperlink" xfId="15728" builtinId="9" hidden="1"/>
    <cellStyle name="Followed Hyperlink" xfId="15316" builtinId="9" hidden="1"/>
    <cellStyle name="Followed Hyperlink" xfId="15727" builtinId="9" hidden="1"/>
    <cellStyle name="Followed Hyperlink" xfId="15302" builtinId="9" hidden="1"/>
    <cellStyle name="Followed Hyperlink" xfId="15282" builtinId="9" hidden="1"/>
    <cellStyle name="Followed Hyperlink" xfId="15921" builtinId="9" hidden="1"/>
    <cellStyle name="Followed Hyperlink" xfId="15577" builtinId="9" hidden="1"/>
    <cellStyle name="Followed Hyperlink" xfId="15314" builtinId="9" hidden="1"/>
    <cellStyle name="Followed Hyperlink" xfId="15442" builtinId="9" hidden="1"/>
    <cellStyle name="Followed Hyperlink" xfId="15301" builtinId="9" hidden="1"/>
    <cellStyle name="Followed Hyperlink" xfId="15278" builtinId="9" hidden="1"/>
    <cellStyle name="Followed Hyperlink" xfId="16093" builtinId="9" hidden="1"/>
    <cellStyle name="Followed Hyperlink" xfId="15920" builtinId="9" hidden="1"/>
    <cellStyle name="Followed Hyperlink" xfId="15967" builtinId="9" hidden="1"/>
    <cellStyle name="Followed Hyperlink" xfId="15815" builtinId="9" hidden="1"/>
    <cellStyle name="Followed Hyperlink" xfId="15518" builtinId="9" hidden="1"/>
    <cellStyle name="Followed Hyperlink" xfId="15312" builtinId="9" hidden="1"/>
    <cellStyle name="Followed Hyperlink" xfId="15573" builtinId="9" hidden="1"/>
    <cellStyle name="Followed Hyperlink" xfId="15299" builtinId="9" hidden="1"/>
    <cellStyle name="Followed Hyperlink" xfId="15274" builtinId="9" hidden="1"/>
    <cellStyle name="Followed Hyperlink" xfId="15919" builtinId="9" hidden="1"/>
    <cellStyle name="Followed Hyperlink" xfId="15519" builtinId="9" hidden="1"/>
    <cellStyle name="Followed Hyperlink" xfId="15310" builtinId="9" hidden="1"/>
    <cellStyle name="Followed Hyperlink" xfId="15520" builtinId="9" hidden="1"/>
    <cellStyle name="Followed Hyperlink" xfId="15297" builtinId="9" hidden="1"/>
    <cellStyle name="Followed Hyperlink" xfId="15521" builtinId="9" hidden="1"/>
    <cellStyle name="Followed Hyperlink" xfId="15293" builtinId="9" hidden="1"/>
    <cellStyle name="Followed Hyperlink" xfId="15441" builtinId="9" hidden="1"/>
    <cellStyle name="Followed Hyperlink" xfId="13378" builtinId="9" hidden="1"/>
    <cellStyle name="Followed Hyperlink" xfId="15063" builtinId="9" hidden="1"/>
    <cellStyle name="Followed Hyperlink" xfId="16455" builtinId="9" hidden="1"/>
    <cellStyle name="Followed Hyperlink" xfId="16456" builtinId="9" hidden="1"/>
    <cellStyle name="Followed Hyperlink" xfId="16457" builtinId="9" hidden="1"/>
    <cellStyle name="Followed Hyperlink" xfId="16458" builtinId="9" hidden="1"/>
    <cellStyle name="Followed Hyperlink" xfId="16459" builtinId="9" hidden="1"/>
    <cellStyle name="Followed Hyperlink" xfId="16460" builtinId="9" hidden="1"/>
    <cellStyle name="Followed Hyperlink" xfId="16461" builtinId="9" hidden="1"/>
    <cellStyle name="Followed Hyperlink" xfId="16462" builtinId="9" hidden="1"/>
    <cellStyle name="Followed Hyperlink" xfId="16463" builtinId="9" hidden="1"/>
    <cellStyle name="Followed Hyperlink" xfId="16464" builtinId="9" hidden="1"/>
    <cellStyle name="Followed Hyperlink" xfId="16465" builtinId="9" hidden="1"/>
    <cellStyle name="Followed Hyperlink" xfId="16466" builtinId="9" hidden="1"/>
    <cellStyle name="Followed Hyperlink" xfId="16467" builtinId="9" hidden="1"/>
    <cellStyle name="Followed Hyperlink" xfId="16468" builtinId="9" hidden="1"/>
    <cellStyle name="Followed Hyperlink" xfId="16469" builtinId="9" hidden="1"/>
    <cellStyle name="Followed Hyperlink" xfId="16470" builtinId="9" hidden="1"/>
    <cellStyle name="Followed Hyperlink" xfId="16471" builtinId="9" hidden="1"/>
    <cellStyle name="Followed Hyperlink" xfId="16472" builtinId="9" hidden="1"/>
    <cellStyle name="Followed Hyperlink" xfId="16473" builtinId="9" hidden="1"/>
    <cellStyle name="Followed Hyperlink" xfId="16474" builtinId="9" hidden="1"/>
    <cellStyle name="Followed Hyperlink" xfId="16475" builtinId="9" hidden="1"/>
    <cellStyle name="Followed Hyperlink" xfId="16476" builtinId="9" hidden="1"/>
    <cellStyle name="Followed Hyperlink" xfId="16477" builtinId="9" hidden="1"/>
    <cellStyle name="Followed Hyperlink" xfId="16478" builtinId="9" hidden="1"/>
    <cellStyle name="Followed Hyperlink" xfId="16479" builtinId="9" hidden="1"/>
    <cellStyle name="Followed Hyperlink" xfId="16480" builtinId="9" hidden="1"/>
    <cellStyle name="Followed Hyperlink" xfId="16481" builtinId="9" hidden="1"/>
    <cellStyle name="Followed Hyperlink" xfId="16482" builtinId="9" hidden="1"/>
    <cellStyle name="Followed Hyperlink" xfId="16483" builtinId="9" hidden="1"/>
    <cellStyle name="Followed Hyperlink" xfId="16484" builtinId="9" hidden="1"/>
    <cellStyle name="Followed Hyperlink" xfId="16485" builtinId="9" hidden="1"/>
    <cellStyle name="Followed Hyperlink" xfId="16486" builtinId="9" hidden="1"/>
    <cellStyle name="Followed Hyperlink" xfId="16487" builtinId="9" hidden="1"/>
    <cellStyle name="Followed Hyperlink" xfId="16488" builtinId="9" hidden="1"/>
    <cellStyle name="Followed Hyperlink" xfId="16489" builtinId="9" hidden="1"/>
    <cellStyle name="Followed Hyperlink" xfId="16490" builtinId="9" hidden="1"/>
    <cellStyle name="Followed Hyperlink" xfId="16491" builtinId="9" hidden="1"/>
    <cellStyle name="Followed Hyperlink" xfId="16492" builtinId="9" hidden="1"/>
    <cellStyle name="Followed Hyperlink" xfId="16493" builtinId="9" hidden="1"/>
    <cellStyle name="Followed Hyperlink" xfId="16499" builtinId="9" hidden="1"/>
    <cellStyle name="Followed Hyperlink" xfId="16500" builtinId="9" hidden="1"/>
    <cellStyle name="Followed Hyperlink" xfId="16501" builtinId="9" hidden="1"/>
    <cellStyle name="Followed Hyperlink" xfId="16502" builtinId="9" hidden="1"/>
    <cellStyle name="Followed Hyperlink" xfId="16503" builtinId="9" hidden="1"/>
    <cellStyle name="Followed Hyperlink" xfId="16504" builtinId="9" hidden="1"/>
    <cellStyle name="Followed Hyperlink" xfId="16505" builtinId="9" hidden="1"/>
    <cellStyle name="Followed Hyperlink" xfId="16506" builtinId="9" hidden="1"/>
    <cellStyle name="Followed Hyperlink" xfId="16507" builtinId="9" hidden="1"/>
    <cellStyle name="Followed Hyperlink" xfId="16508" builtinId="9" hidden="1"/>
    <cellStyle name="Followed Hyperlink" xfId="16509" builtinId="9" hidden="1"/>
    <cellStyle name="Followed Hyperlink" xfId="16510" builtinId="9" hidden="1"/>
    <cellStyle name="Followed Hyperlink" xfId="16511" builtinId="9" hidden="1"/>
    <cellStyle name="Followed Hyperlink" xfId="16512" builtinId="9" hidden="1"/>
    <cellStyle name="Followed Hyperlink" xfId="16513" builtinId="9" hidden="1"/>
    <cellStyle name="Followed Hyperlink" xfId="16514" builtinId="9" hidden="1"/>
    <cellStyle name="Followed Hyperlink" xfId="16515" builtinId="9" hidden="1"/>
    <cellStyle name="Followed Hyperlink" xfId="16516" builtinId="9" hidden="1"/>
    <cellStyle name="Followed Hyperlink" xfId="16517" builtinId="9" hidden="1"/>
    <cellStyle name="Followed Hyperlink" xfId="16518" builtinId="9" hidden="1"/>
    <cellStyle name="Followed Hyperlink" xfId="16519" builtinId="9" hidden="1"/>
    <cellStyle name="Followed Hyperlink" xfId="16520" builtinId="9" hidden="1"/>
    <cellStyle name="Followed Hyperlink" xfId="16521" builtinId="9" hidden="1"/>
    <cellStyle name="Followed Hyperlink" xfId="16522" builtinId="9" hidden="1"/>
    <cellStyle name="Followed Hyperlink" xfId="16523" builtinId="9" hidden="1"/>
    <cellStyle name="Followed Hyperlink" xfId="16524" builtinId="9" hidden="1"/>
    <cellStyle name="Followed Hyperlink" xfId="16525" builtinId="9" hidden="1"/>
    <cellStyle name="Followed Hyperlink" xfId="16526" builtinId="9" hidden="1"/>
    <cellStyle name="Followed Hyperlink" xfId="16527" builtinId="9" hidden="1"/>
    <cellStyle name="Followed Hyperlink" xfId="16528" builtinId="9" hidden="1"/>
    <cellStyle name="Followed Hyperlink" xfId="16529" builtinId="9" hidden="1"/>
    <cellStyle name="Followed Hyperlink" xfId="16530" builtinId="9" hidden="1"/>
    <cellStyle name="Followed Hyperlink" xfId="16531" builtinId="9" hidden="1"/>
    <cellStyle name="Followed Hyperlink" xfId="16532" builtinId="9" hidden="1"/>
    <cellStyle name="Followed Hyperlink" xfId="16533" builtinId="9" hidden="1"/>
    <cellStyle name="Followed Hyperlink" xfId="16534" builtinId="9" hidden="1"/>
    <cellStyle name="Followed Hyperlink" xfId="16535" builtinId="9" hidden="1"/>
    <cellStyle name="Followed Hyperlink" xfId="16536" builtinId="9" hidden="1"/>
    <cellStyle name="Followed Hyperlink" xfId="16537" builtinId="9" hidden="1"/>
    <cellStyle name="Followed Hyperlink" xfId="16538" builtinId="9" hidden="1"/>
    <cellStyle name="Followed Hyperlink" xfId="16539" builtinId="9" hidden="1"/>
    <cellStyle name="Followed Hyperlink" xfId="16540" builtinId="9" hidden="1"/>
    <cellStyle name="Followed Hyperlink" xfId="16541" builtinId="9" hidden="1"/>
    <cellStyle name="Followed Hyperlink" xfId="16542" builtinId="9" hidden="1"/>
    <cellStyle name="Followed Hyperlink" xfId="16543" builtinId="9" hidden="1"/>
    <cellStyle name="Followed Hyperlink" xfId="16544" builtinId="9" hidden="1"/>
    <cellStyle name="Followed Hyperlink" xfId="16545" builtinId="9" hidden="1"/>
    <cellStyle name="Followed Hyperlink" xfId="16546" builtinId="9" hidden="1"/>
    <cellStyle name="Followed Hyperlink" xfId="16547" builtinId="9" hidden="1"/>
    <cellStyle name="Followed Hyperlink" xfId="16548" builtinId="9" hidden="1"/>
    <cellStyle name="Followed Hyperlink" xfId="16555" builtinId="9" hidden="1"/>
    <cellStyle name="Followed Hyperlink" xfId="16556" builtinId="9" hidden="1"/>
    <cellStyle name="Followed Hyperlink" xfId="16557" builtinId="9" hidden="1"/>
    <cellStyle name="Followed Hyperlink" xfId="16558" builtinId="9" hidden="1"/>
    <cellStyle name="Followed Hyperlink" xfId="16559" builtinId="9" hidden="1"/>
    <cellStyle name="Followed Hyperlink" xfId="16560" builtinId="9" hidden="1"/>
    <cellStyle name="Followed Hyperlink" xfId="16561" builtinId="9" hidden="1"/>
    <cellStyle name="Followed Hyperlink" xfId="16562" builtinId="9" hidden="1"/>
    <cellStyle name="Followed Hyperlink" xfId="16563" builtinId="9" hidden="1"/>
    <cellStyle name="Followed Hyperlink" xfId="16564" builtinId="9" hidden="1"/>
    <cellStyle name="Followed Hyperlink" xfId="16565" builtinId="9" hidden="1"/>
    <cellStyle name="Followed Hyperlink" xfId="16566" builtinId="9" hidden="1"/>
    <cellStyle name="Followed Hyperlink" xfId="16567" builtinId="9" hidden="1"/>
    <cellStyle name="Followed Hyperlink" xfId="16568" builtinId="9" hidden="1"/>
    <cellStyle name="Followed Hyperlink" xfId="16569" builtinId="9" hidden="1"/>
    <cellStyle name="Followed Hyperlink" xfId="16570" builtinId="9" hidden="1"/>
    <cellStyle name="Followed Hyperlink" xfId="16571" builtinId="9" hidden="1"/>
    <cellStyle name="Followed Hyperlink" xfId="16572" builtinId="9" hidden="1"/>
    <cellStyle name="Followed Hyperlink" xfId="16573" builtinId="9" hidden="1"/>
    <cellStyle name="Followed Hyperlink" xfId="16574" builtinId="9" hidden="1"/>
    <cellStyle name="Followed Hyperlink" xfId="16575" builtinId="9" hidden="1"/>
    <cellStyle name="Followed Hyperlink" xfId="16576" builtinId="9" hidden="1"/>
    <cellStyle name="Followed Hyperlink" xfId="16577" builtinId="9" hidden="1"/>
    <cellStyle name="Followed Hyperlink" xfId="16578" builtinId="9" hidden="1"/>
    <cellStyle name="Followed Hyperlink" xfId="16579" builtinId="9" hidden="1"/>
    <cellStyle name="Followed Hyperlink" xfId="16580" builtinId="9" hidden="1"/>
    <cellStyle name="Followed Hyperlink" xfId="16581" builtinId="9" hidden="1"/>
    <cellStyle name="Followed Hyperlink" xfId="16582" builtinId="9" hidden="1"/>
    <cellStyle name="Followed Hyperlink" xfId="16583" builtinId="9" hidden="1"/>
    <cellStyle name="Followed Hyperlink" xfId="16584" builtinId="9" hidden="1"/>
    <cellStyle name="Followed Hyperlink" xfId="16585" builtinId="9" hidden="1"/>
    <cellStyle name="Followed Hyperlink" xfId="16586" builtinId="9" hidden="1"/>
    <cellStyle name="Followed Hyperlink" xfId="16587" builtinId="9" hidden="1"/>
    <cellStyle name="Followed Hyperlink" xfId="16588" builtinId="9" hidden="1"/>
    <cellStyle name="Followed Hyperlink" xfId="16589" builtinId="9" hidden="1"/>
    <cellStyle name="Followed Hyperlink" xfId="16590" builtinId="9" hidden="1"/>
    <cellStyle name="Followed Hyperlink" xfId="16591" builtinId="9" hidden="1"/>
    <cellStyle name="Followed Hyperlink" xfId="16592" builtinId="9" hidden="1"/>
    <cellStyle name="Followed Hyperlink" xfId="16593" builtinId="9" hidden="1"/>
    <cellStyle name="Followed Hyperlink" xfId="16594" builtinId="9" hidden="1"/>
    <cellStyle name="Followed Hyperlink" xfId="16595" builtinId="9" hidden="1"/>
    <cellStyle name="Followed Hyperlink" xfId="16596" builtinId="9" hidden="1"/>
    <cellStyle name="Followed Hyperlink" xfId="16597" builtinId="9" hidden="1"/>
    <cellStyle name="Followed Hyperlink" xfId="16598" builtinId="9" hidden="1"/>
    <cellStyle name="Followed Hyperlink" xfId="16599" builtinId="9" hidden="1"/>
    <cellStyle name="Followed Hyperlink" xfId="16600" builtinId="9" hidden="1"/>
    <cellStyle name="Followed Hyperlink" xfId="16601" builtinId="9" hidden="1"/>
    <cellStyle name="Followed Hyperlink" xfId="16602" builtinId="9" hidden="1"/>
    <cellStyle name="Followed Hyperlink" xfId="16603" builtinId="9" hidden="1"/>
    <cellStyle name="Followed Hyperlink" xfId="16604" builtinId="9" hidden="1"/>
    <cellStyle name="Followed Hyperlink" xfId="16605" builtinId="9" hidden="1"/>
    <cellStyle name="Followed Hyperlink" xfId="16606" builtinId="9" hidden="1"/>
    <cellStyle name="Followed Hyperlink" xfId="16607" builtinId="9" hidden="1"/>
    <cellStyle name="Followed Hyperlink" xfId="16608" builtinId="9" hidden="1"/>
    <cellStyle name="Followed Hyperlink" xfId="16609" builtinId="9" hidden="1"/>
    <cellStyle name="Followed Hyperlink" xfId="16610" builtinId="9" hidden="1"/>
    <cellStyle name="Followed Hyperlink" xfId="16611" builtinId="9" hidden="1"/>
    <cellStyle name="Followed Hyperlink" xfId="16612" builtinId="9" hidden="1"/>
    <cellStyle name="Followed Hyperlink" xfId="16613" builtinId="9" hidden="1"/>
    <cellStyle name="Followed Hyperlink" xfId="16614" builtinId="9" hidden="1"/>
    <cellStyle name="Followed Hyperlink" xfId="16615" builtinId="9" hidden="1"/>
    <cellStyle name="Followed Hyperlink" xfId="16616" builtinId="9" hidden="1"/>
    <cellStyle name="Followed Hyperlink" xfId="16617" builtinId="9" hidden="1"/>
    <cellStyle name="Followed Hyperlink" xfId="16618" builtinId="9" hidden="1"/>
    <cellStyle name="Followed Hyperlink" xfId="16619" builtinId="9" hidden="1"/>
    <cellStyle name="Followed Hyperlink" xfId="16620" builtinId="9" hidden="1"/>
    <cellStyle name="Followed Hyperlink" xfId="16621" builtinId="9" hidden="1"/>
    <cellStyle name="Followed Hyperlink" xfId="16622" builtinId="9" hidden="1"/>
    <cellStyle name="Followed Hyperlink" xfId="16623" builtinId="9" hidden="1"/>
    <cellStyle name="Followed Hyperlink" xfId="16624" builtinId="9" hidden="1"/>
    <cellStyle name="Followed Hyperlink" xfId="16625" builtinId="9" hidden="1"/>
    <cellStyle name="Followed Hyperlink" xfId="16626" builtinId="9" hidden="1"/>
    <cellStyle name="Followed Hyperlink" xfId="16627" builtinId="9" hidden="1"/>
    <cellStyle name="Followed Hyperlink" xfId="16628" builtinId="9" hidden="1"/>
    <cellStyle name="Followed Hyperlink" xfId="16629" builtinId="9" hidden="1"/>
    <cellStyle name="Followed Hyperlink" xfId="16630" builtinId="9" hidden="1"/>
    <cellStyle name="Followed Hyperlink" xfId="16631" builtinId="9" hidden="1"/>
    <cellStyle name="Followed Hyperlink" xfId="16632" builtinId="9" hidden="1"/>
    <cellStyle name="Followed Hyperlink" xfId="16633" builtinId="9" hidden="1"/>
    <cellStyle name="Followed Hyperlink" xfId="16634" builtinId="9" hidden="1"/>
    <cellStyle name="Followed Hyperlink" xfId="16635" builtinId="9" hidden="1"/>
    <cellStyle name="Followed Hyperlink" xfId="16636" builtinId="9" hidden="1"/>
    <cellStyle name="Followed Hyperlink" xfId="16637" builtinId="9" hidden="1"/>
    <cellStyle name="Followed Hyperlink" xfId="16638" builtinId="9" hidden="1"/>
    <cellStyle name="Followed Hyperlink" xfId="16639" builtinId="9" hidden="1"/>
    <cellStyle name="Followed Hyperlink" xfId="16640" builtinId="9" hidden="1"/>
    <cellStyle name="Followed Hyperlink" xfId="16641" builtinId="9" hidden="1"/>
    <cellStyle name="Followed Hyperlink" xfId="16642" builtinId="9" hidden="1"/>
    <cellStyle name="Followed Hyperlink" xfId="16643" builtinId="9" hidden="1"/>
    <cellStyle name="Followed Hyperlink" xfId="16644" builtinId="9" hidden="1"/>
    <cellStyle name="Followed Hyperlink" xfId="16645" builtinId="9" hidden="1"/>
    <cellStyle name="Followed Hyperlink" xfId="16646" builtinId="9" hidden="1"/>
    <cellStyle name="Followed Hyperlink" xfId="16647" builtinId="9" hidden="1"/>
    <cellStyle name="Followed Hyperlink" xfId="16648" builtinId="9" hidden="1"/>
    <cellStyle name="Followed Hyperlink" xfId="16649" builtinId="9" hidden="1"/>
    <cellStyle name="Followed Hyperlink" xfId="16650" builtinId="9" hidden="1"/>
    <cellStyle name="Followed Hyperlink" xfId="16651" builtinId="9" hidden="1"/>
    <cellStyle name="Followed Hyperlink" xfId="16652" builtinId="9" hidden="1"/>
    <cellStyle name="Followed Hyperlink" xfId="16653" builtinId="9" hidden="1"/>
    <cellStyle name="Followed Hyperlink" xfId="16654" builtinId="9" hidden="1"/>
    <cellStyle name="Followed Hyperlink" xfId="16655" builtinId="9" hidden="1"/>
    <cellStyle name="Followed Hyperlink" xfId="16656" builtinId="9" hidden="1"/>
    <cellStyle name="Followed Hyperlink" xfId="16657" builtinId="9" hidden="1"/>
    <cellStyle name="Followed Hyperlink" xfId="16658" builtinId="9" hidden="1"/>
    <cellStyle name="Followed Hyperlink" xfId="16659" builtinId="9" hidden="1"/>
    <cellStyle name="Followed Hyperlink" xfId="16660" builtinId="9" hidden="1"/>
    <cellStyle name="Followed Hyperlink" xfId="16661" builtinId="9" hidden="1"/>
    <cellStyle name="Followed Hyperlink" xfId="16662" builtinId="9" hidden="1"/>
    <cellStyle name="Followed Hyperlink" xfId="16663" builtinId="9" hidden="1"/>
    <cellStyle name="Followed Hyperlink" xfId="16664" builtinId="9" hidden="1"/>
    <cellStyle name="Followed Hyperlink" xfId="16665" builtinId="9" hidden="1"/>
    <cellStyle name="Followed Hyperlink" xfId="16666" builtinId="9" hidden="1"/>
    <cellStyle name="Followed Hyperlink" xfId="16667" builtinId="9" hidden="1"/>
    <cellStyle name="Followed Hyperlink" xfId="16668" builtinId="9" hidden="1"/>
    <cellStyle name="Followed Hyperlink" xfId="16669" builtinId="9" hidden="1"/>
    <cellStyle name="Followed Hyperlink" xfId="16670" builtinId="9" hidden="1"/>
    <cellStyle name="Followed Hyperlink" xfId="16671" builtinId="9" hidden="1"/>
    <cellStyle name="Followed Hyperlink" xfId="16672" builtinId="9" hidden="1"/>
    <cellStyle name="Followed Hyperlink" xfId="16673" builtinId="9" hidden="1"/>
    <cellStyle name="Followed Hyperlink" xfId="16674" builtinId="9" hidden="1"/>
    <cellStyle name="Followed Hyperlink" xfId="16675" builtinId="9" hidden="1"/>
    <cellStyle name="Followed Hyperlink" xfId="16676" builtinId="9" hidden="1"/>
    <cellStyle name="Followed Hyperlink" xfId="16677" builtinId="9" hidden="1"/>
    <cellStyle name="Followed Hyperlink" xfId="16678" builtinId="9" hidden="1"/>
    <cellStyle name="Followed Hyperlink" xfId="16679" builtinId="9" hidden="1"/>
    <cellStyle name="Followed Hyperlink" xfId="16680" builtinId="9" hidden="1"/>
    <cellStyle name="Followed Hyperlink" xfId="16681" builtinId="9" hidden="1"/>
    <cellStyle name="Followed Hyperlink" xfId="16682" builtinId="9" hidden="1"/>
    <cellStyle name="Followed Hyperlink" xfId="16683" builtinId="9" hidden="1"/>
    <cellStyle name="Followed Hyperlink" xfId="16684" builtinId="9" hidden="1"/>
    <cellStyle name="Followed Hyperlink" xfId="16685" builtinId="9" hidden="1"/>
    <cellStyle name="Followed Hyperlink" xfId="16686" builtinId="9" hidden="1"/>
    <cellStyle name="Followed Hyperlink" xfId="16687" builtinId="9" hidden="1"/>
    <cellStyle name="Followed Hyperlink" xfId="16688" builtinId="9" hidden="1"/>
    <cellStyle name="Followed Hyperlink" xfId="16689" builtinId="9" hidden="1"/>
    <cellStyle name="Followed Hyperlink" xfId="16690" builtinId="9" hidden="1"/>
    <cellStyle name="Followed Hyperlink" xfId="16691" builtinId="9" hidden="1"/>
    <cellStyle name="Followed Hyperlink" xfId="16692" builtinId="9" hidden="1"/>
    <cellStyle name="Followed Hyperlink" xfId="16693" builtinId="9" hidden="1"/>
    <cellStyle name="Followed Hyperlink" xfId="16694" builtinId="9" hidden="1"/>
    <cellStyle name="Followed Hyperlink" xfId="16695" builtinId="9" hidden="1"/>
    <cellStyle name="Followed Hyperlink" xfId="16696" builtinId="9" hidden="1"/>
    <cellStyle name="Followed Hyperlink" xfId="16697" builtinId="9" hidden="1"/>
    <cellStyle name="Followed Hyperlink" xfId="16698" builtinId="9" hidden="1"/>
    <cellStyle name="Followed Hyperlink" xfId="16699" builtinId="9" hidden="1"/>
    <cellStyle name="Followed Hyperlink" xfId="16700" builtinId="9" hidden="1"/>
    <cellStyle name="Followed Hyperlink" xfId="16701" builtinId="9" hidden="1"/>
    <cellStyle name="Followed Hyperlink" xfId="16702" builtinId="9" hidden="1"/>
    <cellStyle name="Followed Hyperlink" xfId="16868" builtinId="9" hidden="1"/>
    <cellStyle name="Followed Hyperlink" xfId="16871" builtinId="9" hidden="1"/>
    <cellStyle name="Followed Hyperlink" xfId="16946" builtinId="9" hidden="1"/>
    <cellStyle name="Followed Hyperlink" xfId="16787" builtinId="9" hidden="1"/>
    <cellStyle name="Followed Hyperlink" xfId="15924" builtinId="9" hidden="1"/>
    <cellStyle name="Followed Hyperlink" xfId="16858" builtinId="9" hidden="1"/>
    <cellStyle name="Followed Hyperlink" xfId="16759" builtinId="9" hidden="1"/>
    <cellStyle name="Followed Hyperlink" xfId="16938" builtinId="9" hidden="1"/>
    <cellStyle name="Followed Hyperlink" xfId="16758" builtinId="9" hidden="1"/>
    <cellStyle name="Followed Hyperlink" xfId="15731" builtinId="9" hidden="1"/>
    <cellStyle name="Followed Hyperlink" xfId="17068" builtinId="9" hidden="1"/>
    <cellStyle name="Followed Hyperlink" xfId="16935" builtinId="9" hidden="1"/>
    <cellStyle name="Followed Hyperlink" xfId="16836" builtinId="9" hidden="1"/>
    <cellStyle name="Followed Hyperlink" xfId="16756" builtinId="9" hidden="1"/>
    <cellStyle name="Followed Hyperlink" xfId="16757" builtinId="9" hidden="1"/>
    <cellStyle name="Followed Hyperlink" xfId="17420" builtinId="9" hidden="1"/>
    <cellStyle name="Followed Hyperlink" xfId="17074" builtinId="9" hidden="1"/>
    <cellStyle name="Followed Hyperlink" xfId="17087" builtinId="9" hidden="1"/>
    <cellStyle name="Followed Hyperlink" xfId="16984" builtinId="9" hidden="1"/>
    <cellStyle name="Followed Hyperlink" xfId="16983" builtinId="9" hidden="1"/>
    <cellStyle name="Followed Hyperlink" xfId="16982" builtinId="9" hidden="1"/>
    <cellStyle name="Followed Hyperlink" xfId="16981" builtinId="9" hidden="1"/>
    <cellStyle name="Followed Hyperlink" xfId="16783" builtinId="9" hidden="1"/>
    <cellStyle name="Followed Hyperlink" xfId="15255" builtinId="9" hidden="1"/>
    <cellStyle name="Followed Hyperlink" xfId="16754" builtinId="9" hidden="1"/>
    <cellStyle name="Followed Hyperlink" xfId="17050" builtinId="9" hidden="1"/>
    <cellStyle name="Followed Hyperlink" xfId="16752" builtinId="9" hidden="1"/>
    <cellStyle name="Followed Hyperlink" xfId="16753" builtinId="9" hidden="1"/>
    <cellStyle name="Followed Hyperlink" xfId="15927" builtinId="9" hidden="1"/>
    <cellStyle name="Followed Hyperlink" xfId="16947" builtinId="9" hidden="1"/>
    <cellStyle name="Followed Hyperlink" xfId="16778" builtinId="9" hidden="1"/>
    <cellStyle name="Followed Hyperlink" xfId="16779" builtinId="9" hidden="1"/>
    <cellStyle name="Followed Hyperlink" xfId="15311" builtinId="9" hidden="1"/>
    <cellStyle name="Followed Hyperlink" xfId="16980" builtinId="9" hidden="1"/>
    <cellStyle name="Followed Hyperlink" xfId="15257" builtinId="9" hidden="1"/>
    <cellStyle name="Followed Hyperlink" xfId="17038" builtinId="9" hidden="1"/>
    <cellStyle name="Followed Hyperlink" xfId="17013" builtinId="9" hidden="1"/>
    <cellStyle name="Followed Hyperlink" xfId="16979" builtinId="9" hidden="1"/>
    <cellStyle name="Followed Hyperlink" xfId="17022" builtinId="9" hidden="1"/>
    <cellStyle name="Followed Hyperlink" xfId="16961" builtinId="9" hidden="1"/>
    <cellStyle name="Followed Hyperlink" xfId="17024" builtinId="9" hidden="1"/>
    <cellStyle name="Followed Hyperlink" xfId="16978" builtinId="9" hidden="1"/>
    <cellStyle name="Followed Hyperlink" xfId="16977" builtinId="9" hidden="1"/>
    <cellStyle name="Followed Hyperlink" xfId="16976" builtinId="9" hidden="1"/>
    <cellStyle name="Followed Hyperlink" xfId="15960" builtinId="9" hidden="1"/>
    <cellStyle name="Followed Hyperlink" xfId="16959" builtinId="9" hidden="1"/>
    <cellStyle name="Followed Hyperlink" xfId="15378" builtinId="9" hidden="1"/>
    <cellStyle name="Followed Hyperlink" xfId="15959" builtinId="9" hidden="1"/>
    <cellStyle name="Followed Hyperlink" xfId="17035" builtinId="9" hidden="1"/>
    <cellStyle name="Followed Hyperlink" xfId="16999" builtinId="9" hidden="1"/>
    <cellStyle name="Followed Hyperlink" xfId="16887" builtinId="9" hidden="1"/>
    <cellStyle name="Followed Hyperlink" xfId="16849" builtinId="9" hidden="1"/>
    <cellStyle name="Followed Hyperlink" xfId="16827" builtinId="9" hidden="1"/>
    <cellStyle name="Followed Hyperlink" xfId="16777" builtinId="9" hidden="1"/>
    <cellStyle name="Followed Hyperlink" xfId="15732" builtinId="9" hidden="1"/>
    <cellStyle name="Followed Hyperlink" xfId="16943" builtinId="9" hidden="1"/>
    <cellStyle name="Followed Hyperlink" xfId="16835" builtinId="9" hidden="1"/>
    <cellStyle name="Followed Hyperlink" xfId="16748" builtinId="9" hidden="1"/>
    <cellStyle name="Followed Hyperlink" xfId="16747" builtinId="9" hidden="1"/>
    <cellStyle name="Followed Hyperlink" xfId="16746" builtinId="9" hidden="1"/>
    <cellStyle name="Followed Hyperlink" xfId="16745" builtinId="9" hidden="1"/>
    <cellStyle name="Followed Hyperlink" xfId="15313" builtinId="9" hidden="1"/>
    <cellStyle name="Followed Hyperlink" xfId="17061" builtinId="9" hidden="1"/>
    <cellStyle name="Followed Hyperlink" xfId="15287" builtinId="9" hidden="1"/>
    <cellStyle name="Followed Hyperlink" xfId="16873" builtinId="9" hidden="1"/>
    <cellStyle name="Followed Hyperlink" xfId="16863" builtinId="9" hidden="1"/>
    <cellStyle name="Followed Hyperlink" xfId="16775" builtinId="9" hidden="1"/>
    <cellStyle name="Followed Hyperlink" xfId="15279" builtinId="9" hidden="1"/>
    <cellStyle name="Followed Hyperlink" xfId="16953" builtinId="9" hidden="1"/>
    <cellStyle name="Followed Hyperlink" xfId="16864" builtinId="9" hidden="1"/>
    <cellStyle name="Followed Hyperlink" xfId="16774" builtinId="9" hidden="1"/>
    <cellStyle name="Followed Hyperlink" xfId="15906" builtinId="9" hidden="1"/>
    <cellStyle name="Followed Hyperlink" xfId="16742" builtinId="9" hidden="1"/>
    <cellStyle name="Followed Hyperlink" xfId="16741" builtinId="9" hidden="1"/>
    <cellStyle name="Followed Hyperlink" xfId="15305" builtinId="9" hidden="1"/>
    <cellStyle name="Followed Hyperlink" xfId="16740" builtinId="9" hidden="1"/>
    <cellStyle name="Followed Hyperlink" xfId="15744" builtinId="9" hidden="1"/>
    <cellStyle name="Followed Hyperlink" xfId="17011" builtinId="9" hidden="1"/>
    <cellStyle name="Followed Hyperlink" xfId="16974" builtinId="9" hidden="1"/>
    <cellStyle name="Followed Hyperlink" xfId="16735" builtinId="9" hidden="1"/>
    <cellStyle name="Followed Hyperlink" xfId="16739" builtinId="9" hidden="1"/>
    <cellStyle name="Followed Hyperlink" xfId="16771" builtinId="9" hidden="1"/>
    <cellStyle name="Followed Hyperlink" xfId="15300" builtinId="9" hidden="1"/>
    <cellStyle name="Followed Hyperlink" xfId="17043" builtinId="9" hidden="1"/>
    <cellStyle name="Followed Hyperlink" xfId="16736" builtinId="9" hidden="1"/>
    <cellStyle name="Followed Hyperlink" xfId="16737" builtinId="9" hidden="1"/>
    <cellStyle name="Followed Hyperlink" xfId="15319" builtinId="9" hidden="1"/>
    <cellStyle name="Followed Hyperlink" xfId="17066" builtinId="9" hidden="1"/>
    <cellStyle name="Followed Hyperlink" xfId="17009" builtinId="9" hidden="1"/>
    <cellStyle name="Followed Hyperlink" xfId="17419" builtinId="9" hidden="1"/>
    <cellStyle name="Followed Hyperlink" xfId="17080" builtinId="9" hidden="1"/>
    <cellStyle name="Followed Hyperlink" xfId="17077" builtinId="9" hidden="1"/>
    <cellStyle name="Followed Hyperlink" xfId="17063" builtinId="9" hidden="1"/>
    <cellStyle name="Followed Hyperlink" xfId="15289" builtinId="9" hidden="1"/>
    <cellStyle name="Followed Hyperlink" xfId="16971" builtinId="9" hidden="1"/>
    <cellStyle name="Followed Hyperlink" xfId="16970" builtinId="9" hidden="1"/>
    <cellStyle name="Followed Hyperlink" xfId="16969" builtinId="9" hidden="1"/>
    <cellStyle name="Followed Hyperlink" xfId="16968" builtinId="9" hidden="1"/>
    <cellStyle name="Followed Hyperlink" xfId="16768" builtinId="9" hidden="1"/>
    <cellStyle name="Followed Hyperlink" xfId="15294" builtinId="9" hidden="1"/>
    <cellStyle name="Followed Hyperlink" xfId="16733" builtinId="9" hidden="1"/>
    <cellStyle name="Followed Hyperlink" xfId="16766" builtinId="9" hidden="1"/>
    <cellStyle name="Followed Hyperlink" xfId="15929" builtinId="9" hidden="1"/>
    <cellStyle name="Followed Hyperlink" xfId="17065" builtinId="9" hidden="1"/>
    <cellStyle name="Followed Hyperlink" xfId="17008" builtinId="9" hidden="1"/>
    <cellStyle name="Followed Hyperlink" xfId="17006" builtinId="9" hidden="1"/>
    <cellStyle name="Followed Hyperlink" xfId="16966" builtinId="9" hidden="1"/>
    <cellStyle name="Followed Hyperlink" xfId="16308" builtinId="9" hidden="1"/>
    <cellStyle name="Followed Hyperlink" xfId="17060" builtinId="9" hidden="1"/>
    <cellStyle name="Followed Hyperlink" xfId="17058" builtinId="9" hidden="1"/>
    <cellStyle name="Followed Hyperlink" xfId="17086" builtinId="9" hidden="1"/>
    <cellStyle name="Followed Hyperlink" xfId="15307" builtinId="9" hidden="1"/>
    <cellStyle name="Followed Hyperlink" xfId="16728" builtinId="9" hidden="1"/>
    <cellStyle name="Followed Hyperlink" xfId="16729" builtinId="9" hidden="1"/>
    <cellStyle name="Followed Hyperlink" xfId="15832" builtinId="9" hidden="1"/>
    <cellStyle name="Followed Hyperlink" xfId="16451" builtinId="9" hidden="1"/>
    <cellStyle name="Followed Hyperlink" xfId="17004" builtinId="9" hidden="1"/>
    <cellStyle name="Followed Hyperlink" xfId="17019" builtinId="9" hidden="1"/>
    <cellStyle name="Followed Hyperlink" xfId="16890" builtinId="9" hidden="1"/>
    <cellStyle name="Followed Hyperlink" xfId="17020" builtinId="9" hidden="1"/>
    <cellStyle name="Followed Hyperlink" xfId="16957" builtinId="9" hidden="1"/>
    <cellStyle name="Followed Hyperlink" xfId="16879" builtinId="9" hidden="1"/>
    <cellStyle name="Followed Hyperlink" xfId="16837" builtinId="9" hidden="1"/>
    <cellStyle name="Followed Hyperlink" xfId="16846" builtinId="9" hidden="1"/>
    <cellStyle name="Followed Hyperlink" xfId="17034" builtinId="9" hidden="1"/>
    <cellStyle name="Followed Hyperlink" xfId="16998" builtinId="9" hidden="1"/>
    <cellStyle name="Followed Hyperlink" xfId="16885" builtinId="9" hidden="1"/>
    <cellStyle name="Followed Hyperlink" xfId="16867" builtinId="9" hidden="1"/>
    <cellStyle name="Followed Hyperlink" xfId="17032" builtinId="9" hidden="1"/>
    <cellStyle name="Followed Hyperlink" xfId="16996" builtinId="9" hidden="1"/>
    <cellStyle name="Followed Hyperlink" xfId="16944" builtinId="9" hidden="1"/>
    <cellStyle name="Followed Hyperlink" xfId="16875" builtinId="9" hidden="1"/>
    <cellStyle name="Followed Hyperlink" xfId="16761" builtinId="9" hidden="1"/>
    <cellStyle name="Followed Hyperlink" xfId="16860" builtinId="9" hidden="1"/>
    <cellStyle name="Followed Hyperlink" xfId="16936" builtinId="9" hidden="1"/>
    <cellStyle name="Followed Hyperlink" xfId="16727" builtinId="9" hidden="1"/>
    <cellStyle name="Followed Hyperlink" xfId="16826" builtinId="9" hidden="1"/>
    <cellStyle name="Followed Hyperlink" xfId="16928" builtinId="9" hidden="1"/>
    <cellStyle name="Followed Hyperlink" xfId="15930" builtinId="9" hidden="1"/>
    <cellStyle name="Followed Hyperlink" xfId="16927" builtinId="9" hidden="1"/>
    <cellStyle name="Followed Hyperlink" xfId="16870" builtinId="9" hidden="1"/>
    <cellStyle name="Followed Hyperlink" xfId="15367" builtinId="9" hidden="1"/>
    <cellStyle name="Followed Hyperlink" xfId="16884" builtinId="9" hidden="1"/>
    <cellStyle name="Followed Hyperlink" xfId="16822" builtinId="9" hidden="1"/>
    <cellStyle name="Followed Hyperlink" xfId="15739" builtinId="9" hidden="1"/>
    <cellStyle name="Followed Hyperlink" xfId="15854" builtinId="9" hidden="1"/>
    <cellStyle name="Followed Hyperlink" xfId="17417" builtinId="9" hidden="1"/>
    <cellStyle name="Followed Hyperlink" xfId="17415" builtinId="9" hidden="1"/>
    <cellStyle name="Followed Hyperlink" xfId="17413" builtinId="9" hidden="1"/>
    <cellStyle name="Followed Hyperlink" xfId="17411" builtinId="9" hidden="1"/>
    <cellStyle name="Followed Hyperlink" xfId="17409" builtinId="9" hidden="1"/>
    <cellStyle name="Followed Hyperlink" xfId="17407" builtinId="9" hidden="1"/>
    <cellStyle name="Followed Hyperlink" xfId="17405" builtinId="9" hidden="1"/>
    <cellStyle name="Followed Hyperlink" xfId="17403" builtinId="9" hidden="1"/>
    <cellStyle name="Followed Hyperlink" xfId="17401" builtinId="9" hidden="1"/>
    <cellStyle name="Followed Hyperlink" xfId="17399" builtinId="9" hidden="1"/>
    <cellStyle name="Followed Hyperlink" xfId="17397" builtinId="9" hidden="1"/>
    <cellStyle name="Followed Hyperlink" xfId="17395" builtinId="9" hidden="1"/>
    <cellStyle name="Followed Hyperlink" xfId="17393" builtinId="9" hidden="1"/>
    <cellStyle name="Followed Hyperlink" xfId="17391" builtinId="9" hidden="1"/>
    <cellStyle name="Followed Hyperlink" xfId="17389" builtinId="9" hidden="1"/>
    <cellStyle name="Followed Hyperlink" xfId="17387" builtinId="9" hidden="1"/>
    <cellStyle name="Followed Hyperlink" xfId="17385" builtinId="9" hidden="1"/>
    <cellStyle name="Followed Hyperlink" xfId="17383" builtinId="9" hidden="1"/>
    <cellStyle name="Followed Hyperlink" xfId="17381" builtinId="9" hidden="1"/>
    <cellStyle name="Followed Hyperlink" xfId="17379" builtinId="9" hidden="1"/>
    <cellStyle name="Followed Hyperlink" xfId="17377" builtinId="9" hidden="1"/>
    <cellStyle name="Followed Hyperlink" xfId="17375" builtinId="9" hidden="1"/>
    <cellStyle name="Followed Hyperlink" xfId="17373" builtinId="9" hidden="1"/>
    <cellStyle name="Followed Hyperlink" xfId="17371" builtinId="9" hidden="1"/>
    <cellStyle name="Followed Hyperlink" xfId="17369" builtinId="9" hidden="1"/>
    <cellStyle name="Followed Hyperlink" xfId="17367" builtinId="9" hidden="1"/>
    <cellStyle name="Followed Hyperlink" xfId="17365" builtinId="9" hidden="1"/>
    <cellStyle name="Followed Hyperlink" xfId="17363" builtinId="9" hidden="1"/>
    <cellStyle name="Followed Hyperlink" xfId="17361" builtinId="9" hidden="1"/>
    <cellStyle name="Followed Hyperlink" xfId="17359" builtinId="9" hidden="1"/>
    <cellStyle name="Followed Hyperlink" xfId="17357" builtinId="9" hidden="1"/>
    <cellStyle name="Followed Hyperlink" xfId="17355" builtinId="9" hidden="1"/>
    <cellStyle name="Followed Hyperlink" xfId="17353" builtinId="9" hidden="1"/>
    <cellStyle name="Followed Hyperlink" xfId="17351" builtinId="9" hidden="1"/>
    <cellStyle name="Followed Hyperlink" xfId="17349" builtinId="9" hidden="1"/>
    <cellStyle name="Followed Hyperlink" xfId="17347" builtinId="9" hidden="1"/>
    <cellStyle name="Followed Hyperlink" xfId="17345" builtinId="9" hidden="1"/>
    <cellStyle name="Followed Hyperlink" xfId="17343" builtinId="9" hidden="1"/>
    <cellStyle name="Followed Hyperlink" xfId="17341" builtinId="9" hidden="1"/>
    <cellStyle name="Followed Hyperlink" xfId="17339" builtinId="9" hidden="1"/>
    <cellStyle name="Followed Hyperlink" xfId="17337" builtinId="9" hidden="1"/>
    <cellStyle name="Followed Hyperlink" xfId="17335" builtinId="9" hidden="1"/>
    <cellStyle name="Followed Hyperlink" xfId="17333" builtinId="9" hidden="1"/>
    <cellStyle name="Followed Hyperlink" xfId="17331" builtinId="9" hidden="1"/>
    <cellStyle name="Followed Hyperlink" xfId="17329" builtinId="9" hidden="1"/>
    <cellStyle name="Followed Hyperlink" xfId="17327" builtinId="9" hidden="1"/>
    <cellStyle name="Followed Hyperlink" xfId="17325" builtinId="9" hidden="1"/>
    <cellStyle name="Followed Hyperlink" xfId="17323" builtinId="9" hidden="1"/>
    <cellStyle name="Followed Hyperlink" xfId="17321" builtinId="9" hidden="1"/>
    <cellStyle name="Followed Hyperlink" xfId="17319" builtinId="9" hidden="1"/>
    <cellStyle name="Followed Hyperlink" xfId="17317" builtinId="9" hidden="1"/>
    <cellStyle name="Followed Hyperlink" xfId="17315" builtinId="9" hidden="1"/>
    <cellStyle name="Followed Hyperlink" xfId="17313" builtinId="9" hidden="1"/>
    <cellStyle name="Followed Hyperlink" xfId="17311" builtinId="9" hidden="1"/>
    <cellStyle name="Followed Hyperlink" xfId="17309" builtinId="9" hidden="1"/>
    <cellStyle name="Followed Hyperlink" xfId="17307" builtinId="9" hidden="1"/>
    <cellStyle name="Followed Hyperlink" xfId="17305" builtinId="9" hidden="1"/>
    <cellStyle name="Followed Hyperlink" xfId="17303" builtinId="9" hidden="1"/>
    <cellStyle name="Followed Hyperlink" xfId="17301" builtinId="9" hidden="1"/>
    <cellStyle name="Followed Hyperlink" xfId="17299" builtinId="9" hidden="1"/>
    <cellStyle name="Followed Hyperlink" xfId="17297" builtinId="9" hidden="1"/>
    <cellStyle name="Followed Hyperlink" xfId="17295" builtinId="9" hidden="1"/>
    <cellStyle name="Followed Hyperlink" xfId="17293" builtinId="9" hidden="1"/>
    <cellStyle name="Followed Hyperlink" xfId="17291" builtinId="9" hidden="1"/>
    <cellStyle name="Followed Hyperlink" xfId="17289" builtinId="9" hidden="1"/>
    <cellStyle name="Followed Hyperlink" xfId="17287" builtinId="9" hidden="1"/>
    <cellStyle name="Followed Hyperlink" xfId="17285" builtinId="9" hidden="1"/>
    <cellStyle name="Followed Hyperlink" xfId="17283" builtinId="9" hidden="1"/>
    <cellStyle name="Followed Hyperlink" xfId="17281" builtinId="9" hidden="1"/>
    <cellStyle name="Followed Hyperlink" xfId="17279" builtinId="9" hidden="1"/>
    <cellStyle name="Followed Hyperlink" xfId="17277" builtinId="9" hidden="1"/>
    <cellStyle name="Followed Hyperlink" xfId="17275" builtinId="9" hidden="1"/>
    <cellStyle name="Followed Hyperlink" xfId="17273" builtinId="9" hidden="1"/>
    <cellStyle name="Followed Hyperlink" xfId="17271" builtinId="9" hidden="1"/>
    <cellStyle name="Followed Hyperlink" xfId="17264" builtinId="9" hidden="1"/>
    <cellStyle name="Followed Hyperlink" xfId="17262" builtinId="9" hidden="1"/>
    <cellStyle name="Followed Hyperlink" xfId="17260" builtinId="9" hidden="1"/>
    <cellStyle name="Followed Hyperlink" xfId="17258" builtinId="9" hidden="1"/>
    <cellStyle name="Followed Hyperlink" xfId="17256" builtinId="9" hidden="1"/>
    <cellStyle name="Followed Hyperlink" xfId="17254" builtinId="9" hidden="1"/>
    <cellStyle name="Followed Hyperlink" xfId="17252" builtinId="9" hidden="1"/>
    <cellStyle name="Followed Hyperlink" xfId="17250" builtinId="9" hidden="1"/>
    <cellStyle name="Followed Hyperlink" xfId="17248" builtinId="9" hidden="1"/>
    <cellStyle name="Followed Hyperlink" xfId="17246" builtinId="9" hidden="1"/>
    <cellStyle name="Followed Hyperlink" xfId="17244" builtinId="9" hidden="1"/>
    <cellStyle name="Followed Hyperlink" xfId="17242" builtinId="9" hidden="1"/>
    <cellStyle name="Followed Hyperlink" xfId="17240" builtinId="9" hidden="1"/>
    <cellStyle name="Followed Hyperlink" xfId="17238" builtinId="9" hidden="1"/>
    <cellStyle name="Followed Hyperlink" xfId="17236" builtinId="9" hidden="1"/>
    <cellStyle name="Followed Hyperlink" xfId="17234" builtinId="9" hidden="1"/>
    <cellStyle name="Followed Hyperlink" xfId="17232" builtinId="9" hidden="1"/>
    <cellStyle name="Followed Hyperlink" xfId="17230" builtinId="9" hidden="1"/>
    <cellStyle name="Followed Hyperlink" xfId="17228" builtinId="9" hidden="1"/>
    <cellStyle name="Followed Hyperlink" xfId="17226" builtinId="9" hidden="1"/>
    <cellStyle name="Followed Hyperlink" xfId="17224" builtinId="9" hidden="1"/>
    <cellStyle name="Followed Hyperlink" xfId="17222" builtinId="9" hidden="1"/>
    <cellStyle name="Followed Hyperlink" xfId="17220" builtinId="9" hidden="1"/>
    <cellStyle name="Followed Hyperlink" xfId="17219" builtinId="9" hidden="1"/>
    <cellStyle name="Followed Hyperlink" xfId="17217" builtinId="9" hidden="1"/>
    <cellStyle name="Followed Hyperlink" xfId="17215" builtinId="9" hidden="1"/>
    <cellStyle name="Followed Hyperlink" xfId="17213" builtinId="9" hidden="1"/>
    <cellStyle name="Followed Hyperlink" xfId="17211" builtinId="9" hidden="1"/>
    <cellStyle name="Followed Hyperlink" xfId="17209" builtinId="9" hidden="1"/>
    <cellStyle name="Followed Hyperlink" xfId="17207" builtinId="9" hidden="1"/>
    <cellStyle name="Followed Hyperlink" xfId="17205" builtinId="9" hidden="1"/>
    <cellStyle name="Followed Hyperlink" xfId="17203" builtinId="9" hidden="1"/>
    <cellStyle name="Followed Hyperlink" xfId="17201" builtinId="9" hidden="1"/>
    <cellStyle name="Followed Hyperlink" xfId="17199" builtinId="9" hidden="1"/>
    <cellStyle name="Followed Hyperlink" xfId="17197" builtinId="9" hidden="1"/>
    <cellStyle name="Followed Hyperlink" xfId="17195" builtinId="9" hidden="1"/>
    <cellStyle name="Followed Hyperlink" xfId="17193" builtinId="9" hidden="1"/>
    <cellStyle name="Followed Hyperlink" xfId="17191" builtinId="9" hidden="1"/>
    <cellStyle name="Followed Hyperlink" xfId="17189" builtinId="9" hidden="1"/>
    <cellStyle name="Followed Hyperlink" xfId="17187" builtinId="9" hidden="1"/>
    <cellStyle name="Followed Hyperlink" xfId="17185" builtinId="9" hidden="1"/>
    <cellStyle name="Followed Hyperlink" xfId="17183" builtinId="9" hidden="1"/>
    <cellStyle name="Followed Hyperlink" xfId="17181" builtinId="9" hidden="1"/>
    <cellStyle name="Followed Hyperlink" xfId="17179" builtinId="9" hidden="1"/>
    <cellStyle name="Followed Hyperlink" xfId="17177" builtinId="9" hidden="1"/>
    <cellStyle name="Followed Hyperlink" xfId="17175" builtinId="9" hidden="1"/>
    <cellStyle name="Followed Hyperlink" xfId="17173" builtinId="9" hidden="1"/>
    <cellStyle name="Followed Hyperlink" xfId="17171" builtinId="9" hidden="1"/>
    <cellStyle name="Followed Hyperlink" xfId="17169" builtinId="9" hidden="1"/>
    <cellStyle name="Followed Hyperlink" xfId="17167" builtinId="9" hidden="1"/>
    <cellStyle name="Followed Hyperlink" xfId="17165" builtinId="9" hidden="1"/>
    <cellStyle name="Followed Hyperlink" xfId="17163" builtinId="9" hidden="1"/>
    <cellStyle name="Followed Hyperlink" xfId="17161" builtinId="9" hidden="1"/>
    <cellStyle name="Followed Hyperlink" xfId="17159" builtinId="9" hidden="1"/>
    <cellStyle name="Followed Hyperlink" xfId="17157" builtinId="9" hidden="1"/>
    <cellStyle name="Followed Hyperlink" xfId="17155" builtinId="9" hidden="1"/>
    <cellStyle name="Followed Hyperlink" xfId="17153" builtinId="9" hidden="1"/>
    <cellStyle name="Followed Hyperlink" xfId="17151" builtinId="9" hidden="1"/>
    <cellStyle name="Followed Hyperlink" xfId="17149" builtinId="9" hidden="1"/>
    <cellStyle name="Followed Hyperlink" xfId="17147" builtinId="9" hidden="1"/>
    <cellStyle name="Followed Hyperlink" xfId="17145" builtinId="9" hidden="1"/>
    <cellStyle name="Followed Hyperlink" xfId="17143" builtinId="9" hidden="1"/>
    <cellStyle name="Followed Hyperlink" xfId="17141" builtinId="9" hidden="1"/>
    <cellStyle name="Followed Hyperlink" xfId="17139" builtinId="9" hidden="1"/>
    <cellStyle name="Followed Hyperlink" xfId="17137" builtinId="9" hidden="1"/>
    <cellStyle name="Followed Hyperlink" xfId="17135" builtinId="9" hidden="1"/>
    <cellStyle name="Followed Hyperlink" xfId="17133" builtinId="9" hidden="1"/>
    <cellStyle name="Followed Hyperlink" xfId="17131" builtinId="9" hidden="1"/>
    <cellStyle name="Followed Hyperlink" xfId="17129" builtinId="9" hidden="1"/>
    <cellStyle name="Followed Hyperlink" xfId="17127" builtinId="9" hidden="1"/>
    <cellStyle name="Followed Hyperlink" xfId="17125" builtinId="9" hidden="1"/>
    <cellStyle name="Followed Hyperlink" xfId="17123" builtinId="9" hidden="1"/>
    <cellStyle name="Followed Hyperlink" xfId="17121" builtinId="9" hidden="1"/>
    <cellStyle name="Followed Hyperlink" xfId="17119" builtinId="9" hidden="1"/>
    <cellStyle name="Followed Hyperlink" xfId="17117" builtinId="9" hidden="1"/>
    <cellStyle name="Followed Hyperlink" xfId="17116" builtinId="9" hidden="1"/>
    <cellStyle name="Followed Hyperlink" xfId="17114" builtinId="9" hidden="1"/>
    <cellStyle name="Followed Hyperlink" xfId="17112" builtinId="9" hidden="1"/>
    <cellStyle name="Followed Hyperlink" xfId="17110" builtinId="9" hidden="1"/>
    <cellStyle name="Followed Hyperlink" xfId="17108" builtinId="9" hidden="1"/>
    <cellStyle name="Followed Hyperlink" xfId="17106" builtinId="9" hidden="1"/>
    <cellStyle name="Followed Hyperlink" xfId="17104" builtinId="9" hidden="1"/>
    <cellStyle name="Followed Hyperlink" xfId="17102" builtinId="9" hidden="1"/>
    <cellStyle name="Followed Hyperlink" xfId="17100" builtinId="9" hidden="1"/>
    <cellStyle name="Followed Hyperlink" xfId="17098" builtinId="9" hidden="1"/>
    <cellStyle name="Followed Hyperlink" xfId="17096" builtinId="9" hidden="1"/>
    <cellStyle name="Followed Hyperlink" xfId="17094" builtinId="9" hidden="1"/>
    <cellStyle name="Followed Hyperlink" xfId="17092" builtinId="9" hidden="1"/>
    <cellStyle name="Followed Hyperlink" xfId="17090" builtinId="9" hidden="1"/>
    <cellStyle name="Followed Hyperlink" xfId="15253" builtinId="9" hidden="1"/>
    <cellStyle name="Followed Hyperlink" xfId="16073" builtinId="9" hidden="1"/>
    <cellStyle name="Followed Hyperlink" xfId="15757" builtinId="9" hidden="1"/>
    <cellStyle name="Followed Hyperlink" xfId="15792" builtinId="9" hidden="1"/>
    <cellStyle name="Followed Hyperlink" xfId="15574" builtinId="9" hidden="1"/>
    <cellStyle name="Followed Hyperlink" xfId="15871" builtinId="9" hidden="1"/>
    <cellStyle name="Followed Hyperlink" xfId="16002" builtinId="9" hidden="1"/>
    <cellStyle name="Followed Hyperlink" xfId="16101" builtinId="9" hidden="1"/>
    <cellStyle name="Followed Hyperlink" xfId="16112" builtinId="9" hidden="1"/>
    <cellStyle name="Followed Hyperlink" xfId="16040" builtinId="9" hidden="1"/>
    <cellStyle name="Followed Hyperlink" xfId="15423" builtinId="9" hidden="1"/>
    <cellStyle name="Followed Hyperlink" xfId="15794" builtinId="9" hidden="1"/>
    <cellStyle name="Followed Hyperlink" xfId="15763" builtinId="9" hidden="1"/>
    <cellStyle name="Followed Hyperlink" xfId="15797" builtinId="9" hidden="1"/>
    <cellStyle name="Followed Hyperlink" xfId="16005" builtinId="9" hidden="1"/>
    <cellStyle name="Followed Hyperlink" xfId="15576" builtinId="9" hidden="1"/>
    <cellStyle name="Followed Hyperlink" xfId="15438" builtinId="9" hidden="1"/>
    <cellStyle name="Followed Hyperlink" xfId="15798" builtinId="9" hidden="1"/>
    <cellStyle name="Followed Hyperlink" xfId="15858" builtinId="9" hidden="1"/>
    <cellStyle name="Followed Hyperlink" xfId="16115" builtinId="9" hidden="1"/>
    <cellStyle name="Followed Hyperlink" xfId="15856" builtinId="9" hidden="1"/>
    <cellStyle name="Followed Hyperlink" xfId="15769" builtinId="9" hidden="1"/>
    <cellStyle name="Followed Hyperlink" xfId="15768" builtinId="9" hidden="1"/>
    <cellStyle name="Followed Hyperlink" xfId="15308" builtinId="9" hidden="1"/>
    <cellStyle name="Followed Hyperlink" xfId="16003" builtinId="9" hidden="1"/>
    <cellStyle name="Followed Hyperlink" xfId="15399" builtinId="9" hidden="1"/>
    <cellStyle name="Followed Hyperlink" xfId="16104" builtinId="9" hidden="1"/>
    <cellStyle name="Followed Hyperlink" xfId="16110" builtinId="9" hidden="1"/>
    <cellStyle name="Followed Hyperlink" xfId="15872" builtinId="9" hidden="1"/>
    <cellStyle name="Followed Hyperlink" xfId="15759" builtinId="9" hidden="1"/>
    <cellStyle name="Followed Hyperlink" xfId="16103" builtinId="9" hidden="1"/>
    <cellStyle name="Followed Hyperlink" xfId="17089" builtinId="9" hidden="1"/>
    <cellStyle name="Followed Hyperlink" xfId="17093" builtinId="9" hidden="1"/>
    <cellStyle name="Followed Hyperlink" xfId="17097" builtinId="9" hidden="1"/>
    <cellStyle name="Followed Hyperlink" xfId="17101" builtinId="9" hidden="1"/>
    <cellStyle name="Followed Hyperlink" xfId="17105" builtinId="9" hidden="1"/>
    <cellStyle name="Followed Hyperlink" xfId="17109" builtinId="9" hidden="1"/>
    <cellStyle name="Followed Hyperlink" xfId="17113" builtinId="9" hidden="1"/>
    <cellStyle name="Followed Hyperlink" xfId="16845" builtinId="9" hidden="1"/>
    <cellStyle name="Followed Hyperlink" xfId="17120" builtinId="9" hidden="1"/>
    <cellStyle name="Followed Hyperlink" xfId="17124" builtinId="9" hidden="1"/>
    <cellStyle name="Followed Hyperlink" xfId="17128" builtinId="9" hidden="1"/>
    <cellStyle name="Followed Hyperlink" xfId="17132" builtinId="9" hidden="1"/>
    <cellStyle name="Followed Hyperlink" xfId="17136" builtinId="9" hidden="1"/>
    <cellStyle name="Followed Hyperlink" xfId="17140" builtinId="9" hidden="1"/>
    <cellStyle name="Followed Hyperlink" xfId="17144" builtinId="9" hidden="1"/>
    <cellStyle name="Followed Hyperlink" xfId="17148" builtinId="9" hidden="1"/>
    <cellStyle name="Followed Hyperlink" xfId="17152" builtinId="9" hidden="1"/>
    <cellStyle name="Followed Hyperlink" xfId="17156" builtinId="9" hidden="1"/>
    <cellStyle name="Followed Hyperlink" xfId="17160" builtinId="9" hidden="1"/>
    <cellStyle name="Followed Hyperlink" xfId="17164" builtinId="9" hidden="1"/>
    <cellStyle name="Followed Hyperlink" xfId="17168" builtinId="9" hidden="1"/>
    <cellStyle name="Followed Hyperlink" xfId="17172" builtinId="9" hidden="1"/>
    <cellStyle name="Followed Hyperlink" xfId="17176" builtinId="9" hidden="1"/>
    <cellStyle name="Followed Hyperlink" xfId="17180" builtinId="9" hidden="1"/>
    <cellStyle name="Followed Hyperlink" xfId="17184" builtinId="9" hidden="1"/>
    <cellStyle name="Followed Hyperlink" xfId="17188" builtinId="9" hidden="1"/>
    <cellStyle name="Followed Hyperlink" xfId="17192" builtinId="9" hidden="1"/>
    <cellStyle name="Followed Hyperlink" xfId="17196" builtinId="9" hidden="1"/>
    <cellStyle name="Followed Hyperlink" xfId="17200" builtinId="9" hidden="1"/>
    <cellStyle name="Followed Hyperlink" xfId="17204" builtinId="9" hidden="1"/>
    <cellStyle name="Followed Hyperlink" xfId="17208" builtinId="9" hidden="1"/>
    <cellStyle name="Followed Hyperlink" xfId="17212" builtinId="9" hidden="1"/>
    <cellStyle name="Followed Hyperlink" xfId="17216" builtinId="9" hidden="1"/>
    <cellStyle name="Followed Hyperlink" xfId="15931" builtinId="9" hidden="1"/>
    <cellStyle name="Followed Hyperlink" xfId="17223" builtinId="9" hidden="1"/>
    <cellStyle name="Followed Hyperlink" xfId="17227" builtinId="9" hidden="1"/>
    <cellStyle name="Followed Hyperlink" xfId="17231" builtinId="9" hidden="1"/>
    <cellStyle name="Followed Hyperlink" xfId="17235" builtinId="9" hidden="1"/>
    <cellStyle name="Followed Hyperlink" xfId="17239" builtinId="9" hidden="1"/>
    <cellStyle name="Followed Hyperlink" xfId="17243" builtinId="9" hidden="1"/>
    <cellStyle name="Followed Hyperlink" xfId="17247" builtinId="9" hidden="1"/>
    <cellStyle name="Followed Hyperlink" xfId="17251" builtinId="9" hidden="1"/>
    <cellStyle name="Followed Hyperlink" xfId="17255" builtinId="9" hidden="1"/>
    <cellStyle name="Followed Hyperlink" xfId="17259" builtinId="9" hidden="1"/>
    <cellStyle name="Followed Hyperlink" xfId="17263" builtinId="9" hidden="1"/>
    <cellStyle name="Followed Hyperlink" xfId="15982" builtinId="9" hidden="1"/>
    <cellStyle name="Followed Hyperlink" xfId="17037" builtinId="9" hidden="1"/>
    <cellStyle name="Followed Hyperlink" xfId="15972" builtinId="9" hidden="1"/>
    <cellStyle name="Followed Hyperlink" xfId="15296" builtinId="9" hidden="1"/>
    <cellStyle name="Followed Hyperlink" xfId="15405" builtinId="9" hidden="1"/>
    <cellStyle name="Followed Hyperlink" xfId="15890" builtinId="9" hidden="1"/>
    <cellStyle name="Followed Hyperlink" xfId="15774" builtinId="9" hidden="1"/>
    <cellStyle name="Followed Hyperlink" xfId="15975" builtinId="9" hidden="1"/>
    <cellStyle name="Followed Hyperlink" xfId="16018" builtinId="9" hidden="1"/>
    <cellStyle name="Followed Hyperlink" xfId="16076" builtinId="9" hidden="1"/>
    <cellStyle name="Followed Hyperlink" xfId="15852" builtinId="9" hidden="1"/>
    <cellStyle name="Followed Hyperlink" xfId="15874" builtinId="9" hidden="1"/>
    <cellStyle name="Followed Hyperlink" xfId="15958" builtinId="9" hidden="1"/>
    <cellStyle name="Followed Hyperlink" xfId="16061" builtinId="9" hidden="1"/>
    <cellStyle name="Followed Hyperlink" xfId="16057" builtinId="9" hidden="1"/>
    <cellStyle name="Followed Hyperlink" xfId="16044" builtinId="9" hidden="1"/>
    <cellStyle name="Followed Hyperlink" xfId="15408" builtinId="9" hidden="1"/>
    <cellStyle name="Followed Hyperlink" xfId="15776" builtinId="9" hidden="1"/>
    <cellStyle name="Followed Hyperlink" xfId="15898" builtinId="9" hidden="1"/>
    <cellStyle name="Followed Hyperlink" xfId="15425" builtinId="9" hidden="1"/>
    <cellStyle name="Followed Hyperlink" xfId="15805" builtinId="9" hidden="1"/>
    <cellStyle name="Followed Hyperlink" xfId="15807" builtinId="9" hidden="1"/>
    <cellStyle name="Followed Hyperlink" xfId="15575" builtinId="9" hidden="1"/>
    <cellStyle name="Followed Hyperlink" xfId="15877" builtinId="9" hidden="1"/>
    <cellStyle name="Followed Hyperlink" xfId="15407" builtinId="9" hidden="1"/>
    <cellStyle name="Followed Hyperlink" xfId="16114" builtinId="9" hidden="1"/>
    <cellStyle name="Followed Hyperlink" xfId="16100" builtinId="9" hidden="1"/>
    <cellStyle name="Followed Hyperlink" xfId="15889" builtinId="9" hidden="1"/>
    <cellStyle name="Followed Hyperlink" xfId="15411" builtinId="9" hidden="1"/>
    <cellStyle name="Followed Hyperlink" xfId="15810" builtinId="9" hidden="1"/>
    <cellStyle name="Followed Hyperlink" xfId="15811" builtinId="9" hidden="1"/>
    <cellStyle name="Followed Hyperlink" xfId="15785" builtinId="9" hidden="1"/>
    <cellStyle name="Followed Hyperlink" xfId="15787" builtinId="9" hidden="1"/>
    <cellStyle name="Followed Hyperlink" xfId="15902" builtinId="9" hidden="1"/>
    <cellStyle name="Followed Hyperlink" xfId="16047" builtinId="9" hidden="1"/>
    <cellStyle name="Followed Hyperlink" xfId="15853" builtinId="9" hidden="1"/>
    <cellStyle name="Followed Hyperlink" xfId="15932" builtinId="9" hidden="1"/>
    <cellStyle name="Followed Hyperlink" xfId="16844" builtinId="9" hidden="1"/>
    <cellStyle name="Followed Hyperlink" xfId="15379" builtinId="9" hidden="1"/>
    <cellStyle name="Followed Hyperlink" xfId="16821" builtinId="9" hidden="1"/>
    <cellStyle name="Followed Hyperlink" xfId="15381" builtinId="9" hidden="1"/>
    <cellStyle name="Followed Hyperlink" xfId="16820" builtinId="9" hidden="1"/>
    <cellStyle name="Followed Hyperlink" xfId="15284" builtinId="9" hidden="1"/>
    <cellStyle name="Followed Hyperlink" xfId="16922" builtinId="9" hidden="1"/>
    <cellStyle name="Followed Hyperlink" xfId="16819" builtinId="9" hidden="1"/>
    <cellStyle name="Followed Hyperlink" xfId="16818" builtinId="9" hidden="1"/>
    <cellStyle name="Followed Hyperlink" xfId="15934" builtinId="9" hidden="1"/>
    <cellStyle name="Followed Hyperlink" xfId="16921" builtinId="9" hidden="1"/>
    <cellStyle name="Followed Hyperlink" xfId="16815" builtinId="9" hidden="1"/>
    <cellStyle name="Followed Hyperlink" xfId="16814" builtinId="9" hidden="1"/>
    <cellStyle name="Followed Hyperlink" xfId="16812" builtinId="9" hidden="1"/>
    <cellStyle name="Followed Hyperlink" xfId="16810" builtinId="9" hidden="1"/>
    <cellStyle name="Followed Hyperlink" xfId="16808" builtinId="9" hidden="1"/>
    <cellStyle name="Followed Hyperlink" xfId="16842" builtinId="9" hidden="1"/>
    <cellStyle name="Followed Hyperlink" xfId="15935" builtinId="9" hidden="1"/>
    <cellStyle name="Followed Hyperlink" xfId="16960" builtinId="9" hidden="1"/>
    <cellStyle name="Followed Hyperlink" xfId="16892" builtinId="9" hidden="1"/>
    <cellStyle name="Followed Hyperlink" xfId="17031" builtinId="9" hidden="1"/>
    <cellStyle name="Followed Hyperlink" xfId="17023" builtinId="9" hidden="1"/>
    <cellStyle name="Followed Hyperlink" xfId="16995" builtinId="9" hidden="1"/>
    <cellStyle name="Followed Hyperlink" xfId="16962" builtinId="9" hidden="1"/>
    <cellStyle name="Followed Hyperlink" xfId="16918" builtinId="9" hidden="1"/>
    <cellStyle name="Followed Hyperlink" xfId="16990" builtinId="9" hidden="1"/>
    <cellStyle name="Followed Hyperlink" xfId="16801" builtinId="9" hidden="1"/>
    <cellStyle name="Followed Hyperlink" xfId="16800" builtinId="9" hidden="1"/>
    <cellStyle name="Followed Hyperlink" xfId="16799" builtinId="9" hidden="1"/>
    <cellStyle name="Followed Hyperlink" xfId="16798" builtinId="9" hidden="1"/>
    <cellStyle name="Followed Hyperlink" xfId="16797" builtinId="9" hidden="1"/>
    <cellStyle name="Followed Hyperlink" xfId="16796" builtinId="9" hidden="1"/>
    <cellStyle name="Followed Hyperlink" xfId="16795" builtinId="9" hidden="1"/>
    <cellStyle name="Followed Hyperlink" xfId="16794" builtinId="9" hidden="1"/>
    <cellStyle name="Followed Hyperlink" xfId="15268" builtinId="9" hidden="1"/>
    <cellStyle name="Followed Hyperlink" xfId="16917" builtinId="9" hidden="1"/>
    <cellStyle name="Followed Hyperlink" xfId="15947" builtinId="9" hidden="1"/>
    <cellStyle name="Followed Hyperlink" xfId="16916" builtinId="9" hidden="1"/>
    <cellStyle name="Followed Hyperlink" xfId="16793" builtinId="9" hidden="1"/>
    <cellStyle name="Followed Hyperlink" xfId="15940" builtinId="9" hidden="1"/>
    <cellStyle name="Followed Hyperlink" xfId="15830" builtinId="9" hidden="1"/>
    <cellStyle name="Followed Hyperlink" xfId="16869" builtinId="9" hidden="1"/>
    <cellStyle name="Followed Hyperlink" xfId="16792" builtinId="9" hidden="1"/>
    <cellStyle name="Followed Hyperlink" xfId="15285" builtinId="9" hidden="1"/>
    <cellStyle name="Followed Hyperlink" xfId="16882" builtinId="9" hidden="1"/>
    <cellStyle name="Followed Hyperlink" xfId="16881" builtinId="9" hidden="1"/>
    <cellStyle name="Followed Hyperlink" xfId="16915" builtinId="9" hidden="1"/>
    <cellStyle name="Followed Hyperlink" xfId="16859" builtinId="9" hidden="1"/>
    <cellStyle name="Followed Hyperlink" xfId="15256" builtinId="9" hidden="1"/>
    <cellStyle name="Followed Hyperlink" xfId="16791" builtinId="9" hidden="1"/>
    <cellStyle name="Followed Hyperlink" xfId="15941" builtinId="9" hidden="1"/>
    <cellStyle name="Followed Hyperlink" xfId="15380" builtinId="9" hidden="1"/>
    <cellStyle name="Followed Hyperlink" xfId="16880" builtinId="9" hidden="1"/>
    <cellStyle name="Followed Hyperlink" xfId="16914" builtinId="9" hidden="1"/>
    <cellStyle name="Followed Hyperlink" xfId="15734" builtinId="9" hidden="1"/>
    <cellStyle name="Followed Hyperlink" xfId="15382" builtinId="9" hidden="1"/>
    <cellStyle name="Followed Hyperlink" xfId="16913" builtinId="9" hidden="1"/>
    <cellStyle name="Followed Hyperlink" xfId="15970" builtinId="9" hidden="1"/>
    <cellStyle name="Followed Hyperlink" xfId="16912" builtinId="9" hidden="1"/>
    <cellStyle name="Followed Hyperlink" xfId="15376" builtinId="9" hidden="1"/>
    <cellStyle name="Followed Hyperlink" xfId="15980" builtinId="9" hidden="1"/>
    <cellStyle name="Followed Hyperlink" xfId="16895" builtinId="9" hidden="1"/>
    <cellStyle name="Followed Hyperlink" xfId="16553" builtinId="9" hidden="1"/>
    <cellStyle name="Followed Hyperlink" xfId="15962" builtinId="9" hidden="1"/>
    <cellStyle name="Followed Hyperlink" xfId="15923" builtinId="9" hidden="1"/>
    <cellStyle name="Followed Hyperlink" xfId="15375" builtinId="9" hidden="1"/>
    <cellStyle name="Followed Hyperlink" xfId="15904" builtinId="9" hidden="1"/>
    <cellStyle name="Followed Hyperlink" xfId="17062" builtinId="9" hidden="1"/>
    <cellStyle name="Followed Hyperlink" xfId="16894" builtinId="9" hidden="1"/>
    <cellStyle name="Followed Hyperlink" xfId="16937" builtinId="9" hidden="1"/>
    <cellStyle name="Followed Hyperlink" xfId="16790" builtinId="9" hidden="1"/>
    <cellStyle name="Followed Hyperlink" xfId="16494" builtinId="9" hidden="1"/>
    <cellStyle name="Followed Hyperlink" xfId="16079" builtinId="9" hidden="1"/>
    <cellStyle name="Followed Hyperlink" xfId="16549" builtinId="9" hidden="1"/>
    <cellStyle name="Followed Hyperlink" xfId="15372" builtinId="9" hidden="1"/>
    <cellStyle name="Followed Hyperlink" xfId="16046" builtinId="9" hidden="1"/>
    <cellStyle name="Followed Hyperlink" xfId="16893" builtinId="9" hidden="1"/>
    <cellStyle name="Followed Hyperlink" xfId="16495" builtinId="9" hidden="1"/>
    <cellStyle name="Followed Hyperlink" xfId="16095" builtinId="9" hidden="1"/>
    <cellStyle name="Followed Hyperlink" xfId="16496" builtinId="9" hidden="1"/>
    <cellStyle name="Followed Hyperlink" xfId="15749" builtinId="9" hidden="1"/>
    <cellStyle name="Followed Hyperlink" xfId="16497" builtinId="9" hidden="1"/>
    <cellStyle name="Followed Hyperlink" xfId="15857" builtinId="9" hidden="1"/>
    <cellStyle name="Followed Hyperlink" xfId="14606" builtinId="9" hidden="1"/>
    <cellStyle name="Followed Hyperlink" xfId="16310" builtinId="9" hidden="1"/>
    <cellStyle name="Followed Hyperlink" xfId="15996" builtinId="9" hidden="1"/>
    <cellStyle name="Followed Hyperlink" xfId="17422" builtinId="9" hidden="1"/>
    <cellStyle name="Followed Hyperlink" xfId="17423" builtinId="9" hidden="1"/>
    <cellStyle name="Followed Hyperlink" xfId="17424" builtinId="9" hidden="1"/>
    <cellStyle name="Followed Hyperlink" xfId="17425" builtinId="9" hidden="1"/>
    <cellStyle name="Followed Hyperlink" xfId="17426" builtinId="9" hidden="1"/>
    <cellStyle name="Followed Hyperlink" xfId="17427" builtinId="9" hidden="1"/>
    <cellStyle name="Followed Hyperlink" xfId="17428" builtinId="9" hidden="1"/>
    <cellStyle name="Followed Hyperlink" xfId="17429" builtinId="9" hidden="1"/>
    <cellStyle name="Followed Hyperlink" xfId="17430" builtinId="9" hidden="1"/>
    <cellStyle name="Followed Hyperlink" xfId="17431" builtinId="9" hidden="1"/>
    <cellStyle name="Followed Hyperlink" xfId="17432" builtinId="9" hidden="1"/>
    <cellStyle name="Followed Hyperlink" xfId="17433" builtinId="9" hidden="1"/>
    <cellStyle name="Followed Hyperlink" xfId="17434" builtinId="9" hidden="1"/>
    <cellStyle name="Followed Hyperlink" xfId="17435" builtinId="9" hidden="1"/>
    <cellStyle name="Followed Hyperlink" xfId="17436" builtinId="9" hidden="1"/>
    <cellStyle name="Followed Hyperlink" xfId="17437" builtinId="9" hidden="1"/>
    <cellStyle name="Followed Hyperlink" xfId="17438" builtinId="9" hidden="1"/>
    <cellStyle name="Followed Hyperlink" xfId="17439" builtinId="9" hidden="1"/>
    <cellStyle name="Followed Hyperlink" xfId="17440" builtinId="9" hidden="1"/>
    <cellStyle name="Followed Hyperlink" xfId="17441" builtinId="9" hidden="1"/>
    <cellStyle name="Followed Hyperlink" xfId="17442" builtinId="9" hidden="1"/>
    <cellStyle name="Followed Hyperlink" xfId="17443" builtinId="9" hidden="1"/>
    <cellStyle name="Followed Hyperlink" xfId="17444" builtinId="9" hidden="1"/>
    <cellStyle name="Followed Hyperlink" xfId="17445" builtinId="9" hidden="1"/>
    <cellStyle name="Followed Hyperlink" xfId="17446" builtinId="9" hidden="1"/>
    <cellStyle name="Followed Hyperlink" xfId="17447" builtinId="9" hidden="1"/>
    <cellStyle name="Followed Hyperlink" xfId="17448" builtinId="9" hidden="1"/>
    <cellStyle name="Followed Hyperlink" xfId="17449" builtinId="9" hidden="1"/>
    <cellStyle name="Followed Hyperlink" xfId="17450" builtinId="9" hidden="1"/>
    <cellStyle name="Followed Hyperlink" xfId="17451" builtinId="9" hidden="1"/>
    <cellStyle name="Followed Hyperlink" xfId="17452" builtinId="9" hidden="1"/>
    <cellStyle name="Followed Hyperlink" xfId="17453" builtinId="9" hidden="1"/>
    <cellStyle name="Followed Hyperlink" xfId="17454" builtinId="9" hidden="1"/>
    <cellStyle name="Followed Hyperlink" xfId="17455" builtinId="9" hidden="1"/>
    <cellStyle name="Followed Hyperlink" xfId="17456" builtinId="9" hidden="1"/>
    <cellStyle name="Followed Hyperlink" xfId="17457" builtinId="9" hidden="1"/>
    <cellStyle name="Followed Hyperlink" xfId="17458" builtinId="9" hidden="1"/>
    <cellStyle name="Followed Hyperlink" xfId="17459" builtinId="9" hidden="1"/>
    <cellStyle name="Followed Hyperlink" xfId="17460" builtinId="9" hidden="1"/>
    <cellStyle name="Followed Hyperlink" xfId="17461" builtinId="9" hidden="1"/>
    <cellStyle name="Followed Hyperlink" xfId="17462" builtinId="9" hidden="1"/>
    <cellStyle name="Followed Hyperlink" xfId="17463" builtinId="9" hidden="1"/>
    <cellStyle name="Followed Hyperlink" xfId="17464" builtinId="9" hidden="1"/>
    <cellStyle name="Followed Hyperlink" xfId="17465" builtinId="9" hidden="1"/>
    <cellStyle name="Followed Hyperlink" xfId="17466" builtinId="9" hidden="1"/>
    <cellStyle name="Followed Hyperlink" xfId="17467" builtinId="9" hidden="1"/>
    <cellStyle name="Followed Hyperlink" xfId="17468" builtinId="9" hidden="1"/>
    <cellStyle name="Followed Hyperlink" xfId="17469" builtinId="9" hidden="1"/>
    <cellStyle name="Followed Hyperlink" xfId="17475" builtinId="9" hidden="1"/>
    <cellStyle name="Followed Hyperlink" xfId="17476" builtinId="9" hidden="1"/>
    <cellStyle name="Followed Hyperlink" xfId="17477" builtinId="9" hidden="1"/>
    <cellStyle name="Followed Hyperlink" xfId="17478" builtinId="9" hidden="1"/>
    <cellStyle name="Followed Hyperlink" xfId="17479" builtinId="9" hidden="1"/>
    <cellStyle name="Followed Hyperlink" xfId="17480" builtinId="9" hidden="1"/>
    <cellStyle name="Followed Hyperlink" xfId="17481" builtinId="9" hidden="1"/>
    <cellStyle name="Followed Hyperlink" xfId="17482" builtinId="9" hidden="1"/>
    <cellStyle name="Followed Hyperlink" xfId="17483" builtinId="9" hidden="1"/>
    <cellStyle name="Followed Hyperlink" xfId="17484" builtinId="9" hidden="1"/>
    <cellStyle name="Followed Hyperlink" xfId="17485" builtinId="9" hidden="1"/>
    <cellStyle name="Followed Hyperlink" xfId="17486" builtinId="9" hidden="1"/>
    <cellStyle name="Followed Hyperlink" xfId="17487" builtinId="9" hidden="1"/>
    <cellStyle name="Followed Hyperlink" xfId="17488" builtinId="9" hidden="1"/>
    <cellStyle name="Followed Hyperlink" xfId="17489" builtinId="9" hidden="1"/>
    <cellStyle name="Followed Hyperlink" xfId="17490" builtinId="9" hidden="1"/>
    <cellStyle name="Followed Hyperlink" xfId="17491" builtinId="9" hidden="1"/>
    <cellStyle name="Followed Hyperlink" xfId="17492" builtinId="9" hidden="1"/>
    <cellStyle name="Followed Hyperlink" xfId="17493" builtinId="9" hidden="1"/>
    <cellStyle name="Followed Hyperlink" xfId="17494" builtinId="9" hidden="1"/>
    <cellStyle name="Followed Hyperlink" xfId="17495" builtinId="9" hidden="1"/>
    <cellStyle name="Followed Hyperlink" xfId="17496" builtinId="9" hidden="1"/>
    <cellStyle name="Followed Hyperlink" xfId="17497" builtinId="9" hidden="1"/>
    <cellStyle name="Followed Hyperlink" xfId="17498" builtinId="9" hidden="1"/>
    <cellStyle name="Followed Hyperlink" xfId="17499" builtinId="9" hidden="1"/>
    <cellStyle name="Followed Hyperlink" xfId="17500" builtinId="9" hidden="1"/>
    <cellStyle name="Followed Hyperlink" xfId="17501" builtinId="9" hidden="1"/>
    <cellStyle name="Followed Hyperlink" xfId="17502" builtinId="9" hidden="1"/>
    <cellStyle name="Followed Hyperlink" xfId="17503" builtinId="9" hidden="1"/>
    <cellStyle name="Followed Hyperlink" xfId="17504" builtinId="9" hidden="1"/>
    <cellStyle name="Followed Hyperlink" xfId="17505" builtinId="9" hidden="1"/>
    <cellStyle name="Followed Hyperlink" xfId="17506" builtinId="9" hidden="1"/>
    <cellStyle name="Followed Hyperlink" xfId="17507" builtinId="9" hidden="1"/>
    <cellStyle name="Followed Hyperlink" xfId="17508" builtinId="9" hidden="1"/>
    <cellStyle name="Followed Hyperlink" xfId="17509" builtinId="9" hidden="1"/>
    <cellStyle name="Followed Hyperlink" xfId="17510" builtinId="9" hidden="1"/>
    <cellStyle name="Followed Hyperlink" xfId="17511" builtinId="9" hidden="1"/>
    <cellStyle name="Followed Hyperlink" xfId="17512" builtinId="9" hidden="1"/>
    <cellStyle name="Followed Hyperlink" xfId="17513" builtinId="9" hidden="1"/>
    <cellStyle name="Followed Hyperlink" xfId="17514" builtinId="9" hidden="1"/>
    <cellStyle name="Followed Hyperlink" xfId="17515" builtinId="9" hidden="1"/>
    <cellStyle name="Followed Hyperlink" xfId="17516" builtinId="9" hidden="1"/>
    <cellStyle name="Followed Hyperlink" xfId="17517" builtinId="9" hidden="1"/>
    <cellStyle name="Followed Hyperlink" xfId="17518" builtinId="9" hidden="1"/>
    <cellStyle name="Followed Hyperlink" xfId="17519" builtinId="9" hidden="1"/>
    <cellStyle name="Followed Hyperlink" xfId="17520" builtinId="9" hidden="1"/>
    <cellStyle name="Followed Hyperlink" xfId="17521" builtinId="9" hidden="1"/>
    <cellStyle name="Followed Hyperlink" xfId="17522" builtinId="9" hidden="1"/>
    <cellStyle name="Followed Hyperlink" xfId="17523" builtinId="9" hidden="1"/>
    <cellStyle name="Followed Hyperlink" xfId="17524" builtinId="9" hidden="1"/>
    <cellStyle name="Followed Hyperlink" xfId="17531" builtinId="9" hidden="1"/>
    <cellStyle name="Followed Hyperlink" xfId="17532" builtinId="9" hidden="1"/>
    <cellStyle name="Followed Hyperlink" xfId="17533" builtinId="9" hidden="1"/>
    <cellStyle name="Followed Hyperlink" xfId="17534" builtinId="9" hidden="1"/>
    <cellStyle name="Followed Hyperlink" xfId="17535" builtinId="9" hidden="1"/>
    <cellStyle name="Followed Hyperlink" xfId="17536" builtinId="9" hidden="1"/>
    <cellStyle name="Followed Hyperlink" xfId="17537" builtinId="9" hidden="1"/>
    <cellStyle name="Followed Hyperlink" xfId="17538" builtinId="9" hidden="1"/>
    <cellStyle name="Followed Hyperlink" xfId="17539" builtinId="9" hidden="1"/>
    <cellStyle name="Followed Hyperlink" xfId="17540" builtinId="9" hidden="1"/>
    <cellStyle name="Followed Hyperlink" xfId="17541" builtinId="9" hidden="1"/>
    <cellStyle name="Followed Hyperlink" xfId="17542" builtinId="9" hidden="1"/>
    <cellStyle name="Followed Hyperlink" xfId="17543" builtinId="9" hidden="1"/>
    <cellStyle name="Followed Hyperlink" xfId="17544" builtinId="9" hidden="1"/>
    <cellStyle name="Followed Hyperlink" xfId="17545" builtinId="9" hidden="1"/>
    <cellStyle name="Followed Hyperlink" xfId="17546" builtinId="9" hidden="1"/>
    <cellStyle name="Followed Hyperlink" xfId="17547" builtinId="9" hidden="1"/>
    <cellStyle name="Followed Hyperlink" xfId="17548" builtinId="9" hidden="1"/>
    <cellStyle name="Followed Hyperlink" xfId="17549" builtinId="9" hidden="1"/>
    <cellStyle name="Followed Hyperlink" xfId="17550" builtinId="9" hidden="1"/>
    <cellStyle name="Followed Hyperlink" xfId="17551" builtinId="9" hidden="1"/>
    <cellStyle name="Followed Hyperlink" xfId="17552" builtinId="9" hidden="1"/>
    <cellStyle name="Followed Hyperlink" xfId="17553" builtinId="9" hidden="1"/>
    <cellStyle name="Followed Hyperlink" xfId="17554" builtinId="9" hidden="1"/>
    <cellStyle name="Followed Hyperlink" xfId="17555" builtinId="9" hidden="1"/>
    <cellStyle name="Followed Hyperlink" xfId="17556" builtinId="9" hidden="1"/>
    <cellStyle name="Followed Hyperlink" xfId="17557" builtinId="9" hidden="1"/>
    <cellStyle name="Followed Hyperlink" xfId="17558" builtinId="9" hidden="1"/>
    <cellStyle name="Followed Hyperlink" xfId="17559" builtinId="9" hidden="1"/>
    <cellStyle name="Followed Hyperlink" xfId="17560" builtinId="9" hidden="1"/>
    <cellStyle name="Followed Hyperlink" xfId="17561" builtinId="9" hidden="1"/>
    <cellStyle name="Followed Hyperlink" xfId="17562" builtinId="9" hidden="1"/>
    <cellStyle name="Followed Hyperlink" xfId="17563" builtinId="9" hidden="1"/>
    <cellStyle name="Followed Hyperlink" xfId="17564" builtinId="9" hidden="1"/>
    <cellStyle name="Followed Hyperlink" xfId="17565" builtinId="9" hidden="1"/>
    <cellStyle name="Followed Hyperlink" xfId="17566" builtinId="9" hidden="1"/>
    <cellStyle name="Followed Hyperlink" xfId="17567" builtinId="9" hidden="1"/>
    <cellStyle name="Followed Hyperlink" xfId="17568" builtinId="9" hidden="1"/>
    <cellStyle name="Followed Hyperlink" xfId="17569" builtinId="9" hidden="1"/>
    <cellStyle name="Followed Hyperlink" xfId="17570" builtinId="9" hidden="1"/>
    <cellStyle name="Followed Hyperlink" xfId="17571" builtinId="9" hidden="1"/>
    <cellStyle name="Followed Hyperlink" xfId="17572" builtinId="9" hidden="1"/>
    <cellStyle name="Followed Hyperlink" xfId="17573" builtinId="9" hidden="1"/>
    <cellStyle name="Followed Hyperlink" xfId="17574" builtinId="9" hidden="1"/>
    <cellStyle name="Followed Hyperlink" xfId="17575" builtinId="9" hidden="1"/>
    <cellStyle name="Followed Hyperlink" xfId="17576" builtinId="9" hidden="1"/>
    <cellStyle name="Followed Hyperlink" xfId="17577" builtinId="9" hidden="1"/>
    <cellStyle name="Followed Hyperlink" xfId="17578" builtinId="9" hidden="1"/>
    <cellStyle name="Followed Hyperlink" xfId="17579" builtinId="9" hidden="1"/>
    <cellStyle name="Followed Hyperlink" xfId="17580" builtinId="9" hidden="1"/>
    <cellStyle name="Followed Hyperlink" xfId="17581" builtinId="9" hidden="1"/>
    <cellStyle name="Followed Hyperlink" xfId="17582" builtinId="9" hidden="1"/>
    <cellStyle name="Followed Hyperlink" xfId="17583" builtinId="9" hidden="1"/>
    <cellStyle name="Followed Hyperlink" xfId="17584" builtinId="9" hidden="1"/>
    <cellStyle name="Followed Hyperlink" xfId="17585" builtinId="9" hidden="1"/>
    <cellStyle name="Followed Hyperlink" xfId="17586" builtinId="9" hidden="1"/>
    <cellStyle name="Followed Hyperlink" xfId="17587" builtinId="9" hidden="1"/>
    <cellStyle name="Followed Hyperlink" xfId="17588" builtinId="9" hidden="1"/>
    <cellStyle name="Followed Hyperlink" xfId="17589" builtinId="9" hidden="1"/>
    <cellStyle name="Followed Hyperlink" xfId="17590" builtinId="9" hidden="1"/>
    <cellStyle name="Followed Hyperlink" xfId="17591" builtinId="9" hidden="1"/>
    <cellStyle name="Followed Hyperlink" xfId="17592" builtinId="9" hidden="1"/>
    <cellStyle name="Followed Hyperlink" xfId="17593" builtinId="9" hidden="1"/>
    <cellStyle name="Followed Hyperlink" xfId="17594" builtinId="9" hidden="1"/>
    <cellStyle name="Followed Hyperlink" xfId="17595" builtinId="9" hidden="1"/>
    <cellStyle name="Followed Hyperlink" xfId="17596" builtinId="9" hidden="1"/>
    <cellStyle name="Followed Hyperlink" xfId="17597" builtinId="9" hidden="1"/>
    <cellStyle name="Followed Hyperlink" xfId="17598" builtinId="9" hidden="1"/>
    <cellStyle name="Followed Hyperlink" xfId="17599" builtinId="9" hidden="1"/>
    <cellStyle name="Followed Hyperlink" xfId="17600" builtinId="9" hidden="1"/>
    <cellStyle name="Followed Hyperlink" xfId="17601" builtinId="9" hidden="1"/>
    <cellStyle name="Followed Hyperlink" xfId="17602" builtinId="9" hidden="1"/>
    <cellStyle name="Followed Hyperlink" xfId="17603" builtinId="9" hidden="1"/>
    <cellStyle name="Followed Hyperlink" xfId="17604" builtinId="9" hidden="1"/>
    <cellStyle name="Followed Hyperlink" xfId="17605" builtinId="9" hidden="1"/>
    <cellStyle name="Followed Hyperlink" xfId="17606" builtinId="9" hidden="1"/>
    <cellStyle name="Followed Hyperlink" xfId="17607" builtinId="9" hidden="1"/>
    <cellStyle name="Followed Hyperlink" xfId="17608" builtinId="9" hidden="1"/>
    <cellStyle name="Followed Hyperlink" xfId="17609" builtinId="9" hidden="1"/>
    <cellStyle name="Followed Hyperlink" xfId="17610" builtinId="9" hidden="1"/>
    <cellStyle name="Followed Hyperlink" xfId="17611" builtinId="9" hidden="1"/>
    <cellStyle name="Followed Hyperlink" xfId="17612" builtinId="9" hidden="1"/>
    <cellStyle name="Followed Hyperlink" xfId="17613" builtinId="9" hidden="1"/>
    <cellStyle name="Followed Hyperlink" xfId="17614" builtinId="9" hidden="1"/>
    <cellStyle name="Followed Hyperlink" xfId="17615" builtinId="9" hidden="1"/>
    <cellStyle name="Followed Hyperlink" xfId="17616" builtinId="9" hidden="1"/>
    <cellStyle name="Followed Hyperlink" xfId="17617" builtinId="9" hidden="1"/>
    <cellStyle name="Followed Hyperlink" xfId="17618" builtinId="9" hidden="1"/>
    <cellStyle name="Followed Hyperlink" xfId="17619" builtinId="9" hidden="1"/>
    <cellStyle name="Followed Hyperlink" xfId="17620" builtinId="9" hidden="1"/>
    <cellStyle name="Followed Hyperlink" xfId="17621" builtinId="9" hidden="1"/>
    <cellStyle name="Followed Hyperlink" xfId="17622" builtinId="9" hidden="1"/>
    <cellStyle name="Followed Hyperlink" xfId="17623" builtinId="9" hidden="1"/>
    <cellStyle name="Followed Hyperlink" xfId="17624" builtinId="9" hidden="1"/>
    <cellStyle name="Followed Hyperlink" xfId="17625" builtinId="9" hidden="1"/>
    <cellStyle name="Followed Hyperlink" xfId="17626" builtinId="9" hidden="1"/>
    <cellStyle name="Followed Hyperlink" xfId="17627" builtinId="9" hidden="1"/>
    <cellStyle name="Followed Hyperlink" xfId="17628" builtinId="9" hidden="1"/>
    <cellStyle name="Followed Hyperlink" xfId="17629" builtinId="9" hidden="1"/>
    <cellStyle name="Followed Hyperlink" xfId="17630" builtinId="9" hidden="1"/>
    <cellStyle name="Followed Hyperlink" xfId="17631" builtinId="9" hidden="1"/>
    <cellStyle name="Followed Hyperlink" xfId="17632" builtinId="9" hidden="1"/>
    <cellStyle name="Followed Hyperlink" xfId="17633" builtinId="9" hidden="1"/>
    <cellStyle name="Followed Hyperlink" xfId="17634" builtinId="9" hidden="1"/>
    <cellStyle name="Followed Hyperlink" xfId="17635" builtinId="9" hidden="1"/>
    <cellStyle name="Followed Hyperlink" xfId="17636" builtinId="9" hidden="1"/>
    <cellStyle name="Followed Hyperlink" xfId="17637" builtinId="9" hidden="1"/>
    <cellStyle name="Followed Hyperlink" xfId="17638" builtinId="9" hidden="1"/>
    <cellStyle name="Followed Hyperlink" xfId="17639" builtinId="9" hidden="1"/>
    <cellStyle name="Followed Hyperlink" xfId="17640" builtinId="9" hidden="1"/>
    <cellStyle name="Followed Hyperlink" xfId="17641" builtinId="9" hidden="1"/>
    <cellStyle name="Followed Hyperlink" xfId="17642" builtinId="9" hidden="1"/>
    <cellStyle name="Followed Hyperlink" xfId="17643" builtinId="9" hidden="1"/>
    <cellStyle name="Followed Hyperlink" xfId="17644" builtinId="9" hidden="1"/>
    <cellStyle name="Followed Hyperlink" xfId="17645" builtinId="9" hidden="1"/>
    <cellStyle name="Followed Hyperlink" xfId="17646" builtinId="9" hidden="1"/>
    <cellStyle name="Followed Hyperlink" xfId="17647" builtinId="9" hidden="1"/>
    <cellStyle name="Followed Hyperlink" xfId="17648" builtinId="9" hidden="1"/>
    <cellStyle name="Followed Hyperlink" xfId="17649" builtinId="9" hidden="1"/>
    <cellStyle name="Followed Hyperlink" xfId="17650" builtinId="9" hidden="1"/>
    <cellStyle name="Followed Hyperlink" xfId="17651" builtinId="9" hidden="1"/>
    <cellStyle name="Followed Hyperlink" xfId="17652" builtinId="9" hidden="1"/>
    <cellStyle name="Followed Hyperlink" xfId="17653" builtinId="9" hidden="1"/>
    <cellStyle name="Followed Hyperlink" xfId="17654" builtinId="9" hidden="1"/>
    <cellStyle name="Followed Hyperlink" xfId="17655" builtinId="9" hidden="1"/>
    <cellStyle name="Followed Hyperlink" xfId="17656" builtinId="9" hidden="1"/>
    <cellStyle name="Followed Hyperlink" xfId="17657" builtinId="9" hidden="1"/>
    <cellStyle name="Followed Hyperlink" xfId="17658" builtinId="9" hidden="1"/>
    <cellStyle name="Followed Hyperlink" xfId="17659" builtinId="9" hidden="1"/>
    <cellStyle name="Followed Hyperlink" xfId="17660" builtinId="9" hidden="1"/>
    <cellStyle name="Followed Hyperlink" xfId="17661" builtinId="9" hidden="1"/>
    <cellStyle name="Followed Hyperlink" xfId="17662" builtinId="9" hidden="1"/>
    <cellStyle name="Followed Hyperlink" xfId="17663" builtinId="9" hidden="1"/>
    <cellStyle name="Followed Hyperlink" xfId="17664" builtinId="9" hidden="1"/>
    <cellStyle name="Followed Hyperlink" xfId="17665" builtinId="9" hidden="1"/>
    <cellStyle name="Followed Hyperlink" xfId="17666" builtinId="9" hidden="1"/>
    <cellStyle name="Followed Hyperlink" xfId="17667" builtinId="9" hidden="1"/>
    <cellStyle name="Followed Hyperlink" xfId="17668" builtinId="9" hidden="1"/>
    <cellStyle name="Followed Hyperlink" xfId="17669" builtinId="9" hidden="1"/>
    <cellStyle name="Followed Hyperlink" xfId="17670" builtinId="9" hidden="1"/>
    <cellStyle name="Followed Hyperlink" xfId="17671" builtinId="9" hidden="1"/>
    <cellStyle name="Followed Hyperlink" xfId="17672" builtinId="9" hidden="1"/>
    <cellStyle name="Followed Hyperlink" xfId="17673" builtinId="9" hidden="1"/>
    <cellStyle name="Followed Hyperlink" xfId="17674" builtinId="9" hidden="1"/>
    <cellStyle name="Followed Hyperlink" xfId="17675" builtinId="9" hidden="1"/>
    <cellStyle name="Followed Hyperlink" xfId="17676" builtinId="9" hidden="1"/>
    <cellStyle name="Followed Hyperlink" xfId="17677" builtinId="9" hidden="1"/>
    <cellStyle name="Followed Hyperlink" xfId="17678" builtinId="9" hidden="1"/>
    <cellStyle name="Followed Hyperlink" xfId="16899" builtinId="9" hidden="1"/>
    <cellStyle name="Followed Hyperlink" xfId="18011" builtinId="9" hidden="1"/>
    <cellStyle name="Followed Hyperlink" xfId="17974" builtinId="9" hidden="1"/>
    <cellStyle name="Followed Hyperlink" xfId="17861" builtinId="9" hidden="1"/>
    <cellStyle name="Followed Hyperlink" xfId="17841" builtinId="9" hidden="1"/>
    <cellStyle name="Followed Hyperlink" xfId="17844" builtinId="9" hidden="1"/>
    <cellStyle name="Followed Hyperlink" xfId="17923" builtinId="9" hidden="1"/>
    <cellStyle name="Followed Hyperlink" xfId="17761" builtinId="9" hidden="1"/>
    <cellStyle name="Followed Hyperlink" xfId="15831" builtinId="9" hidden="1"/>
    <cellStyle name="Followed Hyperlink" xfId="17831" builtinId="9" hidden="1"/>
    <cellStyle name="Followed Hyperlink" xfId="17733" builtinId="9" hidden="1"/>
    <cellStyle name="Followed Hyperlink" xfId="17915" builtinId="9" hidden="1"/>
    <cellStyle name="Followed Hyperlink" xfId="17732" builtinId="9" hidden="1"/>
    <cellStyle name="Followed Hyperlink" xfId="16896" builtinId="9" hidden="1"/>
    <cellStyle name="Followed Hyperlink" xfId="18044" builtinId="9" hidden="1"/>
    <cellStyle name="Followed Hyperlink" xfId="17912" builtinId="9" hidden="1"/>
    <cellStyle name="Followed Hyperlink" xfId="17809" builtinId="9" hidden="1"/>
    <cellStyle name="Followed Hyperlink" xfId="17730" builtinId="9" hidden="1"/>
    <cellStyle name="Followed Hyperlink" xfId="17731" builtinId="9" hidden="1"/>
    <cellStyle name="Followed Hyperlink" xfId="18396" builtinId="9" hidden="1"/>
    <cellStyle name="Followed Hyperlink" xfId="18050" builtinId="9" hidden="1"/>
    <cellStyle name="Followed Hyperlink" xfId="18062" builtinId="9" hidden="1"/>
    <cellStyle name="Followed Hyperlink" xfId="17961" builtinId="9" hidden="1"/>
    <cellStyle name="Followed Hyperlink" xfId="17960" builtinId="9" hidden="1"/>
    <cellStyle name="Followed Hyperlink" xfId="17959" builtinId="9" hidden="1"/>
    <cellStyle name="Followed Hyperlink" xfId="17958" builtinId="9" hidden="1"/>
    <cellStyle name="Followed Hyperlink" xfId="17757" builtinId="9" hidden="1"/>
    <cellStyle name="Followed Hyperlink" xfId="16705" builtinId="9" hidden="1"/>
    <cellStyle name="Followed Hyperlink" xfId="17728" builtinId="9" hidden="1"/>
    <cellStyle name="Followed Hyperlink" xfId="18027" builtinId="9" hidden="1"/>
    <cellStyle name="Followed Hyperlink" xfId="17726" builtinId="9" hidden="1"/>
    <cellStyle name="Followed Hyperlink" xfId="17727" builtinId="9" hidden="1"/>
    <cellStyle name="Followed Hyperlink" xfId="16713" builtinId="9" hidden="1"/>
    <cellStyle name="Followed Hyperlink" xfId="17924" builtinId="9" hidden="1"/>
    <cellStyle name="Followed Hyperlink" xfId="17752" builtinId="9" hidden="1"/>
    <cellStyle name="Followed Hyperlink" xfId="17753" builtinId="9" hidden="1"/>
    <cellStyle name="Followed Hyperlink" xfId="16708" builtinId="9" hidden="1"/>
    <cellStyle name="Followed Hyperlink" xfId="17957" builtinId="9" hidden="1"/>
    <cellStyle name="Followed Hyperlink" xfId="16987" builtinId="9" hidden="1"/>
    <cellStyle name="Followed Hyperlink" xfId="18015" builtinId="9" hidden="1"/>
    <cellStyle name="Followed Hyperlink" xfId="17990" builtinId="9" hidden="1"/>
    <cellStyle name="Followed Hyperlink" xfId="17956" builtinId="9" hidden="1"/>
    <cellStyle name="Followed Hyperlink" xfId="18000" builtinId="9" hidden="1"/>
    <cellStyle name="Followed Hyperlink" xfId="17938" builtinId="9" hidden="1"/>
    <cellStyle name="Followed Hyperlink" xfId="18002" builtinId="9" hidden="1"/>
    <cellStyle name="Followed Hyperlink" xfId="17955" builtinId="9" hidden="1"/>
    <cellStyle name="Followed Hyperlink" xfId="17954" builtinId="9" hidden="1"/>
    <cellStyle name="Followed Hyperlink" xfId="17953" builtinId="9" hidden="1"/>
    <cellStyle name="Followed Hyperlink" xfId="16829" builtinId="9" hidden="1"/>
    <cellStyle name="Followed Hyperlink" xfId="17936" builtinId="9" hidden="1"/>
    <cellStyle name="Followed Hyperlink" xfId="16841" builtinId="9" hidden="1"/>
    <cellStyle name="Followed Hyperlink" xfId="17033" builtinId="9" hidden="1"/>
    <cellStyle name="Followed Hyperlink" xfId="18013" builtinId="9" hidden="1"/>
    <cellStyle name="Followed Hyperlink" xfId="17976" builtinId="9" hidden="1"/>
    <cellStyle name="Followed Hyperlink" xfId="17862" builtinId="9" hidden="1"/>
    <cellStyle name="Followed Hyperlink" xfId="17822" builtinId="9" hidden="1"/>
    <cellStyle name="Followed Hyperlink" xfId="17799" builtinId="9" hidden="1"/>
    <cellStyle name="Followed Hyperlink" xfId="17751" builtinId="9" hidden="1"/>
    <cellStyle name="Followed Hyperlink" xfId="15862" builtinId="9" hidden="1"/>
    <cellStyle name="Followed Hyperlink" xfId="17920" builtinId="9" hidden="1"/>
    <cellStyle name="Followed Hyperlink" xfId="17808" builtinId="9" hidden="1"/>
    <cellStyle name="Followed Hyperlink" xfId="17722" builtinId="9" hidden="1"/>
    <cellStyle name="Followed Hyperlink" xfId="17721" builtinId="9" hidden="1"/>
    <cellStyle name="Followed Hyperlink" xfId="17720" builtinId="9" hidden="1"/>
    <cellStyle name="Followed Hyperlink" xfId="17719" builtinId="9" hidden="1"/>
    <cellStyle name="Followed Hyperlink" xfId="15994" builtinId="9" hidden="1"/>
    <cellStyle name="Followed Hyperlink" xfId="18037" builtinId="9" hidden="1"/>
    <cellStyle name="Followed Hyperlink" xfId="15748" builtinId="9" hidden="1"/>
    <cellStyle name="Followed Hyperlink" xfId="17846" builtinId="9" hidden="1"/>
    <cellStyle name="Followed Hyperlink" xfId="17836" builtinId="9" hidden="1"/>
    <cellStyle name="Followed Hyperlink" xfId="17749" builtinId="9" hidden="1"/>
    <cellStyle name="Followed Hyperlink" xfId="16086" builtinId="9" hidden="1"/>
    <cellStyle name="Followed Hyperlink" xfId="17930" builtinId="9" hidden="1"/>
    <cellStyle name="Followed Hyperlink" xfId="17837" builtinId="9" hidden="1"/>
    <cellStyle name="Followed Hyperlink" xfId="17748" builtinId="9" hidden="1"/>
    <cellStyle name="Followed Hyperlink" xfId="16911" builtinId="9" hidden="1"/>
    <cellStyle name="Followed Hyperlink" xfId="17716" builtinId="9" hidden="1"/>
    <cellStyle name="Followed Hyperlink" xfId="17715" builtinId="9" hidden="1"/>
    <cellStyle name="Followed Hyperlink" xfId="16716" builtinId="9" hidden="1"/>
    <cellStyle name="Followed Hyperlink" xfId="17714" builtinId="9" hidden="1"/>
    <cellStyle name="Followed Hyperlink" xfId="16901" builtinId="9" hidden="1"/>
    <cellStyle name="Followed Hyperlink" xfId="17988" builtinId="9" hidden="1"/>
    <cellStyle name="Followed Hyperlink" xfId="17951" builtinId="9" hidden="1"/>
    <cellStyle name="Followed Hyperlink" xfId="17709" builtinId="9" hidden="1"/>
    <cellStyle name="Followed Hyperlink" xfId="17713" builtinId="9" hidden="1"/>
    <cellStyle name="Followed Hyperlink" xfId="17745" builtinId="9" hidden="1"/>
    <cellStyle name="Followed Hyperlink" xfId="16710" builtinId="9" hidden="1"/>
    <cellStyle name="Followed Hyperlink" xfId="18020" builtinId="9" hidden="1"/>
    <cellStyle name="Followed Hyperlink" xfId="17710" builtinId="9" hidden="1"/>
    <cellStyle name="Followed Hyperlink" xfId="17711" builtinId="9" hidden="1"/>
    <cellStyle name="Followed Hyperlink" xfId="15885" builtinId="9" hidden="1"/>
    <cellStyle name="Followed Hyperlink" xfId="18042" builtinId="9" hidden="1"/>
    <cellStyle name="Followed Hyperlink" xfId="17986" builtinId="9" hidden="1"/>
    <cellStyle name="Followed Hyperlink" xfId="18395" builtinId="9" hidden="1"/>
    <cellStyle name="Followed Hyperlink" xfId="18055" builtinId="9" hidden="1"/>
    <cellStyle name="Followed Hyperlink" xfId="18052" builtinId="9" hidden="1"/>
    <cellStyle name="Followed Hyperlink" xfId="18039" builtinId="9" hidden="1"/>
    <cellStyle name="Followed Hyperlink" xfId="15373" builtinId="9" hidden="1"/>
    <cellStyle name="Followed Hyperlink" xfId="17948" builtinId="9" hidden="1"/>
    <cellStyle name="Followed Hyperlink" xfId="17947" builtinId="9" hidden="1"/>
    <cellStyle name="Followed Hyperlink" xfId="17946" builtinId="9" hidden="1"/>
    <cellStyle name="Followed Hyperlink" xfId="17945" builtinId="9" hidden="1"/>
    <cellStyle name="Followed Hyperlink" xfId="17742" builtinId="9" hidden="1"/>
    <cellStyle name="Followed Hyperlink" xfId="16897" builtinId="9" hidden="1"/>
    <cellStyle name="Followed Hyperlink" xfId="17707" builtinId="9" hidden="1"/>
    <cellStyle name="Followed Hyperlink" xfId="17740" builtinId="9" hidden="1"/>
    <cellStyle name="Followed Hyperlink" xfId="16717" builtinId="9" hidden="1"/>
    <cellStyle name="Followed Hyperlink" xfId="18041" builtinId="9" hidden="1"/>
    <cellStyle name="Followed Hyperlink" xfId="17985" builtinId="9" hidden="1"/>
    <cellStyle name="Followed Hyperlink" xfId="17983" builtinId="9" hidden="1"/>
    <cellStyle name="Followed Hyperlink" xfId="18036" builtinId="9" hidden="1"/>
    <cellStyle name="Followed Hyperlink" xfId="18034" builtinId="9" hidden="1"/>
    <cellStyle name="Followed Hyperlink" xfId="18029" builtinId="9" hidden="1"/>
    <cellStyle name="Followed Hyperlink" xfId="18014" builtinId="9" hidden="1"/>
    <cellStyle name="Followed Hyperlink" xfId="18061" builtinId="9" hidden="1"/>
    <cellStyle name="Followed Hyperlink" xfId="16718" builtinId="9" hidden="1"/>
    <cellStyle name="Followed Hyperlink" xfId="17702" builtinId="9" hidden="1"/>
    <cellStyle name="Followed Hyperlink" xfId="17703" builtinId="9" hidden="1"/>
    <cellStyle name="Followed Hyperlink" xfId="15936" builtinId="9" hidden="1"/>
    <cellStyle name="Followed Hyperlink" xfId="16997" builtinId="9" hidden="1"/>
    <cellStyle name="Followed Hyperlink" xfId="17981" builtinId="9" hidden="1"/>
    <cellStyle name="Followed Hyperlink" xfId="17997" builtinId="9" hidden="1"/>
    <cellStyle name="Followed Hyperlink" xfId="17865" builtinId="9" hidden="1"/>
    <cellStyle name="Followed Hyperlink" xfId="17998" builtinId="9" hidden="1"/>
    <cellStyle name="Followed Hyperlink" xfId="17934" builtinId="9" hidden="1"/>
    <cellStyle name="Followed Hyperlink" xfId="17854" builtinId="9" hidden="1"/>
    <cellStyle name="Followed Hyperlink" xfId="17810" builtinId="9" hidden="1"/>
    <cellStyle name="Followed Hyperlink" xfId="17819" builtinId="9" hidden="1"/>
    <cellStyle name="Followed Hyperlink" xfId="18012" builtinId="9" hidden="1"/>
    <cellStyle name="Followed Hyperlink" xfId="17975" builtinId="9" hidden="1"/>
    <cellStyle name="Followed Hyperlink" xfId="17860" builtinId="9" hidden="1"/>
    <cellStyle name="Followed Hyperlink" xfId="17840" builtinId="9" hidden="1"/>
    <cellStyle name="Followed Hyperlink" xfId="18010" builtinId="9" hidden="1"/>
    <cellStyle name="Followed Hyperlink" xfId="17973" builtinId="9" hidden="1"/>
    <cellStyle name="Followed Hyperlink" xfId="17921" builtinId="9" hidden="1"/>
    <cellStyle name="Followed Hyperlink" xfId="17849" builtinId="9" hidden="1"/>
    <cellStyle name="Followed Hyperlink" xfId="17735" builtinId="9" hidden="1"/>
    <cellStyle name="Followed Hyperlink" xfId="17833" builtinId="9" hidden="1"/>
    <cellStyle name="Followed Hyperlink" xfId="17913" builtinId="9" hidden="1"/>
    <cellStyle name="Followed Hyperlink" xfId="17701" builtinId="9" hidden="1"/>
    <cellStyle name="Followed Hyperlink" xfId="17798" builtinId="9" hidden="1"/>
    <cellStyle name="Followed Hyperlink" xfId="17903" builtinId="9" hidden="1"/>
    <cellStyle name="Followed Hyperlink" xfId="16719" builtinId="9" hidden="1"/>
    <cellStyle name="Followed Hyperlink" xfId="17902" builtinId="9" hidden="1"/>
    <cellStyle name="Followed Hyperlink" xfId="17843" builtinId="9" hidden="1"/>
    <cellStyle name="Followed Hyperlink" xfId="15374" builtinId="9" hidden="1"/>
    <cellStyle name="Followed Hyperlink" xfId="17859" builtinId="9" hidden="1"/>
    <cellStyle name="Followed Hyperlink" xfId="17794" builtinId="9" hidden="1"/>
    <cellStyle name="Followed Hyperlink" xfId="15440" builtinId="9" hidden="1"/>
    <cellStyle name="Followed Hyperlink" xfId="15315" builtinId="9" hidden="1"/>
    <cellStyle name="Followed Hyperlink" xfId="18392" builtinId="9" hidden="1"/>
    <cellStyle name="Followed Hyperlink" xfId="18390" builtinId="9" hidden="1"/>
    <cellStyle name="Followed Hyperlink" xfId="18388" builtinId="9" hidden="1"/>
    <cellStyle name="Followed Hyperlink" xfId="18386" builtinId="9" hidden="1"/>
    <cellStyle name="Followed Hyperlink" xfId="18384" builtinId="9" hidden="1"/>
    <cellStyle name="Followed Hyperlink" xfId="18382" builtinId="9" hidden="1"/>
    <cellStyle name="Followed Hyperlink" xfId="18380" builtinId="9" hidden="1"/>
    <cellStyle name="Followed Hyperlink" xfId="18378" builtinId="9" hidden="1"/>
    <cellStyle name="Followed Hyperlink" xfId="18376" builtinId="9" hidden="1"/>
    <cellStyle name="Followed Hyperlink" xfId="18374" builtinId="9" hidden="1"/>
    <cellStyle name="Followed Hyperlink" xfId="18372" builtinId="9" hidden="1"/>
    <cellStyle name="Followed Hyperlink" xfId="18370" builtinId="9" hidden="1"/>
    <cellStyle name="Followed Hyperlink" xfId="18368" builtinId="9" hidden="1"/>
    <cellStyle name="Followed Hyperlink" xfId="18366" builtinId="9" hidden="1"/>
    <cellStyle name="Followed Hyperlink" xfId="18364" builtinId="9" hidden="1"/>
    <cellStyle name="Followed Hyperlink" xfId="18362" builtinId="9" hidden="1"/>
    <cellStyle name="Followed Hyperlink" xfId="18360" builtinId="9" hidden="1"/>
    <cellStyle name="Followed Hyperlink" xfId="18358" builtinId="9" hidden="1"/>
    <cellStyle name="Followed Hyperlink" xfId="18356" builtinId="9" hidden="1"/>
    <cellStyle name="Followed Hyperlink" xfId="18354" builtinId="9" hidden="1"/>
    <cellStyle name="Followed Hyperlink" xfId="18352" builtinId="9" hidden="1"/>
    <cellStyle name="Followed Hyperlink" xfId="18350" builtinId="9" hidden="1"/>
    <cellStyle name="Followed Hyperlink" xfId="18348" builtinId="9" hidden="1"/>
    <cellStyle name="Followed Hyperlink" xfId="18346" builtinId="9" hidden="1"/>
    <cellStyle name="Followed Hyperlink" xfId="18344" builtinId="9" hidden="1"/>
    <cellStyle name="Followed Hyperlink" xfId="18342" builtinId="9" hidden="1"/>
    <cellStyle name="Followed Hyperlink" xfId="18340" builtinId="9" hidden="1"/>
    <cellStyle name="Followed Hyperlink" xfId="18338" builtinId="9" hidden="1"/>
    <cellStyle name="Followed Hyperlink" xfId="18336" builtinId="9" hidden="1"/>
    <cellStyle name="Followed Hyperlink" xfId="18334" builtinId="9" hidden="1"/>
    <cellStyle name="Followed Hyperlink" xfId="18332" builtinId="9" hidden="1"/>
    <cellStyle name="Followed Hyperlink" xfId="18330" builtinId="9" hidden="1"/>
    <cellStyle name="Followed Hyperlink" xfId="18328" builtinId="9" hidden="1"/>
    <cellStyle name="Followed Hyperlink" xfId="18326" builtinId="9" hidden="1"/>
    <cellStyle name="Followed Hyperlink" xfId="18324" builtinId="9" hidden="1"/>
    <cellStyle name="Followed Hyperlink" xfId="18322" builtinId="9" hidden="1"/>
    <cellStyle name="Followed Hyperlink" xfId="18320" builtinId="9" hidden="1"/>
    <cellStyle name="Followed Hyperlink" xfId="18318" builtinId="9" hidden="1"/>
    <cellStyle name="Followed Hyperlink" xfId="18316" builtinId="9" hidden="1"/>
    <cellStyle name="Followed Hyperlink" xfId="18314" builtinId="9" hidden="1"/>
    <cellStyle name="Followed Hyperlink" xfId="18312" builtinId="9" hidden="1"/>
    <cellStyle name="Followed Hyperlink" xfId="18310" builtinId="9" hidden="1"/>
    <cellStyle name="Followed Hyperlink" xfId="18308" builtinId="9" hidden="1"/>
    <cellStyle name="Followed Hyperlink" xfId="18306" builtinId="9" hidden="1"/>
    <cellStyle name="Followed Hyperlink" xfId="18304" builtinId="9" hidden="1"/>
    <cellStyle name="Followed Hyperlink" xfId="18302" builtinId="9" hidden="1"/>
    <cellStyle name="Followed Hyperlink" xfId="18300" builtinId="9" hidden="1"/>
    <cellStyle name="Followed Hyperlink" xfId="18298" builtinId="9" hidden="1"/>
    <cellStyle name="Followed Hyperlink" xfId="18296" builtinId="9" hidden="1"/>
    <cellStyle name="Followed Hyperlink" xfId="18294" builtinId="9" hidden="1"/>
    <cellStyle name="Followed Hyperlink" xfId="18292" builtinId="9" hidden="1"/>
    <cellStyle name="Followed Hyperlink" xfId="18290" builtinId="9" hidden="1"/>
    <cellStyle name="Followed Hyperlink" xfId="18288" builtinId="9" hidden="1"/>
    <cellStyle name="Followed Hyperlink" xfId="18286" builtinId="9" hidden="1"/>
    <cellStyle name="Followed Hyperlink" xfId="18284" builtinId="9" hidden="1"/>
    <cellStyle name="Followed Hyperlink" xfId="18282" builtinId="9" hidden="1"/>
    <cellStyle name="Followed Hyperlink" xfId="18280" builtinId="9" hidden="1"/>
    <cellStyle name="Followed Hyperlink" xfId="18278" builtinId="9" hidden="1"/>
    <cellStyle name="Followed Hyperlink" xfId="18276" builtinId="9" hidden="1"/>
    <cellStyle name="Followed Hyperlink" xfId="18274" builtinId="9" hidden="1"/>
    <cellStyle name="Followed Hyperlink" xfId="18272" builtinId="9" hidden="1"/>
    <cellStyle name="Followed Hyperlink" xfId="18270" builtinId="9" hidden="1"/>
    <cellStyle name="Followed Hyperlink" xfId="18268" builtinId="9" hidden="1"/>
    <cellStyle name="Followed Hyperlink" xfId="18266" builtinId="9" hidden="1"/>
    <cellStyle name="Followed Hyperlink" xfId="18264" builtinId="9" hidden="1"/>
    <cellStyle name="Followed Hyperlink" xfId="18262" builtinId="9" hidden="1"/>
    <cellStyle name="Followed Hyperlink" xfId="18260" builtinId="9" hidden="1"/>
    <cellStyle name="Followed Hyperlink" xfId="18258" builtinId="9" hidden="1"/>
    <cellStyle name="Followed Hyperlink" xfId="18256" builtinId="9" hidden="1"/>
    <cellStyle name="Followed Hyperlink" xfId="18254" builtinId="9" hidden="1"/>
    <cellStyle name="Followed Hyperlink" xfId="18247" builtinId="9" hidden="1"/>
    <cellStyle name="Followed Hyperlink" xfId="18245" builtinId="9" hidden="1"/>
    <cellStyle name="Followed Hyperlink" xfId="18243" builtinId="9" hidden="1"/>
    <cellStyle name="Followed Hyperlink" xfId="18241" builtinId="9" hidden="1"/>
    <cellStyle name="Followed Hyperlink" xfId="18239" builtinId="9" hidden="1"/>
    <cellStyle name="Followed Hyperlink" xfId="18237" builtinId="9" hidden="1"/>
    <cellStyle name="Followed Hyperlink" xfId="18235" builtinId="9" hidden="1"/>
    <cellStyle name="Followed Hyperlink" xfId="18233" builtinId="9" hidden="1"/>
    <cellStyle name="Followed Hyperlink" xfId="18231" builtinId="9" hidden="1"/>
    <cellStyle name="Followed Hyperlink" xfId="18229" builtinId="9" hidden="1"/>
    <cellStyle name="Followed Hyperlink" xfId="18227" builtinId="9" hidden="1"/>
    <cellStyle name="Followed Hyperlink" xfId="18225" builtinId="9" hidden="1"/>
    <cellStyle name="Followed Hyperlink" xfId="18223" builtinId="9" hidden="1"/>
    <cellStyle name="Followed Hyperlink" xfId="18221" builtinId="9" hidden="1"/>
    <cellStyle name="Followed Hyperlink" xfId="18219" builtinId="9" hidden="1"/>
    <cellStyle name="Followed Hyperlink" xfId="18217" builtinId="9" hidden="1"/>
    <cellStyle name="Followed Hyperlink" xfId="18215" builtinId="9" hidden="1"/>
    <cellStyle name="Followed Hyperlink" xfId="18213" builtinId="9" hidden="1"/>
    <cellStyle name="Followed Hyperlink" xfId="18211" builtinId="9" hidden="1"/>
    <cellStyle name="Followed Hyperlink" xfId="18209" builtinId="9" hidden="1"/>
    <cellStyle name="Followed Hyperlink" xfId="18207" builtinId="9" hidden="1"/>
    <cellStyle name="Followed Hyperlink" xfId="18205" builtinId="9" hidden="1"/>
    <cellStyle name="Followed Hyperlink" xfId="18203" builtinId="9" hidden="1"/>
    <cellStyle name="Followed Hyperlink" xfId="18201" builtinId="9" hidden="1"/>
    <cellStyle name="Followed Hyperlink" xfId="18199" builtinId="9" hidden="1"/>
    <cellStyle name="Followed Hyperlink" xfId="18197" builtinId="9" hidden="1"/>
    <cellStyle name="Followed Hyperlink" xfId="18195" builtinId="9" hidden="1"/>
    <cellStyle name="Followed Hyperlink" xfId="18194" builtinId="9" hidden="1"/>
    <cellStyle name="Followed Hyperlink" xfId="18192" builtinId="9" hidden="1"/>
    <cellStyle name="Followed Hyperlink" xfId="18190" builtinId="9" hidden="1"/>
    <cellStyle name="Followed Hyperlink" xfId="18188" builtinId="9" hidden="1"/>
    <cellStyle name="Followed Hyperlink" xfId="18186" builtinId="9" hidden="1"/>
    <cellStyle name="Followed Hyperlink" xfId="18184" builtinId="9" hidden="1"/>
    <cellStyle name="Followed Hyperlink" xfId="18182" builtinId="9" hidden="1"/>
    <cellStyle name="Followed Hyperlink" xfId="18180" builtinId="9" hidden="1"/>
    <cellStyle name="Followed Hyperlink" xfId="18178" builtinId="9" hidden="1"/>
    <cellStyle name="Followed Hyperlink" xfId="18176" builtinId="9" hidden="1"/>
    <cellStyle name="Followed Hyperlink" xfId="18174" builtinId="9" hidden="1"/>
    <cellStyle name="Followed Hyperlink" xfId="18172" builtinId="9" hidden="1"/>
    <cellStyle name="Followed Hyperlink" xfId="18170" builtinId="9" hidden="1"/>
    <cellStyle name="Followed Hyperlink" xfId="18168" builtinId="9" hidden="1"/>
    <cellStyle name="Followed Hyperlink" xfId="18166" builtinId="9" hidden="1"/>
    <cellStyle name="Followed Hyperlink" xfId="18164" builtinId="9" hidden="1"/>
    <cellStyle name="Followed Hyperlink" xfId="18162" builtinId="9" hidden="1"/>
    <cellStyle name="Followed Hyperlink" xfId="18160" builtinId="9" hidden="1"/>
    <cellStyle name="Followed Hyperlink" xfId="18158" builtinId="9" hidden="1"/>
    <cellStyle name="Followed Hyperlink" xfId="18156" builtinId="9" hidden="1"/>
    <cellStyle name="Followed Hyperlink" xfId="18154" builtinId="9" hidden="1"/>
    <cellStyle name="Followed Hyperlink" xfId="18152" builtinId="9" hidden="1"/>
    <cellStyle name="Followed Hyperlink" xfId="18150" builtinId="9" hidden="1"/>
    <cellStyle name="Followed Hyperlink" xfId="18148" builtinId="9" hidden="1"/>
    <cellStyle name="Followed Hyperlink" xfId="18146" builtinId="9" hidden="1"/>
    <cellStyle name="Followed Hyperlink" xfId="18144" builtinId="9" hidden="1"/>
    <cellStyle name="Followed Hyperlink" xfId="18142" builtinId="9" hidden="1"/>
    <cellStyle name="Followed Hyperlink" xfId="18140" builtinId="9" hidden="1"/>
    <cellStyle name="Followed Hyperlink" xfId="18138" builtinId="9" hidden="1"/>
    <cellStyle name="Followed Hyperlink" xfId="18136" builtinId="9" hidden="1"/>
    <cellStyle name="Followed Hyperlink" xfId="18134" builtinId="9" hidden="1"/>
    <cellStyle name="Followed Hyperlink" xfId="18132" builtinId="9" hidden="1"/>
    <cellStyle name="Followed Hyperlink" xfId="18130" builtinId="9" hidden="1"/>
    <cellStyle name="Followed Hyperlink" xfId="18128" builtinId="9" hidden="1"/>
    <cellStyle name="Followed Hyperlink" xfId="18126" builtinId="9" hidden="1"/>
    <cellStyle name="Followed Hyperlink" xfId="18124" builtinId="9" hidden="1"/>
    <cellStyle name="Followed Hyperlink" xfId="18122" builtinId="9" hidden="1"/>
    <cellStyle name="Followed Hyperlink" xfId="18120" builtinId="9" hidden="1"/>
    <cellStyle name="Followed Hyperlink" xfId="18118" builtinId="9" hidden="1"/>
    <cellStyle name="Followed Hyperlink" xfId="18116" builtinId="9" hidden="1"/>
    <cellStyle name="Followed Hyperlink" xfId="18114" builtinId="9" hidden="1"/>
    <cellStyle name="Followed Hyperlink" xfId="18112" builtinId="9" hidden="1"/>
    <cellStyle name="Followed Hyperlink" xfId="18110" builtinId="9" hidden="1"/>
    <cellStyle name="Followed Hyperlink" xfId="18108" builtinId="9" hidden="1"/>
    <cellStyle name="Followed Hyperlink" xfId="18106" builtinId="9" hidden="1"/>
    <cellStyle name="Followed Hyperlink" xfId="18104" builtinId="9" hidden="1"/>
    <cellStyle name="Followed Hyperlink" xfId="18102" builtinId="9" hidden="1"/>
    <cellStyle name="Followed Hyperlink" xfId="18100" builtinId="9" hidden="1"/>
    <cellStyle name="Followed Hyperlink" xfId="18098" builtinId="9" hidden="1"/>
    <cellStyle name="Followed Hyperlink" xfId="18096" builtinId="9" hidden="1"/>
    <cellStyle name="Followed Hyperlink" xfId="18094" builtinId="9" hidden="1"/>
    <cellStyle name="Followed Hyperlink" xfId="18092" builtinId="9" hidden="1"/>
    <cellStyle name="Followed Hyperlink" xfId="18091" builtinId="9" hidden="1"/>
    <cellStyle name="Followed Hyperlink" xfId="18089" builtinId="9" hidden="1"/>
    <cellStyle name="Followed Hyperlink" xfId="18087" builtinId="9" hidden="1"/>
    <cellStyle name="Followed Hyperlink" xfId="18085" builtinId="9" hidden="1"/>
    <cellStyle name="Followed Hyperlink" xfId="18083" builtinId="9" hidden="1"/>
    <cellStyle name="Followed Hyperlink" xfId="18081" builtinId="9" hidden="1"/>
    <cellStyle name="Followed Hyperlink" xfId="18079" builtinId="9" hidden="1"/>
    <cellStyle name="Followed Hyperlink" xfId="18077" builtinId="9" hidden="1"/>
    <cellStyle name="Followed Hyperlink" xfId="18075" builtinId="9" hidden="1"/>
    <cellStyle name="Followed Hyperlink" xfId="18073" builtinId="9" hidden="1"/>
    <cellStyle name="Followed Hyperlink" xfId="18071" builtinId="9" hidden="1"/>
    <cellStyle name="Followed Hyperlink" xfId="18069" builtinId="9" hidden="1"/>
    <cellStyle name="Followed Hyperlink" xfId="18067" builtinId="9" hidden="1"/>
    <cellStyle name="Followed Hyperlink" xfId="18065" builtinId="9" hidden="1"/>
    <cellStyle name="Followed Hyperlink" xfId="17052" builtinId="9" hidden="1"/>
    <cellStyle name="Followed Hyperlink" xfId="17051" builtinId="9" hidden="1"/>
    <cellStyle name="Followed Hyperlink" xfId="16967" builtinId="9" hidden="1"/>
    <cellStyle name="Followed Hyperlink" xfId="17042" builtinId="9" hidden="1"/>
    <cellStyle name="Followed Hyperlink" xfId="16732" builtinId="9" hidden="1"/>
    <cellStyle name="Followed Hyperlink" xfId="16767" builtinId="9" hidden="1"/>
    <cellStyle name="Followed Hyperlink" xfId="16550" builtinId="9" hidden="1"/>
    <cellStyle name="Followed Hyperlink" xfId="16847" builtinId="9" hidden="1"/>
    <cellStyle name="Followed Hyperlink" xfId="16972" builtinId="9" hidden="1"/>
    <cellStyle name="Followed Hyperlink" xfId="17070" builtinId="9" hidden="1"/>
    <cellStyle name="Followed Hyperlink" xfId="17081" builtinId="9" hidden="1"/>
    <cellStyle name="Followed Hyperlink" xfId="17010" builtinId="9" hidden="1"/>
    <cellStyle name="Followed Hyperlink" xfId="15737" builtinId="9" hidden="1"/>
    <cellStyle name="Followed Hyperlink" xfId="16769" builtinId="9" hidden="1"/>
    <cellStyle name="Followed Hyperlink" xfId="16738" builtinId="9" hidden="1"/>
    <cellStyle name="Followed Hyperlink" xfId="16772" builtinId="9" hidden="1"/>
    <cellStyle name="Followed Hyperlink" xfId="16975" builtinId="9" hidden="1"/>
    <cellStyle name="Followed Hyperlink" xfId="16973" builtinId="9" hidden="1"/>
    <cellStyle name="Followed Hyperlink" xfId="15745" builtinId="9" hidden="1"/>
    <cellStyle name="Followed Hyperlink" xfId="17073" builtinId="9" hidden="1"/>
    <cellStyle name="Followed Hyperlink" xfId="17079" builtinId="9" hidden="1"/>
    <cellStyle name="Followed Hyperlink" xfId="16848" builtinId="9" hidden="1"/>
    <cellStyle name="Followed Hyperlink" xfId="16734" builtinId="9" hidden="1"/>
    <cellStyle name="Followed Hyperlink" xfId="17072" builtinId="9" hidden="1"/>
    <cellStyle name="Followed Hyperlink" xfId="15833" builtinId="9" hidden="1"/>
    <cellStyle name="Followed Hyperlink" xfId="18064" builtinId="9" hidden="1"/>
    <cellStyle name="Followed Hyperlink" xfId="18068" builtinId="9" hidden="1"/>
    <cellStyle name="Followed Hyperlink" xfId="18072" builtinId="9" hidden="1"/>
    <cellStyle name="Followed Hyperlink" xfId="18076" builtinId="9" hidden="1"/>
    <cellStyle name="Followed Hyperlink" xfId="18080" builtinId="9" hidden="1"/>
    <cellStyle name="Followed Hyperlink" xfId="18084" builtinId="9" hidden="1"/>
    <cellStyle name="Followed Hyperlink" xfId="18088" builtinId="9" hidden="1"/>
    <cellStyle name="Followed Hyperlink" xfId="17818" builtinId="9" hidden="1"/>
    <cellStyle name="Followed Hyperlink" xfId="18095" builtinId="9" hidden="1"/>
    <cellStyle name="Followed Hyperlink" xfId="18099" builtinId="9" hidden="1"/>
    <cellStyle name="Followed Hyperlink" xfId="18103" builtinId="9" hidden="1"/>
    <cellStyle name="Followed Hyperlink" xfId="18107" builtinId="9" hidden="1"/>
    <cellStyle name="Followed Hyperlink" xfId="18111" builtinId="9" hidden="1"/>
    <cellStyle name="Followed Hyperlink" xfId="18115" builtinId="9" hidden="1"/>
    <cellStyle name="Followed Hyperlink" xfId="18119" builtinId="9" hidden="1"/>
    <cellStyle name="Followed Hyperlink" xfId="18123" builtinId="9" hidden="1"/>
    <cellStyle name="Followed Hyperlink" xfId="18127" builtinId="9" hidden="1"/>
    <cellStyle name="Followed Hyperlink" xfId="18131" builtinId="9" hidden="1"/>
    <cellStyle name="Followed Hyperlink" xfId="18135" builtinId="9" hidden="1"/>
    <cellStyle name="Followed Hyperlink" xfId="18139" builtinId="9" hidden="1"/>
    <cellStyle name="Followed Hyperlink" xfId="18143" builtinId="9" hidden="1"/>
    <cellStyle name="Followed Hyperlink" xfId="18147" builtinId="9" hidden="1"/>
    <cellStyle name="Followed Hyperlink" xfId="18151" builtinId="9" hidden="1"/>
    <cellStyle name="Followed Hyperlink" xfId="18155" builtinId="9" hidden="1"/>
    <cellStyle name="Followed Hyperlink" xfId="18159" builtinId="9" hidden="1"/>
    <cellStyle name="Followed Hyperlink" xfId="18163" builtinId="9" hidden="1"/>
    <cellStyle name="Followed Hyperlink" xfId="18167" builtinId="9" hidden="1"/>
    <cellStyle name="Followed Hyperlink" xfId="18171" builtinId="9" hidden="1"/>
    <cellStyle name="Followed Hyperlink" xfId="18175" builtinId="9" hidden="1"/>
    <cellStyle name="Followed Hyperlink" xfId="18179" builtinId="9" hidden="1"/>
    <cellStyle name="Followed Hyperlink" xfId="18183" builtinId="9" hidden="1"/>
    <cellStyle name="Followed Hyperlink" xfId="18187" builtinId="9" hidden="1"/>
    <cellStyle name="Followed Hyperlink" xfId="18191" builtinId="9" hidden="1"/>
    <cellStyle name="Followed Hyperlink" xfId="16903" builtinId="9" hidden="1"/>
    <cellStyle name="Followed Hyperlink" xfId="18198" builtinId="9" hidden="1"/>
    <cellStyle name="Followed Hyperlink" xfId="18202" builtinId="9" hidden="1"/>
    <cellStyle name="Followed Hyperlink" xfId="18206" builtinId="9" hidden="1"/>
    <cellStyle name="Followed Hyperlink" xfId="18210" builtinId="9" hidden="1"/>
    <cellStyle name="Followed Hyperlink" xfId="18214" builtinId="9" hidden="1"/>
    <cellStyle name="Followed Hyperlink" xfId="18218" builtinId="9" hidden="1"/>
    <cellStyle name="Followed Hyperlink" xfId="18222" builtinId="9" hidden="1"/>
    <cellStyle name="Followed Hyperlink" xfId="18226" builtinId="9" hidden="1"/>
    <cellStyle name="Followed Hyperlink" xfId="18230" builtinId="9" hidden="1"/>
    <cellStyle name="Followed Hyperlink" xfId="18234" builtinId="9" hidden="1"/>
    <cellStyle name="Followed Hyperlink" xfId="18238" builtinId="9" hidden="1"/>
    <cellStyle name="Followed Hyperlink" xfId="18242" builtinId="9" hidden="1"/>
    <cellStyle name="Followed Hyperlink" xfId="18246" builtinId="9" hidden="1"/>
    <cellStyle name="Followed Hyperlink" xfId="15855" builtinId="9" hidden="1"/>
    <cellStyle name="Followed Hyperlink" xfId="18028" builtinId="9" hidden="1"/>
    <cellStyle name="Followed Hyperlink" xfId="16552" builtinId="9" hidden="1"/>
    <cellStyle name="Followed Hyperlink" xfId="16773" builtinId="9" hidden="1"/>
    <cellStyle name="Followed Hyperlink" xfId="16834" builtinId="9" hidden="1"/>
    <cellStyle name="Followed Hyperlink" xfId="17084" builtinId="9" hidden="1"/>
    <cellStyle name="Followed Hyperlink" xfId="16832" builtinId="9" hidden="1"/>
    <cellStyle name="Followed Hyperlink" xfId="16942" builtinId="9" hidden="1"/>
    <cellStyle name="Followed Hyperlink" xfId="15886" builtinId="9" hidden="1"/>
    <cellStyle name="Followed Hyperlink" xfId="15788" builtinId="9" hidden="1"/>
    <cellStyle name="Followed Hyperlink" xfId="15743" builtinId="9" hidden="1"/>
    <cellStyle name="Followed Hyperlink" xfId="16866" builtinId="9" hidden="1"/>
    <cellStyle name="Followed Hyperlink" xfId="16749" builtinId="9" hidden="1"/>
    <cellStyle name="Followed Hyperlink" xfId="16945" builtinId="9" hidden="1"/>
    <cellStyle name="Followed Hyperlink" xfId="16988" builtinId="9" hidden="1"/>
    <cellStyle name="Followed Hyperlink" xfId="17045" builtinId="9" hidden="1"/>
    <cellStyle name="Followed Hyperlink" xfId="16828" builtinId="9" hidden="1"/>
    <cellStyle name="Followed Hyperlink" xfId="16850" builtinId="9" hidden="1"/>
    <cellStyle name="Followed Hyperlink" xfId="16930" builtinId="9" hidden="1"/>
    <cellStyle name="Followed Hyperlink" xfId="17030" builtinId="9" hidden="1"/>
    <cellStyle name="Followed Hyperlink" xfId="17026" builtinId="9" hidden="1"/>
    <cellStyle name="Followed Hyperlink" xfId="17014" builtinId="9" hidden="1"/>
    <cellStyle name="Followed Hyperlink" xfId="15303" builtinId="9" hidden="1"/>
    <cellStyle name="Followed Hyperlink" xfId="16751" builtinId="9" hidden="1"/>
    <cellStyle name="Followed Hyperlink" xfId="16874" builtinId="9" hidden="1"/>
    <cellStyle name="Followed Hyperlink" xfId="15736" builtinId="9" hidden="1"/>
    <cellStyle name="Followed Hyperlink" xfId="16780" builtinId="9" hidden="1"/>
    <cellStyle name="Followed Hyperlink" xfId="16782" builtinId="9" hidden="1"/>
    <cellStyle name="Followed Hyperlink" xfId="16551" builtinId="9" hidden="1"/>
    <cellStyle name="Followed Hyperlink" xfId="16853" builtinId="9" hidden="1"/>
    <cellStyle name="Followed Hyperlink" xfId="15742" builtinId="9" hidden="1"/>
    <cellStyle name="Followed Hyperlink" xfId="17083" builtinId="9" hidden="1"/>
    <cellStyle name="Followed Hyperlink" xfId="17069" builtinId="9" hidden="1"/>
    <cellStyle name="Followed Hyperlink" xfId="16865" builtinId="9" hidden="1"/>
    <cellStyle name="Followed Hyperlink" xfId="15741" builtinId="9" hidden="1"/>
    <cellStyle name="Followed Hyperlink" xfId="16785" builtinId="9" hidden="1"/>
    <cellStyle name="Followed Hyperlink" xfId="16786" builtinId="9" hidden="1"/>
    <cellStyle name="Followed Hyperlink" xfId="16760" builtinId="9" hidden="1"/>
    <cellStyle name="Followed Hyperlink" xfId="16762" builtinId="9" hidden="1"/>
    <cellStyle name="Followed Hyperlink" xfId="16877" builtinId="9" hidden="1"/>
    <cellStyle name="Followed Hyperlink" xfId="16109" builtinId="9" hidden="1"/>
    <cellStyle name="Followed Hyperlink" xfId="17817" builtinId="9" hidden="1"/>
    <cellStyle name="Followed Hyperlink" xfId="16804" builtinId="9" hidden="1"/>
    <cellStyle name="Followed Hyperlink" xfId="17793" builtinId="9" hidden="1"/>
    <cellStyle name="Followed Hyperlink" xfId="15273" builtinId="9" hidden="1"/>
    <cellStyle name="Followed Hyperlink" xfId="17792" builtinId="9" hidden="1"/>
    <cellStyle name="Followed Hyperlink" xfId="16722" builtinId="9" hidden="1"/>
    <cellStyle name="Followed Hyperlink" xfId="17897" builtinId="9" hidden="1"/>
    <cellStyle name="Followed Hyperlink" xfId="17791" builtinId="9" hidden="1"/>
    <cellStyle name="Followed Hyperlink" xfId="17790" builtinId="9" hidden="1"/>
    <cellStyle name="Followed Hyperlink" xfId="16904" builtinId="9" hidden="1"/>
    <cellStyle name="Followed Hyperlink" xfId="17788" builtinId="9" hidden="1"/>
    <cellStyle name="Followed Hyperlink" xfId="17935" builtinId="9" hidden="1"/>
    <cellStyle name="Followed Hyperlink" xfId="15377" builtinId="9" hidden="1"/>
    <cellStyle name="Followed Hyperlink" xfId="17785" builtinId="9" hidden="1"/>
    <cellStyle name="Followed Hyperlink" xfId="18021" builtinId="9" hidden="1"/>
    <cellStyle name="Followed Hyperlink" xfId="18017" builtinId="9" hidden="1"/>
    <cellStyle name="Followed Hyperlink" xfId="17980" builtinId="9" hidden="1"/>
    <cellStyle name="Followed Hyperlink" xfId="17979" builtinId="9" hidden="1"/>
    <cellStyle name="Followed Hyperlink" xfId="17978" builtinId="9" hidden="1"/>
    <cellStyle name="Followed Hyperlink" xfId="17940" builtinId="9" hidden="1"/>
    <cellStyle name="Followed Hyperlink" xfId="18006" builtinId="9" hidden="1"/>
    <cellStyle name="Followed Hyperlink" xfId="17999" builtinId="9" hidden="1"/>
    <cellStyle name="Followed Hyperlink" xfId="17970" builtinId="9" hidden="1"/>
    <cellStyle name="Followed Hyperlink" xfId="17937" builtinId="9" hidden="1"/>
    <cellStyle name="Followed Hyperlink" xfId="17867" builtinId="9" hidden="1"/>
    <cellStyle name="Followed Hyperlink" xfId="18009" builtinId="9" hidden="1"/>
    <cellStyle name="Followed Hyperlink" xfId="18001" builtinId="9" hidden="1"/>
    <cellStyle name="Followed Hyperlink" xfId="17972" builtinId="9" hidden="1"/>
    <cellStyle name="Followed Hyperlink" xfId="17939" builtinId="9" hidden="1"/>
    <cellStyle name="Followed Hyperlink" xfId="17893" builtinId="9" hidden="1"/>
    <cellStyle name="Followed Hyperlink" xfId="17967" builtinId="9" hidden="1"/>
    <cellStyle name="Followed Hyperlink" xfId="17775" builtinId="9" hidden="1"/>
    <cellStyle name="Followed Hyperlink" xfId="17774" builtinId="9" hidden="1"/>
    <cellStyle name="Followed Hyperlink" xfId="17773" builtinId="9" hidden="1"/>
    <cellStyle name="Followed Hyperlink" xfId="17772" builtinId="9" hidden="1"/>
    <cellStyle name="Followed Hyperlink" xfId="17771" builtinId="9" hidden="1"/>
    <cellStyle name="Followed Hyperlink" xfId="17770" builtinId="9" hidden="1"/>
    <cellStyle name="Followed Hyperlink" xfId="17769" builtinId="9" hidden="1"/>
    <cellStyle name="Followed Hyperlink" xfId="17768" builtinId="9" hidden="1"/>
    <cellStyle name="Followed Hyperlink" xfId="15740" builtinId="9" hidden="1"/>
    <cellStyle name="Followed Hyperlink" xfId="17892" builtinId="9" hidden="1"/>
    <cellStyle name="Followed Hyperlink" xfId="17000" builtinId="9" hidden="1"/>
    <cellStyle name="Followed Hyperlink" xfId="17891" builtinId="9" hidden="1"/>
    <cellStyle name="Followed Hyperlink" xfId="17767" builtinId="9" hidden="1"/>
    <cellStyle name="Followed Hyperlink" xfId="16910" builtinId="9" hidden="1"/>
    <cellStyle name="Followed Hyperlink" xfId="17036" builtinId="9" hidden="1"/>
    <cellStyle name="Followed Hyperlink" xfId="17842" builtinId="9" hidden="1"/>
    <cellStyle name="Followed Hyperlink" xfId="17766" builtinId="9" hidden="1"/>
    <cellStyle name="Followed Hyperlink" xfId="15429" builtinId="9" hidden="1"/>
    <cellStyle name="Followed Hyperlink" xfId="17857" builtinId="9" hidden="1"/>
    <cellStyle name="Followed Hyperlink" xfId="17856" builtinId="9" hidden="1"/>
    <cellStyle name="Followed Hyperlink" xfId="17890" builtinId="9" hidden="1"/>
    <cellStyle name="Followed Hyperlink" xfId="17832" builtinId="9" hidden="1"/>
    <cellStyle name="Followed Hyperlink" xfId="16067" builtinId="9" hidden="1"/>
    <cellStyle name="Followed Hyperlink" xfId="17765" builtinId="9" hidden="1"/>
    <cellStyle name="Followed Hyperlink" xfId="17682" builtinId="9" hidden="1"/>
    <cellStyle name="Followed Hyperlink" xfId="17001" builtinId="9" hidden="1"/>
    <cellStyle name="Followed Hyperlink" xfId="17681" builtinId="9" hidden="1"/>
    <cellStyle name="Followed Hyperlink" xfId="17054" builtinId="9" hidden="1"/>
    <cellStyle name="Followed Hyperlink" xfId="16831" builtinId="9" hidden="1"/>
    <cellStyle name="Followed Hyperlink" xfId="17871" builtinId="9" hidden="1"/>
    <cellStyle name="Followed Hyperlink" xfId="17680" builtinId="9" hidden="1"/>
    <cellStyle name="Followed Hyperlink" xfId="17003" builtinId="9" hidden="1"/>
    <cellStyle name="Followed Hyperlink" xfId="17679" builtinId="9" hidden="1"/>
    <cellStyle name="Followed Hyperlink" xfId="17055" builtinId="9" hidden="1"/>
    <cellStyle name="Followed Hyperlink" xfId="16951" builtinId="9" hidden="1"/>
    <cellStyle name="Followed Hyperlink" xfId="17870" builtinId="9" hidden="1"/>
    <cellStyle name="Followed Hyperlink" xfId="17529" builtinId="9" hidden="1"/>
    <cellStyle name="Followed Hyperlink" xfId="17044" builtinId="9" hidden="1"/>
    <cellStyle name="Followed Hyperlink" xfId="16703" builtinId="9" hidden="1"/>
    <cellStyle name="Followed Hyperlink" xfId="17071" builtinId="9" hidden="1"/>
    <cellStyle name="Followed Hyperlink" xfId="16725" builtinId="9" hidden="1"/>
    <cellStyle name="Followed Hyperlink" xfId="18038" builtinId="9" hidden="1"/>
    <cellStyle name="Followed Hyperlink" xfId="17869" builtinId="9" hidden="1"/>
    <cellStyle name="Followed Hyperlink" xfId="17914" builtinId="9" hidden="1"/>
    <cellStyle name="Followed Hyperlink" xfId="17764" builtinId="9" hidden="1"/>
    <cellStyle name="Followed Hyperlink" xfId="17470" builtinId="9" hidden="1"/>
    <cellStyle name="Followed Hyperlink" xfId="17047" builtinId="9" hidden="1"/>
    <cellStyle name="Followed Hyperlink" xfId="17525" builtinId="9" hidden="1"/>
    <cellStyle name="Followed Hyperlink" xfId="17078" builtinId="9" hidden="1"/>
    <cellStyle name="Followed Hyperlink" xfId="16861" builtinId="9" hidden="1"/>
    <cellStyle name="Followed Hyperlink" xfId="17868" builtinId="9" hidden="1"/>
    <cellStyle name="Followed Hyperlink" xfId="17471" builtinId="9" hidden="1"/>
    <cellStyle name="Followed Hyperlink" xfId="15939" builtinId="9" hidden="1"/>
    <cellStyle name="Followed Hyperlink" xfId="17472" builtinId="9" hidden="1"/>
    <cellStyle name="Followed Hyperlink" xfId="17082" builtinId="9" hidden="1"/>
    <cellStyle name="Followed Hyperlink" xfId="17473" builtinId="9" hidden="1"/>
    <cellStyle name="Followed Hyperlink" xfId="16839" builtinId="9" hidden="1"/>
    <cellStyle name="Followed Hyperlink" xfId="15416" builtinId="9" hidden="1"/>
    <cellStyle name="Followed Hyperlink" xfId="17270" builtinId="9" hidden="1"/>
    <cellStyle name="Followed Hyperlink" xfId="17056" builtinId="9" hidden="1"/>
    <cellStyle name="Followed Hyperlink" xfId="18398" builtinId="9" hidden="1"/>
    <cellStyle name="Followed Hyperlink" xfId="18399" builtinId="9" hidden="1"/>
    <cellStyle name="Followed Hyperlink" xfId="18400" builtinId="9" hidden="1"/>
    <cellStyle name="Followed Hyperlink" xfId="18401" builtinId="9" hidden="1"/>
    <cellStyle name="Followed Hyperlink" xfId="18402" builtinId="9" hidden="1"/>
    <cellStyle name="Followed Hyperlink" xfId="18403" builtinId="9" hidden="1"/>
    <cellStyle name="Followed Hyperlink" xfId="18404" builtinId="9" hidden="1"/>
    <cellStyle name="Followed Hyperlink" xfId="18405" builtinId="9" hidden="1"/>
    <cellStyle name="Followed Hyperlink" xfId="18406" builtinId="9" hidden="1"/>
    <cellStyle name="Followed Hyperlink" xfId="18407" builtinId="9" hidden="1"/>
    <cellStyle name="Followed Hyperlink" xfId="18408" builtinId="9" hidden="1"/>
    <cellStyle name="Followed Hyperlink" xfId="18409" builtinId="9" hidden="1"/>
    <cellStyle name="Followed Hyperlink" xfId="18410" builtinId="9" hidden="1"/>
    <cellStyle name="Followed Hyperlink" xfId="18411" builtinId="9" hidden="1"/>
    <cellStyle name="Followed Hyperlink" xfId="18412" builtinId="9" hidden="1"/>
    <cellStyle name="Followed Hyperlink" xfId="18413" builtinId="9" hidden="1"/>
    <cellStyle name="Followed Hyperlink" xfId="18414" builtinId="9" hidden="1"/>
    <cellStyle name="Followed Hyperlink" xfId="18415" builtinId="9" hidden="1"/>
    <cellStyle name="Followed Hyperlink" xfId="18416" builtinId="9" hidden="1"/>
    <cellStyle name="Followed Hyperlink" xfId="18417" builtinId="9" hidden="1"/>
    <cellStyle name="Followed Hyperlink" xfId="18418" builtinId="9" hidden="1"/>
    <cellStyle name="Followed Hyperlink" xfId="18419" builtinId="9" hidden="1"/>
    <cellStyle name="Followed Hyperlink" xfId="18420" builtinId="9" hidden="1"/>
    <cellStyle name="Followed Hyperlink" xfId="18421" builtinId="9" hidden="1"/>
    <cellStyle name="Followed Hyperlink" xfId="18422" builtinId="9" hidden="1"/>
    <cellStyle name="Followed Hyperlink" xfId="18423" builtinId="9" hidden="1"/>
    <cellStyle name="Followed Hyperlink" xfId="18424" builtinId="9" hidden="1"/>
    <cellStyle name="Followed Hyperlink" xfId="18425" builtinId="9" hidden="1"/>
    <cellStyle name="Followed Hyperlink" xfId="18426" builtinId="9" hidden="1"/>
    <cellStyle name="Followed Hyperlink" xfId="18427" builtinId="9" hidden="1"/>
    <cellStyle name="Followed Hyperlink" xfId="18428" builtinId="9" hidden="1"/>
    <cellStyle name="Followed Hyperlink" xfId="18429" builtinId="9" hidden="1"/>
    <cellStyle name="Followed Hyperlink" xfId="18430" builtinId="9" hidden="1"/>
    <cellStyle name="Followed Hyperlink" xfId="18431" builtinId="9" hidden="1"/>
    <cellStyle name="Followed Hyperlink" xfId="18432" builtinId="9" hidden="1"/>
    <cellStyle name="Followed Hyperlink" xfId="18433" builtinId="9" hidden="1"/>
    <cellStyle name="Followed Hyperlink" xfId="18434" builtinId="9" hidden="1"/>
    <cellStyle name="Followed Hyperlink" xfId="18435" builtinId="9" hidden="1"/>
    <cellStyle name="Followed Hyperlink" xfId="18436" builtinId="9" hidden="1"/>
    <cellStyle name="Followed Hyperlink" xfId="18442" builtinId="9" hidden="1"/>
    <cellStyle name="Followed Hyperlink" xfId="18443" builtinId="9" hidden="1"/>
    <cellStyle name="Followed Hyperlink" xfId="18444" builtinId="9" hidden="1"/>
    <cellStyle name="Followed Hyperlink" xfId="18445" builtinId="9" hidden="1"/>
    <cellStyle name="Followed Hyperlink" xfId="18446" builtinId="9" hidden="1"/>
    <cellStyle name="Followed Hyperlink" xfId="18447" builtinId="9" hidden="1"/>
    <cellStyle name="Followed Hyperlink" xfId="18448" builtinId="9" hidden="1"/>
    <cellStyle name="Followed Hyperlink" xfId="18449" builtinId="9" hidden="1"/>
    <cellStyle name="Followed Hyperlink" xfId="18450" builtinId="9" hidden="1"/>
    <cellStyle name="Followed Hyperlink" xfId="18451" builtinId="9" hidden="1"/>
    <cellStyle name="Followed Hyperlink" xfId="18452" builtinId="9" hidden="1"/>
    <cellStyle name="Followed Hyperlink" xfId="18453" builtinId="9" hidden="1"/>
    <cellStyle name="Followed Hyperlink" xfId="18454" builtinId="9" hidden="1"/>
    <cellStyle name="Followed Hyperlink" xfId="18455" builtinId="9" hidden="1"/>
    <cellStyle name="Followed Hyperlink" xfId="18456" builtinId="9" hidden="1"/>
    <cellStyle name="Followed Hyperlink" xfId="18457" builtinId="9" hidden="1"/>
    <cellStyle name="Followed Hyperlink" xfId="18458" builtinId="9" hidden="1"/>
    <cellStyle name="Followed Hyperlink" xfId="18459" builtinId="9" hidden="1"/>
    <cellStyle name="Followed Hyperlink" xfId="18460" builtinId="9" hidden="1"/>
    <cellStyle name="Followed Hyperlink" xfId="18461" builtinId="9" hidden="1"/>
    <cellStyle name="Followed Hyperlink" xfId="18462" builtinId="9" hidden="1"/>
    <cellStyle name="Followed Hyperlink" xfId="18463" builtinId="9" hidden="1"/>
    <cellStyle name="Followed Hyperlink" xfId="18464" builtinId="9" hidden="1"/>
    <cellStyle name="Followed Hyperlink" xfId="18465" builtinId="9" hidden="1"/>
    <cellStyle name="Followed Hyperlink" xfId="18466" builtinId="9" hidden="1"/>
    <cellStyle name="Followed Hyperlink" xfId="18467" builtinId="9" hidden="1"/>
    <cellStyle name="Followed Hyperlink" xfId="18468" builtinId="9" hidden="1"/>
    <cellStyle name="Followed Hyperlink" xfId="18469" builtinId="9" hidden="1"/>
    <cellStyle name="Followed Hyperlink" xfId="18470" builtinId="9" hidden="1"/>
    <cellStyle name="Followed Hyperlink" xfId="18471" builtinId="9" hidden="1"/>
    <cellStyle name="Followed Hyperlink" xfId="18472" builtinId="9" hidden="1"/>
    <cellStyle name="Followed Hyperlink" xfId="18473" builtinId="9" hidden="1"/>
    <cellStyle name="Followed Hyperlink" xfId="18474" builtinId="9" hidden="1"/>
    <cellStyle name="Followed Hyperlink" xfId="18475" builtinId="9" hidden="1"/>
    <cellStyle name="Followed Hyperlink" xfId="18476" builtinId="9" hidden="1"/>
    <cellStyle name="Followed Hyperlink" xfId="18477" builtinId="9" hidden="1"/>
    <cellStyle name="Followed Hyperlink" xfId="18478" builtinId="9" hidden="1"/>
    <cellStyle name="Followed Hyperlink" xfId="18479" builtinId="9" hidden="1"/>
    <cellStyle name="Followed Hyperlink" xfId="18480" builtinId="9" hidden="1"/>
    <cellStyle name="Followed Hyperlink" xfId="18481" builtinId="9" hidden="1"/>
    <cellStyle name="Followed Hyperlink" xfId="18482" builtinId="9" hidden="1"/>
    <cellStyle name="Followed Hyperlink" xfId="18483" builtinId="9" hidden="1"/>
    <cellStyle name="Followed Hyperlink" xfId="18484" builtinId="9" hidden="1"/>
    <cellStyle name="Followed Hyperlink" xfId="18485" builtinId="9" hidden="1"/>
    <cellStyle name="Followed Hyperlink" xfId="18486" builtinId="9" hidden="1"/>
    <cellStyle name="Followed Hyperlink" xfId="18487" builtinId="9" hidden="1"/>
    <cellStyle name="Followed Hyperlink" xfId="18488" builtinId="9" hidden="1"/>
    <cellStyle name="Followed Hyperlink" xfId="18489" builtinId="9" hidden="1"/>
    <cellStyle name="Followed Hyperlink" xfId="18490" builtinId="9" hidden="1"/>
    <cellStyle name="Followed Hyperlink" xfId="18491" builtinId="9" hidden="1"/>
    <cellStyle name="Followed Hyperlink" xfId="18498" builtinId="9" hidden="1"/>
    <cellStyle name="Followed Hyperlink" xfId="18499" builtinId="9" hidden="1"/>
    <cellStyle name="Followed Hyperlink" xfId="18500" builtinId="9" hidden="1"/>
    <cellStyle name="Followed Hyperlink" xfId="18501" builtinId="9" hidden="1"/>
    <cellStyle name="Followed Hyperlink" xfId="18502" builtinId="9" hidden="1"/>
    <cellStyle name="Followed Hyperlink" xfId="18503" builtinId="9" hidden="1"/>
    <cellStyle name="Followed Hyperlink" xfId="18504" builtinId="9" hidden="1"/>
    <cellStyle name="Followed Hyperlink" xfId="18505" builtinId="9" hidden="1"/>
    <cellStyle name="Followed Hyperlink" xfId="18506" builtinId="9" hidden="1"/>
    <cellStyle name="Followed Hyperlink" xfId="18507" builtinId="9" hidden="1"/>
    <cellStyle name="Followed Hyperlink" xfId="18508" builtinId="9" hidden="1"/>
    <cellStyle name="Followed Hyperlink" xfId="18509" builtinId="9" hidden="1"/>
    <cellStyle name="Followed Hyperlink" xfId="18510" builtinId="9" hidden="1"/>
    <cellStyle name="Followed Hyperlink" xfId="18511" builtinId="9" hidden="1"/>
    <cellStyle name="Followed Hyperlink" xfId="18512" builtinId="9" hidden="1"/>
    <cellStyle name="Followed Hyperlink" xfId="18513" builtinId="9" hidden="1"/>
    <cellStyle name="Followed Hyperlink" xfId="18514" builtinId="9" hidden="1"/>
    <cellStyle name="Followed Hyperlink" xfId="18515" builtinId="9" hidden="1"/>
    <cellStyle name="Followed Hyperlink" xfId="18516" builtinId="9" hidden="1"/>
    <cellStyle name="Followed Hyperlink" xfId="18517" builtinId="9" hidden="1"/>
    <cellStyle name="Followed Hyperlink" xfId="18518" builtinId="9" hidden="1"/>
    <cellStyle name="Followed Hyperlink" xfId="18519" builtinId="9" hidden="1"/>
    <cellStyle name="Followed Hyperlink" xfId="18520" builtinId="9" hidden="1"/>
    <cellStyle name="Followed Hyperlink" xfId="18521" builtinId="9" hidden="1"/>
    <cellStyle name="Followed Hyperlink" xfId="18522" builtinId="9" hidden="1"/>
    <cellStyle name="Followed Hyperlink" xfId="18523" builtinId="9" hidden="1"/>
    <cellStyle name="Followed Hyperlink" xfId="18524" builtinId="9" hidden="1"/>
    <cellStyle name="Followed Hyperlink" xfId="18525" builtinId="9" hidden="1"/>
    <cellStyle name="Followed Hyperlink" xfId="18526" builtinId="9" hidden="1"/>
    <cellStyle name="Followed Hyperlink" xfId="18527" builtinId="9" hidden="1"/>
    <cellStyle name="Followed Hyperlink" xfId="18528" builtinId="9" hidden="1"/>
    <cellStyle name="Followed Hyperlink" xfId="18529" builtinId="9" hidden="1"/>
    <cellStyle name="Followed Hyperlink" xfId="18530" builtinId="9" hidden="1"/>
    <cellStyle name="Followed Hyperlink" xfId="18531" builtinId="9" hidden="1"/>
    <cellStyle name="Followed Hyperlink" xfId="18532" builtinId="9" hidden="1"/>
    <cellStyle name="Followed Hyperlink" xfId="18533" builtinId="9" hidden="1"/>
    <cellStyle name="Followed Hyperlink" xfId="18534" builtinId="9" hidden="1"/>
    <cellStyle name="Followed Hyperlink" xfId="18535" builtinId="9" hidden="1"/>
    <cellStyle name="Followed Hyperlink" xfId="18536" builtinId="9" hidden="1"/>
    <cellStyle name="Followed Hyperlink" xfId="18537" builtinId="9" hidden="1"/>
    <cellStyle name="Followed Hyperlink" xfId="18538" builtinId="9" hidden="1"/>
    <cellStyle name="Followed Hyperlink" xfId="18539" builtinId="9" hidden="1"/>
    <cellStyle name="Followed Hyperlink" xfId="18540" builtinId="9" hidden="1"/>
    <cellStyle name="Followed Hyperlink" xfId="18541" builtinId="9" hidden="1"/>
    <cellStyle name="Followed Hyperlink" xfId="18542" builtinId="9" hidden="1"/>
    <cellStyle name="Followed Hyperlink" xfId="18543" builtinId="9" hidden="1"/>
    <cellStyle name="Followed Hyperlink" xfId="18544" builtinId="9" hidden="1"/>
    <cellStyle name="Followed Hyperlink" xfId="18545" builtinId="9" hidden="1"/>
    <cellStyle name="Followed Hyperlink" xfId="18546" builtinId="9" hidden="1"/>
    <cellStyle name="Followed Hyperlink" xfId="18547" builtinId="9" hidden="1"/>
    <cellStyle name="Followed Hyperlink" xfId="18548" builtinId="9" hidden="1"/>
    <cellStyle name="Followed Hyperlink" xfId="18549" builtinId="9" hidden="1"/>
    <cellStyle name="Followed Hyperlink" xfId="18550" builtinId="9" hidden="1"/>
    <cellStyle name="Followed Hyperlink" xfId="18551" builtinId="9" hidden="1"/>
    <cellStyle name="Followed Hyperlink" xfId="18552" builtinId="9" hidden="1"/>
    <cellStyle name="Followed Hyperlink" xfId="18553" builtinId="9" hidden="1"/>
    <cellStyle name="Followed Hyperlink" xfId="18554" builtinId="9" hidden="1"/>
    <cellStyle name="Followed Hyperlink" xfId="18555" builtinId="9" hidden="1"/>
    <cellStyle name="Followed Hyperlink" xfId="18556" builtinId="9" hidden="1"/>
    <cellStyle name="Followed Hyperlink" xfId="18557" builtinId="9" hidden="1"/>
    <cellStyle name="Followed Hyperlink" xfId="18558" builtinId="9" hidden="1"/>
    <cellStyle name="Followed Hyperlink" xfId="18559" builtinId="9" hidden="1"/>
    <cellStyle name="Followed Hyperlink" xfId="18560" builtinId="9" hidden="1"/>
    <cellStyle name="Followed Hyperlink" xfId="18561" builtinId="9" hidden="1"/>
    <cellStyle name="Followed Hyperlink" xfId="18562" builtinId="9" hidden="1"/>
    <cellStyle name="Followed Hyperlink" xfId="18563" builtinId="9" hidden="1"/>
    <cellStyle name="Followed Hyperlink" xfId="18564" builtinId="9" hidden="1"/>
    <cellStyle name="Followed Hyperlink" xfId="18565" builtinId="9" hidden="1"/>
    <cellStyle name="Followed Hyperlink" xfId="18566" builtinId="9" hidden="1"/>
    <cellStyle name="Followed Hyperlink" xfId="18567" builtinId="9" hidden="1"/>
    <cellStyle name="Followed Hyperlink" xfId="18568" builtinId="9" hidden="1"/>
    <cellStyle name="Followed Hyperlink" xfId="18569" builtinId="9" hidden="1"/>
    <cellStyle name="Followed Hyperlink" xfId="18570" builtinId="9" hidden="1"/>
    <cellStyle name="Followed Hyperlink" xfId="18571" builtinId="9" hidden="1"/>
    <cellStyle name="Followed Hyperlink" xfId="18572" builtinId="9" hidden="1"/>
    <cellStyle name="Followed Hyperlink" xfId="18573" builtinId="9" hidden="1"/>
    <cellStyle name="Followed Hyperlink" xfId="18574" builtinId="9" hidden="1"/>
    <cellStyle name="Followed Hyperlink" xfId="18575" builtinId="9" hidden="1"/>
    <cellStyle name="Followed Hyperlink" xfId="18576" builtinId="9" hidden="1"/>
    <cellStyle name="Followed Hyperlink" xfId="18577" builtinId="9" hidden="1"/>
    <cellStyle name="Followed Hyperlink" xfId="18578" builtinId="9" hidden="1"/>
    <cellStyle name="Followed Hyperlink" xfId="18579" builtinId="9" hidden="1"/>
    <cellStyle name="Followed Hyperlink" xfId="18580" builtinId="9" hidden="1"/>
    <cellStyle name="Followed Hyperlink" xfId="18581" builtinId="9" hidden="1"/>
    <cellStyle name="Followed Hyperlink" xfId="18582" builtinId="9" hidden="1"/>
    <cellStyle name="Followed Hyperlink" xfId="18583" builtinId="9" hidden="1"/>
    <cellStyle name="Followed Hyperlink" xfId="18584" builtinId="9" hidden="1"/>
    <cellStyle name="Followed Hyperlink" xfId="18585" builtinId="9" hidden="1"/>
    <cellStyle name="Followed Hyperlink" xfId="18586" builtinId="9" hidden="1"/>
    <cellStyle name="Followed Hyperlink" xfId="18587" builtinId="9" hidden="1"/>
    <cellStyle name="Followed Hyperlink" xfId="18588" builtinId="9" hidden="1"/>
    <cellStyle name="Followed Hyperlink" xfId="18589" builtinId="9" hidden="1"/>
    <cellStyle name="Followed Hyperlink" xfId="18590" builtinId="9" hidden="1"/>
    <cellStyle name="Followed Hyperlink" xfId="18591" builtinId="9" hidden="1"/>
    <cellStyle name="Followed Hyperlink" xfId="18592" builtinId="9" hidden="1"/>
    <cellStyle name="Followed Hyperlink" xfId="18593" builtinId="9" hidden="1"/>
    <cellStyle name="Followed Hyperlink" xfId="18594" builtinId="9" hidden="1"/>
    <cellStyle name="Followed Hyperlink" xfId="18595" builtinId="9" hidden="1"/>
    <cellStyle name="Followed Hyperlink" xfId="18596" builtinId="9" hidden="1"/>
    <cellStyle name="Followed Hyperlink" xfId="18597" builtinId="9" hidden="1"/>
    <cellStyle name="Followed Hyperlink" xfId="18598" builtinId="9" hidden="1"/>
    <cellStyle name="Followed Hyperlink" xfId="18599" builtinId="9" hidden="1"/>
    <cellStyle name="Followed Hyperlink" xfId="18600" builtinId="9" hidden="1"/>
    <cellStyle name="Followed Hyperlink" xfId="18601" builtinId="9" hidden="1"/>
    <cellStyle name="Followed Hyperlink" xfId="18602" builtinId="9" hidden="1"/>
    <cellStyle name="Followed Hyperlink" xfId="18603" builtinId="9" hidden="1"/>
    <cellStyle name="Followed Hyperlink" xfId="18604" builtinId="9" hidden="1"/>
    <cellStyle name="Followed Hyperlink" xfId="18605" builtinId="9" hidden="1"/>
    <cellStyle name="Followed Hyperlink" xfId="18606" builtinId="9" hidden="1"/>
    <cellStyle name="Followed Hyperlink" xfId="18607" builtinId="9" hidden="1"/>
    <cellStyle name="Followed Hyperlink" xfId="18608" builtinId="9" hidden="1"/>
    <cellStyle name="Followed Hyperlink" xfId="18609" builtinId="9" hidden="1"/>
    <cellStyle name="Followed Hyperlink" xfId="18610" builtinId="9" hidden="1"/>
    <cellStyle name="Followed Hyperlink" xfId="18611" builtinId="9" hidden="1"/>
    <cellStyle name="Followed Hyperlink" xfId="18612" builtinId="9" hidden="1"/>
    <cellStyle name="Followed Hyperlink" xfId="18613" builtinId="9" hidden="1"/>
    <cellStyle name="Followed Hyperlink" xfId="18614" builtinId="9" hidden="1"/>
    <cellStyle name="Followed Hyperlink" xfId="18615" builtinId="9" hidden="1"/>
    <cellStyle name="Followed Hyperlink" xfId="18616" builtinId="9" hidden="1"/>
    <cellStyle name="Followed Hyperlink" xfId="18617" builtinId="9" hidden="1"/>
    <cellStyle name="Followed Hyperlink" xfId="18618" builtinId="9" hidden="1"/>
    <cellStyle name="Followed Hyperlink" xfId="18619" builtinId="9" hidden="1"/>
    <cellStyle name="Followed Hyperlink" xfId="18620" builtinId="9" hidden="1"/>
    <cellStyle name="Followed Hyperlink" xfId="18621" builtinId="9" hidden="1"/>
    <cellStyle name="Followed Hyperlink" xfId="18622" builtinId="9" hidden="1"/>
    <cellStyle name="Followed Hyperlink" xfId="18623" builtinId="9" hidden="1"/>
    <cellStyle name="Followed Hyperlink" xfId="18624" builtinId="9" hidden="1"/>
    <cellStyle name="Followed Hyperlink" xfId="18625" builtinId="9" hidden="1"/>
    <cellStyle name="Followed Hyperlink" xfId="18626" builtinId="9" hidden="1"/>
    <cellStyle name="Followed Hyperlink" xfId="18627" builtinId="9" hidden="1"/>
    <cellStyle name="Followed Hyperlink" xfId="18628" builtinId="9" hidden="1"/>
    <cellStyle name="Followed Hyperlink" xfId="18629" builtinId="9" hidden="1"/>
    <cellStyle name="Followed Hyperlink" xfId="18630" builtinId="9" hidden="1"/>
    <cellStyle name="Followed Hyperlink" xfId="18631" builtinId="9" hidden="1"/>
    <cellStyle name="Followed Hyperlink" xfId="18632" builtinId="9" hidden="1"/>
    <cellStyle name="Followed Hyperlink" xfId="18633" builtinId="9" hidden="1"/>
    <cellStyle name="Followed Hyperlink" xfId="18634" builtinId="9" hidden="1"/>
    <cellStyle name="Followed Hyperlink" xfId="18635" builtinId="9" hidden="1"/>
    <cellStyle name="Followed Hyperlink" xfId="18636" builtinId="9" hidden="1"/>
    <cellStyle name="Followed Hyperlink" xfId="18637" builtinId="9" hidden="1"/>
    <cellStyle name="Followed Hyperlink" xfId="18638" builtinId="9" hidden="1"/>
    <cellStyle name="Followed Hyperlink" xfId="18639" builtinId="9" hidden="1"/>
    <cellStyle name="Followed Hyperlink" xfId="18640" builtinId="9" hidden="1"/>
    <cellStyle name="Followed Hyperlink" xfId="18641" builtinId="9" hidden="1"/>
    <cellStyle name="Followed Hyperlink" xfId="18642" builtinId="9" hidden="1"/>
    <cellStyle name="Followed Hyperlink" xfId="18643" builtinId="9" hidden="1"/>
    <cellStyle name="Followed Hyperlink" xfId="18644" builtinId="9" hidden="1"/>
    <cellStyle name="Followed Hyperlink" xfId="18645" builtinId="9" hidden="1"/>
    <cellStyle name="Followed Hyperlink" xfId="17689" builtinId="9" hidden="1"/>
    <cellStyle name="Followed Hyperlink" xfId="18968" builtinId="9" hidden="1"/>
    <cellStyle name="Followed Hyperlink" xfId="18932" builtinId="9" hidden="1"/>
    <cellStyle name="Followed Hyperlink" xfId="18822" builtinId="9" hidden="1"/>
    <cellStyle name="Followed Hyperlink" xfId="18803" builtinId="9" hidden="1"/>
    <cellStyle name="Followed Hyperlink" xfId="18806" builtinId="9" hidden="1"/>
    <cellStyle name="Followed Hyperlink" xfId="18881" builtinId="9" hidden="1"/>
    <cellStyle name="Followed Hyperlink" xfId="18727" builtinId="9" hidden="1"/>
    <cellStyle name="Followed Hyperlink" xfId="17873" builtinId="9" hidden="1"/>
    <cellStyle name="Followed Hyperlink" xfId="18794" builtinId="9" hidden="1"/>
    <cellStyle name="Followed Hyperlink" xfId="18699" builtinId="9" hidden="1"/>
    <cellStyle name="Followed Hyperlink" xfId="18873" builtinId="9" hidden="1"/>
    <cellStyle name="Followed Hyperlink" xfId="18698" builtinId="9" hidden="1"/>
    <cellStyle name="Followed Hyperlink" xfId="17683" builtinId="9" hidden="1"/>
    <cellStyle name="Followed Hyperlink" xfId="19001" builtinId="9" hidden="1"/>
    <cellStyle name="Followed Hyperlink" xfId="18870" builtinId="9" hidden="1"/>
    <cellStyle name="Followed Hyperlink" xfId="18774" builtinId="9" hidden="1"/>
    <cellStyle name="Followed Hyperlink" xfId="18696" builtinId="9" hidden="1"/>
    <cellStyle name="Followed Hyperlink" xfId="18697" builtinId="9" hidden="1"/>
    <cellStyle name="Followed Hyperlink" xfId="19353" builtinId="9" hidden="1"/>
    <cellStyle name="Followed Hyperlink" xfId="19007" builtinId="9" hidden="1"/>
    <cellStyle name="Followed Hyperlink" xfId="19019" builtinId="9" hidden="1"/>
    <cellStyle name="Followed Hyperlink" xfId="18919" builtinId="9" hidden="1"/>
    <cellStyle name="Followed Hyperlink" xfId="18918" builtinId="9" hidden="1"/>
    <cellStyle name="Followed Hyperlink" xfId="18917" builtinId="9" hidden="1"/>
    <cellStyle name="Followed Hyperlink" xfId="18916" builtinId="9" hidden="1"/>
    <cellStyle name="Followed Hyperlink" xfId="18723" builtinId="9" hidden="1"/>
    <cellStyle name="Followed Hyperlink" xfId="15997" builtinId="9" hidden="1"/>
    <cellStyle name="Followed Hyperlink" xfId="18694" builtinId="9" hidden="1"/>
    <cellStyle name="Followed Hyperlink" xfId="18984" builtinId="9" hidden="1"/>
    <cellStyle name="Followed Hyperlink" xfId="18692" builtinId="9" hidden="1"/>
    <cellStyle name="Followed Hyperlink" xfId="18693" builtinId="9" hidden="1"/>
    <cellStyle name="Followed Hyperlink" xfId="17876" builtinId="9" hidden="1"/>
    <cellStyle name="Followed Hyperlink" xfId="18882" builtinId="9" hidden="1"/>
    <cellStyle name="Followed Hyperlink" xfId="18718" builtinId="9" hidden="1"/>
    <cellStyle name="Followed Hyperlink" xfId="18719" builtinId="9" hidden="1"/>
    <cellStyle name="Followed Hyperlink" xfId="16307" builtinId="9" hidden="1"/>
    <cellStyle name="Followed Hyperlink" xfId="18915" builtinId="9" hidden="1"/>
    <cellStyle name="Followed Hyperlink" xfId="16805" builtinId="9" hidden="1"/>
    <cellStyle name="Followed Hyperlink" xfId="18972" builtinId="9" hidden="1"/>
    <cellStyle name="Followed Hyperlink" xfId="18947" builtinId="9" hidden="1"/>
    <cellStyle name="Followed Hyperlink" xfId="18914" builtinId="9" hidden="1"/>
    <cellStyle name="Followed Hyperlink" xfId="18957" builtinId="9" hidden="1"/>
    <cellStyle name="Followed Hyperlink" xfId="18896" builtinId="9" hidden="1"/>
    <cellStyle name="Followed Hyperlink" xfId="18959" builtinId="9" hidden="1"/>
    <cellStyle name="Followed Hyperlink" xfId="18913" builtinId="9" hidden="1"/>
    <cellStyle name="Followed Hyperlink" xfId="18912" builtinId="9" hidden="1"/>
    <cellStyle name="Followed Hyperlink" xfId="18911" builtinId="9" hidden="1"/>
    <cellStyle name="Followed Hyperlink" xfId="17907" builtinId="9" hidden="1"/>
    <cellStyle name="Followed Hyperlink" xfId="18894" builtinId="9" hidden="1"/>
    <cellStyle name="Followed Hyperlink" xfId="15881" builtinId="9" hidden="1"/>
    <cellStyle name="Followed Hyperlink" xfId="17906" builtinId="9" hidden="1"/>
    <cellStyle name="Followed Hyperlink" xfId="18970" builtinId="9" hidden="1"/>
    <cellStyle name="Followed Hyperlink" xfId="18934" builtinId="9" hidden="1"/>
    <cellStyle name="Followed Hyperlink" xfId="18823" builtinId="9" hidden="1"/>
    <cellStyle name="Followed Hyperlink" xfId="18785" builtinId="9" hidden="1"/>
    <cellStyle name="Followed Hyperlink" xfId="18764" builtinId="9" hidden="1"/>
    <cellStyle name="Followed Hyperlink" xfId="18717" builtinId="9" hidden="1"/>
    <cellStyle name="Followed Hyperlink" xfId="17684" builtinId="9" hidden="1"/>
    <cellStyle name="Followed Hyperlink" xfId="18878" builtinId="9" hidden="1"/>
    <cellStyle name="Followed Hyperlink" xfId="18773" builtinId="9" hidden="1"/>
    <cellStyle name="Followed Hyperlink" xfId="18688" builtinId="9" hidden="1"/>
    <cellStyle name="Followed Hyperlink" xfId="18687" builtinId="9" hidden="1"/>
    <cellStyle name="Followed Hyperlink" xfId="18686" builtinId="9" hidden="1"/>
    <cellStyle name="Followed Hyperlink" xfId="18685" builtinId="9" hidden="1"/>
    <cellStyle name="Followed Hyperlink" xfId="17053" builtinId="9" hidden="1"/>
    <cellStyle name="Followed Hyperlink" xfId="18994" builtinId="9" hidden="1"/>
    <cellStyle name="Followed Hyperlink" xfId="16763" builtinId="9" hidden="1"/>
    <cellStyle name="Followed Hyperlink" xfId="18808" builtinId="9" hidden="1"/>
    <cellStyle name="Followed Hyperlink" xfId="18798" builtinId="9" hidden="1"/>
    <cellStyle name="Followed Hyperlink" xfId="18715" builtinId="9" hidden="1"/>
    <cellStyle name="Followed Hyperlink" xfId="15733" builtinId="9" hidden="1"/>
    <cellStyle name="Followed Hyperlink" xfId="18888" builtinId="9" hidden="1"/>
    <cellStyle name="Followed Hyperlink" xfId="18799" builtinId="9" hidden="1"/>
    <cellStyle name="Followed Hyperlink" xfId="18714" builtinId="9" hidden="1"/>
    <cellStyle name="Followed Hyperlink" xfId="17855" builtinId="9" hidden="1"/>
    <cellStyle name="Followed Hyperlink" xfId="18682" builtinId="9" hidden="1"/>
    <cellStyle name="Followed Hyperlink" xfId="18681" builtinId="9" hidden="1"/>
    <cellStyle name="Followed Hyperlink" xfId="16932" builtinId="9" hidden="1"/>
    <cellStyle name="Followed Hyperlink" xfId="18680" builtinId="9" hidden="1"/>
    <cellStyle name="Followed Hyperlink" xfId="17693" builtinId="9" hidden="1"/>
    <cellStyle name="Followed Hyperlink" xfId="18945" builtinId="9" hidden="1"/>
    <cellStyle name="Followed Hyperlink" xfId="18909" builtinId="9" hidden="1"/>
    <cellStyle name="Followed Hyperlink" xfId="18675" builtinId="9" hidden="1"/>
    <cellStyle name="Followed Hyperlink" xfId="18679" builtinId="9" hidden="1"/>
    <cellStyle name="Followed Hyperlink" xfId="18711" builtinId="9" hidden="1"/>
    <cellStyle name="Followed Hyperlink" xfId="17075" builtinId="9" hidden="1"/>
    <cellStyle name="Followed Hyperlink" xfId="18977" builtinId="9" hidden="1"/>
    <cellStyle name="Followed Hyperlink" xfId="18676" builtinId="9" hidden="1"/>
    <cellStyle name="Followed Hyperlink" xfId="18677" builtinId="9" hidden="1"/>
    <cellStyle name="Followed Hyperlink" xfId="16963" builtinId="9" hidden="1"/>
    <cellStyle name="Followed Hyperlink" xfId="18999" builtinId="9" hidden="1"/>
    <cellStyle name="Followed Hyperlink" xfId="18943" builtinId="9" hidden="1"/>
    <cellStyle name="Followed Hyperlink" xfId="19352" builtinId="9" hidden="1"/>
    <cellStyle name="Followed Hyperlink" xfId="19012" builtinId="9" hidden="1"/>
    <cellStyle name="Followed Hyperlink" xfId="19009" builtinId="9" hidden="1"/>
    <cellStyle name="Followed Hyperlink" xfId="18996" builtinId="9" hidden="1"/>
    <cellStyle name="Followed Hyperlink" xfId="15059" builtinId="9" hidden="1"/>
    <cellStyle name="Followed Hyperlink" xfId="18906" builtinId="9" hidden="1"/>
    <cellStyle name="Followed Hyperlink" xfId="18905" builtinId="9" hidden="1"/>
    <cellStyle name="Followed Hyperlink" xfId="18904" builtinId="9" hidden="1"/>
    <cellStyle name="Followed Hyperlink" xfId="18903" builtinId="9" hidden="1"/>
    <cellStyle name="Followed Hyperlink" xfId="18708" builtinId="9" hidden="1"/>
    <cellStyle name="Followed Hyperlink" xfId="15938" builtinId="9" hidden="1"/>
    <cellStyle name="Followed Hyperlink" xfId="18673" builtinId="9" hidden="1"/>
    <cellStyle name="Followed Hyperlink" xfId="18706" builtinId="9" hidden="1"/>
    <cellStyle name="Followed Hyperlink" xfId="17878" builtinId="9" hidden="1"/>
    <cellStyle name="Followed Hyperlink" xfId="18998" builtinId="9" hidden="1"/>
    <cellStyle name="Followed Hyperlink" xfId="18942" builtinId="9" hidden="1"/>
    <cellStyle name="Followed Hyperlink" xfId="18940" builtinId="9" hidden="1"/>
    <cellStyle name="Followed Hyperlink" xfId="18993" builtinId="9" hidden="1"/>
    <cellStyle name="Followed Hyperlink" xfId="18991" builtinId="9" hidden="1"/>
    <cellStyle name="Followed Hyperlink" xfId="18986" builtinId="9" hidden="1"/>
    <cellStyle name="Followed Hyperlink" xfId="18971" builtinId="9" hidden="1"/>
    <cellStyle name="Followed Hyperlink" xfId="19018" builtinId="9" hidden="1"/>
    <cellStyle name="Followed Hyperlink" xfId="15926" builtinId="9" hidden="1"/>
    <cellStyle name="Followed Hyperlink" xfId="18668" builtinId="9" hidden="1"/>
    <cellStyle name="Followed Hyperlink" xfId="18669" builtinId="9" hidden="1"/>
    <cellStyle name="Followed Hyperlink" xfId="17780" builtinId="9" hidden="1"/>
    <cellStyle name="Followed Hyperlink" xfId="18394" builtinId="9" hidden="1"/>
    <cellStyle name="Followed Hyperlink" xfId="18938" builtinId="9" hidden="1"/>
    <cellStyle name="Followed Hyperlink" xfId="18954" builtinId="9" hidden="1"/>
    <cellStyle name="Followed Hyperlink" xfId="18825" builtinId="9" hidden="1"/>
    <cellStyle name="Followed Hyperlink" xfId="18955" builtinId="9" hidden="1"/>
    <cellStyle name="Followed Hyperlink" xfId="18892" builtinId="9" hidden="1"/>
    <cellStyle name="Followed Hyperlink" xfId="18815" builtinId="9" hidden="1"/>
    <cellStyle name="Followed Hyperlink" xfId="18775" builtinId="9" hidden="1"/>
    <cellStyle name="Followed Hyperlink" xfId="18782" builtinId="9" hidden="1"/>
    <cellStyle name="Followed Hyperlink" xfId="18969" builtinId="9" hidden="1"/>
    <cellStyle name="Followed Hyperlink" xfId="18933" builtinId="9" hidden="1"/>
    <cellStyle name="Followed Hyperlink" xfId="18821" builtinId="9" hidden="1"/>
    <cellStyle name="Followed Hyperlink" xfId="18802" builtinId="9" hidden="1"/>
    <cellStyle name="Followed Hyperlink" xfId="18967" builtinId="9" hidden="1"/>
    <cellStyle name="Followed Hyperlink" xfId="18931" builtinId="9" hidden="1"/>
    <cellStyle name="Followed Hyperlink" xfId="18879" builtinId="9" hidden="1"/>
    <cellStyle name="Followed Hyperlink" xfId="18810" builtinId="9" hidden="1"/>
    <cellStyle name="Followed Hyperlink" xfId="18701" builtinId="9" hidden="1"/>
    <cellStyle name="Followed Hyperlink" xfId="18796" builtinId="9" hidden="1"/>
    <cellStyle name="Followed Hyperlink" xfId="18871" builtinId="9" hidden="1"/>
    <cellStyle name="Followed Hyperlink" xfId="18667" builtinId="9" hidden="1"/>
    <cellStyle name="Followed Hyperlink" xfId="18763" builtinId="9" hidden="1"/>
    <cellStyle name="Followed Hyperlink" xfId="18861" builtinId="9" hidden="1"/>
    <cellStyle name="Followed Hyperlink" xfId="17879" builtinId="9" hidden="1"/>
    <cellStyle name="Followed Hyperlink" xfId="18860" builtinId="9" hidden="1"/>
    <cellStyle name="Followed Hyperlink" xfId="18805" builtinId="9" hidden="1"/>
    <cellStyle name="Followed Hyperlink" xfId="15914" builtinId="9" hidden="1"/>
    <cellStyle name="Followed Hyperlink" xfId="18820" builtinId="9" hidden="1"/>
    <cellStyle name="Followed Hyperlink" xfId="18759" builtinId="9" hidden="1"/>
    <cellStyle name="Followed Hyperlink" xfId="17688" builtinId="9" hidden="1"/>
    <cellStyle name="Followed Hyperlink" xfId="17803" builtinId="9" hidden="1"/>
    <cellStyle name="Followed Hyperlink" xfId="19349" builtinId="9" hidden="1"/>
    <cellStyle name="Followed Hyperlink" xfId="19347" builtinId="9" hidden="1"/>
    <cellStyle name="Followed Hyperlink" xfId="19345" builtinId="9" hidden="1"/>
    <cellStyle name="Followed Hyperlink" xfId="19343" builtinId="9" hidden="1"/>
    <cellStyle name="Followed Hyperlink" xfId="19341" builtinId="9" hidden="1"/>
    <cellStyle name="Followed Hyperlink" xfId="19339" builtinId="9" hidden="1"/>
    <cellStyle name="Followed Hyperlink" xfId="19337" builtinId="9" hidden="1"/>
    <cellStyle name="Followed Hyperlink" xfId="19335" builtinId="9" hidden="1"/>
    <cellStyle name="Followed Hyperlink" xfId="19333" builtinId="9" hidden="1"/>
    <cellStyle name="Followed Hyperlink" xfId="19331" builtinId="9" hidden="1"/>
    <cellStyle name="Followed Hyperlink" xfId="19329" builtinId="9" hidden="1"/>
    <cellStyle name="Followed Hyperlink" xfId="19327" builtinId="9" hidden="1"/>
    <cellStyle name="Followed Hyperlink" xfId="19325" builtinId="9" hidden="1"/>
    <cellStyle name="Followed Hyperlink" xfId="19323" builtinId="9" hidden="1"/>
    <cellStyle name="Followed Hyperlink" xfId="19321" builtinId="9" hidden="1"/>
    <cellStyle name="Followed Hyperlink" xfId="19319" builtinId="9" hidden="1"/>
    <cellStyle name="Followed Hyperlink" xfId="19317" builtinId="9" hidden="1"/>
    <cellStyle name="Followed Hyperlink" xfId="19315" builtinId="9" hidden="1"/>
    <cellStyle name="Followed Hyperlink" xfId="19313" builtinId="9" hidden="1"/>
    <cellStyle name="Followed Hyperlink" xfId="19311" builtinId="9" hidden="1"/>
    <cellStyle name="Followed Hyperlink" xfId="19309" builtinId="9" hidden="1"/>
    <cellStyle name="Followed Hyperlink" xfId="19307" builtinId="9" hidden="1"/>
    <cellStyle name="Followed Hyperlink" xfId="19305" builtinId="9" hidden="1"/>
    <cellStyle name="Followed Hyperlink" xfId="19303" builtinId="9" hidden="1"/>
    <cellStyle name="Followed Hyperlink" xfId="19301" builtinId="9" hidden="1"/>
    <cellStyle name="Followed Hyperlink" xfId="19299" builtinId="9" hidden="1"/>
    <cellStyle name="Followed Hyperlink" xfId="19297" builtinId="9" hidden="1"/>
    <cellStyle name="Followed Hyperlink" xfId="19295" builtinId="9" hidden="1"/>
    <cellStyle name="Followed Hyperlink" xfId="19293" builtinId="9" hidden="1"/>
    <cellStyle name="Followed Hyperlink" xfId="19291" builtinId="9" hidden="1"/>
    <cellStyle name="Followed Hyperlink" xfId="19289" builtinId="9" hidden="1"/>
    <cellStyle name="Followed Hyperlink" xfId="19287" builtinId="9" hidden="1"/>
    <cellStyle name="Followed Hyperlink" xfId="19285" builtinId="9" hidden="1"/>
    <cellStyle name="Followed Hyperlink" xfId="19283" builtinId="9" hidden="1"/>
    <cellStyle name="Followed Hyperlink" xfId="19281" builtinId="9" hidden="1"/>
    <cellStyle name="Followed Hyperlink" xfId="19279" builtinId="9" hidden="1"/>
    <cellStyle name="Followed Hyperlink" xfId="19277" builtinId="9" hidden="1"/>
    <cellStyle name="Followed Hyperlink" xfId="19275" builtinId="9" hidden="1"/>
    <cellStyle name="Followed Hyperlink" xfId="19273" builtinId="9" hidden="1"/>
    <cellStyle name="Followed Hyperlink" xfId="19271" builtinId="9" hidden="1"/>
    <cellStyle name="Followed Hyperlink" xfId="19269" builtinId="9" hidden="1"/>
    <cellStyle name="Followed Hyperlink" xfId="19267" builtinId="9" hidden="1"/>
    <cellStyle name="Followed Hyperlink" xfId="19265" builtinId="9" hidden="1"/>
    <cellStyle name="Followed Hyperlink" xfId="19263" builtinId="9" hidden="1"/>
    <cellStyle name="Followed Hyperlink" xfId="19261" builtinId="9" hidden="1"/>
    <cellStyle name="Followed Hyperlink" xfId="19259" builtinId="9" hidden="1"/>
    <cellStyle name="Followed Hyperlink" xfId="19257" builtinId="9" hidden="1"/>
    <cellStyle name="Followed Hyperlink" xfId="19255" builtinId="9" hidden="1"/>
    <cellStyle name="Followed Hyperlink" xfId="19253" builtinId="9" hidden="1"/>
    <cellStyle name="Followed Hyperlink" xfId="19251" builtinId="9" hidden="1"/>
    <cellStyle name="Followed Hyperlink" xfId="19249" builtinId="9" hidden="1"/>
    <cellStyle name="Followed Hyperlink" xfId="19247" builtinId="9" hidden="1"/>
    <cellStyle name="Followed Hyperlink" xfId="19245" builtinId="9" hidden="1"/>
    <cellStyle name="Followed Hyperlink" xfId="19243" builtinId="9" hidden="1"/>
    <cellStyle name="Followed Hyperlink" xfId="19241" builtinId="9" hidden="1"/>
    <cellStyle name="Followed Hyperlink" xfId="19239" builtinId="9" hidden="1"/>
    <cellStyle name="Followed Hyperlink" xfId="19237" builtinId="9" hidden="1"/>
    <cellStyle name="Followed Hyperlink" xfId="19235" builtinId="9" hidden="1"/>
    <cellStyle name="Followed Hyperlink" xfId="19233" builtinId="9" hidden="1"/>
    <cellStyle name="Followed Hyperlink" xfId="19231" builtinId="9" hidden="1"/>
    <cellStyle name="Followed Hyperlink" xfId="19229" builtinId="9" hidden="1"/>
    <cellStyle name="Followed Hyperlink" xfId="19227" builtinId="9" hidden="1"/>
    <cellStyle name="Followed Hyperlink" xfId="19225" builtinId="9" hidden="1"/>
    <cellStyle name="Followed Hyperlink" xfId="19223" builtinId="9" hidden="1"/>
    <cellStyle name="Followed Hyperlink" xfId="19221" builtinId="9" hidden="1"/>
    <cellStyle name="Followed Hyperlink" xfId="19219" builtinId="9" hidden="1"/>
    <cellStyle name="Followed Hyperlink" xfId="19217" builtinId="9" hidden="1"/>
    <cellStyle name="Followed Hyperlink" xfId="19215" builtinId="9" hidden="1"/>
    <cellStyle name="Followed Hyperlink" xfId="19213" builtinId="9" hidden="1"/>
    <cellStyle name="Followed Hyperlink" xfId="19211" builtinId="9" hidden="1"/>
    <cellStyle name="Followed Hyperlink" xfId="19204" builtinId="9" hidden="1"/>
    <cellStyle name="Followed Hyperlink" xfId="19202" builtinId="9" hidden="1"/>
    <cellStyle name="Followed Hyperlink" xfId="19200" builtinId="9" hidden="1"/>
    <cellStyle name="Followed Hyperlink" xfId="19198" builtinId="9" hidden="1"/>
    <cellStyle name="Followed Hyperlink" xfId="19196" builtinId="9" hidden="1"/>
    <cellStyle name="Followed Hyperlink" xfId="19194" builtinId="9" hidden="1"/>
    <cellStyle name="Followed Hyperlink" xfId="19192" builtinId="9" hidden="1"/>
    <cellStyle name="Followed Hyperlink" xfId="19190" builtinId="9" hidden="1"/>
    <cellStyle name="Followed Hyperlink" xfId="19188" builtinId="9" hidden="1"/>
    <cellStyle name="Followed Hyperlink" xfId="19186" builtinId="9" hidden="1"/>
    <cellStyle name="Followed Hyperlink" xfId="19184" builtinId="9" hidden="1"/>
    <cellStyle name="Followed Hyperlink" xfId="19182" builtinId="9" hidden="1"/>
    <cellStyle name="Followed Hyperlink" xfId="19180" builtinId="9" hidden="1"/>
    <cellStyle name="Followed Hyperlink" xfId="19178" builtinId="9" hidden="1"/>
    <cellStyle name="Followed Hyperlink" xfId="19176" builtinId="9" hidden="1"/>
    <cellStyle name="Followed Hyperlink" xfId="19174" builtinId="9" hidden="1"/>
    <cellStyle name="Followed Hyperlink" xfId="19172" builtinId="9" hidden="1"/>
    <cellStyle name="Followed Hyperlink" xfId="19170" builtinId="9" hidden="1"/>
    <cellStyle name="Followed Hyperlink" xfId="19168" builtinId="9" hidden="1"/>
    <cellStyle name="Followed Hyperlink" xfId="19166" builtinId="9" hidden="1"/>
    <cellStyle name="Followed Hyperlink" xfId="19164" builtinId="9" hidden="1"/>
    <cellStyle name="Followed Hyperlink" xfId="19162" builtinId="9" hidden="1"/>
    <cellStyle name="Followed Hyperlink" xfId="19160" builtinId="9" hidden="1"/>
    <cellStyle name="Followed Hyperlink" xfId="19158" builtinId="9" hidden="1"/>
    <cellStyle name="Followed Hyperlink" xfId="19156" builtinId="9" hidden="1"/>
    <cellStyle name="Followed Hyperlink" xfId="19154" builtinId="9" hidden="1"/>
    <cellStyle name="Followed Hyperlink" xfId="19152" builtinId="9" hidden="1"/>
    <cellStyle name="Followed Hyperlink" xfId="19151" builtinId="9" hidden="1"/>
    <cellStyle name="Followed Hyperlink" xfId="19149" builtinId="9" hidden="1"/>
    <cellStyle name="Followed Hyperlink" xfId="19147" builtinId="9" hidden="1"/>
    <cellStyle name="Followed Hyperlink" xfId="19145" builtinId="9" hidden="1"/>
    <cellStyle name="Followed Hyperlink" xfId="19143" builtinId="9" hidden="1"/>
    <cellStyle name="Followed Hyperlink" xfId="19141" builtinId="9" hidden="1"/>
    <cellStyle name="Followed Hyperlink" xfId="19139" builtinId="9" hidden="1"/>
    <cellStyle name="Followed Hyperlink" xfId="19137" builtinId="9" hidden="1"/>
    <cellStyle name="Followed Hyperlink" xfId="19135" builtinId="9" hidden="1"/>
    <cellStyle name="Followed Hyperlink" xfId="19133" builtinId="9" hidden="1"/>
    <cellStyle name="Followed Hyperlink" xfId="19131" builtinId="9" hidden="1"/>
    <cellStyle name="Followed Hyperlink" xfId="19129" builtinId="9" hidden="1"/>
    <cellStyle name="Followed Hyperlink" xfId="19127" builtinId="9" hidden="1"/>
    <cellStyle name="Followed Hyperlink" xfId="19125" builtinId="9" hidden="1"/>
    <cellStyle name="Followed Hyperlink" xfId="19123" builtinId="9" hidden="1"/>
    <cellStyle name="Followed Hyperlink" xfId="19121" builtinId="9" hidden="1"/>
    <cellStyle name="Followed Hyperlink" xfId="19119" builtinId="9" hidden="1"/>
    <cellStyle name="Followed Hyperlink" xfId="19117" builtinId="9" hidden="1"/>
    <cellStyle name="Followed Hyperlink" xfId="19115" builtinId="9" hidden="1"/>
    <cellStyle name="Followed Hyperlink" xfId="19113" builtinId="9" hidden="1"/>
    <cellStyle name="Followed Hyperlink" xfId="19111" builtinId="9" hidden="1"/>
    <cellStyle name="Followed Hyperlink" xfId="19109" builtinId="9" hidden="1"/>
    <cellStyle name="Followed Hyperlink" xfId="19107" builtinId="9" hidden="1"/>
    <cellStyle name="Followed Hyperlink" xfId="19105" builtinId="9" hidden="1"/>
    <cellStyle name="Followed Hyperlink" xfId="19103" builtinId="9" hidden="1"/>
    <cellStyle name="Followed Hyperlink" xfId="19101" builtinId="9" hidden="1"/>
    <cellStyle name="Followed Hyperlink" xfId="19099" builtinId="9" hidden="1"/>
    <cellStyle name="Followed Hyperlink" xfId="19097" builtinId="9" hidden="1"/>
    <cellStyle name="Followed Hyperlink" xfId="19095" builtinId="9" hidden="1"/>
    <cellStyle name="Followed Hyperlink" xfId="19093" builtinId="9" hidden="1"/>
    <cellStyle name="Followed Hyperlink" xfId="19091" builtinId="9" hidden="1"/>
    <cellStyle name="Followed Hyperlink" xfId="19089" builtinId="9" hidden="1"/>
    <cellStyle name="Followed Hyperlink" xfId="19087" builtinId="9" hidden="1"/>
    <cellStyle name="Followed Hyperlink" xfId="19085" builtinId="9" hidden="1"/>
    <cellStyle name="Followed Hyperlink" xfId="19083" builtinId="9" hidden="1"/>
    <cellStyle name="Followed Hyperlink" xfId="19081" builtinId="9" hidden="1"/>
    <cellStyle name="Followed Hyperlink" xfId="19079" builtinId="9" hidden="1"/>
    <cellStyle name="Followed Hyperlink" xfId="19077" builtinId="9" hidden="1"/>
    <cellStyle name="Followed Hyperlink" xfId="19075" builtinId="9" hidden="1"/>
    <cellStyle name="Followed Hyperlink" xfId="19073" builtinId="9" hidden="1"/>
    <cellStyle name="Followed Hyperlink" xfId="19071" builtinId="9" hidden="1"/>
    <cellStyle name="Followed Hyperlink" xfId="19069" builtinId="9" hidden="1"/>
    <cellStyle name="Followed Hyperlink" xfId="19067" builtinId="9" hidden="1"/>
    <cellStyle name="Followed Hyperlink" xfId="19065" builtinId="9" hidden="1"/>
    <cellStyle name="Followed Hyperlink" xfId="19063" builtinId="9" hidden="1"/>
    <cellStyle name="Followed Hyperlink" xfId="19061" builtinId="9" hidden="1"/>
    <cellStyle name="Followed Hyperlink" xfId="19059" builtinId="9" hidden="1"/>
    <cellStyle name="Followed Hyperlink" xfId="19057" builtinId="9" hidden="1"/>
    <cellStyle name="Followed Hyperlink" xfId="19055" builtinId="9" hidden="1"/>
    <cellStyle name="Followed Hyperlink" xfId="19053" builtinId="9" hidden="1"/>
    <cellStyle name="Followed Hyperlink" xfId="19051" builtinId="9" hidden="1"/>
    <cellStyle name="Followed Hyperlink" xfId="19049" builtinId="9" hidden="1"/>
    <cellStyle name="Followed Hyperlink" xfId="19048" builtinId="9" hidden="1"/>
    <cellStyle name="Followed Hyperlink" xfId="19046" builtinId="9" hidden="1"/>
    <cellStyle name="Followed Hyperlink" xfId="19044" builtinId="9" hidden="1"/>
    <cellStyle name="Followed Hyperlink" xfId="19042" builtinId="9" hidden="1"/>
    <cellStyle name="Followed Hyperlink" xfId="19040" builtinId="9" hidden="1"/>
    <cellStyle name="Followed Hyperlink" xfId="19038" builtinId="9" hidden="1"/>
    <cellStyle name="Followed Hyperlink" xfId="19036" builtinId="9" hidden="1"/>
    <cellStyle name="Followed Hyperlink" xfId="19034" builtinId="9" hidden="1"/>
    <cellStyle name="Followed Hyperlink" xfId="19032" builtinId="9" hidden="1"/>
    <cellStyle name="Followed Hyperlink" xfId="19030" builtinId="9" hidden="1"/>
    <cellStyle name="Followed Hyperlink" xfId="19028" builtinId="9" hidden="1"/>
    <cellStyle name="Followed Hyperlink" xfId="19026" builtinId="9" hidden="1"/>
    <cellStyle name="Followed Hyperlink" xfId="19024" builtinId="9" hidden="1"/>
    <cellStyle name="Followed Hyperlink" xfId="19022" builtinId="9" hidden="1"/>
    <cellStyle name="Followed Hyperlink" xfId="15270" builtinId="9" hidden="1"/>
    <cellStyle name="Followed Hyperlink" xfId="18019" builtinId="9" hidden="1"/>
    <cellStyle name="Followed Hyperlink" xfId="17706" builtinId="9" hidden="1"/>
    <cellStyle name="Followed Hyperlink" xfId="17741" builtinId="9" hidden="1"/>
    <cellStyle name="Followed Hyperlink" xfId="17526" builtinId="9" hidden="1"/>
    <cellStyle name="Followed Hyperlink" xfId="17820" builtinId="9" hidden="1"/>
    <cellStyle name="Followed Hyperlink" xfId="17949" builtinId="9" hidden="1"/>
    <cellStyle name="Followed Hyperlink" xfId="18046" builtinId="9" hidden="1"/>
    <cellStyle name="Followed Hyperlink" xfId="18056" builtinId="9" hidden="1"/>
    <cellStyle name="Followed Hyperlink" xfId="17987" builtinId="9" hidden="1"/>
    <cellStyle name="Followed Hyperlink" xfId="16107" builtinId="9" hidden="1"/>
    <cellStyle name="Followed Hyperlink" xfId="17743" builtinId="9" hidden="1"/>
    <cellStyle name="Followed Hyperlink" xfId="17712" builtinId="9" hidden="1"/>
    <cellStyle name="Followed Hyperlink" xfId="17746" builtinId="9" hidden="1"/>
    <cellStyle name="Followed Hyperlink" xfId="17952" builtinId="9" hidden="1"/>
    <cellStyle name="Followed Hyperlink" xfId="17528" builtinId="9" hidden="1"/>
    <cellStyle name="Followed Hyperlink" xfId="15789" builtinId="9" hidden="1"/>
    <cellStyle name="Followed Hyperlink" xfId="15281" builtinId="9" hidden="1"/>
    <cellStyle name="Followed Hyperlink" xfId="17950" builtinId="9" hidden="1"/>
    <cellStyle name="Followed Hyperlink" xfId="15364" builtinId="9" hidden="1"/>
    <cellStyle name="Followed Hyperlink" xfId="18049" builtinId="9" hidden="1"/>
    <cellStyle name="Followed Hyperlink" xfId="18054" builtinId="9" hidden="1"/>
    <cellStyle name="Followed Hyperlink" xfId="17821" builtinId="9" hidden="1"/>
    <cellStyle name="Followed Hyperlink" xfId="17708" builtinId="9" hidden="1"/>
    <cellStyle name="Followed Hyperlink" xfId="18048" builtinId="9" hidden="1"/>
    <cellStyle name="Followed Hyperlink" xfId="19021" builtinId="9" hidden="1"/>
    <cellStyle name="Followed Hyperlink" xfId="19025" builtinId="9" hidden="1"/>
    <cellStyle name="Followed Hyperlink" xfId="19029" builtinId="9" hidden="1"/>
    <cellStyle name="Followed Hyperlink" xfId="19033" builtinId="9" hidden="1"/>
    <cellStyle name="Followed Hyperlink" xfId="19037" builtinId="9" hidden="1"/>
    <cellStyle name="Followed Hyperlink" xfId="19041" builtinId="9" hidden="1"/>
    <cellStyle name="Followed Hyperlink" xfId="19045" builtinId="9" hidden="1"/>
    <cellStyle name="Followed Hyperlink" xfId="18781" builtinId="9" hidden="1"/>
    <cellStyle name="Followed Hyperlink" xfId="19052" builtinId="9" hidden="1"/>
    <cellStyle name="Followed Hyperlink" xfId="19056" builtinId="9" hidden="1"/>
    <cellStyle name="Followed Hyperlink" xfId="19060" builtinId="9" hidden="1"/>
    <cellStyle name="Followed Hyperlink" xfId="19064" builtinId="9" hidden="1"/>
    <cellStyle name="Followed Hyperlink" xfId="19068" builtinId="9" hidden="1"/>
    <cellStyle name="Followed Hyperlink" xfId="19072" builtinId="9" hidden="1"/>
    <cellStyle name="Followed Hyperlink" xfId="19076" builtinId="9" hidden="1"/>
    <cellStyle name="Followed Hyperlink" xfId="19080" builtinId="9" hidden="1"/>
    <cellStyle name="Followed Hyperlink" xfId="19084" builtinId="9" hidden="1"/>
    <cellStyle name="Followed Hyperlink" xfId="19088" builtinId="9" hidden="1"/>
    <cellStyle name="Followed Hyperlink" xfId="19092" builtinId="9" hidden="1"/>
    <cellStyle name="Followed Hyperlink" xfId="19096" builtinId="9" hidden="1"/>
    <cellStyle name="Followed Hyperlink" xfId="19100" builtinId="9" hidden="1"/>
    <cellStyle name="Followed Hyperlink" xfId="19104" builtinId="9" hidden="1"/>
    <cellStyle name="Followed Hyperlink" xfId="19108" builtinId="9" hidden="1"/>
    <cellStyle name="Followed Hyperlink" xfId="19112" builtinId="9" hidden="1"/>
    <cellStyle name="Followed Hyperlink" xfId="19116" builtinId="9" hidden="1"/>
    <cellStyle name="Followed Hyperlink" xfId="19120" builtinId="9" hidden="1"/>
    <cellStyle name="Followed Hyperlink" xfId="19124" builtinId="9" hidden="1"/>
    <cellStyle name="Followed Hyperlink" xfId="19128" builtinId="9" hidden="1"/>
    <cellStyle name="Followed Hyperlink" xfId="19132" builtinId="9" hidden="1"/>
    <cellStyle name="Followed Hyperlink" xfId="19136" builtinId="9" hidden="1"/>
    <cellStyle name="Followed Hyperlink" xfId="19140" builtinId="9" hidden="1"/>
    <cellStyle name="Followed Hyperlink" xfId="19144" builtinId="9" hidden="1"/>
    <cellStyle name="Followed Hyperlink" xfId="19148" builtinId="9" hidden="1"/>
    <cellStyle name="Followed Hyperlink" xfId="17880" builtinId="9" hidden="1"/>
    <cellStyle name="Followed Hyperlink" xfId="19155" builtinId="9" hidden="1"/>
    <cellStyle name="Followed Hyperlink" xfId="19159" builtinId="9" hidden="1"/>
    <cellStyle name="Followed Hyperlink" xfId="19163" builtinId="9" hidden="1"/>
    <cellStyle name="Followed Hyperlink" xfId="19167" builtinId="9" hidden="1"/>
    <cellStyle name="Followed Hyperlink" xfId="19171" builtinId="9" hidden="1"/>
    <cellStyle name="Followed Hyperlink" xfId="19175" builtinId="9" hidden="1"/>
    <cellStyle name="Followed Hyperlink" xfId="19179" builtinId="9" hidden="1"/>
    <cellStyle name="Followed Hyperlink" xfId="19183" builtinId="9" hidden="1"/>
    <cellStyle name="Followed Hyperlink" xfId="19187" builtinId="9" hidden="1"/>
    <cellStyle name="Followed Hyperlink" xfId="19191" builtinId="9" hidden="1"/>
    <cellStyle name="Followed Hyperlink" xfId="19195" builtinId="9" hidden="1"/>
    <cellStyle name="Followed Hyperlink" xfId="19199" builtinId="9" hidden="1"/>
    <cellStyle name="Followed Hyperlink" xfId="19203" builtinId="9" hidden="1"/>
    <cellStyle name="Followed Hyperlink" xfId="16993" builtinId="9" hidden="1"/>
    <cellStyle name="Followed Hyperlink" xfId="18985" builtinId="9" hidden="1"/>
    <cellStyle name="Followed Hyperlink" xfId="17747" builtinId="9" hidden="1"/>
    <cellStyle name="Followed Hyperlink" xfId="18059" builtinId="9" hidden="1"/>
    <cellStyle name="Followed Hyperlink" xfId="17805" builtinId="9" hidden="1"/>
    <cellStyle name="Followed Hyperlink" xfId="17919" builtinId="9" hidden="1"/>
    <cellStyle name="Followed Hyperlink" xfId="15277" builtinId="9" hidden="1"/>
    <cellStyle name="Followed Hyperlink" xfId="17421" builtinId="9" hidden="1"/>
    <cellStyle name="Followed Hyperlink" xfId="15863" builtinId="9" hidden="1"/>
    <cellStyle name="Followed Hyperlink" xfId="17839" builtinId="9" hidden="1"/>
    <cellStyle name="Followed Hyperlink" xfId="17723" builtinId="9" hidden="1"/>
    <cellStyle name="Followed Hyperlink" xfId="17922" builtinId="9" hidden="1"/>
    <cellStyle name="Followed Hyperlink" xfId="17965" builtinId="9" hidden="1"/>
    <cellStyle name="Followed Hyperlink" xfId="18022" builtinId="9" hidden="1"/>
    <cellStyle name="Followed Hyperlink" xfId="17800" builtinId="9" hidden="1"/>
    <cellStyle name="Followed Hyperlink" xfId="17823" builtinId="9" hidden="1"/>
    <cellStyle name="Followed Hyperlink" xfId="17905" builtinId="9" hidden="1"/>
    <cellStyle name="Followed Hyperlink" xfId="18008" builtinId="9" hidden="1"/>
    <cellStyle name="Followed Hyperlink" xfId="18004" builtinId="9" hidden="1"/>
    <cellStyle name="Followed Hyperlink" xfId="17991" builtinId="9" hidden="1"/>
    <cellStyle name="Followed Hyperlink" xfId="16714" builtinId="9" hidden="1"/>
    <cellStyle name="Followed Hyperlink" xfId="17725" builtinId="9" hidden="1"/>
    <cellStyle name="Followed Hyperlink" xfId="17847" builtinId="9" hidden="1"/>
    <cellStyle name="Followed Hyperlink" xfId="15431" builtinId="9" hidden="1"/>
    <cellStyle name="Followed Hyperlink" xfId="17754" builtinId="9" hidden="1"/>
    <cellStyle name="Followed Hyperlink" xfId="17756" builtinId="9" hidden="1"/>
    <cellStyle name="Followed Hyperlink" xfId="17527" builtinId="9" hidden="1"/>
    <cellStyle name="Followed Hyperlink" xfId="17826" builtinId="9" hidden="1"/>
    <cellStyle name="Followed Hyperlink" xfId="16900" builtinId="9" hidden="1"/>
    <cellStyle name="Followed Hyperlink" xfId="18058" builtinId="9" hidden="1"/>
    <cellStyle name="Followed Hyperlink" xfId="18045" builtinId="9" hidden="1"/>
    <cellStyle name="Followed Hyperlink" xfId="17838" builtinId="9" hidden="1"/>
    <cellStyle name="Followed Hyperlink" xfId="15864" builtinId="9" hidden="1"/>
    <cellStyle name="Followed Hyperlink" xfId="17759" builtinId="9" hidden="1"/>
    <cellStyle name="Followed Hyperlink" xfId="17760" builtinId="9" hidden="1"/>
    <cellStyle name="Followed Hyperlink" xfId="17734" builtinId="9" hidden="1"/>
    <cellStyle name="Followed Hyperlink" xfId="17736" builtinId="9" hidden="1"/>
    <cellStyle name="Followed Hyperlink" xfId="17851" builtinId="9" hidden="1"/>
    <cellStyle name="Followed Hyperlink" xfId="17994" builtinId="9" hidden="1"/>
    <cellStyle name="Followed Hyperlink" xfId="17801" builtinId="9" hidden="1"/>
    <cellStyle name="Followed Hyperlink" xfId="17881" builtinId="9" hidden="1"/>
    <cellStyle name="Followed Hyperlink" xfId="18780" builtinId="9" hidden="1"/>
    <cellStyle name="Followed Hyperlink" xfId="16906" builtinId="9" hidden="1"/>
    <cellStyle name="Followed Hyperlink" xfId="18758" builtinId="9" hidden="1"/>
    <cellStyle name="Followed Hyperlink" xfId="16905" builtinId="9" hidden="1"/>
    <cellStyle name="Followed Hyperlink" xfId="18757" builtinId="9" hidden="1"/>
    <cellStyle name="Followed Hyperlink" xfId="16833" builtinId="9" hidden="1"/>
    <cellStyle name="Followed Hyperlink" xfId="18855" builtinId="9" hidden="1"/>
    <cellStyle name="Followed Hyperlink" xfId="18756" builtinId="9" hidden="1"/>
    <cellStyle name="Followed Hyperlink" xfId="18755" builtinId="9" hidden="1"/>
    <cellStyle name="Followed Hyperlink" xfId="17883" builtinId="9" hidden="1"/>
    <cellStyle name="Followed Hyperlink" xfId="18753" builtinId="9" hidden="1"/>
    <cellStyle name="Followed Hyperlink" xfId="18893" builtinId="9" hidden="1"/>
    <cellStyle name="Followed Hyperlink" xfId="17783" builtinId="9" hidden="1"/>
    <cellStyle name="Followed Hyperlink" xfId="18750" builtinId="9" hidden="1"/>
    <cellStyle name="Followed Hyperlink" xfId="18978" builtinId="9" hidden="1"/>
    <cellStyle name="Followed Hyperlink" xfId="18974" builtinId="9" hidden="1"/>
    <cellStyle name="Followed Hyperlink" xfId="18937" builtinId="9" hidden="1"/>
    <cellStyle name="Followed Hyperlink" xfId="18936" builtinId="9" hidden="1"/>
    <cellStyle name="Followed Hyperlink" xfId="18935" builtinId="9" hidden="1"/>
    <cellStyle name="Followed Hyperlink" xfId="18898" builtinId="9" hidden="1"/>
    <cellStyle name="Followed Hyperlink" xfId="18963" builtinId="9" hidden="1"/>
    <cellStyle name="Followed Hyperlink" xfId="18956" builtinId="9" hidden="1"/>
    <cellStyle name="Followed Hyperlink" xfId="18928" builtinId="9" hidden="1"/>
    <cellStyle name="Followed Hyperlink" xfId="18895" builtinId="9" hidden="1"/>
    <cellStyle name="Followed Hyperlink" xfId="18827" builtinId="9" hidden="1"/>
    <cellStyle name="Followed Hyperlink" xfId="18966" builtinId="9" hidden="1"/>
    <cellStyle name="Followed Hyperlink" xfId="18958" builtinId="9" hidden="1"/>
    <cellStyle name="Followed Hyperlink" xfId="18930" builtinId="9" hidden="1"/>
    <cellStyle name="Followed Hyperlink" xfId="18897" builtinId="9" hidden="1"/>
    <cellStyle name="Followed Hyperlink" xfId="18851" builtinId="9" hidden="1"/>
    <cellStyle name="Followed Hyperlink" xfId="18925" builtinId="9" hidden="1"/>
    <cellStyle name="Followed Hyperlink" xfId="18741" builtinId="9" hidden="1"/>
    <cellStyle name="Followed Hyperlink" xfId="18740" builtinId="9" hidden="1"/>
    <cellStyle name="Followed Hyperlink" xfId="18739" builtinId="9" hidden="1"/>
    <cellStyle name="Followed Hyperlink" xfId="18738" builtinId="9" hidden="1"/>
    <cellStyle name="Followed Hyperlink" xfId="18737" builtinId="9" hidden="1"/>
    <cellStyle name="Followed Hyperlink" xfId="18736" builtinId="9" hidden="1"/>
    <cellStyle name="Followed Hyperlink" xfId="18735" builtinId="9" hidden="1"/>
    <cellStyle name="Followed Hyperlink" xfId="18734" builtinId="9" hidden="1"/>
    <cellStyle name="Followed Hyperlink" xfId="16986" builtinId="9" hidden="1"/>
    <cellStyle name="Followed Hyperlink" xfId="18850" builtinId="9" hidden="1"/>
    <cellStyle name="Followed Hyperlink" xfId="17894" builtinId="9" hidden="1"/>
    <cellStyle name="Followed Hyperlink" xfId="18849" builtinId="9" hidden="1"/>
    <cellStyle name="Followed Hyperlink" xfId="18733" builtinId="9" hidden="1"/>
    <cellStyle name="Followed Hyperlink" xfId="17888" builtinId="9" hidden="1"/>
    <cellStyle name="Followed Hyperlink" xfId="17778" builtinId="9" hidden="1"/>
    <cellStyle name="Followed Hyperlink" xfId="18804" builtinId="9" hidden="1"/>
    <cellStyle name="Followed Hyperlink" xfId="18732" builtinId="9" hidden="1"/>
    <cellStyle name="Followed Hyperlink" xfId="15306" builtinId="9" hidden="1"/>
    <cellStyle name="Followed Hyperlink" xfId="18818" builtinId="9" hidden="1"/>
    <cellStyle name="Followed Hyperlink" xfId="18817" builtinId="9" hidden="1"/>
    <cellStyle name="Followed Hyperlink" xfId="18848" builtinId="9" hidden="1"/>
    <cellStyle name="Followed Hyperlink" xfId="18795" builtinId="9" hidden="1"/>
    <cellStyle name="Followed Hyperlink" xfId="16806" builtinId="9" hidden="1"/>
    <cellStyle name="Followed Hyperlink" xfId="18731" builtinId="9" hidden="1"/>
    <cellStyle name="Followed Hyperlink" xfId="18649" builtinId="9" hidden="1"/>
    <cellStyle name="Followed Hyperlink" xfId="17811" builtinId="9" hidden="1"/>
    <cellStyle name="Followed Hyperlink" xfId="18648" builtinId="9" hidden="1"/>
    <cellStyle name="Followed Hyperlink" xfId="18397" builtinId="9" hidden="1"/>
    <cellStyle name="Followed Hyperlink" xfId="17738" builtinId="9" hidden="1"/>
    <cellStyle name="Followed Hyperlink" xfId="18831" builtinId="9" hidden="1"/>
    <cellStyle name="Followed Hyperlink" xfId="18647" builtinId="9" hidden="1"/>
    <cellStyle name="Followed Hyperlink" xfId="16711" builtinId="9" hidden="1"/>
    <cellStyle name="Followed Hyperlink" xfId="18646" builtinId="9" hidden="1"/>
    <cellStyle name="Followed Hyperlink" xfId="15827" builtinId="9" hidden="1"/>
    <cellStyle name="Followed Hyperlink" xfId="17927" builtinId="9" hidden="1"/>
    <cellStyle name="Followed Hyperlink" xfId="18830" builtinId="9" hidden="1"/>
    <cellStyle name="Followed Hyperlink" xfId="18496" builtinId="9" hidden="1"/>
    <cellStyle name="Followed Hyperlink" xfId="17909" builtinId="9" hidden="1"/>
    <cellStyle name="Followed Hyperlink" xfId="17872" builtinId="9" hidden="1"/>
    <cellStyle name="Followed Hyperlink" xfId="16908" builtinId="9" hidden="1"/>
    <cellStyle name="Followed Hyperlink" xfId="17853" builtinId="9" hidden="1"/>
    <cellStyle name="Followed Hyperlink" xfId="18995" builtinId="9" hidden="1"/>
    <cellStyle name="Followed Hyperlink" xfId="18829" builtinId="9" hidden="1"/>
    <cellStyle name="Followed Hyperlink" xfId="18872" builtinId="9" hidden="1"/>
    <cellStyle name="Followed Hyperlink" xfId="18730" builtinId="9" hidden="1"/>
    <cellStyle name="Followed Hyperlink" xfId="18437" builtinId="9" hidden="1"/>
    <cellStyle name="Followed Hyperlink" xfId="18025" builtinId="9" hidden="1"/>
    <cellStyle name="Followed Hyperlink" xfId="18492" builtinId="9" hidden="1"/>
    <cellStyle name="Followed Hyperlink" xfId="15899" builtinId="9" hidden="1"/>
    <cellStyle name="Followed Hyperlink" xfId="17993" builtinId="9" hidden="1"/>
    <cellStyle name="Followed Hyperlink" xfId="18828" builtinId="9" hidden="1"/>
    <cellStyle name="Followed Hyperlink" xfId="18438" builtinId="9" hidden="1"/>
    <cellStyle name="Followed Hyperlink" xfId="18040" builtinId="9" hidden="1"/>
    <cellStyle name="Followed Hyperlink" xfId="18439" builtinId="9" hidden="1"/>
    <cellStyle name="Followed Hyperlink" xfId="17698" builtinId="9" hidden="1"/>
    <cellStyle name="Followed Hyperlink" xfId="18440" builtinId="9" hidden="1"/>
    <cellStyle name="Followed Hyperlink" xfId="17806" builtinId="9" hidden="1"/>
    <cellStyle name="Followed Hyperlink" xfId="16886" builtinId="9" hidden="1"/>
    <cellStyle name="Followed Hyperlink" xfId="18253" builtinId="9" hidden="1"/>
    <cellStyle name="Followed Hyperlink" xfId="17943" builtinId="9" hidden="1"/>
    <cellStyle name="Followed Hyperlink" xfId="19355" builtinId="9" hidden="1"/>
    <cellStyle name="Followed Hyperlink" xfId="19356" builtinId="9" hidden="1"/>
    <cellStyle name="Followed Hyperlink" xfId="19357" builtinId="9" hidden="1"/>
    <cellStyle name="Followed Hyperlink" xfId="19358" builtinId="9" hidden="1"/>
    <cellStyle name="Followed Hyperlink" xfId="19359" builtinId="9" hidden="1"/>
    <cellStyle name="Followed Hyperlink" xfId="19360" builtinId="9" hidden="1"/>
    <cellStyle name="Followed Hyperlink" xfId="19361" builtinId="9" hidden="1"/>
    <cellStyle name="Followed Hyperlink" xfId="19362" builtinId="9" hidden="1"/>
    <cellStyle name="Followed Hyperlink" xfId="19363" builtinId="9" hidden="1"/>
    <cellStyle name="Followed Hyperlink" xfId="19364" builtinId="9" hidden="1"/>
    <cellStyle name="Followed Hyperlink" xfId="19365" builtinId="9" hidden="1"/>
    <cellStyle name="Followed Hyperlink" xfId="19366" builtinId="9" hidden="1"/>
    <cellStyle name="Followed Hyperlink" xfId="19367" builtinId="9" hidden="1"/>
    <cellStyle name="Followed Hyperlink" xfId="19368" builtinId="9" hidden="1"/>
    <cellStyle name="Followed Hyperlink" xfId="19369" builtinId="9" hidden="1"/>
    <cellStyle name="Followed Hyperlink" xfId="19370" builtinId="9" hidden="1"/>
    <cellStyle name="Followed Hyperlink" xfId="19371" builtinId="9" hidden="1"/>
    <cellStyle name="Followed Hyperlink" xfId="19372" builtinId="9" hidden="1"/>
    <cellStyle name="Followed Hyperlink" xfId="19373" builtinId="9" hidden="1"/>
    <cellStyle name="Followed Hyperlink" xfId="19374" builtinId="9" hidden="1"/>
    <cellStyle name="Followed Hyperlink" xfId="19375" builtinId="9" hidden="1"/>
    <cellStyle name="Followed Hyperlink" xfId="19376" builtinId="9" hidden="1"/>
    <cellStyle name="Followed Hyperlink" xfId="19377" builtinId="9" hidden="1"/>
    <cellStyle name="Followed Hyperlink" xfId="19378" builtinId="9" hidden="1"/>
    <cellStyle name="Followed Hyperlink" xfId="19379" builtinId="9" hidden="1"/>
    <cellStyle name="Followed Hyperlink" xfId="19380" builtinId="9" hidden="1"/>
    <cellStyle name="Followed Hyperlink" xfId="19381" builtinId="9" hidden="1"/>
    <cellStyle name="Followed Hyperlink" xfId="19382" builtinId="9" hidden="1"/>
    <cellStyle name="Followed Hyperlink" xfId="19383" builtinId="9" hidden="1"/>
    <cellStyle name="Followed Hyperlink" xfId="19384" builtinId="9" hidden="1"/>
    <cellStyle name="Followed Hyperlink" xfId="19385" builtinId="9" hidden="1"/>
    <cellStyle name="Followed Hyperlink" xfId="19386" builtinId="9" hidden="1"/>
    <cellStyle name="Followed Hyperlink" xfId="19387" builtinId="9" hidden="1"/>
    <cellStyle name="Followed Hyperlink" xfId="19388" builtinId="9" hidden="1"/>
    <cellStyle name="Followed Hyperlink" xfId="19389" builtinId="9" hidden="1"/>
    <cellStyle name="Followed Hyperlink" xfId="19390" builtinId="9" hidden="1"/>
    <cellStyle name="Followed Hyperlink" xfId="19391" builtinId="9" hidden="1"/>
    <cellStyle name="Followed Hyperlink" xfId="19392" builtinId="9" hidden="1"/>
    <cellStyle name="Followed Hyperlink" xfId="19393" builtinId="9" hidden="1"/>
    <cellStyle name="Followed Hyperlink" xfId="19399" builtinId="9" hidden="1"/>
    <cellStyle name="Followed Hyperlink" xfId="19400" builtinId="9" hidden="1"/>
    <cellStyle name="Followed Hyperlink" xfId="19401" builtinId="9" hidden="1"/>
    <cellStyle name="Followed Hyperlink" xfId="19402" builtinId="9" hidden="1"/>
    <cellStyle name="Followed Hyperlink" xfId="19403" builtinId="9" hidden="1"/>
    <cellStyle name="Followed Hyperlink" xfId="19404" builtinId="9" hidden="1"/>
    <cellStyle name="Followed Hyperlink" xfId="19405" builtinId="9" hidden="1"/>
    <cellStyle name="Followed Hyperlink" xfId="19406" builtinId="9" hidden="1"/>
    <cellStyle name="Followed Hyperlink" xfId="19407" builtinId="9" hidden="1"/>
    <cellStyle name="Followed Hyperlink" xfId="19408" builtinId="9" hidden="1"/>
    <cellStyle name="Followed Hyperlink" xfId="19409" builtinId="9" hidden="1"/>
    <cellStyle name="Followed Hyperlink" xfId="19410" builtinId="9" hidden="1"/>
    <cellStyle name="Followed Hyperlink" xfId="19411" builtinId="9" hidden="1"/>
    <cellStyle name="Followed Hyperlink" xfId="19412" builtinId="9" hidden="1"/>
    <cellStyle name="Followed Hyperlink" xfId="19413" builtinId="9" hidden="1"/>
    <cellStyle name="Followed Hyperlink" xfId="19414" builtinId="9" hidden="1"/>
    <cellStyle name="Followed Hyperlink" xfId="19415" builtinId="9" hidden="1"/>
    <cellStyle name="Followed Hyperlink" xfId="19416" builtinId="9" hidden="1"/>
    <cellStyle name="Followed Hyperlink" xfId="19417" builtinId="9" hidden="1"/>
    <cellStyle name="Followed Hyperlink" xfId="19418" builtinId="9" hidden="1"/>
    <cellStyle name="Followed Hyperlink" xfId="19419" builtinId="9" hidden="1"/>
    <cellStyle name="Followed Hyperlink" xfId="19420" builtinId="9" hidden="1"/>
    <cellStyle name="Followed Hyperlink" xfId="19421" builtinId="9" hidden="1"/>
    <cellStyle name="Followed Hyperlink" xfId="19422" builtinId="9" hidden="1"/>
    <cellStyle name="Followed Hyperlink" xfId="19423" builtinId="9" hidden="1"/>
    <cellStyle name="Followed Hyperlink" xfId="19424" builtinId="9" hidden="1"/>
    <cellStyle name="Followed Hyperlink" xfId="19425" builtinId="9" hidden="1"/>
    <cellStyle name="Followed Hyperlink" xfId="19426" builtinId="9" hidden="1"/>
    <cellStyle name="Followed Hyperlink" xfId="19427" builtinId="9" hidden="1"/>
    <cellStyle name="Followed Hyperlink" xfId="19428" builtinId="9" hidden="1"/>
    <cellStyle name="Followed Hyperlink" xfId="19429" builtinId="9" hidden="1"/>
    <cellStyle name="Followed Hyperlink" xfId="19430" builtinId="9" hidden="1"/>
    <cellStyle name="Followed Hyperlink" xfId="19431" builtinId="9" hidden="1"/>
    <cellStyle name="Followed Hyperlink" xfId="19432" builtinId="9" hidden="1"/>
    <cellStyle name="Followed Hyperlink" xfId="19433" builtinId="9" hidden="1"/>
    <cellStyle name="Followed Hyperlink" xfId="19434" builtinId="9" hidden="1"/>
    <cellStyle name="Followed Hyperlink" xfId="19435" builtinId="9" hidden="1"/>
    <cellStyle name="Followed Hyperlink" xfId="19436" builtinId="9" hidden="1"/>
    <cellStyle name="Followed Hyperlink" xfId="19437" builtinId="9" hidden="1"/>
    <cellStyle name="Followed Hyperlink" xfId="19438" builtinId="9" hidden="1"/>
    <cellStyle name="Followed Hyperlink" xfId="19439" builtinId="9" hidden="1"/>
    <cellStyle name="Followed Hyperlink" xfId="19440" builtinId="9" hidden="1"/>
    <cellStyle name="Followed Hyperlink" xfId="19441" builtinId="9" hidden="1"/>
    <cellStyle name="Followed Hyperlink" xfId="19442" builtinId="9" hidden="1"/>
    <cellStyle name="Followed Hyperlink" xfId="19443" builtinId="9" hidden="1"/>
    <cellStyle name="Followed Hyperlink" xfId="19444" builtinId="9" hidden="1"/>
    <cellStyle name="Followed Hyperlink" xfId="19445" builtinId="9" hidden="1"/>
    <cellStyle name="Followed Hyperlink" xfId="19446" builtinId="9" hidden="1"/>
    <cellStyle name="Followed Hyperlink" xfId="19447" builtinId="9" hidden="1"/>
    <cellStyle name="Followed Hyperlink" xfId="19448" builtinId="9" hidden="1"/>
    <cellStyle name="Followed Hyperlink" xfId="19455" builtinId="9" hidden="1"/>
    <cellStyle name="Followed Hyperlink" xfId="19456" builtinId="9" hidden="1"/>
    <cellStyle name="Followed Hyperlink" xfId="19457" builtinId="9" hidden="1"/>
    <cellStyle name="Followed Hyperlink" xfId="19458" builtinId="9" hidden="1"/>
    <cellStyle name="Followed Hyperlink" xfId="19459" builtinId="9" hidden="1"/>
    <cellStyle name="Followed Hyperlink" xfId="19460" builtinId="9" hidden="1"/>
    <cellStyle name="Followed Hyperlink" xfId="19461" builtinId="9" hidden="1"/>
    <cellStyle name="Followed Hyperlink" xfId="19462" builtinId="9" hidden="1"/>
    <cellStyle name="Followed Hyperlink" xfId="19463" builtinId="9" hidden="1"/>
    <cellStyle name="Followed Hyperlink" xfId="19464" builtinId="9" hidden="1"/>
    <cellStyle name="Followed Hyperlink" xfId="19465" builtinId="9" hidden="1"/>
    <cellStyle name="Followed Hyperlink" xfId="19466" builtinId="9" hidden="1"/>
    <cellStyle name="Followed Hyperlink" xfId="19467" builtinId="9" hidden="1"/>
    <cellStyle name="Followed Hyperlink" xfId="19468" builtinId="9" hidden="1"/>
    <cellStyle name="Followed Hyperlink" xfId="19469" builtinId="9" hidden="1"/>
    <cellStyle name="Followed Hyperlink" xfId="19470" builtinId="9" hidden="1"/>
    <cellStyle name="Followed Hyperlink" xfId="19471" builtinId="9" hidden="1"/>
    <cellStyle name="Followed Hyperlink" xfId="19472" builtinId="9" hidden="1"/>
    <cellStyle name="Followed Hyperlink" xfId="19473" builtinId="9" hidden="1"/>
    <cellStyle name="Followed Hyperlink" xfId="19474" builtinId="9" hidden="1"/>
    <cellStyle name="Followed Hyperlink" xfId="19475" builtinId="9" hidden="1"/>
    <cellStyle name="Followed Hyperlink" xfId="19476" builtinId="9" hidden="1"/>
    <cellStyle name="Followed Hyperlink" xfId="19477" builtinId="9" hidden="1"/>
    <cellStyle name="Followed Hyperlink" xfId="19478" builtinId="9" hidden="1"/>
    <cellStyle name="Followed Hyperlink" xfId="19479" builtinId="9" hidden="1"/>
    <cellStyle name="Followed Hyperlink" xfId="19480" builtinId="9" hidden="1"/>
    <cellStyle name="Followed Hyperlink" xfId="19481" builtinId="9" hidden="1"/>
    <cellStyle name="Followed Hyperlink" xfId="19482" builtinId="9" hidden="1"/>
    <cellStyle name="Followed Hyperlink" xfId="19483" builtinId="9" hidden="1"/>
    <cellStyle name="Followed Hyperlink" xfId="19484" builtinId="9" hidden="1"/>
    <cellStyle name="Followed Hyperlink" xfId="19485" builtinId="9" hidden="1"/>
    <cellStyle name="Followed Hyperlink" xfId="19486" builtinId="9" hidden="1"/>
    <cellStyle name="Followed Hyperlink" xfId="19487" builtinId="9" hidden="1"/>
    <cellStyle name="Followed Hyperlink" xfId="19488" builtinId="9" hidden="1"/>
    <cellStyle name="Followed Hyperlink" xfId="19489" builtinId="9" hidden="1"/>
    <cellStyle name="Followed Hyperlink" xfId="19490" builtinId="9" hidden="1"/>
    <cellStyle name="Followed Hyperlink" xfId="19491" builtinId="9" hidden="1"/>
    <cellStyle name="Followed Hyperlink" xfId="19492" builtinId="9" hidden="1"/>
    <cellStyle name="Followed Hyperlink" xfId="19493" builtinId="9" hidden="1"/>
    <cellStyle name="Followed Hyperlink" xfId="19494" builtinId="9" hidden="1"/>
    <cellStyle name="Followed Hyperlink" xfId="19495" builtinId="9" hidden="1"/>
    <cellStyle name="Followed Hyperlink" xfId="19496" builtinId="9" hidden="1"/>
    <cellStyle name="Followed Hyperlink" xfId="19497" builtinId="9" hidden="1"/>
    <cellStyle name="Followed Hyperlink" xfId="19498" builtinId="9" hidden="1"/>
    <cellStyle name="Followed Hyperlink" xfId="19499" builtinId="9" hidden="1"/>
    <cellStyle name="Followed Hyperlink" xfId="19500" builtinId="9" hidden="1"/>
    <cellStyle name="Followed Hyperlink" xfId="19501" builtinId="9" hidden="1"/>
    <cellStyle name="Followed Hyperlink" xfId="19502" builtinId="9" hidden="1"/>
    <cellStyle name="Followed Hyperlink" xfId="19503" builtinId="9" hidden="1"/>
    <cellStyle name="Followed Hyperlink" xfId="19504" builtinId="9" hidden="1"/>
    <cellStyle name="Followed Hyperlink" xfId="19505" builtinId="9" hidden="1"/>
    <cellStyle name="Followed Hyperlink" xfId="19506" builtinId="9" hidden="1"/>
    <cellStyle name="Followed Hyperlink" xfId="19507" builtinId="9" hidden="1"/>
    <cellStyle name="Followed Hyperlink" xfId="19508" builtinId="9" hidden="1"/>
    <cellStyle name="Followed Hyperlink" xfId="19509" builtinId="9" hidden="1"/>
    <cellStyle name="Followed Hyperlink" xfId="19510" builtinId="9" hidden="1"/>
    <cellStyle name="Followed Hyperlink" xfId="19511" builtinId="9" hidden="1"/>
    <cellStyle name="Followed Hyperlink" xfId="19512" builtinId="9" hidden="1"/>
    <cellStyle name="Followed Hyperlink" xfId="19513" builtinId="9" hidden="1"/>
    <cellStyle name="Followed Hyperlink" xfId="19514" builtinId="9" hidden="1"/>
    <cellStyle name="Followed Hyperlink" xfId="19515" builtinId="9" hidden="1"/>
    <cellStyle name="Followed Hyperlink" xfId="19516" builtinId="9" hidden="1"/>
    <cellStyle name="Followed Hyperlink" xfId="19517" builtinId="9" hidden="1"/>
    <cellStyle name="Followed Hyperlink" xfId="19518" builtinId="9" hidden="1"/>
    <cellStyle name="Followed Hyperlink" xfId="19519" builtinId="9" hidden="1"/>
    <cellStyle name="Followed Hyperlink" xfId="19520" builtinId="9" hidden="1"/>
    <cellStyle name="Followed Hyperlink" xfId="19521" builtinId="9" hidden="1"/>
    <cellStyle name="Followed Hyperlink" xfId="19522" builtinId="9" hidden="1"/>
    <cellStyle name="Followed Hyperlink" xfId="19523" builtinId="9" hidden="1"/>
    <cellStyle name="Followed Hyperlink" xfId="19524" builtinId="9" hidden="1"/>
    <cellStyle name="Followed Hyperlink" xfId="19525" builtinId="9" hidden="1"/>
    <cellStyle name="Followed Hyperlink" xfId="19526" builtinId="9" hidden="1"/>
    <cellStyle name="Followed Hyperlink" xfId="19527" builtinId="9" hidden="1"/>
    <cellStyle name="Followed Hyperlink" xfId="19528" builtinId="9" hidden="1"/>
    <cellStyle name="Followed Hyperlink" xfId="19529" builtinId="9" hidden="1"/>
    <cellStyle name="Followed Hyperlink" xfId="19530" builtinId="9" hidden="1"/>
    <cellStyle name="Followed Hyperlink" xfId="19531" builtinId="9" hidden="1"/>
    <cellStyle name="Followed Hyperlink" xfId="19532" builtinId="9" hidden="1"/>
    <cellStyle name="Followed Hyperlink" xfId="19533" builtinId="9" hidden="1"/>
    <cellStyle name="Followed Hyperlink" xfId="19534" builtinId="9" hidden="1"/>
    <cellStyle name="Followed Hyperlink" xfId="19535" builtinId="9" hidden="1"/>
    <cellStyle name="Followed Hyperlink" xfId="19536" builtinId="9" hidden="1"/>
    <cellStyle name="Followed Hyperlink" xfId="19537" builtinId="9" hidden="1"/>
    <cellStyle name="Followed Hyperlink" xfId="19538" builtinId="9" hidden="1"/>
    <cellStyle name="Followed Hyperlink" xfId="19539" builtinId="9" hidden="1"/>
    <cellStyle name="Followed Hyperlink" xfId="19540" builtinId="9" hidden="1"/>
    <cellStyle name="Followed Hyperlink" xfId="19541" builtinId="9" hidden="1"/>
    <cellStyle name="Followed Hyperlink" xfId="19542" builtinId="9" hidden="1"/>
    <cellStyle name="Followed Hyperlink" xfId="19543" builtinId="9" hidden="1"/>
    <cellStyle name="Followed Hyperlink" xfId="19544" builtinId="9" hidden="1"/>
    <cellStyle name="Followed Hyperlink" xfId="19545" builtinId="9" hidden="1"/>
    <cellStyle name="Followed Hyperlink" xfId="19546" builtinId="9" hidden="1"/>
    <cellStyle name="Followed Hyperlink" xfId="19547" builtinId="9" hidden="1"/>
    <cellStyle name="Followed Hyperlink" xfId="19548" builtinId="9" hidden="1"/>
    <cellStyle name="Followed Hyperlink" xfId="19549" builtinId="9" hidden="1"/>
    <cellStyle name="Followed Hyperlink" xfId="19550" builtinId="9" hidden="1"/>
    <cellStyle name="Followed Hyperlink" xfId="19551" builtinId="9" hidden="1"/>
    <cellStyle name="Followed Hyperlink" xfId="19552" builtinId="9" hidden="1"/>
    <cellStyle name="Followed Hyperlink" xfId="19553" builtinId="9" hidden="1"/>
    <cellStyle name="Followed Hyperlink" xfId="19554" builtinId="9" hidden="1"/>
    <cellStyle name="Followed Hyperlink" xfId="19555" builtinId="9" hidden="1"/>
    <cellStyle name="Followed Hyperlink" xfId="19556" builtinId="9" hidden="1"/>
    <cellStyle name="Followed Hyperlink" xfId="19557" builtinId="9" hidden="1"/>
    <cellStyle name="Followed Hyperlink" xfId="19558" builtinId="9" hidden="1"/>
    <cellStyle name="Followed Hyperlink" xfId="19559" builtinId="9" hidden="1"/>
    <cellStyle name="Followed Hyperlink" xfId="19560" builtinId="9" hidden="1"/>
    <cellStyle name="Followed Hyperlink" xfId="19561" builtinId="9" hidden="1"/>
    <cellStyle name="Followed Hyperlink" xfId="19562" builtinId="9" hidden="1"/>
    <cellStyle name="Followed Hyperlink" xfId="19563" builtinId="9" hidden="1"/>
    <cellStyle name="Followed Hyperlink" xfId="19564" builtinId="9" hidden="1"/>
    <cellStyle name="Followed Hyperlink" xfId="19565" builtinId="9" hidden="1"/>
    <cellStyle name="Followed Hyperlink" xfId="19566" builtinId="9" hidden="1"/>
    <cellStyle name="Followed Hyperlink" xfId="19567" builtinId="9" hidden="1"/>
    <cellStyle name="Followed Hyperlink" xfId="19568" builtinId="9" hidden="1"/>
    <cellStyle name="Followed Hyperlink" xfId="19569" builtinId="9" hidden="1"/>
    <cellStyle name="Followed Hyperlink" xfId="19570" builtinId="9" hidden="1"/>
    <cellStyle name="Followed Hyperlink" xfId="19571" builtinId="9" hidden="1"/>
    <cellStyle name="Followed Hyperlink" xfId="19572" builtinId="9" hidden="1"/>
    <cellStyle name="Followed Hyperlink" xfId="19573" builtinId="9" hidden="1"/>
    <cellStyle name="Followed Hyperlink" xfId="19574" builtinId="9" hidden="1"/>
    <cellStyle name="Followed Hyperlink" xfId="19575" builtinId="9" hidden="1"/>
    <cellStyle name="Followed Hyperlink" xfId="19576" builtinId="9" hidden="1"/>
    <cellStyle name="Followed Hyperlink" xfId="19577" builtinId="9" hidden="1"/>
    <cellStyle name="Followed Hyperlink" xfId="19578" builtinId="9" hidden="1"/>
    <cellStyle name="Followed Hyperlink" xfId="19579" builtinId="9" hidden="1"/>
    <cellStyle name="Followed Hyperlink" xfId="19580" builtinId="9" hidden="1"/>
    <cellStyle name="Followed Hyperlink" xfId="19581" builtinId="9" hidden="1"/>
    <cellStyle name="Followed Hyperlink" xfId="19582" builtinId="9" hidden="1"/>
    <cellStyle name="Followed Hyperlink" xfId="19583" builtinId="9" hidden="1"/>
    <cellStyle name="Followed Hyperlink" xfId="19584" builtinId="9" hidden="1"/>
    <cellStyle name="Followed Hyperlink" xfId="19585" builtinId="9" hidden="1"/>
    <cellStyle name="Followed Hyperlink" xfId="19586" builtinId="9" hidden="1"/>
    <cellStyle name="Followed Hyperlink" xfId="19587" builtinId="9" hidden="1"/>
    <cellStyle name="Followed Hyperlink" xfId="19588" builtinId="9" hidden="1"/>
    <cellStyle name="Followed Hyperlink" xfId="19589" builtinId="9" hidden="1"/>
    <cellStyle name="Followed Hyperlink" xfId="19590" builtinId="9" hidden="1"/>
    <cellStyle name="Followed Hyperlink" xfId="19591" builtinId="9" hidden="1"/>
    <cellStyle name="Followed Hyperlink" xfId="19592" builtinId="9" hidden="1"/>
    <cellStyle name="Followed Hyperlink" xfId="19593" builtinId="9" hidden="1"/>
    <cellStyle name="Followed Hyperlink" xfId="19594" builtinId="9" hidden="1"/>
    <cellStyle name="Followed Hyperlink" xfId="19595" builtinId="9" hidden="1"/>
    <cellStyle name="Followed Hyperlink" xfId="19596" builtinId="9" hidden="1"/>
    <cellStyle name="Followed Hyperlink" xfId="19597" builtinId="9" hidden="1"/>
    <cellStyle name="Followed Hyperlink" xfId="19598" builtinId="9" hidden="1"/>
    <cellStyle name="Followed Hyperlink" xfId="19599" builtinId="9" hidden="1"/>
    <cellStyle name="Followed Hyperlink" xfId="19600" builtinId="9" hidden="1"/>
    <cellStyle name="Followed Hyperlink" xfId="19601" builtinId="9" hidden="1"/>
    <cellStyle name="Followed Hyperlink" xfId="19602" builtinId="9" hidden="1"/>
    <cellStyle name="Followed Hyperlink" xfId="18656" builtinId="9" hidden="1"/>
    <cellStyle name="Followed Hyperlink" xfId="19895" builtinId="9" hidden="1"/>
    <cellStyle name="Followed Hyperlink" xfId="19859" builtinId="9" hidden="1"/>
    <cellStyle name="Followed Hyperlink" xfId="19760" builtinId="9" hidden="1"/>
    <cellStyle name="Followed Hyperlink" xfId="19742" builtinId="9" hidden="1"/>
    <cellStyle name="Followed Hyperlink" xfId="19745" builtinId="9" hidden="1"/>
    <cellStyle name="Followed Hyperlink" xfId="19812" builtinId="9" hidden="1"/>
    <cellStyle name="Followed Hyperlink" xfId="19675" builtinId="9" hidden="1"/>
    <cellStyle name="Followed Hyperlink" xfId="18833" builtinId="9" hidden="1"/>
    <cellStyle name="Followed Hyperlink" xfId="19734" builtinId="9" hidden="1"/>
    <cellStyle name="Followed Hyperlink" xfId="19648" builtinId="9" hidden="1"/>
    <cellStyle name="Followed Hyperlink" xfId="19806" builtinId="9" hidden="1"/>
    <cellStyle name="Followed Hyperlink" xfId="19647" builtinId="9" hidden="1"/>
    <cellStyle name="Followed Hyperlink" xfId="18650" builtinId="9" hidden="1"/>
    <cellStyle name="Followed Hyperlink" xfId="19924" builtinId="9" hidden="1"/>
    <cellStyle name="Followed Hyperlink" xfId="19803" builtinId="9" hidden="1"/>
    <cellStyle name="Followed Hyperlink" xfId="19717" builtinId="9" hidden="1"/>
    <cellStyle name="Followed Hyperlink" xfId="19645" builtinId="9" hidden="1"/>
    <cellStyle name="Followed Hyperlink" xfId="19646" builtinId="9" hidden="1"/>
    <cellStyle name="Followed Hyperlink" xfId="20271" builtinId="9" hidden="1"/>
    <cellStyle name="Followed Hyperlink" xfId="19929" builtinId="9" hidden="1"/>
    <cellStyle name="Followed Hyperlink" xfId="19938" builtinId="9" hidden="1"/>
    <cellStyle name="Followed Hyperlink" xfId="19847" builtinId="9" hidden="1"/>
    <cellStyle name="Followed Hyperlink" xfId="19846" builtinId="9" hidden="1"/>
    <cellStyle name="Followed Hyperlink" xfId="19845" builtinId="9" hidden="1"/>
    <cellStyle name="Followed Hyperlink" xfId="19844" builtinId="9" hidden="1"/>
    <cellStyle name="Followed Hyperlink" xfId="19671" builtinId="9" hidden="1"/>
    <cellStyle name="Followed Hyperlink" xfId="17779" builtinId="9" hidden="1"/>
    <cellStyle name="Followed Hyperlink" xfId="19643" builtinId="9" hidden="1"/>
    <cellStyle name="Followed Hyperlink" xfId="19910" builtinId="9" hidden="1"/>
    <cellStyle name="Followed Hyperlink" xfId="19641" builtinId="9" hidden="1"/>
    <cellStyle name="Followed Hyperlink" xfId="19642" builtinId="9" hidden="1"/>
    <cellStyle name="Followed Hyperlink" xfId="18836" builtinId="9" hidden="1"/>
    <cellStyle name="Followed Hyperlink" xfId="19813" builtinId="9" hidden="1"/>
    <cellStyle name="Followed Hyperlink" xfId="19666" builtinId="9" hidden="1"/>
    <cellStyle name="Followed Hyperlink" xfId="19667" builtinId="9" hidden="1"/>
    <cellStyle name="Followed Hyperlink" xfId="18032" builtinId="9" hidden="1"/>
    <cellStyle name="Followed Hyperlink" xfId="19843" builtinId="9" hidden="1"/>
    <cellStyle name="Followed Hyperlink" xfId="15865" builtinId="9" hidden="1"/>
    <cellStyle name="Followed Hyperlink" xfId="19899" builtinId="9" hidden="1"/>
    <cellStyle name="Followed Hyperlink" xfId="19874" builtinId="9" hidden="1"/>
    <cellStyle name="Followed Hyperlink" xfId="19842" builtinId="9" hidden="1"/>
    <cellStyle name="Followed Hyperlink" xfId="19884" builtinId="9" hidden="1"/>
    <cellStyle name="Followed Hyperlink" xfId="19826" builtinId="9" hidden="1"/>
    <cellStyle name="Followed Hyperlink" xfId="19886" builtinId="9" hidden="1"/>
    <cellStyle name="Followed Hyperlink" xfId="19841" builtinId="9" hidden="1"/>
    <cellStyle name="Followed Hyperlink" xfId="19840" builtinId="9" hidden="1"/>
    <cellStyle name="Followed Hyperlink" xfId="19839" builtinId="9" hidden="1"/>
    <cellStyle name="Followed Hyperlink" xfId="18865" builtinId="9" hidden="1"/>
    <cellStyle name="Followed Hyperlink" xfId="19824" builtinId="9" hidden="1"/>
    <cellStyle name="Followed Hyperlink" xfId="17885" builtinId="9" hidden="1"/>
    <cellStyle name="Followed Hyperlink" xfId="18864" builtinId="9" hidden="1"/>
    <cellStyle name="Followed Hyperlink" xfId="19897" builtinId="9" hidden="1"/>
    <cellStyle name="Followed Hyperlink" xfId="19861" builtinId="9" hidden="1"/>
    <cellStyle name="Followed Hyperlink" xfId="19761" builtinId="9" hidden="1"/>
    <cellStyle name="Followed Hyperlink" xfId="19726" builtinId="9" hidden="1"/>
    <cellStyle name="Followed Hyperlink" xfId="19709" builtinId="9" hidden="1"/>
    <cellStyle name="Followed Hyperlink" xfId="19665" builtinId="9" hidden="1"/>
    <cellStyle name="Followed Hyperlink" xfId="18651" builtinId="9" hidden="1"/>
    <cellStyle name="Followed Hyperlink" xfId="19809" builtinId="9" hidden="1"/>
    <cellStyle name="Followed Hyperlink" xfId="19716" builtinId="9" hidden="1"/>
    <cellStyle name="Followed Hyperlink" xfId="19637" builtinId="9" hidden="1"/>
    <cellStyle name="Followed Hyperlink" xfId="19636" builtinId="9" hidden="1"/>
    <cellStyle name="Followed Hyperlink" xfId="19635" builtinId="9" hidden="1"/>
    <cellStyle name="Followed Hyperlink" xfId="19634" builtinId="9" hidden="1"/>
    <cellStyle name="Followed Hyperlink" xfId="18031" builtinId="9" hidden="1"/>
    <cellStyle name="Followed Hyperlink" xfId="19917" builtinId="9" hidden="1"/>
    <cellStyle name="Followed Hyperlink" xfId="17699" builtinId="9" hidden="1"/>
    <cellStyle name="Followed Hyperlink" xfId="19746" builtinId="9" hidden="1"/>
    <cellStyle name="Followed Hyperlink" xfId="19737" builtinId="9" hidden="1"/>
    <cellStyle name="Followed Hyperlink" xfId="19663" builtinId="9" hidden="1"/>
    <cellStyle name="Followed Hyperlink" xfId="17845" builtinId="9" hidden="1"/>
    <cellStyle name="Followed Hyperlink" xfId="19818" builtinId="9" hidden="1"/>
    <cellStyle name="Followed Hyperlink" xfId="19738" builtinId="9" hidden="1"/>
    <cellStyle name="Followed Hyperlink" xfId="19662" builtinId="9" hidden="1"/>
    <cellStyle name="Followed Hyperlink" xfId="18816" builtinId="9" hidden="1"/>
    <cellStyle name="Followed Hyperlink" xfId="19631" builtinId="9" hidden="1"/>
    <cellStyle name="Followed Hyperlink" xfId="19630" builtinId="9" hidden="1"/>
    <cellStyle name="Followed Hyperlink" xfId="18057" builtinId="9" hidden="1"/>
    <cellStyle name="Followed Hyperlink" xfId="19629" builtinId="9" hidden="1"/>
    <cellStyle name="Followed Hyperlink" xfId="18660" builtinId="9" hidden="1"/>
    <cellStyle name="Followed Hyperlink" xfId="19872" builtinId="9" hidden="1"/>
    <cellStyle name="Followed Hyperlink" xfId="19837" builtinId="9" hidden="1"/>
    <cellStyle name="Followed Hyperlink" xfId="19624" builtinId="9" hidden="1"/>
    <cellStyle name="Followed Hyperlink" xfId="19628" builtinId="9" hidden="1"/>
    <cellStyle name="Followed Hyperlink" xfId="19659" builtinId="9" hidden="1"/>
    <cellStyle name="Followed Hyperlink" xfId="17813" builtinId="9" hidden="1"/>
    <cellStyle name="Followed Hyperlink" xfId="19904" builtinId="9" hidden="1"/>
    <cellStyle name="Followed Hyperlink" xfId="19625" builtinId="9" hidden="1"/>
    <cellStyle name="Followed Hyperlink" xfId="19626" builtinId="9" hidden="1"/>
    <cellStyle name="Followed Hyperlink" xfId="15432" builtinId="9" hidden="1"/>
    <cellStyle name="Followed Hyperlink" xfId="19922" builtinId="9" hidden="1"/>
    <cellStyle name="Followed Hyperlink" xfId="19870" builtinId="9" hidden="1"/>
    <cellStyle name="Followed Hyperlink" xfId="20270" builtinId="9" hidden="1"/>
    <cellStyle name="Followed Hyperlink" xfId="19932" builtinId="9" hidden="1"/>
    <cellStyle name="Followed Hyperlink" xfId="19930" builtinId="9" hidden="1"/>
    <cellStyle name="Followed Hyperlink" xfId="19919" builtinId="9" hidden="1"/>
    <cellStyle name="Followed Hyperlink" xfId="17918" builtinId="9" hidden="1"/>
    <cellStyle name="Followed Hyperlink" xfId="19834" builtinId="9" hidden="1"/>
    <cellStyle name="Followed Hyperlink" xfId="19833" builtinId="9" hidden="1"/>
    <cellStyle name="Followed Hyperlink" xfId="19832" builtinId="9" hidden="1"/>
    <cellStyle name="Followed Hyperlink" xfId="19831" builtinId="9" hidden="1"/>
    <cellStyle name="Followed Hyperlink" xfId="19656" builtinId="9" hidden="1"/>
    <cellStyle name="Followed Hyperlink" xfId="16091" builtinId="9" hidden="1"/>
    <cellStyle name="Followed Hyperlink" xfId="19622" builtinId="9" hidden="1"/>
    <cellStyle name="Followed Hyperlink" xfId="19654" builtinId="9" hidden="1"/>
    <cellStyle name="Followed Hyperlink" xfId="18838" builtinId="9" hidden="1"/>
    <cellStyle name="Followed Hyperlink" xfId="19921" builtinId="9" hidden="1"/>
    <cellStyle name="Followed Hyperlink" xfId="19869" builtinId="9" hidden="1"/>
    <cellStyle name="Followed Hyperlink" xfId="19867" builtinId="9" hidden="1"/>
    <cellStyle name="Followed Hyperlink" xfId="19916" builtinId="9" hidden="1"/>
    <cellStyle name="Followed Hyperlink" xfId="19914" builtinId="9" hidden="1"/>
    <cellStyle name="Followed Hyperlink" xfId="19912" builtinId="9" hidden="1"/>
    <cellStyle name="Followed Hyperlink" xfId="19898" builtinId="9" hidden="1"/>
    <cellStyle name="Followed Hyperlink" xfId="19937" builtinId="9" hidden="1"/>
    <cellStyle name="Followed Hyperlink" xfId="18053" builtinId="9" hidden="1"/>
    <cellStyle name="Followed Hyperlink" xfId="19617" builtinId="9" hidden="1"/>
    <cellStyle name="Followed Hyperlink" xfId="19618" builtinId="9" hidden="1"/>
    <cellStyle name="Followed Hyperlink" xfId="18746" builtinId="9" hidden="1"/>
    <cellStyle name="Followed Hyperlink" xfId="19351" builtinId="9" hidden="1"/>
    <cellStyle name="Followed Hyperlink" xfId="19865" builtinId="9" hidden="1"/>
    <cellStyle name="Followed Hyperlink" xfId="19881" builtinId="9" hidden="1"/>
    <cellStyle name="Followed Hyperlink" xfId="19763" builtinId="9" hidden="1"/>
    <cellStyle name="Followed Hyperlink" xfId="19882" builtinId="9" hidden="1"/>
    <cellStyle name="Followed Hyperlink" xfId="19822" builtinId="9" hidden="1"/>
    <cellStyle name="Followed Hyperlink" xfId="19753" builtinId="9" hidden="1"/>
    <cellStyle name="Followed Hyperlink" xfId="19718" builtinId="9" hidden="1"/>
    <cellStyle name="Followed Hyperlink" xfId="19723" builtinId="9" hidden="1"/>
    <cellStyle name="Followed Hyperlink" xfId="19896" builtinId="9" hidden="1"/>
    <cellStyle name="Followed Hyperlink" xfId="19860" builtinId="9" hidden="1"/>
    <cellStyle name="Followed Hyperlink" xfId="19759" builtinId="9" hidden="1"/>
    <cellStyle name="Followed Hyperlink" xfId="19741" builtinId="9" hidden="1"/>
    <cellStyle name="Followed Hyperlink" xfId="19894" builtinId="9" hidden="1"/>
    <cellStyle name="Followed Hyperlink" xfId="19858" builtinId="9" hidden="1"/>
    <cellStyle name="Followed Hyperlink" xfId="19810" builtinId="9" hidden="1"/>
    <cellStyle name="Followed Hyperlink" xfId="19748" builtinId="9" hidden="1"/>
    <cellStyle name="Followed Hyperlink" xfId="19650" builtinId="9" hidden="1"/>
    <cellStyle name="Followed Hyperlink" xfId="19736" builtinId="9" hidden="1"/>
    <cellStyle name="Followed Hyperlink" xfId="19804" builtinId="9" hidden="1"/>
    <cellStyle name="Followed Hyperlink" xfId="19616" builtinId="9" hidden="1"/>
    <cellStyle name="Followed Hyperlink" xfId="19708" builtinId="9" hidden="1"/>
    <cellStyle name="Followed Hyperlink" xfId="19794" builtinId="9" hidden="1"/>
    <cellStyle name="Followed Hyperlink" xfId="18839" builtinId="9" hidden="1"/>
    <cellStyle name="Followed Hyperlink" xfId="19793" builtinId="9" hidden="1"/>
    <cellStyle name="Followed Hyperlink" xfId="19744" builtinId="9" hidden="1"/>
    <cellStyle name="Followed Hyperlink" xfId="17889" builtinId="9" hidden="1"/>
    <cellStyle name="Followed Hyperlink" xfId="19758" builtinId="9" hidden="1"/>
    <cellStyle name="Followed Hyperlink" xfId="19704" builtinId="9" hidden="1"/>
    <cellStyle name="Followed Hyperlink" xfId="18655" builtinId="9" hidden="1"/>
    <cellStyle name="Followed Hyperlink" xfId="18768" builtinId="9" hidden="1"/>
    <cellStyle name="Followed Hyperlink" xfId="20267" builtinId="9" hidden="1"/>
    <cellStyle name="Followed Hyperlink" xfId="20265" builtinId="9" hidden="1"/>
    <cellStyle name="Followed Hyperlink" xfId="20263" builtinId="9" hidden="1"/>
    <cellStyle name="Followed Hyperlink" xfId="20261" builtinId="9" hidden="1"/>
    <cellStyle name="Followed Hyperlink" xfId="20259" builtinId="9" hidden="1"/>
    <cellStyle name="Followed Hyperlink" xfId="20257" builtinId="9" hidden="1"/>
    <cellStyle name="Followed Hyperlink" xfId="20255" builtinId="9" hidden="1"/>
    <cellStyle name="Followed Hyperlink" xfId="20253" builtinId="9" hidden="1"/>
    <cellStyle name="Followed Hyperlink" xfId="20251" builtinId="9" hidden="1"/>
    <cellStyle name="Followed Hyperlink" xfId="20249" builtinId="9" hidden="1"/>
    <cellStyle name="Followed Hyperlink" xfId="20247" builtinId="9" hidden="1"/>
    <cellStyle name="Followed Hyperlink" xfId="20245" builtinId="9" hidden="1"/>
    <cellStyle name="Followed Hyperlink" xfId="20243" builtinId="9" hidden="1"/>
    <cellStyle name="Followed Hyperlink" xfId="20241" builtinId="9" hidden="1"/>
    <cellStyle name="Followed Hyperlink" xfId="20239" builtinId="9" hidden="1"/>
    <cellStyle name="Followed Hyperlink" xfId="20237" builtinId="9" hidden="1"/>
    <cellStyle name="Followed Hyperlink" xfId="20235" builtinId="9" hidden="1"/>
    <cellStyle name="Followed Hyperlink" xfId="20233" builtinId="9" hidden="1"/>
    <cellStyle name="Followed Hyperlink" xfId="20231" builtinId="9" hidden="1"/>
    <cellStyle name="Followed Hyperlink" xfId="20229" builtinId="9" hidden="1"/>
    <cellStyle name="Followed Hyperlink" xfId="20227" builtinId="9" hidden="1"/>
    <cellStyle name="Followed Hyperlink" xfId="20225" builtinId="9" hidden="1"/>
    <cellStyle name="Followed Hyperlink" xfId="20223" builtinId="9" hidden="1"/>
    <cellStyle name="Followed Hyperlink" xfId="20221" builtinId="9" hidden="1"/>
    <cellStyle name="Followed Hyperlink" xfId="20219" builtinId="9" hidden="1"/>
    <cellStyle name="Followed Hyperlink" xfId="20217" builtinId="9" hidden="1"/>
    <cellStyle name="Followed Hyperlink" xfId="20215" builtinId="9" hidden="1"/>
    <cellStyle name="Followed Hyperlink" xfId="20213" builtinId="9" hidden="1"/>
    <cellStyle name="Followed Hyperlink" xfId="20211" builtinId="9" hidden="1"/>
    <cellStyle name="Followed Hyperlink" xfId="20209" builtinId="9" hidden="1"/>
    <cellStyle name="Followed Hyperlink" xfId="20207" builtinId="9" hidden="1"/>
    <cellStyle name="Followed Hyperlink" xfId="20205" builtinId="9" hidden="1"/>
    <cellStyle name="Followed Hyperlink" xfId="20203" builtinId="9" hidden="1"/>
    <cellStyle name="Followed Hyperlink" xfId="20201" builtinId="9" hidden="1"/>
    <cellStyle name="Followed Hyperlink" xfId="20199" builtinId="9" hidden="1"/>
    <cellStyle name="Followed Hyperlink" xfId="20197" builtinId="9" hidden="1"/>
    <cellStyle name="Followed Hyperlink" xfId="20195" builtinId="9" hidden="1"/>
    <cellStyle name="Followed Hyperlink" xfId="20193" builtinId="9" hidden="1"/>
    <cellStyle name="Followed Hyperlink" xfId="20191" builtinId="9" hidden="1"/>
    <cellStyle name="Followed Hyperlink" xfId="20189" builtinId="9" hidden="1"/>
    <cellStyle name="Followed Hyperlink" xfId="20187" builtinId="9" hidden="1"/>
    <cellStyle name="Followed Hyperlink" xfId="20185" builtinId="9" hidden="1"/>
    <cellStyle name="Followed Hyperlink" xfId="20183" builtinId="9" hidden="1"/>
    <cellStyle name="Followed Hyperlink" xfId="20181" builtinId="9" hidden="1"/>
    <cellStyle name="Followed Hyperlink" xfId="20179" builtinId="9" hidden="1"/>
    <cellStyle name="Followed Hyperlink" xfId="20177" builtinId="9" hidden="1"/>
    <cellStyle name="Followed Hyperlink" xfId="20175" builtinId="9" hidden="1"/>
    <cellStyle name="Followed Hyperlink" xfId="20173" builtinId="9" hidden="1"/>
    <cellStyle name="Followed Hyperlink" xfId="20171" builtinId="9" hidden="1"/>
    <cellStyle name="Followed Hyperlink" xfId="20169" builtinId="9" hidden="1"/>
    <cellStyle name="Followed Hyperlink" xfId="20167" builtinId="9" hidden="1"/>
    <cellStyle name="Followed Hyperlink" xfId="20165" builtinId="9" hidden="1"/>
    <cellStyle name="Followed Hyperlink" xfId="20163" builtinId="9" hidden="1"/>
    <cellStyle name="Followed Hyperlink" xfId="20161" builtinId="9" hidden="1"/>
    <cellStyle name="Followed Hyperlink" xfId="20159" builtinId="9" hidden="1"/>
    <cellStyle name="Followed Hyperlink" xfId="20157" builtinId="9" hidden="1"/>
    <cellStyle name="Followed Hyperlink" xfId="20155" builtinId="9" hidden="1"/>
    <cellStyle name="Followed Hyperlink" xfId="20153" builtinId="9" hidden="1"/>
    <cellStyle name="Followed Hyperlink" xfId="20151" builtinId="9" hidden="1"/>
    <cellStyle name="Followed Hyperlink" xfId="20149" builtinId="9" hidden="1"/>
    <cellStyle name="Followed Hyperlink" xfId="20147" builtinId="9" hidden="1"/>
    <cellStyle name="Followed Hyperlink" xfId="20145" builtinId="9" hidden="1"/>
    <cellStyle name="Followed Hyperlink" xfId="20143" builtinId="9" hidden="1"/>
    <cellStyle name="Followed Hyperlink" xfId="20141" builtinId="9" hidden="1"/>
    <cellStyle name="Followed Hyperlink" xfId="20139" builtinId="9" hidden="1"/>
    <cellStyle name="Followed Hyperlink" xfId="20137" builtinId="9" hidden="1"/>
    <cellStyle name="Followed Hyperlink" xfId="20135" builtinId="9" hidden="1"/>
    <cellStyle name="Followed Hyperlink" xfId="20133" builtinId="9" hidden="1"/>
    <cellStyle name="Followed Hyperlink" xfId="20131" builtinId="9" hidden="1"/>
    <cellStyle name="Followed Hyperlink" xfId="20129" builtinId="9" hidden="1"/>
    <cellStyle name="Followed Hyperlink" xfId="20122" builtinId="9" hidden="1"/>
    <cellStyle name="Followed Hyperlink" xfId="20120" builtinId="9" hidden="1"/>
    <cellStyle name="Followed Hyperlink" xfId="20118" builtinId="9" hidden="1"/>
    <cellStyle name="Followed Hyperlink" xfId="20116" builtinId="9" hidden="1"/>
    <cellStyle name="Followed Hyperlink" xfId="20114" builtinId="9" hidden="1"/>
    <cellStyle name="Followed Hyperlink" xfId="20112" builtinId="9" hidden="1"/>
    <cellStyle name="Followed Hyperlink" xfId="20110" builtinId="9" hidden="1"/>
    <cellStyle name="Followed Hyperlink" xfId="20108" builtinId="9" hidden="1"/>
    <cellStyle name="Followed Hyperlink" xfId="20106" builtinId="9" hidden="1"/>
    <cellStyle name="Followed Hyperlink" xfId="20104" builtinId="9" hidden="1"/>
    <cellStyle name="Followed Hyperlink" xfId="20102" builtinId="9" hidden="1"/>
    <cellStyle name="Followed Hyperlink" xfId="20100" builtinId="9" hidden="1"/>
    <cellStyle name="Followed Hyperlink" xfId="20098" builtinId="9" hidden="1"/>
    <cellStyle name="Followed Hyperlink" xfId="20096" builtinId="9" hidden="1"/>
    <cellStyle name="Followed Hyperlink" xfId="20094" builtinId="9" hidden="1"/>
    <cellStyle name="Followed Hyperlink" xfId="20092" builtinId="9" hidden="1"/>
    <cellStyle name="Followed Hyperlink" xfId="20090" builtinId="9" hidden="1"/>
    <cellStyle name="Followed Hyperlink" xfId="20088" builtinId="9" hidden="1"/>
    <cellStyle name="Followed Hyperlink" xfId="20086" builtinId="9" hidden="1"/>
    <cellStyle name="Followed Hyperlink" xfId="20084" builtinId="9" hidden="1"/>
    <cellStyle name="Followed Hyperlink" xfId="20082" builtinId="9" hidden="1"/>
    <cellStyle name="Followed Hyperlink" xfId="20080" builtinId="9" hidden="1"/>
    <cellStyle name="Followed Hyperlink" xfId="20078" builtinId="9" hidden="1"/>
    <cellStyle name="Followed Hyperlink" xfId="20076" builtinId="9" hidden="1"/>
    <cellStyle name="Followed Hyperlink" xfId="20074" builtinId="9" hidden="1"/>
    <cellStyle name="Followed Hyperlink" xfId="20072" builtinId="9" hidden="1"/>
    <cellStyle name="Followed Hyperlink" xfId="20070" builtinId="9" hidden="1"/>
    <cellStyle name="Followed Hyperlink" xfId="20069" builtinId="9" hidden="1"/>
    <cellStyle name="Followed Hyperlink" xfId="20067" builtinId="9" hidden="1"/>
    <cellStyle name="Followed Hyperlink" xfId="20065" builtinId="9" hidden="1"/>
    <cellStyle name="Followed Hyperlink" xfId="20063" builtinId="9" hidden="1"/>
    <cellStyle name="Followed Hyperlink" xfId="20061" builtinId="9" hidden="1"/>
    <cellStyle name="Followed Hyperlink" xfId="20059" builtinId="9" hidden="1"/>
    <cellStyle name="Followed Hyperlink" xfId="20057" builtinId="9" hidden="1"/>
    <cellStyle name="Followed Hyperlink" xfId="20055" builtinId="9" hidden="1"/>
    <cellStyle name="Followed Hyperlink" xfId="20053" builtinId="9" hidden="1"/>
    <cellStyle name="Followed Hyperlink" xfId="20051" builtinId="9" hidden="1"/>
    <cellStyle name="Followed Hyperlink" xfId="20049" builtinId="9" hidden="1"/>
    <cellStyle name="Followed Hyperlink" xfId="20047" builtinId="9" hidden="1"/>
    <cellStyle name="Followed Hyperlink" xfId="20045" builtinId="9" hidden="1"/>
    <cellStyle name="Followed Hyperlink" xfId="20043" builtinId="9" hidden="1"/>
    <cellStyle name="Followed Hyperlink" xfId="20041" builtinId="9" hidden="1"/>
    <cellStyle name="Followed Hyperlink" xfId="20039" builtinId="9" hidden="1"/>
    <cellStyle name="Followed Hyperlink" xfId="20037" builtinId="9" hidden="1"/>
    <cellStyle name="Followed Hyperlink" xfId="20035" builtinId="9" hidden="1"/>
    <cellStyle name="Followed Hyperlink" xfId="20033" builtinId="9" hidden="1"/>
    <cellStyle name="Followed Hyperlink" xfId="20031" builtinId="9" hidden="1"/>
    <cellStyle name="Followed Hyperlink" xfId="20029" builtinId="9" hidden="1"/>
    <cellStyle name="Followed Hyperlink" xfId="20027" builtinId="9" hidden="1"/>
    <cellStyle name="Followed Hyperlink" xfId="20025" builtinId="9" hidden="1"/>
    <cellStyle name="Followed Hyperlink" xfId="20023" builtinId="9" hidden="1"/>
    <cellStyle name="Followed Hyperlink" xfId="20021" builtinId="9" hidden="1"/>
    <cellStyle name="Followed Hyperlink" xfId="20019" builtinId="9" hidden="1"/>
    <cellStyle name="Followed Hyperlink" xfId="20017" builtinId="9" hidden="1"/>
    <cellStyle name="Followed Hyperlink" xfId="20015" builtinId="9" hidden="1"/>
    <cellStyle name="Followed Hyperlink" xfId="20013" builtinId="9" hidden="1"/>
    <cellStyle name="Followed Hyperlink" xfId="20011" builtinId="9" hidden="1"/>
    <cellStyle name="Followed Hyperlink" xfId="20009" builtinId="9" hidden="1"/>
    <cellStyle name="Followed Hyperlink" xfId="20007" builtinId="9" hidden="1"/>
    <cellStyle name="Followed Hyperlink" xfId="20005" builtinId="9" hidden="1"/>
    <cellStyle name="Followed Hyperlink" xfId="20003" builtinId="9" hidden="1"/>
    <cellStyle name="Followed Hyperlink" xfId="20001" builtinId="9" hidden="1"/>
    <cellStyle name="Followed Hyperlink" xfId="19999" builtinId="9" hidden="1"/>
    <cellStyle name="Followed Hyperlink" xfId="19997" builtinId="9" hidden="1"/>
    <cellStyle name="Followed Hyperlink" xfId="19995" builtinId="9" hidden="1"/>
    <cellStyle name="Followed Hyperlink" xfId="19993" builtinId="9" hidden="1"/>
    <cellStyle name="Followed Hyperlink" xfId="19991" builtinId="9" hidden="1"/>
    <cellStyle name="Followed Hyperlink" xfId="19989" builtinId="9" hidden="1"/>
    <cellStyle name="Followed Hyperlink" xfId="19987" builtinId="9" hidden="1"/>
    <cellStyle name="Followed Hyperlink" xfId="19985" builtinId="9" hidden="1"/>
    <cellStyle name="Followed Hyperlink" xfId="19983" builtinId="9" hidden="1"/>
    <cellStyle name="Followed Hyperlink" xfId="19981" builtinId="9" hidden="1"/>
    <cellStyle name="Followed Hyperlink" xfId="19979" builtinId="9" hidden="1"/>
    <cellStyle name="Followed Hyperlink" xfId="19977" builtinId="9" hidden="1"/>
    <cellStyle name="Followed Hyperlink" xfId="19975" builtinId="9" hidden="1"/>
    <cellStyle name="Followed Hyperlink" xfId="19973" builtinId="9" hidden="1"/>
    <cellStyle name="Followed Hyperlink" xfId="19971" builtinId="9" hidden="1"/>
    <cellStyle name="Followed Hyperlink" xfId="19969" builtinId="9" hidden="1"/>
    <cellStyle name="Followed Hyperlink" xfId="19967" builtinId="9" hidden="1"/>
    <cellStyle name="Followed Hyperlink" xfId="19966" builtinId="9" hidden="1"/>
    <cellStyle name="Followed Hyperlink" xfId="19964" builtinId="9" hidden="1"/>
    <cellStyle name="Followed Hyperlink" xfId="19962" builtinId="9" hidden="1"/>
    <cellStyle name="Followed Hyperlink" xfId="19960" builtinId="9" hidden="1"/>
    <cellStyle name="Followed Hyperlink" xfId="19958" builtinId="9" hidden="1"/>
    <cellStyle name="Followed Hyperlink" xfId="19956" builtinId="9" hidden="1"/>
    <cellStyle name="Followed Hyperlink" xfId="19954" builtinId="9" hidden="1"/>
    <cellStyle name="Followed Hyperlink" xfId="19952" builtinId="9" hidden="1"/>
    <cellStyle name="Followed Hyperlink" xfId="19950" builtinId="9" hidden="1"/>
    <cellStyle name="Followed Hyperlink" xfId="19948" builtinId="9" hidden="1"/>
    <cellStyle name="Followed Hyperlink" xfId="19946" builtinId="9" hidden="1"/>
    <cellStyle name="Followed Hyperlink" xfId="19944" builtinId="9" hidden="1"/>
    <cellStyle name="Followed Hyperlink" xfId="19942" builtinId="9" hidden="1"/>
    <cellStyle name="Followed Hyperlink" xfId="19940" builtinId="9" hidden="1"/>
    <cellStyle name="Followed Hyperlink" xfId="17781" builtinId="9" hidden="1"/>
    <cellStyle name="Followed Hyperlink" xfId="18976" builtinId="9" hidden="1"/>
    <cellStyle name="Followed Hyperlink" xfId="18672" builtinId="9" hidden="1"/>
    <cellStyle name="Followed Hyperlink" xfId="18707" builtinId="9" hidden="1"/>
    <cellStyle name="Followed Hyperlink" xfId="18493" builtinId="9" hidden="1"/>
    <cellStyle name="Followed Hyperlink" xfId="18783" builtinId="9" hidden="1"/>
    <cellStyle name="Followed Hyperlink" xfId="18907" builtinId="9" hidden="1"/>
    <cellStyle name="Followed Hyperlink" xfId="19003" builtinId="9" hidden="1"/>
    <cellStyle name="Followed Hyperlink" xfId="19013" builtinId="9" hidden="1"/>
    <cellStyle name="Followed Hyperlink" xfId="18944" builtinId="9" hidden="1"/>
    <cellStyle name="Followed Hyperlink" xfId="17686" builtinId="9" hidden="1"/>
    <cellStyle name="Followed Hyperlink" xfId="18709" builtinId="9" hidden="1"/>
    <cellStyle name="Followed Hyperlink" xfId="18678" builtinId="9" hidden="1"/>
    <cellStyle name="Followed Hyperlink" xfId="18712" builtinId="9" hidden="1"/>
    <cellStyle name="Followed Hyperlink" xfId="18910" builtinId="9" hidden="1"/>
    <cellStyle name="Followed Hyperlink" xfId="18495" builtinId="9" hidden="1"/>
    <cellStyle name="Followed Hyperlink" xfId="15290" builtinId="9" hidden="1"/>
    <cellStyle name="Followed Hyperlink" xfId="18051" builtinId="9" hidden="1"/>
    <cellStyle name="Followed Hyperlink" xfId="18908" builtinId="9" hidden="1"/>
    <cellStyle name="Followed Hyperlink" xfId="17694" builtinId="9" hidden="1"/>
    <cellStyle name="Followed Hyperlink" xfId="19006" builtinId="9" hidden="1"/>
    <cellStyle name="Followed Hyperlink" xfId="19011" builtinId="9" hidden="1"/>
    <cellStyle name="Followed Hyperlink" xfId="18784" builtinId="9" hidden="1"/>
    <cellStyle name="Followed Hyperlink" xfId="18674" builtinId="9" hidden="1"/>
    <cellStyle name="Followed Hyperlink" xfId="19005" builtinId="9" hidden="1"/>
    <cellStyle name="Followed Hyperlink" xfId="19939" builtinId="9" hidden="1"/>
    <cellStyle name="Followed Hyperlink" xfId="19943" builtinId="9" hidden="1"/>
    <cellStyle name="Followed Hyperlink" xfId="19947" builtinId="9" hidden="1"/>
    <cellStyle name="Followed Hyperlink" xfId="19951" builtinId="9" hidden="1"/>
    <cellStyle name="Followed Hyperlink" xfId="19955" builtinId="9" hidden="1"/>
    <cellStyle name="Followed Hyperlink" xfId="19959" builtinId="9" hidden="1"/>
    <cellStyle name="Followed Hyperlink" xfId="19963" builtinId="9" hidden="1"/>
    <cellStyle name="Followed Hyperlink" xfId="19722" builtinId="9" hidden="1"/>
    <cellStyle name="Followed Hyperlink" xfId="19970" builtinId="9" hidden="1"/>
    <cellStyle name="Followed Hyperlink" xfId="19974" builtinId="9" hidden="1"/>
    <cellStyle name="Followed Hyperlink" xfId="19978" builtinId="9" hidden="1"/>
    <cellStyle name="Followed Hyperlink" xfId="19982" builtinId="9" hidden="1"/>
    <cellStyle name="Followed Hyperlink" xfId="19986" builtinId="9" hidden="1"/>
    <cellStyle name="Followed Hyperlink" xfId="19990" builtinId="9" hidden="1"/>
    <cellStyle name="Followed Hyperlink" xfId="19994" builtinId="9" hidden="1"/>
    <cellStyle name="Followed Hyperlink" xfId="19998" builtinId="9" hidden="1"/>
    <cellStyle name="Followed Hyperlink" xfId="20002" builtinId="9" hidden="1"/>
    <cellStyle name="Followed Hyperlink" xfId="20006" builtinId="9" hidden="1"/>
    <cellStyle name="Followed Hyperlink" xfId="20010" builtinId="9" hidden="1"/>
    <cellStyle name="Followed Hyperlink" xfId="20014" builtinId="9" hidden="1"/>
    <cellStyle name="Followed Hyperlink" xfId="20018" builtinId="9" hidden="1"/>
    <cellStyle name="Followed Hyperlink" xfId="20022" builtinId="9" hidden="1"/>
    <cellStyle name="Followed Hyperlink" xfId="20026" builtinId="9" hidden="1"/>
    <cellStyle name="Followed Hyperlink" xfId="20030" builtinId="9" hidden="1"/>
    <cellStyle name="Followed Hyperlink" xfId="20034" builtinId="9" hidden="1"/>
    <cellStyle name="Followed Hyperlink" xfId="20038" builtinId="9" hidden="1"/>
    <cellStyle name="Followed Hyperlink" xfId="20042" builtinId="9" hidden="1"/>
    <cellStyle name="Followed Hyperlink" xfId="20046" builtinId="9" hidden="1"/>
    <cellStyle name="Followed Hyperlink" xfId="20050" builtinId="9" hidden="1"/>
    <cellStyle name="Followed Hyperlink" xfId="20054" builtinId="9" hidden="1"/>
    <cellStyle name="Followed Hyperlink" xfId="20058" builtinId="9" hidden="1"/>
    <cellStyle name="Followed Hyperlink" xfId="20062" builtinId="9" hidden="1"/>
    <cellStyle name="Followed Hyperlink" xfId="20066" builtinId="9" hidden="1"/>
    <cellStyle name="Followed Hyperlink" xfId="18840" builtinId="9" hidden="1"/>
    <cellStyle name="Followed Hyperlink" xfId="20073" builtinId="9" hidden="1"/>
    <cellStyle name="Followed Hyperlink" xfId="20077" builtinId="9" hidden="1"/>
    <cellStyle name="Followed Hyperlink" xfId="20081" builtinId="9" hidden="1"/>
    <cellStyle name="Followed Hyperlink" xfId="20085" builtinId="9" hidden="1"/>
    <cellStyle name="Followed Hyperlink" xfId="20089" builtinId="9" hidden="1"/>
    <cellStyle name="Followed Hyperlink" xfId="20093" builtinId="9" hidden="1"/>
    <cellStyle name="Followed Hyperlink" xfId="20097" builtinId="9" hidden="1"/>
    <cellStyle name="Followed Hyperlink" xfId="20101" builtinId="9" hidden="1"/>
    <cellStyle name="Followed Hyperlink" xfId="20105" builtinId="9" hidden="1"/>
    <cellStyle name="Followed Hyperlink" xfId="20109" builtinId="9" hidden="1"/>
    <cellStyle name="Followed Hyperlink" xfId="20113" builtinId="9" hidden="1"/>
    <cellStyle name="Followed Hyperlink" xfId="20117" builtinId="9" hidden="1"/>
    <cellStyle name="Followed Hyperlink" xfId="20121" builtinId="9" hidden="1"/>
    <cellStyle name="Followed Hyperlink" xfId="18030" builtinId="9" hidden="1"/>
    <cellStyle name="Followed Hyperlink" xfId="19911" builtinId="9" hidden="1"/>
    <cellStyle name="Followed Hyperlink" xfId="18713" builtinId="9" hidden="1"/>
    <cellStyle name="Followed Hyperlink" xfId="19016" builtinId="9" hidden="1"/>
    <cellStyle name="Followed Hyperlink" xfId="18770" builtinId="9" hidden="1"/>
    <cellStyle name="Followed Hyperlink" xfId="18877" builtinId="9" hidden="1"/>
    <cellStyle name="Followed Hyperlink" xfId="17835" builtinId="9" hidden="1"/>
    <cellStyle name="Followed Hyperlink" xfId="17737" builtinId="9" hidden="1"/>
    <cellStyle name="Followed Hyperlink" xfId="17692" builtinId="9" hidden="1"/>
    <cellStyle name="Followed Hyperlink" xfId="18801" builtinId="9" hidden="1"/>
    <cellStyle name="Followed Hyperlink" xfId="18689" builtinId="9" hidden="1"/>
    <cellStyle name="Followed Hyperlink" xfId="18880" builtinId="9" hidden="1"/>
    <cellStyle name="Followed Hyperlink" xfId="18923" builtinId="9" hidden="1"/>
    <cellStyle name="Followed Hyperlink" xfId="18979" builtinId="9" hidden="1"/>
    <cellStyle name="Followed Hyperlink" xfId="18765" builtinId="9" hidden="1"/>
    <cellStyle name="Followed Hyperlink" xfId="18786" builtinId="9" hidden="1"/>
    <cellStyle name="Followed Hyperlink" xfId="18863" builtinId="9" hidden="1"/>
    <cellStyle name="Followed Hyperlink" xfId="18965" builtinId="9" hidden="1"/>
    <cellStyle name="Followed Hyperlink" xfId="18961" builtinId="9" hidden="1"/>
    <cellStyle name="Followed Hyperlink" xfId="18948" builtinId="9" hidden="1"/>
    <cellStyle name="Followed Hyperlink" xfId="17048" builtinId="9" hidden="1"/>
    <cellStyle name="Followed Hyperlink" xfId="18691" builtinId="9" hidden="1"/>
    <cellStyle name="Followed Hyperlink" xfId="18809" builtinId="9" hidden="1"/>
    <cellStyle name="Followed Hyperlink" xfId="17685" builtinId="9" hidden="1"/>
    <cellStyle name="Followed Hyperlink" xfId="18720" builtinId="9" hidden="1"/>
    <cellStyle name="Followed Hyperlink" xfId="18722" builtinId="9" hidden="1"/>
    <cellStyle name="Followed Hyperlink" xfId="18494" builtinId="9" hidden="1"/>
    <cellStyle name="Followed Hyperlink" xfId="18789" builtinId="9" hidden="1"/>
    <cellStyle name="Followed Hyperlink" xfId="17691" builtinId="9" hidden="1"/>
    <cellStyle name="Followed Hyperlink" xfId="19015" builtinId="9" hidden="1"/>
    <cellStyle name="Followed Hyperlink" xfId="19002" builtinId="9" hidden="1"/>
    <cellStyle name="Followed Hyperlink" xfId="18800" builtinId="9" hidden="1"/>
    <cellStyle name="Followed Hyperlink" xfId="17690" builtinId="9" hidden="1"/>
    <cellStyle name="Followed Hyperlink" xfId="18725" builtinId="9" hidden="1"/>
    <cellStyle name="Followed Hyperlink" xfId="18726" builtinId="9" hidden="1"/>
    <cellStyle name="Followed Hyperlink" xfId="18700" builtinId="9" hidden="1"/>
    <cellStyle name="Followed Hyperlink" xfId="18702" builtinId="9" hidden="1"/>
    <cellStyle name="Followed Hyperlink" xfId="18812" builtinId="9" hidden="1"/>
    <cellStyle name="Followed Hyperlink" xfId="18951" builtinId="9" hidden="1"/>
    <cellStyle name="Followed Hyperlink" xfId="18766" builtinId="9" hidden="1"/>
    <cellStyle name="Followed Hyperlink" xfId="18841" builtinId="9" hidden="1"/>
    <cellStyle name="Followed Hyperlink" xfId="19721" builtinId="9" hidden="1"/>
    <cellStyle name="Followed Hyperlink" xfId="16872" builtinId="9" hidden="1"/>
    <cellStyle name="Followed Hyperlink" xfId="19703" builtinId="9" hidden="1"/>
    <cellStyle name="Followed Hyperlink" xfId="15430" builtinId="9" hidden="1"/>
    <cellStyle name="Followed Hyperlink" xfId="19702" builtinId="9" hidden="1"/>
    <cellStyle name="Followed Hyperlink" xfId="17776" builtinId="9" hidden="1"/>
    <cellStyle name="Followed Hyperlink" xfId="19788" builtinId="9" hidden="1"/>
    <cellStyle name="Followed Hyperlink" xfId="19701" builtinId="9" hidden="1"/>
    <cellStyle name="Followed Hyperlink" xfId="19700" builtinId="9" hidden="1"/>
    <cellStyle name="Followed Hyperlink" xfId="18843" builtinId="9" hidden="1"/>
    <cellStyle name="Followed Hyperlink" xfId="19698" builtinId="9" hidden="1"/>
    <cellStyle name="Followed Hyperlink" xfId="19823" builtinId="9" hidden="1"/>
    <cellStyle name="Followed Hyperlink" xfId="18748" builtinId="9" hidden="1"/>
    <cellStyle name="Followed Hyperlink" xfId="19695" builtinId="9" hidden="1"/>
    <cellStyle name="Followed Hyperlink" xfId="19905" builtinId="9" hidden="1"/>
    <cellStyle name="Followed Hyperlink" xfId="19901" builtinId="9" hidden="1"/>
    <cellStyle name="Followed Hyperlink" xfId="19864" builtinId="9" hidden="1"/>
    <cellStyle name="Followed Hyperlink" xfId="19863" builtinId="9" hidden="1"/>
    <cellStyle name="Followed Hyperlink" xfId="19862" builtinId="9" hidden="1"/>
    <cellStyle name="Followed Hyperlink" xfId="19828" builtinId="9" hidden="1"/>
    <cellStyle name="Followed Hyperlink" xfId="19890" builtinId="9" hidden="1"/>
    <cellStyle name="Followed Hyperlink" xfId="19883" builtinId="9" hidden="1"/>
    <cellStyle name="Followed Hyperlink" xfId="19855" builtinId="9" hidden="1"/>
    <cellStyle name="Followed Hyperlink" xfId="19825" builtinId="9" hidden="1"/>
    <cellStyle name="Followed Hyperlink" xfId="19765" builtinId="9" hidden="1"/>
    <cellStyle name="Followed Hyperlink" xfId="19893" builtinId="9" hidden="1"/>
    <cellStyle name="Followed Hyperlink" xfId="19885" builtinId="9" hidden="1"/>
    <cellStyle name="Followed Hyperlink" xfId="19857" builtinId="9" hidden="1"/>
    <cellStyle name="Followed Hyperlink" xfId="19827" builtinId="9" hidden="1"/>
    <cellStyle name="Followed Hyperlink" xfId="19784" builtinId="9" hidden="1"/>
    <cellStyle name="Followed Hyperlink" xfId="19852" builtinId="9" hidden="1"/>
    <cellStyle name="Followed Hyperlink" xfId="19689" builtinId="9" hidden="1"/>
    <cellStyle name="Followed Hyperlink" xfId="19688" builtinId="9" hidden="1"/>
    <cellStyle name="Followed Hyperlink" xfId="19687" builtinId="9" hidden="1"/>
    <cellStyle name="Followed Hyperlink" xfId="19686" builtinId="9" hidden="1"/>
    <cellStyle name="Followed Hyperlink" xfId="19685" builtinId="9" hidden="1"/>
    <cellStyle name="Followed Hyperlink" xfId="19684" builtinId="9" hidden="1"/>
    <cellStyle name="Followed Hyperlink" xfId="19683" builtinId="9" hidden="1"/>
    <cellStyle name="Followed Hyperlink" xfId="19682" builtinId="9" hidden="1"/>
    <cellStyle name="Followed Hyperlink" xfId="15937" builtinId="9" hidden="1"/>
    <cellStyle name="Followed Hyperlink" xfId="19783" builtinId="9" hidden="1"/>
    <cellStyle name="Followed Hyperlink" xfId="18852" builtinId="9" hidden="1"/>
    <cellStyle name="Followed Hyperlink" xfId="19782" builtinId="9" hidden="1"/>
    <cellStyle name="Followed Hyperlink" xfId="19681" builtinId="9" hidden="1"/>
    <cellStyle name="Followed Hyperlink" xfId="18846" builtinId="9" hidden="1"/>
    <cellStyle name="Followed Hyperlink" xfId="18744" builtinId="9" hidden="1"/>
    <cellStyle name="Followed Hyperlink" xfId="19743" builtinId="9" hidden="1"/>
    <cellStyle name="Followed Hyperlink" xfId="19680" builtinId="9" hidden="1"/>
    <cellStyle name="Followed Hyperlink" xfId="17917" builtinId="9" hidden="1"/>
    <cellStyle name="Followed Hyperlink" xfId="19756" builtinId="9" hidden="1"/>
    <cellStyle name="Followed Hyperlink" xfId="19755" builtinId="9" hidden="1"/>
    <cellStyle name="Followed Hyperlink" xfId="19781" builtinId="9" hidden="1"/>
    <cellStyle name="Followed Hyperlink" xfId="19735" builtinId="9" hidden="1"/>
    <cellStyle name="Followed Hyperlink" xfId="15942" builtinId="9" hidden="1"/>
    <cellStyle name="Followed Hyperlink" xfId="19679" builtinId="9" hidden="1"/>
    <cellStyle name="Followed Hyperlink" xfId="19606" builtinId="9" hidden="1"/>
    <cellStyle name="Followed Hyperlink" xfId="18776" builtinId="9" hidden="1"/>
    <cellStyle name="Followed Hyperlink" xfId="19605" builtinId="9" hidden="1"/>
    <cellStyle name="Followed Hyperlink" xfId="19354" builtinId="9" hidden="1"/>
    <cellStyle name="Followed Hyperlink" xfId="18704" builtinId="9" hidden="1"/>
    <cellStyle name="Followed Hyperlink" xfId="19769" builtinId="9" hidden="1"/>
    <cellStyle name="Followed Hyperlink" xfId="19604" builtinId="9" hidden="1"/>
    <cellStyle name="Followed Hyperlink" xfId="17875" builtinId="9" hidden="1"/>
    <cellStyle name="Followed Hyperlink" xfId="19603" builtinId="9" hidden="1"/>
    <cellStyle name="Followed Hyperlink" xfId="17886" builtinId="9" hidden="1"/>
    <cellStyle name="Followed Hyperlink" xfId="18885" builtinId="9" hidden="1"/>
    <cellStyle name="Followed Hyperlink" xfId="19768" builtinId="9" hidden="1"/>
    <cellStyle name="Followed Hyperlink" xfId="19453" builtinId="9" hidden="1"/>
    <cellStyle name="Followed Hyperlink" xfId="18867" builtinId="9" hidden="1"/>
    <cellStyle name="Followed Hyperlink" xfId="18832" builtinId="9" hidden="1"/>
    <cellStyle name="Followed Hyperlink" xfId="16764" builtinId="9" hidden="1"/>
    <cellStyle name="Followed Hyperlink" xfId="18814" builtinId="9" hidden="1"/>
    <cellStyle name="Followed Hyperlink" xfId="19918" builtinId="9" hidden="1"/>
    <cellStyle name="Followed Hyperlink" xfId="19767" builtinId="9" hidden="1"/>
    <cellStyle name="Followed Hyperlink" xfId="19805" builtinId="9" hidden="1"/>
    <cellStyle name="Followed Hyperlink" xfId="19678" builtinId="9" hidden="1"/>
    <cellStyle name="Followed Hyperlink" xfId="19394" builtinId="9" hidden="1"/>
    <cellStyle name="Followed Hyperlink" xfId="18982" builtinId="9" hidden="1"/>
    <cellStyle name="Followed Hyperlink" xfId="19449" builtinId="9" hidden="1"/>
    <cellStyle name="Followed Hyperlink" xfId="15834" builtinId="9" hidden="1"/>
    <cellStyle name="Followed Hyperlink" xfId="18950" builtinId="9" hidden="1"/>
    <cellStyle name="Followed Hyperlink" xfId="19766" builtinId="9" hidden="1"/>
    <cellStyle name="Followed Hyperlink" xfId="19395" builtinId="9" hidden="1"/>
    <cellStyle name="Followed Hyperlink" xfId="18997" builtinId="9" hidden="1"/>
    <cellStyle name="Followed Hyperlink" xfId="19396" builtinId="9" hidden="1"/>
    <cellStyle name="Followed Hyperlink" xfId="18664" builtinId="9" hidden="1"/>
    <cellStyle name="Followed Hyperlink" xfId="19397" builtinId="9" hidden="1"/>
    <cellStyle name="Followed Hyperlink" xfId="18771" builtinId="9" hidden="1"/>
    <cellStyle name="Followed Hyperlink" xfId="17802" builtinId="9" hidden="1"/>
    <cellStyle name="Followed Hyperlink" xfId="19210" builtinId="9" hidden="1"/>
    <cellStyle name="Followed Hyperlink" xfId="18901" builtinId="9" hidden="1"/>
    <cellStyle name="Followed Hyperlink" xfId="20273" builtinId="9" hidden="1"/>
    <cellStyle name="Followed Hyperlink" xfId="20274" builtinId="9" hidden="1"/>
    <cellStyle name="Followed Hyperlink" xfId="20275" builtinId="9" hidden="1"/>
    <cellStyle name="Followed Hyperlink" xfId="20276" builtinId="9" hidden="1"/>
    <cellStyle name="Followed Hyperlink" xfId="20277" builtinId="9" hidden="1"/>
    <cellStyle name="Followed Hyperlink" xfId="20278" builtinId="9" hidden="1"/>
    <cellStyle name="Followed Hyperlink" xfId="20279" builtinId="9" hidden="1"/>
    <cellStyle name="Followed Hyperlink" xfId="20280" builtinId="9" hidden="1"/>
    <cellStyle name="Followed Hyperlink" xfId="20281" builtinId="9" hidden="1"/>
    <cellStyle name="Followed Hyperlink" xfId="20282" builtinId="9" hidden="1"/>
    <cellStyle name="Followed Hyperlink" xfId="20283" builtinId="9" hidden="1"/>
    <cellStyle name="Followed Hyperlink" xfId="20284" builtinId="9" hidden="1"/>
    <cellStyle name="Followed Hyperlink" xfId="20285" builtinId="9" hidden="1"/>
    <cellStyle name="Followed Hyperlink" xfId="20286" builtinId="9" hidden="1"/>
    <cellStyle name="Followed Hyperlink" xfId="20287" builtinId="9" hidden="1"/>
    <cellStyle name="Followed Hyperlink" xfId="20288" builtinId="9" hidden="1"/>
    <cellStyle name="Followed Hyperlink" xfId="20289" builtinId="9" hidden="1"/>
    <cellStyle name="Followed Hyperlink" xfId="20290" builtinId="9" hidden="1"/>
    <cellStyle name="Followed Hyperlink" xfId="20291" builtinId="9" hidden="1"/>
    <cellStyle name="Followed Hyperlink" xfId="20292" builtinId="9" hidden="1"/>
    <cellStyle name="Followed Hyperlink" xfId="20293" builtinId="9" hidden="1"/>
    <cellStyle name="Followed Hyperlink" xfId="20294" builtinId="9" hidden="1"/>
    <cellStyle name="Followed Hyperlink" xfId="20295" builtinId="9" hidden="1"/>
    <cellStyle name="Followed Hyperlink" xfId="20296" builtinId="9" hidden="1"/>
    <cellStyle name="Followed Hyperlink" xfId="20297" builtinId="9" hidden="1"/>
    <cellStyle name="Followed Hyperlink" xfId="20298" builtinId="9" hidden="1"/>
    <cellStyle name="Followed Hyperlink" xfId="20299" builtinId="9" hidden="1"/>
    <cellStyle name="Followed Hyperlink" xfId="20300" builtinId="9" hidden="1"/>
    <cellStyle name="Followed Hyperlink" xfId="20301" builtinId="9" hidden="1"/>
    <cellStyle name="Followed Hyperlink" xfId="20302" builtinId="9" hidden="1"/>
    <cellStyle name="Followed Hyperlink" xfId="20303" builtinId="9" hidden="1"/>
    <cellStyle name="Followed Hyperlink" xfId="20304" builtinId="9" hidden="1"/>
    <cellStyle name="Followed Hyperlink" xfId="20305" builtinId="9" hidden="1"/>
    <cellStyle name="Followed Hyperlink" xfId="20306" builtinId="9" hidden="1"/>
    <cellStyle name="Followed Hyperlink" xfId="20307" builtinId="9" hidden="1"/>
    <cellStyle name="Followed Hyperlink" xfId="20308" builtinId="9" hidden="1"/>
    <cellStyle name="Followed Hyperlink" xfId="20309" builtinId="9" hidden="1"/>
    <cellStyle name="Followed Hyperlink" xfId="20310" builtinId="9" hidden="1"/>
    <cellStyle name="Followed Hyperlink" xfId="20311" builtinId="9" hidden="1"/>
    <cellStyle name="Followed Hyperlink" xfId="20316" builtinId="9" hidden="1"/>
    <cellStyle name="Followed Hyperlink" xfId="20317" builtinId="9" hidden="1"/>
    <cellStyle name="Followed Hyperlink" xfId="20318" builtinId="9" hidden="1"/>
    <cellStyle name="Followed Hyperlink" xfId="20319" builtinId="9" hidden="1"/>
    <cellStyle name="Followed Hyperlink" xfId="20320" builtinId="9" hidden="1"/>
    <cellStyle name="Followed Hyperlink" xfId="20321" builtinId="9" hidden="1"/>
    <cellStyle name="Followed Hyperlink" xfId="20322" builtinId="9" hidden="1"/>
    <cellStyle name="Followed Hyperlink" xfId="20323" builtinId="9" hidden="1"/>
    <cellStyle name="Followed Hyperlink" xfId="20324" builtinId="9" hidden="1"/>
    <cellStyle name="Followed Hyperlink" xfId="20325" builtinId="9" hidden="1"/>
    <cellStyle name="Followed Hyperlink" xfId="20326" builtinId="9" hidden="1"/>
    <cellStyle name="Followed Hyperlink" xfId="20327" builtinId="9" hidden="1"/>
    <cellStyle name="Followed Hyperlink" xfId="20328" builtinId="9" hidden="1"/>
    <cellStyle name="Followed Hyperlink" xfId="20329" builtinId="9" hidden="1"/>
    <cellStyle name="Followed Hyperlink" xfId="20330" builtinId="9" hidden="1"/>
    <cellStyle name="Followed Hyperlink" xfId="20331" builtinId="9" hidden="1"/>
    <cellStyle name="Followed Hyperlink" xfId="20332" builtinId="9" hidden="1"/>
    <cellStyle name="Followed Hyperlink" xfId="20333" builtinId="9" hidden="1"/>
    <cellStyle name="Followed Hyperlink" xfId="20334" builtinId="9" hidden="1"/>
    <cellStyle name="Followed Hyperlink" xfId="20335" builtinId="9" hidden="1"/>
    <cellStyle name="Followed Hyperlink" xfId="20336" builtinId="9" hidden="1"/>
    <cellStyle name="Followed Hyperlink" xfId="20337" builtinId="9" hidden="1"/>
    <cellStyle name="Followed Hyperlink" xfId="20338" builtinId="9" hidden="1"/>
    <cellStyle name="Followed Hyperlink" xfId="20339" builtinId="9" hidden="1"/>
    <cellStyle name="Followed Hyperlink" xfId="20340" builtinId="9" hidden="1"/>
    <cellStyle name="Followed Hyperlink" xfId="20341" builtinId="9" hidden="1"/>
    <cellStyle name="Followed Hyperlink" xfId="20342" builtinId="9" hidden="1"/>
    <cellStyle name="Followed Hyperlink" xfId="20343" builtinId="9" hidden="1"/>
    <cellStyle name="Followed Hyperlink" xfId="20344" builtinId="9" hidden="1"/>
    <cellStyle name="Followed Hyperlink" xfId="20345" builtinId="9" hidden="1"/>
    <cellStyle name="Followed Hyperlink" xfId="20346" builtinId="9" hidden="1"/>
    <cellStyle name="Followed Hyperlink" xfId="20347" builtinId="9" hidden="1"/>
    <cellStyle name="Followed Hyperlink" xfId="20348" builtinId="9" hidden="1"/>
    <cellStyle name="Followed Hyperlink" xfId="20349" builtinId="9" hidden="1"/>
    <cellStyle name="Followed Hyperlink" xfId="20350" builtinId="9" hidden="1"/>
    <cellStyle name="Followed Hyperlink" xfId="20351" builtinId="9" hidden="1"/>
    <cellStyle name="Followed Hyperlink" xfId="20352" builtinId="9" hidden="1"/>
    <cellStyle name="Followed Hyperlink" xfId="20353" builtinId="9" hidden="1"/>
    <cellStyle name="Followed Hyperlink" xfId="20354" builtinId="9" hidden="1"/>
    <cellStyle name="Followed Hyperlink" xfId="20355" builtinId="9" hidden="1"/>
    <cellStyle name="Followed Hyperlink" xfId="20356" builtinId="9" hidden="1"/>
    <cellStyle name="Followed Hyperlink" xfId="20357" builtinId="9" hidden="1"/>
    <cellStyle name="Followed Hyperlink" xfId="20358" builtinId="9" hidden="1"/>
    <cellStyle name="Followed Hyperlink" xfId="20359" builtinId="9" hidden="1"/>
    <cellStyle name="Followed Hyperlink" xfId="20360" builtinId="9" hidden="1"/>
    <cellStyle name="Followed Hyperlink" xfId="20361" builtinId="9" hidden="1"/>
    <cellStyle name="Followed Hyperlink" xfId="20362" builtinId="9" hidden="1"/>
    <cellStyle name="Followed Hyperlink" xfId="20363" builtinId="9" hidden="1"/>
    <cellStyle name="Followed Hyperlink" xfId="20364" builtinId="9" hidden="1"/>
    <cellStyle name="Followed Hyperlink" xfId="20365" builtinId="9" hidden="1"/>
    <cellStyle name="Followed Hyperlink" xfId="20368" builtinId="9" hidden="1"/>
    <cellStyle name="Followed Hyperlink" xfId="20369" builtinId="9" hidden="1"/>
    <cellStyle name="Followed Hyperlink" xfId="20370" builtinId="9" hidden="1"/>
    <cellStyle name="Followed Hyperlink" xfId="20371" builtinId="9" hidden="1"/>
    <cellStyle name="Followed Hyperlink" xfId="20372" builtinId="9" hidden="1"/>
    <cellStyle name="Followed Hyperlink" xfId="20373" builtinId="9" hidden="1"/>
    <cellStyle name="Followed Hyperlink" xfId="20374" builtinId="9" hidden="1"/>
    <cellStyle name="Followed Hyperlink" xfId="20375" builtinId="9" hidden="1"/>
    <cellStyle name="Followed Hyperlink" xfId="20376" builtinId="9" hidden="1"/>
    <cellStyle name="Followed Hyperlink" xfId="20377" builtinId="9" hidden="1"/>
    <cellStyle name="Followed Hyperlink" xfId="20378" builtinId="9" hidden="1"/>
    <cellStyle name="Followed Hyperlink" xfId="20379" builtinId="9" hidden="1"/>
    <cellStyle name="Followed Hyperlink" xfId="20380" builtinId="9" hidden="1"/>
    <cellStyle name="Followed Hyperlink" xfId="20381" builtinId="9" hidden="1"/>
    <cellStyle name="Followed Hyperlink" xfId="20382" builtinId="9" hidden="1"/>
    <cellStyle name="Followed Hyperlink" xfId="20383" builtinId="9" hidden="1"/>
    <cellStyle name="Followed Hyperlink" xfId="20384" builtinId="9" hidden="1"/>
    <cellStyle name="Followed Hyperlink" xfId="20385" builtinId="9" hidden="1"/>
    <cellStyle name="Followed Hyperlink" xfId="20386" builtinId="9" hidden="1"/>
    <cellStyle name="Followed Hyperlink" xfId="20387" builtinId="9" hidden="1"/>
    <cellStyle name="Followed Hyperlink" xfId="20388" builtinId="9" hidden="1"/>
    <cellStyle name="Followed Hyperlink" xfId="20389" builtinId="9" hidden="1"/>
    <cellStyle name="Followed Hyperlink" xfId="20390" builtinId="9" hidden="1"/>
    <cellStyle name="Followed Hyperlink" xfId="20391" builtinId="9" hidden="1"/>
    <cellStyle name="Followed Hyperlink" xfId="20392" builtinId="9" hidden="1"/>
    <cellStyle name="Followed Hyperlink" xfId="20393" builtinId="9" hidden="1"/>
    <cellStyle name="Followed Hyperlink" xfId="20394" builtinId="9" hidden="1"/>
    <cellStyle name="Followed Hyperlink" xfId="20395" builtinId="9" hidden="1"/>
    <cellStyle name="Followed Hyperlink" xfId="20396" builtinId="9" hidden="1"/>
    <cellStyle name="Followed Hyperlink" xfId="20397" builtinId="9" hidden="1"/>
    <cellStyle name="Followed Hyperlink" xfId="20398" builtinId="9" hidden="1"/>
    <cellStyle name="Followed Hyperlink" xfId="20399" builtinId="9" hidden="1"/>
    <cellStyle name="Followed Hyperlink" xfId="20400" builtinId="9" hidden="1"/>
    <cellStyle name="Followed Hyperlink" xfId="20401" builtinId="9" hidden="1"/>
    <cellStyle name="Followed Hyperlink" xfId="20402" builtinId="9" hidden="1"/>
    <cellStyle name="Followed Hyperlink" xfId="20403" builtinId="9" hidden="1"/>
    <cellStyle name="Followed Hyperlink" xfId="20404" builtinId="9" hidden="1"/>
    <cellStyle name="Followed Hyperlink" xfId="20405" builtinId="9" hidden="1"/>
    <cellStyle name="Followed Hyperlink" xfId="20406" builtinId="9" hidden="1"/>
    <cellStyle name="Followed Hyperlink" xfId="20407" builtinId="9" hidden="1"/>
    <cellStyle name="Followed Hyperlink" xfId="20408" builtinId="9" hidden="1"/>
    <cellStyle name="Followed Hyperlink" xfId="20409" builtinId="9" hidden="1"/>
    <cellStyle name="Followed Hyperlink" xfId="20410" builtinId="9" hidden="1"/>
    <cellStyle name="Followed Hyperlink" xfId="20411" builtinId="9" hidden="1"/>
    <cellStyle name="Followed Hyperlink" xfId="20412" builtinId="9" hidden="1"/>
    <cellStyle name="Followed Hyperlink" xfId="20413" builtinId="9" hidden="1"/>
    <cellStyle name="Followed Hyperlink" xfId="20414" builtinId="9" hidden="1"/>
    <cellStyle name="Followed Hyperlink" xfId="20415" builtinId="9" hidden="1"/>
    <cellStyle name="Followed Hyperlink" xfId="20416" builtinId="9" hidden="1"/>
    <cellStyle name="Followed Hyperlink" xfId="20417" builtinId="9" hidden="1"/>
    <cellStyle name="Followed Hyperlink" xfId="20418" builtinId="9" hidden="1"/>
    <cellStyle name="Followed Hyperlink" xfId="20419" builtinId="9" hidden="1"/>
    <cellStyle name="Followed Hyperlink" xfId="20420" builtinId="9" hidden="1"/>
    <cellStyle name="Followed Hyperlink" xfId="20421" builtinId="9" hidden="1"/>
    <cellStyle name="Followed Hyperlink" xfId="20422" builtinId="9" hidden="1"/>
    <cellStyle name="Followed Hyperlink" xfId="20423" builtinId="9" hidden="1"/>
    <cellStyle name="Followed Hyperlink" xfId="20424" builtinId="9" hidden="1"/>
    <cellStyle name="Followed Hyperlink" xfId="20425" builtinId="9" hidden="1"/>
    <cellStyle name="Followed Hyperlink" xfId="20426" builtinId="9" hidden="1"/>
    <cellStyle name="Followed Hyperlink" xfId="20427" builtinId="9" hidden="1"/>
    <cellStyle name="Followed Hyperlink" xfId="20428" builtinId="9" hidden="1"/>
    <cellStyle name="Followed Hyperlink" xfId="20429" builtinId="9" hidden="1"/>
    <cellStyle name="Followed Hyperlink" xfId="20430" builtinId="9" hidden="1"/>
    <cellStyle name="Followed Hyperlink" xfId="20431" builtinId="9" hidden="1"/>
    <cellStyle name="Followed Hyperlink" xfId="20432" builtinId="9" hidden="1"/>
    <cellStyle name="Followed Hyperlink" xfId="20433" builtinId="9" hidden="1"/>
    <cellStyle name="Followed Hyperlink" xfId="20434" builtinId="9" hidden="1"/>
    <cellStyle name="Followed Hyperlink" xfId="20435" builtinId="9" hidden="1"/>
    <cellStyle name="Followed Hyperlink" xfId="20436" builtinId="9" hidden="1"/>
    <cellStyle name="Followed Hyperlink" xfId="20437" builtinId="9" hidden="1"/>
    <cellStyle name="Followed Hyperlink" xfId="20438" builtinId="9" hidden="1"/>
    <cellStyle name="Followed Hyperlink" xfId="20439" builtinId="9" hidden="1"/>
    <cellStyle name="Followed Hyperlink" xfId="20440" builtinId="9" hidden="1"/>
    <cellStyle name="Followed Hyperlink" xfId="20441" builtinId="9" hidden="1"/>
    <cellStyle name="Followed Hyperlink" xfId="20442" builtinId="9" hidden="1"/>
    <cellStyle name="Followed Hyperlink" xfId="20443" builtinId="9" hidden="1"/>
    <cellStyle name="Followed Hyperlink" xfId="20444" builtinId="9" hidden="1"/>
    <cellStyle name="Followed Hyperlink" xfId="20445" builtinId="9" hidden="1"/>
    <cellStyle name="Followed Hyperlink" xfId="20446" builtinId="9" hidden="1"/>
    <cellStyle name="Followed Hyperlink" xfId="20447" builtinId="9" hidden="1"/>
    <cellStyle name="Followed Hyperlink" xfId="20448" builtinId="9" hidden="1"/>
    <cellStyle name="Followed Hyperlink" xfId="20449" builtinId="9" hidden="1"/>
    <cellStyle name="Followed Hyperlink" xfId="20450" builtinId="9" hidden="1"/>
    <cellStyle name="Followed Hyperlink" xfId="20451" builtinId="9" hidden="1"/>
    <cellStyle name="Followed Hyperlink" xfId="20452" builtinId="9" hidden="1"/>
    <cellStyle name="Followed Hyperlink" xfId="20453" builtinId="9" hidden="1"/>
    <cellStyle name="Followed Hyperlink" xfId="20454" builtinId="9" hidden="1"/>
    <cellStyle name="Followed Hyperlink" xfId="20455" builtinId="9" hidden="1"/>
    <cellStyle name="Followed Hyperlink" xfId="20456" builtinId="9" hidden="1"/>
    <cellStyle name="Followed Hyperlink" xfId="20457" builtinId="9" hidden="1"/>
    <cellStyle name="Followed Hyperlink" xfId="20458" builtinId="9" hidden="1"/>
    <cellStyle name="Followed Hyperlink" xfId="20459" builtinId="9" hidden="1"/>
    <cellStyle name="Followed Hyperlink" xfId="20460" builtinId="9" hidden="1"/>
    <cellStyle name="Followed Hyperlink" xfId="20461" builtinId="9" hidden="1"/>
    <cellStyle name="Followed Hyperlink" xfId="20462" builtinId="9" hidden="1"/>
    <cellStyle name="Followed Hyperlink" xfId="20463" builtinId="9" hidden="1"/>
    <cellStyle name="Followed Hyperlink" xfId="20464" builtinId="9" hidden="1"/>
    <cellStyle name="Followed Hyperlink" xfId="20465" builtinId="9" hidden="1"/>
    <cellStyle name="Followed Hyperlink" xfId="20466" builtinId="9" hidden="1"/>
    <cellStyle name="Followed Hyperlink" xfId="20467" builtinId="9" hidden="1"/>
    <cellStyle name="Followed Hyperlink" xfId="20468" builtinId="9" hidden="1"/>
    <cellStyle name="Followed Hyperlink" xfId="20469" builtinId="9" hidden="1"/>
    <cellStyle name="Followed Hyperlink" xfId="20470" builtinId="9" hidden="1"/>
    <cellStyle name="Followed Hyperlink" xfId="20471" builtinId="9" hidden="1"/>
    <cellStyle name="Followed Hyperlink" xfId="20472" builtinId="9" hidden="1"/>
    <cellStyle name="Followed Hyperlink" xfId="20473" builtinId="9" hidden="1"/>
    <cellStyle name="Followed Hyperlink" xfId="20474" builtinId="9" hidden="1"/>
    <cellStyle name="Followed Hyperlink" xfId="20475" builtinId="9" hidden="1"/>
    <cellStyle name="Followed Hyperlink" xfId="20476" builtinId="9" hidden="1"/>
    <cellStyle name="Followed Hyperlink" xfId="20477" builtinId="9" hidden="1"/>
    <cellStyle name="Followed Hyperlink" xfId="20478" builtinId="9" hidden="1"/>
    <cellStyle name="Followed Hyperlink" xfId="20479" builtinId="9" hidden="1"/>
    <cellStyle name="Followed Hyperlink" xfId="20480" builtinId="9" hidden="1"/>
    <cellStyle name="Followed Hyperlink" xfId="20481" builtinId="9" hidden="1"/>
    <cellStyle name="Followed Hyperlink" xfId="20482" builtinId="9" hidden="1"/>
    <cellStyle name="Followed Hyperlink" xfId="20483" builtinId="9" hidden="1"/>
    <cellStyle name="Followed Hyperlink" xfId="20484" builtinId="9" hidden="1"/>
    <cellStyle name="Followed Hyperlink" xfId="20485" builtinId="9" hidden="1"/>
    <cellStyle name="Followed Hyperlink" xfId="20486" builtinId="9" hidden="1"/>
    <cellStyle name="Followed Hyperlink" xfId="20487" builtinId="9" hidden="1"/>
    <cellStyle name="Followed Hyperlink" xfId="20488" builtinId="9" hidden="1"/>
    <cellStyle name="Followed Hyperlink" xfId="20489" builtinId="9" hidden="1"/>
    <cellStyle name="Followed Hyperlink" xfId="20490" builtinId="9" hidden="1"/>
    <cellStyle name="Followed Hyperlink" xfId="20491" builtinId="9" hidden="1"/>
    <cellStyle name="Followed Hyperlink" xfId="20492" builtinId="9" hidden="1"/>
    <cellStyle name="Followed Hyperlink" xfId="20493" builtinId="9" hidden="1"/>
    <cellStyle name="Followed Hyperlink" xfId="20494" builtinId="9" hidden="1"/>
    <cellStyle name="Followed Hyperlink" xfId="20495" builtinId="9" hidden="1"/>
    <cellStyle name="Followed Hyperlink" xfId="20496" builtinId="9" hidden="1"/>
    <cellStyle name="Followed Hyperlink" xfId="20497" builtinId="9" hidden="1"/>
    <cellStyle name="Followed Hyperlink" xfId="20498" builtinId="9" hidden="1"/>
    <cellStyle name="Followed Hyperlink" xfId="20499" builtinId="9" hidden="1"/>
    <cellStyle name="Followed Hyperlink" xfId="20500" builtinId="9" hidden="1"/>
    <cellStyle name="Followed Hyperlink" xfId="20501" builtinId="9" hidden="1"/>
    <cellStyle name="Followed Hyperlink" xfId="20502" builtinId="9" hidden="1"/>
    <cellStyle name="Followed Hyperlink" xfId="20503" builtinId="9" hidden="1"/>
    <cellStyle name="Followed Hyperlink" xfId="20504" builtinId="9" hidden="1"/>
    <cellStyle name="Followed Hyperlink" xfId="20505" builtinId="9" hidden="1"/>
    <cellStyle name="Followed Hyperlink" xfId="20506" builtinId="9" hidden="1"/>
    <cellStyle name="Followed Hyperlink" xfId="20507" builtinId="9" hidden="1"/>
    <cellStyle name="Followed Hyperlink" xfId="20508" builtinId="9" hidden="1"/>
    <cellStyle name="Followed Hyperlink" xfId="20509" builtinId="9" hidden="1"/>
    <cellStyle name="Followed Hyperlink" xfId="20510" builtinId="9" hidden="1"/>
    <cellStyle name="Followed Hyperlink" xfId="20511" builtinId="9" hidden="1"/>
    <cellStyle name="Followed Hyperlink" xfId="20512" builtinId="9" hidden="1"/>
    <cellStyle name="Followed Hyperlink" xfId="20513" builtinId="9" hidden="1"/>
    <cellStyle name="Followed Hyperlink" xfId="20514" builtinId="9" hidden="1"/>
    <cellStyle name="Followed Hyperlink" xfId="20515" builtinId="9" hidden="1"/>
    <cellStyle name="Followed Hyperlink" xfId="19610" builtinId="9" hidden="1"/>
    <cellStyle name="Followed Hyperlink" xfId="20703" builtinId="9" hidden="1"/>
    <cellStyle name="Followed Hyperlink" xfId="20676" builtinId="9" hidden="1"/>
    <cellStyle name="Followed Hyperlink" xfId="20612" builtinId="9" hidden="1"/>
    <cellStyle name="Followed Hyperlink" xfId="20599" builtinId="9" hidden="1"/>
    <cellStyle name="Followed Hyperlink" xfId="20602" builtinId="9" hidden="1"/>
    <cellStyle name="Followed Hyperlink" xfId="20642" builtinId="9" hidden="1"/>
    <cellStyle name="Followed Hyperlink" xfId="20553" builtinId="9" hidden="1"/>
    <cellStyle name="Followed Hyperlink" xfId="19771" builtinId="9" hidden="1"/>
    <cellStyle name="Followed Hyperlink" xfId="20593" builtinId="9" hidden="1"/>
    <cellStyle name="Followed Hyperlink" xfId="20541" builtinId="9" hidden="1"/>
    <cellStyle name="Followed Hyperlink" xfId="20639" builtinId="9" hidden="1"/>
    <cellStyle name="Followed Hyperlink" xfId="20540" builtinId="9" hidden="1"/>
    <cellStyle name="Followed Hyperlink" xfId="19607" builtinId="9" hidden="1"/>
    <cellStyle name="Followed Hyperlink" xfId="20724" builtinId="9" hidden="1"/>
    <cellStyle name="Followed Hyperlink" xfId="20636" builtinId="9" hidden="1"/>
    <cellStyle name="Followed Hyperlink" xfId="20585" builtinId="9" hidden="1"/>
    <cellStyle name="Followed Hyperlink" xfId="20538" builtinId="9" hidden="1"/>
    <cellStyle name="Followed Hyperlink" xfId="20539" builtinId="9" hidden="1"/>
    <cellStyle name="Followed Hyperlink" xfId="21058" builtinId="9" hidden="1"/>
    <cellStyle name="Followed Hyperlink" xfId="20725" builtinId="9" hidden="1"/>
    <cellStyle name="Followed Hyperlink" xfId="20729" builtinId="9" hidden="1"/>
    <cellStyle name="Followed Hyperlink" xfId="20668" builtinId="9" hidden="1"/>
    <cellStyle name="Followed Hyperlink" xfId="20667" builtinId="9" hidden="1"/>
    <cellStyle name="Followed Hyperlink" xfId="20666" builtinId="9" hidden="1"/>
    <cellStyle name="Followed Hyperlink" xfId="20665" builtinId="9" hidden="1"/>
    <cellStyle name="Followed Hyperlink" xfId="20552" builtinId="9" hidden="1"/>
    <cellStyle name="Followed Hyperlink" xfId="18745" builtinId="9" hidden="1"/>
    <cellStyle name="Followed Hyperlink" xfId="20537" builtinId="9" hidden="1"/>
    <cellStyle name="Followed Hyperlink" xfId="20712" builtinId="9" hidden="1"/>
    <cellStyle name="Followed Hyperlink" xfId="20535" builtinId="9" hidden="1"/>
    <cellStyle name="Followed Hyperlink" xfId="20536" builtinId="9" hidden="1"/>
    <cellStyle name="Followed Hyperlink" xfId="19772" builtinId="9" hidden="1"/>
    <cellStyle name="Followed Hyperlink" xfId="20643" builtinId="9" hidden="1"/>
    <cellStyle name="Followed Hyperlink" xfId="20550" builtinId="9" hidden="1"/>
    <cellStyle name="Followed Hyperlink" xfId="20551" builtinId="9" hidden="1"/>
    <cellStyle name="Followed Hyperlink" xfId="18989" builtinId="9" hidden="1"/>
    <cellStyle name="Followed Hyperlink" xfId="20664" builtinId="9" hidden="1"/>
    <cellStyle name="Followed Hyperlink" xfId="17884" builtinId="9" hidden="1"/>
    <cellStyle name="Followed Hyperlink" xfId="20707" builtinId="9" hidden="1"/>
    <cellStyle name="Followed Hyperlink" xfId="20688" builtinId="9" hidden="1"/>
    <cellStyle name="Followed Hyperlink" xfId="20663" builtinId="9" hidden="1"/>
    <cellStyle name="Followed Hyperlink" xfId="20694" builtinId="9" hidden="1"/>
    <cellStyle name="Followed Hyperlink" xfId="20651" builtinId="9" hidden="1"/>
    <cellStyle name="Followed Hyperlink" xfId="20696" builtinId="9" hidden="1"/>
    <cellStyle name="Followed Hyperlink" xfId="20662" builtinId="9" hidden="1"/>
    <cellStyle name="Followed Hyperlink" xfId="20661" builtinId="9" hidden="1"/>
    <cellStyle name="Followed Hyperlink" xfId="20660" builtinId="9" hidden="1"/>
    <cellStyle name="Followed Hyperlink" xfId="19798" builtinId="9" hidden="1"/>
    <cellStyle name="Followed Hyperlink" xfId="20649" builtinId="9" hidden="1"/>
    <cellStyle name="Followed Hyperlink" xfId="18844" builtinId="9" hidden="1"/>
    <cellStyle name="Followed Hyperlink" xfId="19797" builtinId="9" hidden="1"/>
    <cellStyle name="Followed Hyperlink" xfId="20705" builtinId="9" hidden="1"/>
    <cellStyle name="Followed Hyperlink" xfId="20678" builtinId="9" hidden="1"/>
    <cellStyle name="Followed Hyperlink" xfId="20613" builtinId="9" hidden="1"/>
    <cellStyle name="Followed Hyperlink" xfId="20591" builtinId="9" hidden="1"/>
    <cellStyle name="Followed Hyperlink" xfId="20583" builtinId="9" hidden="1"/>
    <cellStyle name="Followed Hyperlink" xfId="20549" builtinId="9" hidden="1"/>
    <cellStyle name="Followed Hyperlink" xfId="19608" builtinId="9" hidden="1"/>
    <cellStyle name="Followed Hyperlink" xfId="20640" builtinId="9" hidden="1"/>
    <cellStyle name="Followed Hyperlink" xfId="20584" builtinId="9" hidden="1"/>
    <cellStyle name="Followed Hyperlink" xfId="20534" builtinId="9" hidden="1"/>
    <cellStyle name="Followed Hyperlink" xfId="20533" builtinId="9" hidden="1"/>
    <cellStyle name="Followed Hyperlink" xfId="20532" builtinId="9" hidden="1"/>
    <cellStyle name="Followed Hyperlink" xfId="20531" builtinId="9" hidden="1"/>
    <cellStyle name="Followed Hyperlink" xfId="18988" builtinId="9" hidden="1"/>
    <cellStyle name="Followed Hyperlink" xfId="20719" builtinId="9" hidden="1"/>
    <cellStyle name="Followed Hyperlink" xfId="18665" builtinId="9" hidden="1"/>
    <cellStyle name="Followed Hyperlink" xfId="20603" builtinId="9" hidden="1"/>
    <cellStyle name="Followed Hyperlink" xfId="20596" builtinId="9" hidden="1"/>
    <cellStyle name="Followed Hyperlink" xfId="20548" builtinId="9" hidden="1"/>
    <cellStyle name="Followed Hyperlink" xfId="18807" builtinId="9" hidden="1"/>
    <cellStyle name="Followed Hyperlink" xfId="20645" builtinId="9" hidden="1"/>
    <cellStyle name="Followed Hyperlink" xfId="20597" builtinId="9" hidden="1"/>
    <cellStyle name="Followed Hyperlink" xfId="20547" builtinId="9" hidden="1"/>
    <cellStyle name="Followed Hyperlink" xfId="19754" builtinId="9" hidden="1"/>
    <cellStyle name="Followed Hyperlink" xfId="20530" builtinId="9" hidden="1"/>
    <cellStyle name="Followed Hyperlink" xfId="20529" builtinId="9" hidden="1"/>
    <cellStyle name="Followed Hyperlink" xfId="19014" builtinId="9" hidden="1"/>
    <cellStyle name="Followed Hyperlink" xfId="20528" builtinId="9" hidden="1"/>
    <cellStyle name="Followed Hyperlink" xfId="19611" builtinId="9" hidden="1"/>
    <cellStyle name="Followed Hyperlink" xfId="20687" builtinId="9" hidden="1"/>
    <cellStyle name="Followed Hyperlink" xfId="20659" builtinId="9" hidden="1"/>
    <cellStyle name="Followed Hyperlink" xfId="20524" builtinId="9" hidden="1"/>
    <cellStyle name="Followed Hyperlink" xfId="20527" builtinId="9" hidden="1"/>
    <cellStyle name="Followed Hyperlink" xfId="20546" builtinId="9" hidden="1"/>
    <cellStyle name="Followed Hyperlink" xfId="18777" builtinId="9" hidden="1"/>
    <cellStyle name="Followed Hyperlink" xfId="20711" builtinId="9" hidden="1"/>
    <cellStyle name="Followed Hyperlink" xfId="20525" builtinId="9" hidden="1"/>
    <cellStyle name="Followed Hyperlink" xfId="20526" builtinId="9" hidden="1"/>
    <cellStyle name="Followed Hyperlink" xfId="17887" builtinId="9" hidden="1"/>
    <cellStyle name="Followed Hyperlink" xfId="20723" builtinId="9" hidden="1"/>
    <cellStyle name="Followed Hyperlink" xfId="20686" builtinId="9" hidden="1"/>
    <cellStyle name="Followed Hyperlink" xfId="21057" builtinId="9" hidden="1"/>
    <cellStyle name="Followed Hyperlink" xfId="20727" builtinId="9" hidden="1"/>
    <cellStyle name="Followed Hyperlink" xfId="20726" builtinId="9" hidden="1"/>
    <cellStyle name="Followed Hyperlink" xfId="20721" builtinId="9" hidden="1"/>
    <cellStyle name="Followed Hyperlink" xfId="18876" builtinId="9" hidden="1"/>
    <cellStyle name="Followed Hyperlink" xfId="20658" builtinId="9" hidden="1"/>
    <cellStyle name="Followed Hyperlink" xfId="20657" builtinId="9" hidden="1"/>
    <cellStyle name="Followed Hyperlink" xfId="20656" builtinId="9" hidden="1"/>
    <cellStyle name="Followed Hyperlink" xfId="20655" builtinId="9" hidden="1"/>
    <cellStyle name="Followed Hyperlink" xfId="20545" builtinId="9" hidden="1"/>
    <cellStyle name="Followed Hyperlink" xfId="16723" builtinId="9" hidden="1"/>
    <cellStyle name="Followed Hyperlink" xfId="20523" builtinId="9" hidden="1"/>
    <cellStyle name="Followed Hyperlink" xfId="20544" builtinId="9" hidden="1"/>
    <cellStyle name="Followed Hyperlink" xfId="19773" builtinId="9" hidden="1"/>
    <cellStyle name="Followed Hyperlink" xfId="20722" builtinId="9" hidden="1"/>
    <cellStyle name="Followed Hyperlink" xfId="20685" builtinId="9" hidden="1"/>
    <cellStyle name="Followed Hyperlink" xfId="20684" builtinId="9" hidden="1"/>
    <cellStyle name="Followed Hyperlink" xfId="20718" builtinId="9" hidden="1"/>
    <cellStyle name="Followed Hyperlink" xfId="20716" builtinId="9" hidden="1"/>
    <cellStyle name="Followed Hyperlink" xfId="20714" builtinId="9" hidden="1"/>
    <cellStyle name="Followed Hyperlink" xfId="20706" builtinId="9" hidden="1"/>
    <cellStyle name="Followed Hyperlink" xfId="20728" builtinId="9" hidden="1"/>
    <cellStyle name="Followed Hyperlink" xfId="19010" builtinId="9" hidden="1"/>
    <cellStyle name="Followed Hyperlink" xfId="20521" builtinId="9" hidden="1"/>
    <cellStyle name="Followed Hyperlink" xfId="20522" builtinId="9" hidden="1"/>
    <cellStyle name="Followed Hyperlink" xfId="19692" builtinId="9" hidden="1"/>
    <cellStyle name="Followed Hyperlink" xfId="20269" builtinId="9" hidden="1"/>
    <cellStyle name="Followed Hyperlink" xfId="20682" builtinId="9" hidden="1"/>
    <cellStyle name="Followed Hyperlink" xfId="20691" builtinId="9" hidden="1"/>
    <cellStyle name="Followed Hyperlink" xfId="20615" builtinId="9" hidden="1"/>
    <cellStyle name="Followed Hyperlink" xfId="20692" builtinId="9" hidden="1"/>
    <cellStyle name="Followed Hyperlink" xfId="20647" builtinId="9" hidden="1"/>
    <cellStyle name="Followed Hyperlink" xfId="20606" builtinId="9" hidden="1"/>
    <cellStyle name="Followed Hyperlink" xfId="20586" builtinId="9" hidden="1"/>
    <cellStyle name="Followed Hyperlink" xfId="20590" builtinId="9" hidden="1"/>
    <cellStyle name="Followed Hyperlink" xfId="20704" builtinId="9" hidden="1"/>
    <cellStyle name="Followed Hyperlink" xfId="20677" builtinId="9" hidden="1"/>
    <cellStyle name="Followed Hyperlink" xfId="20611" builtinId="9" hidden="1"/>
    <cellStyle name="Followed Hyperlink" xfId="20598" builtinId="9" hidden="1"/>
    <cellStyle name="Followed Hyperlink" xfId="20702" builtinId="9" hidden="1"/>
    <cellStyle name="Followed Hyperlink" xfId="20675" builtinId="9" hidden="1"/>
    <cellStyle name="Followed Hyperlink" xfId="20641" builtinId="9" hidden="1"/>
    <cellStyle name="Followed Hyperlink" xfId="20604" builtinId="9" hidden="1"/>
    <cellStyle name="Followed Hyperlink" xfId="20542" builtinId="9" hidden="1"/>
    <cellStyle name="Followed Hyperlink" xfId="20595" builtinId="9" hidden="1"/>
    <cellStyle name="Followed Hyperlink" xfId="20637" builtinId="9" hidden="1"/>
    <cellStyle name="Followed Hyperlink" xfId="20520" builtinId="9" hidden="1"/>
    <cellStyle name="Followed Hyperlink" xfId="20582" builtinId="9" hidden="1"/>
    <cellStyle name="Followed Hyperlink" xfId="20633" builtinId="9" hidden="1"/>
    <cellStyle name="Followed Hyperlink" xfId="19774" builtinId="9" hidden="1"/>
    <cellStyle name="Followed Hyperlink" xfId="20632" builtinId="9" hidden="1"/>
    <cellStyle name="Followed Hyperlink" xfId="20601" builtinId="9" hidden="1"/>
    <cellStyle name="Followed Hyperlink" xfId="18847" builtinId="9" hidden="1"/>
    <cellStyle name="Followed Hyperlink" xfId="20610" builtinId="9" hidden="1"/>
    <cellStyle name="Followed Hyperlink" xfId="20578" builtinId="9" hidden="1"/>
    <cellStyle name="Followed Hyperlink" xfId="19609" builtinId="9" hidden="1"/>
    <cellStyle name="Followed Hyperlink" xfId="19712" builtinId="9" hidden="1"/>
    <cellStyle name="Followed Hyperlink" xfId="21055" builtinId="9" hidden="1"/>
    <cellStyle name="Followed Hyperlink" xfId="21053" builtinId="9" hidden="1"/>
    <cellStyle name="Followed Hyperlink" xfId="21051" builtinId="9" hidden="1"/>
    <cellStyle name="Followed Hyperlink" xfId="21049" builtinId="9" hidden="1"/>
    <cellStyle name="Followed Hyperlink" xfId="21047" builtinId="9" hidden="1"/>
    <cellStyle name="Followed Hyperlink" xfId="21045" builtinId="9" hidden="1"/>
    <cellStyle name="Followed Hyperlink" xfId="21043" builtinId="9" hidden="1"/>
    <cellStyle name="Followed Hyperlink" xfId="21041" builtinId="9" hidden="1"/>
    <cellStyle name="Followed Hyperlink" xfId="21039" builtinId="9" hidden="1"/>
    <cellStyle name="Followed Hyperlink" xfId="21037" builtinId="9" hidden="1"/>
    <cellStyle name="Followed Hyperlink" xfId="21035" builtinId="9" hidden="1"/>
    <cellStyle name="Followed Hyperlink" xfId="21033" builtinId="9" hidden="1"/>
    <cellStyle name="Followed Hyperlink" xfId="21031" builtinId="9" hidden="1"/>
    <cellStyle name="Followed Hyperlink" xfId="21029" builtinId="9" hidden="1"/>
    <cellStyle name="Followed Hyperlink" xfId="21027" builtinId="9" hidden="1"/>
    <cellStyle name="Followed Hyperlink" xfId="21025" builtinId="9" hidden="1"/>
    <cellStyle name="Followed Hyperlink" xfId="21023" builtinId="9" hidden="1"/>
    <cellStyle name="Followed Hyperlink" xfId="21021" builtinId="9" hidden="1"/>
    <cellStyle name="Followed Hyperlink" xfId="21019" builtinId="9" hidden="1"/>
    <cellStyle name="Followed Hyperlink" xfId="21017" builtinId="9" hidden="1"/>
    <cellStyle name="Followed Hyperlink" xfId="21015" builtinId="9" hidden="1"/>
    <cellStyle name="Followed Hyperlink" xfId="21013" builtinId="9" hidden="1"/>
    <cellStyle name="Followed Hyperlink" xfId="21011" builtinId="9" hidden="1"/>
    <cellStyle name="Followed Hyperlink" xfId="21009" builtinId="9" hidden="1"/>
    <cellStyle name="Followed Hyperlink" xfId="21007" builtinId="9" hidden="1"/>
    <cellStyle name="Followed Hyperlink" xfId="21005" builtinId="9" hidden="1"/>
    <cellStyle name="Followed Hyperlink" xfId="21003" builtinId="9" hidden="1"/>
    <cellStyle name="Followed Hyperlink" xfId="21001" builtinId="9" hidden="1"/>
    <cellStyle name="Followed Hyperlink" xfId="20999" builtinId="9" hidden="1"/>
    <cellStyle name="Followed Hyperlink" xfId="20997" builtinId="9" hidden="1"/>
    <cellStyle name="Followed Hyperlink" xfId="20995" builtinId="9" hidden="1"/>
    <cellStyle name="Followed Hyperlink" xfId="20993" builtinId="9" hidden="1"/>
    <cellStyle name="Followed Hyperlink" xfId="20991" builtinId="9" hidden="1"/>
    <cellStyle name="Followed Hyperlink" xfId="20989" builtinId="9" hidden="1"/>
    <cellStyle name="Followed Hyperlink" xfId="20987" builtinId="9" hidden="1"/>
    <cellStyle name="Followed Hyperlink" xfId="20985" builtinId="9" hidden="1"/>
    <cellStyle name="Followed Hyperlink" xfId="20983" builtinId="9" hidden="1"/>
    <cellStyle name="Followed Hyperlink" xfId="20981" builtinId="9" hidden="1"/>
    <cellStyle name="Followed Hyperlink" xfId="20979" builtinId="9" hidden="1"/>
    <cellStyle name="Followed Hyperlink" xfId="20977" builtinId="9" hidden="1"/>
    <cellStyle name="Followed Hyperlink" xfId="20975" builtinId="9" hidden="1"/>
    <cellStyle name="Followed Hyperlink" xfId="20973" builtinId="9" hidden="1"/>
    <cellStyle name="Followed Hyperlink" xfId="20971" builtinId="9" hidden="1"/>
    <cellStyle name="Followed Hyperlink" xfId="20969" builtinId="9" hidden="1"/>
    <cellStyle name="Followed Hyperlink" xfId="20967" builtinId="9" hidden="1"/>
    <cellStyle name="Followed Hyperlink" xfId="20965" builtinId="9" hidden="1"/>
    <cellStyle name="Followed Hyperlink" xfId="20963" builtinId="9" hidden="1"/>
    <cellStyle name="Followed Hyperlink" xfId="20961" builtinId="9" hidden="1"/>
    <cellStyle name="Followed Hyperlink" xfId="20959" builtinId="9" hidden="1"/>
    <cellStyle name="Followed Hyperlink" xfId="20957" builtinId="9" hidden="1"/>
    <cellStyle name="Followed Hyperlink" xfId="20955" builtinId="9" hidden="1"/>
    <cellStyle name="Followed Hyperlink" xfId="20953" builtinId="9" hidden="1"/>
    <cellStyle name="Followed Hyperlink" xfId="20951" builtinId="9" hidden="1"/>
    <cellStyle name="Followed Hyperlink" xfId="20949" builtinId="9" hidden="1"/>
    <cellStyle name="Followed Hyperlink" xfId="20947" builtinId="9" hidden="1"/>
    <cellStyle name="Followed Hyperlink" xfId="20945" builtinId="9" hidden="1"/>
    <cellStyle name="Followed Hyperlink" xfId="20943" builtinId="9" hidden="1"/>
    <cellStyle name="Followed Hyperlink" xfId="20941" builtinId="9" hidden="1"/>
    <cellStyle name="Followed Hyperlink" xfId="20939" builtinId="9" hidden="1"/>
    <cellStyle name="Followed Hyperlink" xfId="20937" builtinId="9" hidden="1"/>
    <cellStyle name="Followed Hyperlink" xfId="20935" builtinId="9" hidden="1"/>
    <cellStyle name="Followed Hyperlink" xfId="20933" builtinId="9" hidden="1"/>
    <cellStyle name="Followed Hyperlink" xfId="20931" builtinId="9" hidden="1"/>
    <cellStyle name="Followed Hyperlink" xfId="20929" builtinId="9" hidden="1"/>
    <cellStyle name="Followed Hyperlink" xfId="20927" builtinId="9" hidden="1"/>
    <cellStyle name="Followed Hyperlink" xfId="20925" builtinId="9" hidden="1"/>
    <cellStyle name="Followed Hyperlink" xfId="20923" builtinId="9" hidden="1"/>
    <cellStyle name="Followed Hyperlink" xfId="20921" builtinId="9" hidden="1"/>
    <cellStyle name="Followed Hyperlink" xfId="20919" builtinId="9" hidden="1"/>
    <cellStyle name="Followed Hyperlink" xfId="20917" builtinId="9" hidden="1"/>
    <cellStyle name="Followed Hyperlink" xfId="20913" builtinId="9" hidden="1"/>
    <cellStyle name="Followed Hyperlink" xfId="20911" builtinId="9" hidden="1"/>
    <cellStyle name="Followed Hyperlink" xfId="20909" builtinId="9" hidden="1"/>
    <cellStyle name="Followed Hyperlink" xfId="20907" builtinId="9" hidden="1"/>
    <cellStyle name="Followed Hyperlink" xfId="20905" builtinId="9" hidden="1"/>
    <cellStyle name="Followed Hyperlink" xfId="20903" builtinId="9" hidden="1"/>
    <cellStyle name="Followed Hyperlink" xfId="20901" builtinId="9" hidden="1"/>
    <cellStyle name="Followed Hyperlink" xfId="20899" builtinId="9" hidden="1"/>
    <cellStyle name="Followed Hyperlink" xfId="20897" builtinId="9" hidden="1"/>
    <cellStyle name="Followed Hyperlink" xfId="20895" builtinId="9" hidden="1"/>
    <cellStyle name="Followed Hyperlink" xfId="20893" builtinId="9" hidden="1"/>
    <cellStyle name="Followed Hyperlink" xfId="20891" builtinId="9" hidden="1"/>
    <cellStyle name="Followed Hyperlink" xfId="20889" builtinId="9" hidden="1"/>
    <cellStyle name="Followed Hyperlink" xfId="20887" builtinId="9" hidden="1"/>
    <cellStyle name="Followed Hyperlink" xfId="20885" builtinId="9" hidden="1"/>
    <cellStyle name="Followed Hyperlink" xfId="20883" builtinId="9" hidden="1"/>
    <cellStyle name="Followed Hyperlink" xfId="20881" builtinId="9" hidden="1"/>
    <cellStyle name="Followed Hyperlink" xfId="20879" builtinId="9" hidden="1"/>
    <cellStyle name="Followed Hyperlink" xfId="20877" builtinId="9" hidden="1"/>
    <cellStyle name="Followed Hyperlink" xfId="20875" builtinId="9" hidden="1"/>
    <cellStyle name="Followed Hyperlink" xfId="20873" builtinId="9" hidden="1"/>
    <cellStyle name="Followed Hyperlink" xfId="20871" builtinId="9" hidden="1"/>
    <cellStyle name="Followed Hyperlink" xfId="20869" builtinId="9" hidden="1"/>
    <cellStyle name="Followed Hyperlink" xfId="20867" builtinId="9" hidden="1"/>
    <cellStyle name="Followed Hyperlink" xfId="20865" builtinId="9" hidden="1"/>
    <cellStyle name="Followed Hyperlink" xfId="20863" builtinId="9" hidden="1"/>
    <cellStyle name="Followed Hyperlink" xfId="20861" builtinId="9" hidden="1"/>
    <cellStyle name="Followed Hyperlink" xfId="20860" builtinId="9" hidden="1"/>
    <cellStyle name="Followed Hyperlink" xfId="20858" builtinId="9" hidden="1"/>
    <cellStyle name="Followed Hyperlink" xfId="20856" builtinId="9" hidden="1"/>
    <cellStyle name="Followed Hyperlink" xfId="20854" builtinId="9" hidden="1"/>
    <cellStyle name="Followed Hyperlink" xfId="20852" builtinId="9" hidden="1"/>
    <cellStyle name="Followed Hyperlink" xfId="20850" builtinId="9" hidden="1"/>
    <cellStyle name="Followed Hyperlink" xfId="20848" builtinId="9" hidden="1"/>
    <cellStyle name="Followed Hyperlink" xfId="20846" builtinId="9" hidden="1"/>
    <cellStyle name="Followed Hyperlink" xfId="20844" builtinId="9" hidden="1"/>
    <cellStyle name="Followed Hyperlink" xfId="20842" builtinId="9" hidden="1"/>
    <cellStyle name="Followed Hyperlink" xfId="20840" builtinId="9" hidden="1"/>
    <cellStyle name="Followed Hyperlink" xfId="20838" builtinId="9" hidden="1"/>
    <cellStyle name="Followed Hyperlink" xfId="20836" builtinId="9" hidden="1"/>
    <cellStyle name="Followed Hyperlink" xfId="20834" builtinId="9" hidden="1"/>
    <cellStyle name="Followed Hyperlink" xfId="20832" builtinId="9" hidden="1"/>
    <cellStyle name="Followed Hyperlink" xfId="20830" builtinId="9" hidden="1"/>
    <cellStyle name="Followed Hyperlink" xfId="20828" builtinId="9" hidden="1"/>
    <cellStyle name="Followed Hyperlink" xfId="20826" builtinId="9" hidden="1"/>
    <cellStyle name="Followed Hyperlink" xfId="20824" builtinId="9" hidden="1"/>
    <cellStyle name="Followed Hyperlink" xfId="20822" builtinId="9" hidden="1"/>
    <cellStyle name="Followed Hyperlink" xfId="20820" builtinId="9" hidden="1"/>
    <cellStyle name="Followed Hyperlink" xfId="20818" builtinId="9" hidden="1"/>
    <cellStyle name="Followed Hyperlink" xfId="20816" builtinId="9" hidden="1"/>
    <cellStyle name="Followed Hyperlink" xfId="20814" builtinId="9" hidden="1"/>
    <cellStyle name="Followed Hyperlink" xfId="20812" builtinId="9" hidden="1"/>
    <cellStyle name="Followed Hyperlink" xfId="20810" builtinId="9" hidden="1"/>
    <cellStyle name="Followed Hyperlink" xfId="20808" builtinId="9" hidden="1"/>
    <cellStyle name="Followed Hyperlink" xfId="20806" builtinId="9" hidden="1"/>
    <cellStyle name="Followed Hyperlink" xfId="20804" builtinId="9" hidden="1"/>
    <cellStyle name="Followed Hyperlink" xfId="20802" builtinId="9" hidden="1"/>
    <cellStyle name="Followed Hyperlink" xfId="20800" builtinId="9" hidden="1"/>
    <cellStyle name="Followed Hyperlink" xfId="20798" builtinId="9" hidden="1"/>
    <cellStyle name="Followed Hyperlink" xfId="20796" builtinId="9" hidden="1"/>
    <cellStyle name="Followed Hyperlink" xfId="20794" builtinId="9" hidden="1"/>
    <cellStyle name="Followed Hyperlink" xfId="20792" builtinId="9" hidden="1"/>
    <cellStyle name="Followed Hyperlink" xfId="20790" builtinId="9" hidden="1"/>
    <cellStyle name="Followed Hyperlink" xfId="20788" builtinId="9" hidden="1"/>
    <cellStyle name="Followed Hyperlink" xfId="20786" builtinId="9" hidden="1"/>
    <cellStyle name="Followed Hyperlink" xfId="20784" builtinId="9" hidden="1"/>
    <cellStyle name="Followed Hyperlink" xfId="20782" builtinId="9" hidden="1"/>
    <cellStyle name="Followed Hyperlink" xfId="20780" builtinId="9" hidden="1"/>
    <cellStyle name="Followed Hyperlink" xfId="20778" builtinId="9" hidden="1"/>
    <cellStyle name="Followed Hyperlink" xfId="20776" builtinId="9" hidden="1"/>
    <cellStyle name="Followed Hyperlink" xfId="20774" builtinId="9" hidden="1"/>
    <cellStyle name="Followed Hyperlink" xfId="20772" builtinId="9" hidden="1"/>
    <cellStyle name="Followed Hyperlink" xfId="20770" builtinId="9" hidden="1"/>
    <cellStyle name="Followed Hyperlink" xfId="20768" builtinId="9" hidden="1"/>
    <cellStyle name="Followed Hyperlink" xfId="20766" builtinId="9" hidden="1"/>
    <cellStyle name="Followed Hyperlink" xfId="20764" builtinId="9" hidden="1"/>
    <cellStyle name="Followed Hyperlink" xfId="20762" builtinId="9" hidden="1"/>
    <cellStyle name="Followed Hyperlink" xfId="20760" builtinId="9" hidden="1"/>
    <cellStyle name="Followed Hyperlink" xfId="20758" builtinId="9" hidden="1"/>
    <cellStyle name="Followed Hyperlink" xfId="20757" builtinId="9" hidden="1"/>
    <cellStyle name="Followed Hyperlink" xfId="20755" builtinId="9" hidden="1"/>
    <cellStyle name="Followed Hyperlink" xfId="20753" builtinId="9" hidden="1"/>
    <cellStyle name="Followed Hyperlink" xfId="20751" builtinId="9" hidden="1"/>
    <cellStyle name="Followed Hyperlink" xfId="20749" builtinId="9" hidden="1"/>
    <cellStyle name="Followed Hyperlink" xfId="20747" builtinId="9" hidden="1"/>
    <cellStyle name="Followed Hyperlink" xfId="20745" builtinId="9" hidden="1"/>
    <cellStyle name="Followed Hyperlink" xfId="20743" builtinId="9" hidden="1"/>
    <cellStyle name="Followed Hyperlink" xfId="20741" builtinId="9" hidden="1"/>
    <cellStyle name="Followed Hyperlink" xfId="20739" builtinId="9" hidden="1"/>
    <cellStyle name="Followed Hyperlink" xfId="20737" builtinId="9" hidden="1"/>
    <cellStyle name="Followed Hyperlink" xfId="20735" builtinId="9" hidden="1"/>
    <cellStyle name="Followed Hyperlink" xfId="20733" builtinId="9" hidden="1"/>
    <cellStyle name="Followed Hyperlink" xfId="20731" builtinId="9" hidden="1"/>
    <cellStyle name="Followed Hyperlink" xfId="18747" builtinId="9" hidden="1"/>
    <cellStyle name="Followed Hyperlink" xfId="19903" builtinId="9" hidden="1"/>
    <cellStyle name="Followed Hyperlink" xfId="19621" builtinId="9" hidden="1"/>
    <cellStyle name="Followed Hyperlink" xfId="19655" builtinId="9" hidden="1"/>
    <cellStyle name="Followed Hyperlink" xfId="19450" builtinId="9" hidden="1"/>
    <cellStyle name="Followed Hyperlink" xfId="19724" builtinId="9" hidden="1"/>
    <cellStyle name="Followed Hyperlink" xfId="19835" builtinId="9" hidden="1"/>
    <cellStyle name="Followed Hyperlink" xfId="19926" builtinId="9" hidden="1"/>
    <cellStyle name="Followed Hyperlink" xfId="19933" builtinId="9" hidden="1"/>
    <cellStyle name="Followed Hyperlink" xfId="19871" builtinId="9" hidden="1"/>
    <cellStyle name="Followed Hyperlink" xfId="18653" builtinId="9" hidden="1"/>
    <cellStyle name="Followed Hyperlink" xfId="19657" builtinId="9" hidden="1"/>
    <cellStyle name="Followed Hyperlink" xfId="19627" builtinId="9" hidden="1"/>
    <cellStyle name="Followed Hyperlink" xfId="19660" builtinId="9" hidden="1"/>
    <cellStyle name="Followed Hyperlink" xfId="19838" builtinId="9" hidden="1"/>
    <cellStyle name="Followed Hyperlink" xfId="19452" builtinId="9" hidden="1"/>
    <cellStyle name="Followed Hyperlink" xfId="17782" builtinId="9" hidden="1"/>
    <cellStyle name="Followed Hyperlink" xfId="19008" builtinId="9" hidden="1"/>
    <cellStyle name="Followed Hyperlink" xfId="19836" builtinId="9" hidden="1"/>
    <cellStyle name="Followed Hyperlink" xfId="18661" builtinId="9" hidden="1"/>
    <cellStyle name="Followed Hyperlink" xfId="19928" builtinId="9" hidden="1"/>
    <cellStyle name="Followed Hyperlink" xfId="19931" builtinId="9" hidden="1"/>
    <cellStyle name="Followed Hyperlink" xfId="19725" builtinId="9" hidden="1"/>
    <cellStyle name="Followed Hyperlink" xfId="19623" builtinId="9" hidden="1"/>
    <cellStyle name="Followed Hyperlink" xfId="19927" builtinId="9" hidden="1"/>
    <cellStyle name="Followed Hyperlink" xfId="20730" builtinId="9" hidden="1"/>
    <cellStyle name="Followed Hyperlink" xfId="20734" builtinId="9" hidden="1"/>
    <cellStyle name="Followed Hyperlink" xfId="20738" builtinId="9" hidden="1"/>
    <cellStyle name="Followed Hyperlink" xfId="20742" builtinId="9" hidden="1"/>
    <cellStyle name="Followed Hyperlink" xfId="20746" builtinId="9" hidden="1"/>
    <cellStyle name="Followed Hyperlink" xfId="20750" builtinId="9" hidden="1"/>
    <cellStyle name="Followed Hyperlink" xfId="20754" builtinId="9" hidden="1"/>
    <cellStyle name="Followed Hyperlink" xfId="20589" builtinId="9" hidden="1"/>
    <cellStyle name="Followed Hyperlink" xfId="20761" builtinId="9" hidden="1"/>
    <cellStyle name="Followed Hyperlink" xfId="20765" builtinId="9" hidden="1"/>
    <cellStyle name="Followed Hyperlink" xfId="20769" builtinId="9" hidden="1"/>
    <cellStyle name="Followed Hyperlink" xfId="20773" builtinId="9" hidden="1"/>
    <cellStyle name="Followed Hyperlink" xfId="20777" builtinId="9" hidden="1"/>
    <cellStyle name="Followed Hyperlink" xfId="20781" builtinId="9" hidden="1"/>
    <cellStyle name="Followed Hyperlink" xfId="20785" builtinId="9" hidden="1"/>
    <cellStyle name="Followed Hyperlink" xfId="20789" builtinId="9" hidden="1"/>
    <cellStyle name="Followed Hyperlink" xfId="20793" builtinId="9" hidden="1"/>
    <cellStyle name="Followed Hyperlink" xfId="20797" builtinId="9" hidden="1"/>
    <cellStyle name="Followed Hyperlink" xfId="20801" builtinId="9" hidden="1"/>
    <cellStyle name="Followed Hyperlink" xfId="20805" builtinId="9" hidden="1"/>
    <cellStyle name="Followed Hyperlink" xfId="20809" builtinId="9" hidden="1"/>
    <cellStyle name="Followed Hyperlink" xfId="20813" builtinId="9" hidden="1"/>
    <cellStyle name="Followed Hyperlink" xfId="20817" builtinId="9" hidden="1"/>
    <cellStyle name="Followed Hyperlink" xfId="20821" builtinId="9" hidden="1"/>
    <cellStyle name="Followed Hyperlink" xfId="20825" builtinId="9" hidden="1"/>
    <cellStyle name="Followed Hyperlink" xfId="20829" builtinId="9" hidden="1"/>
    <cellStyle name="Followed Hyperlink" xfId="20833" builtinId="9" hidden="1"/>
    <cellStyle name="Followed Hyperlink" xfId="20837" builtinId="9" hidden="1"/>
    <cellStyle name="Followed Hyperlink" xfId="20841" builtinId="9" hidden="1"/>
    <cellStyle name="Followed Hyperlink" xfId="20845" builtinId="9" hidden="1"/>
    <cellStyle name="Followed Hyperlink" xfId="20849" builtinId="9" hidden="1"/>
    <cellStyle name="Followed Hyperlink" xfId="20853" builtinId="9" hidden="1"/>
    <cellStyle name="Followed Hyperlink" xfId="20857" builtinId="9" hidden="1"/>
    <cellStyle name="Followed Hyperlink" xfId="19775" builtinId="9" hidden="1"/>
    <cellStyle name="Followed Hyperlink" xfId="20864" builtinId="9" hidden="1"/>
    <cellStyle name="Followed Hyperlink" xfId="20868" builtinId="9" hidden="1"/>
    <cellStyle name="Followed Hyperlink" xfId="20872" builtinId="9" hidden="1"/>
    <cellStyle name="Followed Hyperlink" xfId="20876" builtinId="9" hidden="1"/>
    <cellStyle name="Followed Hyperlink" xfId="20880" builtinId="9" hidden="1"/>
    <cellStyle name="Followed Hyperlink" xfId="20884" builtinId="9" hidden="1"/>
    <cellStyle name="Followed Hyperlink" xfId="20888" builtinId="9" hidden="1"/>
    <cellStyle name="Followed Hyperlink" xfId="20892" builtinId="9" hidden="1"/>
    <cellStyle name="Followed Hyperlink" xfId="20896" builtinId="9" hidden="1"/>
    <cellStyle name="Followed Hyperlink" xfId="20900" builtinId="9" hidden="1"/>
    <cellStyle name="Followed Hyperlink" xfId="20904" builtinId="9" hidden="1"/>
    <cellStyle name="Followed Hyperlink" xfId="20908" builtinId="9" hidden="1"/>
    <cellStyle name="Followed Hyperlink" xfId="20912" builtinId="9" hidden="1"/>
    <cellStyle name="Followed Hyperlink" xfId="18987" builtinId="9" hidden="1"/>
    <cellStyle name="Followed Hyperlink" xfId="20713" builtinId="9" hidden="1"/>
    <cellStyle name="Followed Hyperlink" xfId="19661" builtinId="9" hidden="1"/>
    <cellStyle name="Followed Hyperlink" xfId="19935" builtinId="9" hidden="1"/>
    <cellStyle name="Followed Hyperlink" xfId="19713" builtinId="9" hidden="1"/>
    <cellStyle name="Followed Hyperlink" xfId="19808" builtinId="9" hidden="1"/>
    <cellStyle name="Followed Hyperlink" xfId="18797" builtinId="9" hidden="1"/>
    <cellStyle name="Followed Hyperlink" xfId="18703" builtinId="9" hidden="1"/>
    <cellStyle name="Followed Hyperlink" xfId="18659" builtinId="9" hidden="1"/>
    <cellStyle name="Followed Hyperlink" xfId="19740" builtinId="9" hidden="1"/>
    <cellStyle name="Followed Hyperlink" xfId="19638" builtinId="9" hidden="1"/>
    <cellStyle name="Followed Hyperlink" xfId="19811" builtinId="9" hidden="1"/>
    <cellStyle name="Followed Hyperlink" xfId="19850" builtinId="9" hidden="1"/>
    <cellStyle name="Followed Hyperlink" xfId="19906" builtinId="9" hidden="1"/>
    <cellStyle name="Followed Hyperlink" xfId="19710" builtinId="9" hidden="1"/>
    <cellStyle name="Followed Hyperlink" xfId="19727" builtinId="9" hidden="1"/>
    <cellStyle name="Followed Hyperlink" xfId="19796" builtinId="9" hidden="1"/>
    <cellStyle name="Followed Hyperlink" xfId="19892" builtinId="9" hidden="1"/>
    <cellStyle name="Followed Hyperlink" xfId="19888" builtinId="9" hidden="1"/>
    <cellStyle name="Followed Hyperlink" xfId="19875" builtinId="9" hidden="1"/>
    <cellStyle name="Followed Hyperlink" xfId="15320" builtinId="9" hidden="1"/>
    <cellStyle name="Followed Hyperlink" xfId="19640" builtinId="9" hidden="1"/>
    <cellStyle name="Followed Hyperlink" xfId="19747" builtinId="9" hidden="1"/>
    <cellStyle name="Followed Hyperlink" xfId="18652" builtinId="9" hidden="1"/>
    <cellStyle name="Followed Hyperlink" xfId="19668" builtinId="9" hidden="1"/>
    <cellStyle name="Followed Hyperlink" xfId="19670" builtinId="9" hidden="1"/>
    <cellStyle name="Followed Hyperlink" xfId="19451" builtinId="9" hidden="1"/>
    <cellStyle name="Followed Hyperlink" xfId="19730" builtinId="9" hidden="1"/>
    <cellStyle name="Followed Hyperlink" xfId="18658" builtinId="9" hidden="1"/>
    <cellStyle name="Followed Hyperlink" xfId="19934" builtinId="9" hidden="1"/>
    <cellStyle name="Followed Hyperlink" xfId="19925" builtinId="9" hidden="1"/>
    <cellStyle name="Followed Hyperlink" xfId="19739" builtinId="9" hidden="1"/>
    <cellStyle name="Followed Hyperlink" xfId="18657" builtinId="9" hidden="1"/>
    <cellStyle name="Followed Hyperlink" xfId="19673" builtinId="9" hidden="1"/>
    <cellStyle name="Followed Hyperlink" xfId="19674" builtinId="9" hidden="1"/>
    <cellStyle name="Followed Hyperlink" xfId="19649" builtinId="9" hidden="1"/>
    <cellStyle name="Followed Hyperlink" xfId="19651" builtinId="9" hidden="1"/>
    <cellStyle name="Followed Hyperlink" xfId="19750" builtinId="9" hidden="1"/>
    <cellStyle name="Followed Hyperlink" xfId="19878" builtinId="9" hidden="1"/>
    <cellStyle name="Followed Hyperlink" xfId="19711" builtinId="9" hidden="1"/>
    <cellStyle name="Followed Hyperlink" xfId="19776" builtinId="9" hidden="1"/>
    <cellStyle name="Followed Hyperlink" xfId="20588" builtinId="9" hidden="1"/>
    <cellStyle name="Followed Hyperlink" xfId="16498" builtinId="9" hidden="1"/>
    <cellStyle name="Followed Hyperlink" xfId="20577" builtinId="9" hidden="1"/>
    <cellStyle name="Followed Hyperlink" xfId="17848" builtinId="9" hidden="1"/>
    <cellStyle name="Followed Hyperlink" xfId="20576" builtinId="9" hidden="1"/>
    <cellStyle name="Followed Hyperlink" xfId="18742" builtinId="9" hidden="1"/>
    <cellStyle name="Followed Hyperlink" xfId="20627" builtinId="9" hidden="1"/>
    <cellStyle name="Followed Hyperlink" xfId="20575" builtinId="9" hidden="1"/>
    <cellStyle name="Followed Hyperlink" xfId="20574" builtinId="9" hidden="1"/>
    <cellStyle name="Followed Hyperlink" xfId="19778" builtinId="9" hidden="1"/>
    <cellStyle name="Followed Hyperlink" xfId="20626" builtinId="9" hidden="1"/>
    <cellStyle name="Followed Hyperlink" xfId="20571" builtinId="9" hidden="1"/>
    <cellStyle name="Followed Hyperlink" xfId="20570" builtinId="9" hidden="1"/>
    <cellStyle name="Followed Hyperlink" xfId="20568" builtinId="9" hidden="1"/>
    <cellStyle name="Followed Hyperlink" xfId="20709" builtinId="9" hidden="1"/>
    <cellStyle name="Followed Hyperlink" xfId="20681" builtinId="9" hidden="1"/>
    <cellStyle name="Followed Hyperlink" xfId="20680" builtinId="9" hidden="1"/>
    <cellStyle name="Followed Hyperlink" xfId="20679" builtinId="9" hidden="1"/>
    <cellStyle name="Followed Hyperlink" xfId="20653" builtinId="9" hidden="1"/>
    <cellStyle name="Followed Hyperlink" xfId="20699" builtinId="9" hidden="1"/>
    <cellStyle name="Followed Hyperlink" xfId="20693" builtinId="9" hidden="1"/>
    <cellStyle name="Followed Hyperlink" xfId="20673" builtinId="9" hidden="1"/>
    <cellStyle name="Followed Hyperlink" xfId="20650" builtinId="9" hidden="1"/>
    <cellStyle name="Followed Hyperlink" xfId="20617" builtinId="9" hidden="1"/>
    <cellStyle name="Followed Hyperlink" xfId="20701" builtinId="9" hidden="1"/>
    <cellStyle name="Followed Hyperlink" xfId="20695" builtinId="9" hidden="1"/>
    <cellStyle name="Followed Hyperlink" xfId="20674" builtinId="9" hidden="1"/>
    <cellStyle name="Followed Hyperlink" xfId="20652" builtinId="9" hidden="1"/>
    <cellStyle name="Followed Hyperlink" xfId="20625" builtinId="9" hidden="1"/>
    <cellStyle name="Followed Hyperlink" xfId="20671" builtinId="9" hidden="1"/>
    <cellStyle name="Followed Hyperlink" xfId="20566" builtinId="9" hidden="1"/>
    <cellStyle name="Followed Hyperlink" xfId="20565" builtinId="9" hidden="1"/>
    <cellStyle name="Followed Hyperlink" xfId="20564" builtinId="9" hidden="1"/>
    <cellStyle name="Followed Hyperlink" xfId="20563" builtinId="9" hidden="1"/>
    <cellStyle name="Followed Hyperlink" xfId="20562" builtinId="9" hidden="1"/>
    <cellStyle name="Followed Hyperlink" xfId="20561" builtinId="9" hidden="1"/>
    <cellStyle name="Followed Hyperlink" xfId="20560" builtinId="9" hidden="1"/>
    <cellStyle name="Followed Hyperlink" xfId="20559" builtinId="9" hidden="1"/>
    <cellStyle name="Followed Hyperlink" xfId="17815" builtinId="9" hidden="1"/>
    <cellStyle name="Followed Hyperlink" xfId="20624" builtinId="9" hidden="1"/>
    <cellStyle name="Followed Hyperlink" xfId="19785" builtinId="9" hidden="1"/>
    <cellStyle name="Followed Hyperlink" xfId="20623" builtinId="9" hidden="1"/>
    <cellStyle name="Followed Hyperlink" xfId="20558" builtinId="9" hidden="1"/>
    <cellStyle name="Followed Hyperlink" xfId="19779" builtinId="9" hidden="1"/>
    <cellStyle name="Followed Hyperlink" xfId="19691" builtinId="9" hidden="1"/>
    <cellStyle name="Followed Hyperlink" xfId="20600" builtinId="9" hidden="1"/>
    <cellStyle name="Followed Hyperlink" xfId="20557" builtinId="9" hidden="1"/>
    <cellStyle name="Followed Hyperlink" xfId="18875" builtinId="9" hidden="1"/>
    <cellStyle name="Followed Hyperlink" xfId="20608" builtinId="9" hidden="1"/>
    <cellStyle name="Followed Hyperlink" xfId="20607" builtinId="9" hidden="1"/>
    <cellStyle name="Followed Hyperlink" xfId="20622" builtinId="9" hidden="1"/>
    <cellStyle name="Followed Hyperlink" xfId="20594" builtinId="9" hidden="1"/>
    <cellStyle name="Followed Hyperlink" xfId="16724" builtinId="9" hidden="1"/>
    <cellStyle name="Followed Hyperlink" xfId="20556" builtinId="9" hidden="1"/>
    <cellStyle name="Followed Hyperlink" xfId="19780" builtinId="9" hidden="1"/>
    <cellStyle name="Followed Hyperlink" xfId="19719" builtinId="9" hidden="1"/>
    <cellStyle name="Followed Hyperlink" xfId="20518" builtinId="9" hidden="1"/>
    <cellStyle name="Followed Hyperlink" xfId="20272" builtinId="9" hidden="1"/>
    <cellStyle name="Followed Hyperlink" xfId="19652" builtinId="9" hidden="1"/>
    <cellStyle name="Followed Hyperlink" xfId="20621" builtinId="9" hidden="1"/>
    <cellStyle name="Followed Hyperlink" xfId="20517" builtinId="9" hidden="1"/>
    <cellStyle name="Followed Hyperlink" xfId="18835" builtinId="9" hidden="1"/>
    <cellStyle name="Followed Hyperlink" xfId="20516" builtinId="9" hidden="1"/>
    <cellStyle name="Followed Hyperlink" xfId="18845" builtinId="9" hidden="1"/>
    <cellStyle name="Followed Hyperlink" xfId="19816" builtinId="9" hidden="1"/>
    <cellStyle name="Followed Hyperlink" xfId="20620" builtinId="9" hidden="1"/>
    <cellStyle name="Followed Hyperlink" xfId="20367" builtinId="9" hidden="1"/>
    <cellStyle name="Followed Hyperlink" xfId="19800" builtinId="9" hidden="1"/>
    <cellStyle name="Followed Hyperlink" xfId="19770" builtinId="9" hidden="1"/>
    <cellStyle name="Followed Hyperlink" xfId="17863" builtinId="9" hidden="1"/>
    <cellStyle name="Followed Hyperlink" xfId="19752" builtinId="9" hidden="1"/>
    <cellStyle name="Followed Hyperlink" xfId="20720" builtinId="9" hidden="1"/>
    <cellStyle name="Followed Hyperlink" xfId="20619" builtinId="9" hidden="1"/>
    <cellStyle name="Followed Hyperlink" xfId="20638" builtinId="9" hidden="1"/>
    <cellStyle name="Followed Hyperlink" xfId="20555" builtinId="9" hidden="1"/>
    <cellStyle name="Followed Hyperlink" xfId="20312" builtinId="9" hidden="1"/>
    <cellStyle name="Followed Hyperlink" xfId="19908" builtinId="9" hidden="1"/>
    <cellStyle name="Followed Hyperlink" xfId="20366" builtinId="9" hidden="1"/>
    <cellStyle name="Followed Hyperlink" xfId="17028" builtinId="9" hidden="1"/>
    <cellStyle name="Followed Hyperlink" xfId="19877" builtinId="9" hidden="1"/>
    <cellStyle name="Followed Hyperlink" xfId="20618" builtinId="9" hidden="1"/>
    <cellStyle name="Followed Hyperlink" xfId="20313" builtinId="9" hidden="1"/>
    <cellStyle name="Followed Hyperlink" xfId="19920" builtinId="9" hidden="1"/>
    <cellStyle name="Followed Hyperlink" xfId="20314" builtinId="9" hidden="1"/>
    <cellStyle name="Followed Hyperlink" xfId="19614" builtinId="9" hidden="1"/>
    <cellStyle name="Followed Hyperlink" xfId="20315" builtinId="9" hidden="1"/>
    <cellStyle name="Followed Hyperlink" xfId="19714" builtinId="9" hidden="1"/>
    <cellStyle name="Followed Hyperlink" xfId="18767" builtinId="9" hidden="1"/>
    <cellStyle name="Followed Hyperlink" xfId="20128" builtinId="9" hidden="1"/>
    <cellStyle name="Followed Hyperlink" xfId="19830" builtinId="9" hidden="1"/>
    <cellStyle name="Followed Hyperlink" xfId="21059" builtinId="9" hidden="1"/>
    <cellStyle name="Followed Hyperlink" xfId="21060" builtinId="9" hidden="1"/>
    <cellStyle name="Followed Hyperlink" xfId="21061" builtinId="9" hidden="1"/>
    <cellStyle name="Followed Hyperlink" xfId="21062" builtinId="9" hidden="1"/>
    <cellStyle name="Followed Hyperlink" xfId="21063" builtinId="9" hidden="1"/>
    <cellStyle name="Followed Hyperlink" xfId="21064" builtinId="9" hidden="1"/>
    <cellStyle name="Followed Hyperlink" xfId="21065" builtinId="9" hidden="1"/>
    <cellStyle name="Followed Hyperlink" xfId="21066" builtinId="9" hidden="1"/>
    <cellStyle name="Followed Hyperlink" xfId="21067" builtinId="9" hidden="1"/>
    <cellStyle name="Followed Hyperlink" xfId="21068" builtinId="9" hidden="1"/>
    <cellStyle name="Followed Hyperlink" xfId="21069" builtinId="9" hidden="1"/>
    <cellStyle name="Followed Hyperlink" xfId="21070" builtinId="9" hidden="1"/>
    <cellStyle name="Followed Hyperlink" xfId="21071" builtinId="9" hidden="1"/>
    <cellStyle name="Followed Hyperlink" xfId="21072" builtinId="9" hidden="1"/>
    <cellStyle name="Followed Hyperlink" xfId="21073" builtinId="9" hidden="1"/>
    <cellStyle name="Followed Hyperlink" xfId="21074" builtinId="9" hidden="1"/>
    <cellStyle name="Followed Hyperlink" xfId="21075" builtinId="9" hidden="1"/>
    <cellStyle name="Followed Hyperlink" xfId="21076" builtinId="9" hidden="1"/>
    <cellStyle name="Followed Hyperlink" xfId="21077" builtinId="9" hidden="1"/>
    <cellStyle name="Followed Hyperlink" xfId="21078" builtinId="9" hidden="1"/>
    <cellStyle name="Followed Hyperlink" xfId="21079" builtinId="9" hidden="1"/>
    <cellStyle name="Followed Hyperlink" xfId="21080" builtinId="9" hidden="1"/>
    <cellStyle name="Followed Hyperlink" xfId="21081" builtinId="9" hidden="1"/>
    <cellStyle name="Followed Hyperlink" xfId="21082" builtinId="9" hidden="1"/>
    <cellStyle name="Followed Hyperlink" xfId="21083" builtinId="9" hidden="1"/>
    <cellStyle name="Followed Hyperlink" xfId="21084" builtinId="9" hidden="1"/>
    <cellStyle name="Followed Hyperlink" xfId="21085" builtinId="9" hidden="1"/>
    <cellStyle name="Followed Hyperlink" xfId="21086" builtinId="9" hidden="1"/>
    <cellStyle name="Followed Hyperlink" xfId="21087" builtinId="9" hidden="1"/>
    <cellStyle name="Followed Hyperlink" xfId="21088" builtinId="9" hidden="1"/>
    <cellStyle name="Followed Hyperlink" xfId="21089" builtinId="9" hidden="1"/>
    <cellStyle name="Followed Hyperlink" xfId="21090" builtinId="9" hidden="1"/>
    <cellStyle name="Followed Hyperlink" xfId="21091" builtinId="9" hidden="1"/>
    <cellStyle name="Followed Hyperlink" xfId="21092" builtinId="9" hidden="1"/>
    <cellStyle name="Followed Hyperlink" xfId="21093" builtinId="9" hidden="1"/>
    <cellStyle name="Followed Hyperlink" xfId="21094" builtinId="9" hidden="1"/>
    <cellStyle name="Followed Hyperlink" xfId="21095" builtinId="9" hidden="1"/>
    <cellStyle name="Followed Hyperlink" xfId="21096" builtinId="9" hidden="1"/>
    <cellStyle name="Followed Hyperlink" xfId="21097" builtinId="9" hidden="1"/>
    <cellStyle name="Followed Hyperlink" xfId="21098" builtinId="9" hidden="1"/>
    <cellStyle name="Followed Hyperlink" xfId="21099" builtinId="9" hidden="1"/>
    <cellStyle name="Followed Hyperlink" xfId="21100" builtinId="9" hidden="1"/>
    <cellStyle name="Followed Hyperlink" xfId="21101" builtinId="9" hidden="1"/>
    <cellStyle name="Followed Hyperlink" xfId="21102" builtinId="9" hidden="1"/>
    <cellStyle name="Followed Hyperlink" xfId="21103" builtinId="9" hidden="1"/>
    <cellStyle name="Followed Hyperlink" xfId="21104" builtinId="9" hidden="1"/>
    <cellStyle name="Followed Hyperlink" xfId="21105" builtinId="9" hidden="1"/>
    <cellStyle name="Followed Hyperlink" xfId="21106" builtinId="9" hidden="1"/>
    <cellStyle name="Followed Hyperlink" xfId="21107" builtinId="9" hidden="1"/>
    <cellStyle name="Followed Hyperlink" xfId="21108" builtinId="9" hidden="1"/>
    <cellStyle name="Followed Hyperlink" xfId="21109" builtinId="9" hidden="1"/>
    <cellStyle name="Followed Hyperlink" xfId="21110" builtinId="9" hidden="1"/>
    <cellStyle name="Followed Hyperlink" xfId="21111" builtinId="9" hidden="1"/>
    <cellStyle name="Followed Hyperlink" xfId="21112" builtinId="9" hidden="1"/>
    <cellStyle name="Followed Hyperlink" xfId="21113" builtinId="9" hidden="1"/>
    <cellStyle name="Followed Hyperlink" xfId="21114" builtinId="9" hidden="1"/>
    <cellStyle name="Followed Hyperlink" xfId="21115" builtinId="9" hidden="1"/>
    <cellStyle name="Followed Hyperlink" xfId="21116" builtinId="9" hidden="1"/>
    <cellStyle name="Followed Hyperlink" xfId="21117" builtinId="9" hidden="1"/>
    <cellStyle name="Followed Hyperlink" xfId="21118" builtinId="9" hidden="1"/>
    <cellStyle name="Followed Hyperlink" xfId="21119" builtinId="9" hidden="1"/>
    <cellStyle name="Followed Hyperlink" xfId="21120" builtinId="9" hidden="1"/>
    <cellStyle name="Followed Hyperlink" xfId="21121" builtinId="9" hidden="1"/>
    <cellStyle name="Followed Hyperlink" xfId="21122" builtinId="9" hidden="1"/>
    <cellStyle name="Followed Hyperlink" xfId="21123" builtinId="9" hidden="1"/>
    <cellStyle name="Followed Hyperlink" xfId="21124" builtinId="9" hidden="1"/>
    <cellStyle name="Followed Hyperlink" xfId="21125" builtinId="9" hidden="1"/>
    <cellStyle name="Followed Hyperlink" xfId="21126" builtinId="9" hidden="1"/>
    <cellStyle name="Followed Hyperlink" xfId="21127" builtinId="9" hidden="1"/>
    <cellStyle name="Followed Hyperlink" xfId="21128" builtinId="9" hidden="1"/>
    <cellStyle name="Followed Hyperlink" xfId="21129" builtinId="9" hidden="1"/>
    <cellStyle name="Followed Hyperlink" xfId="21130" builtinId="9" hidden="1"/>
    <cellStyle name="Followed Hyperlink" xfId="21131" builtinId="9" hidden="1"/>
    <cellStyle name="Followed Hyperlink" xfId="21132" builtinId="9" hidden="1"/>
    <cellStyle name="Followed Hyperlink" xfId="21133" builtinId="9" hidden="1"/>
    <cellStyle name="Followed Hyperlink" xfId="21134" builtinId="9" hidden="1"/>
    <cellStyle name="Followed Hyperlink" xfId="21135" builtinId="9" hidden="1"/>
    <cellStyle name="Followed Hyperlink" xfId="21136" builtinId="9" hidden="1"/>
    <cellStyle name="Followed Hyperlink" xfId="21137" builtinId="9" hidden="1"/>
    <cellStyle name="Followed Hyperlink" xfId="21138" builtinId="9" hidden="1"/>
    <cellStyle name="Followed Hyperlink" xfId="21139" builtinId="9" hidden="1"/>
    <cellStyle name="Followed Hyperlink" xfId="21140" builtinId="9" hidden="1"/>
    <cellStyle name="Followed Hyperlink" xfId="21141" builtinId="9" hidden="1"/>
    <cellStyle name="Followed Hyperlink" xfId="21142" builtinId="9" hidden="1"/>
    <cellStyle name="Followed Hyperlink" xfId="21143" builtinId="9" hidden="1"/>
    <cellStyle name="Followed Hyperlink" xfId="21144" builtinId="9" hidden="1"/>
    <cellStyle name="Followed Hyperlink" xfId="21145" builtinId="9" hidden="1"/>
    <cellStyle name="Followed Hyperlink" xfId="21146" builtinId="9" hidden="1"/>
    <cellStyle name="Followed Hyperlink" xfId="21147" builtinId="9" hidden="1"/>
    <cellStyle name="Followed Hyperlink" xfId="21148" builtinId="9" hidden="1"/>
    <cellStyle name="Followed Hyperlink" xfId="21149" builtinId="9" hidden="1"/>
    <cellStyle name="Followed Hyperlink" xfId="21150" builtinId="9" hidden="1"/>
    <cellStyle name="Followed Hyperlink" xfId="21151" builtinId="9" hidden="1"/>
    <cellStyle name="Followed Hyperlink" xfId="21152" builtinId="9" hidden="1"/>
    <cellStyle name="Followed Hyperlink" xfId="21153" builtinId="9" hidden="1"/>
    <cellStyle name="Followed Hyperlink" xfId="21154" builtinId="9" hidden="1"/>
    <cellStyle name="Followed Hyperlink" xfId="21155" builtinId="9" hidden="1"/>
    <cellStyle name="Followed Hyperlink" xfId="21156" builtinId="9" hidden="1"/>
    <cellStyle name="Followed Hyperlink" xfId="21157" builtinId="9" hidden="1"/>
    <cellStyle name="Followed Hyperlink" xfId="21158" builtinId="9" hidden="1"/>
    <cellStyle name="Followed Hyperlink" xfId="21159" builtinId="9" hidden="1"/>
    <cellStyle name="Followed Hyperlink" xfId="21160" builtinId="9" hidden="1"/>
    <cellStyle name="Followed Hyperlink" xfId="21161" builtinId="9" hidden="1"/>
    <cellStyle name="Followed Hyperlink" xfId="21162" builtinId="9" hidden="1"/>
    <cellStyle name="Followed Hyperlink" xfId="21163" builtinId="9" hidden="1"/>
    <cellStyle name="Followed Hyperlink" xfId="21164" builtinId="9" hidden="1"/>
    <cellStyle name="Followed Hyperlink" xfId="21165" builtinId="9" hidden="1"/>
    <cellStyle name="Followed Hyperlink" xfId="21166" builtinId="9" hidden="1"/>
    <cellStyle name="Followed Hyperlink" xfId="21167" builtinId="9" hidden="1"/>
    <cellStyle name="Followed Hyperlink" xfId="21168" builtinId="9" hidden="1"/>
    <cellStyle name="Followed Hyperlink" xfId="21169" builtinId="9" hidden="1"/>
    <cellStyle name="Followed Hyperlink" xfId="21170" builtinId="9" hidden="1"/>
    <cellStyle name="Followed Hyperlink" xfId="21171" builtinId="9" hidden="1"/>
    <cellStyle name="Followed Hyperlink" xfId="21172" builtinId="9" hidden="1"/>
    <cellStyle name="Followed Hyperlink" xfId="21173" builtinId="9" hidden="1"/>
    <cellStyle name="Followed Hyperlink" xfId="21174" builtinId="9" hidden="1"/>
    <cellStyle name="Followed Hyperlink" xfId="21175" builtinId="9" hidden="1"/>
    <cellStyle name="Followed Hyperlink" xfId="21176" builtinId="9" hidden="1"/>
    <cellStyle name="Followed Hyperlink" xfId="21177" builtinId="9" hidden="1"/>
    <cellStyle name="Followed Hyperlink" xfId="21178" builtinId="9" hidden="1"/>
    <cellStyle name="Followed Hyperlink" xfId="21179" builtinId="9" hidden="1"/>
    <cellStyle name="Followed Hyperlink" xfId="21180" builtinId="9" hidden="1"/>
    <cellStyle name="Followed Hyperlink" xfId="21181" builtinId="9" hidden="1"/>
    <cellStyle name="Followed Hyperlink" xfId="21182" builtinId="9" hidden="1"/>
    <cellStyle name="Followed Hyperlink" xfId="21183" builtinId="9" hidden="1"/>
    <cellStyle name="Followed Hyperlink" xfId="21184" builtinId="9" hidden="1"/>
    <cellStyle name="Followed Hyperlink" xfId="21185" builtinId="9" hidden="1"/>
    <cellStyle name="Followed Hyperlink" xfId="21186" builtinId="9" hidden="1"/>
    <cellStyle name="Followed Hyperlink" xfId="21187" builtinId="9" hidden="1"/>
    <cellStyle name="Followed Hyperlink" xfId="21188" builtinId="9" hidden="1"/>
    <cellStyle name="Followed Hyperlink" xfId="21189" builtinId="9" hidden="1"/>
    <cellStyle name="Followed Hyperlink" xfId="21190" builtinId="9" hidden="1"/>
    <cellStyle name="Followed Hyperlink" xfId="21191" builtinId="9" hidden="1"/>
    <cellStyle name="Followed Hyperlink" xfId="21192" builtinId="9" hidden="1"/>
    <cellStyle name="Followed Hyperlink" xfId="21193" builtinId="9" hidden="1"/>
    <cellStyle name="Followed Hyperlink" xfId="21194" builtinId="9" hidden="1"/>
    <cellStyle name="Followed Hyperlink" xfId="21195" builtinId="9" hidden="1"/>
    <cellStyle name="Followed Hyperlink" xfId="21196" builtinId="9" hidden="1"/>
    <cellStyle name="Followed Hyperlink" xfId="21197" builtinId="9" hidden="1"/>
    <cellStyle name="Followed Hyperlink" xfId="21198" builtinId="9" hidden="1"/>
    <cellStyle name="Followed Hyperlink" xfId="21199" builtinId="9" hidden="1"/>
    <cellStyle name="Followed Hyperlink" xfId="21200" builtinId="9" hidden="1"/>
    <cellStyle name="Followed Hyperlink" xfId="21201" builtinId="9" hidden="1"/>
    <cellStyle name="Followed Hyperlink" xfId="21202" builtinId="9" hidden="1"/>
    <cellStyle name="Followed Hyperlink" xfId="21203" builtinId="9" hidden="1"/>
    <cellStyle name="Followed Hyperlink" xfId="21204" builtinId="9" hidden="1"/>
    <cellStyle name="Followed Hyperlink" xfId="21205" builtinId="9" hidden="1"/>
    <cellStyle name="Followed Hyperlink" xfId="21206" builtinId="9" hidden="1"/>
    <cellStyle name="Followed Hyperlink" xfId="21207" builtinId="9" hidden="1"/>
    <cellStyle name="Followed Hyperlink" xfId="21208" builtinId="9" hidden="1"/>
    <cellStyle name="Followed Hyperlink" xfId="21209" builtinId="9" hidden="1"/>
    <cellStyle name="Followed Hyperlink" xfId="21210" builtinId="9" hidden="1"/>
    <cellStyle name="Followed Hyperlink" xfId="21211" builtinId="9" hidden="1"/>
    <cellStyle name="Followed Hyperlink" xfId="21212" builtinId="9" hidden="1"/>
    <cellStyle name="Followed Hyperlink" xfId="21213" builtinId="9" hidden="1"/>
    <cellStyle name="Followed Hyperlink" xfId="21214" builtinId="9" hidden="1"/>
    <cellStyle name="Followed Hyperlink" xfId="21215" builtinId="9" hidden="1"/>
    <cellStyle name="Followed Hyperlink" xfId="21216" builtinId="9" hidden="1"/>
    <cellStyle name="Followed Hyperlink" xfId="21217" builtinId="9" hidden="1"/>
    <cellStyle name="Followed Hyperlink" xfId="21218" builtinId="9" hidden="1"/>
    <cellStyle name="Followed Hyperlink" xfId="21219" builtinId="9" hidden="1"/>
    <cellStyle name="Followed Hyperlink" xfId="21220" builtinId="9" hidden="1"/>
    <cellStyle name="Followed Hyperlink" xfId="21221" builtinId="9" hidden="1"/>
    <cellStyle name="Followed Hyperlink" xfId="21222" builtinId="9" hidden="1"/>
    <cellStyle name="Followed Hyperlink" xfId="21223" builtinId="9" hidden="1"/>
    <cellStyle name="Followed Hyperlink" xfId="21224" builtinId="9" hidden="1"/>
    <cellStyle name="Followed Hyperlink" xfId="21225" builtinId="9" hidden="1"/>
    <cellStyle name="Followed Hyperlink" xfId="21226" builtinId="9" hidden="1"/>
    <cellStyle name="Followed Hyperlink" xfId="21227" builtinId="9" hidden="1"/>
    <cellStyle name="Followed Hyperlink" xfId="21228" builtinId="9" hidden="1"/>
    <cellStyle name="Followed Hyperlink" xfId="21229" builtinId="9" hidden="1"/>
    <cellStyle name="Followed Hyperlink" xfId="21230" builtinId="9" hidden="1"/>
    <cellStyle name="Followed Hyperlink" xfId="21231" builtinId="9" hidden="1"/>
    <cellStyle name="Followed Hyperlink" xfId="21232" builtinId="9" hidden="1"/>
    <cellStyle name="Followed Hyperlink" xfId="21233" builtinId="9" hidden="1"/>
    <cellStyle name="Followed Hyperlink" xfId="21234" builtinId="9" hidden="1"/>
    <cellStyle name="Followed Hyperlink" xfId="21235" builtinId="9" hidden="1"/>
    <cellStyle name="Followed Hyperlink" xfId="21236" builtinId="9" hidden="1"/>
    <cellStyle name="Followed Hyperlink" xfId="21237" builtinId="9" hidden="1"/>
    <cellStyle name="Followed Hyperlink" xfId="21238" builtinId="9" hidden="1"/>
    <cellStyle name="Followed Hyperlink" xfId="21239" builtinId="9" hidden="1"/>
    <cellStyle name="Followed Hyperlink" xfId="21240" builtinId="9" hidden="1"/>
    <cellStyle name="Followed Hyperlink" xfId="21241" builtinId="9" hidden="1"/>
    <cellStyle name="Followed Hyperlink" xfId="21242" builtinId="9" hidden="1"/>
    <cellStyle name="Followed Hyperlink" xfId="21243" builtinId="9" hidden="1"/>
    <cellStyle name="Followed Hyperlink" xfId="21244" builtinId="9" hidden="1"/>
    <cellStyle name="Followed Hyperlink" xfId="21245" builtinId="9" hidden="1"/>
    <cellStyle name="Followed Hyperlink" xfId="21246" builtinId="9" hidden="1"/>
    <cellStyle name="Followed Hyperlink" xfId="21247" builtinId="9" hidden="1"/>
    <cellStyle name="Followed Hyperlink" xfId="21248" builtinId="9" hidden="1"/>
    <cellStyle name="Followed Hyperlink" xfId="21249" builtinId="9" hidden="1"/>
    <cellStyle name="Followed Hyperlink" xfId="21250" builtinId="9" hidden="1"/>
    <cellStyle name="Followed Hyperlink" xfId="21251" builtinId="9" hidden="1"/>
    <cellStyle name="Followed Hyperlink" xfId="21252" builtinId="9" hidden="1"/>
    <cellStyle name="Followed Hyperlink" xfId="21253" builtinId="9" hidden="1"/>
    <cellStyle name="Followed Hyperlink" xfId="21254" builtinId="9" hidden="1"/>
    <cellStyle name="Followed Hyperlink" xfId="21255" builtinId="9" hidden="1"/>
    <cellStyle name="Followed Hyperlink" xfId="21256" builtinId="9" hidden="1"/>
    <cellStyle name="Followed Hyperlink" xfId="21257" builtinId="9" hidden="1"/>
    <cellStyle name="Followed Hyperlink" xfId="21258" builtinId="9" hidden="1"/>
    <cellStyle name="Followed Hyperlink" xfId="21259" builtinId="9" hidden="1"/>
    <cellStyle name="Followed Hyperlink" xfId="21260" builtinId="9" hidden="1"/>
    <cellStyle name="Followed Hyperlink" xfId="21261" builtinId="9" hidden="1"/>
    <cellStyle name="Followed Hyperlink" xfId="21262" builtinId="9" hidden="1"/>
    <cellStyle name="Followed Hyperlink" xfId="21263" builtinId="9" hidden="1"/>
    <cellStyle name="Followed Hyperlink" xfId="21264" builtinId="9" hidden="1"/>
    <cellStyle name="Followed Hyperlink" xfId="21265" builtinId="9" hidden="1"/>
    <cellStyle name="Followed Hyperlink" xfId="21266" builtinId="9" hidden="1"/>
    <cellStyle name="Followed Hyperlink" xfId="21267" builtinId="9" hidden="1"/>
    <cellStyle name="Followed Hyperlink" xfId="21268" builtinId="9" hidden="1"/>
    <cellStyle name="Followed Hyperlink" xfId="21269" builtinId="9" hidden="1"/>
    <cellStyle name="Followed Hyperlink" xfId="21270" builtinId="9" hidden="1"/>
    <cellStyle name="Followed Hyperlink" xfId="21271" builtinId="9" hidden="1"/>
    <cellStyle name="Followed Hyperlink" xfId="21272" builtinId="9" hidden="1"/>
    <cellStyle name="Followed Hyperlink" xfId="21273" builtinId="9" hidden="1"/>
    <cellStyle name="Followed Hyperlink" xfId="21274" builtinId="9" hidden="1"/>
    <cellStyle name="Followed Hyperlink" xfId="21275" builtinId="9" hidden="1"/>
    <cellStyle name="Followed Hyperlink" xfId="21276" builtinId="9" hidden="1"/>
    <cellStyle name="Followed Hyperlink" xfId="21277" builtinId="9" hidden="1"/>
    <cellStyle name="Followed Hyperlink" xfId="21278" builtinId="9" hidden="1"/>
    <cellStyle name="Followed Hyperlink" xfId="21279" builtinId="9" hidden="1"/>
    <cellStyle name="Followed Hyperlink" xfId="21280" builtinId="9" hidden="1"/>
    <cellStyle name="Followed Hyperlink" xfId="21281" builtinId="9" hidden="1"/>
    <cellStyle name="Followed Hyperlink" xfId="21282" builtinId="9" hidden="1"/>
    <cellStyle name="Followed Hyperlink" xfId="21283" builtinId="9" hidden="1"/>
    <cellStyle name="Followed Hyperlink" xfId="21284" builtinId="9" hidden="1"/>
    <cellStyle name="Followed Hyperlink" xfId="21285" builtinId="9" hidden="1"/>
    <cellStyle name="Followed Hyperlink" xfId="21286" builtinId="9" hidden="1"/>
    <cellStyle name="Followed Hyperlink" xfId="21287" builtinId="9" hidden="1"/>
    <cellStyle name="Followed Hyperlink" xfId="21288" builtinId="9" hidden="1"/>
    <cellStyle name="Followed Hyperlink" xfId="21289" builtinId="9" hidden="1"/>
    <cellStyle name="Followed Hyperlink" xfId="21290" builtinId="9" hidden="1"/>
    <cellStyle name="Followed Hyperlink" xfId="21291" builtinId="9" hidden="1"/>
    <cellStyle name="Followed Hyperlink" xfId="21292" builtinId="9" hidden="1"/>
    <cellStyle name="Followed Hyperlink" xfId="21293" builtinId="9" hidden="1"/>
    <cellStyle name="Followed Hyperlink" xfId="21294" builtinId="9" hidden="1"/>
    <cellStyle name="Followed Hyperlink" xfId="21295" builtinId="9" hidden="1"/>
    <cellStyle name="Followed Hyperlink" xfId="21296" builtinId="9" hidden="1"/>
    <cellStyle name="Followed Hyperlink" xfId="21297" builtinId="9" hidden="1"/>
    <cellStyle name="Followed Hyperlink" xfId="21298" builtinId="9" hidden="1"/>
    <cellStyle name="Followed Hyperlink" xfId="21299" builtinId="9" hidden="1"/>
    <cellStyle name="Followed Hyperlink" xfId="21300" builtinId="9" hidden="1"/>
    <cellStyle name="Followed Hyperlink" xfId="21301" builtinId="9" hidden="1"/>
    <cellStyle name="Followed Hyperlink" xfId="21302" builtinId="9" hidden="1"/>
    <cellStyle name="Followed Hyperlink" xfId="21303" builtinId="9" hidden="1"/>
    <cellStyle name="Followed Hyperlink" xfId="21304" builtinId="9" hidden="1"/>
    <cellStyle name="Followed Hyperlink" xfId="21305" builtinId="9" hidden="1"/>
    <cellStyle name="Followed Hyperlink" xfId="21306" builtinId="9" hidden="1"/>
    <cellStyle name="Followed Hyperlink" xfId="21307" builtinId="9" hidden="1"/>
    <cellStyle name="Followed Hyperlink" xfId="21308" builtinId="9" hidden="1"/>
    <cellStyle name="Followed Hyperlink" xfId="21309" builtinId="9" hidden="1"/>
    <cellStyle name="Followed Hyperlink" xfId="21310" builtinId="9" hidden="1"/>
    <cellStyle name="Followed Hyperlink" xfId="21311" builtinId="9" hidden="1"/>
    <cellStyle name="Followed Hyperlink" xfId="21312" builtinId="9" hidden="1"/>
    <cellStyle name="Followed Hyperlink" xfId="21313" builtinId="9" hidden="1"/>
    <cellStyle name="Followed Hyperlink" xfId="21314" builtinId="9" hidden="1"/>
    <cellStyle name="Followed Hyperlink" xfId="21315" builtinId="9" hidden="1"/>
    <cellStyle name="Followed Hyperlink" xfId="21316" builtinId="9" hidden="1"/>
    <cellStyle name="Followed Hyperlink" xfId="21317" builtinId="9" hidden="1"/>
    <cellStyle name="Followed Hyperlink" xfId="21318" builtinId="9" hidden="1"/>
    <cellStyle name="Followed Hyperlink" xfId="21319" builtinId="9" hidden="1"/>
    <cellStyle name="Followed Hyperlink" xfId="21320" builtinId="9" hidden="1"/>
    <cellStyle name="Followed Hyperlink" xfId="21321" builtinId="9" hidden="1"/>
    <cellStyle name="Followed Hyperlink" xfId="21322" builtinId="9" hidden="1"/>
    <cellStyle name="Followed Hyperlink" xfId="21323" builtinId="9" hidden="1"/>
    <cellStyle name="Followed Hyperlink" xfId="21324" builtinId="9" hidden="1"/>
    <cellStyle name="Followed Hyperlink" xfId="21325" builtinId="9" hidden="1"/>
    <cellStyle name="Followed Hyperlink" xfId="21326" builtinId="9" hidden="1"/>
    <cellStyle name="Followed Hyperlink" xfId="21327" builtinId="9" hidden="1"/>
    <cellStyle name="Followed Hyperlink" xfId="21328" builtinId="9" hidden="1"/>
    <cellStyle name="Followed Hyperlink" xfId="21329" builtinId="9" hidden="1"/>
    <cellStyle name="Followed Hyperlink" xfId="21330" builtinId="9" hidden="1"/>
    <cellStyle name="Followed Hyperlink" xfId="21331" builtinId="9" hidden="1"/>
    <cellStyle name="Followed Hyperlink" xfId="21332" builtinId="9" hidden="1"/>
    <cellStyle name="Followed Hyperlink" xfId="21333" builtinId="9" hidden="1"/>
    <cellStyle name="Followed Hyperlink" xfId="21334" builtinId="9" hidden="1"/>
    <cellStyle name="Followed Hyperlink" xfId="21335" builtinId="9" hidden="1"/>
    <cellStyle name="Followed Hyperlink" xfId="21336" builtinId="9" hidden="1"/>
    <cellStyle name="Followed Hyperlink" xfId="21337" builtinId="9" hidden="1"/>
    <cellStyle name="Followed Hyperlink" xfId="21338" builtinId="9" hidden="1"/>
    <cellStyle name="Followed Hyperlink" xfId="21339" builtinId="9" hidden="1"/>
    <cellStyle name="Followed Hyperlink" xfId="21340" builtinId="9" hidden="1"/>
    <cellStyle name="Followed Hyperlink" xfId="21341" builtinId="9" hidden="1"/>
    <cellStyle name="Followed Hyperlink" xfId="21342" builtinId="9" hidden="1"/>
    <cellStyle name="Followed Hyperlink" xfId="21343" builtinId="9" hidden="1"/>
    <cellStyle name="Followed Hyperlink" xfId="21344" builtinId="9" hidden="1"/>
    <cellStyle name="Followed Hyperlink" xfId="21345" builtinId="9" hidden="1"/>
    <cellStyle name="Followed Hyperlink" xfId="21346" builtinId="9" hidden="1"/>
    <cellStyle name="Followed Hyperlink" xfId="21347" builtinId="9" hidden="1"/>
    <cellStyle name="Followed Hyperlink" xfId="21348" builtinId="9" hidden="1"/>
    <cellStyle name="Followed Hyperlink" xfId="21349" builtinId="9" hidden="1"/>
    <cellStyle name="Followed Hyperlink" xfId="21350" builtinId="9" hidden="1"/>
    <cellStyle name="Followed Hyperlink" xfId="21351" builtinId="9" hidden="1"/>
    <cellStyle name="Followed Hyperlink" xfId="21352" builtinId="9" hidden="1"/>
    <cellStyle name="Followed Hyperlink" xfId="21353" builtinId="9" hidden="1"/>
    <cellStyle name="Followed Hyperlink" xfId="21354" builtinId="9" hidden="1"/>
    <cellStyle name="Followed Hyperlink" xfId="21355" builtinId="9" hidden="1"/>
    <cellStyle name="Followed Hyperlink" xfId="21356" builtinId="9" hidden="1"/>
    <cellStyle name="Followed Hyperlink" xfId="21357" builtinId="9" hidden="1"/>
    <cellStyle name="Followed Hyperlink" xfId="21358" builtinId="9" hidden="1"/>
    <cellStyle name="Followed Hyperlink" xfId="21359" builtinId="9" hidden="1"/>
    <cellStyle name="Followed Hyperlink" xfId="21360" builtinId="9" hidden="1"/>
    <cellStyle name="Followed Hyperlink" xfId="21361" builtinId="9" hidden="1"/>
    <cellStyle name="Followed Hyperlink" xfId="21362" builtinId="9" hidden="1"/>
    <cellStyle name="Followed Hyperlink" xfId="21363" builtinId="9" hidden="1"/>
    <cellStyle name="Followed Hyperlink" xfId="21364" builtinId="9" hidden="1"/>
    <cellStyle name="Followed Hyperlink" xfId="21365" builtinId="9" hidden="1"/>
    <cellStyle name="Followed Hyperlink" xfId="21366" builtinId="9" hidden="1"/>
    <cellStyle name="Followed Hyperlink" xfId="21367" builtinId="9" hidden="1"/>
    <cellStyle name="Followed Hyperlink" xfId="21368" builtinId="9" hidden="1"/>
    <cellStyle name="Followed Hyperlink" xfId="21369" builtinId="9" hidden="1"/>
    <cellStyle name="Followed Hyperlink" xfId="21370" builtinId="9" hidden="1"/>
    <cellStyle name="Followed Hyperlink" xfId="21371" builtinId="9" hidden="1"/>
    <cellStyle name="Followed Hyperlink" xfId="21372" builtinId="9" hidden="1"/>
    <cellStyle name="Followed Hyperlink" xfId="21373" builtinId="9" hidden="1"/>
    <cellStyle name="Followed Hyperlink" xfId="21374" builtinId="9" hidden="1"/>
    <cellStyle name="Followed Hyperlink" xfId="21375" builtinId="9" hidden="1"/>
    <cellStyle name="Followed Hyperlink" xfId="21376" builtinId="9" hidden="1"/>
    <cellStyle name="Followed Hyperlink" xfId="21377" builtinId="9" hidden="1"/>
    <cellStyle name="Followed Hyperlink" xfId="21378" builtinId="9" hidden="1"/>
    <cellStyle name="Followed Hyperlink" xfId="21379" builtinId="9" hidden="1"/>
    <cellStyle name="Followed Hyperlink" xfId="21380" builtinId="9" hidden="1"/>
    <cellStyle name="Followed Hyperlink" xfId="21381" builtinId="9" hidden="1"/>
    <cellStyle name="Followed Hyperlink" xfId="21382" builtinId="9" hidden="1"/>
    <cellStyle name="Followed Hyperlink" xfId="21383" builtinId="9" hidden="1"/>
    <cellStyle name="Followed Hyperlink" xfId="21384" builtinId="9" hidden="1"/>
    <cellStyle name="Followed Hyperlink" xfId="21385" builtinId="9" hidden="1"/>
    <cellStyle name="Followed Hyperlink" xfId="21386" builtinId="9" hidden="1"/>
    <cellStyle name="Followed Hyperlink" xfId="21387" builtinId="9" hidden="1"/>
    <cellStyle name="Followed Hyperlink" xfId="21388" builtinId="9" hidden="1"/>
    <cellStyle name="Followed Hyperlink" xfId="21389" builtinId="9" hidden="1"/>
    <cellStyle name="Followed Hyperlink" xfId="21390" builtinId="9" hidden="1"/>
    <cellStyle name="Followed Hyperlink" xfId="21391" builtinId="9" hidden="1"/>
    <cellStyle name="Followed Hyperlink" xfId="21392" builtinId="9" hidden="1"/>
    <cellStyle name="Followed Hyperlink" xfId="21393" builtinId="9" hidden="1"/>
    <cellStyle name="Followed Hyperlink" xfId="21394" builtinId="9" hidden="1"/>
    <cellStyle name="Followed Hyperlink" xfId="21395" builtinId="9" hidden="1"/>
    <cellStyle name="Followed Hyperlink" xfId="21396" builtinId="9" hidden="1"/>
    <cellStyle name="Followed Hyperlink" xfId="21397" builtinId="9" hidden="1"/>
    <cellStyle name="Followed Hyperlink" xfId="21398" builtinId="9" hidden="1"/>
    <cellStyle name="Followed Hyperlink" xfId="21399" builtinId="9" hidden="1"/>
    <cellStyle name="Followed Hyperlink" xfId="21400" builtinId="9" hidden="1"/>
    <cellStyle name="Followed Hyperlink" xfId="21401" builtinId="9" hidden="1"/>
    <cellStyle name="Followed Hyperlink" xfId="21402" builtinId="9" hidden="1"/>
    <cellStyle name="Followed Hyperlink" xfId="21403" builtinId="9" hidden="1"/>
    <cellStyle name="Followed Hyperlink" xfId="21404" builtinId="9" hidden="1"/>
    <cellStyle name="Followed Hyperlink" xfId="21405" builtinId="9" hidden="1"/>
    <cellStyle name="Followed Hyperlink" xfId="21406" builtinId="9" hidden="1"/>
    <cellStyle name="Followed Hyperlink" xfId="21409" builtinId="9" hidden="1"/>
    <cellStyle name="Followed Hyperlink" xfId="21411" builtinId="9" hidden="1"/>
    <cellStyle name="Followed Hyperlink" xfId="21413" builtinId="9" hidden="1"/>
    <cellStyle name="Followed Hyperlink" xfId="21415" builtinId="9" hidden="1"/>
    <cellStyle name="Followed Hyperlink" xfId="21417" builtinId="9" hidden="1"/>
    <cellStyle name="Followed Hyperlink" xfId="21419" builtinId="9" hidden="1"/>
    <cellStyle name="Followed Hyperlink" xfId="21421" builtinId="9" hidden="1"/>
    <cellStyle name="Followed Hyperlink" xfId="21423" builtinId="9" hidden="1"/>
    <cellStyle name="Followed Hyperlink" xfId="21425" builtinId="9" hidden="1"/>
    <cellStyle name="Followed Hyperlink" xfId="21427" builtinId="9" hidden="1"/>
    <cellStyle name="Followed Hyperlink" xfId="21429" builtinId="9" hidden="1"/>
    <cellStyle name="Followed Hyperlink" xfId="21431" builtinId="9" hidden="1"/>
    <cellStyle name="Followed Hyperlink" xfId="21433" builtinId="9" hidden="1"/>
    <cellStyle name="Followed Hyperlink" xfId="21435" builtinId="9" hidden="1"/>
    <cellStyle name="Followed Hyperlink" xfId="21437" builtinId="9" hidden="1"/>
    <cellStyle name="Followed Hyperlink" xfId="21439" builtinId="9" hidden="1"/>
    <cellStyle name="Followed Hyperlink" xfId="21441" builtinId="9" hidden="1"/>
    <cellStyle name="Followed Hyperlink" xfId="21443" builtinId="9" hidden="1"/>
    <cellStyle name="Followed Hyperlink" xfId="21445" builtinId="9" hidden="1"/>
    <cellStyle name="Followed Hyperlink" xfId="21447" builtinId="9" hidden="1"/>
    <cellStyle name="Followed Hyperlink" xfId="21449" builtinId="9" hidden="1"/>
    <cellStyle name="Followed Hyperlink" xfId="21451" builtinId="9" hidden="1"/>
    <cellStyle name="Followed Hyperlink" xfId="21453" builtinId="9" hidden="1"/>
    <cellStyle name="Followed Hyperlink" xfId="21455" builtinId="9" hidden="1"/>
    <cellStyle name="Followed Hyperlink" xfId="21457" builtinId="9" hidden="1"/>
    <cellStyle name="Followed Hyperlink" xfId="21459" builtinId="9" hidden="1"/>
    <cellStyle name="Followed Hyperlink" xfId="21461" builtinId="9" hidden="1"/>
    <cellStyle name="Followed Hyperlink" xfId="21463" builtinId="9" hidden="1"/>
    <cellStyle name="Followed Hyperlink" xfId="21465" builtinId="9" hidden="1"/>
    <cellStyle name="Followed Hyperlink" xfId="21467" builtinId="9" hidden="1"/>
    <cellStyle name="Followed Hyperlink" xfId="21469" builtinId="9" hidden="1"/>
    <cellStyle name="Followed Hyperlink" xfId="21471" builtinId="9" hidden="1"/>
    <cellStyle name="Followed Hyperlink" xfId="21473" builtinId="9" hidden="1"/>
    <cellStyle name="Followed Hyperlink" xfId="21475" builtinId="9" hidden="1"/>
    <cellStyle name="Followed Hyperlink" xfId="21477" builtinId="9" hidden="1"/>
    <cellStyle name="Followed Hyperlink" xfId="21479" builtinId="9" hidden="1"/>
    <cellStyle name="Followed Hyperlink" xfId="21481" builtinId="9" hidden="1"/>
    <cellStyle name="Followed Hyperlink" xfId="21483" builtinId="9" hidden="1"/>
    <cellStyle name="Followed Hyperlink" xfId="21485" builtinId="9" hidden="1"/>
    <cellStyle name="Followed Hyperlink" xfId="21487" builtinId="9" hidden="1"/>
    <cellStyle name="Followed Hyperlink" xfId="21489" builtinId="9" hidden="1"/>
    <cellStyle name="Followed Hyperlink" xfId="21491" builtinId="9" hidden="1"/>
    <cellStyle name="Followed Hyperlink" xfId="21493" builtinId="9" hidden="1"/>
    <cellStyle name="Followed Hyperlink" xfId="21495" builtinId="9" hidden="1"/>
    <cellStyle name="Followed Hyperlink" xfId="21497" builtinId="9" hidden="1"/>
    <cellStyle name="Followed Hyperlink" xfId="21499" builtinId="9" hidden="1"/>
    <cellStyle name="Followed Hyperlink" xfId="21501" builtinId="9" hidden="1"/>
    <cellStyle name="Followed Hyperlink" xfId="21503" builtinId="9" hidden="1"/>
    <cellStyle name="Followed Hyperlink" xfId="21505" builtinId="9" hidden="1"/>
    <cellStyle name="Followed Hyperlink" xfId="21507" builtinId="9" hidden="1"/>
    <cellStyle name="Followed Hyperlink" xfId="21509" builtinId="9" hidden="1"/>
    <cellStyle name="Followed Hyperlink" xfId="21511" builtinId="9" hidden="1"/>
    <cellStyle name="Followed Hyperlink" xfId="21513" builtinId="9" hidden="1"/>
    <cellStyle name="Followed Hyperlink" xfId="21515" builtinId="9" hidden="1"/>
    <cellStyle name="Followed Hyperlink" xfId="21517" builtinId="9" hidden="1"/>
    <cellStyle name="Followed Hyperlink" xfId="21519" builtinId="9" hidden="1"/>
    <cellStyle name="Followed Hyperlink" xfId="21521" builtinId="9" hidden="1"/>
    <cellStyle name="Followed Hyperlink" xfId="21523" builtinId="9" hidden="1"/>
    <cellStyle name="Followed Hyperlink" xfId="21525" builtinId="9" hidden="1"/>
    <cellStyle name="Followed Hyperlink" xfId="21527" builtinId="9" hidden="1"/>
    <cellStyle name="Followed Hyperlink" xfId="21529" builtinId="9" hidden="1"/>
    <cellStyle name="Followed Hyperlink" xfId="21531" builtinId="9" hidden="1"/>
    <cellStyle name="Followed Hyperlink" xfId="21533" builtinId="9" hidden="1"/>
    <cellStyle name="Followed Hyperlink" xfId="21535" builtinId="9" hidden="1"/>
    <cellStyle name="Followed Hyperlink" xfId="21537" builtinId="9" hidden="1"/>
    <cellStyle name="Followed Hyperlink" xfId="21539" builtinId="9" hidden="1"/>
    <cellStyle name="Followed Hyperlink" xfId="21541" builtinId="9" hidden="1"/>
    <cellStyle name="Followed Hyperlink" xfId="21543" builtinId="9" hidden="1"/>
    <cellStyle name="Followed Hyperlink" xfId="21545" builtinId="9" hidden="1"/>
    <cellStyle name="Followed Hyperlink" xfId="21547" builtinId="9" hidden="1"/>
    <cellStyle name="Followed Hyperlink" xfId="21549" builtinId="9" hidden="1"/>
    <cellStyle name="Followed Hyperlink" xfId="21551" builtinId="9" hidden="1"/>
    <cellStyle name="Followed Hyperlink" xfId="21553" builtinId="9" hidden="1"/>
    <cellStyle name="Followed Hyperlink" xfId="21555" builtinId="9" hidden="1"/>
    <cellStyle name="Followed Hyperlink" xfId="21557" builtinId="9" hidden="1"/>
    <cellStyle name="Followed Hyperlink" xfId="21559" builtinId="9" hidden="1"/>
    <cellStyle name="Followed Hyperlink" xfId="21561" builtinId="9" hidden="1"/>
    <cellStyle name="Followed Hyperlink" xfId="21563" builtinId="9" hidden="1"/>
    <cellStyle name="Followed Hyperlink" xfId="21565" builtinId="9" hidden="1"/>
    <cellStyle name="Followed Hyperlink" xfId="21567" builtinId="9" hidden="1"/>
    <cellStyle name="Followed Hyperlink" xfId="21569" builtinId="9" hidden="1"/>
    <cellStyle name="Followed Hyperlink" xfId="21571" builtinId="9" hidden="1"/>
    <cellStyle name="Followed Hyperlink" xfId="21573" builtinId="9" hidden="1"/>
    <cellStyle name="Followed Hyperlink" xfId="21575" builtinId="9" hidden="1"/>
    <cellStyle name="Followed Hyperlink" xfId="21577" builtinId="9" hidden="1"/>
    <cellStyle name="Followed Hyperlink" xfId="21579" builtinId="9" hidden="1"/>
    <cellStyle name="Followed Hyperlink" xfId="21581" builtinId="9" hidden="1"/>
    <cellStyle name="Followed Hyperlink" xfId="21583" builtinId="9" hidden="1"/>
    <cellStyle name="Followed Hyperlink" xfId="21585" builtinId="9" hidden="1"/>
    <cellStyle name="Followed Hyperlink" xfId="21587" builtinId="9" hidden="1"/>
    <cellStyle name="Followed Hyperlink" xfId="21589" builtinId="9" hidden="1"/>
    <cellStyle name="Followed Hyperlink" xfId="21591" builtinId="9" hidden="1"/>
    <cellStyle name="Followed Hyperlink" xfId="21593" builtinId="9" hidden="1"/>
    <cellStyle name="Followed Hyperlink" xfId="21595" builtinId="9" hidden="1"/>
    <cellStyle name="Followed Hyperlink" xfId="21597" builtinId="9" hidden="1"/>
    <cellStyle name="Followed Hyperlink" xfId="21599" builtinId="9" hidden="1"/>
    <cellStyle name="Followed Hyperlink" xfId="21601" builtinId="9" hidden="1"/>
    <cellStyle name="Followed Hyperlink" xfId="21603" builtinId="9" hidden="1"/>
    <cellStyle name="Followed Hyperlink" xfId="21605" builtinId="9" hidden="1"/>
    <cellStyle name="Followed Hyperlink" xfId="21607" builtinId="9" hidden="1"/>
    <cellStyle name="Followed Hyperlink" xfId="21609" builtinId="9" hidden="1"/>
    <cellStyle name="Followed Hyperlink" xfId="21611" builtinId="9" hidden="1"/>
    <cellStyle name="Followed Hyperlink" xfId="21613" builtinId="9" hidden="1"/>
    <cellStyle name="Followed Hyperlink" xfId="21615" builtinId="9" hidden="1"/>
    <cellStyle name="Followed Hyperlink" xfId="21617" builtinId="9" hidden="1"/>
    <cellStyle name="Followed Hyperlink" xfId="21619" builtinId="9" hidden="1"/>
    <cellStyle name="Followed Hyperlink" xfId="21621" builtinId="9" hidden="1"/>
    <cellStyle name="Followed Hyperlink" xfId="21623" builtinId="9" hidden="1"/>
    <cellStyle name="Followed Hyperlink" xfId="21625" builtinId="9" hidden="1"/>
    <cellStyle name="Followed Hyperlink" xfId="21627" builtinId="9" hidden="1"/>
    <cellStyle name="Followed Hyperlink" xfId="21631" builtinId="9" hidden="1"/>
    <cellStyle name="Followed Hyperlink" xfId="21633" builtinId="9" hidden="1"/>
    <cellStyle name="Followed Hyperlink" xfId="21635" builtinId="9" hidden="1"/>
    <cellStyle name="Followed Hyperlink" xfId="21637" builtinId="9" hidden="1"/>
    <cellStyle name="Followed Hyperlink" xfId="21639" builtinId="9" hidden="1"/>
    <cellStyle name="Followed Hyperlink" xfId="21641" builtinId="9" hidden="1"/>
    <cellStyle name="Followed Hyperlink" xfId="21643" builtinId="9" hidden="1"/>
    <cellStyle name="Followed Hyperlink" xfId="21645" builtinId="9" hidden="1"/>
    <cellStyle name="Followed Hyperlink" xfId="21647" builtinId="9" hidden="1"/>
    <cellStyle name="Followed Hyperlink" xfId="21649" builtinId="9" hidden="1"/>
    <cellStyle name="Followed Hyperlink" xfId="21651" builtinId="9" hidden="1"/>
    <cellStyle name="Followed Hyperlink" xfId="21653" builtinId="9" hidden="1"/>
    <cellStyle name="Followed Hyperlink" xfId="21655" builtinId="9" hidden="1"/>
    <cellStyle name="Followed Hyperlink" xfId="21657" builtinId="9" hidden="1"/>
    <cellStyle name="Followed Hyperlink" xfId="21659" builtinId="9" hidden="1"/>
    <cellStyle name="Followed Hyperlink" xfId="21661" builtinId="9" hidden="1"/>
    <cellStyle name="Followed Hyperlink" xfId="21663" builtinId="9" hidden="1"/>
    <cellStyle name="Followed Hyperlink" xfId="21665" builtinId="9" hidden="1"/>
    <cellStyle name="Followed Hyperlink" xfId="21667" builtinId="9" hidden="1"/>
    <cellStyle name="Followed Hyperlink" xfId="21669" builtinId="9" hidden="1"/>
    <cellStyle name="Followed Hyperlink" xfId="21671" builtinId="9" hidden="1"/>
    <cellStyle name="Followed Hyperlink" xfId="21673" builtinId="9" hidden="1"/>
    <cellStyle name="Followed Hyperlink" xfId="21675" builtinId="9" hidden="1"/>
    <cellStyle name="Followed Hyperlink" xfId="21677" builtinId="9" hidden="1"/>
    <cellStyle name="Followed Hyperlink" xfId="21679" builtinId="9" hidden="1"/>
    <cellStyle name="Followed Hyperlink" xfId="21681" builtinId="9" hidden="1"/>
    <cellStyle name="Followed Hyperlink" xfId="21683" builtinId="9" hidden="1"/>
    <cellStyle name="Followed Hyperlink" xfId="21685" builtinId="9" hidden="1"/>
    <cellStyle name="Followed Hyperlink" xfId="21687" builtinId="9" hidden="1"/>
    <cellStyle name="Followed Hyperlink" xfId="21689" builtinId="9" hidden="1"/>
    <cellStyle name="Followed Hyperlink" xfId="21691" builtinId="9" hidden="1"/>
    <cellStyle name="Followed Hyperlink" xfId="21693" builtinId="9" hidden="1"/>
    <cellStyle name="Followed Hyperlink" xfId="21695" builtinId="9" hidden="1"/>
    <cellStyle name="Followed Hyperlink" xfId="21697" builtinId="9" hidden="1"/>
    <cellStyle name="Followed Hyperlink" xfId="21699" builtinId="9" hidden="1"/>
    <cellStyle name="Followed Hyperlink" xfId="21701" builtinId="9" hidden="1"/>
    <cellStyle name="Followed Hyperlink" xfId="21703" builtinId="9" hidden="1"/>
    <cellStyle name="Followed Hyperlink" xfId="21705" builtinId="9" hidden="1"/>
    <cellStyle name="Followed Hyperlink" xfId="21707" builtinId="9" hidden="1"/>
    <cellStyle name="Followed Hyperlink" xfId="21709" builtinId="9" hidden="1"/>
    <cellStyle name="Followed Hyperlink" xfId="21711" builtinId="9" hidden="1"/>
    <cellStyle name="Followed Hyperlink" xfId="21713" builtinId="9" hidden="1"/>
    <cellStyle name="Followed Hyperlink" xfId="21715" builtinId="9" hidden="1"/>
    <cellStyle name="Followed Hyperlink" xfId="21717" builtinId="9" hidden="1"/>
    <cellStyle name="Followed Hyperlink" xfId="21719" builtinId="9" hidden="1"/>
    <cellStyle name="Followed Hyperlink" xfId="21721" builtinId="9" hidden="1"/>
    <cellStyle name="Followed Hyperlink" xfId="21723" builtinId="9" hidden="1"/>
    <cellStyle name="Followed Hyperlink" xfId="21725" builtinId="9" hidden="1"/>
    <cellStyle name="Followed Hyperlink" xfId="21727" builtinId="9" hidden="1"/>
    <cellStyle name="Followed Hyperlink" xfId="21729" builtinId="9" hidden="1"/>
    <cellStyle name="Followed Hyperlink" xfId="21731" builtinId="9" hidden="1"/>
    <cellStyle name="Followed Hyperlink" xfId="21733" builtinId="9" hidden="1"/>
    <cellStyle name="Followed Hyperlink" xfId="21735" builtinId="9" hidden="1"/>
    <cellStyle name="Followed Hyperlink" xfId="21737" builtinId="9" hidden="1"/>
    <cellStyle name="Followed Hyperlink" xfId="21739" builtinId="9" hidden="1"/>
    <cellStyle name="Followed Hyperlink" xfId="21741" builtinId="9" hidden="1"/>
    <cellStyle name="Followed Hyperlink" xfId="21743" builtinId="9" hidden="1"/>
    <cellStyle name="Followed Hyperlink" xfId="21745" builtinId="9" hidden="1"/>
    <cellStyle name="Followed Hyperlink" xfId="21747" builtinId="9" hidden="1"/>
    <cellStyle name="Followed Hyperlink" xfId="21749" builtinId="9" hidden="1"/>
    <cellStyle name="Followed Hyperlink" xfId="21751" builtinId="9" hidden="1"/>
    <cellStyle name="Followed Hyperlink" xfId="21753" builtinId="9" hidden="1"/>
    <cellStyle name="Followed Hyperlink" xfId="21755" builtinId="9" hidden="1"/>
    <cellStyle name="Followed Hyperlink" xfId="21757" builtinId="9" hidden="1"/>
    <cellStyle name="Followed Hyperlink" xfId="21759" builtinId="9" hidden="1"/>
    <cellStyle name="Followed Hyperlink" xfId="21761" builtinId="9" hidden="1"/>
    <cellStyle name="Followed Hyperlink" xfId="21763" builtinId="9" hidden="1"/>
    <cellStyle name="Followed Hyperlink" xfId="21765" builtinId="9" hidden="1"/>
    <cellStyle name="Followed Hyperlink" xfId="21767" builtinId="9" hidden="1"/>
    <cellStyle name="Followed Hyperlink" xfId="21769" builtinId="9" hidden="1"/>
    <cellStyle name="Followed Hyperlink" xfId="21771" builtinId="9" hidden="1"/>
    <cellStyle name="Followed Hyperlink" xfId="21773" builtinId="9" hidden="1"/>
    <cellStyle name="Followed Hyperlink" xfId="21775" builtinId="9" hidden="1"/>
    <cellStyle name="Followed Hyperlink" xfId="21777" builtinId="9" hidden="1"/>
    <cellStyle name="Followed Hyperlink" xfId="21779" builtinId="9" hidden="1"/>
    <cellStyle name="Followed Hyperlink" xfId="21781" builtinId="9" hidden="1"/>
    <cellStyle name="Followed Hyperlink" xfId="21783" builtinId="9" hidden="1"/>
    <cellStyle name="Followed Hyperlink" xfId="21785" builtinId="9" hidden="1"/>
    <cellStyle name="Followed Hyperlink" xfId="21787" builtinId="9" hidden="1"/>
    <cellStyle name="Followed Hyperlink" xfId="21789" builtinId="9" hidden="1"/>
    <cellStyle name="Followed Hyperlink" xfId="21791" builtinId="9" hidden="1"/>
    <cellStyle name="Followed Hyperlink" xfId="21793" builtinId="9" hidden="1"/>
    <cellStyle name="Followed Hyperlink" xfId="21795" builtinId="9" hidden="1"/>
    <cellStyle name="Followed Hyperlink" xfId="21797" builtinId="9" hidden="1"/>
    <cellStyle name="Followed Hyperlink" xfId="21799" builtinId="9" hidden="1"/>
    <cellStyle name="Followed Hyperlink" xfId="21801" builtinId="9" hidden="1"/>
    <cellStyle name="Followed Hyperlink" xfId="21803" builtinId="9" hidden="1"/>
    <cellStyle name="Followed Hyperlink" xfId="21805" builtinId="9" hidden="1"/>
    <cellStyle name="Followed Hyperlink" xfId="21807" builtinId="9" hidden="1"/>
    <cellStyle name="Followed Hyperlink" xfId="21809" builtinId="9" hidden="1"/>
    <cellStyle name="Followed Hyperlink" xfId="21811" builtinId="9" hidden="1"/>
    <cellStyle name="Followed Hyperlink" xfId="21813" builtinId="9" hidden="1"/>
    <cellStyle name="Followed Hyperlink" xfId="21815" builtinId="9" hidden="1"/>
    <cellStyle name="Followed Hyperlink" xfId="21817" builtinId="9" hidden="1"/>
    <cellStyle name="Followed Hyperlink" xfId="21819" builtinId="9" hidden="1"/>
    <cellStyle name="Followed Hyperlink" xfId="21821" builtinId="9" hidden="1"/>
    <cellStyle name="Followed Hyperlink" xfId="21823" builtinId="9" hidden="1"/>
    <cellStyle name="Followed Hyperlink" xfId="21825" builtinId="9" hidden="1"/>
    <cellStyle name="Followed Hyperlink" xfId="21827" builtinId="9" hidden="1"/>
    <cellStyle name="Followed Hyperlink" xfId="21829" builtinId="9" hidden="1"/>
    <cellStyle name="Followed Hyperlink" xfId="21831" builtinId="9" hidden="1"/>
    <cellStyle name="Followed Hyperlink" xfId="21833" builtinId="9" hidden="1"/>
    <cellStyle name="Followed Hyperlink" xfId="21835" builtinId="9" hidden="1"/>
    <cellStyle name="Followed Hyperlink" xfId="21837" builtinId="9" hidden="1"/>
    <cellStyle name="Followed Hyperlink" xfId="21839" builtinId="9" hidden="1"/>
    <cellStyle name="Followed Hyperlink" xfId="21841" builtinId="9" hidden="1"/>
    <cellStyle name="Followed Hyperlink" xfId="21843" builtinId="9" hidden="1"/>
    <cellStyle name="Followed Hyperlink" xfId="21845" builtinId="9" hidden="1"/>
    <cellStyle name="Followed Hyperlink" xfId="21847" builtinId="9" hidden="1"/>
    <cellStyle name="Followed Hyperlink" xfId="21849" builtinId="9" hidden="1"/>
    <cellStyle name="Followed Hyperlink" xfId="21848" builtinId="9" hidden="1"/>
    <cellStyle name="Followed Hyperlink" xfId="21844" builtinId="9" hidden="1"/>
    <cellStyle name="Followed Hyperlink" xfId="21840" builtinId="9" hidden="1"/>
    <cellStyle name="Followed Hyperlink" xfId="21836" builtinId="9" hidden="1"/>
    <cellStyle name="Followed Hyperlink" xfId="21832" builtinId="9" hidden="1"/>
    <cellStyle name="Followed Hyperlink" xfId="21828" builtinId="9" hidden="1"/>
    <cellStyle name="Followed Hyperlink" xfId="21824" builtinId="9" hidden="1"/>
    <cellStyle name="Followed Hyperlink" xfId="21820" builtinId="9" hidden="1"/>
    <cellStyle name="Followed Hyperlink" xfId="21816" builtinId="9" hidden="1"/>
    <cellStyle name="Followed Hyperlink" xfId="21812" builtinId="9" hidden="1"/>
    <cellStyle name="Followed Hyperlink" xfId="21808" builtinId="9" hidden="1"/>
    <cellStyle name="Followed Hyperlink" xfId="21804" builtinId="9" hidden="1"/>
    <cellStyle name="Followed Hyperlink" xfId="21800" builtinId="9" hidden="1"/>
    <cellStyle name="Followed Hyperlink" xfId="21796" builtinId="9" hidden="1"/>
    <cellStyle name="Followed Hyperlink" xfId="21792" builtinId="9" hidden="1"/>
    <cellStyle name="Followed Hyperlink" xfId="21788" builtinId="9" hidden="1"/>
    <cellStyle name="Followed Hyperlink" xfId="21784" builtinId="9" hidden="1"/>
    <cellStyle name="Followed Hyperlink" xfId="21780" builtinId="9" hidden="1"/>
    <cellStyle name="Followed Hyperlink" xfId="21776" builtinId="9" hidden="1"/>
    <cellStyle name="Followed Hyperlink" xfId="21772" builtinId="9" hidden="1"/>
    <cellStyle name="Followed Hyperlink" xfId="21768" builtinId="9" hidden="1"/>
    <cellStyle name="Followed Hyperlink" xfId="21764" builtinId="9" hidden="1"/>
    <cellStyle name="Followed Hyperlink" xfId="21760" builtinId="9" hidden="1"/>
    <cellStyle name="Followed Hyperlink" xfId="21756" builtinId="9" hidden="1"/>
    <cellStyle name="Followed Hyperlink" xfId="21752" builtinId="9" hidden="1"/>
    <cellStyle name="Followed Hyperlink" xfId="21748" builtinId="9" hidden="1"/>
    <cellStyle name="Followed Hyperlink" xfId="21744" builtinId="9" hidden="1"/>
    <cellStyle name="Followed Hyperlink" xfId="21740" builtinId="9" hidden="1"/>
    <cellStyle name="Followed Hyperlink" xfId="21736" builtinId="9" hidden="1"/>
    <cellStyle name="Followed Hyperlink" xfId="21732" builtinId="9" hidden="1"/>
    <cellStyle name="Followed Hyperlink" xfId="21728" builtinId="9" hidden="1"/>
    <cellStyle name="Followed Hyperlink" xfId="21724" builtinId="9" hidden="1"/>
    <cellStyle name="Followed Hyperlink" xfId="21720" builtinId="9" hidden="1"/>
    <cellStyle name="Followed Hyperlink" xfId="21716" builtinId="9" hidden="1"/>
    <cellStyle name="Followed Hyperlink" xfId="21712" builtinId="9" hidden="1"/>
    <cellStyle name="Followed Hyperlink" xfId="21708" builtinId="9" hidden="1"/>
    <cellStyle name="Followed Hyperlink" xfId="21704" builtinId="9" hidden="1"/>
    <cellStyle name="Followed Hyperlink" xfId="21700" builtinId="9" hidden="1"/>
    <cellStyle name="Followed Hyperlink" xfId="21696" builtinId="9" hidden="1"/>
    <cellStyle name="Followed Hyperlink" xfId="21692" builtinId="9" hidden="1"/>
    <cellStyle name="Followed Hyperlink" xfId="21688" builtinId="9" hidden="1"/>
    <cellStyle name="Followed Hyperlink" xfId="21684" builtinId="9" hidden="1"/>
    <cellStyle name="Followed Hyperlink" xfId="21680" builtinId="9" hidden="1"/>
    <cellStyle name="Followed Hyperlink" xfId="21676" builtinId="9" hidden="1"/>
    <cellStyle name="Followed Hyperlink" xfId="21672" builtinId="9" hidden="1"/>
    <cellStyle name="Followed Hyperlink" xfId="21668" builtinId="9" hidden="1"/>
    <cellStyle name="Followed Hyperlink" xfId="21664" builtinId="9" hidden="1"/>
    <cellStyle name="Followed Hyperlink" xfId="21660" builtinId="9" hidden="1"/>
    <cellStyle name="Followed Hyperlink" xfId="21656" builtinId="9" hidden="1"/>
    <cellStyle name="Followed Hyperlink" xfId="21652" builtinId="9" hidden="1"/>
    <cellStyle name="Followed Hyperlink" xfId="21648" builtinId="9" hidden="1"/>
    <cellStyle name="Followed Hyperlink" xfId="21644" builtinId="9" hidden="1"/>
    <cellStyle name="Followed Hyperlink" xfId="21640" builtinId="9" hidden="1"/>
    <cellStyle name="Followed Hyperlink" xfId="21636" builtinId="9" hidden="1"/>
    <cellStyle name="Followed Hyperlink" xfId="21632" builtinId="9" hidden="1"/>
    <cellStyle name="Followed Hyperlink" xfId="21850" builtinId="9" hidden="1"/>
    <cellStyle name="Followed Hyperlink" xfId="21408" builtinId="9" hidden="1"/>
    <cellStyle name="Followed Hyperlink" xfId="21851" builtinId="9" hidden="1"/>
    <cellStyle name="Followed Hyperlink" xfId="21855" builtinId="9" hidden="1"/>
    <cellStyle name="Followed Hyperlink" xfId="21857" builtinId="9" hidden="1"/>
    <cellStyle name="Followed Hyperlink" xfId="21859" builtinId="9" hidden="1"/>
    <cellStyle name="Followed Hyperlink" xfId="21861" builtinId="9" hidden="1"/>
    <cellStyle name="Followed Hyperlink" xfId="21863" builtinId="9" hidden="1"/>
    <cellStyle name="Followed Hyperlink" xfId="21865" builtinId="9" hidden="1"/>
    <cellStyle name="Followed Hyperlink" xfId="21867" builtinId="9" hidden="1"/>
    <cellStyle name="Followed Hyperlink" xfId="21869" builtinId="9" hidden="1"/>
    <cellStyle name="Followed Hyperlink" xfId="21871" builtinId="9" hidden="1"/>
    <cellStyle name="Followed Hyperlink" xfId="21873" builtinId="9" hidden="1"/>
    <cellStyle name="Followed Hyperlink" xfId="21875" builtinId="9" hidden="1"/>
    <cellStyle name="Followed Hyperlink" xfId="21877" builtinId="9" hidden="1"/>
    <cellStyle name="Followed Hyperlink" xfId="21879" builtinId="9" hidden="1"/>
    <cellStyle name="Followed Hyperlink" xfId="21881" builtinId="9" hidden="1"/>
    <cellStyle name="Followed Hyperlink" xfId="21883" builtinId="9" hidden="1"/>
    <cellStyle name="Followed Hyperlink" xfId="21885" builtinId="9" hidden="1"/>
    <cellStyle name="Followed Hyperlink" xfId="21887" builtinId="9" hidden="1"/>
    <cellStyle name="Followed Hyperlink" xfId="21889" builtinId="9" hidden="1"/>
    <cellStyle name="Followed Hyperlink" xfId="21891" builtinId="9" hidden="1"/>
    <cellStyle name="Followed Hyperlink" xfId="21893" builtinId="9" hidden="1"/>
    <cellStyle name="Followed Hyperlink" xfId="21895" builtinId="9" hidden="1"/>
    <cellStyle name="Followed Hyperlink" xfId="21897" builtinId="9" hidden="1"/>
    <cellStyle name="Followed Hyperlink" xfId="21899" builtinId="9" hidden="1"/>
    <cellStyle name="Followed Hyperlink" xfId="21901" builtinId="9" hidden="1"/>
    <cellStyle name="Followed Hyperlink" xfId="21903" builtinId="9" hidden="1"/>
    <cellStyle name="Followed Hyperlink" xfId="21905" builtinId="9" hidden="1"/>
    <cellStyle name="Followed Hyperlink" xfId="21907" builtinId="9" hidden="1"/>
    <cellStyle name="Followed Hyperlink" xfId="21909" builtinId="9" hidden="1"/>
    <cellStyle name="Followed Hyperlink" xfId="21911" builtinId="9" hidden="1"/>
    <cellStyle name="Followed Hyperlink" xfId="21913" builtinId="9" hidden="1"/>
    <cellStyle name="Followed Hyperlink" xfId="21915" builtinId="9" hidden="1"/>
    <cellStyle name="Followed Hyperlink" xfId="21917" builtinId="9" hidden="1"/>
    <cellStyle name="Followed Hyperlink" xfId="21919" builtinId="9" hidden="1"/>
    <cellStyle name="Followed Hyperlink" xfId="21921" builtinId="9" hidden="1"/>
    <cellStyle name="Followed Hyperlink" xfId="21923" builtinId="9" hidden="1"/>
    <cellStyle name="Followed Hyperlink" xfId="21925" builtinId="9" hidden="1"/>
    <cellStyle name="Followed Hyperlink" xfId="21927" builtinId="9" hidden="1"/>
    <cellStyle name="Followed Hyperlink" xfId="21929" builtinId="9" hidden="1"/>
    <cellStyle name="Followed Hyperlink" xfId="21931" builtinId="9" hidden="1"/>
    <cellStyle name="Followed Hyperlink" xfId="21933" builtinId="9" hidden="1"/>
    <cellStyle name="Followed Hyperlink" xfId="21935" builtinId="9" hidden="1"/>
    <cellStyle name="Followed Hyperlink" xfId="21937" builtinId="9" hidden="1"/>
    <cellStyle name="Followed Hyperlink" xfId="21939" builtinId="9" hidden="1"/>
    <cellStyle name="Followed Hyperlink" xfId="21941" builtinId="9" hidden="1"/>
    <cellStyle name="Followed Hyperlink" xfId="21943" builtinId="9" hidden="1"/>
    <cellStyle name="Followed Hyperlink" xfId="21945" builtinId="9" hidden="1"/>
    <cellStyle name="Followed Hyperlink" xfId="21947" builtinId="9" hidden="1"/>
    <cellStyle name="Followed Hyperlink" xfId="21949" builtinId="9" hidden="1"/>
    <cellStyle name="Followed Hyperlink" xfId="21951" builtinId="9" hidden="1"/>
    <cellStyle name="Followed Hyperlink" xfId="21953" builtinId="9" hidden="1"/>
    <cellStyle name="Followed Hyperlink" xfId="21955" builtinId="9" hidden="1"/>
    <cellStyle name="Followed Hyperlink" xfId="21957" builtinId="9" hidden="1"/>
    <cellStyle name="Followed Hyperlink" xfId="21960" builtinId="9" hidden="1"/>
    <cellStyle name="Followed Hyperlink" xfId="21961" builtinId="9" hidden="1"/>
    <cellStyle name="Followed Hyperlink" xfId="21962" builtinId="9" hidden="1"/>
    <cellStyle name="Followed Hyperlink" xfId="21963" builtinId="9" hidden="1"/>
    <cellStyle name="Followed Hyperlink" xfId="21964" builtinId="9" hidden="1"/>
    <cellStyle name="Followed Hyperlink" xfId="21965" builtinId="9" hidden="1"/>
    <cellStyle name="Followed Hyperlink" xfId="21966" builtinId="9" hidden="1"/>
    <cellStyle name="Followed Hyperlink" xfId="21967" builtinId="9" hidden="1"/>
    <cellStyle name="Followed Hyperlink" xfId="21968" builtinId="9" hidden="1"/>
    <cellStyle name="Followed Hyperlink" xfId="21969" builtinId="9" hidden="1"/>
    <cellStyle name="Followed Hyperlink" xfId="21970" builtinId="9" hidden="1"/>
    <cellStyle name="Followed Hyperlink" xfId="21971" builtinId="9" hidden="1"/>
    <cellStyle name="Followed Hyperlink" xfId="21972" builtinId="9" hidden="1"/>
    <cellStyle name="Followed Hyperlink" xfId="21973" builtinId="9" hidden="1"/>
    <cellStyle name="Followed Hyperlink" xfId="21974" builtinId="9" hidden="1"/>
    <cellStyle name="Followed Hyperlink" xfId="21975" builtinId="9" hidden="1"/>
    <cellStyle name="Followed Hyperlink" xfId="21976" builtinId="9" hidden="1"/>
    <cellStyle name="Followed Hyperlink" xfId="21977" builtinId="9" hidden="1"/>
    <cellStyle name="Followed Hyperlink" xfId="21978" builtinId="9" hidden="1"/>
    <cellStyle name="Followed Hyperlink" xfId="21979" builtinId="9" hidden="1"/>
    <cellStyle name="Followed Hyperlink" xfId="21980" builtinId="9" hidden="1"/>
    <cellStyle name="Followed Hyperlink" xfId="21981" builtinId="9" hidden="1"/>
    <cellStyle name="Followed Hyperlink" xfId="21982" builtinId="9" hidden="1"/>
    <cellStyle name="Followed Hyperlink" xfId="21983" builtinId="9" hidden="1"/>
    <cellStyle name="Followed Hyperlink" xfId="21984" builtinId="9" hidden="1"/>
    <cellStyle name="Followed Hyperlink" xfId="21985" builtinId="9" hidden="1"/>
    <cellStyle name="Followed Hyperlink" xfId="21986" builtinId="9" hidden="1"/>
    <cellStyle name="Followed Hyperlink" xfId="21987" builtinId="9" hidden="1"/>
    <cellStyle name="Followed Hyperlink" xfId="21988" builtinId="9" hidden="1"/>
    <cellStyle name="Followed Hyperlink" xfId="21989" builtinId="9" hidden="1"/>
    <cellStyle name="Followed Hyperlink" xfId="21990" builtinId="9" hidden="1"/>
    <cellStyle name="Followed Hyperlink" xfId="21991" builtinId="9" hidden="1"/>
    <cellStyle name="Followed Hyperlink" xfId="21992" builtinId="9" hidden="1"/>
    <cellStyle name="Followed Hyperlink" xfId="21993" builtinId="9" hidden="1"/>
    <cellStyle name="Followed Hyperlink" xfId="21994" builtinId="9" hidden="1"/>
    <cellStyle name="Followed Hyperlink" xfId="21995" builtinId="9" hidden="1"/>
    <cellStyle name="Followed Hyperlink" xfId="21996" builtinId="9" hidden="1"/>
    <cellStyle name="Followed Hyperlink" xfId="21997" builtinId="9" hidden="1"/>
    <cellStyle name="Followed Hyperlink" xfId="21998" builtinId="9" hidden="1"/>
    <cellStyle name="Followed Hyperlink" xfId="21999" builtinId="9" hidden="1"/>
    <cellStyle name="Followed Hyperlink" xfId="22000" builtinId="9" hidden="1"/>
    <cellStyle name="Followed Hyperlink" xfId="22025" builtinId="9" hidden="1"/>
    <cellStyle name="Followed Hyperlink" xfId="22026" builtinId="9" hidden="1"/>
    <cellStyle name="Followed Hyperlink" xfId="22027" builtinId="9" hidden="1"/>
    <cellStyle name="Followed Hyperlink" xfId="22028" builtinId="9" hidden="1"/>
    <cellStyle name="Followed Hyperlink" xfId="22029" builtinId="9" hidden="1"/>
    <cellStyle name="Followed Hyperlink" xfId="22030" builtinId="9" hidden="1"/>
    <cellStyle name="Followed Hyperlink" xfId="22031" builtinId="9" hidden="1"/>
    <cellStyle name="Followed Hyperlink" xfId="22032" builtinId="9" hidden="1"/>
    <cellStyle name="Followed Hyperlink" xfId="22033" builtinId="9" hidden="1"/>
    <cellStyle name="Followed Hyperlink" xfId="22034" builtinId="9" hidden="1"/>
    <cellStyle name="Followed Hyperlink" xfId="22035" builtinId="9" hidden="1"/>
    <cellStyle name="Followed Hyperlink" xfId="22036" builtinId="9" hidden="1"/>
    <cellStyle name="Followed Hyperlink" xfId="22037" builtinId="9" hidden="1"/>
    <cellStyle name="Followed Hyperlink" xfId="22038" builtinId="9" hidden="1"/>
    <cellStyle name="Followed Hyperlink" xfId="22039" builtinId="9" hidden="1"/>
    <cellStyle name="Followed Hyperlink" xfId="22040" builtinId="9" hidden="1"/>
    <cellStyle name="Followed Hyperlink" xfId="22041" builtinId="9" hidden="1"/>
    <cellStyle name="Followed Hyperlink" xfId="22042" builtinId="9" hidden="1"/>
    <cellStyle name="Followed Hyperlink" xfId="22043" builtinId="9" hidden="1"/>
    <cellStyle name="Followed Hyperlink" xfId="22044" builtinId="9" hidden="1"/>
    <cellStyle name="Followed Hyperlink" xfId="22045" builtinId="9" hidden="1"/>
    <cellStyle name="Followed Hyperlink" xfId="22046" builtinId="9" hidden="1"/>
    <cellStyle name="Followed Hyperlink" xfId="22047" builtinId="9" hidden="1"/>
    <cellStyle name="Followed Hyperlink" xfId="22048" builtinId="9" hidden="1"/>
    <cellStyle name="Followed Hyperlink" xfId="22049" builtinId="9" hidden="1"/>
    <cellStyle name="Followed Hyperlink" xfId="22050" builtinId="9" hidden="1"/>
    <cellStyle name="Followed Hyperlink" xfId="22051" builtinId="9" hidden="1"/>
    <cellStyle name="Followed Hyperlink" xfId="22052" builtinId="9" hidden="1"/>
    <cellStyle name="Followed Hyperlink" xfId="22053" builtinId="9" hidden="1"/>
    <cellStyle name="Followed Hyperlink" xfId="22054" builtinId="9" hidden="1"/>
    <cellStyle name="Followed Hyperlink" xfId="22055" builtinId="9" hidden="1"/>
    <cellStyle name="Followed Hyperlink" xfId="22056" builtinId="9" hidden="1"/>
    <cellStyle name="Followed Hyperlink" xfId="22057" builtinId="9" hidden="1"/>
    <cellStyle name="Followed Hyperlink" xfId="22058" builtinId="9" hidden="1"/>
    <cellStyle name="Followed Hyperlink" xfId="22059" builtinId="9" hidden="1"/>
    <cellStyle name="Followed Hyperlink" xfId="22060" builtinId="9" hidden="1"/>
    <cellStyle name="Followed Hyperlink" xfId="22061" builtinId="9" hidden="1"/>
    <cellStyle name="Followed Hyperlink" xfId="22062" builtinId="9" hidden="1"/>
    <cellStyle name="Followed Hyperlink" xfId="22063" builtinId="9" hidden="1"/>
    <cellStyle name="Followed Hyperlink" xfId="22064" builtinId="9" hidden="1"/>
    <cellStyle name="Followed Hyperlink" xfId="22065" builtinId="9" hidden="1"/>
    <cellStyle name="Followed Hyperlink" xfId="22066" builtinId="9" hidden="1"/>
    <cellStyle name="Followed Hyperlink" xfId="22067" builtinId="9" hidden="1"/>
    <cellStyle name="Followed Hyperlink" xfId="22068" builtinId="9" hidden="1"/>
    <cellStyle name="Followed Hyperlink" xfId="22069" builtinId="9" hidden="1"/>
    <cellStyle name="Followed Hyperlink" xfId="22070" builtinId="9" hidden="1"/>
    <cellStyle name="Followed Hyperlink" xfId="22071" builtinId="9" hidden="1"/>
    <cellStyle name="Followed Hyperlink" xfId="22072" builtinId="9" hidden="1"/>
    <cellStyle name="Followed Hyperlink" xfId="22073" builtinId="9" hidden="1"/>
    <cellStyle name="Followed Hyperlink" xfId="22074" builtinId="9" hidden="1"/>
    <cellStyle name="Followed Hyperlink" xfId="22075" builtinId="9" hidden="1"/>
    <cellStyle name="Followed Hyperlink" xfId="22076" builtinId="9" hidden="1"/>
    <cellStyle name="Followed Hyperlink" xfId="22077" builtinId="9" hidden="1"/>
    <cellStyle name="Followed Hyperlink" xfId="22078" builtinId="9" hidden="1"/>
    <cellStyle name="Followed Hyperlink" xfId="22079" builtinId="9" hidden="1"/>
    <cellStyle name="Followed Hyperlink" xfId="22080" builtinId="9" hidden="1"/>
    <cellStyle name="Followed Hyperlink" xfId="22081" builtinId="9" hidden="1"/>
    <cellStyle name="Followed Hyperlink" xfId="22082" builtinId="9" hidden="1"/>
    <cellStyle name="Followed Hyperlink" xfId="22083" builtinId="9" hidden="1"/>
    <cellStyle name="Followed Hyperlink" xfId="22084" builtinId="9" hidden="1"/>
    <cellStyle name="Followed Hyperlink" xfId="22085" builtinId="9" hidden="1"/>
    <cellStyle name="Followed Hyperlink" xfId="22086" builtinId="9" hidden="1"/>
    <cellStyle name="Followed Hyperlink" xfId="22087" builtinId="9" hidden="1"/>
    <cellStyle name="Followed Hyperlink" xfId="22088" builtinId="9" hidden="1"/>
    <cellStyle name="Followed Hyperlink" xfId="22089" builtinId="9" hidden="1"/>
    <cellStyle name="Followed Hyperlink" xfId="22090" builtinId="9" hidden="1"/>
    <cellStyle name="Followed Hyperlink" xfId="22091" builtinId="9" hidden="1"/>
    <cellStyle name="Followed Hyperlink" xfId="22092" builtinId="9" hidden="1"/>
    <cellStyle name="Followed Hyperlink" xfId="22093" builtinId="9" hidden="1"/>
    <cellStyle name="Followed Hyperlink" xfId="22094" builtinId="9" hidden="1"/>
    <cellStyle name="Followed Hyperlink" xfId="22095" builtinId="9" hidden="1"/>
    <cellStyle name="Followed Hyperlink" xfId="22096" builtinId="9" hidden="1"/>
    <cellStyle name="Followed Hyperlink" xfId="22097" builtinId="9" hidden="1"/>
    <cellStyle name="Followed Hyperlink" xfId="22098" builtinId="9" hidden="1"/>
    <cellStyle name="Followed Hyperlink" xfId="22099" builtinId="9" hidden="1"/>
    <cellStyle name="Followed Hyperlink" xfId="22100" builtinId="9" hidden="1"/>
    <cellStyle name="Followed Hyperlink" xfId="22101" builtinId="9" hidden="1"/>
    <cellStyle name="Followed Hyperlink" xfId="22102" builtinId="9" hidden="1"/>
    <cellStyle name="Followed Hyperlink" xfId="22103" builtinId="9" hidden="1"/>
    <cellStyle name="Followed Hyperlink" xfId="22104" builtinId="9" hidden="1"/>
    <cellStyle name="Followed Hyperlink" xfId="22105" builtinId="9" hidden="1"/>
    <cellStyle name="Followed Hyperlink" xfId="22106" builtinId="9" hidden="1"/>
    <cellStyle name="Followed Hyperlink" xfId="22107" builtinId="9" hidden="1"/>
    <cellStyle name="Followed Hyperlink" xfId="22108" builtinId="9" hidden="1"/>
    <cellStyle name="Followed Hyperlink" xfId="22109" builtinId="9" hidden="1"/>
    <cellStyle name="Followed Hyperlink" xfId="22110" builtinId="9" hidden="1"/>
    <cellStyle name="Followed Hyperlink" xfId="22111" builtinId="9" hidden="1"/>
    <cellStyle name="Followed Hyperlink" xfId="22112" builtinId="9" hidden="1"/>
    <cellStyle name="Followed Hyperlink" xfId="22113" builtinId="9" hidden="1"/>
    <cellStyle name="Followed Hyperlink" xfId="22114" builtinId="9" hidden="1"/>
    <cellStyle name="Followed Hyperlink" xfId="22115" builtinId="9" hidden="1"/>
    <cellStyle name="Followed Hyperlink" xfId="22116" builtinId="9" hidden="1"/>
    <cellStyle name="Followed Hyperlink" xfId="22117" builtinId="9" hidden="1"/>
    <cellStyle name="Followed Hyperlink" xfId="22118" builtinId="9" hidden="1"/>
    <cellStyle name="Followed Hyperlink" xfId="22119" builtinId="9" hidden="1"/>
    <cellStyle name="Followed Hyperlink" xfId="22120" builtinId="9" hidden="1"/>
    <cellStyle name="Followed Hyperlink" xfId="22121" builtinId="9" hidden="1"/>
    <cellStyle name="Followed Hyperlink" xfId="22122" builtinId="9" hidden="1"/>
    <cellStyle name="Followed Hyperlink" xfId="22123" builtinId="9" hidden="1"/>
    <cellStyle name="Followed Hyperlink" xfId="22124" builtinId="9" hidden="1"/>
    <cellStyle name="Followed Hyperlink" xfId="22125" builtinId="9" hidden="1"/>
    <cellStyle name="Followed Hyperlink" xfId="22126" builtinId="9" hidden="1"/>
    <cellStyle name="Followed Hyperlink" xfId="22127" builtinId="9" hidden="1"/>
    <cellStyle name="Followed Hyperlink" xfId="22128" builtinId="9" hidden="1"/>
    <cellStyle name="Followed Hyperlink" xfId="22129" builtinId="9" hidden="1"/>
    <cellStyle name="Followed Hyperlink" xfId="22130" builtinId="9" hidden="1"/>
    <cellStyle name="Followed Hyperlink" xfId="22131" builtinId="9" hidden="1"/>
    <cellStyle name="Followed Hyperlink" xfId="22132" builtinId="9" hidden="1"/>
    <cellStyle name="Followed Hyperlink" xfId="22133" builtinId="9" hidden="1"/>
    <cellStyle name="Followed Hyperlink" xfId="22134" builtinId="9" hidden="1"/>
    <cellStyle name="Followed Hyperlink" xfId="22135" builtinId="9" hidden="1"/>
    <cellStyle name="Followed Hyperlink" xfId="22136" builtinId="9" hidden="1"/>
    <cellStyle name="Followed Hyperlink" xfId="22137" builtinId="9" hidden="1"/>
    <cellStyle name="Followed Hyperlink" xfId="22138" builtinId="9" hidden="1"/>
    <cellStyle name="Followed Hyperlink" xfId="22139" builtinId="9" hidden="1"/>
    <cellStyle name="Followed Hyperlink" xfId="22140" builtinId="9" hidden="1"/>
    <cellStyle name="Followed Hyperlink" xfId="22141" builtinId="9" hidden="1"/>
    <cellStyle name="Followed Hyperlink" xfId="22142" builtinId="9" hidden="1"/>
    <cellStyle name="Followed Hyperlink" xfId="22143" builtinId="9" hidden="1"/>
    <cellStyle name="Followed Hyperlink" xfId="22144" builtinId="9" hidden="1"/>
    <cellStyle name="Followed Hyperlink" xfId="22145" builtinId="9" hidden="1"/>
    <cellStyle name="Followed Hyperlink" xfId="22146" builtinId="9" hidden="1"/>
    <cellStyle name="Followed Hyperlink" xfId="22147" builtinId="9" hidden="1"/>
    <cellStyle name="Followed Hyperlink" xfId="22148" builtinId="9" hidden="1"/>
    <cellStyle name="Followed Hyperlink" xfId="22149" builtinId="9" hidden="1"/>
    <cellStyle name="Followed Hyperlink" xfId="22152" builtinId="9" hidden="1"/>
    <cellStyle name="Followed Hyperlink" xfId="22153" builtinId="9" hidden="1"/>
    <cellStyle name="Followed Hyperlink" xfId="22154" builtinId="9" hidden="1"/>
    <cellStyle name="Followed Hyperlink" xfId="22155" builtinId="9" hidden="1"/>
    <cellStyle name="Followed Hyperlink" xfId="22156" builtinId="9" hidden="1"/>
    <cellStyle name="Followed Hyperlink" xfId="22157" builtinId="9" hidden="1"/>
    <cellStyle name="Followed Hyperlink" xfId="22158" builtinId="9" hidden="1"/>
    <cellStyle name="Followed Hyperlink" xfId="22159" builtinId="9" hidden="1"/>
    <cellStyle name="Followed Hyperlink" xfId="22160" builtinId="9" hidden="1"/>
    <cellStyle name="Followed Hyperlink" xfId="22161" builtinId="9" hidden="1"/>
    <cellStyle name="Followed Hyperlink" xfId="22162" builtinId="9" hidden="1"/>
    <cellStyle name="Followed Hyperlink" xfId="22163" builtinId="9" hidden="1"/>
    <cellStyle name="Followed Hyperlink" xfId="22164" builtinId="9" hidden="1"/>
    <cellStyle name="Followed Hyperlink" xfId="22165" builtinId="9" hidden="1"/>
    <cellStyle name="Followed Hyperlink" xfId="22166" builtinId="9" hidden="1"/>
    <cellStyle name="Followed Hyperlink" xfId="22167" builtinId="9" hidden="1"/>
    <cellStyle name="Followed Hyperlink" xfId="22168" builtinId="9" hidden="1"/>
    <cellStyle name="Followed Hyperlink" xfId="22169" builtinId="9" hidden="1"/>
    <cellStyle name="Followed Hyperlink" xfId="22170" builtinId="9" hidden="1"/>
    <cellStyle name="Followed Hyperlink" xfId="22171" builtinId="9" hidden="1"/>
    <cellStyle name="Followed Hyperlink" xfId="22172" builtinId="9" hidden="1"/>
    <cellStyle name="Followed Hyperlink" xfId="22173" builtinId="9" hidden="1"/>
    <cellStyle name="Followed Hyperlink" xfId="22174" builtinId="9" hidden="1"/>
    <cellStyle name="Followed Hyperlink" xfId="22175" builtinId="9" hidden="1"/>
    <cellStyle name="Followed Hyperlink" xfId="22176" builtinId="9" hidden="1"/>
    <cellStyle name="Followed Hyperlink" xfId="22177" builtinId="9" hidden="1"/>
    <cellStyle name="Followed Hyperlink" xfId="22178" builtinId="9" hidden="1"/>
    <cellStyle name="Followed Hyperlink" xfId="22179" builtinId="9" hidden="1"/>
    <cellStyle name="Followed Hyperlink" xfId="22180" builtinId="9" hidden="1"/>
    <cellStyle name="Followed Hyperlink" xfId="22181" builtinId="9" hidden="1"/>
    <cellStyle name="Followed Hyperlink" xfId="22182" builtinId="9" hidden="1"/>
    <cellStyle name="Followed Hyperlink" xfId="22183" builtinId="9" hidden="1"/>
    <cellStyle name="Followed Hyperlink" xfId="22184" builtinId="9" hidden="1"/>
    <cellStyle name="Followed Hyperlink" xfId="22185" builtinId="9" hidden="1"/>
    <cellStyle name="Followed Hyperlink" xfId="22186" builtinId="9" hidden="1"/>
    <cellStyle name="Followed Hyperlink" xfId="22187" builtinId="9" hidden="1"/>
    <cellStyle name="Followed Hyperlink" xfId="22188" builtinId="9" hidden="1"/>
    <cellStyle name="Followed Hyperlink" xfId="22189" builtinId="9" hidden="1"/>
    <cellStyle name="Followed Hyperlink" xfId="22190" builtinId="9" hidden="1"/>
    <cellStyle name="Followed Hyperlink" xfId="22191" builtinId="9" hidden="1"/>
    <cellStyle name="Followed Hyperlink" xfId="22192" builtinId="9" hidden="1"/>
    <cellStyle name="Followed Hyperlink" xfId="22193" builtinId="9" hidden="1"/>
    <cellStyle name="Followed Hyperlink" xfId="22194" builtinId="9" hidden="1"/>
    <cellStyle name="Followed Hyperlink" xfId="22195" builtinId="9" hidden="1"/>
    <cellStyle name="Followed Hyperlink" xfId="22196" builtinId="9" hidden="1"/>
    <cellStyle name="Followed Hyperlink" xfId="22197" builtinId="9" hidden="1"/>
    <cellStyle name="Followed Hyperlink" xfId="22198" builtinId="9" hidden="1"/>
    <cellStyle name="Followed Hyperlink" xfId="22199" builtinId="9" hidden="1"/>
    <cellStyle name="Followed Hyperlink" xfId="22200" builtinId="9" hidden="1"/>
    <cellStyle name="Followed Hyperlink" xfId="22201" builtinId="9" hidden="1"/>
    <cellStyle name="Followed Hyperlink" xfId="22202" builtinId="9" hidden="1"/>
    <cellStyle name="Followed Hyperlink" xfId="22203" builtinId="9" hidden="1"/>
    <cellStyle name="Followed Hyperlink" xfId="22204" builtinId="9" hidden="1"/>
    <cellStyle name="Followed Hyperlink" xfId="22205" builtinId="9" hidden="1"/>
    <cellStyle name="Followed Hyperlink" xfId="22206" builtinId="9" hidden="1"/>
    <cellStyle name="Followed Hyperlink" xfId="22207" builtinId="9" hidden="1"/>
    <cellStyle name="Followed Hyperlink" xfId="22208" builtinId="9" hidden="1"/>
    <cellStyle name="Followed Hyperlink" xfId="22209" builtinId="9" hidden="1"/>
    <cellStyle name="Followed Hyperlink" xfId="22210" builtinId="9" hidden="1"/>
    <cellStyle name="Followed Hyperlink" xfId="22211" builtinId="9" hidden="1"/>
    <cellStyle name="Followed Hyperlink" xfId="22212" builtinId="9" hidden="1"/>
    <cellStyle name="Followed Hyperlink" xfId="22213" builtinId="9" hidden="1"/>
    <cellStyle name="Followed Hyperlink" xfId="22214" builtinId="9" hidden="1"/>
    <cellStyle name="Followed Hyperlink" xfId="22215" builtinId="9" hidden="1"/>
    <cellStyle name="Followed Hyperlink" xfId="22216" builtinId="9" hidden="1"/>
    <cellStyle name="Followed Hyperlink" xfId="22217" builtinId="9" hidden="1"/>
    <cellStyle name="Followed Hyperlink" xfId="22218" builtinId="9" hidden="1"/>
    <cellStyle name="Followed Hyperlink" xfId="22219" builtinId="9" hidden="1"/>
    <cellStyle name="Followed Hyperlink" xfId="22220" builtinId="9" hidden="1"/>
    <cellStyle name="Followed Hyperlink" xfId="22221" builtinId="9" hidden="1"/>
    <cellStyle name="Followed Hyperlink" xfId="22222" builtinId="9" hidden="1"/>
    <cellStyle name="Followed Hyperlink" xfId="22223" builtinId="9" hidden="1"/>
    <cellStyle name="Followed Hyperlink" xfId="22224" builtinId="9" hidden="1"/>
    <cellStyle name="Followed Hyperlink" xfId="22225" builtinId="9" hidden="1"/>
    <cellStyle name="Followed Hyperlink" xfId="22226" builtinId="9" hidden="1"/>
    <cellStyle name="Followed Hyperlink" xfId="22227" builtinId="9" hidden="1"/>
    <cellStyle name="Followed Hyperlink" xfId="22228" builtinId="9" hidden="1"/>
    <cellStyle name="Followed Hyperlink" xfId="22229" builtinId="9" hidden="1"/>
    <cellStyle name="Followed Hyperlink" xfId="22230" builtinId="9" hidden="1"/>
    <cellStyle name="Followed Hyperlink" xfId="22231" builtinId="9" hidden="1"/>
    <cellStyle name="Followed Hyperlink" xfId="22232" builtinId="9" hidden="1"/>
    <cellStyle name="Followed Hyperlink" xfId="22233" builtinId="9" hidden="1"/>
    <cellStyle name="Followed Hyperlink" xfId="22234" builtinId="9" hidden="1"/>
    <cellStyle name="Followed Hyperlink" xfId="22235" builtinId="9" hidden="1"/>
    <cellStyle name="Followed Hyperlink" xfId="22236" builtinId="9" hidden="1"/>
    <cellStyle name="Followed Hyperlink" xfId="22237" builtinId="9" hidden="1"/>
    <cellStyle name="Followed Hyperlink" xfId="22238" builtinId="9" hidden="1"/>
    <cellStyle name="Followed Hyperlink" xfId="22239" builtinId="9" hidden="1"/>
    <cellStyle name="Followed Hyperlink" xfId="22240" builtinId="9" hidden="1"/>
    <cellStyle name="Followed Hyperlink" xfId="22241" builtinId="9" hidden="1"/>
    <cellStyle name="Followed Hyperlink" xfId="22242" builtinId="9" hidden="1"/>
    <cellStyle name="Followed Hyperlink" xfId="22243" builtinId="9" hidden="1"/>
    <cellStyle name="Followed Hyperlink" xfId="22244" builtinId="9" hidden="1"/>
    <cellStyle name="Followed Hyperlink" xfId="22245" builtinId="9" hidden="1"/>
    <cellStyle name="Followed Hyperlink" xfId="22246" builtinId="9" hidden="1"/>
    <cellStyle name="Followed Hyperlink" xfId="22247" builtinId="9" hidden="1"/>
    <cellStyle name="Followed Hyperlink" xfId="22248" builtinId="9" hidden="1"/>
    <cellStyle name="Followed Hyperlink" xfId="22249" builtinId="9" hidden="1"/>
    <cellStyle name="Followed Hyperlink" xfId="22250" builtinId="9" hidden="1"/>
    <cellStyle name="Followed Hyperlink" xfId="22251" builtinId="9" hidden="1"/>
    <cellStyle name="Followed Hyperlink" xfId="22252" builtinId="9" hidden="1"/>
    <cellStyle name="Followed Hyperlink" xfId="22253" builtinId="9" hidden="1"/>
    <cellStyle name="Followed Hyperlink" xfId="22254" builtinId="9" hidden="1"/>
    <cellStyle name="Followed Hyperlink" xfId="22255" builtinId="9" hidden="1"/>
    <cellStyle name="Followed Hyperlink" xfId="22256" builtinId="9" hidden="1"/>
    <cellStyle name="Followed Hyperlink" xfId="22257" builtinId="9" hidden="1"/>
    <cellStyle name="Followed Hyperlink" xfId="22258" builtinId="9" hidden="1"/>
    <cellStyle name="Followed Hyperlink" xfId="22259" builtinId="9" hidden="1"/>
    <cellStyle name="Followed Hyperlink" xfId="22260" builtinId="9" hidden="1"/>
    <cellStyle name="Followed Hyperlink" xfId="22261" builtinId="9" hidden="1"/>
    <cellStyle name="Followed Hyperlink" xfId="22262" builtinId="9" hidden="1"/>
    <cellStyle name="Followed Hyperlink" xfId="22263" builtinId="9" hidden="1"/>
    <cellStyle name="Followed Hyperlink" xfId="22264" builtinId="9" hidden="1"/>
    <cellStyle name="Followed Hyperlink" xfId="22265" builtinId="9" hidden="1"/>
    <cellStyle name="Followed Hyperlink" xfId="22266" builtinId="9" hidden="1"/>
    <cellStyle name="Followed Hyperlink" xfId="22267" builtinId="9" hidden="1"/>
    <cellStyle name="Followed Hyperlink" xfId="22268" builtinId="9" hidden="1"/>
    <cellStyle name="Followed Hyperlink" xfId="22269" builtinId="9" hidden="1"/>
    <cellStyle name="Followed Hyperlink" xfId="22270" builtinId="9" hidden="1"/>
    <cellStyle name="Followed Hyperlink" xfId="22271" builtinId="9" hidden="1"/>
    <cellStyle name="Followed Hyperlink" xfId="22272" builtinId="9" hidden="1"/>
    <cellStyle name="Followed Hyperlink" xfId="22273" builtinId="9" hidden="1"/>
    <cellStyle name="Followed Hyperlink" xfId="22274" builtinId="9" hidden="1"/>
    <cellStyle name="Followed Hyperlink" xfId="22275" builtinId="9" hidden="1"/>
    <cellStyle name="Followed Hyperlink" xfId="22276" builtinId="9" hidden="1"/>
    <cellStyle name="Followed Hyperlink" xfId="22277" builtinId="9" hidden="1"/>
    <cellStyle name="Followed Hyperlink" xfId="22278" builtinId="9" hidden="1"/>
    <cellStyle name="Followed Hyperlink" xfId="22279" builtinId="9" hidden="1"/>
    <cellStyle name="Followed Hyperlink" xfId="22280" builtinId="9" hidden="1"/>
    <cellStyle name="Followed Hyperlink" xfId="22281" builtinId="9" hidden="1"/>
    <cellStyle name="Followed Hyperlink" xfId="22282" builtinId="9" hidden="1"/>
    <cellStyle name="Followed Hyperlink" xfId="22283" builtinId="9" hidden="1"/>
    <cellStyle name="Followed Hyperlink" xfId="22284" builtinId="9" hidden="1"/>
    <cellStyle name="Followed Hyperlink" xfId="22285" builtinId="9" hidden="1"/>
    <cellStyle name="Followed Hyperlink" xfId="22286" builtinId="9" hidden="1"/>
    <cellStyle name="Followed Hyperlink" xfId="22287" builtinId="9" hidden="1"/>
    <cellStyle name="Followed Hyperlink" xfId="22288" builtinId="9" hidden="1"/>
    <cellStyle name="Followed Hyperlink" xfId="22289" builtinId="9" hidden="1"/>
    <cellStyle name="Followed Hyperlink" xfId="22290" builtinId="9" hidden="1"/>
    <cellStyle name="Followed Hyperlink" xfId="22291" builtinId="9" hidden="1"/>
    <cellStyle name="Followed Hyperlink" xfId="22292" builtinId="9" hidden="1"/>
    <cellStyle name="Followed Hyperlink" xfId="22293" builtinId="9" hidden="1"/>
    <cellStyle name="Followed Hyperlink" xfId="22294" builtinId="9" hidden="1"/>
    <cellStyle name="Followed Hyperlink" xfId="22295" builtinId="9" hidden="1"/>
    <cellStyle name="Followed Hyperlink" xfId="22296" builtinId="9" hidden="1"/>
    <cellStyle name="Followed Hyperlink" xfId="22297" builtinId="9" hidden="1"/>
    <cellStyle name="Followed Hyperlink" xfId="22298" builtinId="9" hidden="1"/>
    <cellStyle name="Followed Hyperlink" xfId="22299" builtinId="9" hidden="1"/>
    <cellStyle name="Followed Hyperlink" xfId="12262" builtinId="9" hidden="1"/>
    <cellStyle name="Followed Hyperlink" xfId="12731" builtinId="9" hidden="1"/>
    <cellStyle name="Followed Hyperlink" xfId="12261" builtinId="9" hidden="1"/>
    <cellStyle name="Followed Hyperlink" xfId="12930" builtinId="9" hidden="1"/>
    <cellStyle name="Followed Hyperlink" xfId="12220" builtinId="9" hidden="1"/>
    <cellStyle name="Followed Hyperlink" xfId="12945" builtinId="9" hidden="1"/>
    <cellStyle name="Followed Hyperlink" xfId="12258" builtinId="9" hidden="1"/>
    <cellStyle name="Followed Hyperlink" xfId="12792" builtinId="9" hidden="1"/>
    <cellStyle name="Followed Hyperlink" xfId="12791" builtinId="9" hidden="1"/>
    <cellStyle name="Followed Hyperlink" xfId="12690" builtinId="9" hidden="1"/>
    <cellStyle name="Followed Hyperlink" xfId="12944" builtinId="9" hidden="1"/>
    <cellStyle name="Followed Hyperlink" xfId="12613" builtinId="9" hidden="1"/>
    <cellStyle name="Followed Hyperlink" xfId="12612" builtinId="9" hidden="1"/>
    <cellStyle name="Followed Hyperlink" xfId="12611" builtinId="9" hidden="1"/>
    <cellStyle name="Followed Hyperlink" xfId="12266" builtinId="9" hidden="1"/>
    <cellStyle name="Followed Hyperlink" xfId="12255" builtinId="9" hidden="1"/>
    <cellStyle name="Followed Hyperlink" xfId="12943" builtinId="9" hidden="1"/>
    <cellStyle name="Followed Hyperlink" xfId="14189" builtinId="9" hidden="1"/>
    <cellStyle name="Followed Hyperlink" xfId="12254" builtinId="9" hidden="1"/>
    <cellStyle name="Followed Hyperlink" xfId="12607" builtinId="9" hidden="1"/>
    <cellStyle name="Followed Hyperlink" xfId="12253" builtinId="9" hidden="1"/>
    <cellStyle name="Followed Hyperlink" xfId="12602" builtinId="9" hidden="1"/>
    <cellStyle name="Followed Hyperlink" xfId="12150" builtinId="9" hidden="1"/>
    <cellStyle name="Followed Hyperlink" xfId="12597" builtinId="9" hidden="1"/>
    <cellStyle name="Followed Hyperlink" xfId="12598" builtinId="9" hidden="1"/>
    <cellStyle name="Followed Hyperlink" xfId="11783" builtinId="9" hidden="1"/>
    <cellStyle name="Followed Hyperlink" xfId="12248" builtinId="9" hidden="1"/>
    <cellStyle name="Followed Hyperlink" xfId="12250" builtinId="9" hidden="1"/>
    <cellStyle name="Followed Hyperlink" xfId="12249" builtinId="9" hidden="1"/>
    <cellStyle name="Followed Hyperlink" xfId="12274" builtinId="9" hidden="1"/>
    <cellStyle name="Followed Hyperlink" xfId="11785" builtinId="9" hidden="1"/>
    <cellStyle name="Followed Hyperlink" xfId="12752" builtinId="9" hidden="1"/>
    <cellStyle name="Followed Hyperlink" xfId="12793" builtinId="9" hidden="1"/>
    <cellStyle name="Followed Hyperlink" xfId="12688" builtinId="9" hidden="1"/>
    <cellStyle name="Followed Hyperlink" xfId="12790" builtinId="9" hidden="1"/>
    <cellStyle name="Followed Hyperlink" xfId="12247" builtinId="9" hidden="1"/>
    <cellStyle name="Followed Hyperlink" xfId="12789" builtinId="9" hidden="1"/>
    <cellStyle name="Followed Hyperlink" xfId="12730" builtinId="9" hidden="1"/>
    <cellStyle name="Followed Hyperlink" xfId="12246" builtinId="9" hidden="1"/>
    <cellStyle name="Followed Hyperlink" xfId="12745" builtinId="9" hidden="1"/>
    <cellStyle name="Followed Hyperlink" xfId="12687" builtinId="9" hidden="1"/>
    <cellStyle name="Followed Hyperlink" xfId="12265" builtinId="9" hidden="1"/>
    <cellStyle name="Followed Hyperlink" xfId="11338" builtinId="9" hidden="1"/>
    <cellStyle name="Followed Hyperlink" xfId="13206" builtinId="9" hidden="1"/>
    <cellStyle name="Followed Hyperlink" xfId="13205" builtinId="9" hidden="1"/>
    <cellStyle name="Followed Hyperlink" xfId="13204" builtinId="9" hidden="1"/>
    <cellStyle name="Followed Hyperlink" xfId="13203" builtinId="9" hidden="1"/>
    <cellStyle name="Followed Hyperlink" xfId="13202" builtinId="9" hidden="1"/>
    <cellStyle name="Followed Hyperlink" xfId="13201" builtinId="9" hidden="1"/>
    <cellStyle name="Followed Hyperlink" xfId="13200" builtinId="9" hidden="1"/>
    <cellStyle name="Followed Hyperlink" xfId="13199" builtinId="9" hidden="1"/>
    <cellStyle name="Followed Hyperlink" xfId="13198" builtinId="9" hidden="1"/>
    <cellStyle name="Followed Hyperlink" xfId="13197" builtinId="9" hidden="1"/>
    <cellStyle name="Followed Hyperlink" xfId="13196" builtinId="9" hidden="1"/>
    <cellStyle name="Followed Hyperlink" xfId="13195" builtinId="9" hidden="1"/>
    <cellStyle name="Followed Hyperlink" xfId="13194" builtinId="9" hidden="1"/>
    <cellStyle name="Followed Hyperlink" xfId="13193" builtinId="9" hidden="1"/>
    <cellStyle name="Followed Hyperlink" xfId="13192" builtinId="9" hidden="1"/>
    <cellStyle name="Followed Hyperlink" xfId="13191" builtinId="9" hidden="1"/>
    <cellStyle name="Followed Hyperlink" xfId="13190" builtinId="9" hidden="1"/>
    <cellStyle name="Followed Hyperlink" xfId="13189" builtinId="9" hidden="1"/>
    <cellStyle name="Followed Hyperlink" xfId="13188" builtinId="9" hidden="1"/>
    <cellStyle name="Followed Hyperlink" xfId="13187" builtinId="9" hidden="1"/>
    <cellStyle name="Followed Hyperlink" xfId="13186" builtinId="9" hidden="1"/>
    <cellStyle name="Followed Hyperlink" xfId="13185" builtinId="9" hidden="1"/>
    <cellStyle name="Followed Hyperlink" xfId="13184" builtinId="9" hidden="1"/>
    <cellStyle name="Followed Hyperlink" xfId="13183" builtinId="9" hidden="1"/>
    <cellStyle name="Followed Hyperlink" xfId="13182" builtinId="9" hidden="1"/>
    <cellStyle name="Followed Hyperlink" xfId="13181" builtinId="9" hidden="1"/>
    <cellStyle name="Followed Hyperlink" xfId="13180" builtinId="9" hidden="1"/>
    <cellStyle name="Followed Hyperlink" xfId="13179" builtinId="9" hidden="1"/>
    <cellStyle name="Followed Hyperlink" xfId="13178" builtinId="9" hidden="1"/>
    <cellStyle name="Followed Hyperlink" xfId="13177" builtinId="9" hidden="1"/>
    <cellStyle name="Followed Hyperlink" xfId="13176" builtinId="9" hidden="1"/>
    <cellStyle name="Followed Hyperlink" xfId="13175" builtinId="9" hidden="1"/>
    <cellStyle name="Followed Hyperlink" xfId="13174" builtinId="9" hidden="1"/>
    <cellStyle name="Followed Hyperlink" xfId="13173" builtinId="9" hidden="1"/>
    <cellStyle name="Followed Hyperlink" xfId="13172" builtinId="9" hidden="1"/>
    <cellStyle name="Followed Hyperlink" xfId="13171" builtinId="9" hidden="1"/>
    <cellStyle name="Followed Hyperlink" xfId="13170" builtinId="9" hidden="1"/>
    <cellStyle name="Followed Hyperlink" xfId="13169" builtinId="9" hidden="1"/>
    <cellStyle name="Followed Hyperlink" xfId="13168" builtinId="9" hidden="1"/>
    <cellStyle name="Followed Hyperlink" xfId="13167" builtinId="9" hidden="1"/>
    <cellStyle name="Followed Hyperlink" xfId="13166" builtinId="9" hidden="1"/>
    <cellStyle name="Followed Hyperlink" xfId="13165" builtinId="9" hidden="1"/>
    <cellStyle name="Followed Hyperlink" xfId="13164" builtinId="9" hidden="1"/>
    <cellStyle name="Followed Hyperlink" xfId="13163" builtinId="9" hidden="1"/>
    <cellStyle name="Followed Hyperlink" xfId="13162" builtinId="9" hidden="1"/>
    <cellStyle name="Followed Hyperlink" xfId="13161" builtinId="9" hidden="1"/>
    <cellStyle name="Followed Hyperlink" xfId="13160" builtinId="9" hidden="1"/>
    <cellStyle name="Followed Hyperlink" xfId="13159" builtinId="9" hidden="1"/>
    <cellStyle name="Followed Hyperlink" xfId="13158" builtinId="9" hidden="1"/>
    <cellStyle name="Followed Hyperlink" xfId="13157" builtinId="9" hidden="1"/>
    <cellStyle name="Followed Hyperlink" xfId="13156" builtinId="9" hidden="1"/>
    <cellStyle name="Followed Hyperlink" xfId="13155" builtinId="9" hidden="1"/>
    <cellStyle name="Followed Hyperlink" xfId="13154" builtinId="9" hidden="1"/>
    <cellStyle name="Followed Hyperlink" xfId="13153" builtinId="9" hidden="1"/>
    <cellStyle name="Followed Hyperlink" xfId="13152" builtinId="9" hidden="1"/>
    <cellStyle name="Followed Hyperlink" xfId="13151" builtinId="9" hidden="1"/>
    <cellStyle name="Followed Hyperlink" xfId="13150" builtinId="9" hidden="1"/>
    <cellStyle name="Followed Hyperlink" xfId="13149" builtinId="9" hidden="1"/>
    <cellStyle name="Followed Hyperlink" xfId="13148" builtinId="9" hidden="1"/>
    <cellStyle name="Followed Hyperlink" xfId="13147" builtinId="9" hidden="1"/>
    <cellStyle name="Followed Hyperlink" xfId="13146" builtinId="9" hidden="1"/>
    <cellStyle name="Followed Hyperlink" xfId="13145" builtinId="9" hidden="1"/>
    <cellStyle name="Followed Hyperlink" xfId="13144" builtinId="9" hidden="1"/>
    <cellStyle name="Followed Hyperlink" xfId="13143" builtinId="9" hidden="1"/>
    <cellStyle name="Followed Hyperlink" xfId="13142" builtinId="9" hidden="1"/>
    <cellStyle name="Followed Hyperlink" xfId="13141" builtinId="9" hidden="1"/>
    <cellStyle name="Followed Hyperlink" xfId="13140" builtinId="9" hidden="1"/>
    <cellStyle name="Followed Hyperlink" xfId="13137" builtinId="9" hidden="1"/>
    <cellStyle name="Followed Hyperlink" xfId="13135" builtinId="9" hidden="1"/>
    <cellStyle name="Followed Hyperlink" xfId="13133" builtinId="9" hidden="1"/>
    <cellStyle name="Followed Hyperlink" xfId="13131" builtinId="9" hidden="1"/>
    <cellStyle name="Followed Hyperlink" xfId="13129" builtinId="9" hidden="1"/>
    <cellStyle name="Followed Hyperlink" xfId="13127" builtinId="9" hidden="1"/>
    <cellStyle name="Followed Hyperlink" xfId="13125" builtinId="9" hidden="1"/>
    <cellStyle name="Followed Hyperlink" xfId="13123" builtinId="9" hidden="1"/>
    <cellStyle name="Followed Hyperlink" xfId="13121" builtinId="9" hidden="1"/>
    <cellStyle name="Followed Hyperlink" xfId="13119" builtinId="9" hidden="1"/>
    <cellStyle name="Followed Hyperlink" xfId="13117" builtinId="9" hidden="1"/>
    <cellStyle name="Followed Hyperlink" xfId="13115" builtinId="9" hidden="1"/>
    <cellStyle name="Followed Hyperlink" xfId="13113" builtinId="9" hidden="1"/>
    <cellStyle name="Followed Hyperlink" xfId="13111" builtinId="9" hidden="1"/>
    <cellStyle name="Followed Hyperlink" xfId="13109" builtinId="9" hidden="1"/>
    <cellStyle name="Followed Hyperlink" xfId="13107" builtinId="9" hidden="1"/>
    <cellStyle name="Followed Hyperlink" xfId="13105" builtinId="9" hidden="1"/>
    <cellStyle name="Followed Hyperlink" xfId="13103" builtinId="9" hidden="1"/>
    <cellStyle name="Followed Hyperlink" xfId="13101" builtinId="9" hidden="1"/>
    <cellStyle name="Followed Hyperlink" xfId="13099" builtinId="9" hidden="1"/>
    <cellStyle name="Followed Hyperlink" xfId="13097" builtinId="9" hidden="1"/>
    <cellStyle name="Followed Hyperlink" xfId="13095" builtinId="9" hidden="1"/>
    <cellStyle name="Followed Hyperlink" xfId="13093" builtinId="9" hidden="1"/>
    <cellStyle name="Followed Hyperlink" xfId="13091" builtinId="9" hidden="1"/>
    <cellStyle name="Followed Hyperlink" xfId="13089" builtinId="9" hidden="1"/>
    <cellStyle name="Followed Hyperlink" xfId="13087" builtinId="9" hidden="1"/>
    <cellStyle name="Followed Hyperlink" xfId="13085" builtinId="9" hidden="1"/>
    <cellStyle name="Followed Hyperlink" xfId="13083" builtinId="9" hidden="1"/>
    <cellStyle name="Followed Hyperlink" xfId="13081" builtinId="9" hidden="1"/>
    <cellStyle name="Followed Hyperlink" xfId="13079" builtinId="9" hidden="1"/>
    <cellStyle name="Followed Hyperlink" xfId="12245" builtinId="9" hidden="1"/>
    <cellStyle name="Followed Hyperlink" xfId="13076" builtinId="9" hidden="1"/>
    <cellStyle name="Followed Hyperlink" xfId="13074" builtinId="9" hidden="1"/>
    <cellStyle name="Followed Hyperlink" xfId="13072" builtinId="9" hidden="1"/>
    <cellStyle name="Followed Hyperlink" xfId="13070" builtinId="9" hidden="1"/>
    <cellStyle name="Followed Hyperlink" xfId="13068" builtinId="9" hidden="1"/>
    <cellStyle name="Followed Hyperlink" xfId="13066" builtinId="9" hidden="1"/>
    <cellStyle name="Followed Hyperlink" xfId="13064" builtinId="9" hidden="1"/>
    <cellStyle name="Followed Hyperlink" xfId="13062" builtinId="9" hidden="1"/>
    <cellStyle name="Followed Hyperlink" xfId="13060" builtinId="9" hidden="1"/>
    <cellStyle name="Followed Hyperlink" xfId="13058" builtinId="9" hidden="1"/>
    <cellStyle name="Followed Hyperlink" xfId="13056" builtinId="9" hidden="1"/>
    <cellStyle name="Followed Hyperlink" xfId="13054" builtinId="9" hidden="1"/>
    <cellStyle name="Followed Hyperlink" xfId="13052" builtinId="9" hidden="1"/>
    <cellStyle name="Followed Hyperlink" xfId="13050" builtinId="9" hidden="1"/>
    <cellStyle name="Followed Hyperlink" xfId="13048" builtinId="9" hidden="1"/>
    <cellStyle name="Followed Hyperlink" xfId="13046" builtinId="9" hidden="1"/>
    <cellStyle name="Followed Hyperlink" xfId="13044" builtinId="9" hidden="1"/>
    <cellStyle name="Followed Hyperlink" xfId="13042" builtinId="9" hidden="1"/>
    <cellStyle name="Followed Hyperlink" xfId="13040" builtinId="9" hidden="1"/>
    <cellStyle name="Followed Hyperlink" xfId="13038" builtinId="9" hidden="1"/>
    <cellStyle name="Followed Hyperlink" xfId="13036" builtinId="9" hidden="1"/>
    <cellStyle name="Followed Hyperlink" xfId="13034" builtinId="9" hidden="1"/>
    <cellStyle name="Followed Hyperlink" xfId="13032" builtinId="9" hidden="1"/>
    <cellStyle name="Followed Hyperlink" xfId="13030" builtinId="9" hidden="1"/>
    <cellStyle name="Followed Hyperlink" xfId="13028" builtinId="9" hidden="1"/>
    <cellStyle name="Followed Hyperlink" xfId="13026" builtinId="9" hidden="1"/>
    <cellStyle name="Followed Hyperlink" xfId="13024" builtinId="9" hidden="1"/>
    <cellStyle name="Followed Hyperlink" xfId="13022" builtinId="9" hidden="1"/>
    <cellStyle name="Followed Hyperlink" xfId="13020" builtinId="9" hidden="1"/>
    <cellStyle name="Followed Hyperlink" xfId="13018" builtinId="9" hidden="1"/>
    <cellStyle name="Followed Hyperlink" xfId="13016" builtinId="9" hidden="1"/>
    <cellStyle name="Followed Hyperlink" xfId="13014" builtinId="9" hidden="1"/>
    <cellStyle name="Followed Hyperlink" xfId="13012" builtinId="9" hidden="1"/>
    <cellStyle name="Followed Hyperlink" xfId="13010" builtinId="9" hidden="1"/>
    <cellStyle name="Followed Hyperlink" xfId="13008" builtinId="9" hidden="1"/>
    <cellStyle name="Followed Hyperlink" xfId="13006" builtinId="9" hidden="1"/>
    <cellStyle name="Followed Hyperlink" xfId="13004" builtinId="9" hidden="1"/>
    <cellStyle name="Followed Hyperlink" xfId="13002" builtinId="9" hidden="1"/>
    <cellStyle name="Followed Hyperlink" xfId="13000" builtinId="9" hidden="1"/>
    <cellStyle name="Followed Hyperlink" xfId="12998" builtinId="9" hidden="1"/>
    <cellStyle name="Followed Hyperlink" xfId="12996" builtinId="9" hidden="1"/>
    <cellStyle name="Followed Hyperlink" xfId="12994" builtinId="9" hidden="1"/>
    <cellStyle name="Followed Hyperlink" xfId="12992" builtinId="9" hidden="1"/>
    <cellStyle name="Followed Hyperlink" xfId="12990" builtinId="9" hidden="1"/>
    <cellStyle name="Followed Hyperlink" xfId="12988" builtinId="9" hidden="1"/>
    <cellStyle name="Followed Hyperlink" xfId="12986" builtinId="9" hidden="1"/>
    <cellStyle name="Followed Hyperlink" xfId="12984" builtinId="9" hidden="1"/>
    <cellStyle name="Followed Hyperlink" xfId="12982" builtinId="9" hidden="1"/>
    <cellStyle name="Followed Hyperlink" xfId="12980" builtinId="9" hidden="1"/>
    <cellStyle name="Followed Hyperlink" xfId="12978" builtinId="9" hidden="1"/>
    <cellStyle name="Followed Hyperlink" xfId="12976" builtinId="9" hidden="1"/>
    <cellStyle name="Followed Hyperlink" xfId="12705" builtinId="9" hidden="1"/>
    <cellStyle name="Followed Hyperlink" xfId="12973" builtinId="9" hidden="1"/>
    <cellStyle name="Followed Hyperlink" xfId="12971" builtinId="9" hidden="1"/>
    <cellStyle name="Followed Hyperlink" xfId="12969" builtinId="9" hidden="1"/>
    <cellStyle name="Followed Hyperlink" xfId="12967" builtinId="9" hidden="1"/>
    <cellStyle name="Followed Hyperlink" xfId="12965" builtinId="9" hidden="1"/>
    <cellStyle name="Followed Hyperlink" xfId="12963" builtinId="9" hidden="1"/>
    <cellStyle name="Followed Hyperlink" xfId="12961" builtinId="9" hidden="1"/>
    <cellStyle name="Followed Hyperlink" xfId="12959" builtinId="9" hidden="1"/>
    <cellStyle name="Followed Hyperlink" xfId="12957" builtinId="9" hidden="1"/>
    <cellStyle name="Followed Hyperlink" xfId="12955" builtinId="9" hidden="1"/>
    <cellStyle name="Followed Hyperlink" xfId="12953" builtinId="9" hidden="1"/>
    <cellStyle name="Followed Hyperlink" xfId="12951" builtinId="9" hidden="1"/>
    <cellStyle name="Followed Hyperlink" xfId="12949" builtinId="9" hidden="1"/>
    <cellStyle name="Followed Hyperlink" xfId="12947" builtinId="9" hidden="1"/>
    <cellStyle name="Followed Hyperlink" xfId="11554" builtinId="9" hidden="1"/>
    <cellStyle name="Followed Hyperlink" xfId="11550" builtinId="9" hidden="1"/>
    <cellStyle name="Followed Hyperlink" xfId="11546" builtinId="9" hidden="1"/>
    <cellStyle name="Followed Hyperlink" xfId="11542" builtinId="9" hidden="1"/>
    <cellStyle name="Followed Hyperlink" xfId="11538" builtinId="9" hidden="1"/>
    <cellStyle name="Followed Hyperlink" xfId="11534" builtinId="9" hidden="1"/>
    <cellStyle name="Followed Hyperlink" xfId="11530" builtinId="9" hidden="1"/>
    <cellStyle name="Followed Hyperlink" xfId="11526" builtinId="9" hidden="1"/>
    <cellStyle name="Followed Hyperlink" xfId="11522" builtinId="9" hidden="1"/>
    <cellStyle name="Followed Hyperlink" xfId="11518" builtinId="9" hidden="1"/>
    <cellStyle name="Followed Hyperlink" xfId="11514" builtinId="9" hidden="1"/>
    <cellStyle name="Followed Hyperlink" xfId="11510" builtinId="9" hidden="1"/>
    <cellStyle name="Followed Hyperlink" xfId="11506" builtinId="9" hidden="1"/>
    <cellStyle name="Followed Hyperlink" xfId="11494" builtinId="9" hidden="1"/>
    <cellStyle name="Followed Hyperlink" xfId="11490" builtinId="9" hidden="1"/>
    <cellStyle name="Followed Hyperlink" xfId="11486" builtinId="9" hidden="1"/>
    <cellStyle name="Followed Hyperlink" xfId="11482" builtinId="9" hidden="1"/>
    <cellStyle name="Followed Hyperlink" xfId="11478" builtinId="9" hidden="1"/>
    <cellStyle name="Followed Hyperlink" xfId="11474" builtinId="9" hidden="1"/>
    <cellStyle name="Followed Hyperlink" xfId="11470" builtinId="9" hidden="1"/>
    <cellStyle name="Followed Hyperlink" xfId="11466" builtinId="9" hidden="1"/>
    <cellStyle name="Followed Hyperlink" xfId="11462" builtinId="9" hidden="1"/>
    <cellStyle name="Followed Hyperlink" xfId="11458" builtinId="9" hidden="1"/>
    <cellStyle name="Followed Hyperlink" xfId="11454" builtinId="9" hidden="1"/>
    <cellStyle name="Followed Hyperlink" xfId="11450" builtinId="9" hidden="1"/>
    <cellStyle name="Followed Hyperlink" xfId="11446" builtinId="9" hidden="1"/>
    <cellStyle name="Followed Hyperlink" xfId="11442" builtinId="9" hidden="1"/>
    <cellStyle name="Followed Hyperlink" xfId="11438" builtinId="9" hidden="1"/>
    <cellStyle name="Followed Hyperlink" xfId="11434" builtinId="9" hidden="1"/>
    <cellStyle name="Followed Hyperlink" xfId="11430" builtinId="9" hidden="1"/>
    <cellStyle name="Followed Hyperlink" xfId="11426" builtinId="9" hidden="1"/>
    <cellStyle name="Followed Hyperlink" xfId="11422" builtinId="9" hidden="1"/>
    <cellStyle name="Followed Hyperlink" xfId="11418" builtinId="9" hidden="1"/>
    <cellStyle name="Followed Hyperlink" xfId="11414" builtinId="9" hidden="1"/>
    <cellStyle name="Followed Hyperlink" xfId="11410" builtinId="9" hidden="1"/>
    <cellStyle name="Followed Hyperlink" xfId="11406" builtinId="9" hidden="1"/>
    <cellStyle name="Followed Hyperlink" xfId="11402" builtinId="9" hidden="1"/>
    <cellStyle name="Followed Hyperlink" xfId="11398" builtinId="9" hidden="1"/>
    <cellStyle name="Followed Hyperlink" xfId="11394" builtinId="9" hidden="1"/>
    <cellStyle name="Followed Hyperlink" xfId="11390" builtinId="9" hidden="1"/>
    <cellStyle name="Followed Hyperlink" xfId="11386" builtinId="9" hidden="1"/>
    <cellStyle name="Followed Hyperlink" xfId="11382" builtinId="9" hidden="1"/>
    <cellStyle name="Followed Hyperlink" xfId="11378" builtinId="9" hidden="1"/>
    <cellStyle name="Followed Hyperlink" xfId="11374" builtinId="9" hidden="1"/>
    <cellStyle name="Followed Hyperlink" xfId="11370" builtinId="9" hidden="1"/>
    <cellStyle name="Followed Hyperlink" xfId="11366" builtinId="9" hidden="1"/>
    <cellStyle name="Followed Hyperlink" xfId="11362" builtinId="9" hidden="1"/>
    <cellStyle name="Followed Hyperlink" xfId="11358" builtinId="9" hidden="1"/>
    <cellStyle name="Followed Hyperlink" xfId="11354" builtinId="9" hidden="1"/>
    <cellStyle name="Followed Hyperlink" xfId="11350" builtinId="9" hidden="1"/>
    <cellStyle name="Followed Hyperlink" xfId="11346" builtinId="9" hidden="1"/>
    <cellStyle name="Followed Hyperlink" xfId="11342" builtinId="9" hidden="1"/>
    <cellStyle name="Followed Hyperlink" xfId="12244" builtinId="9" hidden="1"/>
    <cellStyle name="Followed Hyperlink" xfId="12788" builtinId="9" hidden="1"/>
    <cellStyle name="Followed Hyperlink" xfId="12242" builtinId="9" hidden="1"/>
    <cellStyle name="Followed Hyperlink" xfId="12787" builtinId="9" hidden="1"/>
    <cellStyle name="Followed Hyperlink" xfId="12241" builtinId="9" hidden="1"/>
    <cellStyle name="Followed Hyperlink" xfId="12786" builtinId="9" hidden="1"/>
    <cellStyle name="Followed Hyperlink" xfId="12703" builtinId="9" hidden="1"/>
    <cellStyle name="Followed Hyperlink" xfId="12122" builtinId="9" hidden="1"/>
    <cellStyle name="Followed Hyperlink" xfId="12818" builtinId="9" hidden="1"/>
    <cellStyle name="Followed Hyperlink" xfId="12744" builtinId="9" hidden="1"/>
    <cellStyle name="Followed Hyperlink" xfId="12121" builtinId="9" hidden="1"/>
    <cellStyle name="Followed Hyperlink" xfId="20573" builtinId="9" hidden="1"/>
    <cellStyle name="Followed Hyperlink" xfId="12681" builtinId="9" hidden="1"/>
    <cellStyle name="Followed Hyperlink" xfId="12820" builtinId="9" hidden="1"/>
    <cellStyle name="Followed Hyperlink" xfId="12116" builtinId="9" hidden="1"/>
    <cellStyle name="Followed Hyperlink" xfId="12678" builtinId="9" hidden="1"/>
    <cellStyle name="Followed Hyperlink" xfId="12676" builtinId="9" hidden="1"/>
    <cellStyle name="Followed Hyperlink" xfId="12674" builtinId="9" hidden="1"/>
    <cellStyle name="Followed Hyperlink" xfId="12672" builtinId="9" hidden="1"/>
    <cellStyle name="Followed Hyperlink" xfId="12238" builtinId="9" hidden="1"/>
    <cellStyle name="Followed Hyperlink" xfId="12783" builtinId="9" hidden="1"/>
    <cellStyle name="Followed Hyperlink" xfId="12236" builtinId="9" hidden="1"/>
    <cellStyle name="Followed Hyperlink" xfId="12235" builtinId="9" hidden="1"/>
    <cellStyle name="Followed Hyperlink" xfId="12233" builtinId="9" hidden="1"/>
    <cellStyle name="Followed Hyperlink" xfId="12670" builtinId="9" hidden="1"/>
    <cellStyle name="Followed Hyperlink" xfId="12119" builtinId="9" hidden="1"/>
    <cellStyle name="Followed Hyperlink" xfId="12669" builtinId="9" hidden="1"/>
    <cellStyle name="Followed Hyperlink" xfId="12280" builtinId="9" hidden="1"/>
    <cellStyle name="Followed Hyperlink" xfId="12287" builtinId="9" hidden="1"/>
    <cellStyle name="Followed Hyperlink" xfId="12230" builtinId="9" hidden="1"/>
    <cellStyle name="Followed Hyperlink" xfId="12231" builtinId="9" hidden="1"/>
    <cellStyle name="Followed Hyperlink" xfId="12942" builtinId="9" hidden="1"/>
    <cellStyle name="Followed Hyperlink" xfId="12593" builtinId="9" hidden="1"/>
    <cellStyle name="Followed Hyperlink" xfId="12228" builtinId="9" hidden="1"/>
    <cellStyle name="Followed Hyperlink" xfId="12229" builtinId="9" hidden="1"/>
    <cellStyle name="Followed Hyperlink" xfId="12753" builtinId="9" hidden="1"/>
    <cellStyle name="Followed Hyperlink" xfId="12851" builtinId="9" hidden="1"/>
    <cellStyle name="Followed Hyperlink" xfId="12665" builtinId="9" hidden="1"/>
    <cellStyle name="Followed Hyperlink" xfId="12663" builtinId="9" hidden="1"/>
    <cellStyle name="Followed Hyperlink" xfId="12661" builtinId="9" hidden="1"/>
    <cellStyle name="Followed Hyperlink" xfId="12659" builtinId="9" hidden="1"/>
    <cellStyle name="Followed Hyperlink" xfId="12780" builtinId="9" hidden="1"/>
    <cellStyle name="Followed Hyperlink" xfId="12779" builtinId="9" hidden="1"/>
    <cellStyle name="Followed Hyperlink" xfId="12226" builtinId="9" hidden="1"/>
    <cellStyle name="Followed Hyperlink" xfId="12729" builtinId="9" hidden="1"/>
    <cellStyle name="Followed Hyperlink" xfId="12225" builtinId="9" hidden="1"/>
    <cellStyle name="Followed Hyperlink" xfId="12742" builtinId="9" hidden="1"/>
    <cellStyle name="Followed Hyperlink" xfId="12719" builtinId="9" hidden="1"/>
    <cellStyle name="Followed Hyperlink" xfId="12656" builtinId="9" hidden="1"/>
    <cellStyle name="Followed Hyperlink" xfId="12125" builtinId="9" hidden="1"/>
    <cellStyle name="Followed Hyperlink" xfId="12777" builtinId="9" hidden="1"/>
    <cellStyle name="Followed Hyperlink" xfId="12120" builtinId="9" hidden="1"/>
    <cellStyle name="Followed Hyperlink" xfId="12144" builtinId="9" hidden="1"/>
    <cellStyle name="Followed Hyperlink" xfId="12278" builtinId="9" hidden="1"/>
    <cellStyle name="Followed Hyperlink" xfId="12774" builtinId="9" hidden="1"/>
    <cellStyle name="Followed Hyperlink" xfId="12773" builtinId="9" hidden="1"/>
    <cellStyle name="Followed Hyperlink" xfId="12772" builtinId="9" hidden="1"/>
    <cellStyle name="Followed Hyperlink" xfId="12771" builtinId="9" hidden="1"/>
    <cellStyle name="Followed Hyperlink" xfId="12770" builtinId="9" hidden="1"/>
    <cellStyle name="Followed Hyperlink" xfId="12769" builtinId="9" hidden="1"/>
    <cellStyle name="Followed Hyperlink" xfId="12768" builtinId="9" hidden="1"/>
    <cellStyle name="Followed Hyperlink" xfId="12767" builtinId="9" hidden="1"/>
    <cellStyle name="Followed Hyperlink" xfId="12766" builtinId="9" hidden="1"/>
    <cellStyle name="Followed Hyperlink" xfId="12222" builtinId="9" hidden="1"/>
    <cellStyle name="Followed Hyperlink" xfId="12592" builtinId="9" hidden="1"/>
    <cellStyle name="Followed Hyperlink" xfId="12591" builtinId="9" hidden="1"/>
    <cellStyle name="Followed Hyperlink" xfId="12148" builtinId="9" hidden="1"/>
    <cellStyle name="Followed Hyperlink" xfId="12590" builtinId="9" hidden="1"/>
    <cellStyle name="Followed Hyperlink" xfId="12589" builtinId="9" hidden="1"/>
    <cellStyle name="Followed Hyperlink" xfId="12146" builtinId="9" hidden="1"/>
    <cellStyle name="Followed Hyperlink" xfId="12588" builtinId="9" hidden="1"/>
    <cellStyle name="Followed Hyperlink" xfId="12763" builtinId="9" hidden="1"/>
    <cellStyle name="Followed Hyperlink" xfId="12174" builtinId="9" hidden="1"/>
    <cellStyle name="Followed Hyperlink" xfId="12164" builtinId="9" hidden="1"/>
    <cellStyle name="Followed Hyperlink" xfId="12765" builtinId="9" hidden="1"/>
    <cellStyle name="Followed Hyperlink" xfId="12135" builtinId="9" hidden="1"/>
    <cellStyle name="Followed Hyperlink" xfId="12143" builtinId="9" hidden="1"/>
    <cellStyle name="Followed Hyperlink" xfId="12149" builtinId="9" hidden="1"/>
    <cellStyle name="Followed Hyperlink" xfId="12132" builtinId="9" hidden="1"/>
    <cellStyle name="Followed Hyperlink" xfId="12140" builtinId="9" hidden="1"/>
    <cellStyle name="Followed Hyperlink" xfId="12776" builtinId="9" hidden="1"/>
    <cellStyle name="Followed Hyperlink" xfId="12741" builtinId="9" hidden="1"/>
    <cellStyle name="Followed Hyperlink" xfId="12223" builtinId="9" hidden="1"/>
    <cellStyle name="Followed Hyperlink" xfId="12743" builtinId="9" hidden="1"/>
    <cellStyle name="Followed Hyperlink" xfId="12126" builtinId="9" hidden="1"/>
    <cellStyle name="Followed Hyperlink" xfId="12127" builtinId="9" hidden="1"/>
    <cellStyle name="Followed Hyperlink" xfId="12660" builtinId="9" hidden="1"/>
    <cellStyle name="Followed Hyperlink" xfId="12664" builtinId="9" hidden="1"/>
    <cellStyle name="Followed Hyperlink" xfId="12781" builtinId="9" hidden="1"/>
    <cellStyle name="Followed Hyperlink" xfId="12698" builtinId="9" hidden="1"/>
    <cellStyle name="Followed Hyperlink" xfId="12794" builtinId="9" hidden="1"/>
    <cellStyle name="Followed Hyperlink" xfId="12699" builtinId="9" hidden="1"/>
    <cellStyle name="Followed Hyperlink" xfId="12691" builtinId="9" hidden="1"/>
    <cellStyle name="Followed Hyperlink" xfId="12232" builtinId="9" hidden="1"/>
    <cellStyle name="Followed Hyperlink" xfId="12671" builtinId="9" hidden="1"/>
    <cellStyle name="Followed Hyperlink" xfId="12234" builtinId="9" hidden="1"/>
    <cellStyle name="Followed Hyperlink" xfId="12237" builtinId="9" hidden="1"/>
    <cellStyle name="Followed Hyperlink" xfId="12673" builtinId="9" hidden="1"/>
    <cellStyle name="Followed Hyperlink" xfId="12677" builtinId="9" hidden="1"/>
    <cellStyle name="Followed Hyperlink" xfId="12680" builtinId="9" hidden="1"/>
    <cellStyle name="Followed Hyperlink" xfId="12682" builtinId="9" hidden="1"/>
    <cellStyle name="Followed Hyperlink" xfId="12683" builtinId="9" hidden="1"/>
    <cellStyle name="Followed Hyperlink" xfId="12785" builtinId="9" hidden="1"/>
    <cellStyle name="Followed Hyperlink" xfId="12685" builtinId="9" hidden="1"/>
    <cellStyle name="Followed Hyperlink" xfId="12686" builtinId="9" hidden="1"/>
    <cellStyle name="Followed Hyperlink" xfId="12704" builtinId="9" hidden="1"/>
    <cellStyle name="Followed Hyperlink" xfId="11340" builtinId="9" hidden="1"/>
    <cellStyle name="Followed Hyperlink" xfId="11348" builtinId="9" hidden="1"/>
    <cellStyle name="Followed Hyperlink" xfId="11356" builtinId="9" hidden="1"/>
    <cellStyle name="Followed Hyperlink" xfId="11364" builtinId="9" hidden="1"/>
    <cellStyle name="Followed Hyperlink" xfId="11372" builtinId="9" hidden="1"/>
    <cellStyle name="Followed Hyperlink" xfId="11380" builtinId="9" hidden="1"/>
    <cellStyle name="Followed Hyperlink" xfId="11388" builtinId="9" hidden="1"/>
    <cellStyle name="Followed Hyperlink" xfId="11396" builtinId="9" hidden="1"/>
    <cellStyle name="Followed Hyperlink" xfId="11404" builtinId="9" hidden="1"/>
    <cellStyle name="Followed Hyperlink" xfId="11412" builtinId="9" hidden="1"/>
    <cellStyle name="Followed Hyperlink" xfId="11420" builtinId="9" hidden="1"/>
    <cellStyle name="Followed Hyperlink" xfId="11428" builtinId="9" hidden="1"/>
    <cellStyle name="Followed Hyperlink" xfId="11436" builtinId="9" hidden="1"/>
    <cellStyle name="Followed Hyperlink" xfId="11444" builtinId="9" hidden="1"/>
    <cellStyle name="Followed Hyperlink" xfId="11452" builtinId="9" hidden="1"/>
    <cellStyle name="Followed Hyperlink" xfId="11460" builtinId="9" hidden="1"/>
    <cellStyle name="Followed Hyperlink" xfId="11468" builtinId="9" hidden="1"/>
    <cellStyle name="Followed Hyperlink" xfId="11476" builtinId="9" hidden="1"/>
    <cellStyle name="Followed Hyperlink" xfId="11484" builtinId="9" hidden="1"/>
    <cellStyle name="Followed Hyperlink" xfId="11492" builtinId="9" hidden="1"/>
    <cellStyle name="Followed Hyperlink" xfId="12172" builtinId="9" hidden="1"/>
    <cellStyle name="Followed Hyperlink" xfId="13138" builtinId="9" hidden="1"/>
    <cellStyle name="Followed Hyperlink" xfId="12587" builtinId="9" hidden="1"/>
    <cellStyle name="Followed Hyperlink" xfId="12586" builtinId="9" hidden="1"/>
    <cellStyle name="Followed Hyperlink" xfId="12585" builtinId="9" hidden="1"/>
    <cellStyle name="Followed Hyperlink" xfId="12138" builtinId="9" hidden="1"/>
    <cellStyle name="Followed Hyperlink" xfId="12584" builtinId="9" hidden="1"/>
    <cellStyle name="Followed Hyperlink" xfId="12583" builtinId="9" hidden="1"/>
    <cellStyle name="Followed Hyperlink" xfId="12134" builtinId="9" hidden="1"/>
    <cellStyle name="Followed Hyperlink" xfId="12582" builtinId="9" hidden="1"/>
    <cellStyle name="Followed Hyperlink" xfId="12581" builtinId="9" hidden="1"/>
    <cellStyle name="Followed Hyperlink" xfId="12130" builtinId="9" hidden="1"/>
    <cellStyle name="Followed Hyperlink" xfId="12580" builtinId="9" hidden="1"/>
    <cellStyle name="Followed Hyperlink" xfId="12579" builtinId="9" hidden="1"/>
    <cellStyle name="Followed Hyperlink" xfId="12578" builtinId="9" hidden="1"/>
    <cellStyle name="Followed Hyperlink" xfId="12946" builtinId="9" hidden="1"/>
    <cellStyle name="Followed Hyperlink" xfId="12118" builtinId="9" hidden="1"/>
    <cellStyle name="Followed Hyperlink" xfId="12117" builtinId="9" hidden="1"/>
    <cellStyle name="Followed Hyperlink" xfId="11561" builtinId="9" hidden="1"/>
    <cellStyle name="Followed Hyperlink" xfId="12758" builtinId="9" hidden="1"/>
    <cellStyle name="Followed Hyperlink" xfId="12173" builtinId="9" hidden="1"/>
    <cellStyle name="Followed Hyperlink" xfId="12161" builtinId="9" hidden="1"/>
    <cellStyle name="Followed Hyperlink" xfId="12757" builtinId="9" hidden="1"/>
    <cellStyle name="Followed Hyperlink" xfId="12171" builtinId="9" hidden="1"/>
    <cellStyle name="Followed Hyperlink" xfId="12159" builtinId="9" hidden="1"/>
    <cellStyle name="Followed Hyperlink" xfId="12756" builtinId="9" hidden="1"/>
    <cellStyle name="Followed Hyperlink" xfId="12169" builtinId="9" hidden="1"/>
    <cellStyle name="Followed Hyperlink" xfId="12157" builtinId="9" hidden="1"/>
    <cellStyle name="Followed Hyperlink" xfId="12755" builtinId="9" hidden="1"/>
    <cellStyle name="Followed Hyperlink" xfId="12167" builtinId="9" hidden="1"/>
    <cellStyle name="Followed Hyperlink" xfId="12155" builtinId="9" hidden="1"/>
    <cellStyle name="Followed Hyperlink" xfId="12754" builtinId="9" hidden="1"/>
    <cellStyle name="Followed Hyperlink" xfId="12165" builtinId="9" hidden="1"/>
    <cellStyle name="Followed Hyperlink" xfId="12153" builtinId="9" hidden="1"/>
    <cellStyle name="Followed Hyperlink" xfId="12151" builtinId="9" hidden="1"/>
    <cellStyle name="Followed Hyperlink" xfId="11781" builtinId="9" hidden="1"/>
    <cellStyle name="Followed Hyperlink" xfId="22548" builtinId="9" hidden="1"/>
    <cellStyle name="Followed Hyperlink" xfId="22550" builtinId="9" hidden="1"/>
    <cellStyle name="Followed Hyperlink" xfId="22552" builtinId="9" hidden="1"/>
    <cellStyle name="Followed Hyperlink" xfId="22554" builtinId="9" hidden="1"/>
    <cellStyle name="Followed Hyperlink" xfId="22556" builtinId="9" hidden="1"/>
    <cellStyle name="Followed Hyperlink" xfId="22558" builtinId="9" hidden="1"/>
    <cellStyle name="Followed Hyperlink" xfId="22560" builtinId="9" hidden="1"/>
    <cellStyle name="Followed Hyperlink" xfId="22562" builtinId="9" hidden="1"/>
    <cellStyle name="Followed Hyperlink" xfId="22564" builtinId="9" hidden="1"/>
    <cellStyle name="Followed Hyperlink" xfId="22566" builtinId="9" hidden="1"/>
    <cellStyle name="Followed Hyperlink" xfId="22568" builtinId="9" hidden="1"/>
    <cellStyle name="Followed Hyperlink" xfId="22570" builtinId="9" hidden="1"/>
    <cellStyle name="Followed Hyperlink" xfId="22572" builtinId="9" hidden="1"/>
    <cellStyle name="Followed Hyperlink" xfId="22574" builtinId="9" hidden="1"/>
    <cellStyle name="Followed Hyperlink" xfId="22576" builtinId="9" hidden="1"/>
    <cellStyle name="Followed Hyperlink" xfId="22578" builtinId="9" hidden="1"/>
    <cellStyle name="Followed Hyperlink" xfId="22580" builtinId="9" hidden="1"/>
    <cellStyle name="Followed Hyperlink" xfId="22582" builtinId="9" hidden="1"/>
    <cellStyle name="Followed Hyperlink" xfId="22584" builtinId="9" hidden="1"/>
    <cellStyle name="Followed Hyperlink" xfId="22586" builtinId="9" hidden="1"/>
    <cellStyle name="Followed Hyperlink" xfId="22587" builtinId="9" hidden="1"/>
    <cellStyle name="Followed Hyperlink" xfId="22588" builtinId="9" hidden="1"/>
    <cellStyle name="Followed Hyperlink" xfId="22589" builtinId="9" hidden="1"/>
    <cellStyle name="Followed Hyperlink" xfId="22590" builtinId="9" hidden="1"/>
    <cellStyle name="Followed Hyperlink" xfId="22591" builtinId="9" hidden="1"/>
    <cellStyle name="Followed Hyperlink" xfId="22592" builtinId="9" hidden="1"/>
    <cellStyle name="Followed Hyperlink" xfId="22593" builtinId="9" hidden="1"/>
    <cellStyle name="Followed Hyperlink" xfId="22594" builtinId="9" hidden="1"/>
    <cellStyle name="Followed Hyperlink" xfId="22595" builtinId="9" hidden="1"/>
    <cellStyle name="Followed Hyperlink" xfId="22596" builtinId="9" hidden="1"/>
    <cellStyle name="Followed Hyperlink" xfId="22597" builtinId="9" hidden="1"/>
    <cellStyle name="Followed Hyperlink" xfId="22598" builtinId="9" hidden="1"/>
    <cellStyle name="Followed Hyperlink" xfId="22599" builtinId="9" hidden="1"/>
    <cellStyle name="Followed Hyperlink" xfId="22600" builtinId="9" hidden="1"/>
    <cellStyle name="Followed Hyperlink" xfId="22601" builtinId="9" hidden="1"/>
    <cellStyle name="Followed Hyperlink" xfId="22602" builtinId="9" hidden="1"/>
    <cellStyle name="Followed Hyperlink" xfId="22603" builtinId="9" hidden="1"/>
    <cellStyle name="Followed Hyperlink" xfId="22604" builtinId="9" hidden="1"/>
    <cellStyle name="Followed Hyperlink" xfId="22605" builtinId="9" hidden="1"/>
    <cellStyle name="Followed Hyperlink" xfId="22606" builtinId="9" hidden="1"/>
    <cellStyle name="Followed Hyperlink" xfId="22607" builtinId="9" hidden="1"/>
    <cellStyle name="Followed Hyperlink" xfId="22608" builtinId="9" hidden="1"/>
    <cellStyle name="Followed Hyperlink" xfId="22609" builtinId="9" hidden="1"/>
    <cellStyle name="Followed Hyperlink" xfId="22610" builtinId="9" hidden="1"/>
    <cellStyle name="Followed Hyperlink" xfId="22611" builtinId="9" hidden="1"/>
    <cellStyle name="Followed Hyperlink" xfId="22612" builtinId="9" hidden="1"/>
    <cellStyle name="Followed Hyperlink" xfId="22613" builtinId="9" hidden="1"/>
    <cellStyle name="Followed Hyperlink" xfId="22614" builtinId="9" hidden="1"/>
    <cellStyle name="Followed Hyperlink" xfId="22615" builtinId="9" hidden="1"/>
    <cellStyle name="Followed Hyperlink" xfId="22616" builtinId="9" hidden="1"/>
    <cellStyle name="Followed Hyperlink" xfId="22617" builtinId="9" hidden="1"/>
    <cellStyle name="Followed Hyperlink" xfId="22618" builtinId="9" hidden="1"/>
    <cellStyle name="Followed Hyperlink" xfId="22619" builtinId="9" hidden="1"/>
    <cellStyle name="Followed Hyperlink" xfId="22620" builtinId="9" hidden="1"/>
    <cellStyle name="Followed Hyperlink" xfId="22621" builtinId="9" hidden="1"/>
    <cellStyle name="Followed Hyperlink" xfId="22622" builtinId="9" hidden="1"/>
    <cellStyle name="Followed Hyperlink" xfId="22623" builtinId="9" hidden="1"/>
    <cellStyle name="Followed Hyperlink" xfId="22624" builtinId="9" hidden="1"/>
    <cellStyle name="Followed Hyperlink" xfId="22625" builtinId="9" hidden="1"/>
    <cellStyle name="Followed Hyperlink" xfId="22626" builtinId="9" hidden="1"/>
    <cellStyle name="Followed Hyperlink" xfId="22627" builtinId="9" hidden="1"/>
    <cellStyle name="Followed Hyperlink" xfId="22628" builtinId="9" hidden="1"/>
    <cellStyle name="Followed Hyperlink" xfId="22629" builtinId="9" hidden="1"/>
    <cellStyle name="Followed Hyperlink" xfId="22630" builtinId="9" hidden="1"/>
    <cellStyle name="Followed Hyperlink" xfId="22631" builtinId="9" hidden="1"/>
    <cellStyle name="Followed Hyperlink" xfId="22632" builtinId="9" hidden="1"/>
    <cellStyle name="Followed Hyperlink" xfId="22633" builtinId="9" hidden="1"/>
    <cellStyle name="Followed Hyperlink" xfId="22634" builtinId="9" hidden="1"/>
    <cellStyle name="Followed Hyperlink" xfId="22635" builtinId="9" hidden="1"/>
    <cellStyle name="Followed Hyperlink" xfId="22636" builtinId="9" hidden="1"/>
    <cellStyle name="Followed Hyperlink" xfId="22637" builtinId="9" hidden="1"/>
    <cellStyle name="Followed Hyperlink" xfId="22638" builtinId="9" hidden="1"/>
    <cellStyle name="Followed Hyperlink" xfId="22639" builtinId="9" hidden="1"/>
    <cellStyle name="Followed Hyperlink" xfId="22640" builtinId="9" hidden="1"/>
    <cellStyle name="Followed Hyperlink" xfId="22641" builtinId="9" hidden="1"/>
    <cellStyle name="Followed Hyperlink" xfId="22642" builtinId="9" hidden="1"/>
    <cellStyle name="Followed Hyperlink" xfId="22643" builtinId="9" hidden="1"/>
    <cellStyle name="Followed Hyperlink" xfId="22644" builtinId="9" hidden="1"/>
    <cellStyle name="Followed Hyperlink" xfId="22645" builtinId="9" hidden="1"/>
    <cellStyle name="Followed Hyperlink" xfId="22646" builtinId="9" hidden="1"/>
    <cellStyle name="Followed Hyperlink" xfId="22647" builtinId="9" hidden="1"/>
    <cellStyle name="Followed Hyperlink" xfId="22648" builtinId="9" hidden="1"/>
    <cellStyle name="Followed Hyperlink" xfId="22649" builtinId="9" hidden="1"/>
    <cellStyle name="Followed Hyperlink" xfId="22650" builtinId="9" hidden="1"/>
    <cellStyle name="Followed Hyperlink" xfId="22651" builtinId="9" hidden="1"/>
    <cellStyle name="Followed Hyperlink" xfId="22652" builtinId="9" hidden="1"/>
    <cellStyle name="Followed Hyperlink" xfId="22653" builtinId="9" hidden="1"/>
    <cellStyle name="Followed Hyperlink" xfId="22654" builtinId="9" hidden="1"/>
    <cellStyle name="Followed Hyperlink" xfId="22655" builtinId="9" hidden="1"/>
    <cellStyle name="Followed Hyperlink" xfId="22656" builtinId="9" hidden="1"/>
    <cellStyle name="Followed Hyperlink" xfId="22657" builtinId="9" hidden="1"/>
    <cellStyle name="Followed Hyperlink" xfId="22658" builtinId="9" hidden="1"/>
    <cellStyle name="Followed Hyperlink" xfId="22659" builtinId="9" hidden="1"/>
    <cellStyle name="Followed Hyperlink" xfId="22660" builtinId="9" hidden="1"/>
    <cellStyle name="Followed Hyperlink" xfId="22661" builtinId="9" hidden="1"/>
    <cellStyle name="Followed Hyperlink" xfId="22662" builtinId="9" hidden="1"/>
    <cellStyle name="Followed Hyperlink" xfId="22663" builtinId="9" hidden="1"/>
    <cellStyle name="Followed Hyperlink" xfId="22664" builtinId="9" hidden="1"/>
    <cellStyle name="Followed Hyperlink" xfId="22665" builtinId="9" hidden="1"/>
    <cellStyle name="Followed Hyperlink" xfId="22666" builtinId="9" hidden="1"/>
    <cellStyle name="Followed Hyperlink" xfId="22667" builtinId="9" hidden="1"/>
    <cellStyle name="Followed Hyperlink" xfId="22668" builtinId="9" hidden="1"/>
    <cellStyle name="Followed Hyperlink" xfId="22669" builtinId="9" hidden="1"/>
    <cellStyle name="Followed Hyperlink" xfId="22670" builtinId="9" hidden="1"/>
    <cellStyle name="Followed Hyperlink" xfId="22671" builtinId="9" hidden="1"/>
    <cellStyle name="Followed Hyperlink" xfId="22672" builtinId="9" hidden="1"/>
    <cellStyle name="Followed Hyperlink" xfId="22673" builtinId="9" hidden="1"/>
    <cellStyle name="Followed Hyperlink" xfId="22674" builtinId="9" hidden="1"/>
    <cellStyle name="Followed Hyperlink" xfId="22675" builtinId="9" hidden="1"/>
    <cellStyle name="Followed Hyperlink" xfId="22676" builtinId="9" hidden="1"/>
    <cellStyle name="Followed Hyperlink" xfId="22677" builtinId="9" hidden="1"/>
    <cellStyle name="Followed Hyperlink" xfId="22678" builtinId="9" hidden="1"/>
    <cellStyle name="Followed Hyperlink" xfId="22679" builtinId="9" hidden="1"/>
    <cellStyle name="Followed Hyperlink" xfId="22680" builtinId="9" hidden="1"/>
    <cellStyle name="Followed Hyperlink" xfId="22681" builtinId="9" hidden="1"/>
    <cellStyle name="Followed Hyperlink" xfId="22682" builtinId="9" hidden="1"/>
    <cellStyle name="Followed Hyperlink" xfId="22683" builtinId="9" hidden="1"/>
    <cellStyle name="Followed Hyperlink" xfId="22684" builtinId="9" hidden="1"/>
    <cellStyle name="Followed Hyperlink" xfId="22685" builtinId="9" hidden="1"/>
    <cellStyle name="Followed Hyperlink" xfId="22686" builtinId="9" hidden="1"/>
    <cellStyle name="Followed Hyperlink" xfId="22687" builtinId="9" hidden="1"/>
    <cellStyle name="Followed Hyperlink" xfId="22688" builtinId="9" hidden="1"/>
    <cellStyle name="Followed Hyperlink" xfId="22689" builtinId="9" hidden="1"/>
    <cellStyle name="Followed Hyperlink" xfId="22690" builtinId="9" hidden="1"/>
    <cellStyle name="Followed Hyperlink" xfId="22691" builtinId="9" hidden="1"/>
    <cellStyle name="Followed Hyperlink" xfId="22692" builtinId="9" hidden="1"/>
    <cellStyle name="Followed Hyperlink" xfId="22693" builtinId="9" hidden="1"/>
    <cellStyle name="Followed Hyperlink" xfId="22694" builtinId="9" hidden="1"/>
    <cellStyle name="Followed Hyperlink" xfId="22695" builtinId="9" hidden="1"/>
    <cellStyle name="Followed Hyperlink" xfId="22696" builtinId="9" hidden="1"/>
    <cellStyle name="Followed Hyperlink" xfId="22697" builtinId="9" hidden="1"/>
    <cellStyle name="Followed Hyperlink" xfId="22698" builtinId="9" hidden="1"/>
    <cellStyle name="Followed Hyperlink" xfId="22699" builtinId="9" hidden="1"/>
    <cellStyle name="Followed Hyperlink" xfId="22700" builtinId="9" hidden="1"/>
    <cellStyle name="Followed Hyperlink" xfId="22701" builtinId="9" hidden="1"/>
    <cellStyle name="Followed Hyperlink" xfId="22702" builtinId="9" hidden="1"/>
    <cellStyle name="Followed Hyperlink" xfId="22703" builtinId="9" hidden="1"/>
    <cellStyle name="Followed Hyperlink" xfId="22704" builtinId="9" hidden="1"/>
    <cellStyle name="Followed Hyperlink" xfId="22705" builtinId="9" hidden="1"/>
    <cellStyle name="Followed Hyperlink" xfId="22706" builtinId="9" hidden="1"/>
    <cellStyle name="Followed Hyperlink" xfId="22707" builtinId="9" hidden="1"/>
    <cellStyle name="Followed Hyperlink" xfId="22708" builtinId="9" hidden="1"/>
    <cellStyle name="Followed Hyperlink" xfId="22709" builtinId="9" hidden="1"/>
    <cellStyle name="Followed Hyperlink" xfId="22710" builtinId="9" hidden="1"/>
    <cellStyle name="Followed Hyperlink" xfId="22711" builtinId="9" hidden="1"/>
    <cellStyle name="Followed Hyperlink" xfId="22712" builtinId="9" hidden="1"/>
    <cellStyle name="Followed Hyperlink" xfId="22713" builtinId="9" hidden="1"/>
    <cellStyle name="Followed Hyperlink" xfId="22714" builtinId="9" hidden="1"/>
    <cellStyle name="Followed Hyperlink" xfId="22715" builtinId="9" hidden="1"/>
    <cellStyle name="Followed Hyperlink" xfId="22716" builtinId="9" hidden="1"/>
    <cellStyle name="Followed Hyperlink" xfId="22717" builtinId="9" hidden="1"/>
    <cellStyle name="Followed Hyperlink" xfId="22718" builtinId="9" hidden="1"/>
    <cellStyle name="Followed Hyperlink" xfId="22719" builtinId="9" hidden="1"/>
    <cellStyle name="Followed Hyperlink" xfId="22720" builtinId="9" hidden="1"/>
    <cellStyle name="Followed Hyperlink" xfId="22721" builtinId="9" hidden="1"/>
    <cellStyle name="Followed Hyperlink" xfId="22722" builtinId="9" hidden="1"/>
    <cellStyle name="Followed Hyperlink" xfId="22723" builtinId="9" hidden="1"/>
    <cellStyle name="Followed Hyperlink" xfId="22724" builtinId="9" hidden="1"/>
    <cellStyle name="Followed Hyperlink" xfId="22725" builtinId="9" hidden="1"/>
    <cellStyle name="Followed Hyperlink" xfId="22726" builtinId="9" hidden="1"/>
    <cellStyle name="Followed Hyperlink" xfId="22727" builtinId="9" hidden="1"/>
    <cellStyle name="Followed Hyperlink" xfId="22728" builtinId="9" hidden="1"/>
    <cellStyle name="Followed Hyperlink" xfId="22729" builtinId="9" hidden="1"/>
    <cellStyle name="Followed Hyperlink" xfId="22730" builtinId="9" hidden="1"/>
    <cellStyle name="Followed Hyperlink" xfId="22731" builtinId="9" hidden="1"/>
    <cellStyle name="Followed Hyperlink" xfId="22732" builtinId="9" hidden="1"/>
    <cellStyle name="Followed Hyperlink" xfId="22733" builtinId="9" hidden="1"/>
    <cellStyle name="Followed Hyperlink" xfId="22734" builtinId="9" hidden="1"/>
    <cellStyle name="Followed Hyperlink" xfId="22735" builtinId="9" hidden="1"/>
    <cellStyle name="Followed Hyperlink" xfId="22736" builtinId="9" hidden="1"/>
    <cellStyle name="Followed Hyperlink" xfId="22737" builtinId="9" hidden="1"/>
    <cellStyle name="Followed Hyperlink" xfId="22738" builtinId="9" hidden="1"/>
    <cellStyle name="Followed Hyperlink" xfId="22739" builtinId="9" hidden="1"/>
    <cellStyle name="Followed Hyperlink" xfId="22740" builtinId="9" hidden="1"/>
    <cellStyle name="Followed Hyperlink" xfId="22741" builtinId="9" hidden="1"/>
    <cellStyle name="Followed Hyperlink" xfId="22742" builtinId="9" hidden="1"/>
    <cellStyle name="Followed Hyperlink" xfId="22743" builtinId="9" hidden="1"/>
    <cellStyle name="Followed Hyperlink" xfId="22744" builtinId="9" hidden="1"/>
    <cellStyle name="Followed Hyperlink" xfId="22745" builtinId="9" hidden="1"/>
    <cellStyle name="Followed Hyperlink" xfId="22746" builtinId="9" hidden="1"/>
    <cellStyle name="Followed Hyperlink" xfId="22747" builtinId="9" hidden="1"/>
    <cellStyle name="Followed Hyperlink" xfId="22748" builtinId="9" hidden="1"/>
    <cellStyle name="Followed Hyperlink" xfId="22749" builtinId="9" hidden="1"/>
    <cellStyle name="Followed Hyperlink" xfId="22750" builtinId="9" hidden="1"/>
    <cellStyle name="Followed Hyperlink" xfId="22751" builtinId="9" hidden="1"/>
    <cellStyle name="Followed Hyperlink" xfId="22752" builtinId="9" hidden="1"/>
    <cellStyle name="Followed Hyperlink" xfId="22753" builtinId="9" hidden="1"/>
    <cellStyle name="Followed Hyperlink" xfId="22754" builtinId="9" hidden="1"/>
    <cellStyle name="Followed Hyperlink" xfId="22755" builtinId="9" hidden="1"/>
    <cellStyle name="Followed Hyperlink" xfId="22756" builtinId="9" hidden="1"/>
    <cellStyle name="Followed Hyperlink" xfId="22757" builtinId="9" hidden="1"/>
    <cellStyle name="Followed Hyperlink" xfId="22758" builtinId="9" hidden="1"/>
    <cellStyle name="Followed Hyperlink" xfId="22759" builtinId="9" hidden="1"/>
    <cellStyle name="Followed Hyperlink" xfId="22760" builtinId="9" hidden="1"/>
    <cellStyle name="Followed Hyperlink" xfId="22761" builtinId="9" hidden="1"/>
    <cellStyle name="Followed Hyperlink" xfId="22762" builtinId="9" hidden="1"/>
    <cellStyle name="Followed Hyperlink" xfId="22763" builtinId="9" hidden="1"/>
    <cellStyle name="Followed Hyperlink" xfId="22764" builtinId="9" hidden="1"/>
    <cellStyle name="Followed Hyperlink" xfId="22765" builtinId="9" hidden="1"/>
    <cellStyle name="Followed Hyperlink" xfId="22766" builtinId="9" hidden="1"/>
    <cellStyle name="Followed Hyperlink" xfId="22767" builtinId="9" hidden="1"/>
    <cellStyle name="Followed Hyperlink" xfId="22768" builtinId="9" hidden="1"/>
    <cellStyle name="Followed Hyperlink" xfId="22769" builtinId="9" hidden="1"/>
    <cellStyle name="Followed Hyperlink" xfId="22770" builtinId="9" hidden="1"/>
    <cellStyle name="Followed Hyperlink" xfId="22771" builtinId="9" hidden="1"/>
    <cellStyle name="Followed Hyperlink" xfId="22772" builtinId="9" hidden="1"/>
    <cellStyle name="Followed Hyperlink" xfId="22773" builtinId="9" hidden="1"/>
    <cellStyle name="Followed Hyperlink" xfId="22774" builtinId="9" hidden="1"/>
    <cellStyle name="Followed Hyperlink" xfId="22775" builtinId="9" hidden="1"/>
    <cellStyle name="Followed Hyperlink" xfId="22776" builtinId="9" hidden="1"/>
    <cellStyle name="Followed Hyperlink" xfId="22777" builtinId="9" hidden="1"/>
    <cellStyle name="Followed Hyperlink" xfId="22778" builtinId="9" hidden="1"/>
    <cellStyle name="Followed Hyperlink" xfId="22779" builtinId="9" hidden="1"/>
    <cellStyle name="Followed Hyperlink" xfId="22780" builtinId="9" hidden="1"/>
    <cellStyle name="Followed Hyperlink" xfId="22781" builtinId="9" hidden="1"/>
    <cellStyle name="Followed Hyperlink" xfId="22782" builtinId="9" hidden="1"/>
    <cellStyle name="Followed Hyperlink" xfId="22783" builtinId="9" hidden="1"/>
    <cellStyle name="Followed Hyperlink" xfId="22784" builtinId="9" hidden="1"/>
    <cellStyle name="Followed Hyperlink" xfId="22785" builtinId="9" hidden="1"/>
    <cellStyle name="Followed Hyperlink" xfId="22786" builtinId="9" hidden="1"/>
    <cellStyle name="Followed Hyperlink" xfId="22787" builtinId="9" hidden="1"/>
    <cellStyle name="Followed Hyperlink" xfId="22788" builtinId="9" hidden="1"/>
    <cellStyle name="Followed Hyperlink" xfId="22789" builtinId="9" hidden="1"/>
    <cellStyle name="Followed Hyperlink" xfId="22790" builtinId="9" hidden="1"/>
    <cellStyle name="Followed Hyperlink" xfId="22791" builtinId="9" hidden="1"/>
    <cellStyle name="Followed Hyperlink" xfId="22792" builtinId="9" hidden="1"/>
    <cellStyle name="Followed Hyperlink" xfId="22793" builtinId="9" hidden="1"/>
    <cellStyle name="Followed Hyperlink" xfId="22794" builtinId="9" hidden="1"/>
    <cellStyle name="Followed Hyperlink" xfId="22795" builtinId="9" hidden="1"/>
    <cellStyle name="Followed Hyperlink" xfId="22796" builtinId="9" hidden="1"/>
    <cellStyle name="Followed Hyperlink" xfId="22797" builtinId="9" hidden="1"/>
    <cellStyle name="Followed Hyperlink" xfId="22798" builtinId="9" hidden="1"/>
    <cellStyle name="Followed Hyperlink" xfId="22799" builtinId="9" hidden="1"/>
    <cellStyle name="Followed Hyperlink" xfId="22800" builtinId="9" hidden="1"/>
    <cellStyle name="Followed Hyperlink" xfId="22801" builtinId="9" hidden="1"/>
    <cellStyle name="Followed Hyperlink" xfId="22802" builtinId="9" hidden="1"/>
    <cellStyle name="Followed Hyperlink" xfId="22803" builtinId="9" hidden="1"/>
    <cellStyle name="Followed Hyperlink" xfId="22804" builtinId="9" hidden="1"/>
    <cellStyle name="Followed Hyperlink" xfId="22805" builtinId="9" hidden="1"/>
    <cellStyle name="Followed Hyperlink" xfId="22806" builtinId="9" hidden="1"/>
    <cellStyle name="Followed Hyperlink" xfId="22807" builtinId="9" hidden="1"/>
    <cellStyle name="Followed Hyperlink" xfId="22808" builtinId="9" hidden="1"/>
    <cellStyle name="Followed Hyperlink" xfId="22809" builtinId="9" hidden="1"/>
    <cellStyle name="Followed Hyperlink" xfId="22810" builtinId="9" hidden="1"/>
    <cellStyle name="Followed Hyperlink" xfId="22811" builtinId="9" hidden="1"/>
    <cellStyle name="Followed Hyperlink" xfId="22812" builtinId="9" hidden="1"/>
    <cellStyle name="Followed Hyperlink" xfId="22813" builtinId="9" hidden="1"/>
    <cellStyle name="Followed Hyperlink" xfId="22814" builtinId="9" hidden="1"/>
    <cellStyle name="Followed Hyperlink" xfId="22815" builtinId="9" hidden="1"/>
    <cellStyle name="Followed Hyperlink" xfId="22816" builtinId="9" hidden="1"/>
    <cellStyle name="Followed Hyperlink" xfId="22817" builtinId="9" hidden="1"/>
    <cellStyle name="Followed Hyperlink" xfId="22818" builtinId="9" hidden="1"/>
    <cellStyle name="Followed Hyperlink" xfId="22819" builtinId="9" hidden="1"/>
    <cellStyle name="Followed Hyperlink" xfId="22820" builtinId="9" hidden="1"/>
    <cellStyle name="Followed Hyperlink" xfId="22821" builtinId="9" hidden="1"/>
    <cellStyle name="Followed Hyperlink" xfId="22822" builtinId="9" hidden="1"/>
    <cellStyle name="Followed Hyperlink" xfId="22823" builtinId="9" hidden="1"/>
    <cellStyle name="Followed Hyperlink" xfId="22824" builtinId="9" hidden="1"/>
    <cellStyle name="Followed Hyperlink" xfId="22825" builtinId="9" hidden="1"/>
    <cellStyle name="Followed Hyperlink" xfId="22826" builtinId="9" hidden="1"/>
    <cellStyle name="Followed Hyperlink" xfId="22827" builtinId="9" hidden="1"/>
    <cellStyle name="Followed Hyperlink" xfId="22828" builtinId="9" hidden="1"/>
    <cellStyle name="Followed Hyperlink" xfId="22829" builtinId="9" hidden="1"/>
    <cellStyle name="Followed Hyperlink" xfId="22830" builtinId="9" hidden="1"/>
    <cellStyle name="Followed Hyperlink" xfId="22831" builtinId="9" hidden="1"/>
    <cellStyle name="Followed Hyperlink" xfId="22832" builtinId="9" hidden="1"/>
    <cellStyle name="Followed Hyperlink" xfId="22833" builtinId="9" hidden="1"/>
    <cellStyle name="Followed Hyperlink" xfId="22834" builtinId="9" hidden="1"/>
    <cellStyle name="Followed Hyperlink" xfId="22835" builtinId="9" hidden="1"/>
    <cellStyle name="Followed Hyperlink" xfId="22836" builtinId="9" hidden="1"/>
    <cellStyle name="Followed Hyperlink" xfId="22837" builtinId="9" hidden="1"/>
    <cellStyle name="Followed Hyperlink" xfId="22838" builtinId="9" hidden="1"/>
    <cellStyle name="Followed Hyperlink" xfId="22839" builtinId="9" hidden="1"/>
    <cellStyle name="Followed Hyperlink" xfId="22840" builtinId="9" hidden="1"/>
    <cellStyle name="Followed Hyperlink" xfId="22841" builtinId="9" hidden="1"/>
    <cellStyle name="Followed Hyperlink" xfId="22842" builtinId="9" hidden="1"/>
    <cellStyle name="Followed Hyperlink" xfId="22843" builtinId="9" hidden="1"/>
    <cellStyle name="Followed Hyperlink" xfId="22844" builtinId="9" hidden="1"/>
    <cellStyle name="Followed Hyperlink" xfId="22845" builtinId="9" hidden="1"/>
    <cellStyle name="Followed Hyperlink" xfId="22846" builtinId="9" hidden="1"/>
    <cellStyle name="Followed Hyperlink" xfId="22847" builtinId="9" hidden="1"/>
    <cellStyle name="Followed Hyperlink" xfId="22848" builtinId="9" hidden="1"/>
    <cellStyle name="Followed Hyperlink" xfId="22849" builtinId="9" hidden="1"/>
    <cellStyle name="Followed Hyperlink" xfId="22850" builtinId="9" hidden="1"/>
    <cellStyle name="Followed Hyperlink" xfId="22851" builtinId="9" hidden="1"/>
    <cellStyle name="Followed Hyperlink" xfId="22852" builtinId="9" hidden="1"/>
    <cellStyle name="Followed Hyperlink" xfId="22853" builtinId="9" hidden="1"/>
    <cellStyle name="Followed Hyperlink" xfId="22854" builtinId="9" hidden="1"/>
    <cellStyle name="Followed Hyperlink" xfId="22855" builtinId="9" hidden="1"/>
    <cellStyle name="Followed Hyperlink" xfId="22856" builtinId="9" hidden="1"/>
    <cellStyle name="Followed Hyperlink" xfId="22857" builtinId="9" hidden="1"/>
    <cellStyle name="Followed Hyperlink" xfId="22858" builtinId="9" hidden="1"/>
    <cellStyle name="Followed Hyperlink" xfId="22859" builtinId="9" hidden="1"/>
    <cellStyle name="Followed Hyperlink" xfId="22860" builtinId="9" hidden="1"/>
    <cellStyle name="Followed Hyperlink" xfId="22861" builtinId="9" hidden="1"/>
    <cellStyle name="Followed Hyperlink" xfId="22862" builtinId="9" hidden="1"/>
    <cellStyle name="Followed Hyperlink" xfId="22863" builtinId="9" hidden="1"/>
    <cellStyle name="Followed Hyperlink" xfId="22864" builtinId="9" hidden="1"/>
    <cellStyle name="Followed Hyperlink" xfId="22865" builtinId="9" hidden="1"/>
    <cellStyle name="Followed Hyperlink" xfId="22866" builtinId="9" hidden="1"/>
    <cellStyle name="Followed Hyperlink" xfId="22867" builtinId="9" hidden="1"/>
    <cellStyle name="Followed Hyperlink" xfId="22868" builtinId="9" hidden="1"/>
    <cellStyle name="Followed Hyperlink" xfId="22869" builtinId="9" hidden="1"/>
    <cellStyle name="Followed Hyperlink" xfId="22870" builtinId="9" hidden="1"/>
    <cellStyle name="Followed Hyperlink" xfId="22871" builtinId="9" hidden="1"/>
    <cellStyle name="Followed Hyperlink" xfId="22872" builtinId="9" hidden="1"/>
    <cellStyle name="Followed Hyperlink" xfId="22873" builtinId="9" hidden="1"/>
    <cellStyle name="Followed Hyperlink" xfId="22874" builtinId="9" hidden="1"/>
    <cellStyle name="Followed Hyperlink" xfId="22875" builtinId="9" hidden="1"/>
    <cellStyle name="Followed Hyperlink" xfId="22876" builtinId="9" hidden="1"/>
    <cellStyle name="Followed Hyperlink" xfId="22877" builtinId="9" hidden="1"/>
    <cellStyle name="Followed Hyperlink" xfId="22878" builtinId="9" hidden="1"/>
    <cellStyle name="Followed Hyperlink" xfId="22879" builtinId="9" hidden="1"/>
    <cellStyle name="Followed Hyperlink" xfId="22880" builtinId="9" hidden="1"/>
    <cellStyle name="Followed Hyperlink" xfId="22881" builtinId="9" hidden="1"/>
    <cellStyle name="Followed Hyperlink" xfId="22882" builtinId="9" hidden="1"/>
    <cellStyle name="Followed Hyperlink" xfId="22883" builtinId="9" hidden="1"/>
    <cellStyle name="Followed Hyperlink" xfId="22884" builtinId="9" hidden="1"/>
    <cellStyle name="Followed Hyperlink" xfId="22885" builtinId="9" hidden="1"/>
    <cellStyle name="Followed Hyperlink" xfId="22886" builtinId="9" hidden="1"/>
    <cellStyle name="Followed Hyperlink" xfId="22887" builtinId="9" hidden="1"/>
    <cellStyle name="Followed Hyperlink" xfId="22888" builtinId="9" hidden="1"/>
    <cellStyle name="Followed Hyperlink" xfId="22889" builtinId="9" hidden="1"/>
    <cellStyle name="Followed Hyperlink" xfId="22890" builtinId="9" hidden="1"/>
    <cellStyle name="Followed Hyperlink" xfId="22891" builtinId="9" hidden="1"/>
    <cellStyle name="Followed Hyperlink" xfId="22892" builtinId="9" hidden="1"/>
    <cellStyle name="Followed Hyperlink" xfId="22893" builtinId="9" hidden="1"/>
    <cellStyle name="Followed Hyperlink" xfId="22894" builtinId="9" hidden="1"/>
    <cellStyle name="Followed Hyperlink" xfId="22895" builtinId="9" hidden="1"/>
    <cellStyle name="Followed Hyperlink" xfId="22896" builtinId="9" hidden="1"/>
    <cellStyle name="Followed Hyperlink" xfId="22897" builtinId="9" hidden="1"/>
    <cellStyle name="Followed Hyperlink" xfId="22898" builtinId="9" hidden="1"/>
    <cellStyle name="Followed Hyperlink" xfId="22899" builtinId="9" hidden="1"/>
    <cellStyle name="Followed Hyperlink" xfId="22909" builtinId="9" hidden="1"/>
    <cellStyle name="Followed Hyperlink" xfId="22911" builtinId="9" hidden="1"/>
    <cellStyle name="Followed Hyperlink" xfId="22913" builtinId="9" hidden="1"/>
    <cellStyle name="Followed Hyperlink" xfId="22915" builtinId="9" hidden="1"/>
    <cellStyle name="Followed Hyperlink" xfId="22917" builtinId="9" hidden="1"/>
    <cellStyle name="Followed Hyperlink" xfId="22919" builtinId="9" hidden="1"/>
    <cellStyle name="Followed Hyperlink" xfId="22921" builtinId="9" hidden="1"/>
    <cellStyle name="Followed Hyperlink" xfId="22923" builtinId="9" hidden="1"/>
    <cellStyle name="Followed Hyperlink" xfId="22925" builtinId="9" hidden="1"/>
    <cellStyle name="Followed Hyperlink" xfId="22927" builtinId="9" hidden="1"/>
    <cellStyle name="Followed Hyperlink" xfId="22929" builtinId="9" hidden="1"/>
    <cellStyle name="Followed Hyperlink" xfId="22931" builtinId="9" hidden="1"/>
    <cellStyle name="Followed Hyperlink" xfId="22933" builtinId="9" hidden="1"/>
    <cellStyle name="Followed Hyperlink" xfId="22935" builtinId="9" hidden="1"/>
    <cellStyle name="Followed Hyperlink" xfId="22937" builtinId="9" hidden="1"/>
    <cellStyle name="Followed Hyperlink" xfId="22939" builtinId="9" hidden="1"/>
    <cellStyle name="Followed Hyperlink" xfId="22941" builtinId="9" hidden="1"/>
    <cellStyle name="Followed Hyperlink" xfId="22943" builtinId="9" hidden="1"/>
    <cellStyle name="Followed Hyperlink" xfId="22945" builtinId="9" hidden="1"/>
    <cellStyle name="Followed Hyperlink" xfId="22947" builtinId="9" hidden="1"/>
    <cellStyle name="Followed Hyperlink" xfId="22949" builtinId="9" hidden="1"/>
    <cellStyle name="Followed Hyperlink" xfId="22951" builtinId="9" hidden="1"/>
    <cellStyle name="Followed Hyperlink" xfId="22953" builtinId="9" hidden="1"/>
    <cellStyle name="Followed Hyperlink" xfId="22955" builtinId="9" hidden="1"/>
    <cellStyle name="Followed Hyperlink" xfId="22957" builtinId="9" hidden="1"/>
    <cellStyle name="Followed Hyperlink" xfId="22959" builtinId="9" hidden="1"/>
    <cellStyle name="Followed Hyperlink" xfId="22961" builtinId="9" hidden="1"/>
    <cellStyle name="Followed Hyperlink" xfId="22963" builtinId="9" hidden="1"/>
    <cellStyle name="Followed Hyperlink" xfId="22965" builtinId="9" hidden="1"/>
    <cellStyle name="Followed Hyperlink" xfId="22967" builtinId="9" hidden="1"/>
    <cellStyle name="Followed Hyperlink" xfId="22969" builtinId="9" hidden="1"/>
    <cellStyle name="Followed Hyperlink" xfId="22971" builtinId="9" hidden="1"/>
    <cellStyle name="Followed Hyperlink" xfId="22973" builtinId="9" hidden="1"/>
    <cellStyle name="Followed Hyperlink" xfId="22975" builtinId="9" hidden="1"/>
    <cellStyle name="Followed Hyperlink" xfId="22977" builtinId="9" hidden="1"/>
    <cellStyle name="Followed Hyperlink" xfId="22979" builtinId="9" hidden="1"/>
    <cellStyle name="Followed Hyperlink" xfId="22981" builtinId="9" hidden="1"/>
    <cellStyle name="Followed Hyperlink" xfId="22983" builtinId="9" hidden="1"/>
    <cellStyle name="Followed Hyperlink" xfId="22985" builtinId="9" hidden="1"/>
    <cellStyle name="Followed Hyperlink" xfId="22987" builtinId="9" hidden="1"/>
    <cellStyle name="Followed Hyperlink" xfId="22989" builtinId="9" hidden="1"/>
    <cellStyle name="Followed Hyperlink" xfId="22991" builtinId="9" hidden="1"/>
    <cellStyle name="Followed Hyperlink" xfId="22993" builtinId="9" hidden="1"/>
    <cellStyle name="Followed Hyperlink" xfId="22995" builtinId="9" hidden="1"/>
    <cellStyle name="Followed Hyperlink" xfId="22997" builtinId="9" hidden="1"/>
    <cellStyle name="Followed Hyperlink" xfId="22999" builtinId="9" hidden="1"/>
    <cellStyle name="Followed Hyperlink" xfId="23001" builtinId="9" hidden="1"/>
    <cellStyle name="Followed Hyperlink" xfId="23003" builtinId="9" hidden="1"/>
    <cellStyle name="Followed Hyperlink" xfId="23005" builtinId="9" hidden="1"/>
    <cellStyle name="Followed Hyperlink" xfId="23007" builtinId="9" hidden="1"/>
    <cellStyle name="Followed Hyperlink" xfId="23009" builtinId="9" hidden="1"/>
    <cellStyle name="Followed Hyperlink" xfId="23011" builtinId="9" hidden="1"/>
    <cellStyle name="Followed Hyperlink" xfId="23013" builtinId="9" hidden="1"/>
    <cellStyle name="Followed Hyperlink" xfId="23015" builtinId="9" hidden="1"/>
    <cellStyle name="Followed Hyperlink" xfId="23017" builtinId="9" hidden="1"/>
    <cellStyle name="Followed Hyperlink" xfId="23019" builtinId="9" hidden="1"/>
    <cellStyle name="Followed Hyperlink" xfId="23021" builtinId="9" hidden="1"/>
    <cellStyle name="Followed Hyperlink" xfId="23023" builtinId="9" hidden="1"/>
    <cellStyle name="Followed Hyperlink" xfId="23025" builtinId="9" hidden="1"/>
    <cellStyle name="Followed Hyperlink" xfId="23027" builtinId="9" hidden="1"/>
    <cellStyle name="Followed Hyperlink" xfId="23029" builtinId="9" hidden="1"/>
    <cellStyle name="Followed Hyperlink" xfId="23031" builtinId="9" hidden="1"/>
    <cellStyle name="Followed Hyperlink" xfId="23033" builtinId="9" hidden="1"/>
    <cellStyle name="Followed Hyperlink" xfId="23035" builtinId="9" hidden="1"/>
    <cellStyle name="Followed Hyperlink" xfId="23037" builtinId="9" hidden="1"/>
    <cellStyle name="Followed Hyperlink" xfId="23039" builtinId="9" hidden="1"/>
    <cellStyle name="Followed Hyperlink" xfId="23041" builtinId="9" hidden="1"/>
    <cellStyle name="Followed Hyperlink" xfId="23043" builtinId="9" hidden="1"/>
    <cellStyle name="Followed Hyperlink" xfId="23045" builtinId="9" hidden="1"/>
    <cellStyle name="Followed Hyperlink" xfId="23047" builtinId="9" hidden="1"/>
    <cellStyle name="Followed Hyperlink" xfId="23049" builtinId="9" hidden="1"/>
    <cellStyle name="Followed Hyperlink" xfId="23051" builtinId="9" hidden="1"/>
    <cellStyle name="Followed Hyperlink" xfId="23053" builtinId="9" hidden="1"/>
    <cellStyle name="Followed Hyperlink" xfId="23055" builtinId="9" hidden="1"/>
    <cellStyle name="Followed Hyperlink" xfId="23057" builtinId="9" hidden="1"/>
    <cellStyle name="Followed Hyperlink" xfId="23059" builtinId="9" hidden="1"/>
    <cellStyle name="Followed Hyperlink" xfId="23061" builtinId="9" hidden="1"/>
    <cellStyle name="Followed Hyperlink" xfId="23063" builtinId="9" hidden="1"/>
    <cellStyle name="Followed Hyperlink" xfId="23065" builtinId="9" hidden="1"/>
    <cellStyle name="Followed Hyperlink" xfId="23067" builtinId="9" hidden="1"/>
    <cellStyle name="Followed Hyperlink" xfId="23069" builtinId="9" hidden="1"/>
    <cellStyle name="Followed Hyperlink" xfId="23071" builtinId="9" hidden="1"/>
    <cellStyle name="Followed Hyperlink" xfId="23073" builtinId="9" hidden="1"/>
    <cellStyle name="Followed Hyperlink" xfId="23075" builtinId="9" hidden="1"/>
    <cellStyle name="Followed Hyperlink" xfId="23077" builtinId="9" hidden="1"/>
    <cellStyle name="Followed Hyperlink" xfId="23079" builtinId="9" hidden="1"/>
    <cellStyle name="Followed Hyperlink" xfId="23081" builtinId="9" hidden="1"/>
    <cellStyle name="Followed Hyperlink" xfId="23083" builtinId="9" hidden="1"/>
    <cellStyle name="Followed Hyperlink" xfId="23085" builtinId="9" hidden="1"/>
    <cellStyle name="Followed Hyperlink" xfId="23087" builtinId="9" hidden="1"/>
    <cellStyle name="Followed Hyperlink" xfId="23089" builtinId="9" hidden="1"/>
    <cellStyle name="Followed Hyperlink" xfId="23091" builtinId="9" hidden="1"/>
    <cellStyle name="Followed Hyperlink" xfId="23093" builtinId="9" hidden="1"/>
    <cellStyle name="Followed Hyperlink" xfId="23095" builtinId="9" hidden="1"/>
    <cellStyle name="Followed Hyperlink" xfId="23097" builtinId="9" hidden="1"/>
    <cellStyle name="Followed Hyperlink" xfId="23099" builtinId="9" hidden="1"/>
    <cellStyle name="Followed Hyperlink" xfId="23101" builtinId="9" hidden="1"/>
    <cellStyle name="Followed Hyperlink" xfId="23103" builtinId="9" hidden="1"/>
    <cellStyle name="Followed Hyperlink" xfId="23105" builtinId="9" hidden="1"/>
    <cellStyle name="Followed Hyperlink" xfId="23107" builtinId="9" hidden="1"/>
    <cellStyle name="Followed Hyperlink" xfId="23109" builtinId="9" hidden="1"/>
    <cellStyle name="Followed Hyperlink" xfId="23111" builtinId="9" hidden="1"/>
    <cellStyle name="Followed Hyperlink" xfId="23113" builtinId="9" hidden="1"/>
    <cellStyle name="Followed Hyperlink" xfId="23115" builtinId="9" hidden="1"/>
    <cellStyle name="Followed Hyperlink" xfId="23117" builtinId="9" hidden="1"/>
    <cellStyle name="Followed Hyperlink" xfId="23119" builtinId="9" hidden="1"/>
    <cellStyle name="Followed Hyperlink" xfId="23121" builtinId="9" hidden="1"/>
    <cellStyle name="Followed Hyperlink" xfId="23123" builtinId="9" hidden="1"/>
    <cellStyle name="Followed Hyperlink" xfId="23125" builtinId="9" hidden="1"/>
    <cellStyle name="Followed Hyperlink" xfId="23127" builtinId="9" hidden="1"/>
    <cellStyle name="Followed Hyperlink" xfId="23134" builtinId="9" hidden="1"/>
    <cellStyle name="Followed Hyperlink" xfId="23136" builtinId="9" hidden="1"/>
    <cellStyle name="Followed Hyperlink" xfId="23138" builtinId="9" hidden="1"/>
    <cellStyle name="Followed Hyperlink" xfId="23140" builtinId="9" hidden="1"/>
    <cellStyle name="Followed Hyperlink" xfId="23142" builtinId="9" hidden="1"/>
    <cellStyle name="Followed Hyperlink" xfId="23144" builtinId="9" hidden="1"/>
    <cellStyle name="Followed Hyperlink" xfId="23146" builtinId="9" hidden="1"/>
    <cellStyle name="Followed Hyperlink" xfId="23148" builtinId="9" hidden="1"/>
    <cellStyle name="Followed Hyperlink" xfId="23150" builtinId="9" hidden="1"/>
    <cellStyle name="Followed Hyperlink" xfId="23152" builtinId="9" hidden="1"/>
    <cellStyle name="Followed Hyperlink" xfId="23154" builtinId="9" hidden="1"/>
    <cellStyle name="Followed Hyperlink" xfId="23156" builtinId="9" hidden="1"/>
    <cellStyle name="Followed Hyperlink" xfId="23158" builtinId="9" hidden="1"/>
    <cellStyle name="Followed Hyperlink" xfId="23160" builtinId="9" hidden="1"/>
    <cellStyle name="Followed Hyperlink" xfId="23162" builtinId="9" hidden="1"/>
    <cellStyle name="Followed Hyperlink" xfId="23164" builtinId="9" hidden="1"/>
    <cellStyle name="Followed Hyperlink" xfId="23166" builtinId="9" hidden="1"/>
    <cellStyle name="Followed Hyperlink" xfId="23168" builtinId="9" hidden="1"/>
    <cellStyle name="Followed Hyperlink" xfId="23170" builtinId="9" hidden="1"/>
    <cellStyle name="Followed Hyperlink" xfId="23172" builtinId="9" hidden="1"/>
    <cellStyle name="Followed Hyperlink" xfId="23174" builtinId="9" hidden="1"/>
    <cellStyle name="Followed Hyperlink" xfId="23176" builtinId="9" hidden="1"/>
    <cellStyle name="Followed Hyperlink" xfId="23178" builtinId="9" hidden="1"/>
    <cellStyle name="Followed Hyperlink" xfId="23180" builtinId="9" hidden="1"/>
    <cellStyle name="Followed Hyperlink" xfId="23182" builtinId="9" hidden="1"/>
    <cellStyle name="Followed Hyperlink" xfId="23184" builtinId="9" hidden="1"/>
    <cellStyle name="Followed Hyperlink" xfId="23186" builtinId="9" hidden="1"/>
    <cellStyle name="Followed Hyperlink" xfId="23188" builtinId="9" hidden="1"/>
    <cellStyle name="Followed Hyperlink" xfId="23190" builtinId="9" hidden="1"/>
    <cellStyle name="Followed Hyperlink" xfId="23192" builtinId="9" hidden="1"/>
    <cellStyle name="Followed Hyperlink" xfId="23194" builtinId="9" hidden="1"/>
    <cellStyle name="Followed Hyperlink" xfId="23196" builtinId="9" hidden="1"/>
    <cellStyle name="Followed Hyperlink" xfId="23198" builtinId="9" hidden="1"/>
    <cellStyle name="Followed Hyperlink" xfId="23200" builtinId="9" hidden="1"/>
    <cellStyle name="Followed Hyperlink" xfId="23202" builtinId="9" hidden="1"/>
    <cellStyle name="Followed Hyperlink" xfId="23204" builtinId="9" hidden="1"/>
    <cellStyle name="Followed Hyperlink" xfId="23206" builtinId="9" hidden="1"/>
    <cellStyle name="Followed Hyperlink" xfId="23208" builtinId="9" hidden="1"/>
    <cellStyle name="Followed Hyperlink" xfId="23210" builtinId="9" hidden="1"/>
    <cellStyle name="Followed Hyperlink" xfId="23212" builtinId="9" hidden="1"/>
    <cellStyle name="Followed Hyperlink" xfId="23214" builtinId="9" hidden="1"/>
    <cellStyle name="Followed Hyperlink" xfId="23216" builtinId="9" hidden="1"/>
    <cellStyle name="Followed Hyperlink" xfId="23218" builtinId="9" hidden="1"/>
    <cellStyle name="Followed Hyperlink" xfId="23220" builtinId="9" hidden="1"/>
    <cellStyle name="Followed Hyperlink" xfId="23222" builtinId="9" hidden="1"/>
    <cellStyle name="Followed Hyperlink" xfId="23224" builtinId="9" hidden="1"/>
    <cellStyle name="Followed Hyperlink" xfId="23226" builtinId="9" hidden="1"/>
    <cellStyle name="Followed Hyperlink" xfId="23228" builtinId="9" hidden="1"/>
    <cellStyle name="Followed Hyperlink" xfId="23230" builtinId="9" hidden="1"/>
    <cellStyle name="Followed Hyperlink" xfId="23232" builtinId="9" hidden="1"/>
    <cellStyle name="Followed Hyperlink" xfId="23234" builtinId="9" hidden="1"/>
    <cellStyle name="Followed Hyperlink" xfId="23236" builtinId="9" hidden="1"/>
    <cellStyle name="Followed Hyperlink" xfId="23238" builtinId="9" hidden="1"/>
    <cellStyle name="Followed Hyperlink" xfId="23240" builtinId="9" hidden="1"/>
    <cellStyle name="Followed Hyperlink" xfId="23242" builtinId="9" hidden="1"/>
    <cellStyle name="Followed Hyperlink" xfId="23244" builtinId="9" hidden="1"/>
    <cellStyle name="Followed Hyperlink" xfId="23246" builtinId="9" hidden="1"/>
    <cellStyle name="Followed Hyperlink" xfId="23248" builtinId="9" hidden="1"/>
    <cellStyle name="Followed Hyperlink" xfId="23250" builtinId="9" hidden="1"/>
    <cellStyle name="Followed Hyperlink" xfId="23252" builtinId="9" hidden="1"/>
    <cellStyle name="Followed Hyperlink" xfId="23254" builtinId="9" hidden="1"/>
    <cellStyle name="Followed Hyperlink" xfId="23256" builtinId="9" hidden="1"/>
    <cellStyle name="Followed Hyperlink" xfId="23258" builtinId="9" hidden="1"/>
    <cellStyle name="Followed Hyperlink" xfId="23260" builtinId="9" hidden="1"/>
    <cellStyle name="Followed Hyperlink" xfId="23262" builtinId="9" hidden="1"/>
    <cellStyle name="Followed Hyperlink" xfId="23264" builtinId="9" hidden="1"/>
    <cellStyle name="Followed Hyperlink" xfId="23266" builtinId="9" hidden="1"/>
    <cellStyle name="Followed Hyperlink" xfId="23268" builtinId="9" hidden="1"/>
    <cellStyle name="Followed Hyperlink" xfId="23270" builtinId="9" hidden="1"/>
    <cellStyle name="Followed Hyperlink" xfId="23272" builtinId="9" hidden="1"/>
    <cellStyle name="Followed Hyperlink" xfId="23274" builtinId="9" hidden="1"/>
    <cellStyle name="Followed Hyperlink" xfId="23276" builtinId="9" hidden="1"/>
    <cellStyle name="Followed Hyperlink" xfId="23278" builtinId="9" hidden="1"/>
    <cellStyle name="Followed Hyperlink" xfId="23280" builtinId="9" hidden="1"/>
    <cellStyle name="Followed Hyperlink" xfId="23282" builtinId="9" hidden="1"/>
    <cellStyle name="Followed Hyperlink" xfId="23284" builtinId="9" hidden="1"/>
    <cellStyle name="Followed Hyperlink" xfId="23286" builtinId="9" hidden="1"/>
    <cellStyle name="Followed Hyperlink" xfId="23288" builtinId="9" hidden="1"/>
    <cellStyle name="Followed Hyperlink" xfId="23290" builtinId="9" hidden="1"/>
    <cellStyle name="Followed Hyperlink" xfId="23292" builtinId="9" hidden="1"/>
    <cellStyle name="Followed Hyperlink" xfId="23294" builtinId="9" hidden="1"/>
    <cellStyle name="Followed Hyperlink" xfId="23296" builtinId="9" hidden="1"/>
    <cellStyle name="Followed Hyperlink" xfId="23298" builtinId="9" hidden="1"/>
    <cellStyle name="Followed Hyperlink" xfId="23300" builtinId="9" hidden="1"/>
    <cellStyle name="Followed Hyperlink" xfId="23302" builtinId="9" hidden="1"/>
    <cellStyle name="Followed Hyperlink" xfId="23304" builtinId="9" hidden="1"/>
    <cellStyle name="Followed Hyperlink" xfId="23306" builtinId="9" hidden="1"/>
    <cellStyle name="Followed Hyperlink" xfId="23308" builtinId="9" hidden="1"/>
    <cellStyle name="Followed Hyperlink" xfId="23310" builtinId="9" hidden="1"/>
    <cellStyle name="Followed Hyperlink" xfId="23312" builtinId="9" hidden="1"/>
    <cellStyle name="Followed Hyperlink" xfId="23314" builtinId="9" hidden="1"/>
    <cellStyle name="Followed Hyperlink" xfId="23316" builtinId="9" hidden="1"/>
    <cellStyle name="Followed Hyperlink" xfId="23318" builtinId="9" hidden="1"/>
    <cellStyle name="Followed Hyperlink" xfId="23320" builtinId="9" hidden="1"/>
    <cellStyle name="Followed Hyperlink" xfId="23322" builtinId="9" hidden="1"/>
    <cellStyle name="Followed Hyperlink" xfId="23324" builtinId="9" hidden="1"/>
    <cellStyle name="Followed Hyperlink" xfId="23326" builtinId="9" hidden="1"/>
    <cellStyle name="Followed Hyperlink" xfId="23328" builtinId="9" hidden="1"/>
    <cellStyle name="Followed Hyperlink" xfId="23330" builtinId="9" hidden="1"/>
    <cellStyle name="Followed Hyperlink" xfId="23332" builtinId="9" hidden="1"/>
    <cellStyle name="Followed Hyperlink" xfId="23334" builtinId="9" hidden="1"/>
    <cellStyle name="Followed Hyperlink" xfId="23336" builtinId="9" hidden="1"/>
    <cellStyle name="Followed Hyperlink" xfId="23338" builtinId="9" hidden="1"/>
    <cellStyle name="Followed Hyperlink" xfId="23340" builtinId="9" hidden="1"/>
    <cellStyle name="Followed Hyperlink" xfId="23342" builtinId="9" hidden="1"/>
    <cellStyle name="Followed Hyperlink" xfId="23344" builtinId="9" hidden="1"/>
    <cellStyle name="Followed Hyperlink" xfId="23346" builtinId="9" hidden="1"/>
    <cellStyle name="Followed Hyperlink" xfId="23348" builtinId="9" hidden="1"/>
    <cellStyle name="Followed Hyperlink" xfId="23350" builtinId="9" hidden="1"/>
    <cellStyle name="Followed Hyperlink" xfId="23352" builtinId="9" hidden="1"/>
    <cellStyle name="Followed Hyperlink" xfId="23360" builtinId="9" hidden="1"/>
    <cellStyle name="Followed Hyperlink" xfId="23362" builtinId="9" hidden="1"/>
    <cellStyle name="Followed Hyperlink" xfId="23364" builtinId="9" hidden="1"/>
    <cellStyle name="Followed Hyperlink" xfId="23366" builtinId="9" hidden="1"/>
    <cellStyle name="Followed Hyperlink" xfId="23368" builtinId="9" hidden="1"/>
    <cellStyle name="Followed Hyperlink" xfId="23370" builtinId="9" hidden="1"/>
    <cellStyle name="Followed Hyperlink" xfId="23372" builtinId="9" hidden="1"/>
    <cellStyle name="Followed Hyperlink" xfId="23374" builtinId="9" hidden="1"/>
    <cellStyle name="Followed Hyperlink" xfId="23376" builtinId="9" hidden="1"/>
    <cellStyle name="Followed Hyperlink" xfId="23378" builtinId="9" hidden="1"/>
    <cellStyle name="Followed Hyperlink" xfId="23380" builtinId="9" hidden="1"/>
    <cellStyle name="Followed Hyperlink" xfId="23382" builtinId="9" hidden="1"/>
    <cellStyle name="Followed Hyperlink" xfId="23384" builtinId="9" hidden="1"/>
    <cellStyle name="Followed Hyperlink" xfId="23386" builtinId="9" hidden="1"/>
    <cellStyle name="Followed Hyperlink" xfId="23388" builtinId="9" hidden="1"/>
    <cellStyle name="Followed Hyperlink" xfId="23390" builtinId="9" hidden="1"/>
    <cellStyle name="Followed Hyperlink" xfId="23392" builtinId="9" hidden="1"/>
    <cellStyle name="Followed Hyperlink" xfId="23394" builtinId="9" hidden="1"/>
    <cellStyle name="Followed Hyperlink" xfId="23396" builtinId="9" hidden="1"/>
    <cellStyle name="Followed Hyperlink" xfId="23398" builtinId="9" hidden="1"/>
    <cellStyle name="Followed Hyperlink" xfId="23400" builtinId="9" hidden="1"/>
    <cellStyle name="Followed Hyperlink" xfId="23402" builtinId="9" hidden="1"/>
    <cellStyle name="Followed Hyperlink" xfId="23404" builtinId="9" hidden="1"/>
    <cellStyle name="Followed Hyperlink" xfId="23406" builtinId="9" hidden="1"/>
    <cellStyle name="Followed Hyperlink" xfId="23408" builtinId="9" hidden="1"/>
    <cellStyle name="Followed Hyperlink" xfId="23410" builtinId="9" hidden="1"/>
    <cellStyle name="Followed Hyperlink" xfId="23412" builtinId="9" hidden="1"/>
    <cellStyle name="Followed Hyperlink" xfId="23414" builtinId="9" hidden="1"/>
    <cellStyle name="Followed Hyperlink" xfId="23416" builtinId="9" hidden="1"/>
    <cellStyle name="Followed Hyperlink" xfId="23418" builtinId="9" hidden="1"/>
    <cellStyle name="Followed Hyperlink" xfId="23420" builtinId="9" hidden="1"/>
    <cellStyle name="Followed Hyperlink" xfId="23422" builtinId="9" hidden="1"/>
    <cellStyle name="Followed Hyperlink" xfId="23424" builtinId="9" hidden="1"/>
    <cellStyle name="Followed Hyperlink" xfId="23426" builtinId="9" hidden="1"/>
    <cellStyle name="Followed Hyperlink" xfId="23428" builtinId="9" hidden="1"/>
    <cellStyle name="Followed Hyperlink" xfId="23430" builtinId="9" hidden="1"/>
    <cellStyle name="Followed Hyperlink" xfId="23432" builtinId="9" hidden="1"/>
    <cellStyle name="Followed Hyperlink" xfId="23434" builtinId="9" hidden="1"/>
    <cellStyle name="Followed Hyperlink" xfId="23436" builtinId="9" hidden="1"/>
    <cellStyle name="Followed Hyperlink" xfId="23438" builtinId="9" hidden="1"/>
    <cellStyle name="Followed Hyperlink" xfId="23440" builtinId="9" hidden="1"/>
    <cellStyle name="Followed Hyperlink" xfId="23442" builtinId="9" hidden="1"/>
    <cellStyle name="Followed Hyperlink" xfId="23444" builtinId="9" hidden="1"/>
    <cellStyle name="Followed Hyperlink" xfId="23446" builtinId="9" hidden="1"/>
    <cellStyle name="Followed Hyperlink" xfId="23448" builtinId="9" hidden="1"/>
    <cellStyle name="Followed Hyperlink" xfId="23450" builtinId="9" hidden="1"/>
    <cellStyle name="Followed Hyperlink" xfId="23452" builtinId="9" hidden="1"/>
    <cellStyle name="Followed Hyperlink" xfId="23454" builtinId="9" hidden="1"/>
    <cellStyle name="Followed Hyperlink" xfId="23456" builtinId="9" hidden="1"/>
    <cellStyle name="Followed Hyperlink" xfId="23458" builtinId="9" hidden="1"/>
    <cellStyle name="Followed Hyperlink" xfId="23460" builtinId="9" hidden="1"/>
    <cellStyle name="Followed Hyperlink" xfId="23462" builtinId="9" hidden="1"/>
    <cellStyle name="Followed Hyperlink" xfId="23464" builtinId="9" hidden="1"/>
    <cellStyle name="Followed Hyperlink" xfId="23466" builtinId="9" hidden="1"/>
    <cellStyle name="Followed Hyperlink" xfId="23468" builtinId="9" hidden="1"/>
    <cellStyle name="Followed Hyperlink" xfId="23470" builtinId="9" hidden="1"/>
    <cellStyle name="Followed Hyperlink" xfId="23472" builtinId="9" hidden="1"/>
    <cellStyle name="Followed Hyperlink" xfId="23474" builtinId="9" hidden="1"/>
    <cellStyle name="Followed Hyperlink" xfId="23476" builtinId="9" hidden="1"/>
    <cellStyle name="Followed Hyperlink" xfId="23478" builtinId="9" hidden="1"/>
    <cellStyle name="Followed Hyperlink" xfId="23480" builtinId="9" hidden="1"/>
    <cellStyle name="Followed Hyperlink" xfId="23482" builtinId="9" hidden="1"/>
    <cellStyle name="Followed Hyperlink" xfId="23484" builtinId="9" hidden="1"/>
    <cellStyle name="Followed Hyperlink" xfId="23486" builtinId="9" hidden="1"/>
    <cellStyle name="Followed Hyperlink" xfId="23488" builtinId="9" hidden="1"/>
    <cellStyle name="Followed Hyperlink" xfId="23490" builtinId="9" hidden="1"/>
    <cellStyle name="Followed Hyperlink" xfId="23492" builtinId="9" hidden="1"/>
    <cellStyle name="Followed Hyperlink" xfId="23494" builtinId="9" hidden="1"/>
    <cellStyle name="Followed Hyperlink" xfId="23496" builtinId="9" hidden="1"/>
    <cellStyle name="Followed Hyperlink" xfId="23498" builtinId="9" hidden="1"/>
    <cellStyle name="Followed Hyperlink" xfId="23500" builtinId="9" hidden="1"/>
    <cellStyle name="Followed Hyperlink" xfId="23502" builtinId="9" hidden="1"/>
    <cellStyle name="Followed Hyperlink" xfId="23504" builtinId="9" hidden="1"/>
    <cellStyle name="Followed Hyperlink" xfId="23506" builtinId="9" hidden="1"/>
    <cellStyle name="Followed Hyperlink" xfId="23508" builtinId="9" hidden="1"/>
    <cellStyle name="Followed Hyperlink" xfId="23510" builtinId="9" hidden="1"/>
    <cellStyle name="Followed Hyperlink" xfId="23512" builtinId="9" hidden="1"/>
    <cellStyle name="Followed Hyperlink" xfId="23514" builtinId="9" hidden="1"/>
    <cellStyle name="Followed Hyperlink" xfId="23516" builtinId="9" hidden="1"/>
    <cellStyle name="Followed Hyperlink" xfId="23518" builtinId="9" hidden="1"/>
    <cellStyle name="Followed Hyperlink" xfId="23520" builtinId="9" hidden="1"/>
    <cellStyle name="Followed Hyperlink" xfId="23522" builtinId="9" hidden="1"/>
    <cellStyle name="Followed Hyperlink" xfId="23524" builtinId="9" hidden="1"/>
    <cellStyle name="Followed Hyperlink" xfId="23526" builtinId="9" hidden="1"/>
    <cellStyle name="Followed Hyperlink" xfId="23528" builtinId="9" hidden="1"/>
    <cellStyle name="Followed Hyperlink" xfId="23530" builtinId="9" hidden="1"/>
    <cellStyle name="Followed Hyperlink" xfId="23532" builtinId="9" hidden="1"/>
    <cellStyle name="Followed Hyperlink" xfId="23534" builtinId="9" hidden="1"/>
    <cellStyle name="Followed Hyperlink" xfId="23536" builtinId="9" hidden="1"/>
    <cellStyle name="Followed Hyperlink" xfId="23538" builtinId="9" hidden="1"/>
    <cellStyle name="Followed Hyperlink" xfId="23540" builtinId="9" hidden="1"/>
    <cellStyle name="Followed Hyperlink" xfId="23542" builtinId="9" hidden="1"/>
    <cellStyle name="Followed Hyperlink" xfId="23544" builtinId="9" hidden="1"/>
    <cellStyle name="Followed Hyperlink" xfId="23546" builtinId="9" hidden="1"/>
    <cellStyle name="Followed Hyperlink" xfId="23548" builtinId="9" hidden="1"/>
    <cellStyle name="Followed Hyperlink" xfId="23550" builtinId="9" hidden="1"/>
    <cellStyle name="Followed Hyperlink" xfId="23552" builtinId="9" hidden="1"/>
    <cellStyle name="Followed Hyperlink" xfId="23554" builtinId="9" hidden="1"/>
    <cellStyle name="Followed Hyperlink" xfId="23556" builtinId="9" hidden="1"/>
    <cellStyle name="Followed Hyperlink" xfId="23558" builtinId="9" hidden="1"/>
    <cellStyle name="Followed Hyperlink" xfId="23560" builtinId="9" hidden="1"/>
    <cellStyle name="Followed Hyperlink" xfId="23562" builtinId="9" hidden="1"/>
    <cellStyle name="Followed Hyperlink" xfId="23564" builtinId="9" hidden="1"/>
    <cellStyle name="Followed Hyperlink" xfId="23566" builtinId="9" hidden="1"/>
    <cellStyle name="Followed Hyperlink" xfId="23568" builtinId="9" hidden="1"/>
    <cellStyle name="Followed Hyperlink" xfId="23570" builtinId="9" hidden="1"/>
    <cellStyle name="Followed Hyperlink" xfId="23572" builtinId="9" hidden="1"/>
    <cellStyle name="Followed Hyperlink" xfId="23574" builtinId="9" hidden="1"/>
    <cellStyle name="Followed Hyperlink" xfId="23576" builtinId="9" hidden="1"/>
    <cellStyle name="Followed Hyperlink" xfId="23578" builtinId="9" hidden="1"/>
    <cellStyle name="Followed Hyperlink" xfId="23577" builtinId="9" hidden="1"/>
    <cellStyle name="Followed Hyperlink" xfId="23573" builtinId="9" hidden="1"/>
    <cellStyle name="Followed Hyperlink" xfId="23569" builtinId="9" hidden="1"/>
    <cellStyle name="Followed Hyperlink" xfId="23565" builtinId="9" hidden="1"/>
    <cellStyle name="Followed Hyperlink" xfId="23561" builtinId="9" hidden="1"/>
    <cellStyle name="Followed Hyperlink" xfId="23557" builtinId="9" hidden="1"/>
    <cellStyle name="Followed Hyperlink" xfId="23553" builtinId="9" hidden="1"/>
    <cellStyle name="Followed Hyperlink" xfId="23549" builtinId="9" hidden="1"/>
    <cellStyle name="Followed Hyperlink" xfId="23545" builtinId="9" hidden="1"/>
    <cellStyle name="Followed Hyperlink" xfId="23541" builtinId="9" hidden="1"/>
    <cellStyle name="Followed Hyperlink" xfId="23537" builtinId="9" hidden="1"/>
    <cellStyle name="Followed Hyperlink" xfId="23533" builtinId="9" hidden="1"/>
    <cellStyle name="Followed Hyperlink" xfId="23529" builtinId="9" hidden="1"/>
    <cellStyle name="Followed Hyperlink" xfId="23525" builtinId="9" hidden="1"/>
    <cellStyle name="Followed Hyperlink" xfId="23521" builtinId="9" hidden="1"/>
    <cellStyle name="Followed Hyperlink" xfId="23517" builtinId="9" hidden="1"/>
    <cellStyle name="Followed Hyperlink" xfId="23513" builtinId="9" hidden="1"/>
    <cellStyle name="Followed Hyperlink" xfId="23509" builtinId="9" hidden="1"/>
    <cellStyle name="Followed Hyperlink" xfId="23505" builtinId="9" hidden="1"/>
    <cellStyle name="Followed Hyperlink" xfId="23501" builtinId="9" hidden="1"/>
    <cellStyle name="Followed Hyperlink" xfId="23497" builtinId="9" hidden="1"/>
    <cellStyle name="Followed Hyperlink" xfId="23493" builtinId="9" hidden="1"/>
    <cellStyle name="Followed Hyperlink" xfId="23489" builtinId="9" hidden="1"/>
    <cellStyle name="Followed Hyperlink" xfId="23485" builtinId="9" hidden="1"/>
    <cellStyle name="Followed Hyperlink" xfId="23481" builtinId="9" hidden="1"/>
    <cellStyle name="Followed Hyperlink" xfId="23477" builtinId="9" hidden="1"/>
    <cellStyle name="Followed Hyperlink" xfId="23473" builtinId="9" hidden="1"/>
    <cellStyle name="Followed Hyperlink" xfId="23469" builtinId="9" hidden="1"/>
    <cellStyle name="Followed Hyperlink" xfId="23465" builtinId="9" hidden="1"/>
    <cellStyle name="Followed Hyperlink" xfId="23461" builtinId="9" hidden="1"/>
    <cellStyle name="Followed Hyperlink" xfId="23457" builtinId="9" hidden="1"/>
    <cellStyle name="Followed Hyperlink" xfId="23453" builtinId="9" hidden="1"/>
    <cellStyle name="Followed Hyperlink" xfId="23449" builtinId="9" hidden="1"/>
    <cellStyle name="Followed Hyperlink" xfId="23445" builtinId="9" hidden="1"/>
    <cellStyle name="Followed Hyperlink" xfId="23441" builtinId="9" hidden="1"/>
    <cellStyle name="Followed Hyperlink" xfId="23437" builtinId="9" hidden="1"/>
    <cellStyle name="Followed Hyperlink" xfId="23433" builtinId="9" hidden="1"/>
    <cellStyle name="Followed Hyperlink" xfId="23429" builtinId="9" hidden="1"/>
    <cellStyle name="Followed Hyperlink" xfId="23425" builtinId="9" hidden="1"/>
    <cellStyle name="Followed Hyperlink" xfId="23421" builtinId="9" hidden="1"/>
    <cellStyle name="Followed Hyperlink" xfId="23417" builtinId="9" hidden="1"/>
    <cellStyle name="Followed Hyperlink" xfId="23413" builtinId="9" hidden="1"/>
    <cellStyle name="Followed Hyperlink" xfId="23409" builtinId="9" hidden="1"/>
    <cellStyle name="Followed Hyperlink" xfId="23405" builtinId="9" hidden="1"/>
    <cellStyle name="Followed Hyperlink" xfId="23401" builtinId="9" hidden="1"/>
    <cellStyle name="Followed Hyperlink" xfId="23397" builtinId="9" hidden="1"/>
    <cellStyle name="Followed Hyperlink" xfId="23393" builtinId="9" hidden="1"/>
    <cellStyle name="Followed Hyperlink" xfId="23389" builtinId="9" hidden="1"/>
    <cellStyle name="Followed Hyperlink" xfId="23385" builtinId="9" hidden="1"/>
    <cellStyle name="Followed Hyperlink" xfId="23381" builtinId="9" hidden="1"/>
    <cellStyle name="Followed Hyperlink" xfId="23377" builtinId="9" hidden="1"/>
    <cellStyle name="Followed Hyperlink" xfId="23373" builtinId="9" hidden="1"/>
    <cellStyle name="Followed Hyperlink" xfId="23369" builtinId="9" hidden="1"/>
    <cellStyle name="Followed Hyperlink" xfId="23365" builtinId="9" hidden="1"/>
    <cellStyle name="Followed Hyperlink" xfId="23361" builtinId="9" hidden="1"/>
    <cellStyle name="Followed Hyperlink" xfId="23579" builtinId="9" hidden="1"/>
    <cellStyle name="Followed Hyperlink" xfId="23132" builtinId="9" hidden="1"/>
    <cellStyle name="Followed Hyperlink" xfId="23580" builtinId="9" hidden="1"/>
    <cellStyle name="Followed Hyperlink" xfId="23584" builtinId="9" hidden="1"/>
    <cellStyle name="Followed Hyperlink" xfId="23586" builtinId="9" hidden="1"/>
    <cellStyle name="Followed Hyperlink" xfId="23588" builtinId="9" hidden="1"/>
    <cellStyle name="Followed Hyperlink" xfId="23590" builtinId="9" hidden="1"/>
    <cellStyle name="Followed Hyperlink" xfId="23592" builtinId="9" hidden="1"/>
    <cellStyle name="Followed Hyperlink" xfId="23594" builtinId="9" hidden="1"/>
    <cellStyle name="Followed Hyperlink" xfId="23596" builtinId="9" hidden="1"/>
    <cellStyle name="Followed Hyperlink" xfId="23598" builtinId="9" hidden="1"/>
    <cellStyle name="Followed Hyperlink" xfId="23600" builtinId="9" hidden="1"/>
    <cellStyle name="Followed Hyperlink" xfId="23602" builtinId="9" hidden="1"/>
    <cellStyle name="Followed Hyperlink" xfId="23604" builtinId="9" hidden="1"/>
    <cellStyle name="Followed Hyperlink" xfId="23606" builtinId="9" hidden="1"/>
    <cellStyle name="Followed Hyperlink" xfId="23608" builtinId="9" hidden="1"/>
    <cellStyle name="Followed Hyperlink" xfId="23610" builtinId="9" hidden="1"/>
    <cellStyle name="Followed Hyperlink" xfId="23612" builtinId="9" hidden="1"/>
    <cellStyle name="Followed Hyperlink" xfId="23614" builtinId="9" hidden="1"/>
    <cellStyle name="Followed Hyperlink" xfId="23616" builtinId="9" hidden="1"/>
    <cellStyle name="Followed Hyperlink" xfId="23618" builtinId="9" hidden="1"/>
    <cellStyle name="Followed Hyperlink" xfId="23620" builtinId="9" hidden="1"/>
    <cellStyle name="Followed Hyperlink" xfId="23622" builtinId="9" hidden="1"/>
    <cellStyle name="Followed Hyperlink" xfId="23624" builtinId="9" hidden="1"/>
    <cellStyle name="Followed Hyperlink" xfId="23626" builtinId="9" hidden="1"/>
    <cellStyle name="Followed Hyperlink" xfId="23628" builtinId="9" hidden="1"/>
    <cellStyle name="Followed Hyperlink" xfId="23630" builtinId="9" hidden="1"/>
    <cellStyle name="Followed Hyperlink" xfId="23632" builtinId="9" hidden="1"/>
    <cellStyle name="Followed Hyperlink" xfId="23634" builtinId="9" hidden="1"/>
    <cellStyle name="Followed Hyperlink" xfId="23636" builtinId="9" hidden="1"/>
    <cellStyle name="Followed Hyperlink" xfId="23638" builtinId="9" hidden="1"/>
    <cellStyle name="Followed Hyperlink" xfId="23640" builtinId="9" hidden="1"/>
    <cellStyle name="Followed Hyperlink" xfId="23642" builtinId="9" hidden="1"/>
    <cellStyle name="Followed Hyperlink" xfId="23644" builtinId="9" hidden="1"/>
    <cellStyle name="Followed Hyperlink" xfId="23646" builtinId="9" hidden="1"/>
    <cellStyle name="Followed Hyperlink" xfId="23648" builtinId="9" hidden="1"/>
    <cellStyle name="Followed Hyperlink" xfId="23650" builtinId="9" hidden="1"/>
    <cellStyle name="Followed Hyperlink" xfId="23652" builtinId="9" hidden="1"/>
    <cellStyle name="Followed Hyperlink" xfId="23654" builtinId="9" hidden="1"/>
    <cellStyle name="Followed Hyperlink" xfId="23656" builtinId="9" hidden="1"/>
    <cellStyle name="Followed Hyperlink" xfId="23658" builtinId="9" hidden="1"/>
    <cellStyle name="Followed Hyperlink" xfId="23660" builtinId="9" hidden="1"/>
    <cellStyle name="Followed Hyperlink" xfId="23662" builtinId="9" hidden="1"/>
    <cellStyle name="Followed Hyperlink" xfId="23664" builtinId="9" hidden="1"/>
    <cellStyle name="Followed Hyperlink" xfId="23666" builtinId="9" hidden="1"/>
    <cellStyle name="Followed Hyperlink" xfId="23668" builtinId="9" hidden="1"/>
    <cellStyle name="Followed Hyperlink" xfId="23670" builtinId="9" hidden="1"/>
    <cellStyle name="Followed Hyperlink" xfId="23672" builtinId="9" hidden="1"/>
    <cellStyle name="Followed Hyperlink" xfId="23674" builtinId="9" hidden="1"/>
    <cellStyle name="Followed Hyperlink" xfId="23676" builtinId="9" hidden="1"/>
    <cellStyle name="Followed Hyperlink" xfId="23678" builtinId="9" hidden="1"/>
    <cellStyle name="Followed Hyperlink" xfId="23680" builtinId="9" hidden="1"/>
    <cellStyle name="Followed Hyperlink" xfId="23682" builtinId="9" hidden="1"/>
    <cellStyle name="Followed Hyperlink" xfId="23684" builtinId="9" hidden="1"/>
    <cellStyle name="Followed Hyperlink" xfId="23686" builtinId="9" hidden="1"/>
    <cellStyle name="Followed Hyperlink" xfId="23761" builtinId="9" hidden="1"/>
    <cellStyle name="Followed Hyperlink" xfId="23762" builtinId="9" hidden="1"/>
    <cellStyle name="Followed Hyperlink" xfId="23763" builtinId="9" hidden="1"/>
    <cellStyle name="Followed Hyperlink" xfId="23764" builtinId="9" hidden="1"/>
    <cellStyle name="Followed Hyperlink" xfId="23765" builtinId="9" hidden="1"/>
    <cellStyle name="Followed Hyperlink" xfId="23766" builtinId="9" hidden="1"/>
    <cellStyle name="Followed Hyperlink" xfId="23767" builtinId="9" hidden="1"/>
    <cellStyle name="Followed Hyperlink" xfId="23768" builtinId="9" hidden="1"/>
    <cellStyle name="Followed Hyperlink" xfId="23769" builtinId="9" hidden="1"/>
    <cellStyle name="Followed Hyperlink" xfId="23770" builtinId="9" hidden="1"/>
    <cellStyle name="Followed Hyperlink" xfId="23771" builtinId="9" hidden="1"/>
    <cellStyle name="Followed Hyperlink" xfId="23772" builtinId="9" hidden="1"/>
    <cellStyle name="Followed Hyperlink" xfId="23773" builtinId="9" hidden="1"/>
    <cellStyle name="Followed Hyperlink" xfId="23774" builtinId="9" hidden="1"/>
    <cellStyle name="Followed Hyperlink" xfId="23775" builtinId="9" hidden="1"/>
    <cellStyle name="Followed Hyperlink" xfId="23776" builtinId="9" hidden="1"/>
    <cellStyle name="Followed Hyperlink" xfId="23777" builtinId="9" hidden="1"/>
    <cellStyle name="Followed Hyperlink" xfId="23778" builtinId="9" hidden="1"/>
    <cellStyle name="Followed Hyperlink" xfId="23779" builtinId="9" hidden="1"/>
    <cellStyle name="Followed Hyperlink" xfId="23780" builtinId="9" hidden="1"/>
    <cellStyle name="Followed Hyperlink" xfId="23781" builtinId="9" hidden="1"/>
    <cellStyle name="Followed Hyperlink" xfId="23782" builtinId="9" hidden="1"/>
    <cellStyle name="Followed Hyperlink" xfId="23783" builtinId="9" hidden="1"/>
    <cellStyle name="Followed Hyperlink" xfId="23784" builtinId="9" hidden="1"/>
    <cellStyle name="Followed Hyperlink" xfId="23785" builtinId="9" hidden="1"/>
    <cellStyle name="Followed Hyperlink" xfId="23786" builtinId="9" hidden="1"/>
    <cellStyle name="Followed Hyperlink" xfId="23787" builtinId="9" hidden="1"/>
    <cellStyle name="Followed Hyperlink" xfId="23788" builtinId="9" hidden="1"/>
    <cellStyle name="Followed Hyperlink" xfId="23789" builtinId="9" hidden="1"/>
    <cellStyle name="Followed Hyperlink" xfId="23790" builtinId="9" hidden="1"/>
    <cellStyle name="Followed Hyperlink" xfId="23791" builtinId="9" hidden="1"/>
    <cellStyle name="Followed Hyperlink" xfId="23792" builtinId="9" hidden="1"/>
    <cellStyle name="Followed Hyperlink" xfId="23793" builtinId="9" hidden="1"/>
    <cellStyle name="Followed Hyperlink" xfId="23794" builtinId="9" hidden="1"/>
    <cellStyle name="Followed Hyperlink" xfId="23795" builtinId="9" hidden="1"/>
    <cellStyle name="Followed Hyperlink" xfId="23796" builtinId="9" hidden="1"/>
    <cellStyle name="Followed Hyperlink" xfId="23797" builtinId="9" hidden="1"/>
    <cellStyle name="Followed Hyperlink" xfId="23798" builtinId="9" hidden="1"/>
    <cellStyle name="Followed Hyperlink" xfId="23799" builtinId="9" hidden="1"/>
    <cellStyle name="Followed Hyperlink" xfId="23800" builtinId="9" hidden="1"/>
    <cellStyle name="Followed Hyperlink" xfId="23801" builtinId="9" hidden="1"/>
    <cellStyle name="Followed Hyperlink" xfId="23858" builtinId="9" hidden="1"/>
    <cellStyle name="Followed Hyperlink" xfId="23859" builtinId="9" hidden="1"/>
    <cellStyle name="Followed Hyperlink" xfId="23860" builtinId="9" hidden="1"/>
    <cellStyle name="Followed Hyperlink" xfId="23861" builtinId="9" hidden="1"/>
    <cellStyle name="Followed Hyperlink" xfId="23862" builtinId="9" hidden="1"/>
    <cellStyle name="Followed Hyperlink" xfId="23863" builtinId="9" hidden="1"/>
    <cellStyle name="Followed Hyperlink" xfId="23864" builtinId="9" hidden="1"/>
    <cellStyle name="Followed Hyperlink" xfId="23865" builtinId="9" hidden="1"/>
    <cellStyle name="Followed Hyperlink" xfId="23866" builtinId="9" hidden="1"/>
    <cellStyle name="Followed Hyperlink" xfId="23867" builtinId="9" hidden="1"/>
    <cellStyle name="Followed Hyperlink" xfId="23868" builtinId="9" hidden="1"/>
    <cellStyle name="Followed Hyperlink" xfId="23869" builtinId="9" hidden="1"/>
    <cellStyle name="Followed Hyperlink" xfId="23870" builtinId="9" hidden="1"/>
    <cellStyle name="Followed Hyperlink" xfId="23871" builtinId="9" hidden="1"/>
    <cellStyle name="Followed Hyperlink" xfId="23872" builtinId="9" hidden="1"/>
    <cellStyle name="Followed Hyperlink" xfId="23873" builtinId="9" hidden="1"/>
    <cellStyle name="Followed Hyperlink" xfId="23874" builtinId="9" hidden="1"/>
    <cellStyle name="Followed Hyperlink" xfId="23875" builtinId="9" hidden="1"/>
    <cellStyle name="Followed Hyperlink" xfId="23876" builtinId="9" hidden="1"/>
    <cellStyle name="Followed Hyperlink" xfId="23877" builtinId="9" hidden="1"/>
    <cellStyle name="Followed Hyperlink" xfId="23878" builtinId="9" hidden="1"/>
    <cellStyle name="Followed Hyperlink" xfId="23879" builtinId="9" hidden="1"/>
    <cellStyle name="Followed Hyperlink" xfId="23880" builtinId="9" hidden="1"/>
    <cellStyle name="Followed Hyperlink" xfId="23881" builtinId="9" hidden="1"/>
    <cellStyle name="Followed Hyperlink" xfId="23882" builtinId="9" hidden="1"/>
    <cellStyle name="Followed Hyperlink" xfId="23883" builtinId="9" hidden="1"/>
    <cellStyle name="Followed Hyperlink" xfId="23884" builtinId="9" hidden="1"/>
    <cellStyle name="Followed Hyperlink" xfId="23885" builtinId="9" hidden="1"/>
    <cellStyle name="Followed Hyperlink" xfId="23886" builtinId="9" hidden="1"/>
    <cellStyle name="Followed Hyperlink" xfId="23887" builtinId="9" hidden="1"/>
    <cellStyle name="Followed Hyperlink" xfId="23888" builtinId="9" hidden="1"/>
    <cellStyle name="Followed Hyperlink" xfId="23889" builtinId="9" hidden="1"/>
    <cellStyle name="Followed Hyperlink" xfId="23890" builtinId="9" hidden="1"/>
    <cellStyle name="Followed Hyperlink" xfId="23891" builtinId="9" hidden="1"/>
    <cellStyle name="Followed Hyperlink" xfId="23892" builtinId="9" hidden="1"/>
    <cellStyle name="Followed Hyperlink" xfId="23893" builtinId="9" hidden="1"/>
    <cellStyle name="Followed Hyperlink" xfId="23894" builtinId="9" hidden="1"/>
    <cellStyle name="Followed Hyperlink" xfId="23895" builtinId="9" hidden="1"/>
    <cellStyle name="Followed Hyperlink" xfId="23896" builtinId="9" hidden="1"/>
    <cellStyle name="Followed Hyperlink" xfId="23897" builtinId="9" hidden="1"/>
    <cellStyle name="Followed Hyperlink" xfId="23898" builtinId="9" hidden="1"/>
    <cellStyle name="Followed Hyperlink" xfId="23899" builtinId="9" hidden="1"/>
    <cellStyle name="Followed Hyperlink" xfId="23900" builtinId="9" hidden="1"/>
    <cellStyle name="Followed Hyperlink" xfId="23901" builtinId="9" hidden="1"/>
    <cellStyle name="Followed Hyperlink" xfId="23902" builtinId="9" hidden="1"/>
    <cellStyle name="Followed Hyperlink" xfId="23903" builtinId="9" hidden="1"/>
    <cellStyle name="Followed Hyperlink" xfId="23904" builtinId="9" hidden="1"/>
    <cellStyle name="Followed Hyperlink" xfId="23905" builtinId="9" hidden="1"/>
    <cellStyle name="Followed Hyperlink" xfId="23906" builtinId="9" hidden="1"/>
    <cellStyle name="Followed Hyperlink" xfId="23907" builtinId="9" hidden="1"/>
    <cellStyle name="Followed Hyperlink" xfId="23908" builtinId="9" hidden="1"/>
    <cellStyle name="Followed Hyperlink" xfId="23909" builtinId="9" hidden="1"/>
    <cellStyle name="Followed Hyperlink" xfId="23910" builtinId="9" hidden="1"/>
    <cellStyle name="Followed Hyperlink" xfId="23911" builtinId="9" hidden="1"/>
    <cellStyle name="Followed Hyperlink" xfId="23912" builtinId="9" hidden="1"/>
    <cellStyle name="Followed Hyperlink" xfId="23913" builtinId="9" hidden="1"/>
    <cellStyle name="Followed Hyperlink" xfId="23914" builtinId="9" hidden="1"/>
    <cellStyle name="Followed Hyperlink" xfId="23915" builtinId="9" hidden="1"/>
    <cellStyle name="Followed Hyperlink" xfId="23916" builtinId="9" hidden="1"/>
    <cellStyle name="Followed Hyperlink" xfId="23917" builtinId="9" hidden="1"/>
    <cellStyle name="Followed Hyperlink" xfId="23918" builtinId="9" hidden="1"/>
    <cellStyle name="Followed Hyperlink" xfId="23919" builtinId="9" hidden="1"/>
    <cellStyle name="Followed Hyperlink" xfId="23920" builtinId="9" hidden="1"/>
    <cellStyle name="Followed Hyperlink" xfId="23921" builtinId="9" hidden="1"/>
    <cellStyle name="Followed Hyperlink" xfId="23922" builtinId="9" hidden="1"/>
    <cellStyle name="Followed Hyperlink" xfId="23923" builtinId="9" hidden="1"/>
    <cellStyle name="Followed Hyperlink" xfId="23924" builtinId="9" hidden="1"/>
    <cellStyle name="Followed Hyperlink" xfId="23925" builtinId="9" hidden="1"/>
    <cellStyle name="Followed Hyperlink" xfId="23926" builtinId="9" hidden="1"/>
    <cellStyle name="Followed Hyperlink" xfId="23927" builtinId="9" hidden="1"/>
    <cellStyle name="Followed Hyperlink" xfId="23928" builtinId="9" hidden="1"/>
    <cellStyle name="Followed Hyperlink" xfId="23929" builtinId="9" hidden="1"/>
    <cellStyle name="Followed Hyperlink" xfId="23930" builtinId="9" hidden="1"/>
    <cellStyle name="Followed Hyperlink" xfId="23931" builtinId="9" hidden="1"/>
    <cellStyle name="Followed Hyperlink" xfId="23932" builtinId="9" hidden="1"/>
    <cellStyle name="Followed Hyperlink" xfId="23938" builtinId="9" hidden="1"/>
    <cellStyle name="Followed Hyperlink" xfId="23939" builtinId="9" hidden="1"/>
    <cellStyle name="Followed Hyperlink" xfId="23940" builtinId="9" hidden="1"/>
    <cellStyle name="Followed Hyperlink" xfId="23941" builtinId="9" hidden="1"/>
    <cellStyle name="Followed Hyperlink" xfId="23942" builtinId="9" hidden="1"/>
    <cellStyle name="Followed Hyperlink" xfId="23943" builtinId="9" hidden="1"/>
    <cellStyle name="Followed Hyperlink" xfId="23944" builtinId="9" hidden="1"/>
    <cellStyle name="Followed Hyperlink" xfId="23945" builtinId="9" hidden="1"/>
    <cellStyle name="Followed Hyperlink" xfId="23946" builtinId="9" hidden="1"/>
    <cellStyle name="Followed Hyperlink" xfId="23947" builtinId="9" hidden="1"/>
    <cellStyle name="Followed Hyperlink" xfId="23948" builtinId="9" hidden="1"/>
    <cellStyle name="Followed Hyperlink" xfId="23949" builtinId="9" hidden="1"/>
    <cellStyle name="Followed Hyperlink" xfId="23950" builtinId="9" hidden="1"/>
    <cellStyle name="Followed Hyperlink" xfId="23951" builtinId="9" hidden="1"/>
    <cellStyle name="Followed Hyperlink" xfId="23952" builtinId="9" hidden="1"/>
    <cellStyle name="Followed Hyperlink" xfId="23953" builtinId="9" hidden="1"/>
    <cellStyle name="Followed Hyperlink" xfId="23954" builtinId="9" hidden="1"/>
    <cellStyle name="Followed Hyperlink" xfId="23955" builtinId="9" hidden="1"/>
    <cellStyle name="Followed Hyperlink" xfId="23956" builtinId="9" hidden="1"/>
    <cellStyle name="Followed Hyperlink" xfId="23957" builtinId="9" hidden="1"/>
    <cellStyle name="Followed Hyperlink" xfId="23958" builtinId="9" hidden="1"/>
    <cellStyle name="Followed Hyperlink" xfId="23959" builtinId="9" hidden="1"/>
    <cellStyle name="Followed Hyperlink" xfId="23960" builtinId="9" hidden="1"/>
    <cellStyle name="Followed Hyperlink" xfId="23961" builtinId="9" hidden="1"/>
    <cellStyle name="Followed Hyperlink" xfId="23962" builtinId="9" hidden="1"/>
    <cellStyle name="Followed Hyperlink" xfId="23963" builtinId="9" hidden="1"/>
    <cellStyle name="Followed Hyperlink" xfId="23964" builtinId="9" hidden="1"/>
    <cellStyle name="Followed Hyperlink" xfId="23965" builtinId="9" hidden="1"/>
    <cellStyle name="Followed Hyperlink" xfId="23966" builtinId="9" hidden="1"/>
    <cellStyle name="Followed Hyperlink" xfId="23967" builtinId="9" hidden="1"/>
    <cellStyle name="Followed Hyperlink" xfId="23968" builtinId="9" hidden="1"/>
    <cellStyle name="Followed Hyperlink" xfId="23969" builtinId="9" hidden="1"/>
    <cellStyle name="Followed Hyperlink" xfId="23970" builtinId="9" hidden="1"/>
    <cellStyle name="Followed Hyperlink" xfId="23971" builtinId="9" hidden="1"/>
    <cellStyle name="Followed Hyperlink" xfId="23972" builtinId="9" hidden="1"/>
    <cellStyle name="Followed Hyperlink" xfId="23973" builtinId="9" hidden="1"/>
    <cellStyle name="Followed Hyperlink" xfId="23974" builtinId="9" hidden="1"/>
    <cellStyle name="Followed Hyperlink" xfId="23975" builtinId="9" hidden="1"/>
    <cellStyle name="Followed Hyperlink" xfId="23976" builtinId="9" hidden="1"/>
    <cellStyle name="Followed Hyperlink" xfId="23977" builtinId="9" hidden="1"/>
    <cellStyle name="Followed Hyperlink" xfId="23978" builtinId="9" hidden="1"/>
    <cellStyle name="Followed Hyperlink" xfId="23979" builtinId="9" hidden="1"/>
    <cellStyle name="Followed Hyperlink" xfId="23980" builtinId="9" hidden="1"/>
    <cellStyle name="Followed Hyperlink" xfId="23981" builtinId="9" hidden="1"/>
    <cellStyle name="Followed Hyperlink" xfId="23982" builtinId="9" hidden="1"/>
    <cellStyle name="Followed Hyperlink" xfId="23983" builtinId="9" hidden="1"/>
    <cellStyle name="Followed Hyperlink" xfId="23984" builtinId="9" hidden="1"/>
    <cellStyle name="Followed Hyperlink" xfId="23985" builtinId="9" hidden="1"/>
    <cellStyle name="Followed Hyperlink" xfId="23986" builtinId="9" hidden="1"/>
    <cellStyle name="Followed Hyperlink" xfId="23987" builtinId="9" hidden="1"/>
    <cellStyle name="Followed Hyperlink" xfId="23992" builtinId="9" hidden="1"/>
    <cellStyle name="Followed Hyperlink" xfId="23993" builtinId="9" hidden="1"/>
    <cellStyle name="Followed Hyperlink" xfId="23994" builtinId="9" hidden="1"/>
    <cellStyle name="Followed Hyperlink" xfId="23995" builtinId="9" hidden="1"/>
    <cellStyle name="Followed Hyperlink" xfId="23996" builtinId="9" hidden="1"/>
    <cellStyle name="Followed Hyperlink" xfId="23997" builtinId="9" hidden="1"/>
    <cellStyle name="Followed Hyperlink" xfId="23998" builtinId="9" hidden="1"/>
    <cellStyle name="Followed Hyperlink" xfId="23999" builtinId="9" hidden="1"/>
    <cellStyle name="Followed Hyperlink" xfId="24000" builtinId="9" hidden="1"/>
    <cellStyle name="Followed Hyperlink" xfId="24001" builtinId="9" hidden="1"/>
    <cellStyle name="Followed Hyperlink" xfId="24002" builtinId="9" hidden="1"/>
    <cellStyle name="Followed Hyperlink" xfId="24003" builtinId="9" hidden="1"/>
    <cellStyle name="Followed Hyperlink" xfId="24004" builtinId="9" hidden="1"/>
    <cellStyle name="Followed Hyperlink" xfId="24005" builtinId="9" hidden="1"/>
    <cellStyle name="Followed Hyperlink" xfId="24006" builtinId="9" hidden="1"/>
    <cellStyle name="Followed Hyperlink" xfId="24007" builtinId="9" hidden="1"/>
    <cellStyle name="Followed Hyperlink" xfId="24008" builtinId="9" hidden="1"/>
    <cellStyle name="Followed Hyperlink" xfId="24009" builtinId="9" hidden="1"/>
    <cellStyle name="Followed Hyperlink" xfId="24010" builtinId="9" hidden="1"/>
    <cellStyle name="Followed Hyperlink" xfId="24011" builtinId="9" hidden="1"/>
    <cellStyle name="Followed Hyperlink" xfId="24012" builtinId="9" hidden="1"/>
    <cellStyle name="Followed Hyperlink" xfId="24013" builtinId="9" hidden="1"/>
    <cellStyle name="Followed Hyperlink" xfId="24014" builtinId="9" hidden="1"/>
    <cellStyle name="Followed Hyperlink" xfId="24015" builtinId="9" hidden="1"/>
    <cellStyle name="Followed Hyperlink" xfId="24016" builtinId="9" hidden="1"/>
    <cellStyle name="Followed Hyperlink" xfId="24017" builtinId="9" hidden="1"/>
    <cellStyle name="Followed Hyperlink" xfId="24018" builtinId="9" hidden="1"/>
    <cellStyle name="Followed Hyperlink" xfId="24019" builtinId="9" hidden="1"/>
    <cellStyle name="Followed Hyperlink" xfId="24020" builtinId="9" hidden="1"/>
    <cellStyle name="Followed Hyperlink" xfId="24021" builtinId="9" hidden="1"/>
    <cellStyle name="Followed Hyperlink" xfId="24022" builtinId="9" hidden="1"/>
    <cellStyle name="Followed Hyperlink" xfId="24023" builtinId="9" hidden="1"/>
    <cellStyle name="Followed Hyperlink" xfId="24024" builtinId="9" hidden="1"/>
    <cellStyle name="Followed Hyperlink" xfId="24025" builtinId="9" hidden="1"/>
    <cellStyle name="Followed Hyperlink" xfId="24026" builtinId="9" hidden="1"/>
    <cellStyle name="Followed Hyperlink" xfId="24027" builtinId="9" hidden="1"/>
    <cellStyle name="Followed Hyperlink" xfId="24028" builtinId="9" hidden="1"/>
    <cellStyle name="Followed Hyperlink" xfId="24029" builtinId="9" hidden="1"/>
    <cellStyle name="Followed Hyperlink" xfId="24030" builtinId="9" hidden="1"/>
    <cellStyle name="Followed Hyperlink" xfId="24031" builtinId="9" hidden="1"/>
    <cellStyle name="Followed Hyperlink" xfId="24032" builtinId="9" hidden="1"/>
    <cellStyle name="Followed Hyperlink" xfId="24033" builtinId="9" hidden="1"/>
    <cellStyle name="Followed Hyperlink" xfId="24034" builtinId="9" hidden="1"/>
    <cellStyle name="Followed Hyperlink" xfId="24035" builtinId="9" hidden="1"/>
    <cellStyle name="Followed Hyperlink" xfId="24036" builtinId="9" hidden="1"/>
    <cellStyle name="Followed Hyperlink" xfId="24037" builtinId="9" hidden="1"/>
    <cellStyle name="Followed Hyperlink" xfId="24038" builtinId="9" hidden="1"/>
    <cellStyle name="Followed Hyperlink" xfId="24039" builtinId="9" hidden="1"/>
    <cellStyle name="Followed Hyperlink" xfId="24040" builtinId="9" hidden="1"/>
    <cellStyle name="Followed Hyperlink" xfId="24041" builtinId="9" hidden="1"/>
    <cellStyle name="Followed Hyperlink" xfId="24042" builtinId="9" hidden="1"/>
    <cellStyle name="Followed Hyperlink" xfId="24043" builtinId="9" hidden="1"/>
    <cellStyle name="Followed Hyperlink" xfId="24044" builtinId="9" hidden="1"/>
    <cellStyle name="Followed Hyperlink" xfId="24045" builtinId="9" hidden="1"/>
    <cellStyle name="Followed Hyperlink" xfId="24046" builtinId="9" hidden="1"/>
    <cellStyle name="Followed Hyperlink" xfId="24047" builtinId="9" hidden="1"/>
    <cellStyle name="Followed Hyperlink" xfId="24048" builtinId="9" hidden="1"/>
    <cellStyle name="Followed Hyperlink" xfId="24049" builtinId="9" hidden="1"/>
    <cellStyle name="Followed Hyperlink" xfId="24050" builtinId="9" hidden="1"/>
    <cellStyle name="Followed Hyperlink" xfId="24051" builtinId="9" hidden="1"/>
    <cellStyle name="Followed Hyperlink" xfId="24052" builtinId="9" hidden="1"/>
    <cellStyle name="Followed Hyperlink" xfId="24053" builtinId="9" hidden="1"/>
    <cellStyle name="Followed Hyperlink" xfId="24054" builtinId="9" hidden="1"/>
    <cellStyle name="Followed Hyperlink" xfId="24055" builtinId="9" hidden="1"/>
    <cellStyle name="Followed Hyperlink" xfId="24056" builtinId="9" hidden="1"/>
    <cellStyle name="Followed Hyperlink" xfId="24057" builtinId="9" hidden="1"/>
    <cellStyle name="Followed Hyperlink" xfId="24058" builtinId="9" hidden="1"/>
    <cellStyle name="Followed Hyperlink" xfId="24059" builtinId="9" hidden="1"/>
    <cellStyle name="Followed Hyperlink" xfId="24060" builtinId="9" hidden="1"/>
    <cellStyle name="Followed Hyperlink" xfId="24061" builtinId="9" hidden="1"/>
    <cellStyle name="Followed Hyperlink" xfId="24062" builtinId="9" hidden="1"/>
    <cellStyle name="Followed Hyperlink" xfId="24063" builtinId="9" hidden="1"/>
    <cellStyle name="Followed Hyperlink" xfId="24064" builtinId="9" hidden="1"/>
    <cellStyle name="Followed Hyperlink" xfId="24065" builtinId="9" hidden="1"/>
    <cellStyle name="Followed Hyperlink" xfId="24066" builtinId="9" hidden="1"/>
    <cellStyle name="Followed Hyperlink" xfId="24067" builtinId="9" hidden="1"/>
    <cellStyle name="Followed Hyperlink" xfId="24068" builtinId="9" hidden="1"/>
    <cellStyle name="Followed Hyperlink" xfId="24069" builtinId="9" hidden="1"/>
    <cellStyle name="Followed Hyperlink" xfId="24070" builtinId="9" hidden="1"/>
    <cellStyle name="Followed Hyperlink" xfId="24071" builtinId="9" hidden="1"/>
    <cellStyle name="Followed Hyperlink" xfId="24072" builtinId="9" hidden="1"/>
    <cellStyle name="Followed Hyperlink" xfId="24073" builtinId="9" hidden="1"/>
    <cellStyle name="Followed Hyperlink" xfId="24074" builtinId="9" hidden="1"/>
    <cellStyle name="Followed Hyperlink" xfId="24075" builtinId="9" hidden="1"/>
    <cellStyle name="Followed Hyperlink" xfId="24076" builtinId="9" hidden="1"/>
    <cellStyle name="Followed Hyperlink" xfId="24077" builtinId="9" hidden="1"/>
    <cellStyle name="Followed Hyperlink" xfId="24078" builtinId="9" hidden="1"/>
    <cellStyle name="Followed Hyperlink" xfId="24079" builtinId="9" hidden="1"/>
    <cellStyle name="Followed Hyperlink" xfId="24080" builtinId="9" hidden="1"/>
    <cellStyle name="Followed Hyperlink" xfId="24081" builtinId="9" hidden="1"/>
    <cellStyle name="Followed Hyperlink" xfId="24082" builtinId="9" hidden="1"/>
    <cellStyle name="Followed Hyperlink" xfId="24083" builtinId="9" hidden="1"/>
    <cellStyle name="Followed Hyperlink" xfId="24084" builtinId="9" hidden="1"/>
    <cellStyle name="Followed Hyperlink" xfId="24085" builtinId="9" hidden="1"/>
    <cellStyle name="Followed Hyperlink" xfId="24086" builtinId="9" hidden="1"/>
    <cellStyle name="Followed Hyperlink" xfId="24087" builtinId="9" hidden="1"/>
    <cellStyle name="Followed Hyperlink" xfId="24088" builtinId="9" hidden="1"/>
    <cellStyle name="Followed Hyperlink" xfId="24089" builtinId="9" hidden="1"/>
    <cellStyle name="Followed Hyperlink" xfId="24090" builtinId="9" hidden="1"/>
    <cellStyle name="Followed Hyperlink" xfId="24091" builtinId="9" hidden="1"/>
    <cellStyle name="Followed Hyperlink" xfId="24092" builtinId="9" hidden="1"/>
    <cellStyle name="Followed Hyperlink" xfId="24093" builtinId="9" hidden="1"/>
    <cellStyle name="Followed Hyperlink" xfId="24094" builtinId="9" hidden="1"/>
    <cellStyle name="Followed Hyperlink" xfId="24095" builtinId="9" hidden="1"/>
    <cellStyle name="Followed Hyperlink" xfId="24096" builtinId="9" hidden="1"/>
    <cellStyle name="Followed Hyperlink" xfId="24097" builtinId="9" hidden="1"/>
    <cellStyle name="Followed Hyperlink" xfId="24098" builtinId="9" hidden="1"/>
    <cellStyle name="Followed Hyperlink" xfId="24099" builtinId="9" hidden="1"/>
    <cellStyle name="Followed Hyperlink" xfId="24100" builtinId="9" hidden="1"/>
    <cellStyle name="Followed Hyperlink" xfId="24101" builtinId="9" hidden="1"/>
    <cellStyle name="Followed Hyperlink" xfId="24102" builtinId="9" hidden="1"/>
    <cellStyle name="Followed Hyperlink" xfId="24103" builtinId="9" hidden="1"/>
    <cellStyle name="Followed Hyperlink" xfId="24104" builtinId="9" hidden="1"/>
    <cellStyle name="Followed Hyperlink" xfId="24105" builtinId="9" hidden="1"/>
    <cellStyle name="Followed Hyperlink" xfId="24106" builtinId="9" hidden="1"/>
    <cellStyle name="Followed Hyperlink" xfId="24107" builtinId="9" hidden="1"/>
    <cellStyle name="Followed Hyperlink" xfId="24108" builtinId="9" hidden="1"/>
    <cellStyle name="Followed Hyperlink" xfId="24109" builtinId="9" hidden="1"/>
    <cellStyle name="Followed Hyperlink" xfId="24110" builtinId="9" hidden="1"/>
    <cellStyle name="Followed Hyperlink" xfId="24111" builtinId="9" hidden="1"/>
    <cellStyle name="Followed Hyperlink" xfId="24112" builtinId="9" hidden="1"/>
    <cellStyle name="Followed Hyperlink" xfId="24113" builtinId="9" hidden="1"/>
    <cellStyle name="Followed Hyperlink" xfId="24114" builtinId="9" hidden="1"/>
    <cellStyle name="Followed Hyperlink" xfId="24115" builtinId="9" hidden="1"/>
    <cellStyle name="Followed Hyperlink" xfId="24116" builtinId="9" hidden="1"/>
    <cellStyle name="Followed Hyperlink" xfId="24117" builtinId="9" hidden="1"/>
    <cellStyle name="Followed Hyperlink" xfId="24118" builtinId="9" hidden="1"/>
    <cellStyle name="Followed Hyperlink" xfId="24119" builtinId="9" hidden="1"/>
    <cellStyle name="Followed Hyperlink" xfId="24120" builtinId="9" hidden="1"/>
    <cellStyle name="Followed Hyperlink" xfId="24121" builtinId="9" hidden="1"/>
    <cellStyle name="Followed Hyperlink" xfId="24122" builtinId="9" hidden="1"/>
    <cellStyle name="Followed Hyperlink" xfId="24123" builtinId="9" hidden="1"/>
    <cellStyle name="Followed Hyperlink" xfId="24124" builtinId="9" hidden="1"/>
    <cellStyle name="Followed Hyperlink" xfId="24125" builtinId="9" hidden="1"/>
    <cellStyle name="Followed Hyperlink" xfId="24126" builtinId="9" hidden="1"/>
    <cellStyle name="Followed Hyperlink" xfId="24127" builtinId="9" hidden="1"/>
    <cellStyle name="Followed Hyperlink" xfId="24128" builtinId="9" hidden="1"/>
    <cellStyle name="Followed Hyperlink" xfId="24129" builtinId="9" hidden="1"/>
    <cellStyle name="Followed Hyperlink" xfId="24130" builtinId="9" hidden="1"/>
    <cellStyle name="Followed Hyperlink" xfId="24131" builtinId="9" hidden="1"/>
    <cellStyle name="Followed Hyperlink" xfId="24132" builtinId="9" hidden="1"/>
    <cellStyle name="Followed Hyperlink" xfId="24133" builtinId="9" hidden="1"/>
    <cellStyle name="Followed Hyperlink" xfId="24134" builtinId="9" hidden="1"/>
    <cellStyle name="Followed Hyperlink" xfId="24135" builtinId="9" hidden="1"/>
    <cellStyle name="Followed Hyperlink" xfId="24136" builtinId="9" hidden="1"/>
    <cellStyle name="Followed Hyperlink" xfId="24137" builtinId="9" hidden="1"/>
    <cellStyle name="Followed Hyperlink" xfId="24138" builtinId="9" hidden="1"/>
    <cellStyle name="Followed Hyperlink" xfId="24139" builtinId="9" hidden="1"/>
    <cellStyle name="Followed Hyperlink" xfId="23844" builtinId="9" hidden="1"/>
    <cellStyle name="Followed Hyperlink" xfId="24222" builtinId="9" hidden="1"/>
    <cellStyle name="Followed Hyperlink" xfId="23842" builtinId="9" hidden="1"/>
    <cellStyle name="Followed Hyperlink" xfId="24279" builtinId="9" hidden="1"/>
    <cellStyle name="Followed Hyperlink" xfId="23803" builtinId="9" hidden="1"/>
    <cellStyle name="Followed Hyperlink" xfId="24286" builtinId="9" hidden="1"/>
    <cellStyle name="Followed Hyperlink" xfId="23841" builtinId="9" hidden="1"/>
    <cellStyle name="Followed Hyperlink" xfId="24269" builtinId="9" hidden="1"/>
    <cellStyle name="Followed Hyperlink" xfId="24268" builtinId="9" hidden="1"/>
    <cellStyle name="Followed Hyperlink" xfId="24207" builtinId="9" hidden="1"/>
    <cellStyle name="Followed Hyperlink" xfId="24284" builtinId="9" hidden="1"/>
    <cellStyle name="Followed Hyperlink" xfId="24172" builtinId="9" hidden="1"/>
    <cellStyle name="Followed Hyperlink" xfId="24171" builtinId="9" hidden="1"/>
    <cellStyle name="Followed Hyperlink" xfId="24170" builtinId="9" hidden="1"/>
    <cellStyle name="Followed Hyperlink" xfId="23848" builtinId="9" hidden="1"/>
    <cellStyle name="Followed Hyperlink" xfId="23839" builtinId="9" hidden="1"/>
    <cellStyle name="Followed Hyperlink" xfId="24283" builtinId="9" hidden="1"/>
    <cellStyle name="Followed Hyperlink" xfId="23837" builtinId="9" hidden="1"/>
    <cellStyle name="Followed Hyperlink" xfId="24168" builtinId="9" hidden="1"/>
    <cellStyle name="Followed Hyperlink" xfId="23836" builtinId="9" hidden="1"/>
    <cellStyle name="Followed Hyperlink" xfId="24167" builtinId="9" hidden="1"/>
    <cellStyle name="Followed Hyperlink" xfId="23729" builtinId="9" hidden="1"/>
    <cellStyle name="Followed Hyperlink" xfId="24165" builtinId="9" hidden="1"/>
    <cellStyle name="Followed Hyperlink" xfId="24166" builtinId="9" hidden="1"/>
    <cellStyle name="Followed Hyperlink" xfId="23355" builtinId="9" hidden="1"/>
    <cellStyle name="Followed Hyperlink" xfId="23830" builtinId="9" hidden="1"/>
    <cellStyle name="Followed Hyperlink" xfId="23832" builtinId="9" hidden="1"/>
    <cellStyle name="Followed Hyperlink" xfId="23831" builtinId="9" hidden="1"/>
    <cellStyle name="Followed Hyperlink" xfId="23849" builtinId="9" hidden="1"/>
    <cellStyle name="Followed Hyperlink" xfId="23357" builtinId="9" hidden="1"/>
    <cellStyle name="Followed Hyperlink" xfId="24228" builtinId="9" hidden="1"/>
    <cellStyle name="Followed Hyperlink" xfId="24206" builtinId="9" hidden="1"/>
    <cellStyle name="Followed Hyperlink" xfId="24267" builtinId="9" hidden="1"/>
    <cellStyle name="Followed Hyperlink" xfId="23829" builtinId="9" hidden="1"/>
    <cellStyle name="Followed Hyperlink" xfId="24266" builtinId="9" hidden="1"/>
    <cellStyle name="Followed Hyperlink" xfId="24221" builtinId="9" hidden="1"/>
    <cellStyle name="Followed Hyperlink" xfId="23828" builtinId="9" hidden="1"/>
    <cellStyle name="Followed Hyperlink" xfId="24227" builtinId="9" hidden="1"/>
    <cellStyle name="Followed Hyperlink" xfId="24202" builtinId="9" hidden="1"/>
    <cellStyle name="Followed Hyperlink" xfId="23847" builtinId="9" hidden="1"/>
    <cellStyle name="Followed Hyperlink" xfId="22903" builtinId="9" hidden="1"/>
    <cellStyle name="Followed Hyperlink" xfId="24617" builtinId="9" hidden="1"/>
    <cellStyle name="Followed Hyperlink" xfId="24615" builtinId="9" hidden="1"/>
    <cellStyle name="Followed Hyperlink" xfId="24613" builtinId="9" hidden="1"/>
    <cellStyle name="Followed Hyperlink" xfId="24611" builtinId="9" hidden="1"/>
    <cellStyle name="Followed Hyperlink" xfId="24609" builtinId="9" hidden="1"/>
    <cellStyle name="Followed Hyperlink" xfId="24607" builtinId="9" hidden="1"/>
    <cellStyle name="Followed Hyperlink" xfId="24605" builtinId="9" hidden="1"/>
    <cellStyle name="Followed Hyperlink" xfId="24603" builtinId="9" hidden="1"/>
    <cellStyle name="Followed Hyperlink" xfId="24601" builtinId="9" hidden="1"/>
    <cellStyle name="Followed Hyperlink" xfId="24599" builtinId="9" hidden="1"/>
    <cellStyle name="Followed Hyperlink" xfId="24597" builtinId="9" hidden="1"/>
    <cellStyle name="Followed Hyperlink" xfId="24595" builtinId="9" hidden="1"/>
    <cellStyle name="Followed Hyperlink" xfId="24593" builtinId="9" hidden="1"/>
    <cellStyle name="Followed Hyperlink" xfId="24591" builtinId="9" hidden="1"/>
    <cellStyle name="Followed Hyperlink" xfId="24589" builtinId="9" hidden="1"/>
    <cellStyle name="Followed Hyperlink" xfId="24587" builtinId="9" hidden="1"/>
    <cellStyle name="Followed Hyperlink" xfId="24585" builtinId="9" hidden="1"/>
    <cellStyle name="Followed Hyperlink" xfId="24583" builtinId="9" hidden="1"/>
    <cellStyle name="Followed Hyperlink" xfId="24581" builtinId="9" hidden="1"/>
    <cellStyle name="Followed Hyperlink" xfId="24579" builtinId="9" hidden="1"/>
    <cellStyle name="Followed Hyperlink" xfId="24577" builtinId="9" hidden="1"/>
    <cellStyle name="Followed Hyperlink" xfId="24575" builtinId="9" hidden="1"/>
    <cellStyle name="Followed Hyperlink" xfId="24573" builtinId="9" hidden="1"/>
    <cellStyle name="Followed Hyperlink" xfId="24571" builtinId="9" hidden="1"/>
    <cellStyle name="Followed Hyperlink" xfId="24569" builtinId="9" hidden="1"/>
    <cellStyle name="Followed Hyperlink" xfId="24567" builtinId="9" hidden="1"/>
    <cellStyle name="Followed Hyperlink" xfId="24565" builtinId="9" hidden="1"/>
    <cellStyle name="Followed Hyperlink" xfId="24563" builtinId="9" hidden="1"/>
    <cellStyle name="Followed Hyperlink" xfId="24561" builtinId="9" hidden="1"/>
    <cellStyle name="Followed Hyperlink" xfId="24559" builtinId="9" hidden="1"/>
    <cellStyle name="Followed Hyperlink" xfId="24557" builtinId="9" hidden="1"/>
    <cellStyle name="Followed Hyperlink" xfId="24555" builtinId="9" hidden="1"/>
    <cellStyle name="Followed Hyperlink" xfId="24553" builtinId="9" hidden="1"/>
    <cellStyle name="Followed Hyperlink" xfId="24551" builtinId="9" hidden="1"/>
    <cellStyle name="Followed Hyperlink" xfId="24549" builtinId="9" hidden="1"/>
    <cellStyle name="Followed Hyperlink" xfId="24547" builtinId="9" hidden="1"/>
    <cellStyle name="Followed Hyperlink" xfId="24545" builtinId="9" hidden="1"/>
    <cellStyle name="Followed Hyperlink" xfId="24543" builtinId="9" hidden="1"/>
    <cellStyle name="Followed Hyperlink" xfId="24541" builtinId="9" hidden="1"/>
    <cellStyle name="Followed Hyperlink" xfId="24539" builtinId="9" hidden="1"/>
    <cellStyle name="Followed Hyperlink" xfId="24537" builtinId="9" hidden="1"/>
    <cellStyle name="Followed Hyperlink" xfId="24535" builtinId="9" hidden="1"/>
    <cellStyle name="Followed Hyperlink" xfId="24533" builtinId="9" hidden="1"/>
    <cellStyle name="Followed Hyperlink" xfId="24531" builtinId="9" hidden="1"/>
    <cellStyle name="Followed Hyperlink" xfId="24529" builtinId="9" hidden="1"/>
    <cellStyle name="Followed Hyperlink" xfId="24527" builtinId="9" hidden="1"/>
    <cellStyle name="Followed Hyperlink" xfId="24525" builtinId="9" hidden="1"/>
    <cellStyle name="Followed Hyperlink" xfId="24523" builtinId="9" hidden="1"/>
    <cellStyle name="Followed Hyperlink" xfId="24521" builtinId="9" hidden="1"/>
    <cellStyle name="Followed Hyperlink" xfId="24519" builtinId="9" hidden="1"/>
    <cellStyle name="Followed Hyperlink" xfId="24517" builtinId="9" hidden="1"/>
    <cellStyle name="Followed Hyperlink" xfId="24515" builtinId="9" hidden="1"/>
    <cellStyle name="Followed Hyperlink" xfId="24513" builtinId="9" hidden="1"/>
    <cellStyle name="Followed Hyperlink" xfId="24511" builtinId="9" hidden="1"/>
    <cellStyle name="Followed Hyperlink" xfId="24509" builtinId="9" hidden="1"/>
    <cellStyle name="Followed Hyperlink" xfId="24507" builtinId="9" hidden="1"/>
    <cellStyle name="Followed Hyperlink" xfId="24505" builtinId="9" hidden="1"/>
    <cellStyle name="Followed Hyperlink" xfId="24503" builtinId="9" hidden="1"/>
    <cellStyle name="Followed Hyperlink" xfId="24501" builtinId="9" hidden="1"/>
    <cellStyle name="Followed Hyperlink" xfId="24499" builtinId="9" hidden="1"/>
    <cellStyle name="Followed Hyperlink" xfId="24497" builtinId="9" hidden="1"/>
    <cellStyle name="Followed Hyperlink" xfId="24495" builtinId="9" hidden="1"/>
    <cellStyle name="Followed Hyperlink" xfId="24493" builtinId="9" hidden="1"/>
    <cellStyle name="Followed Hyperlink" xfId="24491" builtinId="9" hidden="1"/>
    <cellStyle name="Followed Hyperlink" xfId="24489" builtinId="9" hidden="1"/>
    <cellStyle name="Followed Hyperlink" xfId="24487" builtinId="9" hidden="1"/>
    <cellStyle name="Followed Hyperlink" xfId="24485" builtinId="9" hidden="1"/>
    <cellStyle name="Followed Hyperlink" xfId="24483" builtinId="9" hidden="1"/>
    <cellStyle name="Followed Hyperlink" xfId="24481" builtinId="9" hidden="1"/>
    <cellStyle name="Followed Hyperlink" xfId="24474" builtinId="9" hidden="1"/>
    <cellStyle name="Followed Hyperlink" xfId="24472" builtinId="9" hidden="1"/>
    <cellStyle name="Followed Hyperlink" xfId="24470" builtinId="9" hidden="1"/>
    <cellStyle name="Followed Hyperlink" xfId="24468" builtinId="9" hidden="1"/>
    <cellStyle name="Followed Hyperlink" xfId="24466" builtinId="9" hidden="1"/>
    <cellStyle name="Followed Hyperlink" xfId="24464" builtinId="9" hidden="1"/>
    <cellStyle name="Followed Hyperlink" xfId="24462" builtinId="9" hidden="1"/>
    <cellStyle name="Followed Hyperlink" xfId="24460" builtinId="9" hidden="1"/>
    <cellStyle name="Followed Hyperlink" xfId="24458" builtinId="9" hidden="1"/>
    <cellStyle name="Followed Hyperlink" xfId="24456" builtinId="9" hidden="1"/>
    <cellStyle name="Followed Hyperlink" xfId="24454" builtinId="9" hidden="1"/>
    <cellStyle name="Followed Hyperlink" xfId="24452" builtinId="9" hidden="1"/>
    <cellStyle name="Followed Hyperlink" xfId="24450" builtinId="9" hidden="1"/>
    <cellStyle name="Followed Hyperlink" xfId="24448" builtinId="9" hidden="1"/>
    <cellStyle name="Followed Hyperlink" xfId="24446" builtinId="9" hidden="1"/>
    <cellStyle name="Followed Hyperlink" xfId="24444" builtinId="9" hidden="1"/>
    <cellStyle name="Followed Hyperlink" xfId="24442" builtinId="9" hidden="1"/>
    <cellStyle name="Followed Hyperlink" xfId="24440" builtinId="9" hidden="1"/>
    <cellStyle name="Followed Hyperlink" xfId="24438" builtinId="9" hidden="1"/>
    <cellStyle name="Followed Hyperlink" xfId="24436" builtinId="9" hidden="1"/>
    <cellStyle name="Followed Hyperlink" xfId="24434" builtinId="9" hidden="1"/>
    <cellStyle name="Followed Hyperlink" xfId="24432" builtinId="9" hidden="1"/>
    <cellStyle name="Followed Hyperlink" xfId="24430" builtinId="9" hidden="1"/>
    <cellStyle name="Followed Hyperlink" xfId="24428" builtinId="9" hidden="1"/>
    <cellStyle name="Followed Hyperlink" xfId="24426" builtinId="9" hidden="1"/>
    <cellStyle name="Followed Hyperlink" xfId="24424" builtinId="9" hidden="1"/>
    <cellStyle name="Followed Hyperlink" xfId="24422" builtinId="9" hidden="1"/>
    <cellStyle name="Followed Hyperlink" xfId="24420" builtinId="9" hidden="1"/>
    <cellStyle name="Followed Hyperlink" xfId="23826" builtinId="9" hidden="1"/>
    <cellStyle name="Followed Hyperlink" xfId="24417" builtinId="9" hidden="1"/>
    <cellStyle name="Followed Hyperlink" xfId="24415" builtinId="9" hidden="1"/>
    <cellStyle name="Followed Hyperlink" xfId="24413" builtinId="9" hidden="1"/>
    <cellStyle name="Followed Hyperlink" xfId="24411" builtinId="9" hidden="1"/>
    <cellStyle name="Followed Hyperlink" xfId="24409" builtinId="9" hidden="1"/>
    <cellStyle name="Followed Hyperlink" xfId="24407" builtinId="9" hidden="1"/>
    <cellStyle name="Followed Hyperlink" xfId="24405" builtinId="9" hidden="1"/>
    <cellStyle name="Followed Hyperlink" xfId="24403" builtinId="9" hidden="1"/>
    <cellStyle name="Followed Hyperlink" xfId="24401" builtinId="9" hidden="1"/>
    <cellStyle name="Followed Hyperlink" xfId="24399" builtinId="9" hidden="1"/>
    <cellStyle name="Followed Hyperlink" xfId="24397" builtinId="9" hidden="1"/>
    <cellStyle name="Followed Hyperlink" xfId="24395" builtinId="9" hidden="1"/>
    <cellStyle name="Followed Hyperlink" xfId="24393" builtinId="9" hidden="1"/>
    <cellStyle name="Followed Hyperlink" xfId="24391" builtinId="9" hidden="1"/>
    <cellStyle name="Followed Hyperlink" xfId="24389" builtinId="9" hidden="1"/>
    <cellStyle name="Followed Hyperlink" xfId="24387" builtinId="9" hidden="1"/>
    <cellStyle name="Followed Hyperlink" xfId="24385" builtinId="9" hidden="1"/>
    <cellStyle name="Followed Hyperlink" xfId="24383" builtinId="9" hidden="1"/>
    <cellStyle name="Followed Hyperlink" xfId="24381" builtinId="9" hidden="1"/>
    <cellStyle name="Followed Hyperlink" xfId="24379" builtinId="9" hidden="1"/>
    <cellStyle name="Followed Hyperlink" xfId="24377" builtinId="9" hidden="1"/>
    <cellStyle name="Followed Hyperlink" xfId="24375" builtinId="9" hidden="1"/>
    <cellStyle name="Followed Hyperlink" xfId="24373" builtinId="9" hidden="1"/>
    <cellStyle name="Followed Hyperlink" xfId="24371" builtinId="9" hidden="1"/>
    <cellStyle name="Followed Hyperlink" xfId="24369" builtinId="9" hidden="1"/>
    <cellStyle name="Followed Hyperlink" xfId="24367" builtinId="9" hidden="1"/>
    <cellStyle name="Followed Hyperlink" xfId="24365" builtinId="9" hidden="1"/>
    <cellStyle name="Followed Hyperlink" xfId="24363" builtinId="9" hidden="1"/>
    <cellStyle name="Followed Hyperlink" xfId="24361" builtinId="9" hidden="1"/>
    <cellStyle name="Followed Hyperlink" xfId="24359" builtinId="9" hidden="1"/>
    <cellStyle name="Followed Hyperlink" xfId="24357" builtinId="9" hidden="1"/>
    <cellStyle name="Followed Hyperlink" xfId="24355" builtinId="9" hidden="1"/>
    <cellStyle name="Followed Hyperlink" xfId="24353" builtinId="9" hidden="1"/>
    <cellStyle name="Followed Hyperlink" xfId="24351" builtinId="9" hidden="1"/>
    <cellStyle name="Followed Hyperlink" xfId="24349" builtinId="9" hidden="1"/>
    <cellStyle name="Followed Hyperlink" xfId="24347" builtinId="9" hidden="1"/>
    <cellStyle name="Followed Hyperlink" xfId="24345" builtinId="9" hidden="1"/>
    <cellStyle name="Followed Hyperlink" xfId="24343" builtinId="9" hidden="1"/>
    <cellStyle name="Followed Hyperlink" xfId="24341" builtinId="9" hidden="1"/>
    <cellStyle name="Followed Hyperlink" xfId="24339" builtinId="9" hidden="1"/>
    <cellStyle name="Followed Hyperlink" xfId="24337" builtinId="9" hidden="1"/>
    <cellStyle name="Followed Hyperlink" xfId="24335" builtinId="9" hidden="1"/>
    <cellStyle name="Followed Hyperlink" xfId="24333" builtinId="9" hidden="1"/>
    <cellStyle name="Followed Hyperlink" xfId="24331" builtinId="9" hidden="1"/>
    <cellStyle name="Followed Hyperlink" xfId="24329" builtinId="9" hidden="1"/>
    <cellStyle name="Followed Hyperlink" xfId="24327" builtinId="9" hidden="1"/>
    <cellStyle name="Followed Hyperlink" xfId="24325" builtinId="9" hidden="1"/>
    <cellStyle name="Followed Hyperlink" xfId="24323" builtinId="9" hidden="1"/>
    <cellStyle name="Followed Hyperlink" xfId="24321" builtinId="9" hidden="1"/>
    <cellStyle name="Followed Hyperlink" xfId="24319" builtinId="9" hidden="1"/>
    <cellStyle name="Followed Hyperlink" xfId="24317" builtinId="9" hidden="1"/>
    <cellStyle name="Followed Hyperlink" xfId="24218" builtinId="9" hidden="1"/>
    <cellStyle name="Followed Hyperlink" xfId="24314" builtinId="9" hidden="1"/>
    <cellStyle name="Followed Hyperlink" xfId="24312" builtinId="9" hidden="1"/>
    <cellStyle name="Followed Hyperlink" xfId="24310" builtinId="9" hidden="1"/>
    <cellStyle name="Followed Hyperlink" xfId="24308" builtinId="9" hidden="1"/>
    <cellStyle name="Followed Hyperlink" xfId="24306" builtinId="9" hidden="1"/>
    <cellStyle name="Followed Hyperlink" xfId="24304" builtinId="9" hidden="1"/>
    <cellStyle name="Followed Hyperlink" xfId="24302" builtinId="9" hidden="1"/>
    <cellStyle name="Followed Hyperlink" xfId="24300" builtinId="9" hidden="1"/>
    <cellStyle name="Followed Hyperlink" xfId="24298" builtinId="9" hidden="1"/>
    <cellStyle name="Followed Hyperlink" xfId="24296" builtinId="9" hidden="1"/>
    <cellStyle name="Followed Hyperlink" xfId="24294" builtinId="9" hidden="1"/>
    <cellStyle name="Followed Hyperlink" xfId="24292" builtinId="9" hidden="1"/>
    <cellStyle name="Followed Hyperlink" xfId="24290" builtinId="9" hidden="1"/>
    <cellStyle name="Followed Hyperlink" xfId="24288" builtinId="9" hidden="1"/>
    <cellStyle name="Followed Hyperlink" xfId="23126" builtinId="9" hidden="1"/>
    <cellStyle name="Followed Hyperlink" xfId="23122" builtinId="9" hidden="1"/>
    <cellStyle name="Followed Hyperlink" xfId="23118" builtinId="9" hidden="1"/>
    <cellStyle name="Followed Hyperlink" xfId="23114" builtinId="9" hidden="1"/>
    <cellStyle name="Followed Hyperlink" xfId="23110" builtinId="9" hidden="1"/>
    <cellStyle name="Followed Hyperlink" xfId="23106" builtinId="9" hidden="1"/>
    <cellStyle name="Followed Hyperlink" xfId="23102" builtinId="9" hidden="1"/>
    <cellStyle name="Followed Hyperlink" xfId="23098" builtinId="9" hidden="1"/>
    <cellStyle name="Followed Hyperlink" xfId="23094" builtinId="9" hidden="1"/>
    <cellStyle name="Followed Hyperlink" xfId="23090" builtinId="9" hidden="1"/>
    <cellStyle name="Followed Hyperlink" xfId="23086" builtinId="9" hidden="1"/>
    <cellStyle name="Followed Hyperlink" xfId="23082" builtinId="9" hidden="1"/>
    <cellStyle name="Followed Hyperlink" xfId="23078" builtinId="9" hidden="1"/>
    <cellStyle name="Followed Hyperlink" xfId="23074" builtinId="9" hidden="1"/>
    <cellStyle name="Followed Hyperlink" xfId="23070" builtinId="9" hidden="1"/>
    <cellStyle name="Followed Hyperlink" xfId="23054" builtinId="9" hidden="1"/>
    <cellStyle name="Followed Hyperlink" xfId="23050" builtinId="9" hidden="1"/>
    <cellStyle name="Followed Hyperlink" xfId="23046" builtinId="9" hidden="1"/>
    <cellStyle name="Followed Hyperlink" xfId="23042" builtinId="9" hidden="1"/>
    <cellStyle name="Followed Hyperlink" xfId="23038" builtinId="9" hidden="1"/>
    <cellStyle name="Followed Hyperlink" xfId="23034" builtinId="9" hidden="1"/>
    <cellStyle name="Followed Hyperlink" xfId="23030" builtinId="9" hidden="1"/>
    <cellStyle name="Followed Hyperlink" xfId="23026" builtinId="9" hidden="1"/>
    <cellStyle name="Followed Hyperlink" xfId="23022" builtinId="9" hidden="1"/>
    <cellStyle name="Followed Hyperlink" xfId="23018" builtinId="9" hidden="1"/>
    <cellStyle name="Followed Hyperlink" xfId="23014" builtinId="9" hidden="1"/>
    <cellStyle name="Followed Hyperlink" xfId="23010" builtinId="9" hidden="1"/>
    <cellStyle name="Followed Hyperlink" xfId="23006" builtinId="9" hidden="1"/>
    <cellStyle name="Followed Hyperlink" xfId="23002" builtinId="9" hidden="1"/>
    <cellStyle name="Followed Hyperlink" xfId="22998" builtinId="9" hidden="1"/>
    <cellStyle name="Followed Hyperlink" xfId="22994" builtinId="9" hidden="1"/>
    <cellStyle name="Followed Hyperlink" xfId="22990" builtinId="9" hidden="1"/>
    <cellStyle name="Followed Hyperlink" xfId="22986" builtinId="9" hidden="1"/>
    <cellStyle name="Followed Hyperlink" xfId="22982" builtinId="9" hidden="1"/>
    <cellStyle name="Followed Hyperlink" xfId="22978" builtinId="9" hidden="1"/>
    <cellStyle name="Followed Hyperlink" xfId="22974" builtinId="9" hidden="1"/>
    <cellStyle name="Followed Hyperlink" xfId="22970" builtinId="9" hidden="1"/>
    <cellStyle name="Followed Hyperlink" xfId="22966" builtinId="9" hidden="1"/>
    <cellStyle name="Followed Hyperlink" xfId="22962" builtinId="9" hidden="1"/>
    <cellStyle name="Followed Hyperlink" xfId="22958" builtinId="9" hidden="1"/>
    <cellStyle name="Followed Hyperlink" xfId="22954" builtinId="9" hidden="1"/>
    <cellStyle name="Followed Hyperlink" xfId="22950" builtinId="9" hidden="1"/>
    <cellStyle name="Followed Hyperlink" xfId="22946" builtinId="9" hidden="1"/>
    <cellStyle name="Followed Hyperlink" xfId="22942" builtinId="9" hidden="1"/>
    <cellStyle name="Followed Hyperlink" xfId="22938" builtinId="9" hidden="1"/>
    <cellStyle name="Followed Hyperlink" xfId="22934" builtinId="9" hidden="1"/>
    <cellStyle name="Followed Hyperlink" xfId="22930" builtinId="9" hidden="1"/>
    <cellStyle name="Followed Hyperlink" xfId="22926" builtinId="9" hidden="1"/>
    <cellStyle name="Followed Hyperlink" xfId="22922" builtinId="9" hidden="1"/>
    <cellStyle name="Followed Hyperlink" xfId="22918" builtinId="9" hidden="1"/>
    <cellStyle name="Followed Hyperlink" xfId="22914" builtinId="9" hidden="1"/>
    <cellStyle name="Followed Hyperlink" xfId="22910" builtinId="9" hidden="1"/>
    <cellStyle name="Followed Hyperlink" xfId="23825" builtinId="9" hidden="1"/>
    <cellStyle name="Followed Hyperlink" xfId="24264" builtinId="9" hidden="1"/>
    <cellStyle name="Followed Hyperlink" xfId="23823" builtinId="9" hidden="1"/>
    <cellStyle name="Followed Hyperlink" xfId="24263" builtinId="9" hidden="1"/>
    <cellStyle name="Followed Hyperlink" xfId="23822" builtinId="9" hidden="1"/>
    <cellStyle name="Followed Hyperlink" xfId="24262" builtinId="9" hidden="1"/>
    <cellStyle name="Followed Hyperlink" xfId="24216" builtinId="9" hidden="1"/>
    <cellStyle name="Followed Hyperlink" xfId="23697" builtinId="9" hidden="1"/>
    <cellStyle name="Followed Hyperlink" xfId="24274" builtinId="9" hidden="1"/>
    <cellStyle name="Followed Hyperlink" xfId="24226" builtinId="9" hidden="1"/>
    <cellStyle name="Followed Hyperlink" xfId="23696" builtinId="9" hidden="1"/>
    <cellStyle name="Followed Hyperlink" xfId="24197" builtinId="9" hidden="1"/>
    <cellStyle name="Followed Hyperlink" xfId="24275" builtinId="9" hidden="1"/>
    <cellStyle name="Followed Hyperlink" xfId="23688" builtinId="9" hidden="1"/>
    <cellStyle name="Followed Hyperlink" xfId="24194" builtinId="9" hidden="1"/>
    <cellStyle name="Followed Hyperlink" xfId="24192" builtinId="9" hidden="1"/>
    <cellStyle name="Followed Hyperlink" xfId="24190" builtinId="9" hidden="1"/>
    <cellStyle name="Followed Hyperlink" xfId="24188" builtinId="9" hidden="1"/>
    <cellStyle name="Followed Hyperlink" xfId="23819" builtinId="9" hidden="1"/>
    <cellStyle name="Followed Hyperlink" xfId="24259" builtinId="9" hidden="1"/>
    <cellStyle name="Followed Hyperlink" xfId="23817" builtinId="9" hidden="1"/>
    <cellStyle name="Followed Hyperlink" xfId="23816" builtinId="9" hidden="1"/>
    <cellStyle name="Followed Hyperlink" xfId="23814" builtinId="9" hidden="1"/>
    <cellStyle name="Followed Hyperlink" xfId="24186" builtinId="9" hidden="1"/>
    <cellStyle name="Followed Hyperlink" xfId="23693" builtinId="9" hidden="1"/>
    <cellStyle name="Followed Hyperlink" xfId="24185" builtinId="9" hidden="1"/>
    <cellStyle name="Followed Hyperlink" xfId="23853" builtinId="9" hidden="1"/>
    <cellStyle name="Followed Hyperlink" xfId="23855" builtinId="9" hidden="1"/>
    <cellStyle name="Followed Hyperlink" xfId="23811" builtinId="9" hidden="1"/>
    <cellStyle name="Followed Hyperlink" xfId="23812" builtinId="9" hidden="1"/>
    <cellStyle name="Followed Hyperlink" xfId="24281" builtinId="9" hidden="1"/>
    <cellStyle name="Followed Hyperlink" xfId="24161" builtinId="9" hidden="1"/>
    <cellStyle name="Followed Hyperlink" xfId="23809" builtinId="9" hidden="1"/>
    <cellStyle name="Followed Hyperlink" xfId="23810" builtinId="9" hidden="1"/>
    <cellStyle name="Followed Hyperlink" xfId="24229" builtinId="9" hidden="1"/>
    <cellStyle name="Followed Hyperlink" xfId="24277" builtinId="9" hidden="1"/>
    <cellStyle name="Followed Hyperlink" xfId="24183" builtinId="9" hidden="1"/>
    <cellStyle name="Followed Hyperlink" xfId="24181" builtinId="9" hidden="1"/>
    <cellStyle name="Followed Hyperlink" xfId="24179" builtinId="9" hidden="1"/>
    <cellStyle name="Followed Hyperlink" xfId="24177" builtinId="9" hidden="1"/>
    <cellStyle name="Followed Hyperlink" xfId="24256" builtinId="9" hidden="1"/>
    <cellStyle name="Followed Hyperlink" xfId="24255" builtinId="9" hidden="1"/>
    <cellStyle name="Followed Hyperlink" xfId="23808" builtinId="9" hidden="1"/>
    <cellStyle name="Followed Hyperlink" xfId="24220" builtinId="9" hidden="1"/>
    <cellStyle name="Followed Hyperlink" xfId="23807" builtinId="9" hidden="1"/>
    <cellStyle name="Followed Hyperlink" xfId="24224" builtinId="9" hidden="1"/>
    <cellStyle name="Followed Hyperlink" xfId="24219" builtinId="9" hidden="1"/>
    <cellStyle name="Followed Hyperlink" xfId="24174" builtinId="9" hidden="1"/>
    <cellStyle name="Followed Hyperlink" xfId="23700" builtinId="9" hidden="1"/>
    <cellStyle name="Followed Hyperlink" xfId="24253" builtinId="9" hidden="1"/>
    <cellStyle name="Followed Hyperlink" xfId="23694" builtinId="9" hidden="1"/>
    <cellStyle name="Followed Hyperlink" xfId="23723" builtinId="9" hidden="1"/>
    <cellStyle name="Followed Hyperlink" xfId="23851" builtinId="9" hidden="1"/>
    <cellStyle name="Followed Hyperlink" xfId="24250" builtinId="9" hidden="1"/>
    <cellStyle name="Followed Hyperlink" xfId="24249" builtinId="9" hidden="1"/>
    <cellStyle name="Followed Hyperlink" xfId="24248" builtinId="9" hidden="1"/>
    <cellStyle name="Followed Hyperlink" xfId="24247" builtinId="9" hidden="1"/>
    <cellStyle name="Followed Hyperlink" xfId="24246" builtinId="9" hidden="1"/>
    <cellStyle name="Followed Hyperlink" xfId="24245" builtinId="9" hidden="1"/>
    <cellStyle name="Followed Hyperlink" xfId="24244" builtinId="9" hidden="1"/>
    <cellStyle name="Followed Hyperlink" xfId="24243" builtinId="9" hidden="1"/>
    <cellStyle name="Followed Hyperlink" xfId="24242" builtinId="9" hidden="1"/>
    <cellStyle name="Followed Hyperlink" xfId="23804" builtinId="9" hidden="1"/>
    <cellStyle name="Followed Hyperlink" xfId="24160" builtinId="9" hidden="1"/>
    <cellStyle name="Followed Hyperlink" xfId="24159" builtinId="9" hidden="1"/>
    <cellStyle name="Followed Hyperlink" xfId="23727" builtinId="9" hidden="1"/>
    <cellStyle name="Followed Hyperlink" xfId="24158" builtinId="9" hidden="1"/>
    <cellStyle name="Followed Hyperlink" xfId="24157" builtinId="9" hidden="1"/>
    <cellStyle name="Followed Hyperlink" xfId="23725" builtinId="9" hidden="1"/>
    <cellStyle name="Followed Hyperlink" xfId="24156" builtinId="9" hidden="1"/>
    <cellStyle name="Followed Hyperlink" xfId="24155" builtinId="9" hidden="1"/>
    <cellStyle name="Followed Hyperlink" xfId="23721" builtinId="9" hidden="1"/>
    <cellStyle name="Followed Hyperlink" xfId="24154" builtinId="9" hidden="1"/>
    <cellStyle name="Followed Hyperlink" xfId="24238" builtinId="9" hidden="1"/>
    <cellStyle name="Followed Hyperlink" xfId="23756" builtinId="9" hidden="1"/>
    <cellStyle name="Followed Hyperlink" xfId="23744" builtinId="9" hidden="1"/>
    <cellStyle name="Followed Hyperlink" xfId="24240" builtinId="9" hidden="1"/>
    <cellStyle name="Followed Hyperlink" xfId="23760" builtinId="9" hidden="1"/>
    <cellStyle name="Followed Hyperlink" xfId="23710" builtinId="9" hidden="1"/>
    <cellStyle name="Followed Hyperlink" xfId="23718" builtinId="9" hidden="1"/>
    <cellStyle name="Followed Hyperlink" xfId="23726" builtinId="9" hidden="1"/>
    <cellStyle name="Followed Hyperlink" xfId="23708" builtinId="9" hidden="1"/>
    <cellStyle name="Followed Hyperlink" xfId="23715" builtinId="9" hidden="1"/>
    <cellStyle name="Followed Hyperlink" xfId="24251" builtinId="9" hidden="1"/>
    <cellStyle name="Followed Hyperlink" xfId="23852" builtinId="9" hidden="1"/>
    <cellStyle name="Followed Hyperlink" xfId="23806" builtinId="9" hidden="1"/>
    <cellStyle name="Followed Hyperlink" xfId="24254" builtinId="9" hidden="1"/>
    <cellStyle name="Followed Hyperlink" xfId="24175" builtinId="9" hidden="1"/>
    <cellStyle name="Followed Hyperlink" xfId="24176" builtinId="9" hidden="1"/>
    <cellStyle name="Followed Hyperlink" xfId="22902" builtinId="9" hidden="1"/>
    <cellStyle name="Followed Hyperlink" xfId="24180" builtinId="9" hidden="1"/>
    <cellStyle name="Followed Hyperlink" xfId="24184" builtinId="9" hidden="1"/>
    <cellStyle name="Followed Hyperlink" xfId="23356" builtinId="9" hidden="1"/>
    <cellStyle name="Followed Hyperlink" xfId="23846" builtinId="9" hidden="1"/>
    <cellStyle name="Followed Hyperlink" xfId="23802" builtinId="9" hidden="1"/>
    <cellStyle name="Followed Hyperlink" xfId="24214" builtinId="9" hidden="1"/>
    <cellStyle name="Followed Hyperlink" xfId="23850" builtinId="9" hidden="1"/>
    <cellStyle name="Followed Hyperlink" xfId="24258" builtinId="9" hidden="1"/>
    <cellStyle name="Followed Hyperlink" xfId="23128" builtinId="9" hidden="1"/>
    <cellStyle name="Followed Hyperlink" xfId="23707" builtinId="9" hidden="1"/>
    <cellStyle name="Followed Hyperlink" xfId="24215" builtinId="9" hidden="1"/>
    <cellStyle name="Followed Hyperlink" xfId="24191" builtinId="9" hidden="1"/>
    <cellStyle name="Followed Hyperlink" xfId="24195" builtinId="9" hidden="1"/>
    <cellStyle name="Followed Hyperlink" xfId="24260" builtinId="9" hidden="1"/>
    <cellStyle name="Followed Hyperlink" xfId="24198" builtinId="9" hidden="1"/>
    <cellStyle name="Followed Hyperlink" xfId="24261" builtinId="9" hidden="1"/>
    <cellStyle name="Followed Hyperlink" xfId="24200" builtinId="9" hidden="1"/>
    <cellStyle name="Followed Hyperlink" xfId="24201" builtinId="9" hidden="1"/>
    <cellStyle name="Followed Hyperlink" xfId="24217" builtinId="9" hidden="1"/>
    <cellStyle name="Followed Hyperlink" xfId="22908" builtinId="9" hidden="1"/>
    <cellStyle name="Followed Hyperlink" xfId="22916" builtinId="9" hidden="1"/>
    <cellStyle name="Followed Hyperlink" xfId="22924" builtinId="9" hidden="1"/>
    <cellStyle name="Followed Hyperlink" xfId="22932" builtinId="9" hidden="1"/>
    <cellStyle name="Followed Hyperlink" xfId="22940" builtinId="9" hidden="1"/>
    <cellStyle name="Followed Hyperlink" xfId="22948" builtinId="9" hidden="1"/>
    <cellStyle name="Followed Hyperlink" xfId="22956" builtinId="9" hidden="1"/>
    <cellStyle name="Followed Hyperlink" xfId="22964" builtinId="9" hidden="1"/>
    <cellStyle name="Followed Hyperlink" xfId="22972" builtinId="9" hidden="1"/>
    <cellStyle name="Followed Hyperlink" xfId="22980" builtinId="9" hidden="1"/>
    <cellStyle name="Followed Hyperlink" xfId="22988" builtinId="9" hidden="1"/>
    <cellStyle name="Followed Hyperlink" xfId="22996" builtinId="9" hidden="1"/>
    <cellStyle name="Followed Hyperlink" xfId="23004" builtinId="9" hidden="1"/>
    <cellStyle name="Followed Hyperlink" xfId="23012" builtinId="9" hidden="1"/>
    <cellStyle name="Followed Hyperlink" xfId="23020" builtinId="9" hidden="1"/>
    <cellStyle name="Followed Hyperlink" xfId="23028" builtinId="9" hidden="1"/>
    <cellStyle name="Followed Hyperlink" xfId="23036" builtinId="9" hidden="1"/>
    <cellStyle name="Followed Hyperlink" xfId="23044" builtinId="9" hidden="1"/>
    <cellStyle name="Followed Hyperlink" xfId="23052" builtinId="9" hidden="1"/>
    <cellStyle name="Followed Hyperlink" xfId="23754" builtinId="9" hidden="1"/>
    <cellStyle name="Followed Hyperlink" xfId="24476" builtinId="9" hidden="1"/>
    <cellStyle name="Followed Hyperlink" xfId="24153" builtinId="9" hidden="1"/>
    <cellStyle name="Followed Hyperlink" xfId="24152" builtinId="9" hidden="1"/>
    <cellStyle name="Followed Hyperlink" xfId="24151" builtinId="9" hidden="1"/>
    <cellStyle name="Followed Hyperlink" xfId="23713" builtinId="9" hidden="1"/>
    <cellStyle name="Followed Hyperlink" xfId="24150" builtinId="9" hidden="1"/>
    <cellStyle name="Followed Hyperlink" xfId="24149" builtinId="9" hidden="1"/>
    <cellStyle name="Followed Hyperlink" xfId="23709" builtinId="9" hidden="1"/>
    <cellStyle name="Followed Hyperlink" xfId="24148" builtinId="9" hidden="1"/>
    <cellStyle name="Followed Hyperlink" xfId="24147" builtinId="9" hidden="1"/>
    <cellStyle name="Followed Hyperlink" xfId="24146" builtinId="9" hidden="1"/>
    <cellStyle name="Followed Hyperlink" xfId="24287" builtinId="9" hidden="1"/>
    <cellStyle name="Followed Hyperlink" xfId="23692" builtinId="9" hidden="1"/>
    <cellStyle name="Followed Hyperlink" xfId="23689" builtinId="9" hidden="1"/>
    <cellStyle name="Followed Hyperlink" xfId="23133" builtinId="9" hidden="1"/>
    <cellStyle name="Followed Hyperlink" xfId="24234" builtinId="9" hidden="1"/>
    <cellStyle name="Followed Hyperlink" xfId="23757" builtinId="9" hidden="1"/>
    <cellStyle name="Followed Hyperlink" xfId="23743" builtinId="9" hidden="1"/>
    <cellStyle name="Followed Hyperlink" xfId="24233" builtinId="9" hidden="1"/>
    <cellStyle name="Followed Hyperlink" xfId="23755" builtinId="9" hidden="1"/>
    <cellStyle name="Followed Hyperlink" xfId="23741" builtinId="9" hidden="1"/>
    <cellStyle name="Followed Hyperlink" xfId="24232" builtinId="9" hidden="1"/>
    <cellStyle name="Followed Hyperlink" xfId="23753" builtinId="9" hidden="1"/>
    <cellStyle name="Followed Hyperlink" xfId="23739" builtinId="9" hidden="1"/>
    <cellStyle name="Followed Hyperlink" xfId="24231" builtinId="9" hidden="1"/>
    <cellStyle name="Followed Hyperlink" xfId="23751" builtinId="9" hidden="1"/>
    <cellStyle name="Followed Hyperlink" xfId="23737" builtinId="9" hidden="1"/>
    <cellStyle name="Followed Hyperlink" xfId="24230" builtinId="9" hidden="1"/>
    <cellStyle name="Followed Hyperlink" xfId="23749" builtinId="9" hidden="1"/>
    <cellStyle name="Followed Hyperlink" xfId="23735" builtinId="9" hidden="1"/>
    <cellStyle name="Followed Hyperlink" xfId="23731" builtinId="9" hidden="1"/>
    <cellStyle name="Followed Hyperlink" xfId="23353" builtinId="9" hidden="1"/>
    <cellStyle name="Followed Hyperlink" xfId="24620" builtinId="9" hidden="1"/>
    <cellStyle name="Followed Hyperlink" xfId="24622" builtinId="9" hidden="1"/>
    <cellStyle name="Followed Hyperlink" xfId="24624" builtinId="9" hidden="1"/>
    <cellStyle name="Followed Hyperlink" xfId="24626" builtinId="9" hidden="1"/>
    <cellStyle name="Followed Hyperlink" xfId="24628" builtinId="9" hidden="1"/>
    <cellStyle name="Followed Hyperlink" xfId="24630" builtinId="9" hidden="1"/>
    <cellStyle name="Followed Hyperlink" xfId="24632" builtinId="9" hidden="1"/>
    <cellStyle name="Followed Hyperlink" xfId="24634" builtinId="9" hidden="1"/>
    <cellStyle name="Followed Hyperlink" xfId="24636" builtinId="9" hidden="1"/>
    <cellStyle name="Followed Hyperlink" xfId="24638" builtinId="9" hidden="1"/>
    <cellStyle name="Followed Hyperlink" xfId="24640" builtinId="9" hidden="1"/>
    <cellStyle name="Followed Hyperlink" xfId="24642" builtinId="9" hidden="1"/>
    <cellStyle name="Followed Hyperlink" xfId="24644" builtinId="9" hidden="1"/>
    <cellStyle name="Followed Hyperlink" xfId="24646" builtinId="9" hidden="1"/>
    <cellStyle name="Followed Hyperlink" xfId="24648" builtinId="9" hidden="1"/>
    <cellStyle name="Followed Hyperlink" xfId="24650" builtinId="9" hidden="1"/>
    <cellStyle name="Followed Hyperlink" xfId="24652" builtinId="9" hidden="1"/>
    <cellStyle name="Followed Hyperlink" xfId="24654" builtinId="9" hidden="1"/>
    <cellStyle name="Followed Hyperlink" xfId="24656" builtinId="9" hidden="1"/>
    <cellStyle name="Followed Hyperlink" xfId="24658" builtinId="9" hidden="1"/>
    <cellStyle name="Followed Hyperlink" xfId="24660" builtinId="9" hidden="1"/>
    <cellStyle name="Followed Hyperlink" xfId="24662" builtinId="9" hidden="1"/>
    <cellStyle name="Followed Hyperlink" xfId="24736" builtinId="9" hidden="1"/>
    <cellStyle name="Followed Hyperlink" xfId="24737" builtinId="9" hidden="1"/>
    <cellStyle name="Followed Hyperlink" xfId="24738" builtinId="9" hidden="1"/>
    <cellStyle name="Followed Hyperlink" xfId="24739" builtinId="9" hidden="1"/>
    <cellStyle name="Followed Hyperlink" xfId="24740" builtinId="9" hidden="1"/>
    <cellStyle name="Followed Hyperlink" xfId="24741" builtinId="9" hidden="1"/>
    <cellStyle name="Followed Hyperlink" xfId="24742" builtinId="9" hidden="1"/>
    <cellStyle name="Followed Hyperlink" xfId="24743" builtinId="9" hidden="1"/>
    <cellStyle name="Followed Hyperlink" xfId="24744" builtinId="9" hidden="1"/>
    <cellStyle name="Followed Hyperlink" xfId="24745" builtinId="9" hidden="1"/>
    <cellStyle name="Followed Hyperlink" xfId="24746" builtinId="9" hidden="1"/>
    <cellStyle name="Followed Hyperlink" xfId="24747" builtinId="9" hidden="1"/>
    <cellStyle name="Followed Hyperlink" xfId="24748" builtinId="9" hidden="1"/>
    <cellStyle name="Followed Hyperlink" xfId="24749" builtinId="9" hidden="1"/>
    <cellStyle name="Followed Hyperlink" xfId="24750" builtinId="9" hidden="1"/>
    <cellStyle name="Followed Hyperlink" xfId="24751" builtinId="9" hidden="1"/>
    <cellStyle name="Followed Hyperlink" xfId="24752" builtinId="9" hidden="1"/>
    <cellStyle name="Followed Hyperlink" xfId="24753" builtinId="9" hidden="1"/>
    <cellStyle name="Followed Hyperlink" xfId="24754" builtinId="9" hidden="1"/>
    <cellStyle name="Followed Hyperlink" xfId="24755" builtinId="9" hidden="1"/>
    <cellStyle name="Followed Hyperlink" xfId="24756" builtinId="9" hidden="1"/>
    <cellStyle name="Followed Hyperlink" xfId="24757" builtinId="9" hidden="1"/>
    <cellStyle name="Followed Hyperlink" xfId="24758" builtinId="9" hidden="1"/>
    <cellStyle name="Followed Hyperlink" xfId="24759" builtinId="9" hidden="1"/>
    <cellStyle name="Followed Hyperlink" xfId="24760" builtinId="9" hidden="1"/>
    <cellStyle name="Followed Hyperlink" xfId="24761" builtinId="9" hidden="1"/>
    <cellStyle name="Followed Hyperlink" xfId="24762" builtinId="9" hidden="1"/>
    <cellStyle name="Followed Hyperlink" xfId="24763" builtinId="9" hidden="1"/>
    <cellStyle name="Followed Hyperlink" xfId="24764" builtinId="9" hidden="1"/>
    <cellStyle name="Followed Hyperlink" xfId="24765" builtinId="9" hidden="1"/>
    <cellStyle name="Followed Hyperlink" xfId="24766" builtinId="9" hidden="1"/>
    <cellStyle name="Followed Hyperlink" xfId="24767" builtinId="9" hidden="1"/>
    <cellStyle name="Followed Hyperlink" xfId="24768" builtinId="9" hidden="1"/>
    <cellStyle name="Followed Hyperlink" xfId="24769" builtinId="9" hidden="1"/>
    <cellStyle name="Followed Hyperlink" xfId="24770" builtinId="9" hidden="1"/>
    <cellStyle name="Followed Hyperlink" xfId="24771" builtinId="9" hidden="1"/>
    <cellStyle name="Followed Hyperlink" xfId="24772" builtinId="9" hidden="1"/>
    <cellStyle name="Followed Hyperlink" xfId="24773" builtinId="9" hidden="1"/>
    <cellStyle name="Followed Hyperlink" xfId="24774" builtinId="9" hidden="1"/>
    <cellStyle name="Followed Hyperlink" xfId="24775" builtinId="9" hidden="1"/>
    <cellStyle name="Followed Hyperlink" xfId="24776" builtinId="9" hidden="1"/>
    <cellStyle name="Followed Hyperlink" xfId="24856" builtinId="9" hidden="1"/>
    <cellStyle name="Followed Hyperlink" xfId="24857" builtinId="9" hidden="1"/>
    <cellStyle name="Followed Hyperlink" xfId="24858" builtinId="9" hidden="1"/>
    <cellStyle name="Followed Hyperlink" xfId="24859" builtinId="9" hidden="1"/>
    <cellStyle name="Followed Hyperlink" xfId="24860" builtinId="9" hidden="1"/>
    <cellStyle name="Followed Hyperlink" xfId="24861" builtinId="9" hidden="1"/>
    <cellStyle name="Followed Hyperlink" xfId="24862" builtinId="9" hidden="1"/>
    <cellStyle name="Followed Hyperlink" xfId="24863" builtinId="9" hidden="1"/>
    <cellStyle name="Followed Hyperlink" xfId="24864" builtinId="9" hidden="1"/>
    <cellStyle name="Followed Hyperlink" xfId="24865" builtinId="9" hidden="1"/>
    <cellStyle name="Followed Hyperlink" xfId="24866" builtinId="9" hidden="1"/>
    <cellStyle name="Followed Hyperlink" xfId="24867" builtinId="9" hidden="1"/>
    <cellStyle name="Followed Hyperlink" xfId="24868" builtinId="9" hidden="1"/>
    <cellStyle name="Followed Hyperlink" xfId="24869" builtinId="9" hidden="1"/>
    <cellStyle name="Followed Hyperlink" xfId="24870" builtinId="9" hidden="1"/>
    <cellStyle name="Followed Hyperlink" xfId="24871" builtinId="9" hidden="1"/>
    <cellStyle name="Followed Hyperlink" xfId="24872" builtinId="9" hidden="1"/>
    <cellStyle name="Followed Hyperlink" xfId="24873" builtinId="9" hidden="1"/>
    <cellStyle name="Followed Hyperlink" xfId="24874" builtinId="9" hidden="1"/>
    <cellStyle name="Followed Hyperlink" xfId="24875" builtinId="9" hidden="1"/>
    <cellStyle name="Followed Hyperlink" xfId="24876" builtinId="9" hidden="1"/>
    <cellStyle name="Followed Hyperlink" xfId="24877" builtinId="9" hidden="1"/>
    <cellStyle name="Followed Hyperlink" xfId="24878" builtinId="9" hidden="1"/>
    <cellStyle name="Followed Hyperlink" xfId="24879" builtinId="9" hidden="1"/>
    <cellStyle name="Followed Hyperlink" xfId="24880" builtinId="9" hidden="1"/>
    <cellStyle name="Followed Hyperlink" xfId="24881" builtinId="9" hidden="1"/>
    <cellStyle name="Followed Hyperlink" xfId="24882" builtinId="9" hidden="1"/>
    <cellStyle name="Followed Hyperlink" xfId="24883" builtinId="9" hidden="1"/>
    <cellStyle name="Followed Hyperlink" xfId="24884" builtinId="9" hidden="1"/>
    <cellStyle name="Followed Hyperlink" xfId="24885" builtinId="9" hidden="1"/>
    <cellStyle name="Followed Hyperlink" xfId="24886" builtinId="9" hidden="1"/>
    <cellStyle name="Followed Hyperlink" xfId="24887" builtinId="9" hidden="1"/>
    <cellStyle name="Followed Hyperlink" xfId="24888" builtinId="9" hidden="1"/>
    <cellStyle name="Followed Hyperlink" xfId="24889" builtinId="9" hidden="1"/>
    <cellStyle name="Followed Hyperlink" xfId="24890" builtinId="9" hidden="1"/>
    <cellStyle name="Followed Hyperlink" xfId="24891" builtinId="9" hidden="1"/>
    <cellStyle name="Followed Hyperlink" xfId="24892" builtinId="9" hidden="1"/>
    <cellStyle name="Followed Hyperlink" xfId="24893" builtinId="9" hidden="1"/>
    <cellStyle name="Followed Hyperlink" xfId="24894" builtinId="9" hidden="1"/>
    <cellStyle name="Followed Hyperlink" xfId="24895" builtinId="9" hidden="1"/>
    <cellStyle name="Followed Hyperlink" xfId="24896" builtinId="9" hidden="1"/>
    <cellStyle name="Followed Hyperlink" xfId="24897" builtinId="9" hidden="1"/>
    <cellStyle name="Followed Hyperlink" xfId="24898" builtinId="9" hidden="1"/>
    <cellStyle name="Followed Hyperlink" xfId="24899" builtinId="9" hidden="1"/>
    <cellStyle name="Followed Hyperlink" xfId="24900" builtinId="9" hidden="1"/>
    <cellStyle name="Followed Hyperlink" xfId="24901" builtinId="9" hidden="1"/>
    <cellStyle name="Followed Hyperlink" xfId="24902" builtinId="9" hidden="1"/>
    <cellStyle name="Followed Hyperlink" xfId="24903" builtinId="9" hidden="1"/>
    <cellStyle name="Followed Hyperlink" xfId="24904" builtinId="9" hidden="1"/>
    <cellStyle name="Followed Hyperlink" xfId="24905" builtinId="9" hidden="1"/>
    <cellStyle name="Followed Hyperlink" xfId="24906" builtinId="9" hidden="1"/>
    <cellStyle name="Followed Hyperlink" xfId="24907" builtinId="9" hidden="1"/>
    <cellStyle name="Followed Hyperlink" xfId="24908" builtinId="9" hidden="1"/>
    <cellStyle name="Followed Hyperlink" xfId="24909" builtinId="9" hidden="1"/>
    <cellStyle name="Followed Hyperlink" xfId="24910" builtinId="9" hidden="1"/>
    <cellStyle name="Followed Hyperlink" xfId="24911" builtinId="9" hidden="1"/>
    <cellStyle name="Followed Hyperlink" xfId="24912" builtinId="9" hidden="1"/>
    <cellStyle name="Followed Hyperlink" xfId="24913" builtinId="9" hidden="1"/>
    <cellStyle name="Followed Hyperlink" xfId="24914" builtinId="9" hidden="1"/>
    <cellStyle name="Followed Hyperlink" xfId="24915" builtinId="9" hidden="1"/>
    <cellStyle name="Followed Hyperlink" xfId="24916" builtinId="9" hidden="1"/>
    <cellStyle name="Followed Hyperlink" xfId="24917" builtinId="9" hidden="1"/>
    <cellStyle name="Followed Hyperlink" xfId="24918" builtinId="9" hidden="1"/>
    <cellStyle name="Followed Hyperlink" xfId="24919" builtinId="9" hidden="1"/>
    <cellStyle name="Followed Hyperlink" xfId="24920" builtinId="9" hidden="1"/>
    <cellStyle name="Followed Hyperlink" xfId="24921" builtinId="9" hidden="1"/>
    <cellStyle name="Followed Hyperlink" xfId="24922" builtinId="9" hidden="1"/>
    <cellStyle name="Followed Hyperlink" xfId="24923" builtinId="9" hidden="1"/>
    <cellStyle name="Followed Hyperlink" xfId="24924" builtinId="9" hidden="1"/>
    <cellStyle name="Followed Hyperlink" xfId="24925" builtinId="9" hidden="1"/>
    <cellStyle name="Followed Hyperlink" xfId="24926" builtinId="9" hidden="1"/>
    <cellStyle name="Followed Hyperlink" xfId="24927" builtinId="9" hidden="1"/>
    <cellStyle name="Followed Hyperlink" xfId="24928" builtinId="9" hidden="1"/>
    <cellStyle name="Followed Hyperlink" xfId="24929" builtinId="9" hidden="1"/>
    <cellStyle name="Followed Hyperlink" xfId="24930" builtinId="9" hidden="1"/>
    <cellStyle name="Followed Hyperlink" xfId="24936" builtinId="9" hidden="1"/>
    <cellStyle name="Followed Hyperlink" xfId="24937" builtinId="9" hidden="1"/>
    <cellStyle name="Followed Hyperlink" xfId="24938" builtinId="9" hidden="1"/>
    <cellStyle name="Followed Hyperlink" xfId="24939" builtinId="9" hidden="1"/>
    <cellStyle name="Followed Hyperlink" xfId="24940" builtinId="9" hidden="1"/>
    <cellStyle name="Followed Hyperlink" xfId="24941" builtinId="9" hidden="1"/>
    <cellStyle name="Followed Hyperlink" xfId="24942" builtinId="9" hidden="1"/>
    <cellStyle name="Followed Hyperlink" xfId="24943" builtinId="9" hidden="1"/>
    <cellStyle name="Followed Hyperlink" xfId="24944" builtinId="9" hidden="1"/>
    <cellStyle name="Followed Hyperlink" xfId="24945" builtinId="9" hidden="1"/>
    <cellStyle name="Followed Hyperlink" xfId="24946" builtinId="9" hidden="1"/>
    <cellStyle name="Followed Hyperlink" xfId="24947" builtinId="9" hidden="1"/>
    <cellStyle name="Followed Hyperlink" xfId="24948" builtinId="9" hidden="1"/>
    <cellStyle name="Followed Hyperlink" xfId="24949" builtinId="9" hidden="1"/>
    <cellStyle name="Followed Hyperlink" xfId="24950" builtinId="9" hidden="1"/>
    <cellStyle name="Followed Hyperlink" xfId="24951" builtinId="9" hidden="1"/>
    <cellStyle name="Followed Hyperlink" xfId="24952" builtinId="9" hidden="1"/>
    <cellStyle name="Followed Hyperlink" xfId="24953" builtinId="9" hidden="1"/>
    <cellStyle name="Followed Hyperlink" xfId="24954" builtinId="9" hidden="1"/>
    <cellStyle name="Followed Hyperlink" xfId="24955" builtinId="9" hidden="1"/>
    <cellStyle name="Followed Hyperlink" xfId="24956" builtinId="9" hidden="1"/>
    <cellStyle name="Followed Hyperlink" xfId="24957" builtinId="9" hidden="1"/>
    <cellStyle name="Followed Hyperlink" xfId="24958" builtinId="9" hidden="1"/>
    <cellStyle name="Followed Hyperlink" xfId="24959" builtinId="9" hidden="1"/>
    <cellStyle name="Followed Hyperlink" xfId="24960" builtinId="9" hidden="1"/>
    <cellStyle name="Followed Hyperlink" xfId="24961" builtinId="9" hidden="1"/>
    <cellStyle name="Followed Hyperlink" xfId="24962" builtinId="9" hidden="1"/>
    <cellStyle name="Followed Hyperlink" xfId="24963" builtinId="9" hidden="1"/>
    <cellStyle name="Followed Hyperlink" xfId="24964" builtinId="9" hidden="1"/>
    <cellStyle name="Followed Hyperlink" xfId="24965" builtinId="9" hidden="1"/>
    <cellStyle name="Followed Hyperlink" xfId="24966" builtinId="9" hidden="1"/>
    <cellStyle name="Followed Hyperlink" xfId="24967" builtinId="9" hidden="1"/>
    <cellStyle name="Followed Hyperlink" xfId="24968" builtinId="9" hidden="1"/>
    <cellStyle name="Followed Hyperlink" xfId="24969" builtinId="9" hidden="1"/>
    <cellStyle name="Followed Hyperlink" xfId="24970" builtinId="9" hidden="1"/>
    <cellStyle name="Followed Hyperlink" xfId="24971" builtinId="9" hidden="1"/>
    <cellStyle name="Followed Hyperlink" xfId="24972" builtinId="9" hidden="1"/>
    <cellStyle name="Followed Hyperlink" xfId="24973" builtinId="9" hidden="1"/>
    <cellStyle name="Followed Hyperlink" xfId="24974" builtinId="9" hidden="1"/>
    <cellStyle name="Followed Hyperlink" xfId="24975" builtinId="9" hidden="1"/>
    <cellStyle name="Followed Hyperlink" xfId="24976" builtinId="9" hidden="1"/>
    <cellStyle name="Followed Hyperlink" xfId="24977" builtinId="9" hidden="1"/>
    <cellStyle name="Followed Hyperlink" xfId="24978" builtinId="9" hidden="1"/>
    <cellStyle name="Followed Hyperlink" xfId="24979" builtinId="9" hidden="1"/>
    <cellStyle name="Followed Hyperlink" xfId="24980" builtinId="9" hidden="1"/>
    <cellStyle name="Followed Hyperlink" xfId="24981" builtinId="9" hidden="1"/>
    <cellStyle name="Followed Hyperlink" xfId="24982" builtinId="9" hidden="1"/>
    <cellStyle name="Followed Hyperlink" xfId="24983" builtinId="9" hidden="1"/>
    <cellStyle name="Followed Hyperlink" xfId="24984" builtinId="9" hidden="1"/>
    <cellStyle name="Followed Hyperlink" xfId="24985" builtinId="9" hidden="1"/>
    <cellStyle name="Followed Hyperlink" xfId="24992" builtinId="9" hidden="1"/>
    <cellStyle name="Followed Hyperlink" xfId="24993" builtinId="9" hidden="1"/>
    <cellStyle name="Followed Hyperlink" xfId="24994" builtinId="9" hidden="1"/>
    <cellStyle name="Followed Hyperlink" xfId="24995" builtinId="9" hidden="1"/>
    <cellStyle name="Followed Hyperlink" xfId="24996" builtinId="9" hidden="1"/>
    <cellStyle name="Followed Hyperlink" xfId="24997" builtinId="9" hidden="1"/>
    <cellStyle name="Followed Hyperlink" xfId="24998" builtinId="9" hidden="1"/>
    <cellStyle name="Followed Hyperlink" xfId="24999" builtinId="9" hidden="1"/>
    <cellStyle name="Followed Hyperlink" xfId="25000" builtinId="9" hidden="1"/>
    <cellStyle name="Followed Hyperlink" xfId="25001" builtinId="9" hidden="1"/>
    <cellStyle name="Followed Hyperlink" xfId="25002" builtinId="9" hidden="1"/>
    <cellStyle name="Followed Hyperlink" xfId="25003" builtinId="9" hidden="1"/>
    <cellStyle name="Followed Hyperlink" xfId="25004" builtinId="9" hidden="1"/>
    <cellStyle name="Followed Hyperlink" xfId="25005" builtinId="9" hidden="1"/>
    <cellStyle name="Followed Hyperlink" xfId="25006" builtinId="9" hidden="1"/>
    <cellStyle name="Followed Hyperlink" xfId="25007" builtinId="9" hidden="1"/>
    <cellStyle name="Followed Hyperlink" xfId="25008" builtinId="9" hidden="1"/>
    <cellStyle name="Followed Hyperlink" xfId="25009" builtinId="9" hidden="1"/>
    <cellStyle name="Followed Hyperlink" xfId="25010" builtinId="9" hidden="1"/>
    <cellStyle name="Followed Hyperlink" xfId="25011" builtinId="9" hidden="1"/>
    <cellStyle name="Followed Hyperlink" xfId="25012" builtinId="9" hidden="1"/>
    <cellStyle name="Followed Hyperlink" xfId="25013" builtinId="9" hidden="1"/>
    <cellStyle name="Followed Hyperlink" xfId="25014" builtinId="9" hidden="1"/>
    <cellStyle name="Followed Hyperlink" xfId="25015" builtinId="9" hidden="1"/>
    <cellStyle name="Followed Hyperlink" xfId="25016" builtinId="9" hidden="1"/>
    <cellStyle name="Followed Hyperlink" xfId="25017" builtinId="9" hidden="1"/>
    <cellStyle name="Followed Hyperlink" xfId="25018" builtinId="9" hidden="1"/>
    <cellStyle name="Followed Hyperlink" xfId="25019" builtinId="9" hidden="1"/>
    <cellStyle name="Followed Hyperlink" xfId="25020" builtinId="9" hidden="1"/>
    <cellStyle name="Followed Hyperlink" xfId="25021" builtinId="9" hidden="1"/>
    <cellStyle name="Followed Hyperlink" xfId="25022" builtinId="9" hidden="1"/>
    <cellStyle name="Followed Hyperlink" xfId="25023" builtinId="9" hidden="1"/>
    <cellStyle name="Followed Hyperlink" xfId="25024" builtinId="9" hidden="1"/>
    <cellStyle name="Followed Hyperlink" xfId="25025" builtinId="9" hidden="1"/>
    <cellStyle name="Followed Hyperlink" xfId="25026" builtinId="9" hidden="1"/>
    <cellStyle name="Followed Hyperlink" xfId="25027" builtinId="9" hidden="1"/>
    <cellStyle name="Followed Hyperlink" xfId="25028" builtinId="9" hidden="1"/>
    <cellStyle name="Followed Hyperlink" xfId="25029" builtinId="9" hidden="1"/>
    <cellStyle name="Followed Hyperlink" xfId="25030" builtinId="9" hidden="1"/>
    <cellStyle name="Followed Hyperlink" xfId="25031" builtinId="9" hidden="1"/>
    <cellStyle name="Followed Hyperlink" xfId="25032" builtinId="9" hidden="1"/>
    <cellStyle name="Followed Hyperlink" xfId="25033" builtinId="9" hidden="1"/>
    <cellStyle name="Followed Hyperlink" xfId="25034" builtinId="9" hidden="1"/>
    <cellStyle name="Followed Hyperlink" xfId="25035" builtinId="9" hidden="1"/>
    <cellStyle name="Followed Hyperlink" xfId="25036" builtinId="9" hidden="1"/>
    <cellStyle name="Followed Hyperlink" xfId="25037" builtinId="9" hidden="1"/>
    <cellStyle name="Followed Hyperlink" xfId="25038" builtinId="9" hidden="1"/>
    <cellStyle name="Followed Hyperlink" xfId="25039" builtinId="9" hidden="1"/>
    <cellStyle name="Followed Hyperlink" xfId="25040" builtinId="9" hidden="1"/>
    <cellStyle name="Followed Hyperlink" xfId="25041" builtinId="9" hidden="1"/>
    <cellStyle name="Followed Hyperlink" xfId="25042" builtinId="9" hidden="1"/>
    <cellStyle name="Followed Hyperlink" xfId="25043" builtinId="9" hidden="1"/>
    <cellStyle name="Followed Hyperlink" xfId="25044" builtinId="9" hidden="1"/>
    <cellStyle name="Followed Hyperlink" xfId="25045" builtinId="9" hidden="1"/>
    <cellStyle name="Followed Hyperlink" xfId="25046" builtinId="9" hidden="1"/>
    <cellStyle name="Followed Hyperlink" xfId="25047" builtinId="9" hidden="1"/>
    <cellStyle name="Followed Hyperlink" xfId="25048" builtinId="9" hidden="1"/>
    <cellStyle name="Followed Hyperlink" xfId="25049" builtinId="9" hidden="1"/>
    <cellStyle name="Followed Hyperlink" xfId="25050" builtinId="9" hidden="1"/>
    <cellStyle name="Followed Hyperlink" xfId="25051" builtinId="9" hidden="1"/>
    <cellStyle name="Followed Hyperlink" xfId="25052" builtinId="9" hidden="1"/>
    <cellStyle name="Followed Hyperlink" xfId="25053" builtinId="9" hidden="1"/>
    <cellStyle name="Followed Hyperlink" xfId="25054" builtinId="9" hidden="1"/>
    <cellStyle name="Followed Hyperlink" xfId="25055" builtinId="9" hidden="1"/>
    <cellStyle name="Followed Hyperlink" xfId="25056" builtinId="9" hidden="1"/>
    <cellStyle name="Followed Hyperlink" xfId="25057" builtinId="9" hidden="1"/>
    <cellStyle name="Followed Hyperlink" xfId="25058" builtinId="9" hidden="1"/>
    <cellStyle name="Followed Hyperlink" xfId="25059" builtinId="9" hidden="1"/>
    <cellStyle name="Followed Hyperlink" xfId="25060" builtinId="9" hidden="1"/>
    <cellStyle name="Followed Hyperlink" xfId="25061" builtinId="9" hidden="1"/>
    <cellStyle name="Followed Hyperlink" xfId="25062" builtinId="9" hidden="1"/>
    <cellStyle name="Followed Hyperlink" xfId="25063" builtinId="9" hidden="1"/>
    <cellStyle name="Followed Hyperlink" xfId="25064" builtinId="9" hidden="1"/>
    <cellStyle name="Followed Hyperlink" xfId="25065" builtinId="9" hidden="1"/>
    <cellStyle name="Followed Hyperlink" xfId="25066" builtinId="9" hidden="1"/>
    <cellStyle name="Followed Hyperlink" xfId="25067" builtinId="9" hidden="1"/>
    <cellStyle name="Followed Hyperlink" xfId="25068" builtinId="9" hidden="1"/>
    <cellStyle name="Followed Hyperlink" xfId="25069" builtinId="9" hidden="1"/>
    <cellStyle name="Followed Hyperlink" xfId="25070" builtinId="9" hidden="1"/>
    <cellStyle name="Followed Hyperlink" xfId="25071" builtinId="9" hidden="1"/>
    <cellStyle name="Followed Hyperlink" xfId="25072" builtinId="9" hidden="1"/>
    <cellStyle name="Followed Hyperlink" xfId="25073" builtinId="9" hidden="1"/>
    <cellStyle name="Followed Hyperlink" xfId="25074" builtinId="9" hidden="1"/>
    <cellStyle name="Followed Hyperlink" xfId="25075" builtinId="9" hidden="1"/>
    <cellStyle name="Followed Hyperlink" xfId="25076" builtinId="9" hidden="1"/>
    <cellStyle name="Followed Hyperlink" xfId="25077" builtinId="9" hidden="1"/>
    <cellStyle name="Followed Hyperlink" xfId="25078" builtinId="9" hidden="1"/>
    <cellStyle name="Followed Hyperlink" xfId="25079" builtinId="9" hidden="1"/>
    <cellStyle name="Followed Hyperlink" xfId="25080" builtinId="9" hidden="1"/>
    <cellStyle name="Followed Hyperlink" xfId="25081" builtinId="9" hidden="1"/>
    <cellStyle name="Followed Hyperlink" xfId="25082" builtinId="9" hidden="1"/>
    <cellStyle name="Followed Hyperlink" xfId="25083" builtinId="9" hidden="1"/>
    <cellStyle name="Followed Hyperlink" xfId="25084" builtinId="9" hidden="1"/>
    <cellStyle name="Followed Hyperlink" xfId="25085" builtinId="9" hidden="1"/>
    <cellStyle name="Followed Hyperlink" xfId="25086" builtinId="9" hidden="1"/>
    <cellStyle name="Followed Hyperlink" xfId="25087" builtinId="9" hidden="1"/>
    <cellStyle name="Followed Hyperlink" xfId="25088" builtinId="9" hidden="1"/>
    <cellStyle name="Followed Hyperlink" xfId="25089" builtinId="9" hidden="1"/>
    <cellStyle name="Followed Hyperlink" xfId="25090" builtinId="9" hidden="1"/>
    <cellStyle name="Followed Hyperlink" xfId="25091" builtinId="9" hidden="1"/>
    <cellStyle name="Followed Hyperlink" xfId="25092" builtinId="9" hidden="1"/>
    <cellStyle name="Followed Hyperlink" xfId="25093" builtinId="9" hidden="1"/>
    <cellStyle name="Followed Hyperlink" xfId="25094" builtinId="9" hidden="1"/>
    <cellStyle name="Followed Hyperlink" xfId="25095" builtinId="9" hidden="1"/>
    <cellStyle name="Followed Hyperlink" xfId="25096" builtinId="9" hidden="1"/>
    <cellStyle name="Followed Hyperlink" xfId="25097" builtinId="9" hidden="1"/>
    <cellStyle name="Followed Hyperlink" xfId="25098" builtinId="9" hidden="1"/>
    <cellStyle name="Followed Hyperlink" xfId="25099" builtinId="9" hidden="1"/>
    <cellStyle name="Followed Hyperlink" xfId="25100" builtinId="9" hidden="1"/>
    <cellStyle name="Followed Hyperlink" xfId="25101" builtinId="9" hidden="1"/>
    <cellStyle name="Followed Hyperlink" xfId="25102" builtinId="9" hidden="1"/>
    <cellStyle name="Followed Hyperlink" xfId="25103" builtinId="9" hidden="1"/>
    <cellStyle name="Followed Hyperlink" xfId="25104" builtinId="9" hidden="1"/>
    <cellStyle name="Followed Hyperlink" xfId="25105" builtinId="9" hidden="1"/>
    <cellStyle name="Followed Hyperlink" xfId="25106" builtinId="9" hidden="1"/>
    <cellStyle name="Followed Hyperlink" xfId="25107" builtinId="9" hidden="1"/>
    <cellStyle name="Followed Hyperlink" xfId="25108" builtinId="9" hidden="1"/>
    <cellStyle name="Followed Hyperlink" xfId="25109" builtinId="9" hidden="1"/>
    <cellStyle name="Followed Hyperlink" xfId="25110" builtinId="9" hidden="1"/>
    <cellStyle name="Followed Hyperlink" xfId="25111" builtinId="9" hidden="1"/>
    <cellStyle name="Followed Hyperlink" xfId="25112" builtinId="9" hidden="1"/>
    <cellStyle name="Followed Hyperlink" xfId="25113" builtinId="9" hidden="1"/>
    <cellStyle name="Followed Hyperlink" xfId="25114" builtinId="9" hidden="1"/>
    <cellStyle name="Followed Hyperlink" xfId="25115" builtinId="9" hidden="1"/>
    <cellStyle name="Followed Hyperlink" xfId="25116" builtinId="9" hidden="1"/>
    <cellStyle name="Followed Hyperlink" xfId="25117" builtinId="9" hidden="1"/>
    <cellStyle name="Followed Hyperlink" xfId="25118" builtinId="9" hidden="1"/>
    <cellStyle name="Followed Hyperlink" xfId="25119" builtinId="9" hidden="1"/>
    <cellStyle name="Followed Hyperlink" xfId="25120" builtinId="9" hidden="1"/>
    <cellStyle name="Followed Hyperlink" xfId="25121" builtinId="9" hidden="1"/>
    <cellStyle name="Followed Hyperlink" xfId="25122" builtinId="9" hidden="1"/>
    <cellStyle name="Followed Hyperlink" xfId="25123" builtinId="9" hidden="1"/>
    <cellStyle name="Followed Hyperlink" xfId="25124" builtinId="9" hidden="1"/>
    <cellStyle name="Followed Hyperlink" xfId="25125" builtinId="9" hidden="1"/>
    <cellStyle name="Followed Hyperlink" xfId="25126" builtinId="9" hidden="1"/>
    <cellStyle name="Followed Hyperlink" xfId="25127" builtinId="9" hidden="1"/>
    <cellStyle name="Followed Hyperlink" xfId="25128" builtinId="9" hidden="1"/>
    <cellStyle name="Followed Hyperlink" xfId="25129" builtinId="9" hidden="1"/>
    <cellStyle name="Followed Hyperlink" xfId="25130" builtinId="9" hidden="1"/>
    <cellStyle name="Followed Hyperlink" xfId="25131" builtinId="9" hidden="1"/>
    <cellStyle name="Followed Hyperlink" xfId="25132" builtinId="9" hidden="1"/>
    <cellStyle name="Followed Hyperlink" xfId="25133" builtinId="9" hidden="1"/>
    <cellStyle name="Followed Hyperlink" xfId="25134" builtinId="9" hidden="1"/>
    <cellStyle name="Followed Hyperlink" xfId="25135" builtinId="9" hidden="1"/>
    <cellStyle name="Followed Hyperlink" xfId="25136" builtinId="9" hidden="1"/>
    <cellStyle name="Followed Hyperlink" xfId="25137" builtinId="9" hidden="1"/>
    <cellStyle name="Followed Hyperlink" xfId="25138" builtinId="9" hidden="1"/>
    <cellStyle name="Followed Hyperlink" xfId="25139" builtinId="9" hidden="1"/>
    <cellStyle name="Followed Hyperlink" xfId="24826" builtinId="9" hidden="1"/>
    <cellStyle name="Followed Hyperlink" xfId="25477" builtinId="9" hidden="1"/>
    <cellStyle name="Followed Hyperlink" xfId="25440" builtinId="9" hidden="1"/>
    <cellStyle name="Followed Hyperlink" xfId="25325" builtinId="9" hidden="1"/>
    <cellStyle name="Followed Hyperlink" xfId="25305" builtinId="9" hidden="1"/>
    <cellStyle name="Followed Hyperlink" xfId="25308" builtinId="9" hidden="1"/>
    <cellStyle name="Followed Hyperlink" xfId="25389" builtinId="9" hidden="1"/>
    <cellStyle name="Followed Hyperlink" xfId="25225" builtinId="9" hidden="1"/>
    <cellStyle name="Followed Hyperlink" xfId="24841" builtinId="9" hidden="1"/>
    <cellStyle name="Followed Hyperlink" xfId="25295" builtinId="9" hidden="1"/>
    <cellStyle name="Followed Hyperlink" xfId="25197" builtinId="9" hidden="1"/>
    <cellStyle name="Followed Hyperlink" xfId="25381" builtinId="9" hidden="1"/>
    <cellStyle name="Followed Hyperlink" xfId="25196" builtinId="9" hidden="1"/>
    <cellStyle name="Followed Hyperlink" xfId="24852" builtinId="9" hidden="1"/>
    <cellStyle name="Followed Hyperlink" xfId="25512" builtinId="9" hidden="1"/>
    <cellStyle name="Followed Hyperlink" xfId="25378" builtinId="9" hidden="1"/>
    <cellStyle name="Followed Hyperlink" xfId="25273" builtinId="9" hidden="1"/>
    <cellStyle name="Followed Hyperlink" xfId="25194" builtinId="9" hidden="1"/>
    <cellStyle name="Followed Hyperlink" xfId="25195" builtinId="9" hidden="1"/>
    <cellStyle name="Followed Hyperlink" xfId="25866" builtinId="9" hidden="1"/>
    <cellStyle name="Followed Hyperlink" xfId="25518" builtinId="9" hidden="1"/>
    <cellStyle name="Followed Hyperlink" xfId="25531" builtinId="9" hidden="1"/>
    <cellStyle name="Followed Hyperlink" xfId="25427" builtinId="9" hidden="1"/>
    <cellStyle name="Followed Hyperlink" xfId="25426" builtinId="9" hidden="1"/>
    <cellStyle name="Followed Hyperlink" xfId="25425" builtinId="9" hidden="1"/>
    <cellStyle name="Followed Hyperlink" xfId="25424" builtinId="9" hidden="1"/>
    <cellStyle name="Followed Hyperlink" xfId="25221" builtinId="9" hidden="1"/>
    <cellStyle name="Followed Hyperlink" xfId="24849" builtinId="9" hidden="1"/>
    <cellStyle name="Followed Hyperlink" xfId="25192" builtinId="9" hidden="1"/>
    <cellStyle name="Followed Hyperlink" xfId="25494" builtinId="9" hidden="1"/>
    <cellStyle name="Followed Hyperlink" xfId="25190" builtinId="9" hidden="1"/>
    <cellStyle name="Followed Hyperlink" xfId="25191" builtinId="9" hidden="1"/>
    <cellStyle name="Followed Hyperlink" xfId="24823" builtinId="9" hidden="1"/>
    <cellStyle name="Followed Hyperlink" xfId="25390" builtinId="9" hidden="1"/>
    <cellStyle name="Followed Hyperlink" xfId="25216" builtinId="9" hidden="1"/>
    <cellStyle name="Followed Hyperlink" xfId="25217" builtinId="9" hidden="1"/>
    <cellStyle name="Followed Hyperlink" xfId="24837" builtinId="9" hidden="1"/>
    <cellStyle name="Followed Hyperlink" xfId="25423" builtinId="9" hidden="1"/>
    <cellStyle name="Followed Hyperlink" xfId="23695" builtinId="9" hidden="1"/>
    <cellStyle name="Followed Hyperlink" xfId="25482" builtinId="9" hidden="1"/>
    <cellStyle name="Followed Hyperlink" xfId="25456" builtinId="9" hidden="1"/>
    <cellStyle name="Followed Hyperlink" xfId="25422" builtinId="9" hidden="1"/>
    <cellStyle name="Followed Hyperlink" xfId="25466" builtinId="9" hidden="1"/>
    <cellStyle name="Followed Hyperlink" xfId="25404" builtinId="9" hidden="1"/>
    <cellStyle name="Followed Hyperlink" xfId="25468" builtinId="9" hidden="1"/>
    <cellStyle name="Followed Hyperlink" xfId="25421" builtinId="9" hidden="1"/>
    <cellStyle name="Followed Hyperlink" xfId="25420" builtinId="9" hidden="1"/>
    <cellStyle name="Followed Hyperlink" xfId="25419" builtinId="9" hidden="1"/>
    <cellStyle name="Followed Hyperlink" xfId="24271" builtinId="9" hidden="1"/>
    <cellStyle name="Followed Hyperlink" xfId="25402" builtinId="9" hidden="1"/>
    <cellStyle name="Followed Hyperlink" xfId="24677" builtinId="9" hidden="1"/>
    <cellStyle name="Followed Hyperlink" xfId="24270" builtinId="9" hidden="1"/>
    <cellStyle name="Followed Hyperlink" xfId="25479" builtinId="9" hidden="1"/>
    <cellStyle name="Followed Hyperlink" xfId="25442" builtinId="9" hidden="1"/>
    <cellStyle name="Followed Hyperlink" xfId="25326" builtinId="9" hidden="1"/>
    <cellStyle name="Followed Hyperlink" xfId="25286" builtinId="9" hidden="1"/>
    <cellStyle name="Followed Hyperlink" xfId="25264" builtinId="9" hidden="1"/>
    <cellStyle name="Followed Hyperlink" xfId="25215" builtinId="9" hidden="1"/>
    <cellStyle name="Followed Hyperlink" xfId="24848" builtinId="9" hidden="1"/>
    <cellStyle name="Followed Hyperlink" xfId="25386" builtinId="9" hidden="1"/>
    <cellStyle name="Followed Hyperlink" xfId="25272" builtinId="9" hidden="1"/>
    <cellStyle name="Followed Hyperlink" xfId="25186" builtinId="9" hidden="1"/>
    <cellStyle name="Followed Hyperlink" xfId="25185" builtinId="9" hidden="1"/>
    <cellStyle name="Followed Hyperlink" xfId="25184" builtinId="9" hidden="1"/>
    <cellStyle name="Followed Hyperlink" xfId="25183" builtinId="9" hidden="1"/>
    <cellStyle name="Followed Hyperlink" xfId="24831" builtinId="9" hidden="1"/>
    <cellStyle name="Followed Hyperlink" xfId="25505" builtinId="9" hidden="1"/>
    <cellStyle name="Followed Hyperlink" xfId="24816" builtinId="9" hidden="1"/>
    <cellStyle name="Followed Hyperlink" xfId="25310" builtinId="9" hidden="1"/>
    <cellStyle name="Followed Hyperlink" xfId="25300" builtinId="9" hidden="1"/>
    <cellStyle name="Followed Hyperlink" xfId="25213" builtinId="9" hidden="1"/>
    <cellStyle name="Followed Hyperlink" xfId="24828" builtinId="9" hidden="1"/>
    <cellStyle name="Followed Hyperlink" xfId="25396" builtinId="9" hidden="1"/>
    <cellStyle name="Followed Hyperlink" xfId="25301" builtinId="9" hidden="1"/>
    <cellStyle name="Followed Hyperlink" xfId="25212" builtinId="9" hidden="1"/>
    <cellStyle name="Followed Hyperlink" xfId="24779" builtinId="9" hidden="1"/>
    <cellStyle name="Followed Hyperlink" xfId="25180" builtinId="9" hidden="1"/>
    <cellStyle name="Followed Hyperlink" xfId="25179" builtinId="9" hidden="1"/>
    <cellStyle name="Followed Hyperlink" xfId="24815" builtinId="9" hidden="1"/>
    <cellStyle name="Followed Hyperlink" xfId="25178" builtinId="9" hidden="1"/>
    <cellStyle name="Followed Hyperlink" xfId="24814" builtinId="9" hidden="1"/>
    <cellStyle name="Followed Hyperlink" xfId="25454" builtinId="9" hidden="1"/>
    <cellStyle name="Followed Hyperlink" xfId="25417" builtinId="9" hidden="1"/>
    <cellStyle name="Followed Hyperlink" xfId="25173" builtinId="9" hidden="1"/>
    <cellStyle name="Followed Hyperlink" xfId="25177" builtinId="9" hidden="1"/>
    <cellStyle name="Followed Hyperlink" xfId="25209" builtinId="9" hidden="1"/>
    <cellStyle name="Followed Hyperlink" xfId="24833" builtinId="9" hidden="1"/>
    <cellStyle name="Followed Hyperlink" xfId="25487" builtinId="9" hidden="1"/>
    <cellStyle name="Followed Hyperlink" xfId="25174" builtinId="9" hidden="1"/>
    <cellStyle name="Followed Hyperlink" xfId="25175" builtinId="9" hidden="1"/>
    <cellStyle name="Followed Hyperlink" xfId="24813" builtinId="9" hidden="1"/>
    <cellStyle name="Followed Hyperlink" xfId="25510" builtinId="9" hidden="1"/>
    <cellStyle name="Followed Hyperlink" xfId="25452" builtinId="9" hidden="1"/>
    <cellStyle name="Followed Hyperlink" xfId="25865" builtinId="9" hidden="1"/>
    <cellStyle name="Followed Hyperlink" xfId="25524" builtinId="9" hidden="1"/>
    <cellStyle name="Followed Hyperlink" xfId="25521" builtinId="9" hidden="1"/>
    <cellStyle name="Followed Hyperlink" xfId="25507" builtinId="9" hidden="1"/>
    <cellStyle name="Followed Hyperlink" xfId="24810" builtinId="9" hidden="1"/>
    <cellStyle name="Followed Hyperlink" xfId="25414" builtinId="9" hidden="1"/>
    <cellStyle name="Followed Hyperlink" xfId="25413" builtinId="9" hidden="1"/>
    <cellStyle name="Followed Hyperlink" xfId="25412" builtinId="9" hidden="1"/>
    <cellStyle name="Followed Hyperlink" xfId="25411" builtinId="9" hidden="1"/>
    <cellStyle name="Followed Hyperlink" xfId="25206" builtinId="9" hidden="1"/>
    <cellStyle name="Followed Hyperlink" xfId="24846" builtinId="9" hidden="1"/>
    <cellStyle name="Followed Hyperlink" xfId="25171" builtinId="9" hidden="1"/>
    <cellStyle name="Followed Hyperlink" xfId="25204" builtinId="9" hidden="1"/>
    <cellStyle name="Followed Hyperlink" xfId="24811" builtinId="9" hidden="1"/>
    <cellStyle name="Followed Hyperlink" xfId="25509" builtinId="9" hidden="1"/>
    <cellStyle name="Followed Hyperlink" xfId="25451" builtinId="9" hidden="1"/>
    <cellStyle name="Followed Hyperlink" xfId="25449" builtinId="9" hidden="1"/>
    <cellStyle name="Followed Hyperlink" xfId="25503" builtinId="9" hidden="1"/>
    <cellStyle name="Followed Hyperlink" xfId="25501" builtinId="9" hidden="1"/>
    <cellStyle name="Followed Hyperlink" xfId="25496" builtinId="9" hidden="1"/>
    <cellStyle name="Followed Hyperlink" xfId="25481" builtinId="9" hidden="1"/>
    <cellStyle name="Followed Hyperlink" xfId="25530" builtinId="9" hidden="1"/>
    <cellStyle name="Followed Hyperlink" xfId="24809" builtinId="9" hidden="1"/>
    <cellStyle name="Followed Hyperlink" xfId="25166" builtinId="9" hidden="1"/>
    <cellStyle name="Followed Hyperlink" xfId="25167" builtinId="9" hidden="1"/>
    <cellStyle name="Followed Hyperlink" xfId="24667" builtinId="9" hidden="1"/>
    <cellStyle name="Followed Hyperlink" xfId="24619" builtinId="9" hidden="1"/>
    <cellStyle name="Followed Hyperlink" xfId="25447" builtinId="9" hidden="1"/>
    <cellStyle name="Followed Hyperlink" xfId="25463" builtinId="9" hidden="1"/>
    <cellStyle name="Followed Hyperlink" xfId="25329" builtinId="9" hidden="1"/>
    <cellStyle name="Followed Hyperlink" xfId="25464" builtinId="9" hidden="1"/>
    <cellStyle name="Followed Hyperlink" xfId="25400" builtinId="9" hidden="1"/>
    <cellStyle name="Followed Hyperlink" xfId="25318" builtinId="9" hidden="1"/>
    <cellStyle name="Followed Hyperlink" xfId="25274" builtinId="9" hidden="1"/>
    <cellStyle name="Followed Hyperlink" xfId="25283" builtinId="9" hidden="1"/>
    <cellStyle name="Followed Hyperlink" xfId="25478" builtinId="9" hidden="1"/>
    <cellStyle name="Followed Hyperlink" xfId="25441" builtinId="9" hidden="1"/>
    <cellStyle name="Followed Hyperlink" xfId="25324" builtinId="9" hidden="1"/>
    <cellStyle name="Followed Hyperlink" xfId="25304" builtinId="9" hidden="1"/>
    <cellStyle name="Followed Hyperlink" xfId="25476" builtinId="9" hidden="1"/>
    <cellStyle name="Followed Hyperlink" xfId="25439" builtinId="9" hidden="1"/>
    <cellStyle name="Followed Hyperlink" xfId="25387" builtinId="9" hidden="1"/>
    <cellStyle name="Followed Hyperlink" xfId="25313" builtinId="9" hidden="1"/>
    <cellStyle name="Followed Hyperlink" xfId="25199" builtinId="9" hidden="1"/>
    <cellStyle name="Followed Hyperlink" xfId="25297" builtinId="9" hidden="1"/>
    <cellStyle name="Followed Hyperlink" xfId="25379" builtinId="9" hidden="1"/>
    <cellStyle name="Followed Hyperlink" xfId="25165" builtinId="9" hidden="1"/>
    <cellStyle name="Followed Hyperlink" xfId="25263" builtinId="9" hidden="1"/>
    <cellStyle name="Followed Hyperlink" xfId="25369" builtinId="9" hidden="1"/>
    <cellStyle name="Followed Hyperlink" xfId="24805" builtinId="9" hidden="1"/>
    <cellStyle name="Followed Hyperlink" xfId="25368" builtinId="9" hidden="1"/>
    <cellStyle name="Followed Hyperlink" xfId="25307" builtinId="9" hidden="1"/>
    <cellStyle name="Followed Hyperlink" xfId="24804" builtinId="9" hidden="1"/>
    <cellStyle name="Followed Hyperlink" xfId="25323" builtinId="9" hidden="1"/>
    <cellStyle name="Followed Hyperlink" xfId="25259" builtinId="9" hidden="1"/>
    <cellStyle name="Followed Hyperlink" xfId="24830" builtinId="9" hidden="1"/>
    <cellStyle name="Followed Hyperlink" xfId="24210" builtinId="9" hidden="1"/>
    <cellStyle name="Followed Hyperlink" xfId="25862" builtinId="9" hidden="1"/>
    <cellStyle name="Followed Hyperlink" xfId="25860" builtinId="9" hidden="1"/>
    <cellStyle name="Followed Hyperlink" xfId="25858" builtinId="9" hidden="1"/>
    <cellStyle name="Followed Hyperlink" xfId="25856" builtinId="9" hidden="1"/>
    <cellStyle name="Followed Hyperlink" xfId="25854" builtinId="9" hidden="1"/>
    <cellStyle name="Followed Hyperlink" xfId="25852" builtinId="9" hidden="1"/>
    <cellStyle name="Followed Hyperlink" xfId="25850" builtinId="9" hidden="1"/>
    <cellStyle name="Followed Hyperlink" xfId="25848" builtinId="9" hidden="1"/>
    <cellStyle name="Followed Hyperlink" xfId="25846" builtinId="9" hidden="1"/>
    <cellStyle name="Followed Hyperlink" xfId="25844" builtinId="9" hidden="1"/>
    <cellStyle name="Followed Hyperlink" xfId="25842" builtinId="9" hidden="1"/>
    <cellStyle name="Followed Hyperlink" xfId="25840" builtinId="9" hidden="1"/>
    <cellStyle name="Followed Hyperlink" xfId="25838" builtinId="9" hidden="1"/>
    <cellStyle name="Followed Hyperlink" xfId="25836" builtinId="9" hidden="1"/>
    <cellStyle name="Followed Hyperlink" xfId="25834" builtinId="9" hidden="1"/>
    <cellStyle name="Followed Hyperlink" xfId="25832" builtinId="9" hidden="1"/>
    <cellStyle name="Followed Hyperlink" xfId="25830" builtinId="9" hidden="1"/>
    <cellStyle name="Followed Hyperlink" xfId="25828" builtinId="9" hidden="1"/>
    <cellStyle name="Followed Hyperlink" xfId="25826" builtinId="9" hidden="1"/>
    <cellStyle name="Followed Hyperlink" xfId="25824" builtinId="9" hidden="1"/>
    <cellStyle name="Followed Hyperlink" xfId="25822" builtinId="9" hidden="1"/>
    <cellStyle name="Followed Hyperlink" xfId="25820" builtinId="9" hidden="1"/>
    <cellStyle name="Followed Hyperlink" xfId="25818" builtinId="9" hidden="1"/>
    <cellStyle name="Followed Hyperlink" xfId="25816" builtinId="9" hidden="1"/>
    <cellStyle name="Followed Hyperlink" xfId="25814" builtinId="9" hidden="1"/>
    <cellStyle name="Followed Hyperlink" xfId="25812" builtinId="9" hidden="1"/>
    <cellStyle name="Followed Hyperlink" xfId="25810" builtinId="9" hidden="1"/>
    <cellStyle name="Followed Hyperlink" xfId="25808" builtinId="9" hidden="1"/>
    <cellStyle name="Followed Hyperlink" xfId="25806" builtinId="9" hidden="1"/>
    <cellStyle name="Followed Hyperlink" xfId="25804" builtinId="9" hidden="1"/>
    <cellStyle name="Followed Hyperlink" xfId="25802" builtinId="9" hidden="1"/>
    <cellStyle name="Followed Hyperlink" xfId="25800" builtinId="9" hidden="1"/>
    <cellStyle name="Followed Hyperlink" xfId="25798" builtinId="9" hidden="1"/>
    <cellStyle name="Followed Hyperlink" xfId="25796" builtinId="9" hidden="1"/>
    <cellStyle name="Followed Hyperlink" xfId="25794" builtinId="9" hidden="1"/>
    <cellStyle name="Followed Hyperlink" xfId="25792" builtinId="9" hidden="1"/>
    <cellStyle name="Followed Hyperlink" xfId="25790" builtinId="9" hidden="1"/>
    <cellStyle name="Followed Hyperlink" xfId="25788" builtinId="9" hidden="1"/>
    <cellStyle name="Followed Hyperlink" xfId="25786" builtinId="9" hidden="1"/>
    <cellStyle name="Followed Hyperlink" xfId="25784" builtinId="9" hidden="1"/>
    <cellStyle name="Followed Hyperlink" xfId="25782" builtinId="9" hidden="1"/>
    <cellStyle name="Followed Hyperlink" xfId="25780" builtinId="9" hidden="1"/>
    <cellStyle name="Followed Hyperlink" xfId="25778" builtinId="9" hidden="1"/>
    <cellStyle name="Followed Hyperlink" xfId="25776" builtinId="9" hidden="1"/>
    <cellStyle name="Followed Hyperlink" xfId="25774" builtinId="9" hidden="1"/>
    <cellStyle name="Followed Hyperlink" xfId="25772" builtinId="9" hidden="1"/>
    <cellStyle name="Followed Hyperlink" xfId="25770" builtinId="9" hidden="1"/>
    <cellStyle name="Followed Hyperlink" xfId="25768" builtinId="9" hidden="1"/>
    <cellStyle name="Followed Hyperlink" xfId="25766" builtinId="9" hidden="1"/>
    <cellStyle name="Followed Hyperlink" xfId="25764" builtinId="9" hidden="1"/>
    <cellStyle name="Followed Hyperlink" xfId="25762" builtinId="9" hidden="1"/>
    <cellStyle name="Followed Hyperlink" xfId="25760" builtinId="9" hidden="1"/>
    <cellStyle name="Followed Hyperlink" xfId="25758" builtinId="9" hidden="1"/>
    <cellStyle name="Followed Hyperlink" xfId="25756" builtinId="9" hidden="1"/>
    <cellStyle name="Followed Hyperlink" xfId="25754" builtinId="9" hidden="1"/>
    <cellStyle name="Followed Hyperlink" xfId="25752" builtinId="9" hidden="1"/>
    <cellStyle name="Followed Hyperlink" xfId="25750" builtinId="9" hidden="1"/>
    <cellStyle name="Followed Hyperlink" xfId="25748" builtinId="9" hidden="1"/>
    <cellStyle name="Followed Hyperlink" xfId="25746" builtinId="9" hidden="1"/>
    <cellStyle name="Followed Hyperlink" xfId="25744" builtinId="9" hidden="1"/>
    <cellStyle name="Followed Hyperlink" xfId="25742" builtinId="9" hidden="1"/>
    <cellStyle name="Followed Hyperlink" xfId="25740" builtinId="9" hidden="1"/>
    <cellStyle name="Followed Hyperlink" xfId="25738" builtinId="9" hidden="1"/>
    <cellStyle name="Followed Hyperlink" xfId="25736" builtinId="9" hidden="1"/>
    <cellStyle name="Followed Hyperlink" xfId="25734" builtinId="9" hidden="1"/>
    <cellStyle name="Followed Hyperlink" xfId="25732" builtinId="9" hidden="1"/>
    <cellStyle name="Followed Hyperlink" xfId="25730" builtinId="9" hidden="1"/>
    <cellStyle name="Followed Hyperlink" xfId="25728" builtinId="9" hidden="1"/>
    <cellStyle name="Followed Hyperlink" xfId="25726" builtinId="9" hidden="1"/>
    <cellStyle name="Followed Hyperlink" xfId="25724" builtinId="9" hidden="1"/>
    <cellStyle name="Followed Hyperlink" xfId="25716" builtinId="9" hidden="1"/>
    <cellStyle name="Followed Hyperlink" xfId="25714" builtinId="9" hidden="1"/>
    <cellStyle name="Followed Hyperlink" xfId="25712" builtinId="9" hidden="1"/>
    <cellStyle name="Followed Hyperlink" xfId="25710" builtinId="9" hidden="1"/>
    <cellStyle name="Followed Hyperlink" xfId="25708" builtinId="9" hidden="1"/>
    <cellStyle name="Followed Hyperlink" xfId="25706" builtinId="9" hidden="1"/>
    <cellStyle name="Followed Hyperlink" xfId="25704" builtinId="9" hidden="1"/>
    <cellStyle name="Followed Hyperlink" xfId="25702" builtinId="9" hidden="1"/>
    <cellStyle name="Followed Hyperlink" xfId="25700" builtinId="9" hidden="1"/>
    <cellStyle name="Followed Hyperlink" xfId="25698" builtinId="9" hidden="1"/>
    <cellStyle name="Followed Hyperlink" xfId="25696" builtinId="9" hidden="1"/>
    <cellStyle name="Followed Hyperlink" xfId="25694" builtinId="9" hidden="1"/>
    <cellStyle name="Followed Hyperlink" xfId="25692" builtinId="9" hidden="1"/>
    <cellStyle name="Followed Hyperlink" xfId="25690" builtinId="9" hidden="1"/>
    <cellStyle name="Followed Hyperlink" xfId="25688" builtinId="9" hidden="1"/>
    <cellStyle name="Followed Hyperlink" xfId="25686" builtinId="9" hidden="1"/>
    <cellStyle name="Followed Hyperlink" xfId="25684" builtinId="9" hidden="1"/>
    <cellStyle name="Followed Hyperlink" xfId="25682" builtinId="9" hidden="1"/>
    <cellStyle name="Followed Hyperlink" xfId="25680" builtinId="9" hidden="1"/>
    <cellStyle name="Followed Hyperlink" xfId="25678" builtinId="9" hidden="1"/>
    <cellStyle name="Followed Hyperlink" xfId="25676" builtinId="9" hidden="1"/>
    <cellStyle name="Followed Hyperlink" xfId="25674" builtinId="9" hidden="1"/>
    <cellStyle name="Followed Hyperlink" xfId="25672" builtinId="9" hidden="1"/>
    <cellStyle name="Followed Hyperlink" xfId="25670" builtinId="9" hidden="1"/>
    <cellStyle name="Followed Hyperlink" xfId="25668" builtinId="9" hidden="1"/>
    <cellStyle name="Followed Hyperlink" xfId="25666" builtinId="9" hidden="1"/>
    <cellStyle name="Followed Hyperlink" xfId="25664" builtinId="9" hidden="1"/>
    <cellStyle name="Followed Hyperlink" xfId="25663" builtinId="9" hidden="1"/>
    <cellStyle name="Followed Hyperlink" xfId="25661" builtinId="9" hidden="1"/>
    <cellStyle name="Followed Hyperlink" xfId="25659" builtinId="9" hidden="1"/>
    <cellStyle name="Followed Hyperlink" xfId="25657" builtinId="9" hidden="1"/>
    <cellStyle name="Followed Hyperlink" xfId="25655" builtinId="9" hidden="1"/>
    <cellStyle name="Followed Hyperlink" xfId="25653" builtinId="9" hidden="1"/>
    <cellStyle name="Followed Hyperlink" xfId="25651" builtinId="9" hidden="1"/>
    <cellStyle name="Followed Hyperlink" xfId="25649" builtinId="9" hidden="1"/>
    <cellStyle name="Followed Hyperlink" xfId="25647" builtinId="9" hidden="1"/>
    <cellStyle name="Followed Hyperlink" xfId="25645" builtinId="9" hidden="1"/>
    <cellStyle name="Followed Hyperlink" xfId="25643" builtinId="9" hidden="1"/>
    <cellStyle name="Followed Hyperlink" xfId="25641" builtinId="9" hidden="1"/>
    <cellStyle name="Followed Hyperlink" xfId="25639" builtinId="9" hidden="1"/>
    <cellStyle name="Followed Hyperlink" xfId="25637" builtinId="9" hidden="1"/>
    <cellStyle name="Followed Hyperlink" xfId="25635" builtinId="9" hidden="1"/>
    <cellStyle name="Followed Hyperlink" xfId="25633" builtinId="9" hidden="1"/>
    <cellStyle name="Followed Hyperlink" xfId="25631" builtinId="9" hidden="1"/>
    <cellStyle name="Followed Hyperlink" xfId="25629" builtinId="9" hidden="1"/>
    <cellStyle name="Followed Hyperlink" xfId="25627" builtinId="9" hidden="1"/>
    <cellStyle name="Followed Hyperlink" xfId="25625" builtinId="9" hidden="1"/>
    <cellStyle name="Followed Hyperlink" xfId="25623" builtinId="9" hidden="1"/>
    <cellStyle name="Followed Hyperlink" xfId="25621" builtinId="9" hidden="1"/>
    <cellStyle name="Followed Hyperlink" xfId="25619" builtinId="9" hidden="1"/>
    <cellStyle name="Followed Hyperlink" xfId="25617" builtinId="9" hidden="1"/>
    <cellStyle name="Followed Hyperlink" xfId="25615" builtinId="9" hidden="1"/>
    <cellStyle name="Followed Hyperlink" xfId="25613" builtinId="9" hidden="1"/>
    <cellStyle name="Followed Hyperlink" xfId="25611" builtinId="9" hidden="1"/>
    <cellStyle name="Followed Hyperlink" xfId="25609" builtinId="9" hidden="1"/>
    <cellStyle name="Followed Hyperlink" xfId="25607" builtinId="9" hidden="1"/>
    <cellStyle name="Followed Hyperlink" xfId="25605" builtinId="9" hidden="1"/>
    <cellStyle name="Followed Hyperlink" xfId="25603" builtinId="9" hidden="1"/>
    <cellStyle name="Followed Hyperlink" xfId="25601" builtinId="9" hidden="1"/>
    <cellStyle name="Followed Hyperlink" xfId="25599" builtinId="9" hidden="1"/>
    <cellStyle name="Followed Hyperlink" xfId="25597" builtinId="9" hidden="1"/>
    <cellStyle name="Followed Hyperlink" xfId="25595" builtinId="9" hidden="1"/>
    <cellStyle name="Followed Hyperlink" xfId="25593" builtinId="9" hidden="1"/>
    <cellStyle name="Followed Hyperlink" xfId="25591" builtinId="9" hidden="1"/>
    <cellStyle name="Followed Hyperlink" xfId="25589" builtinId="9" hidden="1"/>
    <cellStyle name="Followed Hyperlink" xfId="25587" builtinId="9" hidden="1"/>
    <cellStyle name="Followed Hyperlink" xfId="25585" builtinId="9" hidden="1"/>
    <cellStyle name="Followed Hyperlink" xfId="25583" builtinId="9" hidden="1"/>
    <cellStyle name="Followed Hyperlink" xfId="25581" builtinId="9" hidden="1"/>
    <cellStyle name="Followed Hyperlink" xfId="25579" builtinId="9" hidden="1"/>
    <cellStyle name="Followed Hyperlink" xfId="25577" builtinId="9" hidden="1"/>
    <cellStyle name="Followed Hyperlink" xfId="25575" builtinId="9" hidden="1"/>
    <cellStyle name="Followed Hyperlink" xfId="25573" builtinId="9" hidden="1"/>
    <cellStyle name="Followed Hyperlink" xfId="25571" builtinId="9" hidden="1"/>
    <cellStyle name="Followed Hyperlink" xfId="25569" builtinId="9" hidden="1"/>
    <cellStyle name="Followed Hyperlink" xfId="25567" builtinId="9" hidden="1"/>
    <cellStyle name="Followed Hyperlink" xfId="25565" builtinId="9" hidden="1"/>
    <cellStyle name="Followed Hyperlink" xfId="25563" builtinId="9" hidden="1"/>
    <cellStyle name="Followed Hyperlink" xfId="25561" builtinId="9" hidden="1"/>
    <cellStyle name="Followed Hyperlink" xfId="25560" builtinId="9" hidden="1"/>
    <cellStyle name="Followed Hyperlink" xfId="25558" builtinId="9" hidden="1"/>
    <cellStyle name="Followed Hyperlink" xfId="25556" builtinId="9" hidden="1"/>
    <cellStyle name="Followed Hyperlink" xfId="25554" builtinId="9" hidden="1"/>
    <cellStyle name="Followed Hyperlink" xfId="25552" builtinId="9" hidden="1"/>
    <cellStyle name="Followed Hyperlink" xfId="25550" builtinId="9" hidden="1"/>
    <cellStyle name="Followed Hyperlink" xfId="25548" builtinId="9" hidden="1"/>
    <cellStyle name="Followed Hyperlink" xfId="25546" builtinId="9" hidden="1"/>
    <cellStyle name="Followed Hyperlink" xfId="25544" builtinId="9" hidden="1"/>
    <cellStyle name="Followed Hyperlink" xfId="25542" builtinId="9" hidden="1"/>
    <cellStyle name="Followed Hyperlink" xfId="25540" builtinId="9" hidden="1"/>
    <cellStyle name="Followed Hyperlink" xfId="25538" builtinId="9" hidden="1"/>
    <cellStyle name="Followed Hyperlink" xfId="25536" builtinId="9" hidden="1"/>
    <cellStyle name="Followed Hyperlink" xfId="25534" builtinId="9" hidden="1"/>
    <cellStyle name="Followed Hyperlink" xfId="24478" builtinId="9" hidden="1"/>
    <cellStyle name="Followed Hyperlink" xfId="24484" builtinId="9" hidden="1"/>
    <cellStyle name="Followed Hyperlink" xfId="24488" builtinId="9" hidden="1"/>
    <cellStyle name="Followed Hyperlink" xfId="24492" builtinId="9" hidden="1"/>
    <cellStyle name="Followed Hyperlink" xfId="24496" builtinId="9" hidden="1"/>
    <cellStyle name="Followed Hyperlink" xfId="24500" builtinId="9" hidden="1"/>
    <cellStyle name="Followed Hyperlink" xfId="24504" builtinId="9" hidden="1"/>
    <cellStyle name="Followed Hyperlink" xfId="24508" builtinId="9" hidden="1"/>
    <cellStyle name="Followed Hyperlink" xfId="24512" builtinId="9" hidden="1"/>
    <cellStyle name="Followed Hyperlink" xfId="24516" builtinId="9" hidden="1"/>
    <cellStyle name="Followed Hyperlink" xfId="24520" builtinId="9" hidden="1"/>
    <cellStyle name="Followed Hyperlink" xfId="24524" builtinId="9" hidden="1"/>
    <cellStyle name="Followed Hyperlink" xfId="24528" builtinId="9" hidden="1"/>
    <cellStyle name="Followed Hyperlink" xfId="24532" builtinId="9" hidden="1"/>
    <cellStyle name="Followed Hyperlink" xfId="24536" builtinId="9" hidden="1"/>
    <cellStyle name="Followed Hyperlink" xfId="24540" builtinId="9" hidden="1"/>
    <cellStyle name="Followed Hyperlink" xfId="24544" builtinId="9" hidden="1"/>
    <cellStyle name="Followed Hyperlink" xfId="24542" builtinId="9" hidden="1"/>
    <cellStyle name="Followed Hyperlink" xfId="24534" builtinId="9" hidden="1"/>
    <cellStyle name="Followed Hyperlink" xfId="24526" builtinId="9" hidden="1"/>
    <cellStyle name="Followed Hyperlink" xfId="24518" builtinId="9" hidden="1"/>
    <cellStyle name="Followed Hyperlink" xfId="24510" builtinId="9" hidden="1"/>
    <cellStyle name="Followed Hyperlink" xfId="24502" builtinId="9" hidden="1"/>
    <cellStyle name="Followed Hyperlink" xfId="24494" builtinId="9" hidden="1"/>
    <cellStyle name="Followed Hyperlink" xfId="24486" builtinId="9" hidden="1"/>
    <cellStyle name="Followed Hyperlink" xfId="25533" builtinId="9" hidden="1"/>
    <cellStyle name="Followed Hyperlink" xfId="25537" builtinId="9" hidden="1"/>
    <cellStyle name="Followed Hyperlink" xfId="25541" builtinId="9" hidden="1"/>
    <cellStyle name="Followed Hyperlink" xfId="25545" builtinId="9" hidden="1"/>
    <cellStyle name="Followed Hyperlink" xfId="25549" builtinId="9" hidden="1"/>
    <cellStyle name="Followed Hyperlink" xfId="25553" builtinId="9" hidden="1"/>
    <cellStyle name="Followed Hyperlink" xfId="25557" builtinId="9" hidden="1"/>
    <cellStyle name="Followed Hyperlink" xfId="25282" builtinId="9" hidden="1"/>
    <cellStyle name="Followed Hyperlink" xfId="25564" builtinId="9" hidden="1"/>
    <cellStyle name="Followed Hyperlink" xfId="25568" builtinId="9" hidden="1"/>
    <cellStyle name="Followed Hyperlink" xfId="25572" builtinId="9" hidden="1"/>
    <cellStyle name="Followed Hyperlink" xfId="25576" builtinId="9" hidden="1"/>
    <cellStyle name="Followed Hyperlink" xfId="25580" builtinId="9" hidden="1"/>
    <cellStyle name="Followed Hyperlink" xfId="25584" builtinId="9" hidden="1"/>
    <cellStyle name="Followed Hyperlink" xfId="25588" builtinId="9" hidden="1"/>
    <cellStyle name="Followed Hyperlink" xfId="25592" builtinId="9" hidden="1"/>
    <cellStyle name="Followed Hyperlink" xfId="25596" builtinId="9" hidden="1"/>
    <cellStyle name="Followed Hyperlink" xfId="25600" builtinId="9" hidden="1"/>
    <cellStyle name="Followed Hyperlink" xfId="25604" builtinId="9" hidden="1"/>
    <cellStyle name="Followed Hyperlink" xfId="25608" builtinId="9" hidden="1"/>
    <cellStyle name="Followed Hyperlink" xfId="25612" builtinId="9" hidden="1"/>
    <cellStyle name="Followed Hyperlink" xfId="25616" builtinId="9" hidden="1"/>
    <cellStyle name="Followed Hyperlink" xfId="25620" builtinId="9" hidden="1"/>
    <cellStyle name="Followed Hyperlink" xfId="25624" builtinId="9" hidden="1"/>
    <cellStyle name="Followed Hyperlink" xfId="25628" builtinId="9" hidden="1"/>
    <cellStyle name="Followed Hyperlink" xfId="25632" builtinId="9" hidden="1"/>
    <cellStyle name="Followed Hyperlink" xfId="25636" builtinId="9" hidden="1"/>
    <cellStyle name="Followed Hyperlink" xfId="25640" builtinId="9" hidden="1"/>
    <cellStyle name="Followed Hyperlink" xfId="25644" builtinId="9" hidden="1"/>
    <cellStyle name="Followed Hyperlink" xfId="25648" builtinId="9" hidden="1"/>
    <cellStyle name="Followed Hyperlink" xfId="25652" builtinId="9" hidden="1"/>
    <cellStyle name="Followed Hyperlink" xfId="25656" builtinId="9" hidden="1"/>
    <cellStyle name="Followed Hyperlink" xfId="25660" builtinId="9" hidden="1"/>
    <cellStyle name="Followed Hyperlink" xfId="24802" builtinId="9" hidden="1"/>
    <cellStyle name="Followed Hyperlink" xfId="25667" builtinId="9" hidden="1"/>
    <cellStyle name="Followed Hyperlink" xfId="25671" builtinId="9" hidden="1"/>
    <cellStyle name="Followed Hyperlink" xfId="25675" builtinId="9" hidden="1"/>
    <cellStyle name="Followed Hyperlink" xfId="25679" builtinId="9" hidden="1"/>
    <cellStyle name="Followed Hyperlink" xfId="25683" builtinId="9" hidden="1"/>
    <cellStyle name="Followed Hyperlink" xfId="25687" builtinId="9" hidden="1"/>
    <cellStyle name="Followed Hyperlink" xfId="25691" builtinId="9" hidden="1"/>
    <cellStyle name="Followed Hyperlink" xfId="25695" builtinId="9" hidden="1"/>
    <cellStyle name="Followed Hyperlink" xfId="25699" builtinId="9" hidden="1"/>
    <cellStyle name="Followed Hyperlink" xfId="25703" builtinId="9" hidden="1"/>
    <cellStyle name="Followed Hyperlink" xfId="25707" builtinId="9" hidden="1"/>
    <cellStyle name="Followed Hyperlink" xfId="25711" builtinId="9" hidden="1"/>
    <cellStyle name="Followed Hyperlink" xfId="25715" builtinId="9" hidden="1"/>
    <cellStyle name="Followed Hyperlink" xfId="24546" builtinId="9" hidden="1"/>
    <cellStyle name="Followed Hyperlink" xfId="25495" builtinId="9" hidden="1"/>
    <cellStyle name="Followed Hyperlink" xfId="24548" builtinId="9" hidden="1"/>
    <cellStyle name="Followed Hyperlink" xfId="24556" builtinId="9" hidden="1"/>
    <cellStyle name="Followed Hyperlink" xfId="24560" builtinId="9" hidden="1"/>
    <cellStyle name="Followed Hyperlink" xfId="24564" builtinId="9" hidden="1"/>
    <cellStyle name="Followed Hyperlink" xfId="24568" builtinId="9" hidden="1"/>
    <cellStyle name="Followed Hyperlink" xfId="24572" builtinId="9" hidden="1"/>
    <cellStyle name="Followed Hyperlink" xfId="24576" builtinId="9" hidden="1"/>
    <cellStyle name="Followed Hyperlink" xfId="24580" builtinId="9" hidden="1"/>
    <cellStyle name="Followed Hyperlink" xfId="24584" builtinId="9" hidden="1"/>
    <cellStyle name="Followed Hyperlink" xfId="24588" builtinId="9" hidden="1"/>
    <cellStyle name="Followed Hyperlink" xfId="24592" builtinId="9" hidden="1"/>
    <cellStyle name="Followed Hyperlink" xfId="24596" builtinId="9" hidden="1"/>
    <cellStyle name="Followed Hyperlink" xfId="24600" builtinId="9" hidden="1"/>
    <cellStyle name="Followed Hyperlink" xfId="24604" builtinId="9" hidden="1"/>
    <cellStyle name="Followed Hyperlink" xfId="24608" builtinId="9" hidden="1"/>
    <cellStyle name="Followed Hyperlink" xfId="24612" builtinId="9" hidden="1"/>
    <cellStyle name="Followed Hyperlink" xfId="24616" builtinId="9" hidden="1"/>
    <cellStyle name="Followed Hyperlink" xfId="23827" builtinId="9" hidden="1"/>
    <cellStyle name="Followed Hyperlink" xfId="24265" builtinId="9" hidden="1"/>
    <cellStyle name="Followed Hyperlink" xfId="24204" builtinId="9" hidden="1"/>
    <cellStyle name="Followed Hyperlink" xfId="23701" builtinId="9" hidden="1"/>
    <cellStyle name="Followed Hyperlink" xfId="22900" builtinId="9" hidden="1"/>
    <cellStyle name="Followed Hyperlink" xfId="22905" builtinId="9" hidden="1"/>
    <cellStyle name="Followed Hyperlink" xfId="24164" builtinId="9" hidden="1"/>
    <cellStyle name="Followed Hyperlink" xfId="23833" builtinId="9" hidden="1"/>
    <cellStyle name="Followed Hyperlink" xfId="23690" builtinId="9" hidden="1"/>
    <cellStyle name="Followed Hyperlink" xfId="24280" builtinId="9" hidden="1"/>
    <cellStyle name="Followed Hyperlink" xfId="23733" builtinId="9" hidden="1"/>
    <cellStyle name="Followed Hyperlink" xfId="23747" builtinId="9" hidden="1"/>
    <cellStyle name="Followed Hyperlink" xfId="23838" builtinId="9" hidden="1"/>
    <cellStyle name="Followed Hyperlink" xfId="23991" builtinId="9" hidden="1"/>
    <cellStyle name="Followed Hyperlink" xfId="23748" builtinId="9" hidden="1"/>
    <cellStyle name="Followed Hyperlink" xfId="23702" builtinId="9" hidden="1"/>
    <cellStyle name="Followed Hyperlink" xfId="22901" builtinId="9" hidden="1"/>
    <cellStyle name="Followed Hyperlink" xfId="23840" builtinId="9" hidden="1"/>
    <cellStyle name="Followed Hyperlink" xfId="24173" builtinId="9" hidden="1"/>
    <cellStyle name="Followed Hyperlink" xfId="23854" builtinId="9" hidden="1"/>
    <cellStyle name="Followed Hyperlink" xfId="24208" builtinId="9" hidden="1"/>
    <cellStyle name="Followed Hyperlink" xfId="24800" builtinId="9" hidden="1"/>
    <cellStyle name="Followed Hyperlink" xfId="25281" builtinId="9" hidden="1"/>
    <cellStyle name="Followed Hyperlink" xfId="24674" builtinId="9" hidden="1"/>
    <cellStyle name="Followed Hyperlink" xfId="25258" builtinId="9" hidden="1"/>
    <cellStyle name="Followed Hyperlink" xfId="24673" builtinId="9" hidden="1"/>
    <cellStyle name="Followed Hyperlink" xfId="25257" builtinId="9" hidden="1"/>
    <cellStyle name="Followed Hyperlink" xfId="24797" builtinId="9" hidden="1"/>
    <cellStyle name="Followed Hyperlink" xfId="25363" builtinId="9" hidden="1"/>
    <cellStyle name="Followed Hyperlink" xfId="25256" builtinId="9" hidden="1"/>
    <cellStyle name="Followed Hyperlink" xfId="25255" builtinId="9" hidden="1"/>
    <cellStyle name="Followed Hyperlink" xfId="24796" builtinId="9" hidden="1"/>
    <cellStyle name="Followed Hyperlink" xfId="25253" builtinId="9" hidden="1"/>
    <cellStyle name="Followed Hyperlink" xfId="25401" builtinId="9" hidden="1"/>
    <cellStyle name="Followed Hyperlink" xfId="24664" builtinId="9" hidden="1"/>
    <cellStyle name="Followed Hyperlink" xfId="25250" builtinId="9" hidden="1"/>
    <cellStyle name="Followed Hyperlink" xfId="25488" builtinId="9" hidden="1"/>
    <cellStyle name="Followed Hyperlink" xfId="25484" builtinId="9" hidden="1"/>
    <cellStyle name="Followed Hyperlink" xfId="25446" builtinId="9" hidden="1"/>
    <cellStyle name="Followed Hyperlink" xfId="25445" builtinId="9" hidden="1"/>
    <cellStyle name="Followed Hyperlink" xfId="25444" builtinId="9" hidden="1"/>
    <cellStyle name="Followed Hyperlink" xfId="25406" builtinId="9" hidden="1"/>
    <cellStyle name="Followed Hyperlink" xfId="25472" builtinId="9" hidden="1"/>
    <cellStyle name="Followed Hyperlink" xfId="25465" builtinId="9" hidden="1"/>
    <cellStyle name="Followed Hyperlink" xfId="25436" builtinId="9" hidden="1"/>
    <cellStyle name="Followed Hyperlink" xfId="25403" builtinId="9" hidden="1"/>
    <cellStyle name="Followed Hyperlink" xfId="25331" builtinId="9" hidden="1"/>
    <cellStyle name="Followed Hyperlink" xfId="25475" builtinId="9" hidden="1"/>
    <cellStyle name="Followed Hyperlink" xfId="25467" builtinId="9" hidden="1"/>
    <cellStyle name="Followed Hyperlink" xfId="25438" builtinId="9" hidden="1"/>
    <cellStyle name="Followed Hyperlink" xfId="25405" builtinId="9" hidden="1"/>
    <cellStyle name="Followed Hyperlink" xfId="25359" builtinId="9" hidden="1"/>
    <cellStyle name="Followed Hyperlink" xfId="25433" builtinId="9" hidden="1"/>
    <cellStyle name="Followed Hyperlink" xfId="25239" builtinId="9" hidden="1"/>
    <cellStyle name="Followed Hyperlink" xfId="25238" builtinId="9" hidden="1"/>
    <cellStyle name="Followed Hyperlink" xfId="25237" builtinId="9" hidden="1"/>
    <cellStyle name="Followed Hyperlink" xfId="25236" builtinId="9" hidden="1"/>
    <cellStyle name="Followed Hyperlink" xfId="25235" builtinId="9" hidden="1"/>
    <cellStyle name="Followed Hyperlink" xfId="25234" builtinId="9" hidden="1"/>
    <cellStyle name="Followed Hyperlink" xfId="25233" builtinId="9" hidden="1"/>
    <cellStyle name="Followed Hyperlink" xfId="25232" builtinId="9" hidden="1"/>
    <cellStyle name="Followed Hyperlink" xfId="23706" builtinId="9" hidden="1"/>
    <cellStyle name="Followed Hyperlink" xfId="25358" builtinId="9" hidden="1"/>
    <cellStyle name="Followed Hyperlink" xfId="24680" builtinId="9" hidden="1"/>
    <cellStyle name="Followed Hyperlink" xfId="25357" builtinId="9" hidden="1"/>
    <cellStyle name="Followed Hyperlink" xfId="25231" builtinId="9" hidden="1"/>
    <cellStyle name="Followed Hyperlink" xfId="24784" builtinId="9" hidden="1"/>
    <cellStyle name="Followed Hyperlink" xfId="24678" builtinId="9" hidden="1"/>
    <cellStyle name="Followed Hyperlink" xfId="25306" builtinId="9" hidden="1"/>
    <cellStyle name="Followed Hyperlink" xfId="25230" builtinId="9" hidden="1"/>
    <cellStyle name="Followed Hyperlink" xfId="24783" builtinId="9" hidden="1"/>
    <cellStyle name="Followed Hyperlink" xfId="25321" builtinId="9" hidden="1"/>
    <cellStyle name="Followed Hyperlink" xfId="25320" builtinId="9" hidden="1"/>
    <cellStyle name="Followed Hyperlink" xfId="25356" builtinId="9" hidden="1"/>
    <cellStyle name="Followed Hyperlink" xfId="25296" builtinId="9" hidden="1"/>
    <cellStyle name="Followed Hyperlink" xfId="24781" builtinId="9" hidden="1"/>
    <cellStyle name="Followed Hyperlink" xfId="25229" builtinId="9" hidden="1"/>
    <cellStyle name="Followed Hyperlink" xfId="25143" builtinId="9" hidden="1"/>
    <cellStyle name="Followed Hyperlink" xfId="24731" builtinId="9" hidden="1"/>
    <cellStyle name="Followed Hyperlink" xfId="25142" builtinId="9" hidden="1"/>
    <cellStyle name="Followed Hyperlink" xfId="24717" builtinId="9" hidden="1"/>
    <cellStyle name="Followed Hyperlink" xfId="24699" builtinId="9" hidden="1"/>
    <cellStyle name="Followed Hyperlink" xfId="25335" builtinId="9" hidden="1"/>
    <cellStyle name="Followed Hyperlink" xfId="25141" builtinId="9" hidden="1"/>
    <cellStyle name="Followed Hyperlink" xfId="24729" builtinId="9" hidden="1"/>
    <cellStyle name="Followed Hyperlink" xfId="25140" builtinId="9" hidden="1"/>
    <cellStyle name="Followed Hyperlink" xfId="24715" builtinId="9" hidden="1"/>
    <cellStyle name="Followed Hyperlink" xfId="24695" builtinId="9" hidden="1"/>
    <cellStyle name="Followed Hyperlink" xfId="25334" builtinId="9" hidden="1"/>
    <cellStyle name="Followed Hyperlink" xfId="24990" builtinId="9" hidden="1"/>
    <cellStyle name="Followed Hyperlink" xfId="24727" builtinId="9" hidden="1"/>
    <cellStyle name="Followed Hyperlink" xfId="24855" builtinId="9" hidden="1"/>
    <cellStyle name="Followed Hyperlink" xfId="24714" builtinId="9" hidden="1"/>
    <cellStyle name="Followed Hyperlink" xfId="24691" builtinId="9" hidden="1"/>
    <cellStyle name="Followed Hyperlink" xfId="25506" builtinId="9" hidden="1"/>
    <cellStyle name="Followed Hyperlink" xfId="25333" builtinId="9" hidden="1"/>
    <cellStyle name="Followed Hyperlink" xfId="25380" builtinId="9" hidden="1"/>
    <cellStyle name="Followed Hyperlink" xfId="25228" builtinId="9" hidden="1"/>
    <cellStyle name="Followed Hyperlink" xfId="24931" builtinId="9" hidden="1"/>
    <cellStyle name="Followed Hyperlink" xfId="24725" builtinId="9" hidden="1"/>
    <cellStyle name="Followed Hyperlink" xfId="24986" builtinId="9" hidden="1"/>
    <cellStyle name="Followed Hyperlink" xfId="24712" builtinId="9" hidden="1"/>
    <cellStyle name="Followed Hyperlink" xfId="24687" builtinId="9" hidden="1"/>
    <cellStyle name="Followed Hyperlink" xfId="25332" builtinId="9" hidden="1"/>
    <cellStyle name="Followed Hyperlink" xfId="24932" builtinId="9" hidden="1"/>
    <cellStyle name="Followed Hyperlink" xfId="24723" builtinId="9" hidden="1"/>
    <cellStyle name="Followed Hyperlink" xfId="24933" builtinId="9" hidden="1"/>
    <cellStyle name="Followed Hyperlink" xfId="24710" builtinId="9" hidden="1"/>
    <cellStyle name="Followed Hyperlink" xfId="24934" builtinId="9" hidden="1"/>
    <cellStyle name="Followed Hyperlink" xfId="24706" builtinId="9" hidden="1"/>
    <cellStyle name="Followed Hyperlink" xfId="24854" builtinId="9" hidden="1"/>
    <cellStyle name="Followed Hyperlink" xfId="23068" builtinId="9" hidden="1"/>
    <cellStyle name="Followed Hyperlink" xfId="24479" builtinId="9" hidden="1"/>
    <cellStyle name="Followed Hyperlink" xfId="25868" builtinId="9" hidden="1"/>
    <cellStyle name="Followed Hyperlink" xfId="25869" builtinId="9" hidden="1"/>
    <cellStyle name="Followed Hyperlink" xfId="25870" builtinId="9" hidden="1"/>
    <cellStyle name="Followed Hyperlink" xfId="25871" builtinId="9" hidden="1"/>
    <cellStyle name="Followed Hyperlink" xfId="25872" builtinId="9" hidden="1"/>
    <cellStyle name="Followed Hyperlink" xfId="25873" builtinId="9" hidden="1"/>
    <cellStyle name="Followed Hyperlink" xfId="25874" builtinId="9" hidden="1"/>
    <cellStyle name="Followed Hyperlink" xfId="25875" builtinId="9" hidden="1"/>
    <cellStyle name="Followed Hyperlink" xfId="25876" builtinId="9" hidden="1"/>
    <cellStyle name="Followed Hyperlink" xfId="25877" builtinId="9" hidden="1"/>
    <cellStyle name="Followed Hyperlink" xfId="25878" builtinId="9" hidden="1"/>
    <cellStyle name="Followed Hyperlink" xfId="25879" builtinId="9" hidden="1"/>
    <cellStyle name="Followed Hyperlink" xfId="25880" builtinId="9" hidden="1"/>
    <cellStyle name="Followed Hyperlink" xfId="25881" builtinId="9" hidden="1"/>
    <cellStyle name="Followed Hyperlink" xfId="25882" builtinId="9" hidden="1"/>
    <cellStyle name="Followed Hyperlink" xfId="25883" builtinId="9" hidden="1"/>
    <cellStyle name="Followed Hyperlink" xfId="25884" builtinId="9" hidden="1"/>
    <cellStyle name="Followed Hyperlink" xfId="25885" builtinId="9" hidden="1"/>
    <cellStyle name="Followed Hyperlink" xfId="25886" builtinId="9" hidden="1"/>
    <cellStyle name="Followed Hyperlink" xfId="25887" builtinId="9" hidden="1"/>
    <cellStyle name="Followed Hyperlink" xfId="25888" builtinId="9" hidden="1"/>
    <cellStyle name="Followed Hyperlink" xfId="25889" builtinId="9" hidden="1"/>
    <cellStyle name="Followed Hyperlink" xfId="25890" builtinId="9" hidden="1"/>
    <cellStyle name="Followed Hyperlink" xfId="25891" builtinId="9" hidden="1"/>
    <cellStyle name="Followed Hyperlink" xfId="25892" builtinId="9" hidden="1"/>
    <cellStyle name="Followed Hyperlink" xfId="25893" builtinId="9" hidden="1"/>
    <cellStyle name="Followed Hyperlink" xfId="25894" builtinId="9" hidden="1"/>
    <cellStyle name="Followed Hyperlink" xfId="25895" builtinId="9" hidden="1"/>
    <cellStyle name="Followed Hyperlink" xfId="25896" builtinId="9" hidden="1"/>
    <cellStyle name="Followed Hyperlink" xfId="25897" builtinId="9" hidden="1"/>
    <cellStyle name="Followed Hyperlink" xfId="25898" builtinId="9" hidden="1"/>
    <cellStyle name="Followed Hyperlink" xfId="25899" builtinId="9" hidden="1"/>
    <cellStyle name="Followed Hyperlink" xfId="25900" builtinId="9" hidden="1"/>
    <cellStyle name="Followed Hyperlink" xfId="25901" builtinId="9" hidden="1"/>
    <cellStyle name="Followed Hyperlink" xfId="25902" builtinId="9" hidden="1"/>
    <cellStyle name="Followed Hyperlink" xfId="25903" builtinId="9" hidden="1"/>
    <cellStyle name="Followed Hyperlink" xfId="25904" builtinId="9" hidden="1"/>
    <cellStyle name="Followed Hyperlink" xfId="25905" builtinId="9" hidden="1"/>
    <cellStyle name="Followed Hyperlink" xfId="25906" builtinId="9" hidden="1"/>
    <cellStyle name="Followed Hyperlink" xfId="25912" builtinId="9" hidden="1"/>
    <cellStyle name="Followed Hyperlink" xfId="25913" builtinId="9" hidden="1"/>
    <cellStyle name="Followed Hyperlink" xfId="25914" builtinId="9" hidden="1"/>
    <cellStyle name="Followed Hyperlink" xfId="25915" builtinId="9" hidden="1"/>
    <cellStyle name="Followed Hyperlink" xfId="25916" builtinId="9" hidden="1"/>
    <cellStyle name="Followed Hyperlink" xfId="25917" builtinId="9" hidden="1"/>
    <cellStyle name="Followed Hyperlink" xfId="25918" builtinId="9" hidden="1"/>
    <cellStyle name="Followed Hyperlink" xfId="25919" builtinId="9" hidden="1"/>
    <cellStyle name="Followed Hyperlink" xfId="25920" builtinId="9" hidden="1"/>
    <cellStyle name="Followed Hyperlink" xfId="25921" builtinId="9" hidden="1"/>
    <cellStyle name="Followed Hyperlink" xfId="25922" builtinId="9" hidden="1"/>
    <cellStyle name="Followed Hyperlink" xfId="25923" builtinId="9" hidden="1"/>
    <cellStyle name="Followed Hyperlink" xfId="25924" builtinId="9" hidden="1"/>
    <cellStyle name="Followed Hyperlink" xfId="25925" builtinId="9" hidden="1"/>
    <cellStyle name="Followed Hyperlink" xfId="25926" builtinId="9" hidden="1"/>
    <cellStyle name="Followed Hyperlink" xfId="25927" builtinId="9" hidden="1"/>
    <cellStyle name="Followed Hyperlink" xfId="25928" builtinId="9" hidden="1"/>
    <cellStyle name="Followed Hyperlink" xfId="25929" builtinId="9" hidden="1"/>
    <cellStyle name="Followed Hyperlink" xfId="25930" builtinId="9" hidden="1"/>
    <cellStyle name="Followed Hyperlink" xfId="25931" builtinId="9" hidden="1"/>
    <cellStyle name="Followed Hyperlink" xfId="25932" builtinId="9" hidden="1"/>
    <cellStyle name="Followed Hyperlink" xfId="25933" builtinId="9" hidden="1"/>
    <cellStyle name="Followed Hyperlink" xfId="25934" builtinId="9" hidden="1"/>
    <cellStyle name="Followed Hyperlink" xfId="25935" builtinId="9" hidden="1"/>
    <cellStyle name="Followed Hyperlink" xfId="25936" builtinId="9" hidden="1"/>
    <cellStyle name="Followed Hyperlink" xfId="25937" builtinId="9" hidden="1"/>
    <cellStyle name="Followed Hyperlink" xfId="25938" builtinId="9" hidden="1"/>
    <cellStyle name="Followed Hyperlink" xfId="25939" builtinId="9" hidden="1"/>
    <cellStyle name="Followed Hyperlink" xfId="25940" builtinId="9" hidden="1"/>
    <cellStyle name="Followed Hyperlink" xfId="25941" builtinId="9" hidden="1"/>
    <cellStyle name="Followed Hyperlink" xfId="25942" builtinId="9" hidden="1"/>
    <cellStyle name="Followed Hyperlink" xfId="25943" builtinId="9" hidden="1"/>
    <cellStyle name="Followed Hyperlink" xfId="25944" builtinId="9" hidden="1"/>
    <cellStyle name="Followed Hyperlink" xfId="25945" builtinId="9" hidden="1"/>
    <cellStyle name="Followed Hyperlink" xfId="25946" builtinId="9" hidden="1"/>
    <cellStyle name="Followed Hyperlink" xfId="25947" builtinId="9" hidden="1"/>
    <cellStyle name="Followed Hyperlink" xfId="25948" builtinId="9" hidden="1"/>
    <cellStyle name="Followed Hyperlink" xfId="25949" builtinId="9" hidden="1"/>
    <cellStyle name="Followed Hyperlink" xfId="25950" builtinId="9" hidden="1"/>
    <cellStyle name="Followed Hyperlink" xfId="25951" builtinId="9" hidden="1"/>
    <cellStyle name="Followed Hyperlink" xfId="25952" builtinId="9" hidden="1"/>
    <cellStyle name="Followed Hyperlink" xfId="25953" builtinId="9" hidden="1"/>
    <cellStyle name="Followed Hyperlink" xfId="25954" builtinId="9" hidden="1"/>
    <cellStyle name="Followed Hyperlink" xfId="25955" builtinId="9" hidden="1"/>
    <cellStyle name="Followed Hyperlink" xfId="25956" builtinId="9" hidden="1"/>
    <cellStyle name="Followed Hyperlink" xfId="25957" builtinId="9" hidden="1"/>
    <cellStyle name="Followed Hyperlink" xfId="25958" builtinId="9" hidden="1"/>
    <cellStyle name="Followed Hyperlink" xfId="25959" builtinId="9" hidden="1"/>
    <cellStyle name="Followed Hyperlink" xfId="25960" builtinId="9" hidden="1"/>
    <cellStyle name="Followed Hyperlink" xfId="25961" builtinId="9" hidden="1"/>
    <cellStyle name="Followed Hyperlink" xfId="25968" builtinId="9" hidden="1"/>
    <cellStyle name="Followed Hyperlink" xfId="25969" builtinId="9" hidden="1"/>
    <cellStyle name="Followed Hyperlink" xfId="25970" builtinId="9" hidden="1"/>
    <cellStyle name="Followed Hyperlink" xfId="25971" builtinId="9" hidden="1"/>
    <cellStyle name="Followed Hyperlink" xfId="25972" builtinId="9" hidden="1"/>
    <cellStyle name="Followed Hyperlink" xfId="25973" builtinId="9" hidden="1"/>
    <cellStyle name="Followed Hyperlink" xfId="25974" builtinId="9" hidden="1"/>
    <cellStyle name="Followed Hyperlink" xfId="25975" builtinId="9" hidden="1"/>
    <cellStyle name="Followed Hyperlink" xfId="25976" builtinId="9" hidden="1"/>
    <cellStyle name="Followed Hyperlink" xfId="25977" builtinId="9" hidden="1"/>
    <cellStyle name="Followed Hyperlink" xfId="25978" builtinId="9" hidden="1"/>
    <cellStyle name="Followed Hyperlink" xfId="25979" builtinId="9" hidden="1"/>
    <cellStyle name="Followed Hyperlink" xfId="25980" builtinId="9" hidden="1"/>
    <cellStyle name="Followed Hyperlink" xfId="25981" builtinId="9" hidden="1"/>
    <cellStyle name="Followed Hyperlink" xfId="25982" builtinId="9" hidden="1"/>
    <cellStyle name="Followed Hyperlink" xfId="25983" builtinId="9" hidden="1"/>
    <cellStyle name="Followed Hyperlink" xfId="25984" builtinId="9" hidden="1"/>
    <cellStyle name="Followed Hyperlink" xfId="25985" builtinId="9" hidden="1"/>
    <cellStyle name="Followed Hyperlink" xfId="25986" builtinId="9" hidden="1"/>
    <cellStyle name="Followed Hyperlink" xfId="25987" builtinId="9" hidden="1"/>
    <cellStyle name="Followed Hyperlink" xfId="25988" builtinId="9" hidden="1"/>
    <cellStyle name="Followed Hyperlink" xfId="25989" builtinId="9" hidden="1"/>
    <cellStyle name="Followed Hyperlink" xfId="25990" builtinId="9" hidden="1"/>
    <cellStyle name="Followed Hyperlink" xfId="25991" builtinId="9" hidden="1"/>
    <cellStyle name="Followed Hyperlink" xfId="25992" builtinId="9" hidden="1"/>
    <cellStyle name="Followed Hyperlink" xfId="25993" builtinId="9" hidden="1"/>
    <cellStyle name="Followed Hyperlink" xfId="25994" builtinId="9" hidden="1"/>
    <cellStyle name="Followed Hyperlink" xfId="25995" builtinId="9" hidden="1"/>
    <cellStyle name="Followed Hyperlink" xfId="25996" builtinId="9" hidden="1"/>
    <cellStyle name="Followed Hyperlink" xfId="25997" builtinId="9" hidden="1"/>
    <cellStyle name="Followed Hyperlink" xfId="25998" builtinId="9" hidden="1"/>
    <cellStyle name="Followed Hyperlink" xfId="25999" builtinId="9" hidden="1"/>
    <cellStyle name="Followed Hyperlink" xfId="26000" builtinId="9" hidden="1"/>
    <cellStyle name="Followed Hyperlink" xfId="26001" builtinId="9" hidden="1"/>
    <cellStyle name="Followed Hyperlink" xfId="26002" builtinId="9" hidden="1"/>
    <cellStyle name="Followed Hyperlink" xfId="26003" builtinId="9" hidden="1"/>
    <cellStyle name="Followed Hyperlink" xfId="26004" builtinId="9" hidden="1"/>
    <cellStyle name="Followed Hyperlink" xfId="26005" builtinId="9" hidden="1"/>
    <cellStyle name="Followed Hyperlink" xfId="26006" builtinId="9" hidden="1"/>
    <cellStyle name="Followed Hyperlink" xfId="26007" builtinId="9" hidden="1"/>
    <cellStyle name="Followed Hyperlink" xfId="26008" builtinId="9" hidden="1"/>
    <cellStyle name="Followed Hyperlink" xfId="26009" builtinId="9" hidden="1"/>
    <cellStyle name="Followed Hyperlink" xfId="26010" builtinId="9" hidden="1"/>
    <cellStyle name="Followed Hyperlink" xfId="26011" builtinId="9" hidden="1"/>
    <cellStyle name="Followed Hyperlink" xfId="26012" builtinId="9" hidden="1"/>
    <cellStyle name="Followed Hyperlink" xfId="26013" builtinId="9" hidden="1"/>
    <cellStyle name="Followed Hyperlink" xfId="26014" builtinId="9" hidden="1"/>
    <cellStyle name="Followed Hyperlink" xfId="26015" builtinId="9" hidden="1"/>
    <cellStyle name="Followed Hyperlink" xfId="26016" builtinId="9" hidden="1"/>
    <cellStyle name="Followed Hyperlink" xfId="26017" builtinId="9" hidden="1"/>
    <cellStyle name="Followed Hyperlink" xfId="26018" builtinId="9" hidden="1"/>
    <cellStyle name="Followed Hyperlink" xfId="26019" builtinId="9" hidden="1"/>
    <cellStyle name="Followed Hyperlink" xfId="26020" builtinId="9" hidden="1"/>
    <cellStyle name="Followed Hyperlink" xfId="26021" builtinId="9" hidden="1"/>
    <cellStyle name="Followed Hyperlink" xfId="26022" builtinId="9" hidden="1"/>
    <cellStyle name="Followed Hyperlink" xfId="26023" builtinId="9" hidden="1"/>
    <cellStyle name="Followed Hyperlink" xfId="26024" builtinId="9" hidden="1"/>
    <cellStyle name="Followed Hyperlink" xfId="26025" builtinId="9" hidden="1"/>
    <cellStyle name="Followed Hyperlink" xfId="26026" builtinId="9" hidden="1"/>
    <cellStyle name="Followed Hyperlink" xfId="26027" builtinId="9" hidden="1"/>
    <cellStyle name="Followed Hyperlink" xfId="26028" builtinId="9" hidden="1"/>
    <cellStyle name="Followed Hyperlink" xfId="26029" builtinId="9" hidden="1"/>
    <cellStyle name="Followed Hyperlink" xfId="26030" builtinId="9" hidden="1"/>
    <cellStyle name="Followed Hyperlink" xfId="26031" builtinId="9" hidden="1"/>
    <cellStyle name="Followed Hyperlink" xfId="26032" builtinId="9" hidden="1"/>
    <cellStyle name="Followed Hyperlink" xfId="26033" builtinId="9" hidden="1"/>
    <cellStyle name="Followed Hyperlink" xfId="26034" builtinId="9" hidden="1"/>
    <cellStyle name="Followed Hyperlink" xfId="26035" builtinId="9" hidden="1"/>
    <cellStyle name="Followed Hyperlink" xfId="26036" builtinId="9" hidden="1"/>
    <cellStyle name="Followed Hyperlink" xfId="26037" builtinId="9" hidden="1"/>
    <cellStyle name="Followed Hyperlink" xfId="26038" builtinId="9" hidden="1"/>
    <cellStyle name="Followed Hyperlink" xfId="26039" builtinId="9" hidden="1"/>
    <cellStyle name="Followed Hyperlink" xfId="26040" builtinId="9" hidden="1"/>
    <cellStyle name="Followed Hyperlink" xfId="26041" builtinId="9" hidden="1"/>
    <cellStyle name="Followed Hyperlink" xfId="26042" builtinId="9" hidden="1"/>
    <cellStyle name="Followed Hyperlink" xfId="26043" builtinId="9" hidden="1"/>
    <cellStyle name="Followed Hyperlink" xfId="26044" builtinId="9" hidden="1"/>
    <cellStyle name="Followed Hyperlink" xfId="26045" builtinId="9" hidden="1"/>
    <cellStyle name="Followed Hyperlink" xfId="26046" builtinId="9" hidden="1"/>
    <cellStyle name="Followed Hyperlink" xfId="26047" builtinId="9" hidden="1"/>
    <cellStyle name="Followed Hyperlink" xfId="26048" builtinId="9" hidden="1"/>
    <cellStyle name="Followed Hyperlink" xfId="26049" builtinId="9" hidden="1"/>
    <cellStyle name="Followed Hyperlink" xfId="26050" builtinId="9" hidden="1"/>
    <cellStyle name="Followed Hyperlink" xfId="26051" builtinId="9" hidden="1"/>
    <cellStyle name="Followed Hyperlink" xfId="26052" builtinId="9" hidden="1"/>
    <cellStyle name="Followed Hyperlink" xfId="26053" builtinId="9" hidden="1"/>
    <cellStyle name="Followed Hyperlink" xfId="26054" builtinId="9" hidden="1"/>
    <cellStyle name="Followed Hyperlink" xfId="26055" builtinId="9" hidden="1"/>
    <cellStyle name="Followed Hyperlink" xfId="26056" builtinId="9" hidden="1"/>
    <cellStyle name="Followed Hyperlink" xfId="26057" builtinId="9" hidden="1"/>
    <cellStyle name="Followed Hyperlink" xfId="26058" builtinId="9" hidden="1"/>
    <cellStyle name="Followed Hyperlink" xfId="26059" builtinId="9" hidden="1"/>
    <cellStyle name="Followed Hyperlink" xfId="26060" builtinId="9" hidden="1"/>
    <cellStyle name="Followed Hyperlink" xfId="26061" builtinId="9" hidden="1"/>
    <cellStyle name="Followed Hyperlink" xfId="26062" builtinId="9" hidden="1"/>
    <cellStyle name="Followed Hyperlink" xfId="26063" builtinId="9" hidden="1"/>
    <cellStyle name="Followed Hyperlink" xfId="26064" builtinId="9" hidden="1"/>
    <cellStyle name="Followed Hyperlink" xfId="26065" builtinId="9" hidden="1"/>
    <cellStyle name="Followed Hyperlink" xfId="26066" builtinId="9" hidden="1"/>
    <cellStyle name="Followed Hyperlink" xfId="26067" builtinId="9" hidden="1"/>
    <cellStyle name="Followed Hyperlink" xfId="26068" builtinId="9" hidden="1"/>
    <cellStyle name="Followed Hyperlink" xfId="26069" builtinId="9" hidden="1"/>
    <cellStyle name="Followed Hyperlink" xfId="26070" builtinId="9" hidden="1"/>
    <cellStyle name="Followed Hyperlink" xfId="26071" builtinId="9" hidden="1"/>
    <cellStyle name="Followed Hyperlink" xfId="26072" builtinId="9" hidden="1"/>
    <cellStyle name="Followed Hyperlink" xfId="26073" builtinId="9" hidden="1"/>
    <cellStyle name="Followed Hyperlink" xfId="26074" builtinId="9" hidden="1"/>
    <cellStyle name="Followed Hyperlink" xfId="26075" builtinId="9" hidden="1"/>
    <cellStyle name="Followed Hyperlink" xfId="26076" builtinId="9" hidden="1"/>
    <cellStyle name="Followed Hyperlink" xfId="26077" builtinId="9" hidden="1"/>
    <cellStyle name="Followed Hyperlink" xfId="26078" builtinId="9" hidden="1"/>
    <cellStyle name="Followed Hyperlink" xfId="26079" builtinId="9" hidden="1"/>
    <cellStyle name="Followed Hyperlink" xfId="26080" builtinId="9" hidden="1"/>
    <cellStyle name="Followed Hyperlink" xfId="26081" builtinId="9" hidden="1"/>
    <cellStyle name="Followed Hyperlink" xfId="26082" builtinId="9" hidden="1"/>
    <cellStyle name="Followed Hyperlink" xfId="26083" builtinId="9" hidden="1"/>
    <cellStyle name="Followed Hyperlink" xfId="26084" builtinId="9" hidden="1"/>
    <cellStyle name="Followed Hyperlink" xfId="26085" builtinId="9" hidden="1"/>
    <cellStyle name="Followed Hyperlink" xfId="26086" builtinId="9" hidden="1"/>
    <cellStyle name="Followed Hyperlink" xfId="26087" builtinId="9" hidden="1"/>
    <cellStyle name="Followed Hyperlink" xfId="26088" builtinId="9" hidden="1"/>
    <cellStyle name="Followed Hyperlink" xfId="26089" builtinId="9" hidden="1"/>
    <cellStyle name="Followed Hyperlink" xfId="26090" builtinId="9" hidden="1"/>
    <cellStyle name="Followed Hyperlink" xfId="26091" builtinId="9" hidden="1"/>
    <cellStyle name="Followed Hyperlink" xfId="26092" builtinId="9" hidden="1"/>
    <cellStyle name="Followed Hyperlink" xfId="26093" builtinId="9" hidden="1"/>
    <cellStyle name="Followed Hyperlink" xfId="26094" builtinId="9" hidden="1"/>
    <cellStyle name="Followed Hyperlink" xfId="26095" builtinId="9" hidden="1"/>
    <cellStyle name="Followed Hyperlink" xfId="26096" builtinId="9" hidden="1"/>
    <cellStyle name="Followed Hyperlink" xfId="26097" builtinId="9" hidden="1"/>
    <cellStyle name="Followed Hyperlink" xfId="26098" builtinId="9" hidden="1"/>
    <cellStyle name="Followed Hyperlink" xfId="26099" builtinId="9" hidden="1"/>
    <cellStyle name="Followed Hyperlink" xfId="26100" builtinId="9" hidden="1"/>
    <cellStyle name="Followed Hyperlink" xfId="26101" builtinId="9" hidden="1"/>
    <cellStyle name="Followed Hyperlink" xfId="26102" builtinId="9" hidden="1"/>
    <cellStyle name="Followed Hyperlink" xfId="26103" builtinId="9" hidden="1"/>
    <cellStyle name="Followed Hyperlink" xfId="26104" builtinId="9" hidden="1"/>
    <cellStyle name="Followed Hyperlink" xfId="26105" builtinId="9" hidden="1"/>
    <cellStyle name="Followed Hyperlink" xfId="26106" builtinId="9" hidden="1"/>
    <cellStyle name="Followed Hyperlink" xfId="26107" builtinId="9" hidden="1"/>
    <cellStyle name="Followed Hyperlink" xfId="26108" builtinId="9" hidden="1"/>
    <cellStyle name="Followed Hyperlink" xfId="26109" builtinId="9" hidden="1"/>
    <cellStyle name="Followed Hyperlink" xfId="26110" builtinId="9" hidden="1"/>
    <cellStyle name="Followed Hyperlink" xfId="26111" builtinId="9" hidden="1"/>
    <cellStyle name="Followed Hyperlink" xfId="26112" builtinId="9" hidden="1"/>
    <cellStyle name="Followed Hyperlink" xfId="26113" builtinId="9" hidden="1"/>
    <cellStyle name="Followed Hyperlink" xfId="26114" builtinId="9" hidden="1"/>
    <cellStyle name="Followed Hyperlink" xfId="26115" builtinId="9" hidden="1"/>
    <cellStyle name="Followed Hyperlink" xfId="26280" builtinId="9" hidden="1"/>
    <cellStyle name="Followed Hyperlink" xfId="26283" builtinId="9" hidden="1"/>
    <cellStyle name="Followed Hyperlink" xfId="26358" builtinId="9" hidden="1"/>
    <cellStyle name="Followed Hyperlink" xfId="26200" builtinId="9" hidden="1"/>
    <cellStyle name="Followed Hyperlink" xfId="25337" builtinId="9" hidden="1"/>
    <cellStyle name="Followed Hyperlink" xfId="26270" builtinId="9" hidden="1"/>
    <cellStyle name="Followed Hyperlink" xfId="26172" builtinId="9" hidden="1"/>
    <cellStyle name="Followed Hyperlink" xfId="26350" builtinId="9" hidden="1"/>
    <cellStyle name="Followed Hyperlink" xfId="26171" builtinId="9" hidden="1"/>
    <cellStyle name="Followed Hyperlink" xfId="25144" builtinId="9" hidden="1"/>
    <cellStyle name="Followed Hyperlink" xfId="26480" builtinId="9" hidden="1"/>
    <cellStyle name="Followed Hyperlink" xfId="26347" builtinId="9" hidden="1"/>
    <cellStyle name="Followed Hyperlink" xfId="26248" builtinId="9" hidden="1"/>
    <cellStyle name="Followed Hyperlink" xfId="26169" builtinId="9" hidden="1"/>
    <cellStyle name="Followed Hyperlink" xfId="26170" builtinId="9" hidden="1"/>
    <cellStyle name="Followed Hyperlink" xfId="26832" builtinId="9" hidden="1"/>
    <cellStyle name="Followed Hyperlink" xfId="26486" builtinId="9" hidden="1"/>
    <cellStyle name="Followed Hyperlink" xfId="26499" builtinId="9" hidden="1"/>
    <cellStyle name="Followed Hyperlink" xfId="26396" builtinId="9" hidden="1"/>
    <cellStyle name="Followed Hyperlink" xfId="26395" builtinId="9" hidden="1"/>
    <cellStyle name="Followed Hyperlink" xfId="26394" builtinId="9" hidden="1"/>
    <cellStyle name="Followed Hyperlink" xfId="26393" builtinId="9" hidden="1"/>
    <cellStyle name="Followed Hyperlink" xfId="26196" builtinId="9" hidden="1"/>
    <cellStyle name="Followed Hyperlink" xfId="24668" builtinId="9" hidden="1"/>
    <cellStyle name="Followed Hyperlink" xfId="26167" builtinId="9" hidden="1"/>
    <cellStyle name="Followed Hyperlink" xfId="26462" builtinId="9" hidden="1"/>
    <cellStyle name="Followed Hyperlink" xfId="26165" builtinId="9" hidden="1"/>
    <cellStyle name="Followed Hyperlink" xfId="26166" builtinId="9" hidden="1"/>
    <cellStyle name="Followed Hyperlink" xfId="25340" builtinId="9" hidden="1"/>
    <cellStyle name="Followed Hyperlink" xfId="26359" builtinId="9" hidden="1"/>
    <cellStyle name="Followed Hyperlink" xfId="26191" builtinId="9" hidden="1"/>
    <cellStyle name="Followed Hyperlink" xfId="26192" builtinId="9" hidden="1"/>
    <cellStyle name="Followed Hyperlink" xfId="24724" builtinId="9" hidden="1"/>
    <cellStyle name="Followed Hyperlink" xfId="26392" builtinId="9" hidden="1"/>
    <cellStyle name="Followed Hyperlink" xfId="24670" builtinId="9" hidden="1"/>
    <cellStyle name="Followed Hyperlink" xfId="26450" builtinId="9" hidden="1"/>
    <cellStyle name="Followed Hyperlink" xfId="26425" builtinId="9" hidden="1"/>
    <cellStyle name="Followed Hyperlink" xfId="26391" builtinId="9" hidden="1"/>
    <cellStyle name="Followed Hyperlink" xfId="26434" builtinId="9" hidden="1"/>
    <cellStyle name="Followed Hyperlink" xfId="26373" builtinId="9" hidden="1"/>
    <cellStyle name="Followed Hyperlink" xfId="26436" builtinId="9" hidden="1"/>
    <cellStyle name="Followed Hyperlink" xfId="26390" builtinId="9" hidden="1"/>
    <cellStyle name="Followed Hyperlink" xfId="26389" builtinId="9" hidden="1"/>
    <cellStyle name="Followed Hyperlink" xfId="26388" builtinId="9" hidden="1"/>
    <cellStyle name="Followed Hyperlink" xfId="25373" builtinId="9" hidden="1"/>
    <cellStyle name="Followed Hyperlink" xfId="26371" builtinId="9" hidden="1"/>
    <cellStyle name="Followed Hyperlink" xfId="24791" builtinId="9" hidden="1"/>
    <cellStyle name="Followed Hyperlink" xfId="25372" builtinId="9" hidden="1"/>
    <cellStyle name="Followed Hyperlink" xfId="26447" builtinId="9" hidden="1"/>
    <cellStyle name="Followed Hyperlink" xfId="26411" builtinId="9" hidden="1"/>
    <cellStyle name="Followed Hyperlink" xfId="26299" builtinId="9" hidden="1"/>
    <cellStyle name="Followed Hyperlink" xfId="26261" builtinId="9" hidden="1"/>
    <cellStyle name="Followed Hyperlink" xfId="26239" builtinId="9" hidden="1"/>
    <cellStyle name="Followed Hyperlink" xfId="26190" builtinId="9" hidden="1"/>
    <cellStyle name="Followed Hyperlink" xfId="25145" builtinId="9" hidden="1"/>
    <cellStyle name="Followed Hyperlink" xfId="26355" builtinId="9" hidden="1"/>
    <cellStyle name="Followed Hyperlink" xfId="26247" builtinId="9" hidden="1"/>
    <cellStyle name="Followed Hyperlink" xfId="26161" builtinId="9" hidden="1"/>
    <cellStyle name="Followed Hyperlink" xfId="26160" builtinId="9" hidden="1"/>
    <cellStyle name="Followed Hyperlink" xfId="26159" builtinId="9" hidden="1"/>
    <cellStyle name="Followed Hyperlink" xfId="26158" builtinId="9" hidden="1"/>
    <cellStyle name="Followed Hyperlink" xfId="24726" builtinId="9" hidden="1"/>
    <cellStyle name="Followed Hyperlink" xfId="26473" builtinId="9" hidden="1"/>
    <cellStyle name="Followed Hyperlink" xfId="24700" builtinId="9" hidden="1"/>
    <cellStyle name="Followed Hyperlink" xfId="26285" builtinId="9" hidden="1"/>
    <cellStyle name="Followed Hyperlink" xfId="26275" builtinId="9" hidden="1"/>
    <cellStyle name="Followed Hyperlink" xfId="26188" builtinId="9" hidden="1"/>
    <cellStyle name="Followed Hyperlink" xfId="24692" builtinId="9" hidden="1"/>
    <cellStyle name="Followed Hyperlink" xfId="26365" builtinId="9" hidden="1"/>
    <cellStyle name="Followed Hyperlink" xfId="26276" builtinId="9" hidden="1"/>
    <cellStyle name="Followed Hyperlink" xfId="26187" builtinId="9" hidden="1"/>
    <cellStyle name="Followed Hyperlink" xfId="25319" builtinId="9" hidden="1"/>
    <cellStyle name="Followed Hyperlink" xfId="26155" builtinId="9" hidden="1"/>
    <cellStyle name="Followed Hyperlink" xfId="26154" builtinId="9" hidden="1"/>
    <cellStyle name="Followed Hyperlink" xfId="24718" builtinId="9" hidden="1"/>
    <cellStyle name="Followed Hyperlink" xfId="26153" builtinId="9" hidden="1"/>
    <cellStyle name="Followed Hyperlink" xfId="25157" builtinId="9" hidden="1"/>
    <cellStyle name="Followed Hyperlink" xfId="26423" builtinId="9" hidden="1"/>
    <cellStyle name="Followed Hyperlink" xfId="26386" builtinId="9" hidden="1"/>
    <cellStyle name="Followed Hyperlink" xfId="26148" builtinId="9" hidden="1"/>
    <cellStyle name="Followed Hyperlink" xfId="26152" builtinId="9" hidden="1"/>
    <cellStyle name="Followed Hyperlink" xfId="26184" builtinId="9" hidden="1"/>
    <cellStyle name="Followed Hyperlink" xfId="24713" builtinId="9" hidden="1"/>
    <cellStyle name="Followed Hyperlink" xfId="26455" builtinId="9" hidden="1"/>
    <cellStyle name="Followed Hyperlink" xfId="26149" builtinId="9" hidden="1"/>
    <cellStyle name="Followed Hyperlink" xfId="26150" builtinId="9" hidden="1"/>
    <cellStyle name="Followed Hyperlink" xfId="24732" builtinId="9" hidden="1"/>
    <cellStyle name="Followed Hyperlink" xfId="26478" builtinId="9" hidden="1"/>
    <cellStyle name="Followed Hyperlink" xfId="26421" builtinId="9" hidden="1"/>
    <cellStyle name="Followed Hyperlink" xfId="26831" builtinId="9" hidden="1"/>
    <cellStyle name="Followed Hyperlink" xfId="26492" builtinId="9" hidden="1"/>
    <cellStyle name="Followed Hyperlink" xfId="26489" builtinId="9" hidden="1"/>
    <cellStyle name="Followed Hyperlink" xfId="26475" builtinId="9" hidden="1"/>
    <cellStyle name="Followed Hyperlink" xfId="24702" builtinId="9" hidden="1"/>
    <cellStyle name="Followed Hyperlink" xfId="26383" builtinId="9" hidden="1"/>
    <cellStyle name="Followed Hyperlink" xfId="26382" builtinId="9" hidden="1"/>
    <cellStyle name="Followed Hyperlink" xfId="26381" builtinId="9" hidden="1"/>
    <cellStyle name="Followed Hyperlink" xfId="26380" builtinId="9" hidden="1"/>
    <cellStyle name="Followed Hyperlink" xfId="26181" builtinId="9" hidden="1"/>
    <cellStyle name="Followed Hyperlink" xfId="24707" builtinId="9" hidden="1"/>
    <cellStyle name="Followed Hyperlink" xfId="26146" builtinId="9" hidden="1"/>
    <cellStyle name="Followed Hyperlink" xfId="26179" builtinId="9" hidden="1"/>
    <cellStyle name="Followed Hyperlink" xfId="25342" builtinId="9" hidden="1"/>
    <cellStyle name="Followed Hyperlink" xfId="26477" builtinId="9" hidden="1"/>
    <cellStyle name="Followed Hyperlink" xfId="26420" builtinId="9" hidden="1"/>
    <cellStyle name="Followed Hyperlink" xfId="26418" builtinId="9" hidden="1"/>
    <cellStyle name="Followed Hyperlink" xfId="26378" builtinId="9" hidden="1"/>
    <cellStyle name="Followed Hyperlink" xfId="25721" builtinId="9" hidden="1"/>
    <cellStyle name="Followed Hyperlink" xfId="26472" builtinId="9" hidden="1"/>
    <cellStyle name="Followed Hyperlink" xfId="26470" builtinId="9" hidden="1"/>
    <cellStyle name="Followed Hyperlink" xfId="26498" builtinId="9" hidden="1"/>
    <cellStyle name="Followed Hyperlink" xfId="24720" builtinId="9" hidden="1"/>
    <cellStyle name="Followed Hyperlink" xfId="26141" builtinId="9" hidden="1"/>
    <cellStyle name="Followed Hyperlink" xfId="26142" builtinId="9" hidden="1"/>
    <cellStyle name="Followed Hyperlink" xfId="25245" builtinId="9" hidden="1"/>
    <cellStyle name="Followed Hyperlink" xfId="25864" builtinId="9" hidden="1"/>
    <cellStyle name="Followed Hyperlink" xfId="26416" builtinId="9" hidden="1"/>
    <cellStyle name="Followed Hyperlink" xfId="26431" builtinId="9" hidden="1"/>
    <cellStyle name="Followed Hyperlink" xfId="26302" builtinId="9" hidden="1"/>
    <cellStyle name="Followed Hyperlink" xfId="26432" builtinId="9" hidden="1"/>
    <cellStyle name="Followed Hyperlink" xfId="26369" builtinId="9" hidden="1"/>
    <cellStyle name="Followed Hyperlink" xfId="26291" builtinId="9" hidden="1"/>
    <cellStyle name="Followed Hyperlink" xfId="26249" builtinId="9" hidden="1"/>
    <cellStyle name="Followed Hyperlink" xfId="26258" builtinId="9" hidden="1"/>
    <cellStyle name="Followed Hyperlink" xfId="26446" builtinId="9" hidden="1"/>
    <cellStyle name="Followed Hyperlink" xfId="26410" builtinId="9" hidden="1"/>
    <cellStyle name="Followed Hyperlink" xfId="26297" builtinId="9" hidden="1"/>
    <cellStyle name="Followed Hyperlink" xfId="26279" builtinId="9" hidden="1"/>
    <cellStyle name="Followed Hyperlink" xfId="26444" builtinId="9" hidden="1"/>
    <cellStyle name="Followed Hyperlink" xfId="26408" builtinId="9" hidden="1"/>
    <cellStyle name="Followed Hyperlink" xfId="26356" builtinId="9" hidden="1"/>
    <cellStyle name="Followed Hyperlink" xfId="26287" builtinId="9" hidden="1"/>
    <cellStyle name="Followed Hyperlink" xfId="26174" builtinId="9" hidden="1"/>
    <cellStyle name="Followed Hyperlink" xfId="26272" builtinId="9" hidden="1"/>
    <cellStyle name="Followed Hyperlink" xfId="26348" builtinId="9" hidden="1"/>
    <cellStyle name="Followed Hyperlink" xfId="26140" builtinId="9" hidden="1"/>
    <cellStyle name="Followed Hyperlink" xfId="26238" builtinId="9" hidden="1"/>
    <cellStyle name="Followed Hyperlink" xfId="26340" builtinId="9" hidden="1"/>
    <cellStyle name="Followed Hyperlink" xfId="25343" builtinId="9" hidden="1"/>
    <cellStyle name="Followed Hyperlink" xfId="26339" builtinId="9" hidden="1"/>
    <cellStyle name="Followed Hyperlink" xfId="26282" builtinId="9" hidden="1"/>
    <cellStyle name="Followed Hyperlink" xfId="24780" builtinId="9" hidden="1"/>
    <cellStyle name="Followed Hyperlink" xfId="26296" builtinId="9" hidden="1"/>
    <cellStyle name="Followed Hyperlink" xfId="26234" builtinId="9" hidden="1"/>
    <cellStyle name="Followed Hyperlink" xfId="25152" builtinId="9" hidden="1"/>
    <cellStyle name="Followed Hyperlink" xfId="25267" builtinId="9" hidden="1"/>
    <cellStyle name="Followed Hyperlink" xfId="26829" builtinId="9" hidden="1"/>
    <cellStyle name="Followed Hyperlink" xfId="26827" builtinId="9" hidden="1"/>
    <cellStyle name="Followed Hyperlink" xfId="26825" builtinId="9" hidden="1"/>
    <cellStyle name="Followed Hyperlink" xfId="26823" builtinId="9" hidden="1"/>
    <cellStyle name="Followed Hyperlink" xfId="26821" builtinId="9" hidden="1"/>
    <cellStyle name="Followed Hyperlink" xfId="26819" builtinId="9" hidden="1"/>
    <cellStyle name="Followed Hyperlink" xfId="26817" builtinId="9" hidden="1"/>
    <cellStyle name="Followed Hyperlink" xfId="26815" builtinId="9" hidden="1"/>
    <cellStyle name="Followed Hyperlink" xfId="26813" builtinId="9" hidden="1"/>
    <cellStyle name="Followed Hyperlink" xfId="26811" builtinId="9" hidden="1"/>
    <cellStyle name="Followed Hyperlink" xfId="26809" builtinId="9" hidden="1"/>
    <cellStyle name="Followed Hyperlink" xfId="26807" builtinId="9" hidden="1"/>
    <cellStyle name="Followed Hyperlink" xfId="26805" builtinId="9" hidden="1"/>
    <cellStyle name="Followed Hyperlink" xfId="26803" builtinId="9" hidden="1"/>
    <cellStyle name="Followed Hyperlink" xfId="26801" builtinId="9" hidden="1"/>
    <cellStyle name="Followed Hyperlink" xfId="26799" builtinId="9" hidden="1"/>
    <cellStyle name="Followed Hyperlink" xfId="26797" builtinId="9" hidden="1"/>
    <cellStyle name="Followed Hyperlink" xfId="26795" builtinId="9" hidden="1"/>
    <cellStyle name="Followed Hyperlink" xfId="26793" builtinId="9" hidden="1"/>
    <cellStyle name="Followed Hyperlink" xfId="26791" builtinId="9" hidden="1"/>
    <cellStyle name="Followed Hyperlink" xfId="26789" builtinId="9" hidden="1"/>
    <cellStyle name="Followed Hyperlink" xfId="26787" builtinId="9" hidden="1"/>
    <cellStyle name="Followed Hyperlink" xfId="26785" builtinId="9" hidden="1"/>
    <cellStyle name="Followed Hyperlink" xfId="26783" builtinId="9" hidden="1"/>
    <cellStyle name="Followed Hyperlink" xfId="26781" builtinId="9" hidden="1"/>
    <cellStyle name="Followed Hyperlink" xfId="26779" builtinId="9" hidden="1"/>
    <cellStyle name="Followed Hyperlink" xfId="26777" builtinId="9" hidden="1"/>
    <cellStyle name="Followed Hyperlink" xfId="26775" builtinId="9" hidden="1"/>
    <cellStyle name="Followed Hyperlink" xfId="26773" builtinId="9" hidden="1"/>
    <cellStyle name="Followed Hyperlink" xfId="26771" builtinId="9" hidden="1"/>
    <cellStyle name="Followed Hyperlink" xfId="26769" builtinId="9" hidden="1"/>
    <cellStyle name="Followed Hyperlink" xfId="26767" builtinId="9" hidden="1"/>
    <cellStyle name="Followed Hyperlink" xfId="26765" builtinId="9" hidden="1"/>
    <cellStyle name="Followed Hyperlink" xfId="26763" builtinId="9" hidden="1"/>
    <cellStyle name="Followed Hyperlink" xfId="26761" builtinId="9" hidden="1"/>
    <cellStyle name="Followed Hyperlink" xfId="26759" builtinId="9" hidden="1"/>
    <cellStyle name="Followed Hyperlink" xfId="26757" builtinId="9" hidden="1"/>
    <cellStyle name="Followed Hyperlink" xfId="26755" builtinId="9" hidden="1"/>
    <cellStyle name="Followed Hyperlink" xfId="26753" builtinId="9" hidden="1"/>
    <cellStyle name="Followed Hyperlink" xfId="26751" builtinId="9" hidden="1"/>
    <cellStyle name="Followed Hyperlink" xfId="26749" builtinId="9" hidden="1"/>
    <cellStyle name="Followed Hyperlink" xfId="26747" builtinId="9" hidden="1"/>
    <cellStyle name="Followed Hyperlink" xfId="26745" builtinId="9" hidden="1"/>
    <cellStyle name="Followed Hyperlink" xfId="26743" builtinId="9" hidden="1"/>
    <cellStyle name="Followed Hyperlink" xfId="26741" builtinId="9" hidden="1"/>
    <cellStyle name="Followed Hyperlink" xfId="26739" builtinId="9" hidden="1"/>
    <cellStyle name="Followed Hyperlink" xfId="26737" builtinId="9" hidden="1"/>
    <cellStyle name="Followed Hyperlink" xfId="26735" builtinId="9" hidden="1"/>
    <cellStyle name="Followed Hyperlink" xfId="26733" builtinId="9" hidden="1"/>
    <cellStyle name="Followed Hyperlink" xfId="26731" builtinId="9" hidden="1"/>
    <cellStyle name="Followed Hyperlink" xfId="26729" builtinId="9" hidden="1"/>
    <cellStyle name="Followed Hyperlink" xfId="26727" builtinId="9" hidden="1"/>
    <cellStyle name="Followed Hyperlink" xfId="26725" builtinId="9" hidden="1"/>
    <cellStyle name="Followed Hyperlink" xfId="26723" builtinId="9" hidden="1"/>
    <cellStyle name="Followed Hyperlink" xfId="26721" builtinId="9" hidden="1"/>
    <cellStyle name="Followed Hyperlink" xfId="26719" builtinId="9" hidden="1"/>
    <cellStyle name="Followed Hyperlink" xfId="26717" builtinId="9" hidden="1"/>
    <cellStyle name="Followed Hyperlink" xfId="26715" builtinId="9" hidden="1"/>
    <cellStyle name="Followed Hyperlink" xfId="26713" builtinId="9" hidden="1"/>
    <cellStyle name="Followed Hyperlink" xfId="26711" builtinId="9" hidden="1"/>
    <cellStyle name="Followed Hyperlink" xfId="26709" builtinId="9" hidden="1"/>
    <cellStyle name="Followed Hyperlink" xfId="26707" builtinId="9" hidden="1"/>
    <cellStyle name="Followed Hyperlink" xfId="26705" builtinId="9" hidden="1"/>
    <cellStyle name="Followed Hyperlink" xfId="26703" builtinId="9" hidden="1"/>
    <cellStyle name="Followed Hyperlink" xfId="26701" builtinId="9" hidden="1"/>
    <cellStyle name="Followed Hyperlink" xfId="26699" builtinId="9" hidden="1"/>
    <cellStyle name="Followed Hyperlink" xfId="26697" builtinId="9" hidden="1"/>
    <cellStyle name="Followed Hyperlink" xfId="26695" builtinId="9" hidden="1"/>
    <cellStyle name="Followed Hyperlink" xfId="26693" builtinId="9" hidden="1"/>
    <cellStyle name="Followed Hyperlink" xfId="26691" builtinId="9" hidden="1"/>
    <cellStyle name="Followed Hyperlink" xfId="26689" builtinId="9" hidden="1"/>
    <cellStyle name="Followed Hyperlink" xfId="26687" builtinId="9" hidden="1"/>
    <cellStyle name="Followed Hyperlink" xfId="26685" builtinId="9" hidden="1"/>
    <cellStyle name="Followed Hyperlink" xfId="26683" builtinId="9" hidden="1"/>
    <cellStyle name="Followed Hyperlink" xfId="26676" builtinId="9" hidden="1"/>
    <cellStyle name="Followed Hyperlink" xfId="26674" builtinId="9" hidden="1"/>
    <cellStyle name="Followed Hyperlink" xfId="26672" builtinId="9" hidden="1"/>
    <cellStyle name="Followed Hyperlink" xfId="26670" builtinId="9" hidden="1"/>
    <cellStyle name="Followed Hyperlink" xfId="26668" builtinId="9" hidden="1"/>
    <cellStyle name="Followed Hyperlink" xfId="26666" builtinId="9" hidden="1"/>
    <cellStyle name="Followed Hyperlink" xfId="26664" builtinId="9" hidden="1"/>
    <cellStyle name="Followed Hyperlink" xfId="26662" builtinId="9" hidden="1"/>
    <cellStyle name="Followed Hyperlink" xfId="26660" builtinId="9" hidden="1"/>
    <cellStyle name="Followed Hyperlink" xfId="26658" builtinId="9" hidden="1"/>
    <cellStyle name="Followed Hyperlink" xfId="26656" builtinId="9" hidden="1"/>
    <cellStyle name="Followed Hyperlink" xfId="26654" builtinId="9" hidden="1"/>
    <cellStyle name="Followed Hyperlink" xfId="26652" builtinId="9" hidden="1"/>
    <cellStyle name="Followed Hyperlink" xfId="26650" builtinId="9" hidden="1"/>
    <cellStyle name="Followed Hyperlink" xfId="26648" builtinId="9" hidden="1"/>
    <cellStyle name="Followed Hyperlink" xfId="26646" builtinId="9" hidden="1"/>
    <cellStyle name="Followed Hyperlink" xfId="26644" builtinId="9" hidden="1"/>
    <cellStyle name="Followed Hyperlink" xfId="26642" builtinId="9" hidden="1"/>
    <cellStyle name="Followed Hyperlink" xfId="26640" builtinId="9" hidden="1"/>
    <cellStyle name="Followed Hyperlink" xfId="26638" builtinId="9" hidden="1"/>
    <cellStyle name="Followed Hyperlink" xfId="26636" builtinId="9" hidden="1"/>
    <cellStyle name="Followed Hyperlink" xfId="26634" builtinId="9" hidden="1"/>
    <cellStyle name="Followed Hyperlink" xfId="26632" builtinId="9" hidden="1"/>
    <cellStyle name="Followed Hyperlink" xfId="26631" builtinId="9" hidden="1"/>
    <cellStyle name="Followed Hyperlink" xfId="26629" builtinId="9" hidden="1"/>
    <cellStyle name="Followed Hyperlink" xfId="26627" builtinId="9" hidden="1"/>
    <cellStyle name="Followed Hyperlink" xfId="26625" builtinId="9" hidden="1"/>
    <cellStyle name="Followed Hyperlink" xfId="26623" builtinId="9" hidden="1"/>
    <cellStyle name="Followed Hyperlink" xfId="26621" builtinId="9" hidden="1"/>
    <cellStyle name="Followed Hyperlink" xfId="26619" builtinId="9" hidden="1"/>
    <cellStyle name="Followed Hyperlink" xfId="26617" builtinId="9" hidden="1"/>
    <cellStyle name="Followed Hyperlink" xfId="26615" builtinId="9" hidden="1"/>
    <cellStyle name="Followed Hyperlink" xfId="26613" builtinId="9" hidden="1"/>
    <cellStyle name="Followed Hyperlink" xfId="26611" builtinId="9" hidden="1"/>
    <cellStyle name="Followed Hyperlink" xfId="26609" builtinId="9" hidden="1"/>
    <cellStyle name="Followed Hyperlink" xfId="26607" builtinId="9" hidden="1"/>
    <cellStyle name="Followed Hyperlink" xfId="26605" builtinId="9" hidden="1"/>
    <cellStyle name="Followed Hyperlink" xfId="26603" builtinId="9" hidden="1"/>
    <cellStyle name="Followed Hyperlink" xfId="26601" builtinId="9" hidden="1"/>
    <cellStyle name="Followed Hyperlink" xfId="26599" builtinId="9" hidden="1"/>
    <cellStyle name="Followed Hyperlink" xfId="26597" builtinId="9" hidden="1"/>
    <cellStyle name="Followed Hyperlink" xfId="26595" builtinId="9" hidden="1"/>
    <cellStyle name="Followed Hyperlink" xfId="26593" builtinId="9" hidden="1"/>
    <cellStyle name="Followed Hyperlink" xfId="26591" builtinId="9" hidden="1"/>
    <cellStyle name="Followed Hyperlink" xfId="26589" builtinId="9" hidden="1"/>
    <cellStyle name="Followed Hyperlink" xfId="26587" builtinId="9" hidden="1"/>
    <cellStyle name="Followed Hyperlink" xfId="26585" builtinId="9" hidden="1"/>
    <cellStyle name="Followed Hyperlink" xfId="26583" builtinId="9" hidden="1"/>
    <cellStyle name="Followed Hyperlink" xfId="26581" builtinId="9" hidden="1"/>
    <cellStyle name="Followed Hyperlink" xfId="26579" builtinId="9" hidden="1"/>
    <cellStyle name="Followed Hyperlink" xfId="26577" builtinId="9" hidden="1"/>
    <cellStyle name="Followed Hyperlink" xfId="26575" builtinId="9" hidden="1"/>
    <cellStyle name="Followed Hyperlink" xfId="26573" builtinId="9" hidden="1"/>
    <cellStyle name="Followed Hyperlink" xfId="26571" builtinId="9" hidden="1"/>
    <cellStyle name="Followed Hyperlink" xfId="26569" builtinId="9" hidden="1"/>
    <cellStyle name="Followed Hyperlink" xfId="26567" builtinId="9" hidden="1"/>
    <cellStyle name="Followed Hyperlink" xfId="26565" builtinId="9" hidden="1"/>
    <cellStyle name="Followed Hyperlink" xfId="26563" builtinId="9" hidden="1"/>
    <cellStyle name="Followed Hyperlink" xfId="26561" builtinId="9" hidden="1"/>
    <cellStyle name="Followed Hyperlink" xfId="26559" builtinId="9" hidden="1"/>
    <cellStyle name="Followed Hyperlink" xfId="26557" builtinId="9" hidden="1"/>
    <cellStyle name="Followed Hyperlink" xfId="26555" builtinId="9" hidden="1"/>
    <cellStyle name="Followed Hyperlink" xfId="26553" builtinId="9" hidden="1"/>
    <cellStyle name="Followed Hyperlink" xfId="26551" builtinId="9" hidden="1"/>
    <cellStyle name="Followed Hyperlink" xfId="26549" builtinId="9" hidden="1"/>
    <cellStyle name="Followed Hyperlink" xfId="26547" builtinId="9" hidden="1"/>
    <cellStyle name="Followed Hyperlink" xfId="26545" builtinId="9" hidden="1"/>
    <cellStyle name="Followed Hyperlink" xfId="26543" builtinId="9" hidden="1"/>
    <cellStyle name="Followed Hyperlink" xfId="26541" builtinId="9" hidden="1"/>
    <cellStyle name="Followed Hyperlink" xfId="26539" builtinId="9" hidden="1"/>
    <cellStyle name="Followed Hyperlink" xfId="26537" builtinId="9" hidden="1"/>
    <cellStyle name="Followed Hyperlink" xfId="26535" builtinId="9" hidden="1"/>
    <cellStyle name="Followed Hyperlink" xfId="26533" builtinId="9" hidden="1"/>
    <cellStyle name="Followed Hyperlink" xfId="26531" builtinId="9" hidden="1"/>
    <cellStyle name="Followed Hyperlink" xfId="26529" builtinId="9" hidden="1"/>
    <cellStyle name="Followed Hyperlink" xfId="26528" builtinId="9" hidden="1"/>
    <cellStyle name="Followed Hyperlink" xfId="26526" builtinId="9" hidden="1"/>
    <cellStyle name="Followed Hyperlink" xfId="26524" builtinId="9" hidden="1"/>
    <cellStyle name="Followed Hyperlink" xfId="26522" builtinId="9" hidden="1"/>
    <cellStyle name="Followed Hyperlink" xfId="26520" builtinId="9" hidden="1"/>
    <cellStyle name="Followed Hyperlink" xfId="26518" builtinId="9" hidden="1"/>
    <cellStyle name="Followed Hyperlink" xfId="26516" builtinId="9" hidden="1"/>
    <cellStyle name="Followed Hyperlink" xfId="26514" builtinId="9" hidden="1"/>
    <cellStyle name="Followed Hyperlink" xfId="26512" builtinId="9" hidden="1"/>
    <cellStyle name="Followed Hyperlink" xfId="26510" builtinId="9" hidden="1"/>
    <cellStyle name="Followed Hyperlink" xfId="26508" builtinId="9" hidden="1"/>
    <cellStyle name="Followed Hyperlink" xfId="26506" builtinId="9" hidden="1"/>
    <cellStyle name="Followed Hyperlink" xfId="26504" builtinId="9" hidden="1"/>
    <cellStyle name="Followed Hyperlink" xfId="26502" builtinId="9" hidden="1"/>
    <cellStyle name="Followed Hyperlink" xfId="24666" builtinId="9" hidden="1"/>
    <cellStyle name="Followed Hyperlink" xfId="25486" builtinId="9" hidden="1"/>
    <cellStyle name="Followed Hyperlink" xfId="25170" builtinId="9" hidden="1"/>
    <cellStyle name="Followed Hyperlink" xfId="25205" builtinId="9" hidden="1"/>
    <cellStyle name="Followed Hyperlink" xfId="24987" builtinId="9" hidden="1"/>
    <cellStyle name="Followed Hyperlink" xfId="25284" builtinId="9" hidden="1"/>
    <cellStyle name="Followed Hyperlink" xfId="25415" builtinId="9" hidden="1"/>
    <cellStyle name="Followed Hyperlink" xfId="25514" builtinId="9" hidden="1"/>
    <cellStyle name="Followed Hyperlink" xfId="25525" builtinId="9" hidden="1"/>
    <cellStyle name="Followed Hyperlink" xfId="25453" builtinId="9" hidden="1"/>
    <cellStyle name="Followed Hyperlink" xfId="24836" builtinId="9" hidden="1"/>
    <cellStyle name="Followed Hyperlink" xfId="25207" builtinId="9" hidden="1"/>
    <cellStyle name="Followed Hyperlink" xfId="25176" builtinId="9" hidden="1"/>
    <cellStyle name="Followed Hyperlink" xfId="25210" builtinId="9" hidden="1"/>
    <cellStyle name="Followed Hyperlink" xfId="25418" builtinId="9" hidden="1"/>
    <cellStyle name="Followed Hyperlink" xfId="24989" builtinId="9" hidden="1"/>
    <cellStyle name="Followed Hyperlink" xfId="24851" builtinId="9" hidden="1"/>
    <cellStyle name="Followed Hyperlink" xfId="25211" builtinId="9" hidden="1"/>
    <cellStyle name="Followed Hyperlink" xfId="25271" builtinId="9" hidden="1"/>
    <cellStyle name="Followed Hyperlink" xfId="25528" builtinId="9" hidden="1"/>
    <cellStyle name="Followed Hyperlink" xfId="25269" builtinId="9" hidden="1"/>
    <cellStyle name="Followed Hyperlink" xfId="25182" builtinId="9" hidden="1"/>
    <cellStyle name="Followed Hyperlink" xfId="25181" builtinId="9" hidden="1"/>
    <cellStyle name="Followed Hyperlink" xfId="24721" builtinId="9" hidden="1"/>
    <cellStyle name="Followed Hyperlink" xfId="25416" builtinId="9" hidden="1"/>
    <cellStyle name="Followed Hyperlink" xfId="24812" builtinId="9" hidden="1"/>
    <cellStyle name="Followed Hyperlink" xfId="25517" builtinId="9" hidden="1"/>
    <cellStyle name="Followed Hyperlink" xfId="25523" builtinId="9" hidden="1"/>
    <cellStyle name="Followed Hyperlink" xfId="25285" builtinId="9" hidden="1"/>
    <cellStyle name="Followed Hyperlink" xfId="25172" builtinId="9" hidden="1"/>
    <cellStyle name="Followed Hyperlink" xfId="25516" builtinId="9" hidden="1"/>
    <cellStyle name="Followed Hyperlink" xfId="26501" builtinId="9" hidden="1"/>
    <cellStyle name="Followed Hyperlink" xfId="26505" builtinId="9" hidden="1"/>
    <cellStyle name="Followed Hyperlink" xfId="26509" builtinId="9" hidden="1"/>
    <cellStyle name="Followed Hyperlink" xfId="26513" builtinId="9" hidden="1"/>
    <cellStyle name="Followed Hyperlink" xfId="26517" builtinId="9" hidden="1"/>
    <cellStyle name="Followed Hyperlink" xfId="26521" builtinId="9" hidden="1"/>
    <cellStyle name="Followed Hyperlink" xfId="26525" builtinId="9" hidden="1"/>
    <cellStyle name="Followed Hyperlink" xfId="26257" builtinId="9" hidden="1"/>
    <cellStyle name="Followed Hyperlink" xfId="26532" builtinId="9" hidden="1"/>
    <cellStyle name="Followed Hyperlink" xfId="26536" builtinId="9" hidden="1"/>
    <cellStyle name="Followed Hyperlink" xfId="26540" builtinId="9" hidden="1"/>
    <cellStyle name="Followed Hyperlink" xfId="26544" builtinId="9" hidden="1"/>
    <cellStyle name="Followed Hyperlink" xfId="26548" builtinId="9" hidden="1"/>
    <cellStyle name="Followed Hyperlink" xfId="26552" builtinId="9" hidden="1"/>
    <cellStyle name="Followed Hyperlink" xfId="26556" builtinId="9" hidden="1"/>
    <cellStyle name="Followed Hyperlink" xfId="26560" builtinId="9" hidden="1"/>
    <cellStyle name="Followed Hyperlink" xfId="26564" builtinId="9" hidden="1"/>
    <cellStyle name="Followed Hyperlink" xfId="26568" builtinId="9" hidden="1"/>
    <cellStyle name="Followed Hyperlink" xfId="26572" builtinId="9" hidden="1"/>
    <cellStyle name="Followed Hyperlink" xfId="26576" builtinId="9" hidden="1"/>
    <cellStyle name="Followed Hyperlink" xfId="26580" builtinId="9" hidden="1"/>
    <cellStyle name="Followed Hyperlink" xfId="26584" builtinId="9" hidden="1"/>
    <cellStyle name="Followed Hyperlink" xfId="26588" builtinId="9" hidden="1"/>
    <cellStyle name="Followed Hyperlink" xfId="26592" builtinId="9" hidden="1"/>
    <cellStyle name="Followed Hyperlink" xfId="26596" builtinId="9" hidden="1"/>
    <cellStyle name="Followed Hyperlink" xfId="26600" builtinId="9" hidden="1"/>
    <cellStyle name="Followed Hyperlink" xfId="26604" builtinId="9" hidden="1"/>
    <cellStyle name="Followed Hyperlink" xfId="26608" builtinId="9" hidden="1"/>
    <cellStyle name="Followed Hyperlink" xfId="26612" builtinId="9" hidden="1"/>
    <cellStyle name="Followed Hyperlink" xfId="26616" builtinId="9" hidden="1"/>
    <cellStyle name="Followed Hyperlink" xfId="26620" builtinId="9" hidden="1"/>
    <cellStyle name="Followed Hyperlink" xfId="26624" builtinId="9" hidden="1"/>
    <cellStyle name="Followed Hyperlink" xfId="26628" builtinId="9" hidden="1"/>
    <cellStyle name="Followed Hyperlink" xfId="25344" builtinId="9" hidden="1"/>
    <cellStyle name="Followed Hyperlink" xfId="26635" builtinId="9" hidden="1"/>
    <cellStyle name="Followed Hyperlink" xfId="26639" builtinId="9" hidden="1"/>
    <cellStyle name="Followed Hyperlink" xfId="26643" builtinId="9" hidden="1"/>
    <cellStyle name="Followed Hyperlink" xfId="26647" builtinId="9" hidden="1"/>
    <cellStyle name="Followed Hyperlink" xfId="26651" builtinId="9" hidden="1"/>
    <cellStyle name="Followed Hyperlink" xfId="26655" builtinId="9" hidden="1"/>
    <cellStyle name="Followed Hyperlink" xfId="26659" builtinId="9" hidden="1"/>
    <cellStyle name="Followed Hyperlink" xfId="26663" builtinId="9" hidden="1"/>
    <cellStyle name="Followed Hyperlink" xfId="26667" builtinId="9" hidden="1"/>
    <cellStyle name="Followed Hyperlink" xfId="26671" builtinId="9" hidden="1"/>
    <cellStyle name="Followed Hyperlink" xfId="26675" builtinId="9" hidden="1"/>
    <cellStyle name="Followed Hyperlink" xfId="25395" builtinId="9" hidden="1"/>
    <cellStyle name="Followed Hyperlink" xfId="26449" builtinId="9" hidden="1"/>
    <cellStyle name="Followed Hyperlink" xfId="25385" builtinId="9" hidden="1"/>
    <cellStyle name="Followed Hyperlink" xfId="24709" builtinId="9" hidden="1"/>
    <cellStyle name="Followed Hyperlink" xfId="24818" builtinId="9" hidden="1"/>
    <cellStyle name="Followed Hyperlink" xfId="25303" builtinId="9" hidden="1"/>
    <cellStyle name="Followed Hyperlink" xfId="25187" builtinId="9" hidden="1"/>
    <cellStyle name="Followed Hyperlink" xfId="25388" builtinId="9" hidden="1"/>
    <cellStyle name="Followed Hyperlink" xfId="25431" builtinId="9" hidden="1"/>
    <cellStyle name="Followed Hyperlink" xfId="25489" builtinId="9" hidden="1"/>
    <cellStyle name="Followed Hyperlink" xfId="25265" builtinId="9" hidden="1"/>
    <cellStyle name="Followed Hyperlink" xfId="25287" builtinId="9" hidden="1"/>
    <cellStyle name="Followed Hyperlink" xfId="25371" builtinId="9" hidden="1"/>
    <cellStyle name="Followed Hyperlink" xfId="25474" builtinId="9" hidden="1"/>
    <cellStyle name="Followed Hyperlink" xfId="25470" builtinId="9" hidden="1"/>
    <cellStyle name="Followed Hyperlink" xfId="25457" builtinId="9" hidden="1"/>
    <cellStyle name="Followed Hyperlink" xfId="24821" builtinId="9" hidden="1"/>
    <cellStyle name="Followed Hyperlink" xfId="25189" builtinId="9" hidden="1"/>
    <cellStyle name="Followed Hyperlink" xfId="25311" builtinId="9" hidden="1"/>
    <cellStyle name="Followed Hyperlink" xfId="24838" builtinId="9" hidden="1"/>
    <cellStyle name="Followed Hyperlink" xfId="25218" builtinId="9" hidden="1"/>
    <cellStyle name="Followed Hyperlink" xfId="25220" builtinId="9" hidden="1"/>
    <cellStyle name="Followed Hyperlink" xfId="24988" builtinId="9" hidden="1"/>
    <cellStyle name="Followed Hyperlink" xfId="25290" builtinId="9" hidden="1"/>
    <cellStyle name="Followed Hyperlink" xfId="24820" builtinId="9" hidden="1"/>
    <cellStyle name="Followed Hyperlink" xfId="25527" builtinId="9" hidden="1"/>
    <cellStyle name="Followed Hyperlink" xfId="25513" builtinId="9" hidden="1"/>
    <cellStyle name="Followed Hyperlink" xfId="25302" builtinId="9" hidden="1"/>
    <cellStyle name="Followed Hyperlink" xfId="24824" builtinId="9" hidden="1"/>
    <cellStyle name="Followed Hyperlink" xfId="25223" builtinId="9" hidden="1"/>
    <cellStyle name="Followed Hyperlink" xfId="25224" builtinId="9" hidden="1"/>
    <cellStyle name="Followed Hyperlink" xfId="25198" builtinId="9" hidden="1"/>
    <cellStyle name="Followed Hyperlink" xfId="25200" builtinId="9" hidden="1"/>
    <cellStyle name="Followed Hyperlink" xfId="25315" builtinId="9" hidden="1"/>
    <cellStyle name="Followed Hyperlink" xfId="25460" builtinId="9" hidden="1"/>
    <cellStyle name="Followed Hyperlink" xfId="25266" builtinId="9" hidden="1"/>
    <cellStyle name="Followed Hyperlink" xfId="25345" builtinId="9" hidden="1"/>
    <cellStyle name="Followed Hyperlink" xfId="26256" builtinId="9" hidden="1"/>
    <cellStyle name="Followed Hyperlink" xfId="24792" builtinId="9" hidden="1"/>
    <cellStyle name="Followed Hyperlink" xfId="26233" builtinId="9" hidden="1"/>
    <cellStyle name="Followed Hyperlink" xfId="24794" builtinId="9" hidden="1"/>
    <cellStyle name="Followed Hyperlink" xfId="26232" builtinId="9" hidden="1"/>
    <cellStyle name="Followed Hyperlink" xfId="24697" builtinId="9" hidden="1"/>
    <cellStyle name="Followed Hyperlink" xfId="26334" builtinId="9" hidden="1"/>
    <cellStyle name="Followed Hyperlink" xfId="26231" builtinId="9" hidden="1"/>
    <cellStyle name="Followed Hyperlink" xfId="26230" builtinId="9" hidden="1"/>
    <cellStyle name="Followed Hyperlink" xfId="25347" builtinId="9" hidden="1"/>
    <cellStyle name="Followed Hyperlink" xfId="26333" builtinId="9" hidden="1"/>
    <cellStyle name="Followed Hyperlink" xfId="26228" builtinId="9" hidden="1"/>
    <cellStyle name="Followed Hyperlink" xfId="26227" builtinId="9" hidden="1"/>
    <cellStyle name="Followed Hyperlink" xfId="26225" builtinId="9" hidden="1"/>
    <cellStyle name="Followed Hyperlink" xfId="26223" builtinId="9" hidden="1"/>
    <cellStyle name="Followed Hyperlink" xfId="26221" builtinId="9" hidden="1"/>
    <cellStyle name="Followed Hyperlink" xfId="26254" builtinId="9" hidden="1"/>
    <cellStyle name="Followed Hyperlink" xfId="25348" builtinId="9" hidden="1"/>
    <cellStyle name="Followed Hyperlink" xfId="26372" builtinId="9" hidden="1"/>
    <cellStyle name="Followed Hyperlink" xfId="26304" builtinId="9" hidden="1"/>
    <cellStyle name="Followed Hyperlink" xfId="26443" builtinId="9" hidden="1"/>
    <cellStyle name="Followed Hyperlink" xfId="26435" builtinId="9" hidden="1"/>
    <cellStyle name="Followed Hyperlink" xfId="26407" builtinId="9" hidden="1"/>
    <cellStyle name="Followed Hyperlink" xfId="26374" builtinId="9" hidden="1"/>
    <cellStyle name="Followed Hyperlink" xfId="26330" builtinId="9" hidden="1"/>
    <cellStyle name="Followed Hyperlink" xfId="26402" builtinId="9" hidden="1"/>
    <cellStyle name="Followed Hyperlink" xfId="26214" builtinId="9" hidden="1"/>
    <cellStyle name="Followed Hyperlink" xfId="26213" builtinId="9" hidden="1"/>
    <cellStyle name="Followed Hyperlink" xfId="26212" builtinId="9" hidden="1"/>
    <cellStyle name="Followed Hyperlink" xfId="26211" builtinId="9" hidden="1"/>
    <cellStyle name="Followed Hyperlink" xfId="26210" builtinId="9" hidden="1"/>
    <cellStyle name="Followed Hyperlink" xfId="26209" builtinId="9" hidden="1"/>
    <cellStyle name="Followed Hyperlink" xfId="26208" builtinId="9" hidden="1"/>
    <cellStyle name="Followed Hyperlink" xfId="26207" builtinId="9" hidden="1"/>
    <cellStyle name="Followed Hyperlink" xfId="24681" builtinId="9" hidden="1"/>
    <cellStyle name="Followed Hyperlink" xfId="26329" builtinId="9" hidden="1"/>
    <cellStyle name="Followed Hyperlink" xfId="25360" builtinId="9" hidden="1"/>
    <cellStyle name="Followed Hyperlink" xfId="26328" builtinId="9" hidden="1"/>
    <cellStyle name="Followed Hyperlink" xfId="26206" builtinId="9" hidden="1"/>
    <cellStyle name="Followed Hyperlink" xfId="25353" builtinId="9" hidden="1"/>
    <cellStyle name="Followed Hyperlink" xfId="25243" builtinId="9" hidden="1"/>
    <cellStyle name="Followed Hyperlink" xfId="26281" builtinId="9" hidden="1"/>
    <cellStyle name="Followed Hyperlink" xfId="26205" builtinId="9" hidden="1"/>
    <cellStyle name="Followed Hyperlink" xfId="24698" builtinId="9" hidden="1"/>
    <cellStyle name="Followed Hyperlink" xfId="26294" builtinId="9" hidden="1"/>
    <cellStyle name="Followed Hyperlink" xfId="26293" builtinId="9" hidden="1"/>
    <cellStyle name="Followed Hyperlink" xfId="26327" builtinId="9" hidden="1"/>
    <cellStyle name="Followed Hyperlink" xfId="26271" builtinId="9" hidden="1"/>
    <cellStyle name="Followed Hyperlink" xfId="24669" builtinId="9" hidden="1"/>
    <cellStyle name="Followed Hyperlink" xfId="26204" builtinId="9" hidden="1"/>
    <cellStyle name="Followed Hyperlink" xfId="25354" builtinId="9" hidden="1"/>
    <cellStyle name="Followed Hyperlink" xfId="24793" builtinId="9" hidden="1"/>
    <cellStyle name="Followed Hyperlink" xfId="26292" builtinId="9" hidden="1"/>
    <cellStyle name="Followed Hyperlink" xfId="26326" builtinId="9" hidden="1"/>
    <cellStyle name="Followed Hyperlink" xfId="25147" builtinId="9" hidden="1"/>
    <cellStyle name="Followed Hyperlink" xfId="24795" builtinId="9" hidden="1"/>
    <cellStyle name="Followed Hyperlink" xfId="26325" builtinId="9" hidden="1"/>
    <cellStyle name="Followed Hyperlink" xfId="25383" builtinId="9" hidden="1"/>
    <cellStyle name="Followed Hyperlink" xfId="26324" builtinId="9" hidden="1"/>
    <cellStyle name="Followed Hyperlink" xfId="24789" builtinId="9" hidden="1"/>
    <cellStyle name="Followed Hyperlink" xfId="25393" builtinId="9" hidden="1"/>
    <cellStyle name="Followed Hyperlink" xfId="26307" builtinId="9" hidden="1"/>
    <cellStyle name="Followed Hyperlink" xfId="25966" builtinId="9" hidden="1"/>
    <cellStyle name="Followed Hyperlink" xfId="25375" builtinId="9" hidden="1"/>
    <cellStyle name="Followed Hyperlink" xfId="25336" builtinId="9" hidden="1"/>
    <cellStyle name="Followed Hyperlink" xfId="24788" builtinId="9" hidden="1"/>
    <cellStyle name="Followed Hyperlink" xfId="25317" builtinId="9" hidden="1"/>
    <cellStyle name="Followed Hyperlink" xfId="26474" builtinId="9" hidden="1"/>
    <cellStyle name="Followed Hyperlink" xfId="26306" builtinId="9" hidden="1"/>
    <cellStyle name="Followed Hyperlink" xfId="26349" builtinId="9" hidden="1"/>
    <cellStyle name="Followed Hyperlink" xfId="26203" builtinId="9" hidden="1"/>
    <cellStyle name="Followed Hyperlink" xfId="25907" builtinId="9" hidden="1"/>
    <cellStyle name="Followed Hyperlink" xfId="25492" builtinId="9" hidden="1"/>
    <cellStyle name="Followed Hyperlink" xfId="25962" builtinId="9" hidden="1"/>
    <cellStyle name="Followed Hyperlink" xfId="24785" builtinId="9" hidden="1"/>
    <cellStyle name="Followed Hyperlink" xfId="25459" builtinId="9" hidden="1"/>
    <cellStyle name="Followed Hyperlink" xfId="26305" builtinId="9" hidden="1"/>
    <cellStyle name="Followed Hyperlink" xfId="25908" builtinId="9" hidden="1"/>
    <cellStyle name="Followed Hyperlink" xfId="25508" builtinId="9" hidden="1"/>
    <cellStyle name="Followed Hyperlink" xfId="25909" builtinId="9" hidden="1"/>
    <cellStyle name="Followed Hyperlink" xfId="25162" builtinId="9" hidden="1"/>
    <cellStyle name="Followed Hyperlink" xfId="25910" builtinId="9" hidden="1"/>
    <cellStyle name="Followed Hyperlink" xfId="25270" builtinId="9" hidden="1"/>
    <cellStyle name="Followed Hyperlink" xfId="24209" builtinId="9" hidden="1"/>
    <cellStyle name="Followed Hyperlink" xfId="25723" builtinId="9" hidden="1"/>
    <cellStyle name="Followed Hyperlink" xfId="25409" builtinId="9" hidden="1"/>
    <cellStyle name="Followed Hyperlink" xfId="26834" builtinId="9" hidden="1"/>
    <cellStyle name="Followed Hyperlink" xfId="26835" builtinId="9" hidden="1"/>
    <cellStyle name="Followed Hyperlink" xfId="26836" builtinId="9" hidden="1"/>
    <cellStyle name="Followed Hyperlink" xfId="26837" builtinId="9" hidden="1"/>
    <cellStyle name="Followed Hyperlink" xfId="26838" builtinId="9" hidden="1"/>
    <cellStyle name="Followed Hyperlink" xfId="26839" builtinId="9" hidden="1"/>
    <cellStyle name="Followed Hyperlink" xfId="26840" builtinId="9" hidden="1"/>
    <cellStyle name="Followed Hyperlink" xfId="26841" builtinId="9" hidden="1"/>
    <cellStyle name="Followed Hyperlink" xfId="26842" builtinId="9" hidden="1"/>
    <cellStyle name="Followed Hyperlink" xfId="26843" builtinId="9" hidden="1"/>
    <cellStyle name="Followed Hyperlink" xfId="26844" builtinId="9" hidden="1"/>
    <cellStyle name="Followed Hyperlink" xfId="26845" builtinId="9" hidden="1"/>
    <cellStyle name="Followed Hyperlink" xfId="26846" builtinId="9" hidden="1"/>
    <cellStyle name="Followed Hyperlink" xfId="26847" builtinId="9" hidden="1"/>
    <cellStyle name="Followed Hyperlink" xfId="26848" builtinId="9" hidden="1"/>
    <cellStyle name="Followed Hyperlink" xfId="26849" builtinId="9" hidden="1"/>
    <cellStyle name="Followed Hyperlink" xfId="26850" builtinId="9" hidden="1"/>
    <cellStyle name="Followed Hyperlink" xfId="26851" builtinId="9" hidden="1"/>
    <cellStyle name="Followed Hyperlink" xfId="26852" builtinId="9" hidden="1"/>
    <cellStyle name="Followed Hyperlink" xfId="26853" builtinId="9" hidden="1"/>
    <cellStyle name="Followed Hyperlink" xfId="26854" builtinId="9" hidden="1"/>
    <cellStyle name="Followed Hyperlink" xfId="26855" builtinId="9" hidden="1"/>
    <cellStyle name="Followed Hyperlink" xfId="26856" builtinId="9" hidden="1"/>
    <cellStyle name="Followed Hyperlink" xfId="26857" builtinId="9" hidden="1"/>
    <cellStyle name="Followed Hyperlink" xfId="26858" builtinId="9" hidden="1"/>
    <cellStyle name="Followed Hyperlink" xfId="26859" builtinId="9" hidden="1"/>
    <cellStyle name="Followed Hyperlink" xfId="26860" builtinId="9" hidden="1"/>
    <cellStyle name="Followed Hyperlink" xfId="26861" builtinId="9" hidden="1"/>
    <cellStyle name="Followed Hyperlink" xfId="26862" builtinId="9" hidden="1"/>
    <cellStyle name="Followed Hyperlink" xfId="26863" builtinId="9" hidden="1"/>
    <cellStyle name="Followed Hyperlink" xfId="26864" builtinId="9" hidden="1"/>
    <cellStyle name="Followed Hyperlink" xfId="26865" builtinId="9" hidden="1"/>
    <cellStyle name="Followed Hyperlink" xfId="26866" builtinId="9" hidden="1"/>
    <cellStyle name="Followed Hyperlink" xfId="26867" builtinId="9" hidden="1"/>
    <cellStyle name="Followed Hyperlink" xfId="26868" builtinId="9" hidden="1"/>
    <cellStyle name="Followed Hyperlink" xfId="26869" builtinId="9" hidden="1"/>
    <cellStyle name="Followed Hyperlink" xfId="26870" builtinId="9" hidden="1"/>
    <cellStyle name="Followed Hyperlink" xfId="26871" builtinId="9" hidden="1"/>
    <cellStyle name="Followed Hyperlink" xfId="26872" builtinId="9" hidden="1"/>
    <cellStyle name="Followed Hyperlink" xfId="26873" builtinId="9" hidden="1"/>
    <cellStyle name="Followed Hyperlink" xfId="26874" builtinId="9" hidden="1"/>
    <cellStyle name="Followed Hyperlink" xfId="26875" builtinId="9" hidden="1"/>
    <cellStyle name="Followed Hyperlink" xfId="26876" builtinId="9" hidden="1"/>
    <cellStyle name="Followed Hyperlink" xfId="26877" builtinId="9" hidden="1"/>
    <cellStyle name="Followed Hyperlink" xfId="26878" builtinId="9" hidden="1"/>
    <cellStyle name="Followed Hyperlink" xfId="26879" builtinId="9" hidden="1"/>
    <cellStyle name="Followed Hyperlink" xfId="26880" builtinId="9" hidden="1"/>
    <cellStyle name="Followed Hyperlink" xfId="26881" builtinId="9" hidden="1"/>
    <cellStyle name="Followed Hyperlink" xfId="26887" builtinId="9" hidden="1"/>
    <cellStyle name="Followed Hyperlink" xfId="26888" builtinId="9" hidden="1"/>
    <cellStyle name="Followed Hyperlink" xfId="26889" builtinId="9" hidden="1"/>
    <cellStyle name="Followed Hyperlink" xfId="26890" builtinId="9" hidden="1"/>
    <cellStyle name="Followed Hyperlink" xfId="26891" builtinId="9" hidden="1"/>
    <cellStyle name="Followed Hyperlink" xfId="26892" builtinId="9" hidden="1"/>
    <cellStyle name="Followed Hyperlink" xfId="26893" builtinId="9" hidden="1"/>
    <cellStyle name="Followed Hyperlink" xfId="26894" builtinId="9" hidden="1"/>
    <cellStyle name="Followed Hyperlink" xfId="26895" builtinId="9" hidden="1"/>
    <cellStyle name="Followed Hyperlink" xfId="26896" builtinId="9" hidden="1"/>
    <cellStyle name="Followed Hyperlink" xfId="26897" builtinId="9" hidden="1"/>
    <cellStyle name="Followed Hyperlink" xfId="26898" builtinId="9" hidden="1"/>
    <cellStyle name="Followed Hyperlink" xfId="26899" builtinId="9" hidden="1"/>
    <cellStyle name="Followed Hyperlink" xfId="26900" builtinId="9" hidden="1"/>
    <cellStyle name="Followed Hyperlink" xfId="26901" builtinId="9" hidden="1"/>
    <cellStyle name="Followed Hyperlink" xfId="26902" builtinId="9" hidden="1"/>
    <cellStyle name="Followed Hyperlink" xfId="26903" builtinId="9" hidden="1"/>
    <cellStyle name="Followed Hyperlink" xfId="26904" builtinId="9" hidden="1"/>
    <cellStyle name="Followed Hyperlink" xfId="26905" builtinId="9" hidden="1"/>
    <cellStyle name="Followed Hyperlink" xfId="26906" builtinId="9" hidden="1"/>
    <cellStyle name="Followed Hyperlink" xfId="26907" builtinId="9" hidden="1"/>
    <cellStyle name="Followed Hyperlink" xfId="26908" builtinId="9" hidden="1"/>
    <cellStyle name="Followed Hyperlink" xfId="26909" builtinId="9" hidden="1"/>
    <cellStyle name="Followed Hyperlink" xfId="26910" builtinId="9" hidden="1"/>
    <cellStyle name="Followed Hyperlink" xfId="26911" builtinId="9" hidden="1"/>
    <cellStyle name="Followed Hyperlink" xfId="26912" builtinId="9" hidden="1"/>
    <cellStyle name="Followed Hyperlink" xfId="26913" builtinId="9" hidden="1"/>
    <cellStyle name="Followed Hyperlink" xfId="26914" builtinId="9" hidden="1"/>
    <cellStyle name="Followed Hyperlink" xfId="26915" builtinId="9" hidden="1"/>
    <cellStyle name="Followed Hyperlink" xfId="26916" builtinId="9" hidden="1"/>
    <cellStyle name="Followed Hyperlink" xfId="26917" builtinId="9" hidden="1"/>
    <cellStyle name="Followed Hyperlink" xfId="26918" builtinId="9" hidden="1"/>
    <cellStyle name="Followed Hyperlink" xfId="26919" builtinId="9" hidden="1"/>
    <cellStyle name="Followed Hyperlink" xfId="26920" builtinId="9" hidden="1"/>
    <cellStyle name="Followed Hyperlink" xfId="26921" builtinId="9" hidden="1"/>
    <cellStyle name="Followed Hyperlink" xfId="26922" builtinId="9" hidden="1"/>
    <cellStyle name="Followed Hyperlink" xfId="26923" builtinId="9" hidden="1"/>
    <cellStyle name="Followed Hyperlink" xfId="26924" builtinId="9" hidden="1"/>
    <cellStyle name="Followed Hyperlink" xfId="26925" builtinId="9" hidden="1"/>
    <cellStyle name="Followed Hyperlink" xfId="26926" builtinId="9" hidden="1"/>
    <cellStyle name="Followed Hyperlink" xfId="26927" builtinId="9" hidden="1"/>
    <cellStyle name="Followed Hyperlink" xfId="26928" builtinId="9" hidden="1"/>
    <cellStyle name="Followed Hyperlink" xfId="26929" builtinId="9" hidden="1"/>
    <cellStyle name="Followed Hyperlink" xfId="26930" builtinId="9" hidden="1"/>
    <cellStyle name="Followed Hyperlink" xfId="26931" builtinId="9" hidden="1"/>
    <cellStyle name="Followed Hyperlink" xfId="26932" builtinId="9" hidden="1"/>
    <cellStyle name="Followed Hyperlink" xfId="26933" builtinId="9" hidden="1"/>
    <cellStyle name="Followed Hyperlink" xfId="26934" builtinId="9" hidden="1"/>
    <cellStyle name="Followed Hyperlink" xfId="26935" builtinId="9" hidden="1"/>
    <cellStyle name="Followed Hyperlink" xfId="26936" builtinId="9" hidden="1"/>
    <cellStyle name="Followed Hyperlink" xfId="26943" builtinId="9" hidden="1"/>
    <cellStyle name="Followed Hyperlink" xfId="26944" builtinId="9" hidden="1"/>
    <cellStyle name="Followed Hyperlink" xfId="26945" builtinId="9" hidden="1"/>
    <cellStyle name="Followed Hyperlink" xfId="26946" builtinId="9" hidden="1"/>
    <cellStyle name="Followed Hyperlink" xfId="26947" builtinId="9" hidden="1"/>
    <cellStyle name="Followed Hyperlink" xfId="26948" builtinId="9" hidden="1"/>
    <cellStyle name="Followed Hyperlink" xfId="26949" builtinId="9" hidden="1"/>
    <cellStyle name="Followed Hyperlink" xfId="26950" builtinId="9" hidden="1"/>
    <cellStyle name="Followed Hyperlink" xfId="26951" builtinId="9" hidden="1"/>
    <cellStyle name="Followed Hyperlink" xfId="26952" builtinId="9" hidden="1"/>
    <cellStyle name="Followed Hyperlink" xfId="26953" builtinId="9" hidden="1"/>
    <cellStyle name="Followed Hyperlink" xfId="26954" builtinId="9" hidden="1"/>
    <cellStyle name="Followed Hyperlink" xfId="26955" builtinId="9" hidden="1"/>
    <cellStyle name="Followed Hyperlink" xfId="26956" builtinId="9" hidden="1"/>
    <cellStyle name="Followed Hyperlink" xfId="26957" builtinId="9" hidden="1"/>
    <cellStyle name="Followed Hyperlink" xfId="26958" builtinId="9" hidden="1"/>
    <cellStyle name="Followed Hyperlink" xfId="26959" builtinId="9" hidden="1"/>
    <cellStyle name="Followed Hyperlink" xfId="26960" builtinId="9" hidden="1"/>
    <cellStyle name="Followed Hyperlink" xfId="26961" builtinId="9" hidden="1"/>
    <cellStyle name="Followed Hyperlink" xfId="26962" builtinId="9" hidden="1"/>
    <cellStyle name="Followed Hyperlink" xfId="26963" builtinId="9" hidden="1"/>
    <cellStyle name="Followed Hyperlink" xfId="26964" builtinId="9" hidden="1"/>
    <cellStyle name="Followed Hyperlink" xfId="26965" builtinId="9" hidden="1"/>
    <cellStyle name="Followed Hyperlink" xfId="26966" builtinId="9" hidden="1"/>
    <cellStyle name="Followed Hyperlink" xfId="26967" builtinId="9" hidden="1"/>
    <cellStyle name="Followed Hyperlink" xfId="26968" builtinId="9" hidden="1"/>
    <cellStyle name="Followed Hyperlink" xfId="26969" builtinId="9" hidden="1"/>
    <cellStyle name="Followed Hyperlink" xfId="26970" builtinId="9" hidden="1"/>
    <cellStyle name="Followed Hyperlink" xfId="26971" builtinId="9" hidden="1"/>
    <cellStyle name="Followed Hyperlink" xfId="26972" builtinId="9" hidden="1"/>
    <cellStyle name="Followed Hyperlink" xfId="26973" builtinId="9" hidden="1"/>
    <cellStyle name="Followed Hyperlink" xfId="26974" builtinId="9" hidden="1"/>
    <cellStyle name="Followed Hyperlink" xfId="26975" builtinId="9" hidden="1"/>
    <cellStyle name="Followed Hyperlink" xfId="26976" builtinId="9" hidden="1"/>
    <cellStyle name="Followed Hyperlink" xfId="26977" builtinId="9" hidden="1"/>
    <cellStyle name="Followed Hyperlink" xfId="26978" builtinId="9" hidden="1"/>
    <cellStyle name="Followed Hyperlink" xfId="26979" builtinId="9" hidden="1"/>
    <cellStyle name="Followed Hyperlink" xfId="26980" builtinId="9" hidden="1"/>
    <cellStyle name="Followed Hyperlink" xfId="26981" builtinId="9" hidden="1"/>
    <cellStyle name="Followed Hyperlink" xfId="26982" builtinId="9" hidden="1"/>
    <cellStyle name="Followed Hyperlink" xfId="26983" builtinId="9" hidden="1"/>
    <cellStyle name="Followed Hyperlink" xfId="26984" builtinId="9" hidden="1"/>
    <cellStyle name="Followed Hyperlink" xfId="26985" builtinId="9" hidden="1"/>
    <cellStyle name="Followed Hyperlink" xfId="26986" builtinId="9" hidden="1"/>
    <cellStyle name="Followed Hyperlink" xfId="26987" builtinId="9" hidden="1"/>
    <cellStyle name="Followed Hyperlink" xfId="26988" builtinId="9" hidden="1"/>
    <cellStyle name="Followed Hyperlink" xfId="26989" builtinId="9" hidden="1"/>
    <cellStyle name="Followed Hyperlink" xfId="26990" builtinId="9" hidden="1"/>
    <cellStyle name="Followed Hyperlink" xfId="26991" builtinId="9" hidden="1"/>
    <cellStyle name="Followed Hyperlink" xfId="26992" builtinId="9" hidden="1"/>
    <cellStyle name="Followed Hyperlink" xfId="26993" builtinId="9" hidden="1"/>
    <cellStyle name="Followed Hyperlink" xfId="26994" builtinId="9" hidden="1"/>
    <cellStyle name="Followed Hyperlink" xfId="26995" builtinId="9" hidden="1"/>
    <cellStyle name="Followed Hyperlink" xfId="26996" builtinId="9" hidden="1"/>
    <cellStyle name="Followed Hyperlink" xfId="26997" builtinId="9" hidden="1"/>
    <cellStyle name="Followed Hyperlink" xfId="26998" builtinId="9" hidden="1"/>
    <cellStyle name="Followed Hyperlink" xfId="26999" builtinId="9" hidden="1"/>
    <cellStyle name="Followed Hyperlink" xfId="27000" builtinId="9" hidden="1"/>
    <cellStyle name="Followed Hyperlink" xfId="27001" builtinId="9" hidden="1"/>
    <cellStyle name="Followed Hyperlink" xfId="27002" builtinId="9" hidden="1"/>
    <cellStyle name="Followed Hyperlink" xfId="27003" builtinId="9" hidden="1"/>
    <cellStyle name="Followed Hyperlink" xfId="27004" builtinId="9" hidden="1"/>
    <cellStyle name="Followed Hyperlink" xfId="27005" builtinId="9" hidden="1"/>
    <cellStyle name="Followed Hyperlink" xfId="27006" builtinId="9" hidden="1"/>
    <cellStyle name="Followed Hyperlink" xfId="27007" builtinId="9" hidden="1"/>
    <cellStyle name="Followed Hyperlink" xfId="27008" builtinId="9" hidden="1"/>
    <cellStyle name="Followed Hyperlink" xfId="27009" builtinId="9" hidden="1"/>
    <cellStyle name="Followed Hyperlink" xfId="27010" builtinId="9" hidden="1"/>
    <cellStyle name="Followed Hyperlink" xfId="27011" builtinId="9" hidden="1"/>
    <cellStyle name="Followed Hyperlink" xfId="27012" builtinId="9" hidden="1"/>
    <cellStyle name="Followed Hyperlink" xfId="27013" builtinId="9" hidden="1"/>
    <cellStyle name="Followed Hyperlink" xfId="27014" builtinId="9" hidden="1"/>
    <cellStyle name="Followed Hyperlink" xfId="27015" builtinId="9" hidden="1"/>
    <cellStyle name="Followed Hyperlink" xfId="27016" builtinId="9" hidden="1"/>
    <cellStyle name="Followed Hyperlink" xfId="27017" builtinId="9" hidden="1"/>
    <cellStyle name="Followed Hyperlink" xfId="27018" builtinId="9" hidden="1"/>
    <cellStyle name="Followed Hyperlink" xfId="27019" builtinId="9" hidden="1"/>
    <cellStyle name="Followed Hyperlink" xfId="27020" builtinId="9" hidden="1"/>
    <cellStyle name="Followed Hyperlink" xfId="27021" builtinId="9" hidden="1"/>
    <cellStyle name="Followed Hyperlink" xfId="27022" builtinId="9" hidden="1"/>
    <cellStyle name="Followed Hyperlink" xfId="27023" builtinId="9" hidden="1"/>
    <cellStyle name="Followed Hyperlink" xfId="27024" builtinId="9" hidden="1"/>
    <cellStyle name="Followed Hyperlink" xfId="27025" builtinId="9" hidden="1"/>
    <cellStyle name="Followed Hyperlink" xfId="27026" builtinId="9" hidden="1"/>
    <cellStyle name="Followed Hyperlink" xfId="27027" builtinId="9" hidden="1"/>
    <cellStyle name="Followed Hyperlink" xfId="27028" builtinId="9" hidden="1"/>
    <cellStyle name="Followed Hyperlink" xfId="27029" builtinId="9" hidden="1"/>
    <cellStyle name="Followed Hyperlink" xfId="27030" builtinId="9" hidden="1"/>
    <cellStyle name="Followed Hyperlink" xfId="27031" builtinId="9" hidden="1"/>
    <cellStyle name="Followed Hyperlink" xfId="27032" builtinId="9" hidden="1"/>
    <cellStyle name="Followed Hyperlink" xfId="27033" builtinId="9" hidden="1"/>
    <cellStyle name="Followed Hyperlink" xfId="27034" builtinId="9" hidden="1"/>
    <cellStyle name="Followed Hyperlink" xfId="27035" builtinId="9" hidden="1"/>
    <cellStyle name="Followed Hyperlink" xfId="27036" builtinId="9" hidden="1"/>
    <cellStyle name="Followed Hyperlink" xfId="27037" builtinId="9" hidden="1"/>
    <cellStyle name="Followed Hyperlink" xfId="27038" builtinId="9" hidden="1"/>
    <cellStyle name="Followed Hyperlink" xfId="27039" builtinId="9" hidden="1"/>
    <cellStyle name="Followed Hyperlink" xfId="27040" builtinId="9" hidden="1"/>
    <cellStyle name="Followed Hyperlink" xfId="27041" builtinId="9" hidden="1"/>
    <cellStyle name="Followed Hyperlink" xfId="27042" builtinId="9" hidden="1"/>
    <cellStyle name="Followed Hyperlink" xfId="27043" builtinId="9" hidden="1"/>
    <cellStyle name="Followed Hyperlink" xfId="27044" builtinId="9" hidden="1"/>
    <cellStyle name="Followed Hyperlink" xfId="27045" builtinId="9" hidden="1"/>
    <cellStyle name="Followed Hyperlink" xfId="27046" builtinId="9" hidden="1"/>
    <cellStyle name="Followed Hyperlink" xfId="27047" builtinId="9" hidden="1"/>
    <cellStyle name="Followed Hyperlink" xfId="27048" builtinId="9" hidden="1"/>
    <cellStyle name="Followed Hyperlink" xfId="27049" builtinId="9" hidden="1"/>
    <cellStyle name="Followed Hyperlink" xfId="27050" builtinId="9" hidden="1"/>
    <cellStyle name="Followed Hyperlink" xfId="27051" builtinId="9" hidden="1"/>
    <cellStyle name="Followed Hyperlink" xfId="27052" builtinId="9" hidden="1"/>
    <cellStyle name="Followed Hyperlink" xfId="27053" builtinId="9" hidden="1"/>
    <cellStyle name="Followed Hyperlink" xfId="27054" builtinId="9" hidden="1"/>
    <cellStyle name="Followed Hyperlink" xfId="27055" builtinId="9" hidden="1"/>
    <cellStyle name="Followed Hyperlink" xfId="27056" builtinId="9" hidden="1"/>
    <cellStyle name="Followed Hyperlink" xfId="27057" builtinId="9" hidden="1"/>
    <cellStyle name="Followed Hyperlink" xfId="27058" builtinId="9" hidden="1"/>
    <cellStyle name="Followed Hyperlink" xfId="27059" builtinId="9" hidden="1"/>
    <cellStyle name="Followed Hyperlink" xfId="27060" builtinId="9" hidden="1"/>
    <cellStyle name="Followed Hyperlink" xfId="27061" builtinId="9" hidden="1"/>
    <cellStyle name="Followed Hyperlink" xfId="27062" builtinId="9" hidden="1"/>
    <cellStyle name="Followed Hyperlink" xfId="27063" builtinId="9" hidden="1"/>
    <cellStyle name="Followed Hyperlink" xfId="27064" builtinId="9" hidden="1"/>
    <cellStyle name="Followed Hyperlink" xfId="27065" builtinId="9" hidden="1"/>
    <cellStyle name="Followed Hyperlink" xfId="27066" builtinId="9" hidden="1"/>
    <cellStyle name="Followed Hyperlink" xfId="27067" builtinId="9" hidden="1"/>
    <cellStyle name="Followed Hyperlink" xfId="27068" builtinId="9" hidden="1"/>
    <cellStyle name="Followed Hyperlink" xfId="27069" builtinId="9" hidden="1"/>
    <cellStyle name="Followed Hyperlink" xfId="27070" builtinId="9" hidden="1"/>
    <cellStyle name="Followed Hyperlink" xfId="27071" builtinId="9" hidden="1"/>
    <cellStyle name="Followed Hyperlink" xfId="27072" builtinId="9" hidden="1"/>
    <cellStyle name="Followed Hyperlink" xfId="27073" builtinId="9" hidden="1"/>
    <cellStyle name="Followed Hyperlink" xfId="27074" builtinId="9" hidden="1"/>
    <cellStyle name="Followed Hyperlink" xfId="27075" builtinId="9" hidden="1"/>
    <cellStyle name="Followed Hyperlink" xfId="27076" builtinId="9" hidden="1"/>
    <cellStyle name="Followed Hyperlink" xfId="27077" builtinId="9" hidden="1"/>
    <cellStyle name="Followed Hyperlink" xfId="27078" builtinId="9" hidden="1"/>
    <cellStyle name="Followed Hyperlink" xfId="27079" builtinId="9" hidden="1"/>
    <cellStyle name="Followed Hyperlink" xfId="27080" builtinId="9" hidden="1"/>
    <cellStyle name="Followed Hyperlink" xfId="27081" builtinId="9" hidden="1"/>
    <cellStyle name="Followed Hyperlink" xfId="27082" builtinId="9" hidden="1"/>
    <cellStyle name="Followed Hyperlink" xfId="27083" builtinId="9" hidden="1"/>
    <cellStyle name="Followed Hyperlink" xfId="27084" builtinId="9" hidden="1"/>
    <cellStyle name="Followed Hyperlink" xfId="27085" builtinId="9" hidden="1"/>
    <cellStyle name="Followed Hyperlink" xfId="27086" builtinId="9" hidden="1"/>
    <cellStyle name="Followed Hyperlink" xfId="27087" builtinId="9" hidden="1"/>
    <cellStyle name="Followed Hyperlink" xfId="27088" builtinId="9" hidden="1"/>
    <cellStyle name="Followed Hyperlink" xfId="27089" builtinId="9" hidden="1"/>
    <cellStyle name="Followed Hyperlink" xfId="27090" builtinId="9" hidden="1"/>
    <cellStyle name="Followed Hyperlink" xfId="26311" builtinId="9" hidden="1"/>
    <cellStyle name="Followed Hyperlink" xfId="27423" builtinId="9" hidden="1"/>
    <cellStyle name="Followed Hyperlink" xfId="27386" builtinId="9" hidden="1"/>
    <cellStyle name="Followed Hyperlink" xfId="27273" builtinId="9" hidden="1"/>
    <cellStyle name="Followed Hyperlink" xfId="27253" builtinId="9" hidden="1"/>
    <cellStyle name="Followed Hyperlink" xfId="27256" builtinId="9" hidden="1"/>
    <cellStyle name="Followed Hyperlink" xfId="27335" builtinId="9" hidden="1"/>
    <cellStyle name="Followed Hyperlink" xfId="27173" builtinId="9" hidden="1"/>
    <cellStyle name="Followed Hyperlink" xfId="25244" builtinId="9" hidden="1"/>
    <cellStyle name="Followed Hyperlink" xfId="27243" builtinId="9" hidden="1"/>
    <cellStyle name="Followed Hyperlink" xfId="27145" builtinId="9" hidden="1"/>
    <cellStyle name="Followed Hyperlink" xfId="27327" builtinId="9" hidden="1"/>
    <cellStyle name="Followed Hyperlink" xfId="27144" builtinId="9" hidden="1"/>
    <cellStyle name="Followed Hyperlink" xfId="26308" builtinId="9" hidden="1"/>
    <cellStyle name="Followed Hyperlink" xfId="27456" builtinId="9" hidden="1"/>
    <cellStyle name="Followed Hyperlink" xfId="27324" builtinId="9" hidden="1"/>
    <cellStyle name="Followed Hyperlink" xfId="27221" builtinId="9" hidden="1"/>
    <cellStyle name="Followed Hyperlink" xfId="27142" builtinId="9" hidden="1"/>
    <cellStyle name="Followed Hyperlink" xfId="27143" builtinId="9" hidden="1"/>
    <cellStyle name="Followed Hyperlink" xfId="27808" builtinId="9" hidden="1"/>
    <cellStyle name="Followed Hyperlink" xfId="27462" builtinId="9" hidden="1"/>
    <cellStyle name="Followed Hyperlink" xfId="27474" builtinId="9" hidden="1"/>
    <cellStyle name="Followed Hyperlink" xfId="27373" builtinId="9" hidden="1"/>
    <cellStyle name="Followed Hyperlink" xfId="27372" builtinId="9" hidden="1"/>
    <cellStyle name="Followed Hyperlink" xfId="27371" builtinId="9" hidden="1"/>
    <cellStyle name="Followed Hyperlink" xfId="27370" builtinId="9" hidden="1"/>
    <cellStyle name="Followed Hyperlink" xfId="27169" builtinId="9" hidden="1"/>
    <cellStyle name="Followed Hyperlink" xfId="26118" builtinId="9" hidden="1"/>
    <cellStyle name="Followed Hyperlink" xfId="27140" builtinId="9" hidden="1"/>
    <cellStyle name="Followed Hyperlink" xfId="27439" builtinId="9" hidden="1"/>
    <cellStyle name="Followed Hyperlink" xfId="27138" builtinId="9" hidden="1"/>
    <cellStyle name="Followed Hyperlink" xfId="27139" builtinId="9" hidden="1"/>
    <cellStyle name="Followed Hyperlink" xfId="26126" builtinId="9" hidden="1"/>
    <cellStyle name="Followed Hyperlink" xfId="27336" builtinId="9" hidden="1"/>
    <cellStyle name="Followed Hyperlink" xfId="27164" builtinId="9" hidden="1"/>
    <cellStyle name="Followed Hyperlink" xfId="27165" builtinId="9" hidden="1"/>
    <cellStyle name="Followed Hyperlink" xfId="26121" builtinId="9" hidden="1"/>
    <cellStyle name="Followed Hyperlink" xfId="27369" builtinId="9" hidden="1"/>
    <cellStyle name="Followed Hyperlink" xfId="26399" builtinId="9" hidden="1"/>
    <cellStyle name="Followed Hyperlink" xfId="27427" builtinId="9" hidden="1"/>
    <cellStyle name="Followed Hyperlink" xfId="27402" builtinId="9" hidden="1"/>
    <cellStyle name="Followed Hyperlink" xfId="27368" builtinId="9" hidden="1"/>
    <cellStyle name="Followed Hyperlink" xfId="27412" builtinId="9" hidden="1"/>
    <cellStyle name="Followed Hyperlink" xfId="27350" builtinId="9" hidden="1"/>
    <cellStyle name="Followed Hyperlink" xfId="27414" builtinId="9" hidden="1"/>
    <cellStyle name="Followed Hyperlink" xfId="27367" builtinId="9" hidden="1"/>
    <cellStyle name="Followed Hyperlink" xfId="27366" builtinId="9" hidden="1"/>
    <cellStyle name="Followed Hyperlink" xfId="27365" builtinId="9" hidden="1"/>
    <cellStyle name="Followed Hyperlink" xfId="26241" builtinId="9" hidden="1"/>
    <cellStyle name="Followed Hyperlink" xfId="27348" builtinId="9" hidden="1"/>
    <cellStyle name="Followed Hyperlink" xfId="26253" builtinId="9" hidden="1"/>
    <cellStyle name="Followed Hyperlink" xfId="26445" builtinId="9" hidden="1"/>
    <cellStyle name="Followed Hyperlink" xfId="27425" builtinId="9" hidden="1"/>
    <cellStyle name="Followed Hyperlink" xfId="27388" builtinId="9" hidden="1"/>
    <cellStyle name="Followed Hyperlink" xfId="27274" builtinId="9" hidden="1"/>
    <cellStyle name="Followed Hyperlink" xfId="27234" builtinId="9" hidden="1"/>
    <cellStyle name="Followed Hyperlink" xfId="27211" builtinId="9" hidden="1"/>
    <cellStyle name="Followed Hyperlink" xfId="27163" builtinId="9" hidden="1"/>
    <cellStyle name="Followed Hyperlink" xfId="25275" builtinId="9" hidden="1"/>
    <cellStyle name="Followed Hyperlink" xfId="27332" builtinId="9" hidden="1"/>
    <cellStyle name="Followed Hyperlink" xfId="27220" builtinId="9" hidden="1"/>
    <cellStyle name="Followed Hyperlink" xfId="27134" builtinId="9" hidden="1"/>
    <cellStyle name="Followed Hyperlink" xfId="27133" builtinId="9" hidden="1"/>
    <cellStyle name="Followed Hyperlink" xfId="27132" builtinId="9" hidden="1"/>
    <cellStyle name="Followed Hyperlink" xfId="27131" builtinId="9" hidden="1"/>
    <cellStyle name="Followed Hyperlink" xfId="25407" builtinId="9" hidden="1"/>
    <cellStyle name="Followed Hyperlink" xfId="27449" builtinId="9" hidden="1"/>
    <cellStyle name="Followed Hyperlink" xfId="25161" builtinId="9" hidden="1"/>
    <cellStyle name="Followed Hyperlink" xfId="27258" builtinId="9" hidden="1"/>
    <cellStyle name="Followed Hyperlink" xfId="27248" builtinId="9" hidden="1"/>
    <cellStyle name="Followed Hyperlink" xfId="27161" builtinId="9" hidden="1"/>
    <cellStyle name="Followed Hyperlink" xfId="25499" builtinId="9" hidden="1"/>
    <cellStyle name="Followed Hyperlink" xfId="27342" builtinId="9" hidden="1"/>
    <cellStyle name="Followed Hyperlink" xfId="27249" builtinId="9" hidden="1"/>
    <cellStyle name="Followed Hyperlink" xfId="27160" builtinId="9" hidden="1"/>
    <cellStyle name="Followed Hyperlink" xfId="26323" builtinId="9" hidden="1"/>
    <cellStyle name="Followed Hyperlink" xfId="27128" builtinId="9" hidden="1"/>
    <cellStyle name="Followed Hyperlink" xfId="27127" builtinId="9" hidden="1"/>
    <cellStyle name="Followed Hyperlink" xfId="26129" builtinId="9" hidden="1"/>
    <cellStyle name="Followed Hyperlink" xfId="27126" builtinId="9" hidden="1"/>
    <cellStyle name="Followed Hyperlink" xfId="26313" builtinId="9" hidden="1"/>
    <cellStyle name="Followed Hyperlink" xfId="27400" builtinId="9" hidden="1"/>
    <cellStyle name="Followed Hyperlink" xfId="27363" builtinId="9" hidden="1"/>
    <cellStyle name="Followed Hyperlink" xfId="27121" builtinId="9" hidden="1"/>
    <cellStyle name="Followed Hyperlink" xfId="27125" builtinId="9" hidden="1"/>
    <cellStyle name="Followed Hyperlink" xfId="27157" builtinId="9" hidden="1"/>
    <cellStyle name="Followed Hyperlink" xfId="26123" builtinId="9" hidden="1"/>
    <cellStyle name="Followed Hyperlink" xfId="27432" builtinId="9" hidden="1"/>
    <cellStyle name="Followed Hyperlink" xfId="27122" builtinId="9" hidden="1"/>
    <cellStyle name="Followed Hyperlink" xfId="27123" builtinId="9" hidden="1"/>
    <cellStyle name="Followed Hyperlink" xfId="25298" builtinId="9" hidden="1"/>
    <cellStyle name="Followed Hyperlink" xfId="27454" builtinId="9" hidden="1"/>
    <cellStyle name="Followed Hyperlink" xfId="27398" builtinId="9" hidden="1"/>
    <cellStyle name="Followed Hyperlink" xfId="27807" builtinId="9" hidden="1"/>
    <cellStyle name="Followed Hyperlink" xfId="27467" builtinId="9" hidden="1"/>
    <cellStyle name="Followed Hyperlink" xfId="27464" builtinId="9" hidden="1"/>
    <cellStyle name="Followed Hyperlink" xfId="27451" builtinId="9" hidden="1"/>
    <cellStyle name="Followed Hyperlink" xfId="24786" builtinId="9" hidden="1"/>
    <cellStyle name="Followed Hyperlink" xfId="27360" builtinId="9" hidden="1"/>
    <cellStyle name="Followed Hyperlink" xfId="27359" builtinId="9" hidden="1"/>
    <cellStyle name="Followed Hyperlink" xfId="27358" builtinId="9" hidden="1"/>
    <cellStyle name="Followed Hyperlink" xfId="27357" builtinId="9" hidden="1"/>
    <cellStyle name="Followed Hyperlink" xfId="27154" builtinId="9" hidden="1"/>
    <cellStyle name="Followed Hyperlink" xfId="26309" builtinId="9" hidden="1"/>
    <cellStyle name="Followed Hyperlink" xfId="27119" builtinId="9" hidden="1"/>
    <cellStyle name="Followed Hyperlink" xfId="27152" builtinId="9" hidden="1"/>
    <cellStyle name="Followed Hyperlink" xfId="26130" builtinId="9" hidden="1"/>
    <cellStyle name="Followed Hyperlink" xfId="27453" builtinId="9" hidden="1"/>
    <cellStyle name="Followed Hyperlink" xfId="27397" builtinId="9" hidden="1"/>
    <cellStyle name="Followed Hyperlink" xfId="27395" builtinId="9" hidden="1"/>
    <cellStyle name="Followed Hyperlink" xfId="27448" builtinId="9" hidden="1"/>
    <cellStyle name="Followed Hyperlink" xfId="27446" builtinId="9" hidden="1"/>
    <cellStyle name="Followed Hyperlink" xfId="27441" builtinId="9" hidden="1"/>
    <cellStyle name="Followed Hyperlink" xfId="27426" builtinId="9" hidden="1"/>
    <cellStyle name="Followed Hyperlink" xfId="27473" builtinId="9" hidden="1"/>
    <cellStyle name="Followed Hyperlink" xfId="26131" builtinId="9" hidden="1"/>
    <cellStyle name="Followed Hyperlink" xfId="27114" builtinId="9" hidden="1"/>
    <cellStyle name="Followed Hyperlink" xfId="27115" builtinId="9" hidden="1"/>
    <cellStyle name="Followed Hyperlink" xfId="25349" builtinId="9" hidden="1"/>
    <cellStyle name="Followed Hyperlink" xfId="26409" builtinId="9" hidden="1"/>
    <cellStyle name="Followed Hyperlink" xfId="27393" builtinId="9" hidden="1"/>
    <cellStyle name="Followed Hyperlink" xfId="27409" builtinId="9" hidden="1"/>
    <cellStyle name="Followed Hyperlink" xfId="27277" builtinId="9" hidden="1"/>
    <cellStyle name="Followed Hyperlink" xfId="27410" builtinId="9" hidden="1"/>
    <cellStyle name="Followed Hyperlink" xfId="27346" builtinId="9" hidden="1"/>
    <cellStyle name="Followed Hyperlink" xfId="27266" builtinId="9" hidden="1"/>
    <cellStyle name="Followed Hyperlink" xfId="27222" builtinId="9" hidden="1"/>
    <cellStyle name="Followed Hyperlink" xfId="27231" builtinId="9" hidden="1"/>
    <cellStyle name="Followed Hyperlink" xfId="27424" builtinId="9" hidden="1"/>
    <cellStyle name="Followed Hyperlink" xfId="27387" builtinId="9" hidden="1"/>
    <cellStyle name="Followed Hyperlink" xfId="27272" builtinId="9" hidden="1"/>
    <cellStyle name="Followed Hyperlink" xfId="27252" builtinId="9" hidden="1"/>
    <cellStyle name="Followed Hyperlink" xfId="27422" builtinId="9" hidden="1"/>
    <cellStyle name="Followed Hyperlink" xfId="27385" builtinId="9" hidden="1"/>
    <cellStyle name="Followed Hyperlink" xfId="27333" builtinId="9" hidden="1"/>
    <cellStyle name="Followed Hyperlink" xfId="27261" builtinId="9" hidden="1"/>
    <cellStyle name="Followed Hyperlink" xfId="27147" builtinId="9" hidden="1"/>
    <cellStyle name="Followed Hyperlink" xfId="27245" builtinId="9" hidden="1"/>
    <cellStyle name="Followed Hyperlink" xfId="27325" builtinId="9" hidden="1"/>
    <cellStyle name="Followed Hyperlink" xfId="27113" builtinId="9" hidden="1"/>
    <cellStyle name="Followed Hyperlink" xfId="27210" builtinId="9" hidden="1"/>
    <cellStyle name="Followed Hyperlink" xfId="27315" builtinId="9" hidden="1"/>
    <cellStyle name="Followed Hyperlink" xfId="26132" builtinId="9" hidden="1"/>
    <cellStyle name="Followed Hyperlink" xfId="27314" builtinId="9" hidden="1"/>
    <cellStyle name="Followed Hyperlink" xfId="27255" builtinId="9" hidden="1"/>
    <cellStyle name="Followed Hyperlink" xfId="24787" builtinId="9" hidden="1"/>
    <cellStyle name="Followed Hyperlink" xfId="27271" builtinId="9" hidden="1"/>
    <cellStyle name="Followed Hyperlink" xfId="27206" builtinId="9" hidden="1"/>
    <cellStyle name="Followed Hyperlink" xfId="24853" builtinId="9" hidden="1"/>
    <cellStyle name="Followed Hyperlink" xfId="24728" builtinId="9" hidden="1"/>
    <cellStyle name="Followed Hyperlink" xfId="27804" builtinId="9" hidden="1"/>
    <cellStyle name="Followed Hyperlink" xfId="27802" builtinId="9" hidden="1"/>
    <cellStyle name="Followed Hyperlink" xfId="27800" builtinId="9" hidden="1"/>
    <cellStyle name="Followed Hyperlink" xfId="27798" builtinId="9" hidden="1"/>
    <cellStyle name="Followed Hyperlink" xfId="27796" builtinId="9" hidden="1"/>
    <cellStyle name="Followed Hyperlink" xfId="27794" builtinId="9" hidden="1"/>
    <cellStyle name="Followed Hyperlink" xfId="27792" builtinId="9" hidden="1"/>
    <cellStyle name="Followed Hyperlink" xfId="27790" builtinId="9" hidden="1"/>
    <cellStyle name="Followed Hyperlink" xfId="27788" builtinId="9" hidden="1"/>
    <cellStyle name="Followed Hyperlink" xfId="27786" builtinId="9" hidden="1"/>
    <cellStyle name="Followed Hyperlink" xfId="27784" builtinId="9" hidden="1"/>
    <cellStyle name="Followed Hyperlink" xfId="27782" builtinId="9" hidden="1"/>
    <cellStyle name="Followed Hyperlink" xfId="27780" builtinId="9" hidden="1"/>
    <cellStyle name="Followed Hyperlink" xfId="27778" builtinId="9" hidden="1"/>
    <cellStyle name="Followed Hyperlink" xfId="27776" builtinId="9" hidden="1"/>
    <cellStyle name="Followed Hyperlink" xfId="27774" builtinId="9" hidden="1"/>
    <cellStyle name="Followed Hyperlink" xfId="27772" builtinId="9" hidden="1"/>
    <cellStyle name="Followed Hyperlink" xfId="27770" builtinId="9" hidden="1"/>
    <cellStyle name="Followed Hyperlink" xfId="27768" builtinId="9" hidden="1"/>
    <cellStyle name="Followed Hyperlink" xfId="27766" builtinId="9" hidden="1"/>
    <cellStyle name="Followed Hyperlink" xfId="27764" builtinId="9" hidden="1"/>
    <cellStyle name="Followed Hyperlink" xfId="27762" builtinId="9" hidden="1"/>
    <cellStyle name="Followed Hyperlink" xfId="27760" builtinId="9" hidden="1"/>
    <cellStyle name="Followed Hyperlink" xfId="27758" builtinId="9" hidden="1"/>
    <cellStyle name="Followed Hyperlink" xfId="27756" builtinId="9" hidden="1"/>
    <cellStyle name="Followed Hyperlink" xfId="27754" builtinId="9" hidden="1"/>
    <cellStyle name="Followed Hyperlink" xfId="27752" builtinId="9" hidden="1"/>
    <cellStyle name="Followed Hyperlink" xfId="27750" builtinId="9" hidden="1"/>
    <cellStyle name="Followed Hyperlink" xfId="27748" builtinId="9" hidden="1"/>
    <cellStyle name="Followed Hyperlink" xfId="27746" builtinId="9" hidden="1"/>
    <cellStyle name="Followed Hyperlink" xfId="27744" builtinId="9" hidden="1"/>
    <cellStyle name="Followed Hyperlink" xfId="27742" builtinId="9" hidden="1"/>
    <cellStyle name="Followed Hyperlink" xfId="27740" builtinId="9" hidden="1"/>
    <cellStyle name="Followed Hyperlink" xfId="27738" builtinId="9" hidden="1"/>
    <cellStyle name="Followed Hyperlink" xfId="27736" builtinId="9" hidden="1"/>
    <cellStyle name="Followed Hyperlink" xfId="27734" builtinId="9" hidden="1"/>
    <cellStyle name="Followed Hyperlink" xfId="27732" builtinId="9" hidden="1"/>
    <cellStyle name="Followed Hyperlink" xfId="27730" builtinId="9" hidden="1"/>
    <cellStyle name="Followed Hyperlink" xfId="27728" builtinId="9" hidden="1"/>
    <cellStyle name="Followed Hyperlink" xfId="27726" builtinId="9" hidden="1"/>
    <cellStyle name="Followed Hyperlink" xfId="27724" builtinId="9" hidden="1"/>
    <cellStyle name="Followed Hyperlink" xfId="27722" builtinId="9" hidden="1"/>
    <cellStyle name="Followed Hyperlink" xfId="27720" builtinId="9" hidden="1"/>
    <cellStyle name="Followed Hyperlink" xfId="27718" builtinId="9" hidden="1"/>
    <cellStyle name="Followed Hyperlink" xfId="27716" builtinId="9" hidden="1"/>
    <cellStyle name="Followed Hyperlink" xfId="27714" builtinId="9" hidden="1"/>
    <cellStyle name="Followed Hyperlink" xfId="27712" builtinId="9" hidden="1"/>
    <cellStyle name="Followed Hyperlink" xfId="27710" builtinId="9" hidden="1"/>
    <cellStyle name="Followed Hyperlink" xfId="27708" builtinId="9" hidden="1"/>
    <cellStyle name="Followed Hyperlink" xfId="27706" builtinId="9" hidden="1"/>
    <cellStyle name="Followed Hyperlink" xfId="27704" builtinId="9" hidden="1"/>
    <cellStyle name="Followed Hyperlink" xfId="27702" builtinId="9" hidden="1"/>
    <cellStyle name="Followed Hyperlink" xfId="27700" builtinId="9" hidden="1"/>
    <cellStyle name="Followed Hyperlink" xfId="27698" builtinId="9" hidden="1"/>
    <cellStyle name="Followed Hyperlink" xfId="27696" builtinId="9" hidden="1"/>
    <cellStyle name="Followed Hyperlink" xfId="27694" builtinId="9" hidden="1"/>
    <cellStyle name="Followed Hyperlink" xfId="27692" builtinId="9" hidden="1"/>
    <cellStyle name="Followed Hyperlink" xfId="27690" builtinId="9" hidden="1"/>
    <cellStyle name="Followed Hyperlink" xfId="27688" builtinId="9" hidden="1"/>
    <cellStyle name="Followed Hyperlink" xfId="27686" builtinId="9" hidden="1"/>
    <cellStyle name="Followed Hyperlink" xfId="27684" builtinId="9" hidden="1"/>
    <cellStyle name="Followed Hyperlink" xfId="27682" builtinId="9" hidden="1"/>
    <cellStyle name="Followed Hyperlink" xfId="27680" builtinId="9" hidden="1"/>
    <cellStyle name="Followed Hyperlink" xfId="27678" builtinId="9" hidden="1"/>
    <cellStyle name="Followed Hyperlink" xfId="27676" builtinId="9" hidden="1"/>
    <cellStyle name="Followed Hyperlink" xfId="27674" builtinId="9" hidden="1"/>
    <cellStyle name="Followed Hyperlink" xfId="27672" builtinId="9" hidden="1"/>
    <cellStyle name="Followed Hyperlink" xfId="27670" builtinId="9" hidden="1"/>
    <cellStyle name="Followed Hyperlink" xfId="27668" builtinId="9" hidden="1"/>
    <cellStyle name="Followed Hyperlink" xfId="27666" builtinId="9" hidden="1"/>
    <cellStyle name="Followed Hyperlink" xfId="27659" builtinId="9" hidden="1"/>
    <cellStyle name="Followed Hyperlink" xfId="27657" builtinId="9" hidden="1"/>
    <cellStyle name="Followed Hyperlink" xfId="27655" builtinId="9" hidden="1"/>
    <cellStyle name="Followed Hyperlink" xfId="27653" builtinId="9" hidden="1"/>
    <cellStyle name="Followed Hyperlink" xfId="27651" builtinId="9" hidden="1"/>
    <cellStyle name="Followed Hyperlink" xfId="27649" builtinId="9" hidden="1"/>
    <cellStyle name="Followed Hyperlink" xfId="27647" builtinId="9" hidden="1"/>
    <cellStyle name="Followed Hyperlink" xfId="27645" builtinId="9" hidden="1"/>
    <cellStyle name="Followed Hyperlink" xfId="27643" builtinId="9" hidden="1"/>
    <cellStyle name="Followed Hyperlink" xfId="27641" builtinId="9" hidden="1"/>
    <cellStyle name="Followed Hyperlink" xfId="27639" builtinId="9" hidden="1"/>
    <cellStyle name="Followed Hyperlink" xfId="27637" builtinId="9" hidden="1"/>
    <cellStyle name="Followed Hyperlink" xfId="27635" builtinId="9" hidden="1"/>
    <cellStyle name="Followed Hyperlink" xfId="27633" builtinId="9" hidden="1"/>
    <cellStyle name="Followed Hyperlink" xfId="27631" builtinId="9" hidden="1"/>
    <cellStyle name="Followed Hyperlink" xfId="27629" builtinId="9" hidden="1"/>
    <cellStyle name="Followed Hyperlink" xfId="27627" builtinId="9" hidden="1"/>
    <cellStyle name="Followed Hyperlink" xfId="27625" builtinId="9" hidden="1"/>
    <cellStyle name="Followed Hyperlink" xfId="27623" builtinId="9" hidden="1"/>
    <cellStyle name="Followed Hyperlink" xfId="27621" builtinId="9" hidden="1"/>
    <cellStyle name="Followed Hyperlink" xfId="27619" builtinId="9" hidden="1"/>
    <cellStyle name="Followed Hyperlink" xfId="27617" builtinId="9" hidden="1"/>
    <cellStyle name="Followed Hyperlink" xfId="27615" builtinId="9" hidden="1"/>
    <cellStyle name="Followed Hyperlink" xfId="27613" builtinId="9" hidden="1"/>
    <cellStyle name="Followed Hyperlink" xfId="27611" builtinId="9" hidden="1"/>
    <cellStyle name="Followed Hyperlink" xfId="27609" builtinId="9" hidden="1"/>
    <cellStyle name="Followed Hyperlink" xfId="27607" builtinId="9" hidden="1"/>
    <cellStyle name="Followed Hyperlink" xfId="27606" builtinId="9" hidden="1"/>
    <cellStyle name="Followed Hyperlink" xfId="27604" builtinId="9" hidden="1"/>
    <cellStyle name="Followed Hyperlink" xfId="27602" builtinId="9" hidden="1"/>
    <cellStyle name="Followed Hyperlink" xfId="27600" builtinId="9" hidden="1"/>
    <cellStyle name="Followed Hyperlink" xfId="27598" builtinId="9" hidden="1"/>
    <cellStyle name="Followed Hyperlink" xfId="27596" builtinId="9" hidden="1"/>
    <cellStyle name="Followed Hyperlink" xfId="27594" builtinId="9" hidden="1"/>
    <cellStyle name="Followed Hyperlink" xfId="27592" builtinId="9" hidden="1"/>
    <cellStyle name="Followed Hyperlink" xfId="27590" builtinId="9" hidden="1"/>
    <cellStyle name="Followed Hyperlink" xfId="27588" builtinId="9" hidden="1"/>
    <cellStyle name="Followed Hyperlink" xfId="27586" builtinId="9" hidden="1"/>
    <cellStyle name="Followed Hyperlink" xfId="27584" builtinId="9" hidden="1"/>
    <cellStyle name="Followed Hyperlink" xfId="27582" builtinId="9" hidden="1"/>
    <cellStyle name="Followed Hyperlink" xfId="27580" builtinId="9" hidden="1"/>
    <cellStyle name="Followed Hyperlink" xfId="27578" builtinId="9" hidden="1"/>
    <cellStyle name="Followed Hyperlink" xfId="27576" builtinId="9" hidden="1"/>
    <cellStyle name="Followed Hyperlink" xfId="27574" builtinId="9" hidden="1"/>
    <cellStyle name="Followed Hyperlink" xfId="27572" builtinId="9" hidden="1"/>
    <cellStyle name="Followed Hyperlink" xfId="27570" builtinId="9" hidden="1"/>
    <cellStyle name="Followed Hyperlink" xfId="27568" builtinId="9" hidden="1"/>
    <cellStyle name="Followed Hyperlink" xfId="27566" builtinId="9" hidden="1"/>
    <cellStyle name="Followed Hyperlink" xfId="27564" builtinId="9" hidden="1"/>
    <cellStyle name="Followed Hyperlink" xfId="27562" builtinId="9" hidden="1"/>
    <cellStyle name="Followed Hyperlink" xfId="27560" builtinId="9" hidden="1"/>
    <cellStyle name="Followed Hyperlink" xfId="27558" builtinId="9" hidden="1"/>
    <cellStyle name="Followed Hyperlink" xfId="27556" builtinId="9" hidden="1"/>
    <cellStyle name="Followed Hyperlink" xfId="27554" builtinId="9" hidden="1"/>
    <cellStyle name="Followed Hyperlink" xfId="27552" builtinId="9" hidden="1"/>
    <cellStyle name="Followed Hyperlink" xfId="27550" builtinId="9" hidden="1"/>
    <cellStyle name="Followed Hyperlink" xfId="27548" builtinId="9" hidden="1"/>
    <cellStyle name="Followed Hyperlink" xfId="27546" builtinId="9" hidden="1"/>
    <cellStyle name="Followed Hyperlink" xfId="27544" builtinId="9" hidden="1"/>
    <cellStyle name="Followed Hyperlink" xfId="27542" builtinId="9" hidden="1"/>
    <cellStyle name="Followed Hyperlink" xfId="27540" builtinId="9" hidden="1"/>
    <cellStyle name="Followed Hyperlink" xfId="27538" builtinId="9" hidden="1"/>
    <cellStyle name="Followed Hyperlink" xfId="27536" builtinId="9" hidden="1"/>
    <cellStyle name="Followed Hyperlink" xfId="27534" builtinId="9" hidden="1"/>
    <cellStyle name="Followed Hyperlink" xfId="27532" builtinId="9" hidden="1"/>
    <cellStyle name="Followed Hyperlink" xfId="27530" builtinId="9" hidden="1"/>
    <cellStyle name="Followed Hyperlink" xfId="27528" builtinId="9" hidden="1"/>
    <cellStyle name="Followed Hyperlink" xfId="27526" builtinId="9" hidden="1"/>
    <cellStyle name="Followed Hyperlink" xfId="27524" builtinId="9" hidden="1"/>
    <cellStyle name="Followed Hyperlink" xfId="27522" builtinId="9" hidden="1"/>
    <cellStyle name="Followed Hyperlink" xfId="27520" builtinId="9" hidden="1"/>
    <cellStyle name="Followed Hyperlink" xfId="27518" builtinId="9" hidden="1"/>
    <cellStyle name="Followed Hyperlink" xfId="27516" builtinId="9" hidden="1"/>
    <cellStyle name="Followed Hyperlink" xfId="27514" builtinId="9" hidden="1"/>
    <cellStyle name="Followed Hyperlink" xfId="27512" builtinId="9" hidden="1"/>
    <cellStyle name="Followed Hyperlink" xfId="27510" builtinId="9" hidden="1"/>
    <cellStyle name="Followed Hyperlink" xfId="27508" builtinId="9" hidden="1"/>
    <cellStyle name="Followed Hyperlink" xfId="27506" builtinId="9" hidden="1"/>
    <cellStyle name="Followed Hyperlink" xfId="27504" builtinId="9" hidden="1"/>
    <cellStyle name="Followed Hyperlink" xfId="27503" builtinId="9" hidden="1"/>
    <cellStyle name="Followed Hyperlink" xfId="27501" builtinId="9" hidden="1"/>
    <cellStyle name="Followed Hyperlink" xfId="27499" builtinId="9" hidden="1"/>
    <cellStyle name="Followed Hyperlink" xfId="27497" builtinId="9" hidden="1"/>
    <cellStyle name="Followed Hyperlink" xfId="27495" builtinId="9" hidden="1"/>
    <cellStyle name="Followed Hyperlink" xfId="27493" builtinId="9" hidden="1"/>
    <cellStyle name="Followed Hyperlink" xfId="27491" builtinId="9" hidden="1"/>
    <cellStyle name="Followed Hyperlink" xfId="27489" builtinId="9" hidden="1"/>
    <cellStyle name="Followed Hyperlink" xfId="27487" builtinId="9" hidden="1"/>
    <cellStyle name="Followed Hyperlink" xfId="27485" builtinId="9" hidden="1"/>
    <cellStyle name="Followed Hyperlink" xfId="27483" builtinId="9" hidden="1"/>
    <cellStyle name="Followed Hyperlink" xfId="27481" builtinId="9" hidden="1"/>
    <cellStyle name="Followed Hyperlink" xfId="27479" builtinId="9" hidden="1"/>
    <cellStyle name="Followed Hyperlink" xfId="27477" builtinId="9" hidden="1"/>
    <cellStyle name="Followed Hyperlink" xfId="26464" builtinId="9" hidden="1"/>
    <cellStyle name="Followed Hyperlink" xfId="26463" builtinId="9" hidden="1"/>
    <cellStyle name="Followed Hyperlink" xfId="26379" builtinId="9" hidden="1"/>
    <cellStyle name="Followed Hyperlink" xfId="26454" builtinId="9" hidden="1"/>
    <cellStyle name="Followed Hyperlink" xfId="26145" builtinId="9" hidden="1"/>
    <cellStyle name="Followed Hyperlink" xfId="26180" builtinId="9" hidden="1"/>
    <cellStyle name="Followed Hyperlink" xfId="25963" builtinId="9" hidden="1"/>
    <cellStyle name="Followed Hyperlink" xfId="26259" builtinId="9" hidden="1"/>
    <cellStyle name="Followed Hyperlink" xfId="26384" builtinId="9" hidden="1"/>
    <cellStyle name="Followed Hyperlink" xfId="26482" builtinId="9" hidden="1"/>
    <cellStyle name="Followed Hyperlink" xfId="26493" builtinId="9" hidden="1"/>
    <cellStyle name="Followed Hyperlink" xfId="26422" builtinId="9" hidden="1"/>
    <cellStyle name="Followed Hyperlink" xfId="25150" builtinId="9" hidden="1"/>
    <cellStyle name="Followed Hyperlink" xfId="26182" builtinId="9" hidden="1"/>
    <cellStyle name="Followed Hyperlink" xfId="26151" builtinId="9" hidden="1"/>
    <cellStyle name="Followed Hyperlink" xfId="26185" builtinId="9" hidden="1"/>
    <cellStyle name="Followed Hyperlink" xfId="26387" builtinId="9" hidden="1"/>
    <cellStyle name="Followed Hyperlink" xfId="26385" builtinId="9" hidden="1"/>
    <cellStyle name="Followed Hyperlink" xfId="25158" builtinId="9" hidden="1"/>
    <cellStyle name="Followed Hyperlink" xfId="26485" builtinId="9" hidden="1"/>
    <cellStyle name="Followed Hyperlink" xfId="26491" builtinId="9" hidden="1"/>
    <cellStyle name="Followed Hyperlink" xfId="26260" builtinId="9" hidden="1"/>
    <cellStyle name="Followed Hyperlink" xfId="26147" builtinId="9" hidden="1"/>
    <cellStyle name="Followed Hyperlink" xfId="26484" builtinId="9" hidden="1"/>
    <cellStyle name="Followed Hyperlink" xfId="25246" builtinId="9" hidden="1"/>
    <cellStyle name="Followed Hyperlink" xfId="27476" builtinId="9" hidden="1"/>
    <cellStyle name="Followed Hyperlink" xfId="27480" builtinId="9" hidden="1"/>
    <cellStyle name="Followed Hyperlink" xfId="27484" builtinId="9" hidden="1"/>
    <cellStyle name="Followed Hyperlink" xfId="27488" builtinId="9" hidden="1"/>
    <cellStyle name="Followed Hyperlink" xfId="27492" builtinId="9" hidden="1"/>
    <cellStyle name="Followed Hyperlink" xfId="27496" builtinId="9" hidden="1"/>
    <cellStyle name="Followed Hyperlink" xfId="27500" builtinId="9" hidden="1"/>
    <cellStyle name="Followed Hyperlink" xfId="27230" builtinId="9" hidden="1"/>
    <cellStyle name="Followed Hyperlink" xfId="27507" builtinId="9" hidden="1"/>
    <cellStyle name="Followed Hyperlink" xfId="27511" builtinId="9" hidden="1"/>
    <cellStyle name="Followed Hyperlink" xfId="27515" builtinId="9" hidden="1"/>
    <cellStyle name="Followed Hyperlink" xfId="27519" builtinId="9" hidden="1"/>
    <cellStyle name="Followed Hyperlink" xfId="27523" builtinId="9" hidden="1"/>
    <cellStyle name="Followed Hyperlink" xfId="27527" builtinId="9" hidden="1"/>
    <cellStyle name="Followed Hyperlink" xfId="27531" builtinId="9" hidden="1"/>
    <cellStyle name="Followed Hyperlink" xfId="27535" builtinId="9" hidden="1"/>
    <cellStyle name="Followed Hyperlink" xfId="27539" builtinId="9" hidden="1"/>
    <cellStyle name="Followed Hyperlink" xfId="27543" builtinId="9" hidden="1"/>
    <cellStyle name="Followed Hyperlink" xfId="27547" builtinId="9" hidden="1"/>
    <cellStyle name="Followed Hyperlink" xfId="27551" builtinId="9" hidden="1"/>
    <cellStyle name="Followed Hyperlink" xfId="27555" builtinId="9" hidden="1"/>
    <cellStyle name="Followed Hyperlink" xfId="27559" builtinId="9" hidden="1"/>
    <cellStyle name="Followed Hyperlink" xfId="27563" builtinId="9" hidden="1"/>
    <cellStyle name="Followed Hyperlink" xfId="27567" builtinId="9" hidden="1"/>
    <cellStyle name="Followed Hyperlink" xfId="27571" builtinId="9" hidden="1"/>
    <cellStyle name="Followed Hyperlink" xfId="27575" builtinId="9" hidden="1"/>
    <cellStyle name="Followed Hyperlink" xfId="27579" builtinId="9" hidden="1"/>
    <cellStyle name="Followed Hyperlink" xfId="27583" builtinId="9" hidden="1"/>
    <cellStyle name="Followed Hyperlink" xfId="27587" builtinId="9" hidden="1"/>
    <cellStyle name="Followed Hyperlink" xfId="27591" builtinId="9" hidden="1"/>
    <cellStyle name="Followed Hyperlink" xfId="27595" builtinId="9" hidden="1"/>
    <cellStyle name="Followed Hyperlink" xfId="27599" builtinId="9" hidden="1"/>
    <cellStyle name="Followed Hyperlink" xfId="27603" builtinId="9" hidden="1"/>
    <cellStyle name="Followed Hyperlink" xfId="26315" builtinId="9" hidden="1"/>
    <cellStyle name="Followed Hyperlink" xfId="27610" builtinId="9" hidden="1"/>
    <cellStyle name="Followed Hyperlink" xfId="27614" builtinId="9" hidden="1"/>
    <cellStyle name="Followed Hyperlink" xfId="27618" builtinId="9" hidden="1"/>
    <cellStyle name="Followed Hyperlink" xfId="27622" builtinId="9" hidden="1"/>
    <cellStyle name="Followed Hyperlink" xfId="27626" builtinId="9" hidden="1"/>
    <cellStyle name="Followed Hyperlink" xfId="27630" builtinId="9" hidden="1"/>
    <cellStyle name="Followed Hyperlink" xfId="27634" builtinId="9" hidden="1"/>
    <cellStyle name="Followed Hyperlink" xfId="27638" builtinId="9" hidden="1"/>
    <cellStyle name="Followed Hyperlink" xfId="27642" builtinId="9" hidden="1"/>
    <cellStyle name="Followed Hyperlink" xfId="27646" builtinId="9" hidden="1"/>
    <cellStyle name="Followed Hyperlink" xfId="27650" builtinId="9" hidden="1"/>
    <cellStyle name="Followed Hyperlink" xfId="27654" builtinId="9" hidden="1"/>
    <cellStyle name="Followed Hyperlink" xfId="27658" builtinId="9" hidden="1"/>
    <cellStyle name="Followed Hyperlink" xfId="25268" builtinId="9" hidden="1"/>
    <cellStyle name="Followed Hyperlink" xfId="27440" builtinId="9" hidden="1"/>
    <cellStyle name="Followed Hyperlink" xfId="25965" builtinId="9" hidden="1"/>
    <cellStyle name="Followed Hyperlink" xfId="26186" builtinId="9" hidden="1"/>
    <cellStyle name="Followed Hyperlink" xfId="26246" builtinId="9" hidden="1"/>
    <cellStyle name="Followed Hyperlink" xfId="26496" builtinId="9" hidden="1"/>
    <cellStyle name="Followed Hyperlink" xfId="26244" builtinId="9" hidden="1"/>
    <cellStyle name="Followed Hyperlink" xfId="26354" builtinId="9" hidden="1"/>
    <cellStyle name="Followed Hyperlink" xfId="25299" builtinId="9" hidden="1"/>
    <cellStyle name="Followed Hyperlink" xfId="25201" builtinId="9" hidden="1"/>
    <cellStyle name="Followed Hyperlink" xfId="25156" builtinId="9" hidden="1"/>
    <cellStyle name="Followed Hyperlink" xfId="26278" builtinId="9" hidden="1"/>
    <cellStyle name="Followed Hyperlink" xfId="26162" builtinId="9" hidden="1"/>
    <cellStyle name="Followed Hyperlink" xfId="26357" builtinId="9" hidden="1"/>
    <cellStyle name="Followed Hyperlink" xfId="26400" builtinId="9" hidden="1"/>
    <cellStyle name="Followed Hyperlink" xfId="26457" builtinId="9" hidden="1"/>
    <cellStyle name="Followed Hyperlink" xfId="26240" builtinId="9" hidden="1"/>
    <cellStyle name="Followed Hyperlink" xfId="26262" builtinId="9" hidden="1"/>
    <cellStyle name="Followed Hyperlink" xfId="26342" builtinId="9" hidden="1"/>
    <cellStyle name="Followed Hyperlink" xfId="26442" builtinId="9" hidden="1"/>
    <cellStyle name="Followed Hyperlink" xfId="26438" builtinId="9" hidden="1"/>
    <cellStyle name="Followed Hyperlink" xfId="26426" builtinId="9" hidden="1"/>
    <cellStyle name="Followed Hyperlink" xfId="24716" builtinId="9" hidden="1"/>
    <cellStyle name="Followed Hyperlink" xfId="26164" builtinId="9" hidden="1"/>
    <cellStyle name="Followed Hyperlink" xfId="26286" builtinId="9" hidden="1"/>
    <cellStyle name="Followed Hyperlink" xfId="25149" builtinId="9" hidden="1"/>
    <cellStyle name="Followed Hyperlink" xfId="26193" builtinId="9" hidden="1"/>
    <cellStyle name="Followed Hyperlink" xfId="26195" builtinId="9" hidden="1"/>
    <cellStyle name="Followed Hyperlink" xfId="25964" builtinId="9" hidden="1"/>
    <cellStyle name="Followed Hyperlink" xfId="26265" builtinId="9" hidden="1"/>
    <cellStyle name="Followed Hyperlink" xfId="25155" builtinId="9" hidden="1"/>
    <cellStyle name="Followed Hyperlink" xfId="26495" builtinId="9" hidden="1"/>
    <cellStyle name="Followed Hyperlink" xfId="26481" builtinId="9" hidden="1"/>
    <cellStyle name="Followed Hyperlink" xfId="26277" builtinId="9" hidden="1"/>
    <cellStyle name="Followed Hyperlink" xfId="25154" builtinId="9" hidden="1"/>
    <cellStyle name="Followed Hyperlink" xfId="26198" builtinId="9" hidden="1"/>
    <cellStyle name="Followed Hyperlink" xfId="26199" builtinId="9" hidden="1"/>
    <cellStyle name="Followed Hyperlink" xfId="26173" builtinId="9" hidden="1"/>
    <cellStyle name="Followed Hyperlink" xfId="26175" builtinId="9" hidden="1"/>
    <cellStyle name="Followed Hyperlink" xfId="26289" builtinId="9" hidden="1"/>
    <cellStyle name="Followed Hyperlink" xfId="25522" builtinId="9" hidden="1"/>
    <cellStyle name="Followed Hyperlink" xfId="27229" builtinId="9" hidden="1"/>
    <cellStyle name="Followed Hyperlink" xfId="26217" builtinId="9" hidden="1"/>
    <cellStyle name="Followed Hyperlink" xfId="27205" builtinId="9" hidden="1"/>
    <cellStyle name="Followed Hyperlink" xfId="24686" builtinId="9" hidden="1"/>
    <cellStyle name="Followed Hyperlink" xfId="27204" builtinId="9" hidden="1"/>
    <cellStyle name="Followed Hyperlink" xfId="26135" builtinId="9" hidden="1"/>
    <cellStyle name="Followed Hyperlink" xfId="27309" builtinId="9" hidden="1"/>
    <cellStyle name="Followed Hyperlink" xfId="27203" builtinId="9" hidden="1"/>
    <cellStyle name="Followed Hyperlink" xfId="27202" builtinId="9" hidden="1"/>
    <cellStyle name="Followed Hyperlink" xfId="26316" builtinId="9" hidden="1"/>
    <cellStyle name="Followed Hyperlink" xfId="27200" builtinId="9" hidden="1"/>
    <cellStyle name="Followed Hyperlink" xfId="27347" builtinId="9" hidden="1"/>
    <cellStyle name="Followed Hyperlink" xfId="24790" builtinId="9" hidden="1"/>
    <cellStyle name="Followed Hyperlink" xfId="27197" builtinId="9" hidden="1"/>
    <cellStyle name="Followed Hyperlink" xfId="27433" builtinId="9" hidden="1"/>
    <cellStyle name="Followed Hyperlink" xfId="27429" builtinId="9" hidden="1"/>
    <cellStyle name="Followed Hyperlink" xfId="27392" builtinId="9" hidden="1"/>
    <cellStyle name="Followed Hyperlink" xfId="27391" builtinId="9" hidden="1"/>
    <cellStyle name="Followed Hyperlink" xfId="27390" builtinId="9" hidden="1"/>
    <cellStyle name="Followed Hyperlink" xfId="27352" builtinId="9" hidden="1"/>
    <cellStyle name="Followed Hyperlink" xfId="27418" builtinId="9" hidden="1"/>
    <cellStyle name="Followed Hyperlink" xfId="27411" builtinId="9" hidden="1"/>
    <cellStyle name="Followed Hyperlink" xfId="27382" builtinId="9" hidden="1"/>
    <cellStyle name="Followed Hyperlink" xfId="27349" builtinId="9" hidden="1"/>
    <cellStyle name="Followed Hyperlink" xfId="27279" builtinId="9" hidden="1"/>
    <cellStyle name="Followed Hyperlink" xfId="27421" builtinId="9" hidden="1"/>
    <cellStyle name="Followed Hyperlink" xfId="27413" builtinId="9" hidden="1"/>
    <cellStyle name="Followed Hyperlink" xfId="27384" builtinId="9" hidden="1"/>
    <cellStyle name="Followed Hyperlink" xfId="27351" builtinId="9" hidden="1"/>
    <cellStyle name="Followed Hyperlink" xfId="27305" builtinId="9" hidden="1"/>
    <cellStyle name="Followed Hyperlink" xfId="27379" builtinId="9" hidden="1"/>
    <cellStyle name="Followed Hyperlink" xfId="27187" builtinId="9" hidden="1"/>
    <cellStyle name="Followed Hyperlink" xfId="27186" builtinId="9" hidden="1"/>
    <cellStyle name="Followed Hyperlink" xfId="27185" builtinId="9" hidden="1"/>
    <cellStyle name="Followed Hyperlink" xfId="27184" builtinId="9" hidden="1"/>
    <cellStyle name="Followed Hyperlink" xfId="27183" builtinId="9" hidden="1"/>
    <cellStyle name="Followed Hyperlink" xfId="27182" builtinId="9" hidden="1"/>
    <cellStyle name="Followed Hyperlink" xfId="27181" builtinId="9" hidden="1"/>
    <cellStyle name="Followed Hyperlink" xfId="27180" builtinId="9" hidden="1"/>
    <cellStyle name="Followed Hyperlink" xfId="25153" builtinId="9" hidden="1"/>
    <cellStyle name="Followed Hyperlink" xfId="27304" builtinId="9" hidden="1"/>
    <cellStyle name="Followed Hyperlink" xfId="26412" builtinId="9" hidden="1"/>
    <cellStyle name="Followed Hyperlink" xfId="27303" builtinId="9" hidden="1"/>
    <cellStyle name="Followed Hyperlink" xfId="27179" builtinId="9" hidden="1"/>
    <cellStyle name="Followed Hyperlink" xfId="26322" builtinId="9" hidden="1"/>
    <cellStyle name="Followed Hyperlink" xfId="26448" builtinId="9" hidden="1"/>
    <cellStyle name="Followed Hyperlink" xfId="27254" builtinId="9" hidden="1"/>
    <cellStyle name="Followed Hyperlink" xfId="27178" builtinId="9" hidden="1"/>
    <cellStyle name="Followed Hyperlink" xfId="24842" builtinId="9" hidden="1"/>
    <cellStyle name="Followed Hyperlink" xfId="27269" builtinId="9" hidden="1"/>
    <cellStyle name="Followed Hyperlink" xfId="27268" builtinId="9" hidden="1"/>
    <cellStyle name="Followed Hyperlink" xfId="27302" builtinId="9" hidden="1"/>
    <cellStyle name="Followed Hyperlink" xfId="27244" builtinId="9" hidden="1"/>
    <cellStyle name="Followed Hyperlink" xfId="25480" builtinId="9" hidden="1"/>
    <cellStyle name="Followed Hyperlink" xfId="27177" builtinId="9" hidden="1"/>
    <cellStyle name="Followed Hyperlink" xfId="27094" builtinId="9" hidden="1"/>
    <cellStyle name="Followed Hyperlink" xfId="26413" builtinId="9" hidden="1"/>
    <cellStyle name="Followed Hyperlink" xfId="27093" builtinId="9" hidden="1"/>
    <cellStyle name="Followed Hyperlink" xfId="26466" builtinId="9" hidden="1"/>
    <cellStyle name="Followed Hyperlink" xfId="26243" builtinId="9" hidden="1"/>
    <cellStyle name="Followed Hyperlink" xfId="27283" builtinId="9" hidden="1"/>
    <cellStyle name="Followed Hyperlink" xfId="27092" builtinId="9" hidden="1"/>
    <cellStyle name="Followed Hyperlink" xfId="26415" builtinId="9" hidden="1"/>
    <cellStyle name="Followed Hyperlink" xfId="27091" builtinId="9" hidden="1"/>
    <cellStyle name="Followed Hyperlink" xfId="26467" builtinId="9" hidden="1"/>
    <cellStyle name="Followed Hyperlink" xfId="26363" builtinId="9" hidden="1"/>
    <cellStyle name="Followed Hyperlink" xfId="27282" builtinId="9" hidden="1"/>
    <cellStyle name="Followed Hyperlink" xfId="26941" builtinId="9" hidden="1"/>
    <cellStyle name="Followed Hyperlink" xfId="26456" builtinId="9" hidden="1"/>
    <cellStyle name="Followed Hyperlink" xfId="26116" builtinId="9" hidden="1"/>
    <cellStyle name="Followed Hyperlink" xfId="26483" builtinId="9" hidden="1"/>
    <cellStyle name="Followed Hyperlink" xfId="26138" builtinId="9" hidden="1"/>
    <cellStyle name="Followed Hyperlink" xfId="27450" builtinId="9" hidden="1"/>
    <cellStyle name="Followed Hyperlink" xfId="27281" builtinId="9" hidden="1"/>
    <cellStyle name="Followed Hyperlink" xfId="27326" builtinId="9" hidden="1"/>
    <cellStyle name="Followed Hyperlink" xfId="27176" builtinId="9" hidden="1"/>
    <cellStyle name="Followed Hyperlink" xfId="26882" builtinId="9" hidden="1"/>
    <cellStyle name="Followed Hyperlink" xfId="26459" builtinId="9" hidden="1"/>
    <cellStyle name="Followed Hyperlink" xfId="26937" builtinId="9" hidden="1"/>
    <cellStyle name="Followed Hyperlink" xfId="26490" builtinId="9" hidden="1"/>
    <cellStyle name="Followed Hyperlink" xfId="26273" builtinId="9" hidden="1"/>
    <cellStyle name="Followed Hyperlink" xfId="27280" builtinId="9" hidden="1"/>
    <cellStyle name="Followed Hyperlink" xfId="26883" builtinId="9" hidden="1"/>
    <cellStyle name="Followed Hyperlink" xfId="25352" builtinId="9" hidden="1"/>
    <cellStyle name="Followed Hyperlink" xfId="26884" builtinId="9" hidden="1"/>
    <cellStyle name="Followed Hyperlink" xfId="26494" builtinId="9" hidden="1"/>
    <cellStyle name="Followed Hyperlink" xfId="26885" builtinId="9" hidden="1"/>
    <cellStyle name="Followed Hyperlink" xfId="26251" builtinId="9" hidden="1"/>
    <cellStyle name="Followed Hyperlink" xfId="24829" builtinId="9" hidden="1"/>
    <cellStyle name="Followed Hyperlink" xfId="26682" builtinId="9" hidden="1"/>
    <cellStyle name="Followed Hyperlink" xfId="26468" builtinId="9" hidden="1"/>
    <cellStyle name="Followed Hyperlink" xfId="27810" builtinId="9" hidden="1"/>
    <cellStyle name="Followed Hyperlink" xfId="27811" builtinId="9" hidden="1"/>
    <cellStyle name="Followed Hyperlink" xfId="27812" builtinId="9" hidden="1"/>
    <cellStyle name="Followed Hyperlink" xfId="27813" builtinId="9" hidden="1"/>
    <cellStyle name="Followed Hyperlink" xfId="27814" builtinId="9" hidden="1"/>
    <cellStyle name="Followed Hyperlink" xfId="27815" builtinId="9" hidden="1"/>
    <cellStyle name="Followed Hyperlink" xfId="27816" builtinId="9" hidden="1"/>
    <cellStyle name="Followed Hyperlink" xfId="27817" builtinId="9" hidden="1"/>
    <cellStyle name="Followed Hyperlink" xfId="27818" builtinId="9" hidden="1"/>
    <cellStyle name="Followed Hyperlink" xfId="27819" builtinId="9" hidden="1"/>
    <cellStyle name="Followed Hyperlink" xfId="27820" builtinId="9" hidden="1"/>
    <cellStyle name="Followed Hyperlink" xfId="27821" builtinId="9" hidden="1"/>
    <cellStyle name="Followed Hyperlink" xfId="27822" builtinId="9" hidden="1"/>
    <cellStyle name="Followed Hyperlink" xfId="27823" builtinId="9" hidden="1"/>
    <cellStyle name="Followed Hyperlink" xfId="27824" builtinId="9" hidden="1"/>
    <cellStyle name="Followed Hyperlink" xfId="27825" builtinId="9" hidden="1"/>
    <cellStyle name="Followed Hyperlink" xfId="27826" builtinId="9" hidden="1"/>
    <cellStyle name="Followed Hyperlink" xfId="27827" builtinId="9" hidden="1"/>
    <cellStyle name="Followed Hyperlink" xfId="27828" builtinId="9" hidden="1"/>
    <cellStyle name="Followed Hyperlink" xfId="27829" builtinId="9" hidden="1"/>
    <cellStyle name="Followed Hyperlink" xfId="27830" builtinId="9" hidden="1"/>
    <cellStyle name="Followed Hyperlink" xfId="27831" builtinId="9" hidden="1"/>
    <cellStyle name="Followed Hyperlink" xfId="27832" builtinId="9" hidden="1"/>
    <cellStyle name="Followed Hyperlink" xfId="27833" builtinId="9" hidden="1"/>
    <cellStyle name="Followed Hyperlink" xfId="27834" builtinId="9" hidden="1"/>
    <cellStyle name="Followed Hyperlink" xfId="27835" builtinId="9" hidden="1"/>
    <cellStyle name="Followed Hyperlink" xfId="27836" builtinId="9" hidden="1"/>
    <cellStyle name="Followed Hyperlink" xfId="27837" builtinId="9" hidden="1"/>
    <cellStyle name="Followed Hyperlink" xfId="27838" builtinId="9" hidden="1"/>
    <cellStyle name="Followed Hyperlink" xfId="27839" builtinId="9" hidden="1"/>
    <cellStyle name="Followed Hyperlink" xfId="27840" builtinId="9" hidden="1"/>
    <cellStyle name="Followed Hyperlink" xfId="27841" builtinId="9" hidden="1"/>
    <cellStyle name="Followed Hyperlink" xfId="27842" builtinId="9" hidden="1"/>
    <cellStyle name="Followed Hyperlink" xfId="27843" builtinId="9" hidden="1"/>
    <cellStyle name="Followed Hyperlink" xfId="27844" builtinId="9" hidden="1"/>
    <cellStyle name="Followed Hyperlink" xfId="27845" builtinId="9" hidden="1"/>
    <cellStyle name="Followed Hyperlink" xfId="27846" builtinId="9" hidden="1"/>
    <cellStyle name="Followed Hyperlink" xfId="27847" builtinId="9" hidden="1"/>
    <cellStyle name="Followed Hyperlink" xfId="27848" builtinId="9" hidden="1"/>
    <cellStyle name="Followed Hyperlink" xfId="27854" builtinId="9" hidden="1"/>
    <cellStyle name="Followed Hyperlink" xfId="27855" builtinId="9" hidden="1"/>
    <cellStyle name="Followed Hyperlink" xfId="27856" builtinId="9" hidden="1"/>
    <cellStyle name="Followed Hyperlink" xfId="27857" builtinId="9" hidden="1"/>
    <cellStyle name="Followed Hyperlink" xfId="27858" builtinId="9" hidden="1"/>
    <cellStyle name="Followed Hyperlink" xfId="27859" builtinId="9" hidden="1"/>
    <cellStyle name="Followed Hyperlink" xfId="27860" builtinId="9" hidden="1"/>
    <cellStyle name="Followed Hyperlink" xfId="27861" builtinId="9" hidden="1"/>
    <cellStyle name="Followed Hyperlink" xfId="27862" builtinId="9" hidden="1"/>
    <cellStyle name="Followed Hyperlink" xfId="27863" builtinId="9" hidden="1"/>
    <cellStyle name="Followed Hyperlink" xfId="27864" builtinId="9" hidden="1"/>
    <cellStyle name="Followed Hyperlink" xfId="27865" builtinId="9" hidden="1"/>
    <cellStyle name="Followed Hyperlink" xfId="27866" builtinId="9" hidden="1"/>
    <cellStyle name="Followed Hyperlink" xfId="27867" builtinId="9" hidden="1"/>
    <cellStyle name="Followed Hyperlink" xfId="27868" builtinId="9" hidden="1"/>
    <cellStyle name="Followed Hyperlink" xfId="27869" builtinId="9" hidden="1"/>
    <cellStyle name="Followed Hyperlink" xfId="27870" builtinId="9" hidden="1"/>
    <cellStyle name="Followed Hyperlink" xfId="27871" builtinId="9" hidden="1"/>
    <cellStyle name="Followed Hyperlink" xfId="27872" builtinId="9" hidden="1"/>
    <cellStyle name="Followed Hyperlink" xfId="27873" builtinId="9" hidden="1"/>
    <cellStyle name="Followed Hyperlink" xfId="27874" builtinId="9" hidden="1"/>
    <cellStyle name="Followed Hyperlink" xfId="27875" builtinId="9" hidden="1"/>
    <cellStyle name="Followed Hyperlink" xfId="27876" builtinId="9" hidden="1"/>
    <cellStyle name="Followed Hyperlink" xfId="27877" builtinId="9" hidden="1"/>
    <cellStyle name="Followed Hyperlink" xfId="27878" builtinId="9" hidden="1"/>
    <cellStyle name="Followed Hyperlink" xfId="27879" builtinId="9" hidden="1"/>
    <cellStyle name="Followed Hyperlink" xfId="27880" builtinId="9" hidden="1"/>
    <cellStyle name="Followed Hyperlink" xfId="27881" builtinId="9" hidden="1"/>
    <cellStyle name="Followed Hyperlink" xfId="27882" builtinId="9" hidden="1"/>
    <cellStyle name="Followed Hyperlink" xfId="27883" builtinId="9" hidden="1"/>
    <cellStyle name="Followed Hyperlink" xfId="27884" builtinId="9" hidden="1"/>
    <cellStyle name="Followed Hyperlink" xfId="27885" builtinId="9" hidden="1"/>
    <cellStyle name="Followed Hyperlink" xfId="27886" builtinId="9" hidden="1"/>
    <cellStyle name="Followed Hyperlink" xfId="27887" builtinId="9" hidden="1"/>
    <cellStyle name="Followed Hyperlink" xfId="27888" builtinId="9" hidden="1"/>
    <cellStyle name="Followed Hyperlink" xfId="27889" builtinId="9" hidden="1"/>
    <cellStyle name="Followed Hyperlink" xfId="27890" builtinId="9" hidden="1"/>
    <cellStyle name="Followed Hyperlink" xfId="27891" builtinId="9" hidden="1"/>
    <cellStyle name="Followed Hyperlink" xfId="27892" builtinId="9" hidden="1"/>
    <cellStyle name="Followed Hyperlink" xfId="27893" builtinId="9" hidden="1"/>
    <cellStyle name="Followed Hyperlink" xfId="27894" builtinId="9" hidden="1"/>
    <cellStyle name="Followed Hyperlink" xfId="27895" builtinId="9" hidden="1"/>
    <cellStyle name="Followed Hyperlink" xfId="27896" builtinId="9" hidden="1"/>
    <cellStyle name="Followed Hyperlink" xfId="27897" builtinId="9" hidden="1"/>
    <cellStyle name="Followed Hyperlink" xfId="27898" builtinId="9" hidden="1"/>
    <cellStyle name="Followed Hyperlink" xfId="27899" builtinId="9" hidden="1"/>
    <cellStyle name="Followed Hyperlink" xfId="27900" builtinId="9" hidden="1"/>
    <cellStyle name="Followed Hyperlink" xfId="27901" builtinId="9" hidden="1"/>
    <cellStyle name="Followed Hyperlink" xfId="27902" builtinId="9" hidden="1"/>
    <cellStyle name="Followed Hyperlink" xfId="27903" builtinId="9" hidden="1"/>
    <cellStyle name="Followed Hyperlink" xfId="27910" builtinId="9" hidden="1"/>
    <cellStyle name="Followed Hyperlink" xfId="27911" builtinId="9" hidden="1"/>
    <cellStyle name="Followed Hyperlink" xfId="27912" builtinId="9" hidden="1"/>
    <cellStyle name="Followed Hyperlink" xfId="27913" builtinId="9" hidden="1"/>
    <cellStyle name="Followed Hyperlink" xfId="27914" builtinId="9" hidden="1"/>
    <cellStyle name="Followed Hyperlink" xfId="27915" builtinId="9" hidden="1"/>
    <cellStyle name="Followed Hyperlink" xfId="27916" builtinId="9" hidden="1"/>
    <cellStyle name="Followed Hyperlink" xfId="27917" builtinId="9" hidden="1"/>
    <cellStyle name="Followed Hyperlink" xfId="27918" builtinId="9" hidden="1"/>
    <cellStyle name="Followed Hyperlink" xfId="27919" builtinId="9" hidden="1"/>
    <cellStyle name="Followed Hyperlink" xfId="27920" builtinId="9" hidden="1"/>
    <cellStyle name="Followed Hyperlink" xfId="27921" builtinId="9" hidden="1"/>
    <cellStyle name="Followed Hyperlink" xfId="27922" builtinId="9" hidden="1"/>
    <cellStyle name="Followed Hyperlink" xfId="27923" builtinId="9" hidden="1"/>
    <cellStyle name="Followed Hyperlink" xfId="27924" builtinId="9" hidden="1"/>
    <cellStyle name="Followed Hyperlink" xfId="27925" builtinId="9" hidden="1"/>
    <cellStyle name="Followed Hyperlink" xfId="27926" builtinId="9" hidden="1"/>
    <cellStyle name="Followed Hyperlink" xfId="27927" builtinId="9" hidden="1"/>
    <cellStyle name="Followed Hyperlink" xfId="27928" builtinId="9" hidden="1"/>
    <cellStyle name="Followed Hyperlink" xfId="27929" builtinId="9" hidden="1"/>
    <cellStyle name="Followed Hyperlink" xfId="27930" builtinId="9" hidden="1"/>
    <cellStyle name="Followed Hyperlink" xfId="27931" builtinId="9" hidden="1"/>
    <cellStyle name="Followed Hyperlink" xfId="27932" builtinId="9" hidden="1"/>
    <cellStyle name="Followed Hyperlink" xfId="27933" builtinId="9" hidden="1"/>
    <cellStyle name="Followed Hyperlink" xfId="27934" builtinId="9" hidden="1"/>
    <cellStyle name="Followed Hyperlink" xfId="27935" builtinId="9" hidden="1"/>
    <cellStyle name="Followed Hyperlink" xfId="27936" builtinId="9" hidden="1"/>
    <cellStyle name="Followed Hyperlink" xfId="27937" builtinId="9" hidden="1"/>
    <cellStyle name="Followed Hyperlink" xfId="27938" builtinId="9" hidden="1"/>
    <cellStyle name="Followed Hyperlink" xfId="27939" builtinId="9" hidden="1"/>
    <cellStyle name="Followed Hyperlink" xfId="27940" builtinId="9" hidden="1"/>
    <cellStyle name="Followed Hyperlink" xfId="27941" builtinId="9" hidden="1"/>
    <cellStyle name="Followed Hyperlink" xfId="27942" builtinId="9" hidden="1"/>
    <cellStyle name="Followed Hyperlink" xfId="27943" builtinId="9" hidden="1"/>
    <cellStyle name="Followed Hyperlink" xfId="27944" builtinId="9" hidden="1"/>
    <cellStyle name="Followed Hyperlink" xfId="27945" builtinId="9" hidden="1"/>
    <cellStyle name="Followed Hyperlink" xfId="27946" builtinId="9" hidden="1"/>
    <cellStyle name="Followed Hyperlink" xfId="27947" builtinId="9" hidden="1"/>
    <cellStyle name="Followed Hyperlink" xfId="27948" builtinId="9" hidden="1"/>
    <cellStyle name="Followed Hyperlink" xfId="27949" builtinId="9" hidden="1"/>
    <cellStyle name="Followed Hyperlink" xfId="27950" builtinId="9" hidden="1"/>
    <cellStyle name="Followed Hyperlink" xfId="27951" builtinId="9" hidden="1"/>
    <cellStyle name="Followed Hyperlink" xfId="27952" builtinId="9" hidden="1"/>
    <cellStyle name="Followed Hyperlink" xfId="27953" builtinId="9" hidden="1"/>
    <cellStyle name="Followed Hyperlink" xfId="27954" builtinId="9" hidden="1"/>
    <cellStyle name="Followed Hyperlink" xfId="27955" builtinId="9" hidden="1"/>
    <cellStyle name="Followed Hyperlink" xfId="27956" builtinId="9" hidden="1"/>
    <cellStyle name="Followed Hyperlink" xfId="27957" builtinId="9" hidden="1"/>
    <cellStyle name="Followed Hyperlink" xfId="27958" builtinId="9" hidden="1"/>
    <cellStyle name="Followed Hyperlink" xfId="27959" builtinId="9" hidden="1"/>
    <cellStyle name="Followed Hyperlink" xfId="27960" builtinId="9" hidden="1"/>
    <cellStyle name="Followed Hyperlink" xfId="27961" builtinId="9" hidden="1"/>
    <cellStyle name="Followed Hyperlink" xfId="27962" builtinId="9" hidden="1"/>
    <cellStyle name="Followed Hyperlink" xfId="27963" builtinId="9" hidden="1"/>
    <cellStyle name="Followed Hyperlink" xfId="27964" builtinId="9" hidden="1"/>
    <cellStyle name="Followed Hyperlink" xfId="27965" builtinId="9" hidden="1"/>
    <cellStyle name="Followed Hyperlink" xfId="27966" builtinId="9" hidden="1"/>
    <cellStyle name="Followed Hyperlink" xfId="27967" builtinId="9" hidden="1"/>
    <cellStyle name="Followed Hyperlink" xfId="27968" builtinId="9" hidden="1"/>
    <cellStyle name="Followed Hyperlink" xfId="27969" builtinId="9" hidden="1"/>
    <cellStyle name="Followed Hyperlink" xfId="27970" builtinId="9" hidden="1"/>
    <cellStyle name="Followed Hyperlink" xfId="27971" builtinId="9" hidden="1"/>
    <cellStyle name="Followed Hyperlink" xfId="27972" builtinId="9" hidden="1"/>
    <cellStyle name="Followed Hyperlink" xfId="27973" builtinId="9" hidden="1"/>
    <cellStyle name="Followed Hyperlink" xfId="27974" builtinId="9" hidden="1"/>
    <cellStyle name="Followed Hyperlink" xfId="27975" builtinId="9" hidden="1"/>
    <cellStyle name="Followed Hyperlink" xfId="27976" builtinId="9" hidden="1"/>
    <cellStyle name="Followed Hyperlink" xfId="27977" builtinId="9" hidden="1"/>
    <cellStyle name="Followed Hyperlink" xfId="27978" builtinId="9" hidden="1"/>
    <cellStyle name="Followed Hyperlink" xfId="27979" builtinId="9" hidden="1"/>
    <cellStyle name="Followed Hyperlink" xfId="27980" builtinId="9" hidden="1"/>
    <cellStyle name="Followed Hyperlink" xfId="27981" builtinId="9" hidden="1"/>
    <cellStyle name="Followed Hyperlink" xfId="27982" builtinId="9" hidden="1"/>
    <cellStyle name="Followed Hyperlink" xfId="27983" builtinId="9" hidden="1"/>
    <cellStyle name="Followed Hyperlink" xfId="27984" builtinId="9" hidden="1"/>
    <cellStyle name="Followed Hyperlink" xfId="27985" builtinId="9" hidden="1"/>
    <cellStyle name="Followed Hyperlink" xfId="27986" builtinId="9" hidden="1"/>
    <cellStyle name="Followed Hyperlink" xfId="27987" builtinId="9" hidden="1"/>
    <cellStyle name="Followed Hyperlink" xfId="27988" builtinId="9" hidden="1"/>
    <cellStyle name="Followed Hyperlink" xfId="27989" builtinId="9" hidden="1"/>
    <cellStyle name="Followed Hyperlink" xfId="27990" builtinId="9" hidden="1"/>
    <cellStyle name="Followed Hyperlink" xfId="27991" builtinId="9" hidden="1"/>
    <cellStyle name="Followed Hyperlink" xfId="27992" builtinId="9" hidden="1"/>
    <cellStyle name="Followed Hyperlink" xfId="27993" builtinId="9" hidden="1"/>
    <cellStyle name="Followed Hyperlink" xfId="27994" builtinId="9" hidden="1"/>
    <cellStyle name="Followed Hyperlink" xfId="27995" builtinId="9" hidden="1"/>
    <cellStyle name="Followed Hyperlink" xfId="27996" builtinId="9" hidden="1"/>
    <cellStyle name="Followed Hyperlink" xfId="27997" builtinId="9" hidden="1"/>
    <cellStyle name="Followed Hyperlink" xfId="27998" builtinId="9" hidden="1"/>
    <cellStyle name="Followed Hyperlink" xfId="27999" builtinId="9" hidden="1"/>
    <cellStyle name="Followed Hyperlink" xfId="28000" builtinId="9" hidden="1"/>
    <cellStyle name="Followed Hyperlink" xfId="28001" builtinId="9" hidden="1"/>
    <cellStyle name="Followed Hyperlink" xfId="28002" builtinId="9" hidden="1"/>
    <cellStyle name="Followed Hyperlink" xfId="28003" builtinId="9" hidden="1"/>
    <cellStyle name="Followed Hyperlink" xfId="28004" builtinId="9" hidden="1"/>
    <cellStyle name="Followed Hyperlink" xfId="28005" builtinId="9" hidden="1"/>
    <cellStyle name="Followed Hyperlink" xfId="28006" builtinId="9" hidden="1"/>
    <cellStyle name="Followed Hyperlink" xfId="28007" builtinId="9" hidden="1"/>
    <cellStyle name="Followed Hyperlink" xfId="28008" builtinId="9" hidden="1"/>
    <cellStyle name="Followed Hyperlink" xfId="28009" builtinId="9" hidden="1"/>
    <cellStyle name="Followed Hyperlink" xfId="28010" builtinId="9" hidden="1"/>
    <cellStyle name="Followed Hyperlink" xfId="28011" builtinId="9" hidden="1"/>
    <cellStyle name="Followed Hyperlink" xfId="28012" builtinId="9" hidden="1"/>
    <cellStyle name="Followed Hyperlink" xfId="28013" builtinId="9" hidden="1"/>
    <cellStyle name="Followed Hyperlink" xfId="28014" builtinId="9" hidden="1"/>
    <cellStyle name="Followed Hyperlink" xfId="28015" builtinId="9" hidden="1"/>
    <cellStyle name="Followed Hyperlink" xfId="28016" builtinId="9" hidden="1"/>
    <cellStyle name="Followed Hyperlink" xfId="28017" builtinId="9" hidden="1"/>
    <cellStyle name="Followed Hyperlink" xfId="28018" builtinId="9" hidden="1"/>
    <cellStyle name="Followed Hyperlink" xfId="28019" builtinId="9" hidden="1"/>
    <cellStyle name="Followed Hyperlink" xfId="28020" builtinId="9" hidden="1"/>
    <cellStyle name="Followed Hyperlink" xfId="28021" builtinId="9" hidden="1"/>
    <cellStyle name="Followed Hyperlink" xfId="28022" builtinId="9" hidden="1"/>
    <cellStyle name="Followed Hyperlink" xfId="28023" builtinId="9" hidden="1"/>
    <cellStyle name="Followed Hyperlink" xfId="28024" builtinId="9" hidden="1"/>
    <cellStyle name="Followed Hyperlink" xfId="28025" builtinId="9" hidden="1"/>
    <cellStyle name="Followed Hyperlink" xfId="28026" builtinId="9" hidden="1"/>
    <cellStyle name="Followed Hyperlink" xfId="28027" builtinId="9" hidden="1"/>
    <cellStyle name="Followed Hyperlink" xfId="28028" builtinId="9" hidden="1"/>
    <cellStyle name="Followed Hyperlink" xfId="28029" builtinId="9" hidden="1"/>
    <cellStyle name="Followed Hyperlink" xfId="28030" builtinId="9" hidden="1"/>
    <cellStyle name="Followed Hyperlink" xfId="28031" builtinId="9" hidden="1"/>
    <cellStyle name="Followed Hyperlink" xfId="28032" builtinId="9" hidden="1"/>
    <cellStyle name="Followed Hyperlink" xfId="28033" builtinId="9" hidden="1"/>
    <cellStyle name="Followed Hyperlink" xfId="28034" builtinId="9" hidden="1"/>
    <cellStyle name="Followed Hyperlink" xfId="28035" builtinId="9" hidden="1"/>
    <cellStyle name="Followed Hyperlink" xfId="28036" builtinId="9" hidden="1"/>
    <cellStyle name="Followed Hyperlink" xfId="28037" builtinId="9" hidden="1"/>
    <cellStyle name="Followed Hyperlink" xfId="28038" builtinId="9" hidden="1"/>
    <cellStyle name="Followed Hyperlink" xfId="28039" builtinId="9" hidden="1"/>
    <cellStyle name="Followed Hyperlink" xfId="28040" builtinId="9" hidden="1"/>
    <cellStyle name="Followed Hyperlink" xfId="28041" builtinId="9" hidden="1"/>
    <cellStyle name="Followed Hyperlink" xfId="28042" builtinId="9" hidden="1"/>
    <cellStyle name="Followed Hyperlink" xfId="28043" builtinId="9" hidden="1"/>
    <cellStyle name="Followed Hyperlink" xfId="28044" builtinId="9" hidden="1"/>
    <cellStyle name="Followed Hyperlink" xfId="28045" builtinId="9" hidden="1"/>
    <cellStyle name="Followed Hyperlink" xfId="28046" builtinId="9" hidden="1"/>
    <cellStyle name="Followed Hyperlink" xfId="28047" builtinId="9" hidden="1"/>
    <cellStyle name="Followed Hyperlink" xfId="28048" builtinId="9" hidden="1"/>
    <cellStyle name="Followed Hyperlink" xfId="28049" builtinId="9" hidden="1"/>
    <cellStyle name="Followed Hyperlink" xfId="28050" builtinId="9" hidden="1"/>
    <cellStyle name="Followed Hyperlink" xfId="28051" builtinId="9" hidden="1"/>
    <cellStyle name="Followed Hyperlink" xfId="28052" builtinId="9" hidden="1"/>
    <cellStyle name="Followed Hyperlink" xfId="28053" builtinId="9" hidden="1"/>
    <cellStyle name="Followed Hyperlink" xfId="28054" builtinId="9" hidden="1"/>
    <cellStyle name="Followed Hyperlink" xfId="28055" builtinId="9" hidden="1"/>
    <cellStyle name="Followed Hyperlink" xfId="28056" builtinId="9" hidden="1"/>
    <cellStyle name="Followed Hyperlink" xfId="28057" builtinId="9" hidden="1"/>
    <cellStyle name="Followed Hyperlink" xfId="27101" builtinId="9" hidden="1"/>
    <cellStyle name="Followed Hyperlink" xfId="28380" builtinId="9" hidden="1"/>
    <cellStyle name="Followed Hyperlink" xfId="28344" builtinId="9" hidden="1"/>
    <cellStyle name="Followed Hyperlink" xfId="28234" builtinId="9" hidden="1"/>
    <cellStyle name="Followed Hyperlink" xfId="28215" builtinId="9" hidden="1"/>
    <cellStyle name="Followed Hyperlink" xfId="28218" builtinId="9" hidden="1"/>
    <cellStyle name="Followed Hyperlink" xfId="28293" builtinId="9" hidden="1"/>
    <cellStyle name="Followed Hyperlink" xfId="28139" builtinId="9" hidden="1"/>
    <cellStyle name="Followed Hyperlink" xfId="27285" builtinId="9" hidden="1"/>
    <cellStyle name="Followed Hyperlink" xfId="28206" builtinId="9" hidden="1"/>
    <cellStyle name="Followed Hyperlink" xfId="28111" builtinId="9" hidden="1"/>
    <cellStyle name="Followed Hyperlink" xfId="28285" builtinId="9" hidden="1"/>
    <cellStyle name="Followed Hyperlink" xfId="28110" builtinId="9" hidden="1"/>
    <cellStyle name="Followed Hyperlink" xfId="27095" builtinId="9" hidden="1"/>
    <cellStyle name="Followed Hyperlink" xfId="28413" builtinId="9" hidden="1"/>
    <cellStyle name="Followed Hyperlink" xfId="28282" builtinId="9" hidden="1"/>
    <cellStyle name="Followed Hyperlink" xfId="28186" builtinId="9" hidden="1"/>
    <cellStyle name="Followed Hyperlink" xfId="28108" builtinId="9" hidden="1"/>
    <cellStyle name="Followed Hyperlink" xfId="28109" builtinId="9" hidden="1"/>
    <cellStyle name="Followed Hyperlink" xfId="28765" builtinId="9" hidden="1"/>
    <cellStyle name="Followed Hyperlink" xfId="28419" builtinId="9" hidden="1"/>
    <cellStyle name="Followed Hyperlink" xfId="28431" builtinId="9" hidden="1"/>
    <cellStyle name="Followed Hyperlink" xfId="28331" builtinId="9" hidden="1"/>
    <cellStyle name="Followed Hyperlink" xfId="28330" builtinId="9" hidden="1"/>
    <cellStyle name="Followed Hyperlink" xfId="28329" builtinId="9" hidden="1"/>
    <cellStyle name="Followed Hyperlink" xfId="28328" builtinId="9" hidden="1"/>
    <cellStyle name="Followed Hyperlink" xfId="28135" builtinId="9" hidden="1"/>
    <cellStyle name="Followed Hyperlink" xfId="25410" builtinId="9" hidden="1"/>
    <cellStyle name="Followed Hyperlink" xfId="28106" builtinId="9" hidden="1"/>
    <cellStyle name="Followed Hyperlink" xfId="28396" builtinId="9" hidden="1"/>
    <cellStyle name="Followed Hyperlink" xfId="28104" builtinId="9" hidden="1"/>
    <cellStyle name="Followed Hyperlink" xfId="28105" builtinId="9" hidden="1"/>
    <cellStyle name="Followed Hyperlink" xfId="27288" builtinId="9" hidden="1"/>
    <cellStyle name="Followed Hyperlink" xfId="28294" builtinId="9" hidden="1"/>
    <cellStyle name="Followed Hyperlink" xfId="28130" builtinId="9" hidden="1"/>
    <cellStyle name="Followed Hyperlink" xfId="28131" builtinId="9" hidden="1"/>
    <cellStyle name="Followed Hyperlink" xfId="25720" builtinId="9" hidden="1"/>
    <cellStyle name="Followed Hyperlink" xfId="28327" builtinId="9" hidden="1"/>
    <cellStyle name="Followed Hyperlink" xfId="26218" builtinId="9" hidden="1"/>
    <cellStyle name="Followed Hyperlink" xfId="28384" builtinId="9" hidden="1"/>
    <cellStyle name="Followed Hyperlink" xfId="28359" builtinId="9" hidden="1"/>
    <cellStyle name="Followed Hyperlink" xfId="28326" builtinId="9" hidden="1"/>
    <cellStyle name="Followed Hyperlink" xfId="28369" builtinId="9" hidden="1"/>
    <cellStyle name="Followed Hyperlink" xfId="28308" builtinId="9" hidden="1"/>
    <cellStyle name="Followed Hyperlink" xfId="28371" builtinId="9" hidden="1"/>
    <cellStyle name="Followed Hyperlink" xfId="28325" builtinId="9" hidden="1"/>
    <cellStyle name="Followed Hyperlink" xfId="28324" builtinId="9" hidden="1"/>
    <cellStyle name="Followed Hyperlink" xfId="28323" builtinId="9" hidden="1"/>
    <cellStyle name="Followed Hyperlink" xfId="27319" builtinId="9" hidden="1"/>
    <cellStyle name="Followed Hyperlink" xfId="28306" builtinId="9" hidden="1"/>
    <cellStyle name="Followed Hyperlink" xfId="25294" builtinId="9" hidden="1"/>
    <cellStyle name="Followed Hyperlink" xfId="27318" builtinId="9" hidden="1"/>
    <cellStyle name="Followed Hyperlink" xfId="28382" builtinId="9" hidden="1"/>
    <cellStyle name="Followed Hyperlink" xfId="28346" builtinId="9" hidden="1"/>
    <cellStyle name="Followed Hyperlink" xfId="28235" builtinId="9" hidden="1"/>
    <cellStyle name="Followed Hyperlink" xfId="28197" builtinId="9" hidden="1"/>
    <cellStyle name="Followed Hyperlink" xfId="28176" builtinId="9" hidden="1"/>
    <cellStyle name="Followed Hyperlink" xfId="28129" builtinId="9" hidden="1"/>
    <cellStyle name="Followed Hyperlink" xfId="27096" builtinId="9" hidden="1"/>
    <cellStyle name="Followed Hyperlink" xfId="28290" builtinId="9" hidden="1"/>
    <cellStyle name="Followed Hyperlink" xfId="28185" builtinId="9" hidden="1"/>
    <cellStyle name="Followed Hyperlink" xfId="28100" builtinId="9" hidden="1"/>
    <cellStyle name="Followed Hyperlink" xfId="28099" builtinId="9" hidden="1"/>
    <cellStyle name="Followed Hyperlink" xfId="28098" builtinId="9" hidden="1"/>
    <cellStyle name="Followed Hyperlink" xfId="28097" builtinId="9" hidden="1"/>
    <cellStyle name="Followed Hyperlink" xfId="26465" builtinId="9" hidden="1"/>
    <cellStyle name="Followed Hyperlink" xfId="28406" builtinId="9" hidden="1"/>
    <cellStyle name="Followed Hyperlink" xfId="26176" builtinId="9" hidden="1"/>
    <cellStyle name="Followed Hyperlink" xfId="28220" builtinId="9" hidden="1"/>
    <cellStyle name="Followed Hyperlink" xfId="28210" builtinId="9" hidden="1"/>
    <cellStyle name="Followed Hyperlink" xfId="28127" builtinId="9" hidden="1"/>
    <cellStyle name="Followed Hyperlink" xfId="25146" builtinId="9" hidden="1"/>
    <cellStyle name="Followed Hyperlink" xfId="28300" builtinId="9" hidden="1"/>
    <cellStyle name="Followed Hyperlink" xfId="28211" builtinId="9" hidden="1"/>
    <cellStyle name="Followed Hyperlink" xfId="28126" builtinId="9" hidden="1"/>
    <cellStyle name="Followed Hyperlink" xfId="27267" builtinId="9" hidden="1"/>
    <cellStyle name="Followed Hyperlink" xfId="28094" builtinId="9" hidden="1"/>
    <cellStyle name="Followed Hyperlink" xfId="28093" builtinId="9" hidden="1"/>
    <cellStyle name="Followed Hyperlink" xfId="26344" builtinId="9" hidden="1"/>
    <cellStyle name="Followed Hyperlink" xfId="28092" builtinId="9" hidden="1"/>
    <cellStyle name="Followed Hyperlink" xfId="27105" builtinId="9" hidden="1"/>
    <cellStyle name="Followed Hyperlink" xfId="28357" builtinId="9" hidden="1"/>
    <cellStyle name="Followed Hyperlink" xfId="28321" builtinId="9" hidden="1"/>
    <cellStyle name="Followed Hyperlink" xfId="28087" builtinId="9" hidden="1"/>
    <cellStyle name="Followed Hyperlink" xfId="28091" builtinId="9" hidden="1"/>
    <cellStyle name="Followed Hyperlink" xfId="28123" builtinId="9" hidden="1"/>
    <cellStyle name="Followed Hyperlink" xfId="26487" builtinId="9" hidden="1"/>
    <cellStyle name="Followed Hyperlink" xfId="28389" builtinId="9" hidden="1"/>
    <cellStyle name="Followed Hyperlink" xfId="28088" builtinId="9" hidden="1"/>
    <cellStyle name="Followed Hyperlink" xfId="28089" builtinId="9" hidden="1"/>
    <cellStyle name="Followed Hyperlink" xfId="26375" builtinId="9" hidden="1"/>
    <cellStyle name="Followed Hyperlink" xfId="28411" builtinId="9" hidden="1"/>
    <cellStyle name="Followed Hyperlink" xfId="28355" builtinId="9" hidden="1"/>
    <cellStyle name="Followed Hyperlink" xfId="28764" builtinId="9" hidden="1"/>
    <cellStyle name="Followed Hyperlink" xfId="28424" builtinId="9" hidden="1"/>
    <cellStyle name="Followed Hyperlink" xfId="28421" builtinId="9" hidden="1"/>
    <cellStyle name="Followed Hyperlink" xfId="28408" builtinId="9" hidden="1"/>
    <cellStyle name="Followed Hyperlink" xfId="24475" builtinId="9" hidden="1"/>
    <cellStyle name="Followed Hyperlink" xfId="28318" builtinId="9" hidden="1"/>
    <cellStyle name="Followed Hyperlink" xfId="28317" builtinId="9" hidden="1"/>
    <cellStyle name="Followed Hyperlink" xfId="28316" builtinId="9" hidden="1"/>
    <cellStyle name="Followed Hyperlink" xfId="28315" builtinId="9" hidden="1"/>
    <cellStyle name="Followed Hyperlink" xfId="28120" builtinId="9" hidden="1"/>
    <cellStyle name="Followed Hyperlink" xfId="25351" builtinId="9" hidden="1"/>
    <cellStyle name="Followed Hyperlink" xfId="28085" builtinId="9" hidden="1"/>
    <cellStyle name="Followed Hyperlink" xfId="28118" builtinId="9" hidden="1"/>
    <cellStyle name="Followed Hyperlink" xfId="27290" builtinId="9" hidden="1"/>
    <cellStyle name="Followed Hyperlink" xfId="28410" builtinId="9" hidden="1"/>
    <cellStyle name="Followed Hyperlink" xfId="28354" builtinId="9" hidden="1"/>
    <cellStyle name="Followed Hyperlink" xfId="28352" builtinId="9" hidden="1"/>
    <cellStyle name="Followed Hyperlink" xfId="28405" builtinId="9" hidden="1"/>
    <cellStyle name="Followed Hyperlink" xfId="28403" builtinId="9" hidden="1"/>
    <cellStyle name="Followed Hyperlink" xfId="28398" builtinId="9" hidden="1"/>
    <cellStyle name="Followed Hyperlink" xfId="28383" builtinId="9" hidden="1"/>
    <cellStyle name="Followed Hyperlink" xfId="28430" builtinId="9" hidden="1"/>
    <cellStyle name="Followed Hyperlink" xfId="25339" builtinId="9" hidden="1"/>
    <cellStyle name="Followed Hyperlink" xfId="28080" builtinId="9" hidden="1"/>
    <cellStyle name="Followed Hyperlink" xfId="28081" builtinId="9" hidden="1"/>
    <cellStyle name="Followed Hyperlink" xfId="27192" builtinId="9" hidden="1"/>
    <cellStyle name="Followed Hyperlink" xfId="27806" builtinId="9" hidden="1"/>
    <cellStyle name="Followed Hyperlink" xfId="28350" builtinId="9" hidden="1"/>
    <cellStyle name="Followed Hyperlink" xfId="28366" builtinId="9" hidden="1"/>
    <cellStyle name="Followed Hyperlink" xfId="28237" builtinId="9" hidden="1"/>
    <cellStyle name="Followed Hyperlink" xfId="28367" builtinId="9" hidden="1"/>
    <cellStyle name="Followed Hyperlink" xfId="28304" builtinId="9" hidden="1"/>
    <cellStyle name="Followed Hyperlink" xfId="28227" builtinId="9" hidden="1"/>
    <cellStyle name="Followed Hyperlink" xfId="28187" builtinId="9" hidden="1"/>
    <cellStyle name="Followed Hyperlink" xfId="28194" builtinId="9" hidden="1"/>
    <cellStyle name="Followed Hyperlink" xfId="28381" builtinId="9" hidden="1"/>
    <cellStyle name="Followed Hyperlink" xfId="28345" builtinId="9" hidden="1"/>
    <cellStyle name="Followed Hyperlink" xfId="28233" builtinId="9" hidden="1"/>
    <cellStyle name="Followed Hyperlink" xfId="28214" builtinId="9" hidden="1"/>
    <cellStyle name="Followed Hyperlink" xfId="28379" builtinId="9" hidden="1"/>
    <cellStyle name="Followed Hyperlink" xfId="28343" builtinId="9" hidden="1"/>
    <cellStyle name="Followed Hyperlink" xfId="28291" builtinId="9" hidden="1"/>
    <cellStyle name="Followed Hyperlink" xfId="28222" builtinId="9" hidden="1"/>
    <cellStyle name="Followed Hyperlink" xfId="28113" builtinId="9" hidden="1"/>
    <cellStyle name="Followed Hyperlink" xfId="28208" builtinId="9" hidden="1"/>
    <cellStyle name="Followed Hyperlink" xfId="28283" builtinId="9" hidden="1"/>
    <cellStyle name="Followed Hyperlink" xfId="28079" builtinId="9" hidden="1"/>
    <cellStyle name="Followed Hyperlink" xfId="28175" builtinId="9" hidden="1"/>
    <cellStyle name="Followed Hyperlink" xfId="28273" builtinId="9" hidden="1"/>
    <cellStyle name="Followed Hyperlink" xfId="27291" builtinId="9" hidden="1"/>
    <cellStyle name="Followed Hyperlink" xfId="28272" builtinId="9" hidden="1"/>
    <cellStyle name="Followed Hyperlink" xfId="28217" builtinId="9" hidden="1"/>
    <cellStyle name="Followed Hyperlink" xfId="25327" builtinId="9" hidden="1"/>
    <cellStyle name="Followed Hyperlink" xfId="28232" builtinId="9" hidden="1"/>
    <cellStyle name="Followed Hyperlink" xfId="28171" builtinId="9" hidden="1"/>
    <cellStyle name="Followed Hyperlink" xfId="27100" builtinId="9" hidden="1"/>
    <cellStyle name="Followed Hyperlink" xfId="27215" builtinId="9" hidden="1"/>
    <cellStyle name="Followed Hyperlink" xfId="28761" builtinId="9" hidden="1"/>
    <cellStyle name="Followed Hyperlink" xfId="28759" builtinId="9" hidden="1"/>
    <cellStyle name="Followed Hyperlink" xfId="28757" builtinId="9" hidden="1"/>
    <cellStyle name="Followed Hyperlink" xfId="28755" builtinId="9" hidden="1"/>
    <cellStyle name="Followed Hyperlink" xfId="28753" builtinId="9" hidden="1"/>
    <cellStyle name="Followed Hyperlink" xfId="28751" builtinId="9" hidden="1"/>
    <cellStyle name="Followed Hyperlink" xfId="28749" builtinId="9" hidden="1"/>
    <cellStyle name="Followed Hyperlink" xfId="28747" builtinId="9" hidden="1"/>
    <cellStyle name="Followed Hyperlink" xfId="28745" builtinId="9" hidden="1"/>
    <cellStyle name="Followed Hyperlink" xfId="28743" builtinId="9" hidden="1"/>
    <cellStyle name="Followed Hyperlink" xfId="28741" builtinId="9" hidden="1"/>
    <cellStyle name="Followed Hyperlink" xfId="28739" builtinId="9" hidden="1"/>
    <cellStyle name="Followed Hyperlink" xfId="28737" builtinId="9" hidden="1"/>
    <cellStyle name="Followed Hyperlink" xfId="28735" builtinId="9" hidden="1"/>
    <cellStyle name="Followed Hyperlink" xfId="28733" builtinId="9" hidden="1"/>
    <cellStyle name="Followed Hyperlink" xfId="28731" builtinId="9" hidden="1"/>
    <cellStyle name="Followed Hyperlink" xfId="28729" builtinId="9" hidden="1"/>
    <cellStyle name="Followed Hyperlink" xfId="28727" builtinId="9" hidden="1"/>
    <cellStyle name="Followed Hyperlink" xfId="28725" builtinId="9" hidden="1"/>
    <cellStyle name="Followed Hyperlink" xfId="28723" builtinId="9" hidden="1"/>
    <cellStyle name="Followed Hyperlink" xfId="28721" builtinId="9" hidden="1"/>
    <cellStyle name="Followed Hyperlink" xfId="28719" builtinId="9" hidden="1"/>
    <cellStyle name="Followed Hyperlink" xfId="28717" builtinId="9" hidden="1"/>
    <cellStyle name="Followed Hyperlink" xfId="28715" builtinId="9" hidden="1"/>
    <cellStyle name="Followed Hyperlink" xfId="28713" builtinId="9" hidden="1"/>
    <cellStyle name="Followed Hyperlink" xfId="28711" builtinId="9" hidden="1"/>
    <cellStyle name="Followed Hyperlink" xfId="28709" builtinId="9" hidden="1"/>
    <cellStyle name="Followed Hyperlink" xfId="28707" builtinId="9" hidden="1"/>
    <cellStyle name="Followed Hyperlink" xfId="28705" builtinId="9" hidden="1"/>
    <cellStyle name="Followed Hyperlink" xfId="28703" builtinId="9" hidden="1"/>
    <cellStyle name="Followed Hyperlink" xfId="28701" builtinId="9" hidden="1"/>
    <cellStyle name="Followed Hyperlink" xfId="28699" builtinId="9" hidden="1"/>
    <cellStyle name="Followed Hyperlink" xfId="28697" builtinId="9" hidden="1"/>
    <cellStyle name="Followed Hyperlink" xfId="28695" builtinId="9" hidden="1"/>
    <cellStyle name="Followed Hyperlink" xfId="28693" builtinId="9" hidden="1"/>
    <cellStyle name="Followed Hyperlink" xfId="28691" builtinId="9" hidden="1"/>
    <cellStyle name="Followed Hyperlink" xfId="28689" builtinId="9" hidden="1"/>
    <cellStyle name="Followed Hyperlink" xfId="28687" builtinId="9" hidden="1"/>
    <cellStyle name="Followed Hyperlink" xfId="28685" builtinId="9" hidden="1"/>
    <cellStyle name="Followed Hyperlink" xfId="28683" builtinId="9" hidden="1"/>
    <cellStyle name="Followed Hyperlink" xfId="28681" builtinId="9" hidden="1"/>
    <cellStyle name="Followed Hyperlink" xfId="28679" builtinId="9" hidden="1"/>
    <cellStyle name="Followed Hyperlink" xfId="28677" builtinId="9" hidden="1"/>
    <cellStyle name="Followed Hyperlink" xfId="28675" builtinId="9" hidden="1"/>
    <cellStyle name="Followed Hyperlink" xfId="28673" builtinId="9" hidden="1"/>
    <cellStyle name="Followed Hyperlink" xfId="28671" builtinId="9" hidden="1"/>
    <cellStyle name="Followed Hyperlink" xfId="28669" builtinId="9" hidden="1"/>
    <cellStyle name="Followed Hyperlink" xfId="28667" builtinId="9" hidden="1"/>
    <cellStyle name="Followed Hyperlink" xfId="28665" builtinId="9" hidden="1"/>
    <cellStyle name="Followed Hyperlink" xfId="28663" builtinId="9" hidden="1"/>
    <cellStyle name="Followed Hyperlink" xfId="28661" builtinId="9" hidden="1"/>
    <cellStyle name="Followed Hyperlink" xfId="28659" builtinId="9" hidden="1"/>
    <cellStyle name="Followed Hyperlink" xfId="28657" builtinId="9" hidden="1"/>
    <cellStyle name="Followed Hyperlink" xfId="28655" builtinId="9" hidden="1"/>
    <cellStyle name="Followed Hyperlink" xfId="28653" builtinId="9" hidden="1"/>
    <cellStyle name="Followed Hyperlink" xfId="28651" builtinId="9" hidden="1"/>
    <cellStyle name="Followed Hyperlink" xfId="28649" builtinId="9" hidden="1"/>
    <cellStyle name="Followed Hyperlink" xfId="28647" builtinId="9" hidden="1"/>
    <cellStyle name="Followed Hyperlink" xfId="28645" builtinId="9" hidden="1"/>
    <cellStyle name="Followed Hyperlink" xfId="28643" builtinId="9" hidden="1"/>
    <cellStyle name="Followed Hyperlink" xfId="28641" builtinId="9" hidden="1"/>
    <cellStyle name="Followed Hyperlink" xfId="28639" builtinId="9" hidden="1"/>
    <cellStyle name="Followed Hyperlink" xfId="28637" builtinId="9" hidden="1"/>
    <cellStyle name="Followed Hyperlink" xfId="28635" builtinId="9" hidden="1"/>
    <cellStyle name="Followed Hyperlink" xfId="28633" builtinId="9" hidden="1"/>
    <cellStyle name="Followed Hyperlink" xfId="28631" builtinId="9" hidden="1"/>
    <cellStyle name="Followed Hyperlink" xfId="28629" builtinId="9" hidden="1"/>
    <cellStyle name="Followed Hyperlink" xfId="28627" builtinId="9" hidden="1"/>
    <cellStyle name="Followed Hyperlink" xfId="28625" builtinId="9" hidden="1"/>
    <cellStyle name="Followed Hyperlink" xfId="28623" builtinId="9" hidden="1"/>
    <cellStyle name="Followed Hyperlink" xfId="28616" builtinId="9" hidden="1"/>
    <cellStyle name="Followed Hyperlink" xfId="28614" builtinId="9" hidden="1"/>
    <cellStyle name="Followed Hyperlink" xfId="28612" builtinId="9" hidden="1"/>
    <cellStyle name="Followed Hyperlink" xfId="28610" builtinId="9" hidden="1"/>
    <cellStyle name="Followed Hyperlink" xfId="28608" builtinId="9" hidden="1"/>
    <cellStyle name="Followed Hyperlink" xfId="28606" builtinId="9" hidden="1"/>
    <cellStyle name="Followed Hyperlink" xfId="28604" builtinId="9" hidden="1"/>
    <cellStyle name="Followed Hyperlink" xfId="28602" builtinId="9" hidden="1"/>
    <cellStyle name="Followed Hyperlink" xfId="28600" builtinId="9" hidden="1"/>
    <cellStyle name="Followed Hyperlink" xfId="28598" builtinId="9" hidden="1"/>
    <cellStyle name="Followed Hyperlink" xfId="28596" builtinId="9" hidden="1"/>
    <cellStyle name="Followed Hyperlink" xfId="28594" builtinId="9" hidden="1"/>
    <cellStyle name="Followed Hyperlink" xfId="28592" builtinId="9" hidden="1"/>
    <cellStyle name="Followed Hyperlink" xfId="28590" builtinId="9" hidden="1"/>
    <cellStyle name="Followed Hyperlink" xfId="28588" builtinId="9" hidden="1"/>
    <cellStyle name="Followed Hyperlink" xfId="28586" builtinId="9" hidden="1"/>
    <cellStyle name="Followed Hyperlink" xfId="28584" builtinId="9" hidden="1"/>
    <cellStyle name="Followed Hyperlink" xfId="28582" builtinId="9" hidden="1"/>
    <cellStyle name="Followed Hyperlink" xfId="28580" builtinId="9" hidden="1"/>
    <cellStyle name="Followed Hyperlink" xfId="28578" builtinId="9" hidden="1"/>
    <cellStyle name="Followed Hyperlink" xfId="28576" builtinId="9" hidden="1"/>
    <cellStyle name="Followed Hyperlink" xfId="28574" builtinId="9" hidden="1"/>
    <cellStyle name="Followed Hyperlink" xfId="28572" builtinId="9" hidden="1"/>
    <cellStyle name="Followed Hyperlink" xfId="28570" builtinId="9" hidden="1"/>
    <cellStyle name="Followed Hyperlink" xfId="28568" builtinId="9" hidden="1"/>
    <cellStyle name="Followed Hyperlink" xfId="28566" builtinId="9" hidden="1"/>
    <cellStyle name="Followed Hyperlink" xfId="28564" builtinId="9" hidden="1"/>
    <cellStyle name="Followed Hyperlink" xfId="28563" builtinId="9" hidden="1"/>
    <cellStyle name="Followed Hyperlink" xfId="28561" builtinId="9" hidden="1"/>
    <cellStyle name="Followed Hyperlink" xfId="28559" builtinId="9" hidden="1"/>
    <cellStyle name="Followed Hyperlink" xfId="28557" builtinId="9" hidden="1"/>
    <cellStyle name="Followed Hyperlink" xfId="28555" builtinId="9" hidden="1"/>
    <cellStyle name="Followed Hyperlink" xfId="28553" builtinId="9" hidden="1"/>
    <cellStyle name="Followed Hyperlink" xfId="28551" builtinId="9" hidden="1"/>
    <cellStyle name="Followed Hyperlink" xfId="28549" builtinId="9" hidden="1"/>
    <cellStyle name="Followed Hyperlink" xfId="28547" builtinId="9" hidden="1"/>
    <cellStyle name="Followed Hyperlink" xfId="28545" builtinId="9" hidden="1"/>
    <cellStyle name="Followed Hyperlink" xfId="28543" builtinId="9" hidden="1"/>
    <cellStyle name="Followed Hyperlink" xfId="28541" builtinId="9" hidden="1"/>
    <cellStyle name="Followed Hyperlink" xfId="28539" builtinId="9" hidden="1"/>
    <cellStyle name="Followed Hyperlink" xfId="28537" builtinId="9" hidden="1"/>
    <cellStyle name="Followed Hyperlink" xfId="28535" builtinId="9" hidden="1"/>
    <cellStyle name="Followed Hyperlink" xfId="28533" builtinId="9" hidden="1"/>
    <cellStyle name="Followed Hyperlink" xfId="28531" builtinId="9" hidden="1"/>
    <cellStyle name="Followed Hyperlink" xfId="28529" builtinId="9" hidden="1"/>
    <cellStyle name="Followed Hyperlink" xfId="28527" builtinId="9" hidden="1"/>
    <cellStyle name="Followed Hyperlink" xfId="28525" builtinId="9" hidden="1"/>
    <cellStyle name="Followed Hyperlink" xfId="28523" builtinId="9" hidden="1"/>
    <cellStyle name="Followed Hyperlink" xfId="28521" builtinId="9" hidden="1"/>
    <cellStyle name="Followed Hyperlink" xfId="28519" builtinId="9" hidden="1"/>
    <cellStyle name="Followed Hyperlink" xfId="28517" builtinId="9" hidden="1"/>
    <cellStyle name="Followed Hyperlink" xfId="28515" builtinId="9" hidden="1"/>
    <cellStyle name="Followed Hyperlink" xfId="28513" builtinId="9" hidden="1"/>
    <cellStyle name="Followed Hyperlink" xfId="28511" builtinId="9" hidden="1"/>
    <cellStyle name="Followed Hyperlink" xfId="28509" builtinId="9" hidden="1"/>
    <cellStyle name="Followed Hyperlink" xfId="28507" builtinId="9" hidden="1"/>
    <cellStyle name="Followed Hyperlink" xfId="28505" builtinId="9" hidden="1"/>
    <cellStyle name="Followed Hyperlink" xfId="28503" builtinId="9" hidden="1"/>
    <cellStyle name="Followed Hyperlink" xfId="28501" builtinId="9" hidden="1"/>
    <cellStyle name="Followed Hyperlink" xfId="28499" builtinId="9" hidden="1"/>
    <cellStyle name="Followed Hyperlink" xfId="28497" builtinId="9" hidden="1"/>
    <cellStyle name="Followed Hyperlink" xfId="28495" builtinId="9" hidden="1"/>
    <cellStyle name="Followed Hyperlink" xfId="28493" builtinId="9" hidden="1"/>
    <cellStyle name="Followed Hyperlink" xfId="28491" builtinId="9" hidden="1"/>
    <cellStyle name="Followed Hyperlink" xfId="28489" builtinId="9" hidden="1"/>
    <cellStyle name="Followed Hyperlink" xfId="28487" builtinId="9" hidden="1"/>
    <cellStyle name="Followed Hyperlink" xfId="28485" builtinId="9" hidden="1"/>
    <cellStyle name="Followed Hyperlink" xfId="28483" builtinId="9" hidden="1"/>
    <cellStyle name="Followed Hyperlink" xfId="28481" builtinId="9" hidden="1"/>
    <cellStyle name="Followed Hyperlink" xfId="28479" builtinId="9" hidden="1"/>
    <cellStyle name="Followed Hyperlink" xfId="28477" builtinId="9" hidden="1"/>
    <cellStyle name="Followed Hyperlink" xfId="28475" builtinId="9" hidden="1"/>
    <cellStyle name="Followed Hyperlink" xfId="28473" builtinId="9" hidden="1"/>
    <cellStyle name="Followed Hyperlink" xfId="28471" builtinId="9" hidden="1"/>
    <cellStyle name="Followed Hyperlink" xfId="28469" builtinId="9" hidden="1"/>
    <cellStyle name="Followed Hyperlink" xfId="28467" builtinId="9" hidden="1"/>
    <cellStyle name="Followed Hyperlink" xfId="28465" builtinId="9" hidden="1"/>
    <cellStyle name="Followed Hyperlink" xfId="28463" builtinId="9" hidden="1"/>
    <cellStyle name="Followed Hyperlink" xfId="28461" builtinId="9" hidden="1"/>
    <cellStyle name="Followed Hyperlink" xfId="28460" builtinId="9" hidden="1"/>
    <cellStyle name="Followed Hyperlink" xfId="28458" builtinId="9" hidden="1"/>
    <cellStyle name="Followed Hyperlink" xfId="28456" builtinId="9" hidden="1"/>
    <cellStyle name="Followed Hyperlink" xfId="28454" builtinId="9" hidden="1"/>
    <cellStyle name="Followed Hyperlink" xfId="28452" builtinId="9" hidden="1"/>
    <cellStyle name="Followed Hyperlink" xfId="28450" builtinId="9" hidden="1"/>
    <cellStyle name="Followed Hyperlink" xfId="28448" builtinId="9" hidden="1"/>
    <cellStyle name="Followed Hyperlink" xfId="28446" builtinId="9" hidden="1"/>
    <cellStyle name="Followed Hyperlink" xfId="28444" builtinId="9" hidden="1"/>
    <cellStyle name="Followed Hyperlink" xfId="28442" builtinId="9" hidden="1"/>
    <cellStyle name="Followed Hyperlink" xfId="28440" builtinId="9" hidden="1"/>
    <cellStyle name="Followed Hyperlink" xfId="28438" builtinId="9" hidden="1"/>
    <cellStyle name="Followed Hyperlink" xfId="28436" builtinId="9" hidden="1"/>
    <cellStyle name="Followed Hyperlink" xfId="28434" builtinId="9" hidden="1"/>
    <cellStyle name="Followed Hyperlink" xfId="24683" builtinId="9" hidden="1"/>
    <cellStyle name="Followed Hyperlink" xfId="27431" builtinId="9" hidden="1"/>
    <cellStyle name="Followed Hyperlink" xfId="27118" builtinId="9" hidden="1"/>
    <cellStyle name="Followed Hyperlink" xfId="27153" builtinId="9" hidden="1"/>
    <cellStyle name="Followed Hyperlink" xfId="26938" builtinId="9" hidden="1"/>
    <cellStyle name="Followed Hyperlink" xfId="27232" builtinId="9" hidden="1"/>
    <cellStyle name="Followed Hyperlink" xfId="27361" builtinId="9" hidden="1"/>
    <cellStyle name="Followed Hyperlink" xfId="27458" builtinId="9" hidden="1"/>
    <cellStyle name="Followed Hyperlink" xfId="27468" builtinId="9" hidden="1"/>
    <cellStyle name="Followed Hyperlink" xfId="27399" builtinId="9" hidden="1"/>
    <cellStyle name="Followed Hyperlink" xfId="25520" builtinId="9" hidden="1"/>
    <cellStyle name="Followed Hyperlink" xfId="27155" builtinId="9" hidden="1"/>
    <cellStyle name="Followed Hyperlink" xfId="27124" builtinId="9" hidden="1"/>
    <cellStyle name="Followed Hyperlink" xfId="27158" builtinId="9" hidden="1"/>
    <cellStyle name="Followed Hyperlink" xfId="27364" builtinId="9" hidden="1"/>
    <cellStyle name="Followed Hyperlink" xfId="26940" builtinId="9" hidden="1"/>
    <cellStyle name="Followed Hyperlink" xfId="25202" builtinId="9" hidden="1"/>
    <cellStyle name="Followed Hyperlink" xfId="24694" builtinId="9" hidden="1"/>
    <cellStyle name="Followed Hyperlink" xfId="27362" builtinId="9" hidden="1"/>
    <cellStyle name="Followed Hyperlink" xfId="24777" builtinId="9" hidden="1"/>
    <cellStyle name="Followed Hyperlink" xfId="27461" builtinId="9" hidden="1"/>
    <cellStyle name="Followed Hyperlink" xfId="27466" builtinId="9" hidden="1"/>
    <cellStyle name="Followed Hyperlink" xfId="27233" builtinId="9" hidden="1"/>
    <cellStyle name="Followed Hyperlink" xfId="27120" builtinId="9" hidden="1"/>
    <cellStyle name="Followed Hyperlink" xfId="27460" builtinId="9" hidden="1"/>
    <cellStyle name="Followed Hyperlink" xfId="28433" builtinId="9" hidden="1"/>
    <cellStyle name="Followed Hyperlink" xfId="28437" builtinId="9" hidden="1"/>
    <cellStyle name="Followed Hyperlink" xfId="28441" builtinId="9" hidden="1"/>
    <cellStyle name="Followed Hyperlink" xfId="28445" builtinId="9" hidden="1"/>
    <cellStyle name="Followed Hyperlink" xfId="28449" builtinId="9" hidden="1"/>
    <cellStyle name="Followed Hyperlink" xfId="28453" builtinId="9" hidden="1"/>
    <cellStyle name="Followed Hyperlink" xfId="28457" builtinId="9" hidden="1"/>
    <cellStyle name="Followed Hyperlink" xfId="28193" builtinId="9" hidden="1"/>
    <cellStyle name="Followed Hyperlink" xfId="28464" builtinId="9" hidden="1"/>
    <cellStyle name="Followed Hyperlink" xfId="28468" builtinId="9" hidden="1"/>
    <cellStyle name="Followed Hyperlink" xfId="28472" builtinId="9" hidden="1"/>
    <cellStyle name="Followed Hyperlink" xfId="28476" builtinId="9" hidden="1"/>
    <cellStyle name="Followed Hyperlink" xfId="28480" builtinId="9" hidden="1"/>
    <cellStyle name="Followed Hyperlink" xfId="28484" builtinId="9" hidden="1"/>
    <cellStyle name="Followed Hyperlink" xfId="28488" builtinId="9" hidden="1"/>
    <cellStyle name="Followed Hyperlink" xfId="28492" builtinId="9" hidden="1"/>
    <cellStyle name="Followed Hyperlink" xfId="28496" builtinId="9" hidden="1"/>
    <cellStyle name="Followed Hyperlink" xfId="28500" builtinId="9" hidden="1"/>
    <cellStyle name="Followed Hyperlink" xfId="28504" builtinId="9" hidden="1"/>
    <cellStyle name="Followed Hyperlink" xfId="28508" builtinId="9" hidden="1"/>
    <cellStyle name="Followed Hyperlink" xfId="28512" builtinId="9" hidden="1"/>
    <cellStyle name="Followed Hyperlink" xfId="28516" builtinId="9" hidden="1"/>
    <cellStyle name="Followed Hyperlink" xfId="28520" builtinId="9" hidden="1"/>
    <cellStyle name="Followed Hyperlink" xfId="28524" builtinId="9" hidden="1"/>
    <cellStyle name="Followed Hyperlink" xfId="28528" builtinId="9" hidden="1"/>
    <cellStyle name="Followed Hyperlink" xfId="28532" builtinId="9" hidden="1"/>
    <cellStyle name="Followed Hyperlink" xfId="28536" builtinId="9" hidden="1"/>
    <cellStyle name="Followed Hyperlink" xfId="28540" builtinId="9" hidden="1"/>
    <cellStyle name="Followed Hyperlink" xfId="28544" builtinId="9" hidden="1"/>
    <cellStyle name="Followed Hyperlink" xfId="28548" builtinId="9" hidden="1"/>
    <cellStyle name="Followed Hyperlink" xfId="28552" builtinId="9" hidden="1"/>
    <cellStyle name="Followed Hyperlink" xfId="28556" builtinId="9" hidden="1"/>
    <cellStyle name="Followed Hyperlink" xfId="28560" builtinId="9" hidden="1"/>
    <cellStyle name="Followed Hyperlink" xfId="27292" builtinId="9" hidden="1"/>
    <cellStyle name="Followed Hyperlink" xfId="28567" builtinId="9" hidden="1"/>
    <cellStyle name="Followed Hyperlink" xfId="28571" builtinId="9" hidden="1"/>
    <cellStyle name="Followed Hyperlink" xfId="28575" builtinId="9" hidden="1"/>
    <cellStyle name="Followed Hyperlink" xfId="28579" builtinId="9" hidden="1"/>
    <cellStyle name="Followed Hyperlink" xfId="28583" builtinId="9" hidden="1"/>
    <cellStyle name="Followed Hyperlink" xfId="28587" builtinId="9" hidden="1"/>
    <cellStyle name="Followed Hyperlink" xfId="28591" builtinId="9" hidden="1"/>
    <cellStyle name="Followed Hyperlink" xfId="28595" builtinId="9" hidden="1"/>
    <cellStyle name="Followed Hyperlink" xfId="28599" builtinId="9" hidden="1"/>
    <cellStyle name="Followed Hyperlink" xfId="28603" builtinId="9" hidden="1"/>
    <cellStyle name="Followed Hyperlink" xfId="28607" builtinId="9" hidden="1"/>
    <cellStyle name="Followed Hyperlink" xfId="28611" builtinId="9" hidden="1"/>
    <cellStyle name="Followed Hyperlink" xfId="28615" builtinId="9" hidden="1"/>
    <cellStyle name="Followed Hyperlink" xfId="26405" builtinId="9" hidden="1"/>
    <cellStyle name="Followed Hyperlink" xfId="28397" builtinId="9" hidden="1"/>
    <cellStyle name="Followed Hyperlink" xfId="27159" builtinId="9" hidden="1"/>
    <cellStyle name="Followed Hyperlink" xfId="27471" builtinId="9" hidden="1"/>
    <cellStyle name="Followed Hyperlink" xfId="27217" builtinId="9" hidden="1"/>
    <cellStyle name="Followed Hyperlink" xfId="27331" builtinId="9" hidden="1"/>
    <cellStyle name="Followed Hyperlink" xfId="24690" builtinId="9" hidden="1"/>
    <cellStyle name="Followed Hyperlink" xfId="26833" builtinId="9" hidden="1"/>
    <cellStyle name="Followed Hyperlink" xfId="25276" builtinId="9" hidden="1"/>
    <cellStyle name="Followed Hyperlink" xfId="27251" builtinId="9" hidden="1"/>
    <cellStyle name="Followed Hyperlink" xfId="27135" builtinId="9" hidden="1"/>
    <cellStyle name="Followed Hyperlink" xfId="27334" builtinId="9" hidden="1"/>
    <cellStyle name="Followed Hyperlink" xfId="27377" builtinId="9" hidden="1"/>
    <cellStyle name="Followed Hyperlink" xfId="27434" builtinId="9" hidden="1"/>
    <cellStyle name="Followed Hyperlink" xfId="27212" builtinId="9" hidden="1"/>
    <cellStyle name="Followed Hyperlink" xfId="27235" builtinId="9" hidden="1"/>
    <cellStyle name="Followed Hyperlink" xfId="27317" builtinId="9" hidden="1"/>
    <cellStyle name="Followed Hyperlink" xfId="27420" builtinId="9" hidden="1"/>
    <cellStyle name="Followed Hyperlink" xfId="27416" builtinId="9" hidden="1"/>
    <cellStyle name="Followed Hyperlink" xfId="27403" builtinId="9" hidden="1"/>
    <cellStyle name="Followed Hyperlink" xfId="26127" builtinId="9" hidden="1"/>
    <cellStyle name="Followed Hyperlink" xfId="27137" builtinId="9" hidden="1"/>
    <cellStyle name="Followed Hyperlink" xfId="27259" builtinId="9" hidden="1"/>
    <cellStyle name="Followed Hyperlink" xfId="24844" builtinId="9" hidden="1"/>
    <cellStyle name="Followed Hyperlink" xfId="27166" builtinId="9" hidden="1"/>
    <cellStyle name="Followed Hyperlink" xfId="27168" builtinId="9" hidden="1"/>
    <cellStyle name="Followed Hyperlink" xfId="26939" builtinId="9" hidden="1"/>
    <cellStyle name="Followed Hyperlink" xfId="27238" builtinId="9" hidden="1"/>
    <cellStyle name="Followed Hyperlink" xfId="26312" builtinId="9" hidden="1"/>
    <cellStyle name="Followed Hyperlink" xfId="27470" builtinId="9" hidden="1"/>
    <cellStyle name="Followed Hyperlink" xfId="27457" builtinId="9" hidden="1"/>
    <cellStyle name="Followed Hyperlink" xfId="27250" builtinId="9" hidden="1"/>
    <cellStyle name="Followed Hyperlink" xfId="25277" builtinId="9" hidden="1"/>
    <cellStyle name="Followed Hyperlink" xfId="27171" builtinId="9" hidden="1"/>
    <cellStyle name="Followed Hyperlink" xfId="27172" builtinId="9" hidden="1"/>
    <cellStyle name="Followed Hyperlink" xfId="27146" builtinId="9" hidden="1"/>
    <cellStyle name="Followed Hyperlink" xfId="27148" builtinId="9" hidden="1"/>
    <cellStyle name="Followed Hyperlink" xfId="27263" builtinId="9" hidden="1"/>
    <cellStyle name="Followed Hyperlink" xfId="27406" builtinId="9" hidden="1"/>
    <cellStyle name="Followed Hyperlink" xfId="27213" builtinId="9" hidden="1"/>
    <cellStyle name="Followed Hyperlink" xfId="27293" builtinId="9" hidden="1"/>
    <cellStyle name="Followed Hyperlink" xfId="28192" builtinId="9" hidden="1"/>
    <cellStyle name="Followed Hyperlink" xfId="26318" builtinId="9" hidden="1"/>
    <cellStyle name="Followed Hyperlink" xfId="28170" builtinId="9" hidden="1"/>
    <cellStyle name="Followed Hyperlink" xfId="26317" builtinId="9" hidden="1"/>
    <cellStyle name="Followed Hyperlink" xfId="28169" builtinId="9" hidden="1"/>
    <cellStyle name="Followed Hyperlink" xfId="26245" builtinId="9" hidden="1"/>
    <cellStyle name="Followed Hyperlink" xfId="28267" builtinId="9" hidden="1"/>
    <cellStyle name="Followed Hyperlink" xfId="28168" builtinId="9" hidden="1"/>
    <cellStyle name="Followed Hyperlink" xfId="28167" builtinId="9" hidden="1"/>
    <cellStyle name="Followed Hyperlink" xfId="27295" builtinId="9" hidden="1"/>
    <cellStyle name="Followed Hyperlink" xfId="28165" builtinId="9" hidden="1"/>
    <cellStyle name="Followed Hyperlink" xfId="28305" builtinId="9" hidden="1"/>
    <cellStyle name="Followed Hyperlink" xfId="27195" builtinId="9" hidden="1"/>
    <cellStyle name="Followed Hyperlink" xfId="28162" builtinId="9" hidden="1"/>
    <cellStyle name="Followed Hyperlink" xfId="28390" builtinId="9" hidden="1"/>
    <cellStyle name="Followed Hyperlink" xfId="28386" builtinId="9" hidden="1"/>
    <cellStyle name="Followed Hyperlink" xfId="28349" builtinId="9" hidden="1"/>
    <cellStyle name="Followed Hyperlink" xfId="28348" builtinId="9" hidden="1"/>
    <cellStyle name="Followed Hyperlink" xfId="28347" builtinId="9" hidden="1"/>
    <cellStyle name="Followed Hyperlink" xfId="28310" builtinId="9" hidden="1"/>
    <cellStyle name="Followed Hyperlink" xfId="28375" builtinId="9" hidden="1"/>
    <cellStyle name="Followed Hyperlink" xfId="28368" builtinId="9" hidden="1"/>
    <cellStyle name="Followed Hyperlink" xfId="28340" builtinId="9" hidden="1"/>
    <cellStyle name="Followed Hyperlink" xfId="28307" builtinId="9" hidden="1"/>
    <cellStyle name="Followed Hyperlink" xfId="28239" builtinId="9" hidden="1"/>
    <cellStyle name="Followed Hyperlink" xfId="28378" builtinId="9" hidden="1"/>
    <cellStyle name="Followed Hyperlink" xfId="28370" builtinId="9" hidden="1"/>
    <cellStyle name="Followed Hyperlink" xfId="28342" builtinId="9" hidden="1"/>
    <cellStyle name="Followed Hyperlink" xfId="28309" builtinId="9" hidden="1"/>
    <cellStyle name="Followed Hyperlink" xfId="28263" builtinId="9" hidden="1"/>
    <cellStyle name="Followed Hyperlink" xfId="28337" builtinId="9" hidden="1"/>
    <cellStyle name="Followed Hyperlink" xfId="28153" builtinId="9" hidden="1"/>
    <cellStyle name="Followed Hyperlink" xfId="28152" builtinId="9" hidden="1"/>
    <cellStyle name="Followed Hyperlink" xfId="28151" builtinId="9" hidden="1"/>
    <cellStyle name="Followed Hyperlink" xfId="28150" builtinId="9" hidden="1"/>
    <cellStyle name="Followed Hyperlink" xfId="28149" builtinId="9" hidden="1"/>
    <cellStyle name="Followed Hyperlink" xfId="28148" builtinId="9" hidden="1"/>
    <cellStyle name="Followed Hyperlink" xfId="28147" builtinId="9" hidden="1"/>
    <cellStyle name="Followed Hyperlink" xfId="28146" builtinId="9" hidden="1"/>
    <cellStyle name="Followed Hyperlink" xfId="26398" builtinId="9" hidden="1"/>
    <cellStyle name="Followed Hyperlink" xfId="28262" builtinId="9" hidden="1"/>
    <cellStyle name="Followed Hyperlink" xfId="27306" builtinId="9" hidden="1"/>
    <cellStyle name="Followed Hyperlink" xfId="28261" builtinId="9" hidden="1"/>
    <cellStyle name="Followed Hyperlink" xfId="28145" builtinId="9" hidden="1"/>
    <cellStyle name="Followed Hyperlink" xfId="27300" builtinId="9" hidden="1"/>
    <cellStyle name="Followed Hyperlink" xfId="27190" builtinId="9" hidden="1"/>
    <cellStyle name="Followed Hyperlink" xfId="28216" builtinId="9" hidden="1"/>
    <cellStyle name="Followed Hyperlink" xfId="28144" builtinId="9" hidden="1"/>
    <cellStyle name="Followed Hyperlink" xfId="24719" builtinId="9" hidden="1"/>
    <cellStyle name="Followed Hyperlink" xfId="28230" builtinId="9" hidden="1"/>
    <cellStyle name="Followed Hyperlink" xfId="28229" builtinId="9" hidden="1"/>
    <cellStyle name="Followed Hyperlink" xfId="28260" builtinId="9" hidden="1"/>
    <cellStyle name="Followed Hyperlink" xfId="28207" builtinId="9" hidden="1"/>
    <cellStyle name="Followed Hyperlink" xfId="26219" builtinId="9" hidden="1"/>
    <cellStyle name="Followed Hyperlink" xfId="28143" builtinId="9" hidden="1"/>
    <cellStyle name="Followed Hyperlink" xfId="28061" builtinId="9" hidden="1"/>
    <cellStyle name="Followed Hyperlink" xfId="27223" builtinId="9" hidden="1"/>
    <cellStyle name="Followed Hyperlink" xfId="28060" builtinId="9" hidden="1"/>
    <cellStyle name="Followed Hyperlink" xfId="27809" builtinId="9" hidden="1"/>
    <cellStyle name="Followed Hyperlink" xfId="27150" builtinId="9" hidden="1"/>
    <cellStyle name="Followed Hyperlink" xfId="28243" builtinId="9" hidden="1"/>
    <cellStyle name="Followed Hyperlink" xfId="28059" builtinId="9" hidden="1"/>
    <cellStyle name="Followed Hyperlink" xfId="26124" builtinId="9" hidden="1"/>
    <cellStyle name="Followed Hyperlink" xfId="28058" builtinId="9" hidden="1"/>
    <cellStyle name="Followed Hyperlink" xfId="25240" builtinId="9" hidden="1"/>
    <cellStyle name="Followed Hyperlink" xfId="27339" builtinId="9" hidden="1"/>
    <cellStyle name="Followed Hyperlink" xfId="28242" builtinId="9" hidden="1"/>
    <cellStyle name="Followed Hyperlink" xfId="27908" builtinId="9" hidden="1"/>
    <cellStyle name="Followed Hyperlink" xfId="27321" builtinId="9" hidden="1"/>
    <cellStyle name="Followed Hyperlink" xfId="27284" builtinId="9" hidden="1"/>
    <cellStyle name="Followed Hyperlink" xfId="26320" builtinId="9" hidden="1"/>
    <cellStyle name="Followed Hyperlink" xfId="27265" builtinId="9" hidden="1"/>
    <cellStyle name="Followed Hyperlink" xfId="28407" builtinId="9" hidden="1"/>
    <cellStyle name="Followed Hyperlink" xfId="28241" builtinId="9" hidden="1"/>
    <cellStyle name="Followed Hyperlink" xfId="28284" builtinId="9" hidden="1"/>
    <cellStyle name="Followed Hyperlink" xfId="28142" builtinId="9" hidden="1"/>
    <cellStyle name="Followed Hyperlink" xfId="27849" builtinId="9" hidden="1"/>
    <cellStyle name="Followed Hyperlink" xfId="27437" builtinId="9" hidden="1"/>
    <cellStyle name="Followed Hyperlink" xfId="27904" builtinId="9" hidden="1"/>
    <cellStyle name="Followed Hyperlink" xfId="25312" builtinId="9" hidden="1"/>
    <cellStyle name="Followed Hyperlink" xfId="27405" builtinId="9" hidden="1"/>
    <cellStyle name="Followed Hyperlink" xfId="28240" builtinId="9" hidden="1"/>
    <cellStyle name="Followed Hyperlink" xfId="27850" builtinId="9" hidden="1"/>
    <cellStyle name="Followed Hyperlink" xfId="27452" builtinId="9" hidden="1"/>
    <cellStyle name="Followed Hyperlink" xfId="27851" builtinId="9" hidden="1"/>
    <cellStyle name="Followed Hyperlink" xfId="27110" builtinId="9" hidden="1"/>
    <cellStyle name="Followed Hyperlink" xfId="27852" builtinId="9" hidden="1"/>
    <cellStyle name="Followed Hyperlink" xfId="27218" builtinId="9" hidden="1"/>
    <cellStyle name="Followed Hyperlink" xfId="26298" builtinId="9" hidden="1"/>
    <cellStyle name="Followed Hyperlink" xfId="27665" builtinId="9" hidden="1"/>
    <cellStyle name="Followed Hyperlink" xfId="27355" builtinId="9" hidden="1"/>
    <cellStyle name="Followed Hyperlink" xfId="28767" builtinId="9" hidden="1"/>
    <cellStyle name="Followed Hyperlink" xfId="28768" builtinId="9" hidden="1"/>
    <cellStyle name="Followed Hyperlink" xfId="28769" builtinId="9" hidden="1"/>
    <cellStyle name="Followed Hyperlink" xfId="28770" builtinId="9" hidden="1"/>
    <cellStyle name="Followed Hyperlink" xfId="28771" builtinId="9" hidden="1"/>
    <cellStyle name="Followed Hyperlink" xfId="28772" builtinId="9" hidden="1"/>
    <cellStyle name="Followed Hyperlink" xfId="28773" builtinId="9" hidden="1"/>
    <cellStyle name="Followed Hyperlink" xfId="28774" builtinId="9" hidden="1"/>
    <cellStyle name="Followed Hyperlink" xfId="28775" builtinId="9" hidden="1"/>
    <cellStyle name="Followed Hyperlink" xfId="28776" builtinId="9" hidden="1"/>
    <cellStyle name="Followed Hyperlink" xfId="28777" builtinId="9" hidden="1"/>
    <cellStyle name="Followed Hyperlink" xfId="28778" builtinId="9" hidden="1"/>
    <cellStyle name="Followed Hyperlink" xfId="28779" builtinId="9" hidden="1"/>
    <cellStyle name="Followed Hyperlink" xfId="28780" builtinId="9" hidden="1"/>
    <cellStyle name="Followed Hyperlink" xfId="28781" builtinId="9" hidden="1"/>
    <cellStyle name="Followed Hyperlink" xfId="28782" builtinId="9" hidden="1"/>
    <cellStyle name="Followed Hyperlink" xfId="28783" builtinId="9" hidden="1"/>
    <cellStyle name="Followed Hyperlink" xfId="28784" builtinId="9" hidden="1"/>
    <cellStyle name="Followed Hyperlink" xfId="28785" builtinId="9" hidden="1"/>
    <cellStyle name="Followed Hyperlink" xfId="28786" builtinId="9" hidden="1"/>
    <cellStyle name="Followed Hyperlink" xfId="28787" builtinId="9" hidden="1"/>
    <cellStyle name="Followed Hyperlink" xfId="28788" builtinId="9" hidden="1"/>
    <cellStyle name="Followed Hyperlink" xfId="28789" builtinId="9" hidden="1"/>
    <cellStyle name="Followed Hyperlink" xfId="28790" builtinId="9" hidden="1"/>
    <cellStyle name="Followed Hyperlink" xfId="28791" builtinId="9" hidden="1"/>
    <cellStyle name="Followed Hyperlink" xfId="28792" builtinId="9" hidden="1"/>
    <cellStyle name="Followed Hyperlink" xfId="28793" builtinId="9" hidden="1"/>
    <cellStyle name="Followed Hyperlink" xfId="28794" builtinId="9" hidden="1"/>
    <cellStyle name="Followed Hyperlink" xfId="28795" builtinId="9" hidden="1"/>
    <cellStyle name="Followed Hyperlink" xfId="28796" builtinId="9" hidden="1"/>
    <cellStyle name="Followed Hyperlink" xfId="28797" builtinId="9" hidden="1"/>
    <cellStyle name="Followed Hyperlink" xfId="28798" builtinId="9" hidden="1"/>
    <cellStyle name="Followed Hyperlink" xfId="28799" builtinId="9" hidden="1"/>
    <cellStyle name="Followed Hyperlink" xfId="28800" builtinId="9" hidden="1"/>
    <cellStyle name="Followed Hyperlink" xfId="28801" builtinId="9" hidden="1"/>
    <cellStyle name="Followed Hyperlink" xfId="28802" builtinId="9" hidden="1"/>
    <cellStyle name="Followed Hyperlink" xfId="28803" builtinId="9" hidden="1"/>
    <cellStyle name="Followed Hyperlink" xfId="28804" builtinId="9" hidden="1"/>
    <cellStyle name="Followed Hyperlink" xfId="28805" builtinId="9" hidden="1"/>
    <cellStyle name="Followed Hyperlink" xfId="28811" builtinId="9" hidden="1"/>
    <cellStyle name="Followed Hyperlink" xfId="28812" builtinId="9" hidden="1"/>
    <cellStyle name="Followed Hyperlink" xfId="28813" builtinId="9" hidden="1"/>
    <cellStyle name="Followed Hyperlink" xfId="28814" builtinId="9" hidden="1"/>
    <cellStyle name="Followed Hyperlink" xfId="28815" builtinId="9" hidden="1"/>
    <cellStyle name="Followed Hyperlink" xfId="28816" builtinId="9" hidden="1"/>
    <cellStyle name="Followed Hyperlink" xfId="28817" builtinId="9" hidden="1"/>
    <cellStyle name="Followed Hyperlink" xfId="28818" builtinId="9" hidden="1"/>
    <cellStyle name="Followed Hyperlink" xfId="28819" builtinId="9" hidden="1"/>
    <cellStyle name="Followed Hyperlink" xfId="28820" builtinId="9" hidden="1"/>
    <cellStyle name="Followed Hyperlink" xfId="28821" builtinId="9" hidden="1"/>
    <cellStyle name="Followed Hyperlink" xfId="28822" builtinId="9" hidden="1"/>
    <cellStyle name="Followed Hyperlink" xfId="28823" builtinId="9" hidden="1"/>
    <cellStyle name="Followed Hyperlink" xfId="28824" builtinId="9" hidden="1"/>
    <cellStyle name="Followed Hyperlink" xfId="28825" builtinId="9" hidden="1"/>
    <cellStyle name="Followed Hyperlink" xfId="28826" builtinId="9" hidden="1"/>
    <cellStyle name="Followed Hyperlink" xfId="28827" builtinId="9" hidden="1"/>
    <cellStyle name="Followed Hyperlink" xfId="28828" builtinId="9" hidden="1"/>
    <cellStyle name="Followed Hyperlink" xfId="28829" builtinId="9" hidden="1"/>
    <cellStyle name="Followed Hyperlink" xfId="28830" builtinId="9" hidden="1"/>
    <cellStyle name="Followed Hyperlink" xfId="28831" builtinId="9" hidden="1"/>
    <cellStyle name="Followed Hyperlink" xfId="28832" builtinId="9" hidden="1"/>
    <cellStyle name="Followed Hyperlink" xfId="28833" builtinId="9" hidden="1"/>
    <cellStyle name="Followed Hyperlink" xfId="28834" builtinId="9" hidden="1"/>
    <cellStyle name="Followed Hyperlink" xfId="28835" builtinId="9" hidden="1"/>
    <cellStyle name="Followed Hyperlink" xfId="28836" builtinId="9" hidden="1"/>
    <cellStyle name="Followed Hyperlink" xfId="28837" builtinId="9" hidden="1"/>
    <cellStyle name="Followed Hyperlink" xfId="28838" builtinId="9" hidden="1"/>
    <cellStyle name="Followed Hyperlink" xfId="28839" builtinId="9" hidden="1"/>
    <cellStyle name="Followed Hyperlink" xfId="28840" builtinId="9" hidden="1"/>
    <cellStyle name="Followed Hyperlink" xfId="28841" builtinId="9" hidden="1"/>
    <cellStyle name="Followed Hyperlink" xfId="28842" builtinId="9" hidden="1"/>
    <cellStyle name="Followed Hyperlink" xfId="28843" builtinId="9" hidden="1"/>
    <cellStyle name="Followed Hyperlink" xfId="28844" builtinId="9" hidden="1"/>
    <cellStyle name="Followed Hyperlink" xfId="28845" builtinId="9" hidden="1"/>
    <cellStyle name="Followed Hyperlink" xfId="28846" builtinId="9" hidden="1"/>
    <cellStyle name="Followed Hyperlink" xfId="28847" builtinId="9" hidden="1"/>
    <cellStyle name="Followed Hyperlink" xfId="28848" builtinId="9" hidden="1"/>
    <cellStyle name="Followed Hyperlink" xfId="28849" builtinId="9" hidden="1"/>
    <cellStyle name="Followed Hyperlink" xfId="28850" builtinId="9" hidden="1"/>
    <cellStyle name="Followed Hyperlink" xfId="28851" builtinId="9" hidden="1"/>
    <cellStyle name="Followed Hyperlink" xfId="28852" builtinId="9" hidden="1"/>
    <cellStyle name="Followed Hyperlink" xfId="28853" builtinId="9" hidden="1"/>
    <cellStyle name="Followed Hyperlink" xfId="28854" builtinId="9" hidden="1"/>
    <cellStyle name="Followed Hyperlink" xfId="28855" builtinId="9" hidden="1"/>
    <cellStyle name="Followed Hyperlink" xfId="28856" builtinId="9" hidden="1"/>
    <cellStyle name="Followed Hyperlink" xfId="28857" builtinId="9" hidden="1"/>
    <cellStyle name="Followed Hyperlink" xfId="28858" builtinId="9" hidden="1"/>
    <cellStyle name="Followed Hyperlink" xfId="28859" builtinId="9" hidden="1"/>
    <cellStyle name="Followed Hyperlink" xfId="28860" builtinId="9" hidden="1"/>
    <cellStyle name="Followed Hyperlink" xfId="28867" builtinId="9" hidden="1"/>
    <cellStyle name="Followed Hyperlink" xfId="28868" builtinId="9" hidden="1"/>
    <cellStyle name="Followed Hyperlink" xfId="28869" builtinId="9" hidden="1"/>
    <cellStyle name="Followed Hyperlink" xfId="28870" builtinId="9" hidden="1"/>
    <cellStyle name="Followed Hyperlink" xfId="28871" builtinId="9" hidden="1"/>
    <cellStyle name="Followed Hyperlink" xfId="28872" builtinId="9" hidden="1"/>
    <cellStyle name="Followed Hyperlink" xfId="28873" builtinId="9" hidden="1"/>
    <cellStyle name="Followed Hyperlink" xfId="28874" builtinId="9" hidden="1"/>
    <cellStyle name="Followed Hyperlink" xfId="28875" builtinId="9" hidden="1"/>
    <cellStyle name="Followed Hyperlink" xfId="28876" builtinId="9" hidden="1"/>
    <cellStyle name="Followed Hyperlink" xfId="28877" builtinId="9" hidden="1"/>
    <cellStyle name="Followed Hyperlink" xfId="28878" builtinId="9" hidden="1"/>
    <cellStyle name="Followed Hyperlink" xfId="28879" builtinId="9" hidden="1"/>
    <cellStyle name="Followed Hyperlink" xfId="28880" builtinId="9" hidden="1"/>
    <cellStyle name="Followed Hyperlink" xfId="28881" builtinId="9" hidden="1"/>
    <cellStyle name="Followed Hyperlink" xfId="28882" builtinId="9" hidden="1"/>
    <cellStyle name="Followed Hyperlink" xfId="28883" builtinId="9" hidden="1"/>
    <cellStyle name="Followed Hyperlink" xfId="28884" builtinId="9" hidden="1"/>
    <cellStyle name="Followed Hyperlink" xfId="28885" builtinId="9" hidden="1"/>
    <cellStyle name="Followed Hyperlink" xfId="28886" builtinId="9" hidden="1"/>
    <cellStyle name="Followed Hyperlink" xfId="28887" builtinId="9" hidden="1"/>
    <cellStyle name="Followed Hyperlink" xfId="28888" builtinId="9" hidden="1"/>
    <cellStyle name="Followed Hyperlink" xfId="28889" builtinId="9" hidden="1"/>
    <cellStyle name="Followed Hyperlink" xfId="28890" builtinId="9" hidden="1"/>
    <cellStyle name="Followed Hyperlink" xfId="28891" builtinId="9" hidden="1"/>
    <cellStyle name="Followed Hyperlink" xfId="28892" builtinId="9" hidden="1"/>
    <cellStyle name="Followed Hyperlink" xfId="28893" builtinId="9" hidden="1"/>
    <cellStyle name="Followed Hyperlink" xfId="28894" builtinId="9" hidden="1"/>
    <cellStyle name="Followed Hyperlink" xfId="28895" builtinId="9" hidden="1"/>
    <cellStyle name="Followed Hyperlink" xfId="28896" builtinId="9" hidden="1"/>
    <cellStyle name="Followed Hyperlink" xfId="28897" builtinId="9" hidden="1"/>
    <cellStyle name="Followed Hyperlink" xfId="28898" builtinId="9" hidden="1"/>
    <cellStyle name="Followed Hyperlink" xfId="28899" builtinId="9" hidden="1"/>
    <cellStyle name="Followed Hyperlink" xfId="28900" builtinId="9" hidden="1"/>
    <cellStyle name="Followed Hyperlink" xfId="28901" builtinId="9" hidden="1"/>
    <cellStyle name="Followed Hyperlink" xfId="28902" builtinId="9" hidden="1"/>
    <cellStyle name="Followed Hyperlink" xfId="28903" builtinId="9" hidden="1"/>
    <cellStyle name="Followed Hyperlink" xfId="28904" builtinId="9" hidden="1"/>
    <cellStyle name="Followed Hyperlink" xfId="28905" builtinId="9" hidden="1"/>
    <cellStyle name="Followed Hyperlink" xfId="28906" builtinId="9" hidden="1"/>
    <cellStyle name="Followed Hyperlink" xfId="28907" builtinId="9" hidden="1"/>
    <cellStyle name="Followed Hyperlink" xfId="28908" builtinId="9" hidden="1"/>
    <cellStyle name="Followed Hyperlink" xfId="28909" builtinId="9" hidden="1"/>
    <cellStyle name="Followed Hyperlink" xfId="28910" builtinId="9" hidden="1"/>
    <cellStyle name="Followed Hyperlink" xfId="28911" builtinId="9" hidden="1"/>
    <cellStyle name="Followed Hyperlink" xfId="28912" builtinId="9" hidden="1"/>
    <cellStyle name="Followed Hyperlink" xfId="28913" builtinId="9" hidden="1"/>
    <cellStyle name="Followed Hyperlink" xfId="28914" builtinId="9" hidden="1"/>
    <cellStyle name="Followed Hyperlink" xfId="28915" builtinId="9" hidden="1"/>
    <cellStyle name="Followed Hyperlink" xfId="28916" builtinId="9" hidden="1"/>
    <cellStyle name="Followed Hyperlink" xfId="28917" builtinId="9" hidden="1"/>
    <cellStyle name="Followed Hyperlink" xfId="28918" builtinId="9" hidden="1"/>
    <cellStyle name="Followed Hyperlink" xfId="28919" builtinId="9" hidden="1"/>
    <cellStyle name="Followed Hyperlink" xfId="28920" builtinId="9" hidden="1"/>
    <cellStyle name="Followed Hyperlink" xfId="28921" builtinId="9" hidden="1"/>
    <cellStyle name="Followed Hyperlink" xfId="28922" builtinId="9" hidden="1"/>
    <cellStyle name="Followed Hyperlink" xfId="28923" builtinId="9" hidden="1"/>
    <cellStyle name="Followed Hyperlink" xfId="28924" builtinId="9" hidden="1"/>
    <cellStyle name="Followed Hyperlink" xfId="28925" builtinId="9" hidden="1"/>
    <cellStyle name="Followed Hyperlink" xfId="28926" builtinId="9" hidden="1"/>
    <cellStyle name="Followed Hyperlink" xfId="28927" builtinId="9" hidden="1"/>
    <cellStyle name="Followed Hyperlink" xfId="28928" builtinId="9" hidden="1"/>
    <cellStyle name="Followed Hyperlink" xfId="28929" builtinId="9" hidden="1"/>
    <cellStyle name="Followed Hyperlink" xfId="28930" builtinId="9" hidden="1"/>
    <cellStyle name="Followed Hyperlink" xfId="28931" builtinId="9" hidden="1"/>
    <cellStyle name="Followed Hyperlink" xfId="28932" builtinId="9" hidden="1"/>
    <cellStyle name="Followed Hyperlink" xfId="28933" builtinId="9" hidden="1"/>
    <cellStyle name="Followed Hyperlink" xfId="28934" builtinId="9" hidden="1"/>
    <cellStyle name="Followed Hyperlink" xfId="28935" builtinId="9" hidden="1"/>
    <cellStyle name="Followed Hyperlink" xfId="28936" builtinId="9" hidden="1"/>
    <cellStyle name="Followed Hyperlink" xfId="28937" builtinId="9" hidden="1"/>
    <cellStyle name="Followed Hyperlink" xfId="28938" builtinId="9" hidden="1"/>
    <cellStyle name="Followed Hyperlink" xfId="28939" builtinId="9" hidden="1"/>
    <cellStyle name="Followed Hyperlink" xfId="28940" builtinId="9" hidden="1"/>
    <cellStyle name="Followed Hyperlink" xfId="28941" builtinId="9" hidden="1"/>
    <cellStyle name="Followed Hyperlink" xfId="28942" builtinId="9" hidden="1"/>
    <cellStyle name="Followed Hyperlink" xfId="28943" builtinId="9" hidden="1"/>
    <cellStyle name="Followed Hyperlink" xfId="28944" builtinId="9" hidden="1"/>
    <cellStyle name="Followed Hyperlink" xfId="28945" builtinId="9" hidden="1"/>
    <cellStyle name="Followed Hyperlink" xfId="28946" builtinId="9" hidden="1"/>
    <cellStyle name="Followed Hyperlink" xfId="28947" builtinId="9" hidden="1"/>
    <cellStyle name="Followed Hyperlink" xfId="28948" builtinId="9" hidden="1"/>
    <cellStyle name="Followed Hyperlink" xfId="28949" builtinId="9" hidden="1"/>
    <cellStyle name="Followed Hyperlink" xfId="28950" builtinId="9" hidden="1"/>
    <cellStyle name="Followed Hyperlink" xfId="28951" builtinId="9" hidden="1"/>
    <cellStyle name="Followed Hyperlink" xfId="28952" builtinId="9" hidden="1"/>
    <cellStyle name="Followed Hyperlink" xfId="28953" builtinId="9" hidden="1"/>
    <cellStyle name="Followed Hyperlink" xfId="28954" builtinId="9" hidden="1"/>
    <cellStyle name="Followed Hyperlink" xfId="28955" builtinId="9" hidden="1"/>
    <cellStyle name="Followed Hyperlink" xfId="28956" builtinId="9" hidden="1"/>
    <cellStyle name="Followed Hyperlink" xfId="28957" builtinId="9" hidden="1"/>
    <cellStyle name="Followed Hyperlink" xfId="28958" builtinId="9" hidden="1"/>
    <cellStyle name="Followed Hyperlink" xfId="28959" builtinId="9" hidden="1"/>
    <cellStyle name="Followed Hyperlink" xfId="28960" builtinId="9" hidden="1"/>
    <cellStyle name="Followed Hyperlink" xfId="28961" builtinId="9" hidden="1"/>
    <cellStyle name="Followed Hyperlink" xfId="28962" builtinId="9" hidden="1"/>
    <cellStyle name="Followed Hyperlink" xfId="28963" builtinId="9" hidden="1"/>
    <cellStyle name="Followed Hyperlink" xfId="28964" builtinId="9" hidden="1"/>
    <cellStyle name="Followed Hyperlink" xfId="28965" builtinId="9" hidden="1"/>
    <cellStyle name="Followed Hyperlink" xfId="28966" builtinId="9" hidden="1"/>
    <cellStyle name="Followed Hyperlink" xfId="28967" builtinId="9" hidden="1"/>
    <cellStyle name="Followed Hyperlink" xfId="28968" builtinId="9" hidden="1"/>
    <cellStyle name="Followed Hyperlink" xfId="28969" builtinId="9" hidden="1"/>
    <cellStyle name="Followed Hyperlink" xfId="28970" builtinId="9" hidden="1"/>
    <cellStyle name="Followed Hyperlink" xfId="28971" builtinId="9" hidden="1"/>
    <cellStyle name="Followed Hyperlink" xfId="28972" builtinId="9" hidden="1"/>
    <cellStyle name="Followed Hyperlink" xfId="28973" builtinId="9" hidden="1"/>
    <cellStyle name="Followed Hyperlink" xfId="28974" builtinId="9" hidden="1"/>
    <cellStyle name="Followed Hyperlink" xfId="28975" builtinId="9" hidden="1"/>
    <cellStyle name="Followed Hyperlink" xfId="28976" builtinId="9" hidden="1"/>
    <cellStyle name="Followed Hyperlink" xfId="28977" builtinId="9" hidden="1"/>
    <cellStyle name="Followed Hyperlink" xfId="28978" builtinId="9" hidden="1"/>
    <cellStyle name="Followed Hyperlink" xfId="28979" builtinId="9" hidden="1"/>
    <cellStyle name="Followed Hyperlink" xfId="28980" builtinId="9" hidden="1"/>
    <cellStyle name="Followed Hyperlink" xfId="28981" builtinId="9" hidden="1"/>
    <cellStyle name="Followed Hyperlink" xfId="28982" builtinId="9" hidden="1"/>
    <cellStyle name="Followed Hyperlink" xfId="28983" builtinId="9" hidden="1"/>
    <cellStyle name="Followed Hyperlink" xfId="28984" builtinId="9" hidden="1"/>
    <cellStyle name="Followed Hyperlink" xfId="28985" builtinId="9" hidden="1"/>
    <cellStyle name="Followed Hyperlink" xfId="28986" builtinId="9" hidden="1"/>
    <cellStyle name="Followed Hyperlink" xfId="28987" builtinId="9" hidden="1"/>
    <cellStyle name="Followed Hyperlink" xfId="28988" builtinId="9" hidden="1"/>
    <cellStyle name="Followed Hyperlink" xfId="28989" builtinId="9" hidden="1"/>
    <cellStyle name="Followed Hyperlink" xfId="28990" builtinId="9" hidden="1"/>
    <cellStyle name="Followed Hyperlink" xfId="28991" builtinId="9" hidden="1"/>
    <cellStyle name="Followed Hyperlink" xfId="28992" builtinId="9" hidden="1"/>
    <cellStyle name="Followed Hyperlink" xfId="28993" builtinId="9" hidden="1"/>
    <cellStyle name="Followed Hyperlink" xfId="28994" builtinId="9" hidden="1"/>
    <cellStyle name="Followed Hyperlink" xfId="28995" builtinId="9" hidden="1"/>
    <cellStyle name="Followed Hyperlink" xfId="28996" builtinId="9" hidden="1"/>
    <cellStyle name="Followed Hyperlink" xfId="28997" builtinId="9" hidden="1"/>
    <cellStyle name="Followed Hyperlink" xfId="28998" builtinId="9" hidden="1"/>
    <cellStyle name="Followed Hyperlink" xfId="28999" builtinId="9" hidden="1"/>
    <cellStyle name="Followed Hyperlink" xfId="29000" builtinId="9" hidden="1"/>
    <cellStyle name="Followed Hyperlink" xfId="29001" builtinId="9" hidden="1"/>
    <cellStyle name="Followed Hyperlink" xfId="29002" builtinId="9" hidden="1"/>
    <cellStyle name="Followed Hyperlink" xfId="29003" builtinId="9" hidden="1"/>
    <cellStyle name="Followed Hyperlink" xfId="29004" builtinId="9" hidden="1"/>
    <cellStyle name="Followed Hyperlink" xfId="29005" builtinId="9" hidden="1"/>
    <cellStyle name="Followed Hyperlink" xfId="29006" builtinId="9" hidden="1"/>
    <cellStyle name="Followed Hyperlink" xfId="29007" builtinId="9" hidden="1"/>
    <cellStyle name="Followed Hyperlink" xfId="29008" builtinId="9" hidden="1"/>
    <cellStyle name="Followed Hyperlink" xfId="29009" builtinId="9" hidden="1"/>
    <cellStyle name="Followed Hyperlink" xfId="29010" builtinId="9" hidden="1"/>
    <cellStyle name="Followed Hyperlink" xfId="29011" builtinId="9" hidden="1"/>
    <cellStyle name="Followed Hyperlink" xfId="29012" builtinId="9" hidden="1"/>
    <cellStyle name="Followed Hyperlink" xfId="29013" builtinId="9" hidden="1"/>
    <cellStyle name="Followed Hyperlink" xfId="29014" builtinId="9" hidden="1"/>
    <cellStyle name="Followed Hyperlink" xfId="28068" builtinId="9" hidden="1"/>
    <cellStyle name="Followed Hyperlink" xfId="29307" builtinId="9" hidden="1"/>
    <cellStyle name="Followed Hyperlink" xfId="29271" builtinId="9" hidden="1"/>
    <cellStyle name="Followed Hyperlink" xfId="29172" builtinId="9" hidden="1"/>
    <cellStyle name="Followed Hyperlink" xfId="29154" builtinId="9" hidden="1"/>
    <cellStyle name="Followed Hyperlink" xfId="29157" builtinId="9" hidden="1"/>
    <cellStyle name="Followed Hyperlink" xfId="29224" builtinId="9" hidden="1"/>
    <cellStyle name="Followed Hyperlink" xfId="29087" builtinId="9" hidden="1"/>
    <cellStyle name="Followed Hyperlink" xfId="28245" builtinId="9" hidden="1"/>
    <cellStyle name="Followed Hyperlink" xfId="29146" builtinId="9" hidden="1"/>
    <cellStyle name="Followed Hyperlink" xfId="29060" builtinId="9" hidden="1"/>
    <cellStyle name="Followed Hyperlink" xfId="29218" builtinId="9" hidden="1"/>
    <cellStyle name="Followed Hyperlink" xfId="29059" builtinId="9" hidden="1"/>
    <cellStyle name="Followed Hyperlink" xfId="28062" builtinId="9" hidden="1"/>
    <cellStyle name="Followed Hyperlink" xfId="29336" builtinId="9" hidden="1"/>
    <cellStyle name="Followed Hyperlink" xfId="29215" builtinId="9" hidden="1"/>
    <cellStyle name="Followed Hyperlink" xfId="29129" builtinId="9" hidden="1"/>
    <cellStyle name="Followed Hyperlink" xfId="29057" builtinId="9" hidden="1"/>
    <cellStyle name="Followed Hyperlink" xfId="29058" builtinId="9" hidden="1"/>
    <cellStyle name="Followed Hyperlink" xfId="29683" builtinId="9" hidden="1"/>
    <cellStyle name="Followed Hyperlink" xfId="29341" builtinId="9" hidden="1"/>
    <cellStyle name="Followed Hyperlink" xfId="29350" builtinId="9" hidden="1"/>
    <cellStyle name="Followed Hyperlink" xfId="29259" builtinId="9" hidden="1"/>
    <cellStyle name="Followed Hyperlink" xfId="29258" builtinId="9" hidden="1"/>
    <cellStyle name="Followed Hyperlink" xfId="29257" builtinId="9" hidden="1"/>
    <cellStyle name="Followed Hyperlink" xfId="29256" builtinId="9" hidden="1"/>
    <cellStyle name="Followed Hyperlink" xfId="29083" builtinId="9" hidden="1"/>
    <cellStyle name="Followed Hyperlink" xfId="27191" builtinId="9" hidden="1"/>
    <cellStyle name="Followed Hyperlink" xfId="29055" builtinId="9" hidden="1"/>
    <cellStyle name="Followed Hyperlink" xfId="29322" builtinId="9" hidden="1"/>
    <cellStyle name="Followed Hyperlink" xfId="29053" builtinId="9" hidden="1"/>
    <cellStyle name="Followed Hyperlink" xfId="29054" builtinId="9" hidden="1"/>
    <cellStyle name="Followed Hyperlink" xfId="28248" builtinId="9" hidden="1"/>
    <cellStyle name="Followed Hyperlink" xfId="29225" builtinId="9" hidden="1"/>
    <cellStyle name="Followed Hyperlink" xfId="29078" builtinId="9" hidden="1"/>
    <cellStyle name="Followed Hyperlink" xfId="29079" builtinId="9" hidden="1"/>
    <cellStyle name="Followed Hyperlink" xfId="27444" builtinId="9" hidden="1"/>
    <cellStyle name="Followed Hyperlink" xfId="29255" builtinId="9" hidden="1"/>
    <cellStyle name="Followed Hyperlink" xfId="25278" builtinId="9" hidden="1"/>
    <cellStyle name="Followed Hyperlink" xfId="29311" builtinId="9" hidden="1"/>
    <cellStyle name="Followed Hyperlink" xfId="29286" builtinId="9" hidden="1"/>
    <cellStyle name="Followed Hyperlink" xfId="29254" builtinId="9" hidden="1"/>
    <cellStyle name="Followed Hyperlink" xfId="29296" builtinId="9" hidden="1"/>
    <cellStyle name="Followed Hyperlink" xfId="29238" builtinId="9" hidden="1"/>
    <cellStyle name="Followed Hyperlink" xfId="29298" builtinId="9" hidden="1"/>
    <cellStyle name="Followed Hyperlink" xfId="29253" builtinId="9" hidden="1"/>
    <cellStyle name="Followed Hyperlink" xfId="29252" builtinId="9" hidden="1"/>
    <cellStyle name="Followed Hyperlink" xfId="29251" builtinId="9" hidden="1"/>
    <cellStyle name="Followed Hyperlink" xfId="28277" builtinId="9" hidden="1"/>
    <cellStyle name="Followed Hyperlink" xfId="29236" builtinId="9" hidden="1"/>
    <cellStyle name="Followed Hyperlink" xfId="27297" builtinId="9" hidden="1"/>
    <cellStyle name="Followed Hyperlink" xfId="28276" builtinId="9" hidden="1"/>
    <cellStyle name="Followed Hyperlink" xfId="29309" builtinId="9" hidden="1"/>
    <cellStyle name="Followed Hyperlink" xfId="29273" builtinId="9" hidden="1"/>
    <cellStyle name="Followed Hyperlink" xfId="29173" builtinId="9" hidden="1"/>
    <cellStyle name="Followed Hyperlink" xfId="29138" builtinId="9" hidden="1"/>
    <cellStyle name="Followed Hyperlink" xfId="29121" builtinId="9" hidden="1"/>
    <cellStyle name="Followed Hyperlink" xfId="29077" builtinId="9" hidden="1"/>
    <cellStyle name="Followed Hyperlink" xfId="28063" builtinId="9" hidden="1"/>
    <cellStyle name="Followed Hyperlink" xfId="29221" builtinId="9" hidden="1"/>
    <cellStyle name="Followed Hyperlink" xfId="29128" builtinId="9" hidden="1"/>
    <cellStyle name="Followed Hyperlink" xfId="29049" builtinId="9" hidden="1"/>
    <cellStyle name="Followed Hyperlink" xfId="29048" builtinId="9" hidden="1"/>
    <cellStyle name="Followed Hyperlink" xfId="29047" builtinId="9" hidden="1"/>
    <cellStyle name="Followed Hyperlink" xfId="29046" builtinId="9" hidden="1"/>
    <cellStyle name="Followed Hyperlink" xfId="27443" builtinId="9" hidden="1"/>
    <cellStyle name="Followed Hyperlink" xfId="29329" builtinId="9" hidden="1"/>
    <cellStyle name="Followed Hyperlink" xfId="27111" builtinId="9" hidden="1"/>
    <cellStyle name="Followed Hyperlink" xfId="29158" builtinId="9" hidden="1"/>
    <cellStyle name="Followed Hyperlink" xfId="29149" builtinId="9" hidden="1"/>
    <cellStyle name="Followed Hyperlink" xfId="29075" builtinId="9" hidden="1"/>
    <cellStyle name="Followed Hyperlink" xfId="27257" builtinId="9" hidden="1"/>
    <cellStyle name="Followed Hyperlink" xfId="29230" builtinId="9" hidden="1"/>
    <cellStyle name="Followed Hyperlink" xfId="29150" builtinId="9" hidden="1"/>
    <cellStyle name="Followed Hyperlink" xfId="29074" builtinId="9" hidden="1"/>
    <cellStyle name="Followed Hyperlink" xfId="28228" builtinId="9" hidden="1"/>
    <cellStyle name="Followed Hyperlink" xfId="29043" builtinId="9" hidden="1"/>
    <cellStyle name="Followed Hyperlink" xfId="29042" builtinId="9" hidden="1"/>
    <cellStyle name="Followed Hyperlink" xfId="27469" builtinId="9" hidden="1"/>
    <cellStyle name="Followed Hyperlink" xfId="29041" builtinId="9" hidden="1"/>
    <cellStyle name="Followed Hyperlink" xfId="28072" builtinId="9" hidden="1"/>
    <cellStyle name="Followed Hyperlink" xfId="29284" builtinId="9" hidden="1"/>
    <cellStyle name="Followed Hyperlink" xfId="29249" builtinId="9" hidden="1"/>
    <cellStyle name="Followed Hyperlink" xfId="29036" builtinId="9" hidden="1"/>
    <cellStyle name="Followed Hyperlink" xfId="29040" builtinId="9" hidden="1"/>
    <cellStyle name="Followed Hyperlink" xfId="29071" builtinId="9" hidden="1"/>
    <cellStyle name="Followed Hyperlink" xfId="27225" builtinId="9" hidden="1"/>
    <cellStyle name="Followed Hyperlink" xfId="29316" builtinId="9" hidden="1"/>
    <cellStyle name="Followed Hyperlink" xfId="29037" builtinId="9" hidden="1"/>
    <cellStyle name="Followed Hyperlink" xfId="29038" builtinId="9" hidden="1"/>
    <cellStyle name="Followed Hyperlink" xfId="24845" builtinId="9" hidden="1"/>
    <cellStyle name="Followed Hyperlink" xfId="29334" builtinId="9" hidden="1"/>
    <cellStyle name="Followed Hyperlink" xfId="29282" builtinId="9" hidden="1"/>
    <cellStyle name="Followed Hyperlink" xfId="29682" builtinId="9" hidden="1"/>
    <cellStyle name="Followed Hyperlink" xfId="29344" builtinId="9" hidden="1"/>
    <cellStyle name="Followed Hyperlink" xfId="29342" builtinId="9" hidden="1"/>
    <cellStyle name="Followed Hyperlink" xfId="29331" builtinId="9" hidden="1"/>
    <cellStyle name="Followed Hyperlink" xfId="27330" builtinId="9" hidden="1"/>
    <cellStyle name="Followed Hyperlink" xfId="29246" builtinId="9" hidden="1"/>
    <cellStyle name="Followed Hyperlink" xfId="29245" builtinId="9" hidden="1"/>
    <cellStyle name="Followed Hyperlink" xfId="29244" builtinId="9" hidden="1"/>
    <cellStyle name="Followed Hyperlink" xfId="29243" builtinId="9" hidden="1"/>
    <cellStyle name="Followed Hyperlink" xfId="29068" builtinId="9" hidden="1"/>
    <cellStyle name="Followed Hyperlink" xfId="25504" builtinId="9" hidden="1"/>
    <cellStyle name="Followed Hyperlink" xfId="29034" builtinId="9" hidden="1"/>
    <cellStyle name="Followed Hyperlink" xfId="29066" builtinId="9" hidden="1"/>
    <cellStyle name="Followed Hyperlink" xfId="28250" builtinId="9" hidden="1"/>
    <cellStyle name="Followed Hyperlink" xfId="29333" builtinId="9" hidden="1"/>
    <cellStyle name="Followed Hyperlink" xfId="29281" builtinId="9" hidden="1"/>
    <cellStyle name="Followed Hyperlink" xfId="29279" builtinId="9" hidden="1"/>
    <cellStyle name="Followed Hyperlink" xfId="29328" builtinId="9" hidden="1"/>
    <cellStyle name="Followed Hyperlink" xfId="29326" builtinId="9" hidden="1"/>
    <cellStyle name="Followed Hyperlink" xfId="29324" builtinId="9" hidden="1"/>
    <cellStyle name="Followed Hyperlink" xfId="29310" builtinId="9" hidden="1"/>
    <cellStyle name="Followed Hyperlink" xfId="29349" builtinId="9" hidden="1"/>
    <cellStyle name="Followed Hyperlink" xfId="27465" builtinId="9" hidden="1"/>
    <cellStyle name="Followed Hyperlink" xfId="29029" builtinId="9" hidden="1"/>
    <cellStyle name="Followed Hyperlink" xfId="29030" builtinId="9" hidden="1"/>
    <cellStyle name="Followed Hyperlink" xfId="28158" builtinId="9" hidden="1"/>
    <cellStyle name="Followed Hyperlink" xfId="28763" builtinId="9" hidden="1"/>
    <cellStyle name="Followed Hyperlink" xfId="29277" builtinId="9" hidden="1"/>
    <cellStyle name="Followed Hyperlink" xfId="29293" builtinId="9" hidden="1"/>
    <cellStyle name="Followed Hyperlink" xfId="29175" builtinId="9" hidden="1"/>
    <cellStyle name="Followed Hyperlink" xfId="29294" builtinId="9" hidden="1"/>
    <cellStyle name="Followed Hyperlink" xfId="29234" builtinId="9" hidden="1"/>
    <cellStyle name="Followed Hyperlink" xfId="29165" builtinId="9" hidden="1"/>
    <cellStyle name="Followed Hyperlink" xfId="29130" builtinId="9" hidden="1"/>
    <cellStyle name="Followed Hyperlink" xfId="29135" builtinId="9" hidden="1"/>
    <cellStyle name="Followed Hyperlink" xfId="29308" builtinId="9" hidden="1"/>
    <cellStyle name="Followed Hyperlink" xfId="29272" builtinId="9" hidden="1"/>
    <cellStyle name="Followed Hyperlink" xfId="29171" builtinId="9" hidden="1"/>
    <cellStyle name="Followed Hyperlink" xfId="29153" builtinId="9" hidden="1"/>
    <cellStyle name="Followed Hyperlink" xfId="29306" builtinId="9" hidden="1"/>
    <cellStyle name="Followed Hyperlink" xfId="29270" builtinId="9" hidden="1"/>
    <cellStyle name="Followed Hyperlink" xfId="29222" builtinId="9" hidden="1"/>
    <cellStyle name="Followed Hyperlink" xfId="29160" builtinId="9" hidden="1"/>
    <cellStyle name="Followed Hyperlink" xfId="29062" builtinId="9" hidden="1"/>
    <cellStyle name="Followed Hyperlink" xfId="29148" builtinId="9" hidden="1"/>
    <cellStyle name="Followed Hyperlink" xfId="29216" builtinId="9" hidden="1"/>
    <cellStyle name="Followed Hyperlink" xfId="29028" builtinId="9" hidden="1"/>
    <cellStyle name="Followed Hyperlink" xfId="29120" builtinId="9" hidden="1"/>
    <cellStyle name="Followed Hyperlink" xfId="29206" builtinId="9" hidden="1"/>
    <cellStyle name="Followed Hyperlink" xfId="28251" builtinId="9" hidden="1"/>
    <cellStyle name="Followed Hyperlink" xfId="29205" builtinId="9" hidden="1"/>
    <cellStyle name="Followed Hyperlink" xfId="29156" builtinId="9" hidden="1"/>
    <cellStyle name="Followed Hyperlink" xfId="27301" builtinId="9" hidden="1"/>
    <cellStyle name="Followed Hyperlink" xfId="29170" builtinId="9" hidden="1"/>
    <cellStyle name="Followed Hyperlink" xfId="29116" builtinId="9" hidden="1"/>
    <cellStyle name="Followed Hyperlink" xfId="28067" builtinId="9" hidden="1"/>
    <cellStyle name="Followed Hyperlink" xfId="28180" builtinId="9" hidden="1"/>
    <cellStyle name="Followed Hyperlink" xfId="29679" builtinId="9" hidden="1"/>
    <cellStyle name="Followed Hyperlink" xfId="29677" builtinId="9" hidden="1"/>
    <cellStyle name="Followed Hyperlink" xfId="29675" builtinId="9" hidden="1"/>
    <cellStyle name="Followed Hyperlink" xfId="29673" builtinId="9" hidden="1"/>
    <cellStyle name="Followed Hyperlink" xfId="29671" builtinId="9" hidden="1"/>
    <cellStyle name="Followed Hyperlink" xfId="29669" builtinId="9" hidden="1"/>
    <cellStyle name="Followed Hyperlink" xfId="29667" builtinId="9" hidden="1"/>
    <cellStyle name="Followed Hyperlink" xfId="29665" builtinId="9" hidden="1"/>
    <cellStyle name="Followed Hyperlink" xfId="29663" builtinId="9" hidden="1"/>
    <cellStyle name="Followed Hyperlink" xfId="29661" builtinId="9" hidden="1"/>
    <cellStyle name="Followed Hyperlink" xfId="29659" builtinId="9" hidden="1"/>
    <cellStyle name="Followed Hyperlink" xfId="29657" builtinId="9" hidden="1"/>
    <cellStyle name="Followed Hyperlink" xfId="29655" builtinId="9" hidden="1"/>
    <cellStyle name="Followed Hyperlink" xfId="29653" builtinId="9" hidden="1"/>
    <cellStyle name="Followed Hyperlink" xfId="29651" builtinId="9" hidden="1"/>
    <cellStyle name="Followed Hyperlink" xfId="29649" builtinId="9" hidden="1"/>
    <cellStyle name="Followed Hyperlink" xfId="29647" builtinId="9" hidden="1"/>
    <cellStyle name="Followed Hyperlink" xfId="29645" builtinId="9" hidden="1"/>
    <cellStyle name="Followed Hyperlink" xfId="29643" builtinId="9" hidden="1"/>
    <cellStyle name="Followed Hyperlink" xfId="29641" builtinId="9" hidden="1"/>
    <cellStyle name="Followed Hyperlink" xfId="29639" builtinId="9" hidden="1"/>
    <cellStyle name="Followed Hyperlink" xfId="29637" builtinId="9" hidden="1"/>
    <cellStyle name="Followed Hyperlink" xfId="29635" builtinId="9" hidden="1"/>
    <cellStyle name="Followed Hyperlink" xfId="29633" builtinId="9" hidden="1"/>
    <cellStyle name="Followed Hyperlink" xfId="29631" builtinId="9" hidden="1"/>
    <cellStyle name="Followed Hyperlink" xfId="29629" builtinId="9" hidden="1"/>
    <cellStyle name="Followed Hyperlink" xfId="29627" builtinId="9" hidden="1"/>
    <cellStyle name="Followed Hyperlink" xfId="29625" builtinId="9" hidden="1"/>
    <cellStyle name="Followed Hyperlink" xfId="29623" builtinId="9" hidden="1"/>
    <cellStyle name="Followed Hyperlink" xfId="29621" builtinId="9" hidden="1"/>
    <cellStyle name="Followed Hyperlink" xfId="29619" builtinId="9" hidden="1"/>
    <cellStyle name="Followed Hyperlink" xfId="29617" builtinId="9" hidden="1"/>
    <cellStyle name="Followed Hyperlink" xfId="29615" builtinId="9" hidden="1"/>
    <cellStyle name="Followed Hyperlink" xfId="29613" builtinId="9" hidden="1"/>
    <cellStyle name="Followed Hyperlink" xfId="29611" builtinId="9" hidden="1"/>
    <cellStyle name="Followed Hyperlink" xfId="29609" builtinId="9" hidden="1"/>
    <cellStyle name="Followed Hyperlink" xfId="29607" builtinId="9" hidden="1"/>
    <cellStyle name="Followed Hyperlink" xfId="29605" builtinId="9" hidden="1"/>
    <cellStyle name="Followed Hyperlink" xfId="29603" builtinId="9" hidden="1"/>
    <cellStyle name="Followed Hyperlink" xfId="29601" builtinId="9" hidden="1"/>
    <cellStyle name="Followed Hyperlink" xfId="29599" builtinId="9" hidden="1"/>
    <cellStyle name="Followed Hyperlink" xfId="29597" builtinId="9" hidden="1"/>
    <cellStyle name="Followed Hyperlink" xfId="29595" builtinId="9" hidden="1"/>
    <cellStyle name="Followed Hyperlink" xfId="29593" builtinId="9" hidden="1"/>
    <cellStyle name="Followed Hyperlink" xfId="29591" builtinId="9" hidden="1"/>
    <cellStyle name="Followed Hyperlink" xfId="29589" builtinId="9" hidden="1"/>
    <cellStyle name="Followed Hyperlink" xfId="29587" builtinId="9" hidden="1"/>
    <cellStyle name="Followed Hyperlink" xfId="29585" builtinId="9" hidden="1"/>
    <cellStyle name="Followed Hyperlink" xfId="29583" builtinId="9" hidden="1"/>
    <cellStyle name="Followed Hyperlink" xfId="29581" builtinId="9" hidden="1"/>
    <cellStyle name="Followed Hyperlink" xfId="29579" builtinId="9" hidden="1"/>
    <cellStyle name="Followed Hyperlink" xfId="29577" builtinId="9" hidden="1"/>
    <cellStyle name="Followed Hyperlink" xfId="29575" builtinId="9" hidden="1"/>
    <cellStyle name="Followed Hyperlink" xfId="29573" builtinId="9" hidden="1"/>
    <cellStyle name="Followed Hyperlink" xfId="29571" builtinId="9" hidden="1"/>
    <cellStyle name="Followed Hyperlink" xfId="29569" builtinId="9" hidden="1"/>
    <cellStyle name="Followed Hyperlink" xfId="29567" builtinId="9" hidden="1"/>
    <cellStyle name="Followed Hyperlink" xfId="29565" builtinId="9" hidden="1"/>
    <cellStyle name="Followed Hyperlink" xfId="29563" builtinId="9" hidden="1"/>
    <cellStyle name="Followed Hyperlink" xfId="29561" builtinId="9" hidden="1"/>
    <cellStyle name="Followed Hyperlink" xfId="29559" builtinId="9" hidden="1"/>
    <cellStyle name="Followed Hyperlink" xfId="29557" builtinId="9" hidden="1"/>
    <cellStyle name="Followed Hyperlink" xfId="29555" builtinId="9" hidden="1"/>
    <cellStyle name="Followed Hyperlink" xfId="29553" builtinId="9" hidden="1"/>
    <cellStyle name="Followed Hyperlink" xfId="29551" builtinId="9" hidden="1"/>
    <cellStyle name="Followed Hyperlink" xfId="29549" builtinId="9" hidden="1"/>
    <cellStyle name="Followed Hyperlink" xfId="29547" builtinId="9" hidden="1"/>
    <cellStyle name="Followed Hyperlink" xfId="29545" builtinId="9" hidden="1"/>
    <cellStyle name="Followed Hyperlink" xfId="29543" builtinId="9" hidden="1"/>
    <cellStyle name="Followed Hyperlink" xfId="29541" builtinId="9" hidden="1"/>
    <cellStyle name="Followed Hyperlink" xfId="29534" builtinId="9" hidden="1"/>
    <cellStyle name="Followed Hyperlink" xfId="29532" builtinId="9" hidden="1"/>
    <cellStyle name="Followed Hyperlink" xfId="29530" builtinId="9" hidden="1"/>
    <cellStyle name="Followed Hyperlink" xfId="29528" builtinId="9" hidden="1"/>
    <cellStyle name="Followed Hyperlink" xfId="29526" builtinId="9" hidden="1"/>
    <cellStyle name="Followed Hyperlink" xfId="29524" builtinId="9" hidden="1"/>
    <cellStyle name="Followed Hyperlink" xfId="29522" builtinId="9" hidden="1"/>
    <cellStyle name="Followed Hyperlink" xfId="29520" builtinId="9" hidden="1"/>
    <cellStyle name="Followed Hyperlink" xfId="29518" builtinId="9" hidden="1"/>
    <cellStyle name="Followed Hyperlink" xfId="29516" builtinId="9" hidden="1"/>
    <cellStyle name="Followed Hyperlink" xfId="29514" builtinId="9" hidden="1"/>
    <cellStyle name="Followed Hyperlink" xfId="29512" builtinId="9" hidden="1"/>
    <cellStyle name="Followed Hyperlink" xfId="29510" builtinId="9" hidden="1"/>
    <cellStyle name="Followed Hyperlink" xfId="29508" builtinId="9" hidden="1"/>
    <cellStyle name="Followed Hyperlink" xfId="29506" builtinId="9" hidden="1"/>
    <cellStyle name="Followed Hyperlink" xfId="29504" builtinId="9" hidden="1"/>
    <cellStyle name="Followed Hyperlink" xfId="29502" builtinId="9" hidden="1"/>
    <cellStyle name="Followed Hyperlink" xfId="29500" builtinId="9" hidden="1"/>
    <cellStyle name="Followed Hyperlink" xfId="29498" builtinId="9" hidden="1"/>
    <cellStyle name="Followed Hyperlink" xfId="29496" builtinId="9" hidden="1"/>
    <cellStyle name="Followed Hyperlink" xfId="29494" builtinId="9" hidden="1"/>
    <cellStyle name="Followed Hyperlink" xfId="29492" builtinId="9" hidden="1"/>
    <cellStyle name="Followed Hyperlink" xfId="29490" builtinId="9" hidden="1"/>
    <cellStyle name="Followed Hyperlink" xfId="29488" builtinId="9" hidden="1"/>
    <cellStyle name="Followed Hyperlink" xfId="29486" builtinId="9" hidden="1"/>
    <cellStyle name="Followed Hyperlink" xfId="29484" builtinId="9" hidden="1"/>
    <cellStyle name="Followed Hyperlink" xfId="29482" builtinId="9" hidden="1"/>
    <cellStyle name="Followed Hyperlink" xfId="29481" builtinId="9" hidden="1"/>
    <cellStyle name="Followed Hyperlink" xfId="29479" builtinId="9" hidden="1"/>
    <cellStyle name="Followed Hyperlink" xfId="29477" builtinId="9" hidden="1"/>
    <cellStyle name="Followed Hyperlink" xfId="29475" builtinId="9" hidden="1"/>
    <cellStyle name="Followed Hyperlink" xfId="29473" builtinId="9" hidden="1"/>
    <cellStyle name="Followed Hyperlink" xfId="29471" builtinId="9" hidden="1"/>
    <cellStyle name="Followed Hyperlink" xfId="29469" builtinId="9" hidden="1"/>
    <cellStyle name="Followed Hyperlink" xfId="29467" builtinId="9" hidden="1"/>
    <cellStyle name="Followed Hyperlink" xfId="29465" builtinId="9" hidden="1"/>
    <cellStyle name="Followed Hyperlink" xfId="29463" builtinId="9" hidden="1"/>
    <cellStyle name="Followed Hyperlink" xfId="29461" builtinId="9" hidden="1"/>
    <cellStyle name="Followed Hyperlink" xfId="29459" builtinId="9" hidden="1"/>
    <cellStyle name="Followed Hyperlink" xfId="29457" builtinId="9" hidden="1"/>
    <cellStyle name="Followed Hyperlink" xfId="29455" builtinId="9" hidden="1"/>
    <cellStyle name="Followed Hyperlink" xfId="29453" builtinId="9" hidden="1"/>
    <cellStyle name="Followed Hyperlink" xfId="29451" builtinId="9" hidden="1"/>
    <cellStyle name="Followed Hyperlink" xfId="29449" builtinId="9" hidden="1"/>
    <cellStyle name="Followed Hyperlink" xfId="29447" builtinId="9" hidden="1"/>
    <cellStyle name="Followed Hyperlink" xfId="29445" builtinId="9" hidden="1"/>
    <cellStyle name="Followed Hyperlink" xfId="29443" builtinId="9" hidden="1"/>
    <cellStyle name="Followed Hyperlink" xfId="29441" builtinId="9" hidden="1"/>
    <cellStyle name="Followed Hyperlink" xfId="29439" builtinId="9" hidden="1"/>
    <cellStyle name="Followed Hyperlink" xfId="29437" builtinId="9" hidden="1"/>
    <cellStyle name="Followed Hyperlink" xfId="29435" builtinId="9" hidden="1"/>
    <cellStyle name="Followed Hyperlink" xfId="29433" builtinId="9" hidden="1"/>
    <cellStyle name="Followed Hyperlink" xfId="29431" builtinId="9" hidden="1"/>
    <cellStyle name="Followed Hyperlink" xfId="29429" builtinId="9" hidden="1"/>
    <cellStyle name="Followed Hyperlink" xfId="29427" builtinId="9" hidden="1"/>
    <cellStyle name="Followed Hyperlink" xfId="29425" builtinId="9" hidden="1"/>
    <cellStyle name="Followed Hyperlink" xfId="29423" builtinId="9" hidden="1"/>
    <cellStyle name="Followed Hyperlink" xfId="29421" builtinId="9" hidden="1"/>
    <cellStyle name="Followed Hyperlink" xfId="29419" builtinId="9" hidden="1"/>
    <cellStyle name="Followed Hyperlink" xfId="29417" builtinId="9" hidden="1"/>
    <cellStyle name="Followed Hyperlink" xfId="29415" builtinId="9" hidden="1"/>
    <cellStyle name="Followed Hyperlink" xfId="29413" builtinId="9" hidden="1"/>
    <cellStyle name="Followed Hyperlink" xfId="29411" builtinId="9" hidden="1"/>
    <cellStyle name="Followed Hyperlink" xfId="29409" builtinId="9" hidden="1"/>
    <cellStyle name="Followed Hyperlink" xfId="29407" builtinId="9" hidden="1"/>
    <cellStyle name="Followed Hyperlink" xfId="29405" builtinId="9" hidden="1"/>
    <cellStyle name="Followed Hyperlink" xfId="29403" builtinId="9" hidden="1"/>
    <cellStyle name="Followed Hyperlink" xfId="29401" builtinId="9" hidden="1"/>
    <cellStyle name="Followed Hyperlink" xfId="29399" builtinId="9" hidden="1"/>
    <cellStyle name="Followed Hyperlink" xfId="29397" builtinId="9" hidden="1"/>
    <cellStyle name="Followed Hyperlink" xfId="29395" builtinId="9" hidden="1"/>
    <cellStyle name="Followed Hyperlink" xfId="29393" builtinId="9" hidden="1"/>
    <cellStyle name="Followed Hyperlink" xfId="29391" builtinId="9" hidden="1"/>
    <cellStyle name="Followed Hyperlink" xfId="29389" builtinId="9" hidden="1"/>
    <cellStyle name="Followed Hyperlink" xfId="29387" builtinId="9" hidden="1"/>
    <cellStyle name="Followed Hyperlink" xfId="29385" builtinId="9" hidden="1"/>
    <cellStyle name="Followed Hyperlink" xfId="29383" builtinId="9" hidden="1"/>
    <cellStyle name="Followed Hyperlink" xfId="29381" builtinId="9" hidden="1"/>
    <cellStyle name="Followed Hyperlink" xfId="29379" builtinId="9" hidden="1"/>
    <cellStyle name="Followed Hyperlink" xfId="29378" builtinId="9" hidden="1"/>
    <cellStyle name="Followed Hyperlink" xfId="29376" builtinId="9" hidden="1"/>
    <cellStyle name="Followed Hyperlink" xfId="29374" builtinId="9" hidden="1"/>
    <cellStyle name="Followed Hyperlink" xfId="29372" builtinId="9" hidden="1"/>
    <cellStyle name="Followed Hyperlink" xfId="29370" builtinId="9" hidden="1"/>
    <cellStyle name="Followed Hyperlink" xfId="29368" builtinId="9" hidden="1"/>
    <cellStyle name="Followed Hyperlink" xfId="29366" builtinId="9" hidden="1"/>
    <cellStyle name="Followed Hyperlink" xfId="29364" builtinId="9" hidden="1"/>
    <cellStyle name="Followed Hyperlink" xfId="29362" builtinId="9" hidden="1"/>
    <cellStyle name="Followed Hyperlink" xfId="29360" builtinId="9" hidden="1"/>
    <cellStyle name="Followed Hyperlink" xfId="29358" builtinId="9" hidden="1"/>
    <cellStyle name="Followed Hyperlink" xfId="29356" builtinId="9" hidden="1"/>
    <cellStyle name="Followed Hyperlink" xfId="29354" builtinId="9" hidden="1"/>
    <cellStyle name="Followed Hyperlink" xfId="29352" builtinId="9" hidden="1"/>
    <cellStyle name="Followed Hyperlink" xfId="27193" builtinId="9" hidden="1"/>
    <cellStyle name="Followed Hyperlink" xfId="28388" builtinId="9" hidden="1"/>
    <cellStyle name="Followed Hyperlink" xfId="28084" builtinId="9" hidden="1"/>
    <cellStyle name="Followed Hyperlink" xfId="28119" builtinId="9" hidden="1"/>
    <cellStyle name="Followed Hyperlink" xfId="27905" builtinId="9" hidden="1"/>
    <cellStyle name="Followed Hyperlink" xfId="28195" builtinId="9" hidden="1"/>
    <cellStyle name="Followed Hyperlink" xfId="28319" builtinId="9" hidden="1"/>
    <cellStyle name="Followed Hyperlink" xfId="28415" builtinId="9" hidden="1"/>
    <cellStyle name="Followed Hyperlink" xfId="28425" builtinId="9" hidden="1"/>
    <cellStyle name="Followed Hyperlink" xfId="28356" builtinId="9" hidden="1"/>
    <cellStyle name="Followed Hyperlink" xfId="27098" builtinId="9" hidden="1"/>
    <cellStyle name="Followed Hyperlink" xfId="28121" builtinId="9" hidden="1"/>
    <cellStyle name="Followed Hyperlink" xfId="28090" builtinId="9" hidden="1"/>
    <cellStyle name="Followed Hyperlink" xfId="28124" builtinId="9" hidden="1"/>
    <cellStyle name="Followed Hyperlink" xfId="28322" builtinId="9" hidden="1"/>
    <cellStyle name="Followed Hyperlink" xfId="27907" builtinId="9" hidden="1"/>
    <cellStyle name="Followed Hyperlink" xfId="24703" builtinId="9" hidden="1"/>
    <cellStyle name="Followed Hyperlink" xfId="27463" builtinId="9" hidden="1"/>
    <cellStyle name="Followed Hyperlink" xfId="28320" builtinId="9" hidden="1"/>
    <cellStyle name="Followed Hyperlink" xfId="27106" builtinId="9" hidden="1"/>
    <cellStyle name="Followed Hyperlink" xfId="28418" builtinId="9" hidden="1"/>
    <cellStyle name="Followed Hyperlink" xfId="28423" builtinId="9" hidden="1"/>
    <cellStyle name="Followed Hyperlink" xfId="28196" builtinId="9" hidden="1"/>
    <cellStyle name="Followed Hyperlink" xfId="28086" builtinId="9" hidden="1"/>
    <cellStyle name="Followed Hyperlink" xfId="28417" builtinId="9" hidden="1"/>
    <cellStyle name="Followed Hyperlink" xfId="29351" builtinId="9" hidden="1"/>
    <cellStyle name="Followed Hyperlink" xfId="29355" builtinId="9" hidden="1"/>
    <cellStyle name="Followed Hyperlink" xfId="29359" builtinId="9" hidden="1"/>
    <cellStyle name="Followed Hyperlink" xfId="29363" builtinId="9" hidden="1"/>
    <cellStyle name="Followed Hyperlink" xfId="29367" builtinId="9" hidden="1"/>
    <cellStyle name="Followed Hyperlink" xfId="29371" builtinId="9" hidden="1"/>
    <cellStyle name="Followed Hyperlink" xfId="29375" builtinId="9" hidden="1"/>
    <cellStyle name="Followed Hyperlink" xfId="29134" builtinId="9" hidden="1"/>
    <cellStyle name="Followed Hyperlink" xfId="29382" builtinId="9" hidden="1"/>
    <cellStyle name="Followed Hyperlink" xfId="29386" builtinId="9" hidden="1"/>
    <cellStyle name="Followed Hyperlink" xfId="29390" builtinId="9" hidden="1"/>
    <cellStyle name="Followed Hyperlink" xfId="29394" builtinId="9" hidden="1"/>
    <cellStyle name="Followed Hyperlink" xfId="29398" builtinId="9" hidden="1"/>
    <cellStyle name="Followed Hyperlink" xfId="29402" builtinId="9" hidden="1"/>
    <cellStyle name="Followed Hyperlink" xfId="29406" builtinId="9" hidden="1"/>
    <cellStyle name="Followed Hyperlink" xfId="29410" builtinId="9" hidden="1"/>
    <cellStyle name="Followed Hyperlink" xfId="29414" builtinId="9" hidden="1"/>
    <cellStyle name="Followed Hyperlink" xfId="29418" builtinId="9" hidden="1"/>
    <cellStyle name="Followed Hyperlink" xfId="29422" builtinId="9" hidden="1"/>
    <cellStyle name="Followed Hyperlink" xfId="29426" builtinId="9" hidden="1"/>
    <cellStyle name="Followed Hyperlink" xfId="29430" builtinId="9" hidden="1"/>
    <cellStyle name="Followed Hyperlink" xfId="29434" builtinId="9" hidden="1"/>
    <cellStyle name="Followed Hyperlink" xfId="29438" builtinId="9" hidden="1"/>
    <cellStyle name="Followed Hyperlink" xfId="29442" builtinId="9" hidden="1"/>
    <cellStyle name="Followed Hyperlink" xfId="29446" builtinId="9" hidden="1"/>
    <cellStyle name="Followed Hyperlink" xfId="29450" builtinId="9" hidden="1"/>
    <cellStyle name="Followed Hyperlink" xfId="29454" builtinId="9" hidden="1"/>
    <cellStyle name="Followed Hyperlink" xfId="29458" builtinId="9" hidden="1"/>
    <cellStyle name="Followed Hyperlink" xfId="29462" builtinId="9" hidden="1"/>
    <cellStyle name="Followed Hyperlink" xfId="29466" builtinId="9" hidden="1"/>
    <cellStyle name="Followed Hyperlink" xfId="29470" builtinId="9" hidden="1"/>
    <cellStyle name="Followed Hyperlink" xfId="29474" builtinId="9" hidden="1"/>
    <cellStyle name="Followed Hyperlink" xfId="29478" builtinId="9" hidden="1"/>
    <cellStyle name="Followed Hyperlink" xfId="28252" builtinId="9" hidden="1"/>
    <cellStyle name="Followed Hyperlink" xfId="29485" builtinId="9" hidden="1"/>
    <cellStyle name="Followed Hyperlink" xfId="29489" builtinId="9" hidden="1"/>
    <cellStyle name="Followed Hyperlink" xfId="29493" builtinId="9" hidden="1"/>
    <cellStyle name="Followed Hyperlink" xfId="29497" builtinId="9" hidden="1"/>
    <cellStyle name="Followed Hyperlink" xfId="29501" builtinId="9" hidden="1"/>
    <cellStyle name="Followed Hyperlink" xfId="29505" builtinId="9" hidden="1"/>
    <cellStyle name="Followed Hyperlink" xfId="29509" builtinId="9" hidden="1"/>
    <cellStyle name="Followed Hyperlink" xfId="29513" builtinId="9" hidden="1"/>
    <cellStyle name="Followed Hyperlink" xfId="29517" builtinId="9" hidden="1"/>
    <cellStyle name="Followed Hyperlink" xfId="29521" builtinId="9" hidden="1"/>
    <cellStyle name="Followed Hyperlink" xfId="29525" builtinId="9" hidden="1"/>
    <cellStyle name="Followed Hyperlink" xfId="29529" builtinId="9" hidden="1"/>
    <cellStyle name="Followed Hyperlink" xfId="29533" builtinId="9" hidden="1"/>
    <cellStyle name="Followed Hyperlink" xfId="27442" builtinId="9" hidden="1"/>
    <cellStyle name="Followed Hyperlink" xfId="29323" builtinId="9" hidden="1"/>
    <cellStyle name="Followed Hyperlink" xfId="28125" builtinId="9" hidden="1"/>
    <cellStyle name="Followed Hyperlink" xfId="28428" builtinId="9" hidden="1"/>
    <cellStyle name="Followed Hyperlink" xfId="28182" builtinId="9" hidden="1"/>
    <cellStyle name="Followed Hyperlink" xfId="28289" builtinId="9" hidden="1"/>
    <cellStyle name="Followed Hyperlink" xfId="27247" builtinId="9" hidden="1"/>
    <cellStyle name="Followed Hyperlink" xfId="27149" builtinId="9" hidden="1"/>
    <cellStyle name="Followed Hyperlink" xfId="27104" builtinId="9" hidden="1"/>
    <cellStyle name="Followed Hyperlink" xfId="28213" builtinId="9" hidden="1"/>
    <cellStyle name="Followed Hyperlink" xfId="28101" builtinId="9" hidden="1"/>
    <cellStyle name="Followed Hyperlink" xfId="28292" builtinId="9" hidden="1"/>
    <cellStyle name="Followed Hyperlink" xfId="28335" builtinId="9" hidden="1"/>
    <cellStyle name="Followed Hyperlink" xfId="28391" builtinId="9" hidden="1"/>
    <cellStyle name="Followed Hyperlink" xfId="28177" builtinId="9" hidden="1"/>
    <cellStyle name="Followed Hyperlink" xfId="28198" builtinId="9" hidden="1"/>
    <cellStyle name="Followed Hyperlink" xfId="28275" builtinId="9" hidden="1"/>
    <cellStyle name="Followed Hyperlink" xfId="28377" builtinId="9" hidden="1"/>
    <cellStyle name="Followed Hyperlink" xfId="28373" builtinId="9" hidden="1"/>
    <cellStyle name="Followed Hyperlink" xfId="28360" builtinId="9" hidden="1"/>
    <cellStyle name="Followed Hyperlink" xfId="26460" builtinId="9" hidden="1"/>
    <cellStyle name="Followed Hyperlink" xfId="28103" builtinId="9" hidden="1"/>
    <cellStyle name="Followed Hyperlink" xfId="28221" builtinId="9" hidden="1"/>
    <cellStyle name="Followed Hyperlink" xfId="27097" builtinId="9" hidden="1"/>
    <cellStyle name="Followed Hyperlink" xfId="28132" builtinId="9" hidden="1"/>
    <cellStyle name="Followed Hyperlink" xfId="28134" builtinId="9" hidden="1"/>
    <cellStyle name="Followed Hyperlink" xfId="27906" builtinId="9" hidden="1"/>
    <cellStyle name="Followed Hyperlink" xfId="28201" builtinId="9" hidden="1"/>
    <cellStyle name="Followed Hyperlink" xfId="27103" builtinId="9" hidden="1"/>
    <cellStyle name="Followed Hyperlink" xfId="28427" builtinId="9" hidden="1"/>
    <cellStyle name="Followed Hyperlink" xfId="28414" builtinId="9" hidden="1"/>
    <cellStyle name="Followed Hyperlink" xfId="28212" builtinId="9" hidden="1"/>
    <cellStyle name="Followed Hyperlink" xfId="27102" builtinId="9" hidden="1"/>
    <cellStyle name="Followed Hyperlink" xfId="28137" builtinId="9" hidden="1"/>
    <cellStyle name="Followed Hyperlink" xfId="28138" builtinId="9" hidden="1"/>
    <cellStyle name="Followed Hyperlink" xfId="28112" builtinId="9" hidden="1"/>
    <cellStyle name="Followed Hyperlink" xfId="28114" builtinId="9" hidden="1"/>
    <cellStyle name="Followed Hyperlink" xfId="28224" builtinId="9" hidden="1"/>
    <cellStyle name="Followed Hyperlink" xfId="28363" builtinId="9" hidden="1"/>
    <cellStyle name="Followed Hyperlink" xfId="28178" builtinId="9" hidden="1"/>
    <cellStyle name="Followed Hyperlink" xfId="28253" builtinId="9" hidden="1"/>
    <cellStyle name="Followed Hyperlink" xfId="29133" builtinId="9" hidden="1"/>
    <cellStyle name="Followed Hyperlink" xfId="26284" builtinId="9" hidden="1"/>
    <cellStyle name="Followed Hyperlink" xfId="29115" builtinId="9" hidden="1"/>
    <cellStyle name="Followed Hyperlink" xfId="24843" builtinId="9" hidden="1"/>
    <cellStyle name="Followed Hyperlink" xfId="29114" builtinId="9" hidden="1"/>
    <cellStyle name="Followed Hyperlink" xfId="27188" builtinId="9" hidden="1"/>
    <cellStyle name="Followed Hyperlink" xfId="29200" builtinId="9" hidden="1"/>
    <cellStyle name="Followed Hyperlink" xfId="29113" builtinId="9" hidden="1"/>
    <cellStyle name="Followed Hyperlink" xfId="29112" builtinId="9" hidden="1"/>
    <cellStyle name="Followed Hyperlink" xfId="28255" builtinId="9" hidden="1"/>
    <cellStyle name="Followed Hyperlink" xfId="29110" builtinId="9" hidden="1"/>
    <cellStyle name="Followed Hyperlink" xfId="29235" builtinId="9" hidden="1"/>
    <cellStyle name="Followed Hyperlink" xfId="28160" builtinId="9" hidden="1"/>
    <cellStyle name="Followed Hyperlink" xfId="29107" builtinId="9" hidden="1"/>
    <cellStyle name="Followed Hyperlink" xfId="29317" builtinId="9" hidden="1"/>
    <cellStyle name="Followed Hyperlink" xfId="29313" builtinId="9" hidden="1"/>
    <cellStyle name="Followed Hyperlink" xfId="29276" builtinId="9" hidden="1"/>
    <cellStyle name="Followed Hyperlink" xfId="29275" builtinId="9" hidden="1"/>
    <cellStyle name="Followed Hyperlink" xfId="29274" builtinId="9" hidden="1"/>
    <cellStyle name="Followed Hyperlink" xfId="29240" builtinId="9" hidden="1"/>
    <cellStyle name="Followed Hyperlink" xfId="29302" builtinId="9" hidden="1"/>
    <cellStyle name="Followed Hyperlink" xfId="29295" builtinId="9" hidden="1"/>
    <cellStyle name="Followed Hyperlink" xfId="29267" builtinId="9" hidden="1"/>
    <cellStyle name="Followed Hyperlink" xfId="29237" builtinId="9" hidden="1"/>
    <cellStyle name="Followed Hyperlink" xfId="29177" builtinId="9" hidden="1"/>
    <cellStyle name="Followed Hyperlink" xfId="29305" builtinId="9" hidden="1"/>
    <cellStyle name="Followed Hyperlink" xfId="29297" builtinId="9" hidden="1"/>
    <cellStyle name="Followed Hyperlink" xfId="29269" builtinId="9" hidden="1"/>
    <cellStyle name="Followed Hyperlink" xfId="29239" builtinId="9" hidden="1"/>
    <cellStyle name="Followed Hyperlink" xfId="29196" builtinId="9" hidden="1"/>
    <cellStyle name="Followed Hyperlink" xfId="29264" builtinId="9" hidden="1"/>
    <cellStyle name="Followed Hyperlink" xfId="29101" builtinId="9" hidden="1"/>
    <cellStyle name="Followed Hyperlink" xfId="29100" builtinId="9" hidden="1"/>
    <cellStyle name="Followed Hyperlink" xfId="29099" builtinId="9" hidden="1"/>
    <cellStyle name="Followed Hyperlink" xfId="29098" builtinId="9" hidden="1"/>
    <cellStyle name="Followed Hyperlink" xfId="29097" builtinId="9" hidden="1"/>
    <cellStyle name="Followed Hyperlink" xfId="29096" builtinId="9" hidden="1"/>
    <cellStyle name="Followed Hyperlink" xfId="29095" builtinId="9" hidden="1"/>
    <cellStyle name="Followed Hyperlink" xfId="29094" builtinId="9" hidden="1"/>
    <cellStyle name="Followed Hyperlink" xfId="25350" builtinId="9" hidden="1"/>
    <cellStyle name="Followed Hyperlink" xfId="29195" builtinId="9" hidden="1"/>
    <cellStyle name="Followed Hyperlink" xfId="28264" builtinId="9" hidden="1"/>
    <cellStyle name="Followed Hyperlink" xfId="29194" builtinId="9" hidden="1"/>
    <cellStyle name="Followed Hyperlink" xfId="29093" builtinId="9" hidden="1"/>
    <cellStyle name="Followed Hyperlink" xfId="28258" builtinId="9" hidden="1"/>
    <cellStyle name="Followed Hyperlink" xfId="28156" builtinId="9" hidden="1"/>
    <cellStyle name="Followed Hyperlink" xfId="29155" builtinId="9" hidden="1"/>
    <cellStyle name="Followed Hyperlink" xfId="29092" builtinId="9" hidden="1"/>
    <cellStyle name="Followed Hyperlink" xfId="27329" builtinId="9" hidden="1"/>
    <cellStyle name="Followed Hyperlink" xfId="29168" builtinId="9" hidden="1"/>
    <cellStyle name="Followed Hyperlink" xfId="29167" builtinId="9" hidden="1"/>
    <cellStyle name="Followed Hyperlink" xfId="29193" builtinId="9" hidden="1"/>
    <cellStyle name="Followed Hyperlink" xfId="29147" builtinId="9" hidden="1"/>
    <cellStyle name="Followed Hyperlink" xfId="25355" builtinId="9" hidden="1"/>
    <cellStyle name="Followed Hyperlink" xfId="29091" builtinId="9" hidden="1"/>
    <cellStyle name="Followed Hyperlink" xfId="29018" builtinId="9" hidden="1"/>
    <cellStyle name="Followed Hyperlink" xfId="28188" builtinId="9" hidden="1"/>
    <cellStyle name="Followed Hyperlink" xfId="29017" builtinId="9" hidden="1"/>
    <cellStyle name="Followed Hyperlink" xfId="28766" builtinId="9" hidden="1"/>
    <cellStyle name="Followed Hyperlink" xfId="28116" builtinId="9" hidden="1"/>
    <cellStyle name="Followed Hyperlink" xfId="29181" builtinId="9" hidden="1"/>
    <cellStyle name="Followed Hyperlink" xfId="29016" builtinId="9" hidden="1"/>
    <cellStyle name="Followed Hyperlink" xfId="27287" builtinId="9" hidden="1"/>
    <cellStyle name="Followed Hyperlink" xfId="29015" builtinId="9" hidden="1"/>
    <cellStyle name="Followed Hyperlink" xfId="27298" builtinId="9" hidden="1"/>
    <cellStyle name="Followed Hyperlink" xfId="28297" builtinId="9" hidden="1"/>
    <cellStyle name="Followed Hyperlink" xfId="29180" builtinId="9" hidden="1"/>
    <cellStyle name="Followed Hyperlink" xfId="28865" builtinId="9" hidden="1"/>
    <cellStyle name="Followed Hyperlink" xfId="28279" builtinId="9" hidden="1"/>
    <cellStyle name="Followed Hyperlink" xfId="28244" builtinId="9" hidden="1"/>
    <cellStyle name="Followed Hyperlink" xfId="26177" builtinId="9" hidden="1"/>
    <cellStyle name="Followed Hyperlink" xfId="28226" builtinId="9" hidden="1"/>
    <cellStyle name="Followed Hyperlink" xfId="29330" builtinId="9" hidden="1"/>
    <cellStyle name="Followed Hyperlink" xfId="29179" builtinId="9" hidden="1"/>
    <cellStyle name="Followed Hyperlink" xfId="29217" builtinId="9" hidden="1"/>
    <cellStyle name="Followed Hyperlink" xfId="29090" builtinId="9" hidden="1"/>
    <cellStyle name="Followed Hyperlink" xfId="28806" builtinId="9" hidden="1"/>
    <cellStyle name="Followed Hyperlink" xfId="28394" builtinId="9" hidden="1"/>
    <cellStyle name="Followed Hyperlink" xfId="28861" builtinId="9" hidden="1"/>
    <cellStyle name="Followed Hyperlink" xfId="25247" builtinId="9" hidden="1"/>
    <cellStyle name="Followed Hyperlink" xfId="28362" builtinId="9" hidden="1"/>
    <cellStyle name="Followed Hyperlink" xfId="29178" builtinId="9" hidden="1"/>
    <cellStyle name="Followed Hyperlink" xfId="28807" builtinId="9" hidden="1"/>
    <cellStyle name="Followed Hyperlink" xfId="28409" builtinId="9" hidden="1"/>
    <cellStyle name="Followed Hyperlink" xfId="28808" builtinId="9" hidden="1"/>
    <cellStyle name="Followed Hyperlink" xfId="28076" builtinId="9" hidden="1"/>
    <cellStyle name="Followed Hyperlink" xfId="28809" builtinId="9" hidden="1"/>
    <cellStyle name="Followed Hyperlink" xfId="28183" builtinId="9" hidden="1"/>
    <cellStyle name="Followed Hyperlink" xfId="27214" builtinId="9" hidden="1"/>
    <cellStyle name="Followed Hyperlink" xfId="28622" builtinId="9" hidden="1"/>
    <cellStyle name="Followed Hyperlink" xfId="28313" builtinId="9" hidden="1"/>
    <cellStyle name="Followed Hyperlink" xfId="29685" builtinId="9" hidden="1"/>
    <cellStyle name="Followed Hyperlink" xfId="29686" builtinId="9" hidden="1"/>
    <cellStyle name="Followed Hyperlink" xfId="29687" builtinId="9" hidden="1"/>
    <cellStyle name="Followed Hyperlink" xfId="29688" builtinId="9" hidden="1"/>
    <cellStyle name="Followed Hyperlink" xfId="29689" builtinId="9" hidden="1"/>
    <cellStyle name="Followed Hyperlink" xfId="29690" builtinId="9" hidden="1"/>
    <cellStyle name="Followed Hyperlink" xfId="29691" builtinId="9" hidden="1"/>
    <cellStyle name="Followed Hyperlink" xfId="29692" builtinId="9" hidden="1"/>
    <cellStyle name="Followed Hyperlink" xfId="29693" builtinId="9" hidden="1"/>
    <cellStyle name="Followed Hyperlink" xfId="29694" builtinId="9" hidden="1"/>
    <cellStyle name="Followed Hyperlink" xfId="29695" builtinId="9" hidden="1"/>
    <cellStyle name="Followed Hyperlink" xfId="29696" builtinId="9" hidden="1"/>
    <cellStyle name="Followed Hyperlink" xfId="29697" builtinId="9" hidden="1"/>
    <cellStyle name="Followed Hyperlink" xfId="29698" builtinId="9" hidden="1"/>
    <cellStyle name="Followed Hyperlink" xfId="29699" builtinId="9" hidden="1"/>
    <cellStyle name="Followed Hyperlink" xfId="29700" builtinId="9" hidden="1"/>
    <cellStyle name="Followed Hyperlink" xfId="29701" builtinId="9" hidden="1"/>
    <cellStyle name="Followed Hyperlink" xfId="29702" builtinId="9" hidden="1"/>
    <cellStyle name="Followed Hyperlink" xfId="29703" builtinId="9" hidden="1"/>
    <cellStyle name="Followed Hyperlink" xfId="29704" builtinId="9" hidden="1"/>
    <cellStyle name="Followed Hyperlink" xfId="29705" builtinId="9" hidden="1"/>
    <cellStyle name="Followed Hyperlink" xfId="29706" builtinId="9" hidden="1"/>
    <cellStyle name="Followed Hyperlink" xfId="29707" builtinId="9" hidden="1"/>
    <cellStyle name="Followed Hyperlink" xfId="29708" builtinId="9" hidden="1"/>
    <cellStyle name="Followed Hyperlink" xfId="29709" builtinId="9" hidden="1"/>
    <cellStyle name="Followed Hyperlink" xfId="29710" builtinId="9" hidden="1"/>
    <cellStyle name="Followed Hyperlink" xfId="29711" builtinId="9" hidden="1"/>
    <cellStyle name="Followed Hyperlink" xfId="29712" builtinId="9" hidden="1"/>
    <cellStyle name="Followed Hyperlink" xfId="29713" builtinId="9" hidden="1"/>
    <cellStyle name="Followed Hyperlink" xfId="29714" builtinId="9" hidden="1"/>
    <cellStyle name="Followed Hyperlink" xfId="29715" builtinId="9" hidden="1"/>
    <cellStyle name="Followed Hyperlink" xfId="29716" builtinId="9" hidden="1"/>
    <cellStyle name="Followed Hyperlink" xfId="29717" builtinId="9" hidden="1"/>
    <cellStyle name="Followed Hyperlink" xfId="29718" builtinId="9" hidden="1"/>
    <cellStyle name="Followed Hyperlink" xfId="29719" builtinId="9" hidden="1"/>
    <cellStyle name="Followed Hyperlink" xfId="29720" builtinId="9" hidden="1"/>
    <cellStyle name="Followed Hyperlink" xfId="29721" builtinId="9" hidden="1"/>
    <cellStyle name="Followed Hyperlink" xfId="29722" builtinId="9" hidden="1"/>
    <cellStyle name="Followed Hyperlink" xfId="29723" builtinId="9" hidden="1"/>
    <cellStyle name="Followed Hyperlink" xfId="29728" builtinId="9" hidden="1"/>
    <cellStyle name="Followed Hyperlink" xfId="29729" builtinId="9" hidden="1"/>
    <cellStyle name="Followed Hyperlink" xfId="29730" builtinId="9" hidden="1"/>
    <cellStyle name="Followed Hyperlink" xfId="29731" builtinId="9" hidden="1"/>
    <cellStyle name="Followed Hyperlink" xfId="29732" builtinId="9" hidden="1"/>
    <cellStyle name="Followed Hyperlink" xfId="29733" builtinId="9" hidden="1"/>
    <cellStyle name="Followed Hyperlink" xfId="29734" builtinId="9" hidden="1"/>
    <cellStyle name="Followed Hyperlink" xfId="29735" builtinId="9" hidden="1"/>
    <cellStyle name="Followed Hyperlink" xfId="29736" builtinId="9" hidden="1"/>
    <cellStyle name="Followed Hyperlink" xfId="29737" builtinId="9" hidden="1"/>
    <cellStyle name="Followed Hyperlink" xfId="29738" builtinId="9" hidden="1"/>
    <cellStyle name="Followed Hyperlink" xfId="29739" builtinId="9" hidden="1"/>
    <cellStyle name="Followed Hyperlink" xfId="29740" builtinId="9" hidden="1"/>
    <cellStyle name="Followed Hyperlink" xfId="29741" builtinId="9" hidden="1"/>
    <cellStyle name="Followed Hyperlink" xfId="29742" builtinId="9" hidden="1"/>
    <cellStyle name="Followed Hyperlink" xfId="29743" builtinId="9" hidden="1"/>
    <cellStyle name="Followed Hyperlink" xfId="29744" builtinId="9" hidden="1"/>
    <cellStyle name="Followed Hyperlink" xfId="29745" builtinId="9" hidden="1"/>
    <cellStyle name="Followed Hyperlink" xfId="29746" builtinId="9" hidden="1"/>
    <cellStyle name="Followed Hyperlink" xfId="29747" builtinId="9" hidden="1"/>
    <cellStyle name="Followed Hyperlink" xfId="29748" builtinId="9" hidden="1"/>
    <cellStyle name="Followed Hyperlink" xfId="29749" builtinId="9" hidden="1"/>
    <cellStyle name="Followed Hyperlink" xfId="29750" builtinId="9" hidden="1"/>
    <cellStyle name="Followed Hyperlink" xfId="29751" builtinId="9" hidden="1"/>
    <cellStyle name="Followed Hyperlink" xfId="29752" builtinId="9" hidden="1"/>
    <cellStyle name="Followed Hyperlink" xfId="29753" builtinId="9" hidden="1"/>
    <cellStyle name="Followed Hyperlink" xfId="29754" builtinId="9" hidden="1"/>
    <cellStyle name="Followed Hyperlink" xfId="29755" builtinId="9" hidden="1"/>
    <cellStyle name="Followed Hyperlink" xfId="29756" builtinId="9" hidden="1"/>
    <cellStyle name="Followed Hyperlink" xfId="29757" builtinId="9" hidden="1"/>
    <cellStyle name="Followed Hyperlink" xfId="29758" builtinId="9" hidden="1"/>
    <cellStyle name="Followed Hyperlink" xfId="29759" builtinId="9" hidden="1"/>
    <cellStyle name="Followed Hyperlink" xfId="29760" builtinId="9" hidden="1"/>
    <cellStyle name="Followed Hyperlink" xfId="29761" builtinId="9" hidden="1"/>
    <cellStyle name="Followed Hyperlink" xfId="29762" builtinId="9" hidden="1"/>
    <cellStyle name="Followed Hyperlink" xfId="29763" builtinId="9" hidden="1"/>
    <cellStyle name="Followed Hyperlink" xfId="29764" builtinId="9" hidden="1"/>
    <cellStyle name="Followed Hyperlink" xfId="29765" builtinId="9" hidden="1"/>
    <cellStyle name="Followed Hyperlink" xfId="29766" builtinId="9" hidden="1"/>
    <cellStyle name="Followed Hyperlink" xfId="29767" builtinId="9" hidden="1"/>
    <cellStyle name="Followed Hyperlink" xfId="29768" builtinId="9" hidden="1"/>
    <cellStyle name="Followed Hyperlink" xfId="29769" builtinId="9" hidden="1"/>
    <cellStyle name="Followed Hyperlink" xfId="29770" builtinId="9" hidden="1"/>
    <cellStyle name="Followed Hyperlink" xfId="29771" builtinId="9" hidden="1"/>
    <cellStyle name="Followed Hyperlink" xfId="29772" builtinId="9" hidden="1"/>
    <cellStyle name="Followed Hyperlink" xfId="29773" builtinId="9" hidden="1"/>
    <cellStyle name="Followed Hyperlink" xfId="29774" builtinId="9" hidden="1"/>
    <cellStyle name="Followed Hyperlink" xfId="29775" builtinId="9" hidden="1"/>
    <cellStyle name="Followed Hyperlink" xfId="29776" builtinId="9" hidden="1"/>
    <cellStyle name="Followed Hyperlink" xfId="29777" builtinId="9" hidden="1"/>
    <cellStyle name="Followed Hyperlink" xfId="29780" builtinId="9" hidden="1"/>
    <cellStyle name="Followed Hyperlink" xfId="29781" builtinId="9" hidden="1"/>
    <cellStyle name="Followed Hyperlink" xfId="29782" builtinId="9" hidden="1"/>
    <cellStyle name="Followed Hyperlink" xfId="29783" builtinId="9" hidden="1"/>
    <cellStyle name="Followed Hyperlink" xfId="29784" builtinId="9" hidden="1"/>
    <cellStyle name="Followed Hyperlink" xfId="29785" builtinId="9" hidden="1"/>
    <cellStyle name="Followed Hyperlink" xfId="29786" builtinId="9" hidden="1"/>
    <cellStyle name="Followed Hyperlink" xfId="29787" builtinId="9" hidden="1"/>
    <cellStyle name="Followed Hyperlink" xfId="29788" builtinId="9" hidden="1"/>
    <cellStyle name="Followed Hyperlink" xfId="29789" builtinId="9" hidden="1"/>
    <cellStyle name="Followed Hyperlink" xfId="29790" builtinId="9" hidden="1"/>
    <cellStyle name="Followed Hyperlink" xfId="29791" builtinId="9" hidden="1"/>
    <cellStyle name="Followed Hyperlink" xfId="29792" builtinId="9" hidden="1"/>
    <cellStyle name="Followed Hyperlink" xfId="29793" builtinId="9" hidden="1"/>
    <cellStyle name="Followed Hyperlink" xfId="29794" builtinId="9" hidden="1"/>
    <cellStyle name="Followed Hyperlink" xfId="29795" builtinId="9" hidden="1"/>
    <cellStyle name="Followed Hyperlink" xfId="29796" builtinId="9" hidden="1"/>
    <cellStyle name="Followed Hyperlink" xfId="29797" builtinId="9" hidden="1"/>
    <cellStyle name="Followed Hyperlink" xfId="29798" builtinId="9" hidden="1"/>
    <cellStyle name="Followed Hyperlink" xfId="29799" builtinId="9" hidden="1"/>
    <cellStyle name="Followed Hyperlink" xfId="29800" builtinId="9" hidden="1"/>
    <cellStyle name="Followed Hyperlink" xfId="29801" builtinId="9" hidden="1"/>
    <cellStyle name="Followed Hyperlink" xfId="29802" builtinId="9" hidden="1"/>
    <cellStyle name="Followed Hyperlink" xfId="29803" builtinId="9" hidden="1"/>
    <cellStyle name="Followed Hyperlink" xfId="29804" builtinId="9" hidden="1"/>
    <cellStyle name="Followed Hyperlink" xfId="29805" builtinId="9" hidden="1"/>
    <cellStyle name="Followed Hyperlink" xfId="29806" builtinId="9" hidden="1"/>
    <cellStyle name="Followed Hyperlink" xfId="29807" builtinId="9" hidden="1"/>
    <cellStyle name="Followed Hyperlink" xfId="29808" builtinId="9" hidden="1"/>
    <cellStyle name="Followed Hyperlink" xfId="29809" builtinId="9" hidden="1"/>
    <cellStyle name="Followed Hyperlink" xfId="29810" builtinId="9" hidden="1"/>
    <cellStyle name="Followed Hyperlink" xfId="29811" builtinId="9" hidden="1"/>
    <cellStyle name="Followed Hyperlink" xfId="29812" builtinId="9" hidden="1"/>
    <cellStyle name="Followed Hyperlink" xfId="29813" builtinId="9" hidden="1"/>
    <cellStyle name="Followed Hyperlink" xfId="29814" builtinId="9" hidden="1"/>
    <cellStyle name="Followed Hyperlink" xfId="29815" builtinId="9" hidden="1"/>
    <cellStyle name="Followed Hyperlink" xfId="29816" builtinId="9" hidden="1"/>
    <cellStyle name="Followed Hyperlink" xfId="29817" builtinId="9" hidden="1"/>
    <cellStyle name="Followed Hyperlink" xfId="29818" builtinId="9" hidden="1"/>
    <cellStyle name="Followed Hyperlink" xfId="29819" builtinId="9" hidden="1"/>
    <cellStyle name="Followed Hyperlink" xfId="29820" builtinId="9" hidden="1"/>
    <cellStyle name="Followed Hyperlink" xfId="29821" builtinId="9" hidden="1"/>
    <cellStyle name="Followed Hyperlink" xfId="29822" builtinId="9" hidden="1"/>
    <cellStyle name="Followed Hyperlink" xfId="29823" builtinId="9" hidden="1"/>
    <cellStyle name="Followed Hyperlink" xfId="29824" builtinId="9" hidden="1"/>
    <cellStyle name="Followed Hyperlink" xfId="29825" builtinId="9" hidden="1"/>
    <cellStyle name="Followed Hyperlink" xfId="29826" builtinId="9" hidden="1"/>
    <cellStyle name="Followed Hyperlink" xfId="29827" builtinId="9" hidden="1"/>
    <cellStyle name="Followed Hyperlink" xfId="29828" builtinId="9" hidden="1"/>
    <cellStyle name="Followed Hyperlink" xfId="29829" builtinId="9" hidden="1"/>
    <cellStyle name="Followed Hyperlink" xfId="29830" builtinId="9" hidden="1"/>
    <cellStyle name="Followed Hyperlink" xfId="29831" builtinId="9" hidden="1"/>
    <cellStyle name="Followed Hyperlink" xfId="29832" builtinId="9" hidden="1"/>
    <cellStyle name="Followed Hyperlink" xfId="29833" builtinId="9" hidden="1"/>
    <cellStyle name="Followed Hyperlink" xfId="29834" builtinId="9" hidden="1"/>
    <cellStyle name="Followed Hyperlink" xfId="29835" builtinId="9" hidden="1"/>
    <cellStyle name="Followed Hyperlink" xfId="29836" builtinId="9" hidden="1"/>
    <cellStyle name="Followed Hyperlink" xfId="29837" builtinId="9" hidden="1"/>
    <cellStyle name="Followed Hyperlink" xfId="29838" builtinId="9" hidden="1"/>
    <cellStyle name="Followed Hyperlink" xfId="29839" builtinId="9" hidden="1"/>
    <cellStyle name="Followed Hyperlink" xfId="29840" builtinId="9" hidden="1"/>
    <cellStyle name="Followed Hyperlink" xfId="29841" builtinId="9" hidden="1"/>
    <cellStyle name="Followed Hyperlink" xfId="29842" builtinId="9" hidden="1"/>
    <cellStyle name="Followed Hyperlink" xfId="29843" builtinId="9" hidden="1"/>
    <cellStyle name="Followed Hyperlink" xfId="29844" builtinId="9" hidden="1"/>
    <cellStyle name="Followed Hyperlink" xfId="29845" builtinId="9" hidden="1"/>
    <cellStyle name="Followed Hyperlink" xfId="29846" builtinId="9" hidden="1"/>
    <cellStyle name="Followed Hyperlink" xfId="29847" builtinId="9" hidden="1"/>
    <cellStyle name="Followed Hyperlink" xfId="29848" builtinId="9" hidden="1"/>
    <cellStyle name="Followed Hyperlink" xfId="29849" builtinId="9" hidden="1"/>
    <cellStyle name="Followed Hyperlink" xfId="29850" builtinId="9" hidden="1"/>
    <cellStyle name="Followed Hyperlink" xfId="29851" builtinId="9" hidden="1"/>
    <cellStyle name="Followed Hyperlink" xfId="29852" builtinId="9" hidden="1"/>
    <cellStyle name="Followed Hyperlink" xfId="29853" builtinId="9" hidden="1"/>
    <cellStyle name="Followed Hyperlink" xfId="29854" builtinId="9" hidden="1"/>
    <cellStyle name="Followed Hyperlink" xfId="29855" builtinId="9" hidden="1"/>
    <cellStyle name="Followed Hyperlink" xfId="29856" builtinId="9" hidden="1"/>
    <cellStyle name="Followed Hyperlink" xfId="29857" builtinId="9" hidden="1"/>
    <cellStyle name="Followed Hyperlink" xfId="29858" builtinId="9" hidden="1"/>
    <cellStyle name="Followed Hyperlink" xfId="29859" builtinId="9" hidden="1"/>
    <cellStyle name="Followed Hyperlink" xfId="29860" builtinId="9" hidden="1"/>
    <cellStyle name="Followed Hyperlink" xfId="29861" builtinId="9" hidden="1"/>
    <cellStyle name="Followed Hyperlink" xfId="29862" builtinId="9" hidden="1"/>
    <cellStyle name="Followed Hyperlink" xfId="29863" builtinId="9" hidden="1"/>
    <cellStyle name="Followed Hyperlink" xfId="29864" builtinId="9" hidden="1"/>
    <cellStyle name="Followed Hyperlink" xfId="29865" builtinId="9" hidden="1"/>
    <cellStyle name="Followed Hyperlink" xfId="29866" builtinId="9" hidden="1"/>
    <cellStyle name="Followed Hyperlink" xfId="29867" builtinId="9" hidden="1"/>
    <cellStyle name="Followed Hyperlink" xfId="29868" builtinId="9" hidden="1"/>
    <cellStyle name="Followed Hyperlink" xfId="29869" builtinId="9" hidden="1"/>
    <cellStyle name="Followed Hyperlink" xfId="29870" builtinId="9" hidden="1"/>
    <cellStyle name="Followed Hyperlink" xfId="29871" builtinId="9" hidden="1"/>
    <cellStyle name="Followed Hyperlink" xfId="29872" builtinId="9" hidden="1"/>
    <cellStyle name="Followed Hyperlink" xfId="29873" builtinId="9" hidden="1"/>
    <cellStyle name="Followed Hyperlink" xfId="29874" builtinId="9" hidden="1"/>
    <cellStyle name="Followed Hyperlink" xfId="29875" builtinId="9" hidden="1"/>
    <cellStyle name="Followed Hyperlink" xfId="29876" builtinId="9" hidden="1"/>
    <cellStyle name="Followed Hyperlink" xfId="29877" builtinId="9" hidden="1"/>
    <cellStyle name="Followed Hyperlink" xfId="29878" builtinId="9" hidden="1"/>
    <cellStyle name="Followed Hyperlink" xfId="29879" builtinId="9" hidden="1"/>
    <cellStyle name="Followed Hyperlink" xfId="29880" builtinId="9" hidden="1"/>
    <cellStyle name="Followed Hyperlink" xfId="29881" builtinId="9" hidden="1"/>
    <cellStyle name="Followed Hyperlink" xfId="29882" builtinId="9" hidden="1"/>
    <cellStyle name="Followed Hyperlink" xfId="29883" builtinId="9" hidden="1"/>
    <cellStyle name="Followed Hyperlink" xfId="29884" builtinId="9" hidden="1"/>
    <cellStyle name="Followed Hyperlink" xfId="29885" builtinId="9" hidden="1"/>
    <cellStyle name="Followed Hyperlink" xfId="29886" builtinId="9" hidden="1"/>
    <cellStyle name="Followed Hyperlink" xfId="29887" builtinId="9" hidden="1"/>
    <cellStyle name="Followed Hyperlink" xfId="29888" builtinId="9" hidden="1"/>
    <cellStyle name="Followed Hyperlink" xfId="29889" builtinId="9" hidden="1"/>
    <cellStyle name="Followed Hyperlink" xfId="29890" builtinId="9" hidden="1"/>
    <cellStyle name="Followed Hyperlink" xfId="29891" builtinId="9" hidden="1"/>
    <cellStyle name="Followed Hyperlink" xfId="29892" builtinId="9" hidden="1"/>
    <cellStyle name="Followed Hyperlink" xfId="29893" builtinId="9" hidden="1"/>
    <cellStyle name="Followed Hyperlink" xfId="29894" builtinId="9" hidden="1"/>
    <cellStyle name="Followed Hyperlink" xfId="29895" builtinId="9" hidden="1"/>
    <cellStyle name="Followed Hyperlink" xfId="29896" builtinId="9" hidden="1"/>
    <cellStyle name="Followed Hyperlink" xfId="29897" builtinId="9" hidden="1"/>
    <cellStyle name="Followed Hyperlink" xfId="29898" builtinId="9" hidden="1"/>
    <cellStyle name="Followed Hyperlink" xfId="29899" builtinId="9" hidden="1"/>
    <cellStyle name="Followed Hyperlink" xfId="29900" builtinId="9" hidden="1"/>
    <cellStyle name="Followed Hyperlink" xfId="29901" builtinId="9" hidden="1"/>
    <cellStyle name="Followed Hyperlink" xfId="29902" builtinId="9" hidden="1"/>
    <cellStyle name="Followed Hyperlink" xfId="29903" builtinId="9" hidden="1"/>
    <cellStyle name="Followed Hyperlink" xfId="29904" builtinId="9" hidden="1"/>
    <cellStyle name="Followed Hyperlink" xfId="29905" builtinId="9" hidden="1"/>
    <cellStyle name="Followed Hyperlink" xfId="29906" builtinId="9" hidden="1"/>
    <cellStyle name="Followed Hyperlink" xfId="29907" builtinId="9" hidden="1"/>
    <cellStyle name="Followed Hyperlink" xfId="29908" builtinId="9" hidden="1"/>
    <cellStyle name="Followed Hyperlink" xfId="29909" builtinId="9" hidden="1"/>
    <cellStyle name="Followed Hyperlink" xfId="29910" builtinId="9" hidden="1"/>
    <cellStyle name="Followed Hyperlink" xfId="29911" builtinId="9" hidden="1"/>
    <cellStyle name="Followed Hyperlink" xfId="29912" builtinId="9" hidden="1"/>
    <cellStyle name="Followed Hyperlink" xfId="29913" builtinId="9" hidden="1"/>
    <cellStyle name="Followed Hyperlink" xfId="29914" builtinId="9" hidden="1"/>
    <cellStyle name="Followed Hyperlink" xfId="29915" builtinId="9" hidden="1"/>
    <cellStyle name="Followed Hyperlink" xfId="29916" builtinId="9" hidden="1"/>
    <cellStyle name="Followed Hyperlink" xfId="29917" builtinId="9" hidden="1"/>
    <cellStyle name="Followed Hyperlink" xfId="29918" builtinId="9" hidden="1"/>
    <cellStyle name="Followed Hyperlink" xfId="29919" builtinId="9" hidden="1"/>
    <cellStyle name="Followed Hyperlink" xfId="29920" builtinId="9" hidden="1"/>
    <cellStyle name="Followed Hyperlink" xfId="29921" builtinId="9" hidden="1"/>
    <cellStyle name="Followed Hyperlink" xfId="29922" builtinId="9" hidden="1"/>
    <cellStyle name="Followed Hyperlink" xfId="29923" builtinId="9" hidden="1"/>
    <cellStyle name="Followed Hyperlink" xfId="29924" builtinId="9" hidden="1"/>
    <cellStyle name="Followed Hyperlink" xfId="29925" builtinId="9" hidden="1"/>
    <cellStyle name="Followed Hyperlink" xfId="29926" builtinId="9" hidden="1"/>
    <cellStyle name="Followed Hyperlink" xfId="29927" builtinId="9" hidden="1"/>
    <cellStyle name="Followed Hyperlink" xfId="29022" builtinId="9" hidden="1"/>
    <cellStyle name="Followed Hyperlink" xfId="30114" builtinId="9" hidden="1"/>
    <cellStyle name="Followed Hyperlink" xfId="30087" builtinId="9" hidden="1"/>
    <cellStyle name="Followed Hyperlink" xfId="30023" builtinId="9" hidden="1"/>
    <cellStyle name="Followed Hyperlink" xfId="30010" builtinId="9" hidden="1"/>
    <cellStyle name="Followed Hyperlink" xfId="30013" builtinId="9" hidden="1"/>
    <cellStyle name="Followed Hyperlink" xfId="30053" builtinId="9" hidden="1"/>
    <cellStyle name="Followed Hyperlink" xfId="29965" builtinId="9" hidden="1"/>
    <cellStyle name="Followed Hyperlink" xfId="29183" builtinId="9" hidden="1"/>
    <cellStyle name="Followed Hyperlink" xfId="30004" builtinId="9" hidden="1"/>
    <cellStyle name="Followed Hyperlink" xfId="29953" builtinId="9" hidden="1"/>
    <cellStyle name="Followed Hyperlink" xfId="30050" builtinId="9" hidden="1"/>
    <cellStyle name="Followed Hyperlink" xfId="29952" builtinId="9" hidden="1"/>
    <cellStyle name="Followed Hyperlink" xfId="29019" builtinId="9" hidden="1"/>
    <cellStyle name="Followed Hyperlink" xfId="30135" builtinId="9" hidden="1"/>
    <cellStyle name="Followed Hyperlink" xfId="30047" builtinId="9" hidden="1"/>
    <cellStyle name="Followed Hyperlink" xfId="29996" builtinId="9" hidden="1"/>
    <cellStyle name="Followed Hyperlink" xfId="29950" builtinId="9" hidden="1"/>
    <cellStyle name="Followed Hyperlink" xfId="29951" builtinId="9" hidden="1"/>
    <cellStyle name="Followed Hyperlink" xfId="30469" builtinId="9" hidden="1"/>
    <cellStyle name="Followed Hyperlink" xfId="30136" builtinId="9" hidden="1"/>
    <cellStyle name="Followed Hyperlink" xfId="30140" builtinId="9" hidden="1"/>
    <cellStyle name="Followed Hyperlink" xfId="30079" builtinId="9" hidden="1"/>
    <cellStyle name="Followed Hyperlink" xfId="30078" builtinId="9" hidden="1"/>
    <cellStyle name="Followed Hyperlink" xfId="30077" builtinId="9" hidden="1"/>
    <cellStyle name="Followed Hyperlink" xfId="30076" builtinId="9" hidden="1"/>
    <cellStyle name="Followed Hyperlink" xfId="29964" builtinId="9" hidden="1"/>
    <cellStyle name="Followed Hyperlink" xfId="28157" builtinId="9" hidden="1"/>
    <cellStyle name="Followed Hyperlink" xfId="29949" builtinId="9" hidden="1"/>
    <cellStyle name="Followed Hyperlink" xfId="30123" builtinId="9" hidden="1"/>
    <cellStyle name="Followed Hyperlink" xfId="29947" builtinId="9" hidden="1"/>
    <cellStyle name="Followed Hyperlink" xfId="29948" builtinId="9" hidden="1"/>
    <cellStyle name="Followed Hyperlink" xfId="29184" builtinId="9" hidden="1"/>
    <cellStyle name="Followed Hyperlink" xfId="30054" builtinId="9" hidden="1"/>
    <cellStyle name="Followed Hyperlink" xfId="29962" builtinId="9" hidden="1"/>
    <cellStyle name="Followed Hyperlink" xfId="29963" builtinId="9" hidden="1"/>
    <cellStyle name="Followed Hyperlink" xfId="28401" builtinId="9" hidden="1"/>
    <cellStyle name="Followed Hyperlink" xfId="30075" builtinId="9" hidden="1"/>
    <cellStyle name="Followed Hyperlink" xfId="27296" builtinId="9" hidden="1"/>
    <cellStyle name="Followed Hyperlink" xfId="30118" builtinId="9" hidden="1"/>
    <cellStyle name="Followed Hyperlink" xfId="30099" builtinId="9" hidden="1"/>
    <cellStyle name="Followed Hyperlink" xfId="30074" builtinId="9" hidden="1"/>
    <cellStyle name="Followed Hyperlink" xfId="30105" builtinId="9" hidden="1"/>
    <cellStyle name="Followed Hyperlink" xfId="30062" builtinId="9" hidden="1"/>
    <cellStyle name="Followed Hyperlink" xfId="30107" builtinId="9" hidden="1"/>
    <cellStyle name="Followed Hyperlink" xfId="30073" builtinId="9" hidden="1"/>
    <cellStyle name="Followed Hyperlink" xfId="30072" builtinId="9" hidden="1"/>
    <cellStyle name="Followed Hyperlink" xfId="30071" builtinId="9" hidden="1"/>
    <cellStyle name="Followed Hyperlink" xfId="29210" builtinId="9" hidden="1"/>
    <cellStyle name="Followed Hyperlink" xfId="30060" builtinId="9" hidden="1"/>
    <cellStyle name="Followed Hyperlink" xfId="28256" builtinId="9" hidden="1"/>
    <cellStyle name="Followed Hyperlink" xfId="29209" builtinId="9" hidden="1"/>
    <cellStyle name="Followed Hyperlink" xfId="30116" builtinId="9" hidden="1"/>
    <cellStyle name="Followed Hyperlink" xfId="30089" builtinId="9" hidden="1"/>
    <cellStyle name="Followed Hyperlink" xfId="30024" builtinId="9" hidden="1"/>
    <cellStyle name="Followed Hyperlink" xfId="30002" builtinId="9" hidden="1"/>
    <cellStyle name="Followed Hyperlink" xfId="29994" builtinId="9" hidden="1"/>
    <cellStyle name="Followed Hyperlink" xfId="29961" builtinId="9" hidden="1"/>
    <cellStyle name="Followed Hyperlink" xfId="29020" builtinId="9" hidden="1"/>
    <cellStyle name="Followed Hyperlink" xfId="30051" builtinId="9" hidden="1"/>
    <cellStyle name="Followed Hyperlink" xfId="29995" builtinId="9" hidden="1"/>
    <cellStyle name="Followed Hyperlink" xfId="29946" builtinId="9" hidden="1"/>
    <cellStyle name="Followed Hyperlink" xfId="29945" builtinId="9" hidden="1"/>
    <cellStyle name="Followed Hyperlink" xfId="29944" builtinId="9" hidden="1"/>
    <cellStyle name="Followed Hyperlink" xfId="29943" builtinId="9" hidden="1"/>
    <cellStyle name="Followed Hyperlink" xfId="28400" builtinId="9" hidden="1"/>
    <cellStyle name="Followed Hyperlink" xfId="30130" builtinId="9" hidden="1"/>
    <cellStyle name="Followed Hyperlink" xfId="28077" builtinId="9" hidden="1"/>
    <cellStyle name="Followed Hyperlink" xfId="30014" builtinId="9" hidden="1"/>
    <cellStyle name="Followed Hyperlink" xfId="30007" builtinId="9" hidden="1"/>
    <cellStyle name="Followed Hyperlink" xfId="29960" builtinId="9" hidden="1"/>
    <cellStyle name="Followed Hyperlink" xfId="28219" builtinId="9" hidden="1"/>
    <cellStyle name="Followed Hyperlink" xfId="30056" builtinId="9" hidden="1"/>
    <cellStyle name="Followed Hyperlink" xfId="30008" builtinId="9" hidden="1"/>
    <cellStyle name="Followed Hyperlink" xfId="29959" builtinId="9" hidden="1"/>
    <cellStyle name="Followed Hyperlink" xfId="29166" builtinId="9" hidden="1"/>
    <cellStyle name="Followed Hyperlink" xfId="29942" builtinId="9" hidden="1"/>
    <cellStyle name="Followed Hyperlink" xfId="29941" builtinId="9" hidden="1"/>
    <cellStyle name="Followed Hyperlink" xfId="28426" builtinId="9" hidden="1"/>
    <cellStyle name="Followed Hyperlink" xfId="29940" builtinId="9" hidden="1"/>
    <cellStyle name="Followed Hyperlink" xfId="29023" builtinId="9" hidden="1"/>
    <cellStyle name="Followed Hyperlink" xfId="30098" builtinId="9" hidden="1"/>
    <cellStyle name="Followed Hyperlink" xfId="30070" builtinId="9" hidden="1"/>
    <cellStyle name="Followed Hyperlink" xfId="29936" builtinId="9" hidden="1"/>
    <cellStyle name="Followed Hyperlink" xfId="29939" builtinId="9" hidden="1"/>
    <cellStyle name="Followed Hyperlink" xfId="29958" builtinId="9" hidden="1"/>
    <cellStyle name="Followed Hyperlink" xfId="28189" builtinId="9" hidden="1"/>
    <cellStyle name="Followed Hyperlink" xfId="30122" builtinId="9" hidden="1"/>
    <cellStyle name="Followed Hyperlink" xfId="29937" builtinId="9" hidden="1"/>
    <cellStyle name="Followed Hyperlink" xfId="29938" builtinId="9" hidden="1"/>
    <cellStyle name="Followed Hyperlink" xfId="27299" builtinId="9" hidden="1"/>
    <cellStyle name="Followed Hyperlink" xfId="30134" builtinId="9" hidden="1"/>
    <cellStyle name="Followed Hyperlink" xfId="30097" builtinId="9" hidden="1"/>
    <cellStyle name="Followed Hyperlink" xfId="30468" builtinId="9" hidden="1"/>
    <cellStyle name="Followed Hyperlink" xfId="30138" builtinId="9" hidden="1"/>
    <cellStyle name="Followed Hyperlink" xfId="30137" builtinId="9" hidden="1"/>
    <cellStyle name="Followed Hyperlink" xfId="30132" builtinId="9" hidden="1"/>
    <cellStyle name="Followed Hyperlink" xfId="28288" builtinId="9" hidden="1"/>
    <cellStyle name="Followed Hyperlink" xfId="30069" builtinId="9" hidden="1"/>
    <cellStyle name="Followed Hyperlink" xfId="30068" builtinId="9" hidden="1"/>
    <cellStyle name="Followed Hyperlink" xfId="30067" builtinId="9" hidden="1"/>
    <cellStyle name="Followed Hyperlink" xfId="30066" builtinId="9" hidden="1"/>
    <cellStyle name="Followed Hyperlink" xfId="29957" builtinId="9" hidden="1"/>
    <cellStyle name="Followed Hyperlink" xfId="26136" builtinId="9" hidden="1"/>
    <cellStyle name="Followed Hyperlink" xfId="29935" builtinId="9" hidden="1"/>
    <cellStyle name="Followed Hyperlink" xfId="29956" builtinId="9" hidden="1"/>
    <cellStyle name="Followed Hyperlink" xfId="29185" builtinId="9" hidden="1"/>
    <cellStyle name="Followed Hyperlink" xfId="30133" builtinId="9" hidden="1"/>
    <cellStyle name="Followed Hyperlink" xfId="30096" builtinId="9" hidden="1"/>
    <cellStyle name="Followed Hyperlink" xfId="30095" builtinId="9" hidden="1"/>
    <cellStyle name="Followed Hyperlink" xfId="30129" builtinId="9" hidden="1"/>
    <cellStyle name="Followed Hyperlink" xfId="30127" builtinId="9" hidden="1"/>
    <cellStyle name="Followed Hyperlink" xfId="30125" builtinId="9" hidden="1"/>
    <cellStyle name="Followed Hyperlink" xfId="30117" builtinId="9" hidden="1"/>
    <cellStyle name="Followed Hyperlink" xfId="30139" builtinId="9" hidden="1"/>
    <cellStyle name="Followed Hyperlink" xfId="28422" builtinId="9" hidden="1"/>
    <cellStyle name="Followed Hyperlink" xfId="29933" builtinId="9" hidden="1"/>
    <cellStyle name="Followed Hyperlink" xfId="29934" builtinId="9" hidden="1"/>
    <cellStyle name="Followed Hyperlink" xfId="29104" builtinId="9" hidden="1"/>
    <cellStyle name="Followed Hyperlink" xfId="29681" builtinId="9" hidden="1"/>
    <cellStyle name="Followed Hyperlink" xfId="30093" builtinId="9" hidden="1"/>
    <cellStyle name="Followed Hyperlink" xfId="30102" builtinId="9" hidden="1"/>
    <cellStyle name="Followed Hyperlink" xfId="30026" builtinId="9" hidden="1"/>
    <cellStyle name="Followed Hyperlink" xfId="30103" builtinId="9" hidden="1"/>
    <cellStyle name="Followed Hyperlink" xfId="30058" builtinId="9" hidden="1"/>
    <cellStyle name="Followed Hyperlink" xfId="30017" builtinId="9" hidden="1"/>
    <cellStyle name="Followed Hyperlink" xfId="29997" builtinId="9" hidden="1"/>
    <cellStyle name="Followed Hyperlink" xfId="30001" builtinId="9" hidden="1"/>
    <cellStyle name="Followed Hyperlink" xfId="30115" builtinId="9" hidden="1"/>
    <cellStyle name="Followed Hyperlink" xfId="30088" builtinId="9" hidden="1"/>
    <cellStyle name="Followed Hyperlink" xfId="30022" builtinId="9" hidden="1"/>
    <cellStyle name="Followed Hyperlink" xfId="30009" builtinId="9" hidden="1"/>
    <cellStyle name="Followed Hyperlink" xfId="30113" builtinId="9" hidden="1"/>
    <cellStyle name="Followed Hyperlink" xfId="30086" builtinId="9" hidden="1"/>
    <cellStyle name="Followed Hyperlink" xfId="30052" builtinId="9" hidden="1"/>
    <cellStyle name="Followed Hyperlink" xfId="30015" builtinId="9" hidden="1"/>
    <cellStyle name="Followed Hyperlink" xfId="29954" builtinId="9" hidden="1"/>
    <cellStyle name="Followed Hyperlink" xfId="30006" builtinId="9" hidden="1"/>
    <cellStyle name="Followed Hyperlink" xfId="30048" builtinId="9" hidden="1"/>
    <cellStyle name="Followed Hyperlink" xfId="29932" builtinId="9" hidden="1"/>
    <cellStyle name="Followed Hyperlink" xfId="29993" builtinId="9" hidden="1"/>
    <cellStyle name="Followed Hyperlink" xfId="30044" builtinId="9" hidden="1"/>
    <cellStyle name="Followed Hyperlink" xfId="29186" builtinId="9" hidden="1"/>
    <cellStyle name="Followed Hyperlink" xfId="30043" builtinId="9" hidden="1"/>
    <cellStyle name="Followed Hyperlink" xfId="30012" builtinId="9" hidden="1"/>
    <cellStyle name="Followed Hyperlink" xfId="28259" builtinId="9" hidden="1"/>
    <cellStyle name="Followed Hyperlink" xfId="30021" builtinId="9" hidden="1"/>
    <cellStyle name="Followed Hyperlink" xfId="29989" builtinId="9" hidden="1"/>
    <cellStyle name="Followed Hyperlink" xfId="29021" builtinId="9" hidden="1"/>
    <cellStyle name="Followed Hyperlink" xfId="29124" builtinId="9" hidden="1"/>
    <cellStyle name="Followed Hyperlink" xfId="30466" builtinId="9" hidden="1"/>
    <cellStyle name="Followed Hyperlink" xfId="30464" builtinId="9" hidden="1"/>
    <cellStyle name="Followed Hyperlink" xfId="30462" builtinId="9" hidden="1"/>
    <cellStyle name="Followed Hyperlink" xfId="30460" builtinId="9" hidden="1"/>
    <cellStyle name="Followed Hyperlink" xfId="30458" builtinId="9" hidden="1"/>
    <cellStyle name="Followed Hyperlink" xfId="30456" builtinId="9" hidden="1"/>
    <cellStyle name="Followed Hyperlink" xfId="30454" builtinId="9" hidden="1"/>
    <cellStyle name="Followed Hyperlink" xfId="30452" builtinId="9" hidden="1"/>
    <cellStyle name="Followed Hyperlink" xfId="30450" builtinId="9" hidden="1"/>
    <cellStyle name="Followed Hyperlink" xfId="30448" builtinId="9" hidden="1"/>
    <cellStyle name="Followed Hyperlink" xfId="30446" builtinId="9" hidden="1"/>
    <cellStyle name="Followed Hyperlink" xfId="30444" builtinId="9" hidden="1"/>
    <cellStyle name="Followed Hyperlink" xfId="30442" builtinId="9" hidden="1"/>
    <cellStyle name="Followed Hyperlink" xfId="30440" builtinId="9" hidden="1"/>
    <cellStyle name="Followed Hyperlink" xfId="30438" builtinId="9" hidden="1"/>
    <cellStyle name="Followed Hyperlink" xfId="30436" builtinId="9" hidden="1"/>
    <cellStyle name="Followed Hyperlink" xfId="30434" builtinId="9" hidden="1"/>
    <cellStyle name="Followed Hyperlink" xfId="30432" builtinId="9" hidden="1"/>
    <cellStyle name="Followed Hyperlink" xfId="30430" builtinId="9" hidden="1"/>
    <cellStyle name="Followed Hyperlink" xfId="30428" builtinId="9" hidden="1"/>
    <cellStyle name="Followed Hyperlink" xfId="30426" builtinId="9" hidden="1"/>
    <cellStyle name="Followed Hyperlink" xfId="30424" builtinId="9" hidden="1"/>
    <cellStyle name="Followed Hyperlink" xfId="30422" builtinId="9" hidden="1"/>
    <cellStyle name="Followed Hyperlink" xfId="30420" builtinId="9" hidden="1"/>
    <cellStyle name="Followed Hyperlink" xfId="30418" builtinId="9" hidden="1"/>
    <cellStyle name="Followed Hyperlink" xfId="30416" builtinId="9" hidden="1"/>
    <cellStyle name="Followed Hyperlink" xfId="30414" builtinId="9" hidden="1"/>
    <cellStyle name="Followed Hyperlink" xfId="30412" builtinId="9" hidden="1"/>
    <cellStyle name="Followed Hyperlink" xfId="30410" builtinId="9" hidden="1"/>
    <cellStyle name="Followed Hyperlink" xfId="30408" builtinId="9" hidden="1"/>
    <cellStyle name="Followed Hyperlink" xfId="30406" builtinId="9" hidden="1"/>
    <cellStyle name="Followed Hyperlink" xfId="30404" builtinId="9" hidden="1"/>
    <cellStyle name="Followed Hyperlink" xfId="30402" builtinId="9" hidden="1"/>
    <cellStyle name="Followed Hyperlink" xfId="30400" builtinId="9" hidden="1"/>
    <cellStyle name="Followed Hyperlink" xfId="30398" builtinId="9" hidden="1"/>
    <cellStyle name="Followed Hyperlink" xfId="30396" builtinId="9" hidden="1"/>
    <cellStyle name="Followed Hyperlink" xfId="30394" builtinId="9" hidden="1"/>
    <cellStyle name="Followed Hyperlink" xfId="30392" builtinId="9" hidden="1"/>
    <cellStyle name="Followed Hyperlink" xfId="30390" builtinId="9" hidden="1"/>
    <cellStyle name="Followed Hyperlink" xfId="30388" builtinId="9" hidden="1"/>
    <cellStyle name="Followed Hyperlink" xfId="30386" builtinId="9" hidden="1"/>
    <cellStyle name="Followed Hyperlink" xfId="30384" builtinId="9" hidden="1"/>
    <cellStyle name="Followed Hyperlink" xfId="30382" builtinId="9" hidden="1"/>
    <cellStyle name="Followed Hyperlink" xfId="30380" builtinId="9" hidden="1"/>
    <cellStyle name="Followed Hyperlink" xfId="30378" builtinId="9" hidden="1"/>
    <cellStyle name="Followed Hyperlink" xfId="30376" builtinId="9" hidden="1"/>
    <cellStyle name="Followed Hyperlink" xfId="30374" builtinId="9" hidden="1"/>
    <cellStyle name="Followed Hyperlink" xfId="30372" builtinId="9" hidden="1"/>
    <cellStyle name="Followed Hyperlink" xfId="30370" builtinId="9" hidden="1"/>
    <cellStyle name="Followed Hyperlink" xfId="30368" builtinId="9" hidden="1"/>
    <cellStyle name="Followed Hyperlink" xfId="30366" builtinId="9" hidden="1"/>
    <cellStyle name="Followed Hyperlink" xfId="30364" builtinId="9" hidden="1"/>
    <cellStyle name="Followed Hyperlink" xfId="30362" builtinId="9" hidden="1"/>
    <cellStyle name="Followed Hyperlink" xfId="30360" builtinId="9" hidden="1"/>
    <cellStyle name="Followed Hyperlink" xfId="30358" builtinId="9" hidden="1"/>
    <cellStyle name="Followed Hyperlink" xfId="30356" builtinId="9" hidden="1"/>
    <cellStyle name="Followed Hyperlink" xfId="30354" builtinId="9" hidden="1"/>
    <cellStyle name="Followed Hyperlink" xfId="30352" builtinId="9" hidden="1"/>
    <cellStyle name="Followed Hyperlink" xfId="30350" builtinId="9" hidden="1"/>
    <cellStyle name="Followed Hyperlink" xfId="30348" builtinId="9" hidden="1"/>
    <cellStyle name="Followed Hyperlink" xfId="30346" builtinId="9" hidden="1"/>
    <cellStyle name="Followed Hyperlink" xfId="30344" builtinId="9" hidden="1"/>
    <cellStyle name="Followed Hyperlink" xfId="30342" builtinId="9" hidden="1"/>
    <cellStyle name="Followed Hyperlink" xfId="30340" builtinId="9" hidden="1"/>
    <cellStyle name="Followed Hyperlink" xfId="30338" builtinId="9" hidden="1"/>
    <cellStyle name="Followed Hyperlink" xfId="30336" builtinId="9" hidden="1"/>
    <cellStyle name="Followed Hyperlink" xfId="30334" builtinId="9" hidden="1"/>
    <cellStyle name="Followed Hyperlink" xfId="30332" builtinId="9" hidden="1"/>
    <cellStyle name="Followed Hyperlink" xfId="30330" builtinId="9" hidden="1"/>
    <cellStyle name="Followed Hyperlink" xfId="30328" builtinId="9" hidden="1"/>
    <cellStyle name="Followed Hyperlink" xfId="30324" builtinId="9" hidden="1"/>
    <cellStyle name="Followed Hyperlink" xfId="30322" builtinId="9" hidden="1"/>
    <cellStyle name="Followed Hyperlink" xfId="30320" builtinId="9" hidden="1"/>
    <cellStyle name="Followed Hyperlink" xfId="30318" builtinId="9" hidden="1"/>
    <cellStyle name="Followed Hyperlink" xfId="30316" builtinId="9" hidden="1"/>
    <cellStyle name="Followed Hyperlink" xfId="30314" builtinId="9" hidden="1"/>
    <cellStyle name="Followed Hyperlink" xfId="30312" builtinId="9" hidden="1"/>
    <cellStyle name="Followed Hyperlink" xfId="30310" builtinId="9" hidden="1"/>
    <cellStyle name="Followed Hyperlink" xfId="30308" builtinId="9" hidden="1"/>
    <cellStyle name="Followed Hyperlink" xfId="30306" builtinId="9" hidden="1"/>
    <cellStyle name="Followed Hyperlink" xfId="30304" builtinId="9" hidden="1"/>
    <cellStyle name="Followed Hyperlink" xfId="30302" builtinId="9" hidden="1"/>
    <cellStyle name="Followed Hyperlink" xfId="30300" builtinId="9" hidden="1"/>
    <cellStyle name="Followed Hyperlink" xfId="30298" builtinId="9" hidden="1"/>
    <cellStyle name="Followed Hyperlink" xfId="30296" builtinId="9" hidden="1"/>
    <cellStyle name="Followed Hyperlink" xfId="30294" builtinId="9" hidden="1"/>
    <cellStyle name="Followed Hyperlink" xfId="30292" builtinId="9" hidden="1"/>
    <cellStyle name="Followed Hyperlink" xfId="30290" builtinId="9" hidden="1"/>
    <cellStyle name="Followed Hyperlink" xfId="30288" builtinId="9" hidden="1"/>
    <cellStyle name="Followed Hyperlink" xfId="30286" builtinId="9" hidden="1"/>
    <cellStyle name="Followed Hyperlink" xfId="30284" builtinId="9" hidden="1"/>
    <cellStyle name="Followed Hyperlink" xfId="30282" builtinId="9" hidden="1"/>
    <cellStyle name="Followed Hyperlink" xfId="30280" builtinId="9" hidden="1"/>
    <cellStyle name="Followed Hyperlink" xfId="30278" builtinId="9" hidden="1"/>
    <cellStyle name="Followed Hyperlink" xfId="30276" builtinId="9" hidden="1"/>
    <cellStyle name="Followed Hyperlink" xfId="30274" builtinId="9" hidden="1"/>
    <cellStyle name="Followed Hyperlink" xfId="30272" builtinId="9" hidden="1"/>
    <cellStyle name="Followed Hyperlink" xfId="30271" builtinId="9" hidden="1"/>
    <cellStyle name="Followed Hyperlink" xfId="30269" builtinId="9" hidden="1"/>
    <cellStyle name="Followed Hyperlink" xfId="30267" builtinId="9" hidden="1"/>
    <cellStyle name="Followed Hyperlink" xfId="30265" builtinId="9" hidden="1"/>
    <cellStyle name="Followed Hyperlink" xfId="30263" builtinId="9" hidden="1"/>
    <cellStyle name="Followed Hyperlink" xfId="30261" builtinId="9" hidden="1"/>
    <cellStyle name="Followed Hyperlink" xfId="30259" builtinId="9" hidden="1"/>
    <cellStyle name="Followed Hyperlink" xfId="30257" builtinId="9" hidden="1"/>
    <cellStyle name="Followed Hyperlink" xfId="30255" builtinId="9" hidden="1"/>
    <cellStyle name="Followed Hyperlink" xfId="30253" builtinId="9" hidden="1"/>
    <cellStyle name="Followed Hyperlink" xfId="30251" builtinId="9" hidden="1"/>
    <cellStyle name="Followed Hyperlink" xfId="30249" builtinId="9" hidden="1"/>
    <cellStyle name="Followed Hyperlink" xfId="30247" builtinId="9" hidden="1"/>
    <cellStyle name="Followed Hyperlink" xfId="30245" builtinId="9" hidden="1"/>
    <cellStyle name="Followed Hyperlink" xfId="30243" builtinId="9" hidden="1"/>
    <cellStyle name="Followed Hyperlink" xfId="30241" builtinId="9" hidden="1"/>
    <cellStyle name="Followed Hyperlink" xfId="30239" builtinId="9" hidden="1"/>
    <cellStyle name="Followed Hyperlink" xfId="30237" builtinId="9" hidden="1"/>
    <cellStyle name="Followed Hyperlink" xfId="30235" builtinId="9" hidden="1"/>
    <cellStyle name="Followed Hyperlink" xfId="30233" builtinId="9" hidden="1"/>
    <cellStyle name="Followed Hyperlink" xfId="30231" builtinId="9" hidden="1"/>
    <cellStyle name="Followed Hyperlink" xfId="30229" builtinId="9" hidden="1"/>
    <cellStyle name="Followed Hyperlink" xfId="30227" builtinId="9" hidden="1"/>
    <cellStyle name="Followed Hyperlink" xfId="30225" builtinId="9" hidden="1"/>
    <cellStyle name="Followed Hyperlink" xfId="30223" builtinId="9" hidden="1"/>
    <cellStyle name="Followed Hyperlink" xfId="30221" builtinId="9" hidden="1"/>
    <cellStyle name="Followed Hyperlink" xfId="30219" builtinId="9" hidden="1"/>
    <cellStyle name="Followed Hyperlink" xfId="30217" builtinId="9" hidden="1"/>
    <cellStyle name="Followed Hyperlink" xfId="30215" builtinId="9" hidden="1"/>
    <cellStyle name="Followed Hyperlink" xfId="30213" builtinId="9" hidden="1"/>
    <cellStyle name="Followed Hyperlink" xfId="30211" builtinId="9" hidden="1"/>
    <cellStyle name="Followed Hyperlink" xfId="30209" builtinId="9" hidden="1"/>
    <cellStyle name="Followed Hyperlink" xfId="30207" builtinId="9" hidden="1"/>
    <cellStyle name="Followed Hyperlink" xfId="30205" builtinId="9" hidden="1"/>
    <cellStyle name="Followed Hyperlink" xfId="30203" builtinId="9" hidden="1"/>
    <cellStyle name="Followed Hyperlink" xfId="30201" builtinId="9" hidden="1"/>
    <cellStyle name="Followed Hyperlink" xfId="30199" builtinId="9" hidden="1"/>
    <cellStyle name="Followed Hyperlink" xfId="30197" builtinId="9" hidden="1"/>
    <cellStyle name="Followed Hyperlink" xfId="30195" builtinId="9" hidden="1"/>
    <cellStyle name="Followed Hyperlink" xfId="30193" builtinId="9" hidden="1"/>
    <cellStyle name="Followed Hyperlink" xfId="30191" builtinId="9" hidden="1"/>
    <cellStyle name="Followed Hyperlink" xfId="30189" builtinId="9" hidden="1"/>
    <cellStyle name="Followed Hyperlink" xfId="30187" builtinId="9" hidden="1"/>
    <cellStyle name="Followed Hyperlink" xfId="30185" builtinId="9" hidden="1"/>
    <cellStyle name="Followed Hyperlink" xfId="30183" builtinId="9" hidden="1"/>
    <cellStyle name="Followed Hyperlink" xfId="30181" builtinId="9" hidden="1"/>
    <cellStyle name="Followed Hyperlink" xfId="30179" builtinId="9" hidden="1"/>
    <cellStyle name="Followed Hyperlink" xfId="30177" builtinId="9" hidden="1"/>
    <cellStyle name="Followed Hyperlink" xfId="30175" builtinId="9" hidden="1"/>
    <cellStyle name="Followed Hyperlink" xfId="30173" builtinId="9" hidden="1"/>
    <cellStyle name="Followed Hyperlink" xfId="30171" builtinId="9" hidden="1"/>
    <cellStyle name="Followed Hyperlink" xfId="30169" builtinId="9" hidden="1"/>
    <cellStyle name="Followed Hyperlink" xfId="30168" builtinId="9" hidden="1"/>
    <cellStyle name="Followed Hyperlink" xfId="30166" builtinId="9" hidden="1"/>
    <cellStyle name="Followed Hyperlink" xfId="30164" builtinId="9" hidden="1"/>
    <cellStyle name="Followed Hyperlink" xfId="30162" builtinId="9" hidden="1"/>
    <cellStyle name="Followed Hyperlink" xfId="30160" builtinId="9" hidden="1"/>
    <cellStyle name="Followed Hyperlink" xfId="30158" builtinId="9" hidden="1"/>
    <cellStyle name="Followed Hyperlink" xfId="30156" builtinId="9" hidden="1"/>
    <cellStyle name="Followed Hyperlink" xfId="30154" builtinId="9" hidden="1"/>
    <cellStyle name="Followed Hyperlink" xfId="30152" builtinId="9" hidden="1"/>
    <cellStyle name="Followed Hyperlink" xfId="30150" builtinId="9" hidden="1"/>
    <cellStyle name="Followed Hyperlink" xfId="30148" builtinId="9" hidden="1"/>
    <cellStyle name="Followed Hyperlink" xfId="30146" builtinId="9" hidden="1"/>
    <cellStyle name="Followed Hyperlink" xfId="30144" builtinId="9" hidden="1"/>
    <cellStyle name="Followed Hyperlink" xfId="30142" builtinId="9" hidden="1"/>
    <cellStyle name="Followed Hyperlink" xfId="28159" builtinId="9" hidden="1"/>
    <cellStyle name="Followed Hyperlink" xfId="29315" builtinId="9" hidden="1"/>
    <cellStyle name="Followed Hyperlink" xfId="29033" builtinId="9" hidden="1"/>
    <cellStyle name="Followed Hyperlink" xfId="29067" builtinId="9" hidden="1"/>
    <cellStyle name="Followed Hyperlink" xfId="28862" builtinId="9" hidden="1"/>
    <cellStyle name="Followed Hyperlink" xfId="29136" builtinId="9" hidden="1"/>
    <cellStyle name="Followed Hyperlink" xfId="29247" builtinId="9" hidden="1"/>
    <cellStyle name="Followed Hyperlink" xfId="29338" builtinId="9" hidden="1"/>
    <cellStyle name="Followed Hyperlink" xfId="29345" builtinId="9" hidden="1"/>
    <cellStyle name="Followed Hyperlink" xfId="29283" builtinId="9" hidden="1"/>
    <cellStyle name="Followed Hyperlink" xfId="28065" builtinId="9" hidden="1"/>
    <cellStyle name="Followed Hyperlink" xfId="29069" builtinId="9" hidden="1"/>
    <cellStyle name="Followed Hyperlink" xfId="29039" builtinId="9" hidden="1"/>
    <cellStyle name="Followed Hyperlink" xfId="29072" builtinId="9" hidden="1"/>
    <cellStyle name="Followed Hyperlink" xfId="29250" builtinId="9" hidden="1"/>
    <cellStyle name="Followed Hyperlink" xfId="28864" builtinId="9" hidden="1"/>
    <cellStyle name="Followed Hyperlink" xfId="27194" builtinId="9" hidden="1"/>
    <cellStyle name="Followed Hyperlink" xfId="28420" builtinId="9" hidden="1"/>
    <cellStyle name="Followed Hyperlink" xfId="29248" builtinId="9" hidden="1"/>
    <cellStyle name="Followed Hyperlink" xfId="28073" builtinId="9" hidden="1"/>
    <cellStyle name="Followed Hyperlink" xfId="29340" builtinId="9" hidden="1"/>
    <cellStyle name="Followed Hyperlink" xfId="29343" builtinId="9" hidden="1"/>
    <cellStyle name="Followed Hyperlink" xfId="29137" builtinId="9" hidden="1"/>
    <cellStyle name="Followed Hyperlink" xfId="29035" builtinId="9" hidden="1"/>
    <cellStyle name="Followed Hyperlink" xfId="29339" builtinId="9" hidden="1"/>
    <cellStyle name="Followed Hyperlink" xfId="30141" builtinId="9" hidden="1"/>
    <cellStyle name="Followed Hyperlink" xfId="30145" builtinId="9" hidden="1"/>
    <cellStyle name="Followed Hyperlink" xfId="30149" builtinId="9" hidden="1"/>
    <cellStyle name="Followed Hyperlink" xfId="30153" builtinId="9" hidden="1"/>
    <cellStyle name="Followed Hyperlink" xfId="30157" builtinId="9" hidden="1"/>
    <cellStyle name="Followed Hyperlink" xfId="30161" builtinId="9" hidden="1"/>
    <cellStyle name="Followed Hyperlink" xfId="30165" builtinId="9" hidden="1"/>
    <cellStyle name="Followed Hyperlink" xfId="30000" builtinId="9" hidden="1"/>
    <cellStyle name="Followed Hyperlink" xfId="30172" builtinId="9" hidden="1"/>
    <cellStyle name="Followed Hyperlink" xfId="30176" builtinId="9" hidden="1"/>
    <cellStyle name="Followed Hyperlink" xfId="30180" builtinId="9" hidden="1"/>
    <cellStyle name="Followed Hyperlink" xfId="30184" builtinId="9" hidden="1"/>
    <cellStyle name="Followed Hyperlink" xfId="30188" builtinId="9" hidden="1"/>
    <cellStyle name="Followed Hyperlink" xfId="30192" builtinId="9" hidden="1"/>
    <cellStyle name="Followed Hyperlink" xfId="30196" builtinId="9" hidden="1"/>
    <cellStyle name="Followed Hyperlink" xfId="30200" builtinId="9" hidden="1"/>
    <cellStyle name="Followed Hyperlink" xfId="30204" builtinId="9" hidden="1"/>
    <cellStyle name="Followed Hyperlink" xfId="30208" builtinId="9" hidden="1"/>
    <cellStyle name="Followed Hyperlink" xfId="30212" builtinId="9" hidden="1"/>
    <cellStyle name="Followed Hyperlink" xfId="30216" builtinId="9" hidden="1"/>
    <cellStyle name="Followed Hyperlink" xfId="30220" builtinId="9" hidden="1"/>
    <cellStyle name="Followed Hyperlink" xfId="30224" builtinId="9" hidden="1"/>
    <cellStyle name="Followed Hyperlink" xfId="30228" builtinId="9" hidden="1"/>
    <cellStyle name="Followed Hyperlink" xfId="30232" builtinId="9" hidden="1"/>
    <cellStyle name="Followed Hyperlink" xfId="30236" builtinId="9" hidden="1"/>
    <cellStyle name="Followed Hyperlink" xfId="30240" builtinId="9" hidden="1"/>
    <cellStyle name="Followed Hyperlink" xfId="30244" builtinId="9" hidden="1"/>
    <cellStyle name="Followed Hyperlink" xfId="30248" builtinId="9" hidden="1"/>
    <cellStyle name="Followed Hyperlink" xfId="30252" builtinId="9" hidden="1"/>
    <cellStyle name="Followed Hyperlink" xfId="30256" builtinId="9" hidden="1"/>
    <cellStyle name="Followed Hyperlink" xfId="30260" builtinId="9" hidden="1"/>
    <cellStyle name="Followed Hyperlink" xfId="30264" builtinId="9" hidden="1"/>
    <cellStyle name="Followed Hyperlink" xfId="30268" builtinId="9" hidden="1"/>
    <cellStyle name="Followed Hyperlink" xfId="29187" builtinId="9" hidden="1"/>
    <cellStyle name="Followed Hyperlink" xfId="30275" builtinId="9" hidden="1"/>
    <cellStyle name="Followed Hyperlink" xfId="30279" builtinId="9" hidden="1"/>
    <cellStyle name="Followed Hyperlink" xfId="30283" builtinId="9" hidden="1"/>
    <cellStyle name="Followed Hyperlink" xfId="30287" builtinId="9" hidden="1"/>
    <cellStyle name="Followed Hyperlink" xfId="30291" builtinId="9" hidden="1"/>
    <cellStyle name="Followed Hyperlink" xfId="30295" builtinId="9" hidden="1"/>
    <cellStyle name="Followed Hyperlink" xfId="30299" builtinId="9" hidden="1"/>
    <cellStyle name="Followed Hyperlink" xfId="30303" builtinId="9" hidden="1"/>
    <cellStyle name="Followed Hyperlink" xfId="30307" builtinId="9" hidden="1"/>
    <cellStyle name="Followed Hyperlink" xfId="30311" builtinId="9" hidden="1"/>
    <cellStyle name="Followed Hyperlink" xfId="30315" builtinId="9" hidden="1"/>
    <cellStyle name="Followed Hyperlink" xfId="30319" builtinId="9" hidden="1"/>
    <cellStyle name="Followed Hyperlink" xfId="30323" builtinId="9" hidden="1"/>
    <cellStyle name="Followed Hyperlink" xfId="28399" builtinId="9" hidden="1"/>
    <cellStyle name="Followed Hyperlink" xfId="30124" builtinId="9" hidden="1"/>
    <cellStyle name="Followed Hyperlink" xfId="29073" builtinId="9" hidden="1"/>
    <cellStyle name="Followed Hyperlink" xfId="29347" builtinId="9" hidden="1"/>
    <cellStyle name="Followed Hyperlink" xfId="29125" builtinId="9" hidden="1"/>
    <cellStyle name="Followed Hyperlink" xfId="29220" builtinId="9" hidden="1"/>
    <cellStyle name="Followed Hyperlink" xfId="28209" builtinId="9" hidden="1"/>
    <cellStyle name="Followed Hyperlink" xfId="28115" builtinId="9" hidden="1"/>
    <cellStyle name="Followed Hyperlink" xfId="28071" builtinId="9" hidden="1"/>
    <cellStyle name="Followed Hyperlink" xfId="29152" builtinId="9" hidden="1"/>
    <cellStyle name="Followed Hyperlink" xfId="29050" builtinId="9" hidden="1"/>
    <cellStyle name="Followed Hyperlink" xfId="29223" builtinId="9" hidden="1"/>
    <cellStyle name="Followed Hyperlink" xfId="29262" builtinId="9" hidden="1"/>
    <cellStyle name="Followed Hyperlink" xfId="29318" builtinId="9" hidden="1"/>
    <cellStyle name="Followed Hyperlink" xfId="29122" builtinId="9" hidden="1"/>
    <cellStyle name="Followed Hyperlink" xfId="29139" builtinId="9" hidden="1"/>
    <cellStyle name="Followed Hyperlink" xfId="29208" builtinId="9" hidden="1"/>
    <cellStyle name="Followed Hyperlink" xfId="29304" builtinId="9" hidden="1"/>
    <cellStyle name="Followed Hyperlink" xfId="29300" builtinId="9" hidden="1"/>
    <cellStyle name="Followed Hyperlink" xfId="29287" builtinId="9" hidden="1"/>
    <cellStyle name="Followed Hyperlink" xfId="24733" builtinId="9" hidden="1"/>
    <cellStyle name="Followed Hyperlink" xfId="29052" builtinId="9" hidden="1"/>
    <cellStyle name="Followed Hyperlink" xfId="29159" builtinId="9" hidden="1"/>
    <cellStyle name="Followed Hyperlink" xfId="28064" builtinId="9" hidden="1"/>
    <cellStyle name="Followed Hyperlink" xfId="29080" builtinId="9" hidden="1"/>
    <cellStyle name="Followed Hyperlink" xfId="29082" builtinId="9" hidden="1"/>
    <cellStyle name="Followed Hyperlink" xfId="28863" builtinId="9" hidden="1"/>
    <cellStyle name="Followed Hyperlink" xfId="29142" builtinId="9" hidden="1"/>
    <cellStyle name="Followed Hyperlink" xfId="28070" builtinId="9" hidden="1"/>
    <cellStyle name="Followed Hyperlink" xfId="29346" builtinId="9" hidden="1"/>
    <cellStyle name="Followed Hyperlink" xfId="29337" builtinId="9" hidden="1"/>
    <cellStyle name="Followed Hyperlink" xfId="29151" builtinId="9" hidden="1"/>
    <cellStyle name="Followed Hyperlink" xfId="28069" builtinId="9" hidden="1"/>
    <cellStyle name="Followed Hyperlink" xfId="29085" builtinId="9" hidden="1"/>
    <cellStyle name="Followed Hyperlink" xfId="29086" builtinId="9" hidden="1"/>
    <cellStyle name="Followed Hyperlink" xfId="29061" builtinId="9" hidden="1"/>
    <cellStyle name="Followed Hyperlink" xfId="29063" builtinId="9" hidden="1"/>
    <cellStyle name="Followed Hyperlink" xfId="29162" builtinId="9" hidden="1"/>
    <cellStyle name="Followed Hyperlink" xfId="29290" builtinId="9" hidden="1"/>
    <cellStyle name="Followed Hyperlink" xfId="29123" builtinId="9" hidden="1"/>
    <cellStyle name="Followed Hyperlink" xfId="29188" builtinId="9" hidden="1"/>
    <cellStyle name="Followed Hyperlink" xfId="29999" builtinId="9" hidden="1"/>
    <cellStyle name="Followed Hyperlink" xfId="25911" builtinId="9" hidden="1"/>
    <cellStyle name="Followed Hyperlink" xfId="29988" builtinId="9" hidden="1"/>
    <cellStyle name="Followed Hyperlink" xfId="27260" builtinId="9" hidden="1"/>
    <cellStyle name="Followed Hyperlink" xfId="29987" builtinId="9" hidden="1"/>
    <cellStyle name="Followed Hyperlink" xfId="28154" builtinId="9" hidden="1"/>
    <cellStyle name="Followed Hyperlink" xfId="30038" builtinId="9" hidden="1"/>
    <cellStyle name="Followed Hyperlink" xfId="29986" builtinId="9" hidden="1"/>
    <cellStyle name="Followed Hyperlink" xfId="29985" builtinId="9" hidden="1"/>
    <cellStyle name="Followed Hyperlink" xfId="29190" builtinId="9" hidden="1"/>
    <cellStyle name="Followed Hyperlink" xfId="30037" builtinId="9" hidden="1"/>
    <cellStyle name="Followed Hyperlink" xfId="29983" builtinId="9" hidden="1"/>
    <cellStyle name="Followed Hyperlink" xfId="29982" builtinId="9" hidden="1"/>
    <cellStyle name="Followed Hyperlink" xfId="29980" builtinId="9" hidden="1"/>
    <cellStyle name="Followed Hyperlink" xfId="30120" builtinId="9" hidden="1"/>
    <cellStyle name="Followed Hyperlink" xfId="30092" builtinId="9" hidden="1"/>
    <cellStyle name="Followed Hyperlink" xfId="30091" builtinId="9" hidden="1"/>
    <cellStyle name="Followed Hyperlink" xfId="30090" builtinId="9" hidden="1"/>
    <cellStyle name="Followed Hyperlink" xfId="30064" builtinId="9" hidden="1"/>
    <cellStyle name="Followed Hyperlink" xfId="30110" builtinId="9" hidden="1"/>
    <cellStyle name="Followed Hyperlink" xfId="30104" builtinId="9" hidden="1"/>
    <cellStyle name="Followed Hyperlink" xfId="30084" builtinId="9" hidden="1"/>
    <cellStyle name="Followed Hyperlink" xfId="30061" builtinId="9" hidden="1"/>
    <cellStyle name="Followed Hyperlink" xfId="30028" builtinId="9" hidden="1"/>
    <cellStyle name="Followed Hyperlink" xfId="30112" builtinId="9" hidden="1"/>
    <cellStyle name="Followed Hyperlink" xfId="30106" builtinId="9" hidden="1"/>
    <cellStyle name="Followed Hyperlink" xfId="30085" builtinId="9" hidden="1"/>
    <cellStyle name="Followed Hyperlink" xfId="30063" builtinId="9" hidden="1"/>
    <cellStyle name="Followed Hyperlink" xfId="30036" builtinId="9" hidden="1"/>
    <cellStyle name="Followed Hyperlink" xfId="30082" builtinId="9" hidden="1"/>
    <cellStyle name="Followed Hyperlink" xfId="29978" builtinId="9" hidden="1"/>
    <cellStyle name="Followed Hyperlink" xfId="29977" builtinId="9" hidden="1"/>
    <cellStyle name="Followed Hyperlink" xfId="29976" builtinId="9" hidden="1"/>
    <cellStyle name="Followed Hyperlink" xfId="29975" builtinId="9" hidden="1"/>
    <cellStyle name="Followed Hyperlink" xfId="29974" builtinId="9" hidden="1"/>
    <cellStyle name="Followed Hyperlink" xfId="29973" builtinId="9" hidden="1"/>
    <cellStyle name="Followed Hyperlink" xfId="29972" builtinId="9" hidden="1"/>
    <cellStyle name="Followed Hyperlink" xfId="29971" builtinId="9" hidden="1"/>
    <cellStyle name="Followed Hyperlink" xfId="27227" builtinId="9" hidden="1"/>
    <cellStyle name="Followed Hyperlink" xfId="30035" builtinId="9" hidden="1"/>
    <cellStyle name="Followed Hyperlink" xfId="29197" builtinId="9" hidden="1"/>
    <cellStyle name="Followed Hyperlink" xfId="30034" builtinId="9" hidden="1"/>
    <cellStyle name="Followed Hyperlink" xfId="29970" builtinId="9" hidden="1"/>
    <cellStyle name="Followed Hyperlink" xfId="29191" builtinId="9" hidden="1"/>
    <cellStyle name="Followed Hyperlink" xfId="29103" builtinId="9" hidden="1"/>
    <cellStyle name="Followed Hyperlink" xfId="30011" builtinId="9" hidden="1"/>
    <cellStyle name="Followed Hyperlink" xfId="29969" builtinId="9" hidden="1"/>
    <cellStyle name="Followed Hyperlink" xfId="28287" builtinId="9" hidden="1"/>
    <cellStyle name="Followed Hyperlink" xfId="30019" builtinId="9" hidden="1"/>
    <cellStyle name="Followed Hyperlink" xfId="30018" builtinId="9" hidden="1"/>
    <cellStyle name="Followed Hyperlink" xfId="30033" builtinId="9" hidden="1"/>
    <cellStyle name="Followed Hyperlink" xfId="30005" builtinId="9" hidden="1"/>
    <cellStyle name="Followed Hyperlink" xfId="26137" builtinId="9" hidden="1"/>
    <cellStyle name="Followed Hyperlink" xfId="29968" builtinId="9" hidden="1"/>
    <cellStyle name="Followed Hyperlink" xfId="29192" builtinId="9" hidden="1"/>
    <cellStyle name="Followed Hyperlink" xfId="29131" builtinId="9" hidden="1"/>
    <cellStyle name="Followed Hyperlink" xfId="29930" builtinId="9" hidden="1"/>
    <cellStyle name="Followed Hyperlink" xfId="29684" builtinId="9" hidden="1"/>
    <cellStyle name="Followed Hyperlink" xfId="29064" builtinId="9" hidden="1"/>
    <cellStyle name="Followed Hyperlink" xfId="30032" builtinId="9" hidden="1"/>
    <cellStyle name="Followed Hyperlink" xfId="29929" builtinId="9" hidden="1"/>
    <cellStyle name="Followed Hyperlink" xfId="28247" builtinId="9" hidden="1"/>
    <cellStyle name="Followed Hyperlink" xfId="29928" builtinId="9" hidden="1"/>
    <cellStyle name="Followed Hyperlink" xfId="28257" builtinId="9" hidden="1"/>
    <cellStyle name="Followed Hyperlink" xfId="29228" builtinId="9" hidden="1"/>
    <cellStyle name="Followed Hyperlink" xfId="30031" builtinId="9" hidden="1"/>
    <cellStyle name="Followed Hyperlink" xfId="29779" builtinId="9" hidden="1"/>
    <cellStyle name="Followed Hyperlink" xfId="29212" builtinId="9" hidden="1"/>
    <cellStyle name="Followed Hyperlink" xfId="29182" builtinId="9" hidden="1"/>
    <cellStyle name="Followed Hyperlink" xfId="27275" builtinId="9" hidden="1"/>
    <cellStyle name="Followed Hyperlink" xfId="29164" builtinId="9" hidden="1"/>
    <cellStyle name="Followed Hyperlink" xfId="30131" builtinId="9" hidden="1"/>
    <cellStyle name="Followed Hyperlink" xfId="30030" builtinId="9" hidden="1"/>
    <cellStyle name="Followed Hyperlink" xfId="30049" builtinId="9" hidden="1"/>
    <cellStyle name="Followed Hyperlink" xfId="29967" builtinId="9" hidden="1"/>
    <cellStyle name="Followed Hyperlink" xfId="29724" builtinId="9" hidden="1"/>
    <cellStyle name="Followed Hyperlink" xfId="29320" builtinId="9" hidden="1"/>
    <cellStyle name="Followed Hyperlink" xfId="29778" builtinId="9" hidden="1"/>
    <cellStyle name="Followed Hyperlink" xfId="26440" builtinId="9" hidden="1"/>
    <cellStyle name="Followed Hyperlink" xfId="29289" builtinId="9" hidden="1"/>
    <cellStyle name="Followed Hyperlink" xfId="30029" builtinId="9" hidden="1"/>
    <cellStyle name="Followed Hyperlink" xfId="29725" builtinId="9" hidden="1"/>
    <cellStyle name="Followed Hyperlink" xfId="29332" builtinId="9" hidden="1"/>
    <cellStyle name="Followed Hyperlink" xfId="29726" builtinId="9" hidden="1"/>
    <cellStyle name="Followed Hyperlink" xfId="29026" builtinId="9" hidden="1"/>
    <cellStyle name="Followed Hyperlink" xfId="29727" builtinId="9" hidden="1"/>
    <cellStyle name="Followed Hyperlink" xfId="29126" builtinId="9" hidden="1"/>
    <cellStyle name="Followed Hyperlink" xfId="28179" builtinId="9" hidden="1"/>
    <cellStyle name="Followed Hyperlink" xfId="29540" builtinId="9" hidden="1"/>
    <cellStyle name="Followed Hyperlink" xfId="29242" builtinId="9" hidden="1"/>
    <cellStyle name="Followed Hyperlink" xfId="30470" builtinId="9" hidden="1"/>
    <cellStyle name="Followed Hyperlink" xfId="30471" builtinId="9" hidden="1"/>
    <cellStyle name="Followed Hyperlink" xfId="30472" builtinId="9" hidden="1"/>
    <cellStyle name="Followed Hyperlink" xfId="30473" builtinId="9" hidden="1"/>
    <cellStyle name="Followed Hyperlink" xfId="30474" builtinId="9" hidden="1"/>
    <cellStyle name="Followed Hyperlink" xfId="30475" builtinId="9" hidden="1"/>
    <cellStyle name="Followed Hyperlink" xfId="30476" builtinId="9" hidden="1"/>
    <cellStyle name="Followed Hyperlink" xfId="30477" builtinId="9" hidden="1"/>
    <cellStyle name="Followed Hyperlink" xfId="30478" builtinId="9" hidden="1"/>
    <cellStyle name="Followed Hyperlink" xfId="30479" builtinId="9" hidden="1"/>
    <cellStyle name="Followed Hyperlink" xfId="30480" builtinId="9" hidden="1"/>
    <cellStyle name="Followed Hyperlink" xfId="30481" builtinId="9" hidden="1"/>
    <cellStyle name="Followed Hyperlink" xfId="30482" builtinId="9" hidden="1"/>
    <cellStyle name="Followed Hyperlink" xfId="30483" builtinId="9" hidden="1"/>
    <cellStyle name="Followed Hyperlink" xfId="30484" builtinId="9" hidden="1"/>
    <cellStyle name="Followed Hyperlink" xfId="30485" builtinId="9" hidden="1"/>
    <cellStyle name="Followed Hyperlink" xfId="30486" builtinId="9" hidden="1"/>
    <cellStyle name="Followed Hyperlink" xfId="30487" builtinId="9" hidden="1"/>
    <cellStyle name="Followed Hyperlink" xfId="30488" builtinId="9" hidden="1"/>
    <cellStyle name="Followed Hyperlink" xfId="30489" builtinId="9" hidden="1"/>
    <cellStyle name="Followed Hyperlink" xfId="30490" builtinId="9" hidden="1"/>
    <cellStyle name="Followed Hyperlink" xfId="30491" builtinId="9" hidden="1"/>
    <cellStyle name="Followed Hyperlink" xfId="30492" builtinId="9" hidden="1"/>
    <cellStyle name="Followed Hyperlink" xfId="30493" builtinId="9" hidden="1"/>
    <cellStyle name="Followed Hyperlink" xfId="30494" builtinId="9" hidden="1"/>
    <cellStyle name="Followed Hyperlink" xfId="30495" builtinId="9" hidden="1"/>
    <cellStyle name="Followed Hyperlink" xfId="30496" builtinId="9" hidden="1"/>
    <cellStyle name="Followed Hyperlink" xfId="30497" builtinId="9" hidden="1"/>
    <cellStyle name="Followed Hyperlink" xfId="30498" builtinId="9" hidden="1"/>
    <cellStyle name="Followed Hyperlink" xfId="30499" builtinId="9" hidden="1"/>
    <cellStyle name="Followed Hyperlink" xfId="30500" builtinId="9" hidden="1"/>
    <cellStyle name="Followed Hyperlink" xfId="30501" builtinId="9" hidden="1"/>
    <cellStyle name="Followed Hyperlink" xfId="30502" builtinId="9" hidden="1"/>
    <cellStyle name="Followed Hyperlink" xfId="30503" builtinId="9" hidden="1"/>
    <cellStyle name="Followed Hyperlink" xfId="30504" builtinId="9" hidden="1"/>
    <cellStyle name="Followed Hyperlink" xfId="30505" builtinId="9" hidden="1"/>
    <cellStyle name="Followed Hyperlink" xfId="30506" builtinId="9" hidden="1"/>
    <cellStyle name="Followed Hyperlink" xfId="30507" builtinId="9" hidden="1"/>
    <cellStyle name="Followed Hyperlink" xfId="30508" builtinId="9" hidden="1"/>
    <cellStyle name="Followed Hyperlink" xfId="30509" builtinId="9" hidden="1"/>
    <cellStyle name="Followed Hyperlink" xfId="30510" builtinId="9" hidden="1"/>
    <cellStyle name="Followed Hyperlink" xfId="30511" builtinId="9" hidden="1"/>
    <cellStyle name="Followed Hyperlink" xfId="30512" builtinId="9" hidden="1"/>
    <cellStyle name="Followed Hyperlink" xfId="30513" builtinId="9" hidden="1"/>
    <cellStyle name="Followed Hyperlink" xfId="30514" builtinId="9" hidden="1"/>
    <cellStyle name="Followed Hyperlink" xfId="30515" builtinId="9" hidden="1"/>
    <cellStyle name="Followed Hyperlink" xfId="30516" builtinId="9" hidden="1"/>
    <cellStyle name="Followed Hyperlink" xfId="30517" builtinId="9" hidden="1"/>
    <cellStyle name="Followed Hyperlink" xfId="30518" builtinId="9" hidden="1"/>
    <cellStyle name="Followed Hyperlink" xfId="30519" builtinId="9" hidden="1"/>
    <cellStyle name="Followed Hyperlink" xfId="30520" builtinId="9" hidden="1"/>
    <cellStyle name="Followed Hyperlink" xfId="30521" builtinId="9" hidden="1"/>
    <cellStyle name="Followed Hyperlink" xfId="30522" builtinId="9" hidden="1"/>
    <cellStyle name="Followed Hyperlink" xfId="30523" builtinId="9" hidden="1"/>
    <cellStyle name="Followed Hyperlink" xfId="30524" builtinId="9" hidden="1"/>
    <cellStyle name="Followed Hyperlink" xfId="30525" builtinId="9" hidden="1"/>
    <cellStyle name="Followed Hyperlink" xfId="30526" builtinId="9" hidden="1"/>
    <cellStyle name="Followed Hyperlink" xfId="30527" builtinId="9" hidden="1"/>
    <cellStyle name="Followed Hyperlink" xfId="30528" builtinId="9" hidden="1"/>
    <cellStyle name="Followed Hyperlink" xfId="30529" builtinId="9" hidden="1"/>
    <cellStyle name="Followed Hyperlink" xfId="30530" builtinId="9" hidden="1"/>
    <cellStyle name="Followed Hyperlink" xfId="30531" builtinId="9" hidden="1"/>
    <cellStyle name="Followed Hyperlink" xfId="30532" builtinId="9" hidden="1"/>
    <cellStyle name="Followed Hyperlink" xfId="30533" builtinId="9" hidden="1"/>
    <cellStyle name="Followed Hyperlink" xfId="30534" builtinId="9" hidden="1"/>
    <cellStyle name="Followed Hyperlink" xfId="30535" builtinId="9" hidden="1"/>
    <cellStyle name="Followed Hyperlink" xfId="30536" builtinId="9" hidden="1"/>
    <cellStyle name="Followed Hyperlink" xfId="30537" builtinId="9" hidden="1"/>
    <cellStyle name="Followed Hyperlink" xfId="30538" builtinId="9" hidden="1"/>
    <cellStyle name="Followed Hyperlink" xfId="30539" builtinId="9" hidden="1"/>
    <cellStyle name="Followed Hyperlink" xfId="30540" builtinId="9" hidden="1"/>
    <cellStyle name="Followed Hyperlink" xfId="30541" builtinId="9" hidden="1"/>
    <cellStyle name="Followed Hyperlink" xfId="30542" builtinId="9" hidden="1"/>
    <cellStyle name="Followed Hyperlink" xfId="30543" builtinId="9" hidden="1"/>
    <cellStyle name="Followed Hyperlink" xfId="30544" builtinId="9" hidden="1"/>
    <cellStyle name="Followed Hyperlink" xfId="30545" builtinId="9" hidden="1"/>
    <cellStyle name="Followed Hyperlink" xfId="30546" builtinId="9" hidden="1"/>
    <cellStyle name="Followed Hyperlink" xfId="30547" builtinId="9" hidden="1"/>
    <cellStyle name="Followed Hyperlink" xfId="30548" builtinId="9" hidden="1"/>
    <cellStyle name="Followed Hyperlink" xfId="30549" builtinId="9" hidden="1"/>
    <cellStyle name="Followed Hyperlink" xfId="30550" builtinId="9" hidden="1"/>
    <cellStyle name="Followed Hyperlink" xfId="30551" builtinId="9" hidden="1"/>
    <cellStyle name="Followed Hyperlink" xfId="30552" builtinId="9" hidden="1"/>
    <cellStyle name="Followed Hyperlink" xfId="30553" builtinId="9" hidden="1"/>
    <cellStyle name="Followed Hyperlink" xfId="30554" builtinId="9" hidden="1"/>
    <cellStyle name="Followed Hyperlink" xfId="30555" builtinId="9" hidden="1"/>
    <cellStyle name="Followed Hyperlink" xfId="30556" builtinId="9" hidden="1"/>
    <cellStyle name="Followed Hyperlink" xfId="30557" builtinId="9" hidden="1"/>
    <cellStyle name="Followed Hyperlink" xfId="30558" builtinId="9" hidden="1"/>
    <cellStyle name="Followed Hyperlink" xfId="30559" builtinId="9" hidden="1"/>
    <cellStyle name="Followed Hyperlink" xfId="30560" builtinId="9" hidden="1"/>
    <cellStyle name="Followed Hyperlink" xfId="30561" builtinId="9" hidden="1"/>
    <cellStyle name="Followed Hyperlink" xfId="30562" builtinId="9" hidden="1"/>
    <cellStyle name="Followed Hyperlink" xfId="30563" builtinId="9" hidden="1"/>
    <cellStyle name="Followed Hyperlink" xfId="30564" builtinId="9" hidden="1"/>
    <cellStyle name="Followed Hyperlink" xfId="30565" builtinId="9" hidden="1"/>
    <cellStyle name="Followed Hyperlink" xfId="30566" builtinId="9" hidden="1"/>
    <cellStyle name="Followed Hyperlink" xfId="30567" builtinId="9" hidden="1"/>
    <cellStyle name="Followed Hyperlink" xfId="30568" builtinId="9" hidden="1"/>
    <cellStyle name="Followed Hyperlink" xfId="30569" builtinId="9" hidden="1"/>
    <cellStyle name="Followed Hyperlink" xfId="30570" builtinId="9" hidden="1"/>
    <cellStyle name="Followed Hyperlink" xfId="30571" builtinId="9" hidden="1"/>
    <cellStyle name="Followed Hyperlink" xfId="30572" builtinId="9" hidden="1"/>
    <cellStyle name="Followed Hyperlink" xfId="30573" builtinId="9" hidden="1"/>
    <cellStyle name="Followed Hyperlink" xfId="30574" builtinId="9" hidden="1"/>
    <cellStyle name="Followed Hyperlink" xfId="30575" builtinId="9" hidden="1"/>
    <cellStyle name="Followed Hyperlink" xfId="30576" builtinId="9" hidden="1"/>
    <cellStyle name="Followed Hyperlink" xfId="30577" builtinId="9" hidden="1"/>
    <cellStyle name="Followed Hyperlink" xfId="30578" builtinId="9" hidden="1"/>
    <cellStyle name="Followed Hyperlink" xfId="30579" builtinId="9" hidden="1"/>
    <cellStyle name="Followed Hyperlink" xfId="30580" builtinId="9" hidden="1"/>
    <cellStyle name="Followed Hyperlink" xfId="30581" builtinId="9" hidden="1"/>
    <cellStyle name="Followed Hyperlink" xfId="30582" builtinId="9" hidden="1"/>
    <cellStyle name="Followed Hyperlink" xfId="30583" builtinId="9" hidden="1"/>
    <cellStyle name="Followed Hyperlink" xfId="30584" builtinId="9" hidden="1"/>
    <cellStyle name="Followed Hyperlink" xfId="30585" builtinId="9" hidden="1"/>
    <cellStyle name="Followed Hyperlink" xfId="30586" builtinId="9" hidden="1"/>
    <cellStyle name="Followed Hyperlink" xfId="30587" builtinId="9" hidden="1"/>
    <cellStyle name="Followed Hyperlink" xfId="30588" builtinId="9" hidden="1"/>
    <cellStyle name="Followed Hyperlink" xfId="30589" builtinId="9" hidden="1"/>
    <cellStyle name="Followed Hyperlink" xfId="30590" builtinId="9" hidden="1"/>
    <cellStyle name="Followed Hyperlink" xfId="30591" builtinId="9" hidden="1"/>
    <cellStyle name="Followed Hyperlink" xfId="30592" builtinId="9" hidden="1"/>
    <cellStyle name="Followed Hyperlink" xfId="30593" builtinId="9" hidden="1"/>
    <cellStyle name="Followed Hyperlink" xfId="30594" builtinId="9" hidden="1"/>
    <cellStyle name="Followed Hyperlink" xfId="30595" builtinId="9" hidden="1"/>
    <cellStyle name="Followed Hyperlink" xfId="30596" builtinId="9" hidden="1"/>
    <cellStyle name="Followed Hyperlink" xfId="30597" builtinId="9" hidden="1"/>
    <cellStyle name="Followed Hyperlink" xfId="30598" builtinId="9" hidden="1"/>
    <cellStyle name="Followed Hyperlink" xfId="30599" builtinId="9" hidden="1"/>
    <cellStyle name="Followed Hyperlink" xfId="30600" builtinId="9" hidden="1"/>
    <cellStyle name="Followed Hyperlink" xfId="30601" builtinId="9" hidden="1"/>
    <cellStyle name="Followed Hyperlink" xfId="30602" builtinId="9" hidden="1"/>
    <cellStyle name="Followed Hyperlink" xfId="30603" builtinId="9" hidden="1"/>
    <cellStyle name="Followed Hyperlink" xfId="30604" builtinId="9" hidden="1"/>
    <cellStyle name="Followed Hyperlink" xfId="30605" builtinId="9" hidden="1"/>
    <cellStyle name="Followed Hyperlink" xfId="30606" builtinId="9" hidden="1"/>
    <cellStyle name="Followed Hyperlink" xfId="30607" builtinId="9" hidden="1"/>
    <cellStyle name="Followed Hyperlink" xfId="30608" builtinId="9" hidden="1"/>
    <cellStyle name="Followed Hyperlink" xfId="30609" builtinId="9" hidden="1"/>
    <cellStyle name="Followed Hyperlink" xfId="30610" builtinId="9" hidden="1"/>
    <cellStyle name="Followed Hyperlink" xfId="30611" builtinId="9" hidden="1"/>
    <cellStyle name="Followed Hyperlink" xfId="30612" builtinId="9" hidden="1"/>
    <cellStyle name="Followed Hyperlink" xfId="30613" builtinId="9" hidden="1"/>
    <cellStyle name="Followed Hyperlink" xfId="30614" builtinId="9" hidden="1"/>
    <cellStyle name="Followed Hyperlink" xfId="30615" builtinId="9" hidden="1"/>
    <cellStyle name="Followed Hyperlink" xfId="30616" builtinId="9" hidden="1"/>
    <cellStyle name="Followed Hyperlink" xfId="30617" builtinId="9" hidden="1"/>
    <cellStyle name="Followed Hyperlink" xfId="30618" builtinId="9" hidden="1"/>
    <cellStyle name="Followed Hyperlink" xfId="30619" builtinId="9" hidden="1"/>
    <cellStyle name="Followed Hyperlink" xfId="30620" builtinId="9" hidden="1"/>
    <cellStyle name="Followed Hyperlink" xfId="30621" builtinId="9" hidden="1"/>
    <cellStyle name="Followed Hyperlink" xfId="30622" builtinId="9" hidden="1"/>
    <cellStyle name="Followed Hyperlink" xfId="30623" builtinId="9" hidden="1"/>
    <cellStyle name="Followed Hyperlink" xfId="30624" builtinId="9" hidden="1"/>
    <cellStyle name="Followed Hyperlink" xfId="30625" builtinId="9" hidden="1"/>
    <cellStyle name="Followed Hyperlink" xfId="30626" builtinId="9" hidden="1"/>
    <cellStyle name="Followed Hyperlink" xfId="30627" builtinId="9" hidden="1"/>
    <cellStyle name="Followed Hyperlink" xfId="30628" builtinId="9" hidden="1"/>
    <cellStyle name="Followed Hyperlink" xfId="30629" builtinId="9" hidden="1"/>
    <cellStyle name="Followed Hyperlink" xfId="30630" builtinId="9" hidden="1"/>
    <cellStyle name="Followed Hyperlink" xfId="30631" builtinId="9" hidden="1"/>
    <cellStyle name="Followed Hyperlink" xfId="30632" builtinId="9" hidden="1"/>
    <cellStyle name="Followed Hyperlink" xfId="30633" builtinId="9" hidden="1"/>
    <cellStyle name="Followed Hyperlink" xfId="30634" builtinId="9" hidden="1"/>
    <cellStyle name="Followed Hyperlink" xfId="30635" builtinId="9" hidden="1"/>
    <cellStyle name="Followed Hyperlink" xfId="30636" builtinId="9" hidden="1"/>
    <cellStyle name="Followed Hyperlink" xfId="30637" builtinId="9" hidden="1"/>
    <cellStyle name="Followed Hyperlink" xfId="30638" builtinId="9" hidden="1"/>
    <cellStyle name="Followed Hyperlink" xfId="30639" builtinId="9" hidden="1"/>
    <cellStyle name="Followed Hyperlink" xfId="30640" builtinId="9" hidden="1"/>
    <cellStyle name="Followed Hyperlink" xfId="30641" builtinId="9" hidden="1"/>
    <cellStyle name="Followed Hyperlink" xfId="30642" builtinId="9" hidden="1"/>
    <cellStyle name="Followed Hyperlink" xfId="30643" builtinId="9" hidden="1"/>
    <cellStyle name="Followed Hyperlink" xfId="30644" builtinId="9" hidden="1"/>
    <cellStyle name="Followed Hyperlink" xfId="30645" builtinId="9" hidden="1"/>
    <cellStyle name="Followed Hyperlink" xfId="30646" builtinId="9" hidden="1"/>
    <cellStyle name="Followed Hyperlink" xfId="30647" builtinId="9" hidden="1"/>
    <cellStyle name="Followed Hyperlink" xfId="30648" builtinId="9" hidden="1"/>
    <cellStyle name="Followed Hyperlink" xfId="30649" builtinId="9" hidden="1"/>
    <cellStyle name="Followed Hyperlink" xfId="30650" builtinId="9" hidden="1"/>
    <cellStyle name="Followed Hyperlink" xfId="30651" builtinId="9" hidden="1"/>
    <cellStyle name="Followed Hyperlink" xfId="30652" builtinId="9" hidden="1"/>
    <cellStyle name="Followed Hyperlink" xfId="30653" builtinId="9" hidden="1"/>
    <cellStyle name="Followed Hyperlink" xfId="30654" builtinId="9" hidden="1"/>
    <cellStyle name="Followed Hyperlink" xfId="30655" builtinId="9" hidden="1"/>
    <cellStyle name="Followed Hyperlink" xfId="30656" builtinId="9" hidden="1"/>
    <cellStyle name="Followed Hyperlink" xfId="30657" builtinId="9" hidden="1"/>
    <cellStyle name="Followed Hyperlink" xfId="30658" builtinId="9" hidden="1"/>
    <cellStyle name="Followed Hyperlink" xfId="30659" builtinId="9" hidden="1"/>
    <cellStyle name="Followed Hyperlink" xfId="30660" builtinId="9" hidden="1"/>
    <cellStyle name="Followed Hyperlink" xfId="30661" builtinId="9" hidden="1"/>
    <cellStyle name="Followed Hyperlink" xfId="30662" builtinId="9" hidden="1"/>
    <cellStyle name="Followed Hyperlink" xfId="30663" builtinId="9" hidden="1"/>
    <cellStyle name="Followed Hyperlink" xfId="30664" builtinId="9" hidden="1"/>
    <cellStyle name="Followed Hyperlink" xfId="30665" builtinId="9" hidden="1"/>
    <cellStyle name="Followed Hyperlink" xfId="30666" builtinId="9" hidden="1"/>
    <cellStyle name="Followed Hyperlink" xfId="30667" builtinId="9" hidden="1"/>
    <cellStyle name="Followed Hyperlink" xfId="30668" builtinId="9" hidden="1"/>
    <cellStyle name="Followed Hyperlink" xfId="30669" builtinId="9" hidden="1"/>
    <cellStyle name="Followed Hyperlink" xfId="30670" builtinId="9" hidden="1"/>
    <cellStyle name="Followed Hyperlink" xfId="30671" builtinId="9" hidden="1"/>
    <cellStyle name="Followed Hyperlink" xfId="30672" builtinId="9" hidden="1"/>
    <cellStyle name="Followed Hyperlink" xfId="30673" builtinId="9" hidden="1"/>
    <cellStyle name="Followed Hyperlink" xfId="30674" builtinId="9" hidden="1"/>
    <cellStyle name="Followed Hyperlink" xfId="30675" builtinId="9" hidden="1"/>
    <cellStyle name="Followed Hyperlink" xfId="30676" builtinId="9" hidden="1"/>
    <cellStyle name="Followed Hyperlink" xfId="30677" builtinId="9" hidden="1"/>
    <cellStyle name="Followed Hyperlink" xfId="30678" builtinId="9" hidden="1"/>
    <cellStyle name="Followed Hyperlink" xfId="30679" builtinId="9" hidden="1"/>
    <cellStyle name="Followed Hyperlink" xfId="30680" builtinId="9" hidden="1"/>
    <cellStyle name="Followed Hyperlink" xfId="30681" builtinId="9" hidden="1"/>
    <cellStyle name="Followed Hyperlink" xfId="30682" builtinId="9" hidden="1"/>
    <cellStyle name="Followed Hyperlink" xfId="30683" builtinId="9" hidden="1"/>
    <cellStyle name="Followed Hyperlink" xfId="30684" builtinId="9" hidden="1"/>
    <cellStyle name="Followed Hyperlink" xfId="30685" builtinId="9" hidden="1"/>
    <cellStyle name="Followed Hyperlink" xfId="30686" builtinId="9" hidden="1"/>
    <cellStyle name="Followed Hyperlink" xfId="30687" builtinId="9" hidden="1"/>
    <cellStyle name="Followed Hyperlink" xfId="30688" builtinId="9" hidden="1"/>
    <cellStyle name="Followed Hyperlink" xfId="30689" builtinId="9" hidden="1"/>
    <cellStyle name="Followed Hyperlink" xfId="30690" builtinId="9" hidden="1"/>
    <cellStyle name="Followed Hyperlink" xfId="30691" builtinId="9" hidden="1"/>
    <cellStyle name="Followed Hyperlink" xfId="30692" builtinId="9" hidden="1"/>
    <cellStyle name="Followed Hyperlink" xfId="30693" builtinId="9" hidden="1"/>
    <cellStyle name="Followed Hyperlink" xfId="30694" builtinId="9" hidden="1"/>
    <cellStyle name="Followed Hyperlink" xfId="30695" builtinId="9" hidden="1"/>
    <cellStyle name="Followed Hyperlink" xfId="30696" builtinId="9" hidden="1"/>
    <cellStyle name="Followed Hyperlink" xfId="30697" builtinId="9" hidden="1"/>
    <cellStyle name="Followed Hyperlink" xfId="30698" builtinId="9" hidden="1"/>
    <cellStyle name="Followed Hyperlink" xfId="30699" builtinId="9" hidden="1"/>
    <cellStyle name="Followed Hyperlink" xfId="30700" builtinId="9" hidden="1"/>
    <cellStyle name="Followed Hyperlink" xfId="30701" builtinId="9" hidden="1"/>
    <cellStyle name="Followed Hyperlink" xfId="30702" builtinId="9" hidden="1"/>
    <cellStyle name="Followed Hyperlink" xfId="30703" builtinId="9" hidden="1"/>
    <cellStyle name="Followed Hyperlink" xfId="30704" builtinId="9" hidden="1"/>
    <cellStyle name="Followed Hyperlink" xfId="30705" builtinId="9" hidden="1"/>
    <cellStyle name="Followed Hyperlink" xfId="30706" builtinId="9" hidden="1"/>
    <cellStyle name="Followed Hyperlink" xfId="30707" builtinId="9" hidden="1"/>
    <cellStyle name="Followed Hyperlink" xfId="30708" builtinId="9" hidden="1"/>
    <cellStyle name="Followed Hyperlink" xfId="30709" builtinId="9" hidden="1"/>
    <cellStyle name="Followed Hyperlink" xfId="30710" builtinId="9" hidden="1"/>
    <cellStyle name="Followed Hyperlink" xfId="30711" builtinId="9" hidden="1"/>
    <cellStyle name="Followed Hyperlink" xfId="30712" builtinId="9" hidden="1"/>
    <cellStyle name="Followed Hyperlink" xfId="30713" builtinId="9" hidden="1"/>
    <cellStyle name="Followed Hyperlink" xfId="30714" builtinId="9" hidden="1"/>
    <cellStyle name="Followed Hyperlink" xfId="30715" builtinId="9" hidden="1"/>
    <cellStyle name="Followed Hyperlink" xfId="30716" builtinId="9" hidden="1"/>
    <cellStyle name="Followed Hyperlink" xfId="30717" builtinId="9" hidden="1"/>
    <cellStyle name="Followed Hyperlink" xfId="30718" builtinId="9" hidden="1"/>
    <cellStyle name="Followed Hyperlink" xfId="30719" builtinId="9" hidden="1"/>
    <cellStyle name="Followed Hyperlink" xfId="30720" builtinId="9" hidden="1"/>
    <cellStyle name="Followed Hyperlink" xfId="30721" builtinId="9" hidden="1"/>
    <cellStyle name="Followed Hyperlink" xfId="30722" builtinId="9" hidden="1"/>
    <cellStyle name="Followed Hyperlink" xfId="30723" builtinId="9" hidden="1"/>
    <cellStyle name="Followed Hyperlink" xfId="30724" builtinId="9" hidden="1"/>
    <cellStyle name="Followed Hyperlink" xfId="30725" builtinId="9" hidden="1"/>
    <cellStyle name="Followed Hyperlink" xfId="30726" builtinId="9" hidden="1"/>
    <cellStyle name="Followed Hyperlink" xfId="30727" builtinId="9" hidden="1"/>
    <cellStyle name="Followed Hyperlink" xfId="30728" builtinId="9" hidden="1"/>
    <cellStyle name="Followed Hyperlink" xfId="30729" builtinId="9" hidden="1"/>
    <cellStyle name="Followed Hyperlink" xfId="30730" builtinId="9" hidden="1"/>
    <cellStyle name="Followed Hyperlink" xfId="30731" builtinId="9" hidden="1"/>
    <cellStyle name="Followed Hyperlink" xfId="30732" builtinId="9" hidden="1"/>
    <cellStyle name="Followed Hyperlink" xfId="30733" builtinId="9" hidden="1"/>
    <cellStyle name="Followed Hyperlink" xfId="30734" builtinId="9" hidden="1"/>
    <cellStyle name="Followed Hyperlink" xfId="30735" builtinId="9" hidden="1"/>
    <cellStyle name="Followed Hyperlink" xfId="30736" builtinId="9" hidden="1"/>
    <cellStyle name="Followed Hyperlink" xfId="30737" builtinId="9" hidden="1"/>
    <cellStyle name="Followed Hyperlink" xfId="30738" builtinId="9" hidden="1"/>
    <cellStyle name="Followed Hyperlink" xfId="30739" builtinId="9" hidden="1"/>
    <cellStyle name="Followed Hyperlink" xfId="30740" builtinId="9" hidden="1"/>
    <cellStyle name="Followed Hyperlink" xfId="30741" builtinId="9" hidden="1"/>
    <cellStyle name="Followed Hyperlink" xfId="30742" builtinId="9" hidden="1"/>
    <cellStyle name="Followed Hyperlink" xfId="30743" builtinId="9" hidden="1"/>
    <cellStyle name="Followed Hyperlink" xfId="30744" builtinId="9" hidden="1"/>
    <cellStyle name="Followed Hyperlink" xfId="30745" builtinId="9" hidden="1"/>
    <cellStyle name="Followed Hyperlink" xfId="30746" builtinId="9" hidden="1"/>
    <cellStyle name="Followed Hyperlink" xfId="30747" builtinId="9" hidden="1"/>
    <cellStyle name="Followed Hyperlink" xfId="30748" builtinId="9" hidden="1"/>
    <cellStyle name="Followed Hyperlink" xfId="30749" builtinId="9" hidden="1"/>
    <cellStyle name="Followed Hyperlink" xfId="30750" builtinId="9" hidden="1"/>
    <cellStyle name="Followed Hyperlink" xfId="30751" builtinId="9" hidden="1"/>
    <cellStyle name="Followed Hyperlink" xfId="30752" builtinId="9" hidden="1"/>
    <cellStyle name="Followed Hyperlink" xfId="30753" builtinId="9" hidden="1"/>
    <cellStyle name="Followed Hyperlink" xfId="30754" builtinId="9" hidden="1"/>
    <cellStyle name="Followed Hyperlink" xfId="30755" builtinId="9" hidden="1"/>
    <cellStyle name="Followed Hyperlink" xfId="30756" builtinId="9" hidden="1"/>
    <cellStyle name="Followed Hyperlink" xfId="30757" builtinId="9" hidden="1"/>
    <cellStyle name="Followed Hyperlink" xfId="30758" builtinId="9" hidden="1"/>
    <cellStyle name="Followed Hyperlink" xfId="30759" builtinId="9" hidden="1"/>
    <cellStyle name="Followed Hyperlink" xfId="30760" builtinId="9" hidden="1"/>
    <cellStyle name="Followed Hyperlink" xfId="30761" builtinId="9" hidden="1"/>
    <cellStyle name="Followed Hyperlink" xfId="30762" builtinId="9" hidden="1"/>
    <cellStyle name="Followed Hyperlink" xfId="30763" builtinId="9" hidden="1"/>
    <cellStyle name="Followed Hyperlink" xfId="30764" builtinId="9" hidden="1"/>
    <cellStyle name="Followed Hyperlink" xfId="30765" builtinId="9" hidden="1"/>
    <cellStyle name="Followed Hyperlink" xfId="30766" builtinId="9" hidden="1"/>
    <cellStyle name="Followed Hyperlink" xfId="30767" builtinId="9" hidden="1"/>
    <cellStyle name="Followed Hyperlink" xfId="30768" builtinId="9" hidden="1"/>
    <cellStyle name="Followed Hyperlink" xfId="30769" builtinId="9" hidden="1"/>
    <cellStyle name="Followed Hyperlink" xfId="30770" builtinId="9" hidden="1"/>
    <cellStyle name="Followed Hyperlink" xfId="30771" builtinId="9" hidden="1"/>
    <cellStyle name="Followed Hyperlink" xfId="30772" builtinId="9" hidden="1"/>
    <cellStyle name="Followed Hyperlink" xfId="30773" builtinId="9" hidden="1"/>
    <cellStyle name="Followed Hyperlink" xfId="30774" builtinId="9" hidden="1"/>
    <cellStyle name="Followed Hyperlink" xfId="30775" builtinId="9" hidden="1"/>
    <cellStyle name="Followed Hyperlink" xfId="30776" builtinId="9" hidden="1"/>
    <cellStyle name="Followed Hyperlink" xfId="30777" builtinId="9" hidden="1"/>
    <cellStyle name="Followed Hyperlink" xfId="30778" builtinId="9" hidden="1"/>
    <cellStyle name="Followed Hyperlink" xfId="30779" builtinId="9" hidden="1"/>
    <cellStyle name="Followed Hyperlink" xfId="30780" builtinId="9" hidden="1"/>
    <cellStyle name="Followed Hyperlink" xfId="30781" builtinId="9" hidden="1"/>
    <cellStyle name="Followed Hyperlink" xfId="30782" builtinId="9" hidden="1"/>
    <cellStyle name="Followed Hyperlink" xfId="30783" builtinId="9" hidden="1"/>
    <cellStyle name="Followed Hyperlink" xfId="30784" builtinId="9" hidden="1"/>
    <cellStyle name="Followed Hyperlink" xfId="30785" builtinId="9" hidden="1"/>
    <cellStyle name="Followed Hyperlink" xfId="30786" builtinId="9" hidden="1"/>
    <cellStyle name="Followed Hyperlink" xfId="30787" builtinId="9" hidden="1"/>
    <cellStyle name="Followed Hyperlink" xfId="30788" builtinId="9" hidden="1"/>
    <cellStyle name="Followed Hyperlink" xfId="30789" builtinId="9" hidden="1"/>
    <cellStyle name="Followed Hyperlink" xfId="30790" builtinId="9" hidden="1"/>
    <cellStyle name="Followed Hyperlink" xfId="30791" builtinId="9" hidden="1"/>
    <cellStyle name="Followed Hyperlink" xfId="30792" builtinId="9" hidden="1"/>
    <cellStyle name="Followed Hyperlink" xfId="30793" builtinId="9" hidden="1"/>
    <cellStyle name="Followed Hyperlink" xfId="30794" builtinId="9" hidden="1"/>
    <cellStyle name="Followed Hyperlink" xfId="30795" builtinId="9" hidden="1"/>
    <cellStyle name="Followed Hyperlink" xfId="30796" builtinId="9" hidden="1"/>
    <cellStyle name="Followed Hyperlink" xfId="30797" builtinId="9" hidden="1"/>
    <cellStyle name="Followed Hyperlink" xfId="30798" builtinId="9" hidden="1"/>
    <cellStyle name="Followed Hyperlink" xfId="30799" builtinId="9" hidden="1"/>
    <cellStyle name="Followed Hyperlink" xfId="30800" builtinId="9" hidden="1"/>
    <cellStyle name="Followed Hyperlink" xfId="30801" builtinId="9" hidden="1"/>
    <cellStyle name="Followed Hyperlink" xfId="30802" builtinId="9" hidden="1"/>
    <cellStyle name="Followed Hyperlink" xfId="30803" builtinId="9" hidden="1"/>
    <cellStyle name="Followed Hyperlink" xfId="30804" builtinId="9" hidden="1"/>
    <cellStyle name="Followed Hyperlink" xfId="30805" builtinId="9" hidden="1"/>
    <cellStyle name="Followed Hyperlink" xfId="30806" builtinId="9" hidden="1"/>
    <cellStyle name="Followed Hyperlink" xfId="30807" builtinId="9" hidden="1"/>
    <cellStyle name="Followed Hyperlink" xfId="30808" builtinId="9" hidden="1"/>
    <cellStyle name="Followed Hyperlink" xfId="30809" builtinId="9" hidden="1"/>
    <cellStyle name="Followed Hyperlink" xfId="30810" builtinId="9" hidden="1"/>
    <cellStyle name="Followed Hyperlink" xfId="30811" builtinId="9" hidden="1"/>
    <cellStyle name="Followed Hyperlink" xfId="30812" builtinId="9" hidden="1"/>
    <cellStyle name="Followed Hyperlink" xfId="30813" builtinId="9" hidden="1"/>
    <cellStyle name="Followed Hyperlink" xfId="30814" builtinId="9" hidden="1"/>
    <cellStyle name="Followed Hyperlink" xfId="30815" builtinId="9" hidden="1"/>
    <cellStyle name="Followed Hyperlink" xfId="30816" builtinId="9" hidden="1"/>
    <cellStyle name="Followed Hyperlink" xfId="30817" builtinId="9" hidden="1"/>
    <cellStyle name="Followed Hyperlink" xfId="30820" builtinId="9" hidden="1"/>
    <cellStyle name="Followed Hyperlink" xfId="30822" builtinId="9" hidden="1"/>
    <cellStyle name="Followed Hyperlink" xfId="30824" builtinId="9" hidden="1"/>
    <cellStyle name="Followed Hyperlink" xfId="30826" builtinId="9" hidden="1"/>
    <cellStyle name="Followed Hyperlink" xfId="30828" builtinId="9" hidden="1"/>
    <cellStyle name="Followed Hyperlink" xfId="30830" builtinId="9" hidden="1"/>
    <cellStyle name="Followed Hyperlink" xfId="30832" builtinId="9" hidden="1"/>
    <cellStyle name="Followed Hyperlink" xfId="30834" builtinId="9" hidden="1"/>
    <cellStyle name="Followed Hyperlink" xfId="30836" builtinId="9" hidden="1"/>
    <cellStyle name="Followed Hyperlink" xfId="30838" builtinId="9" hidden="1"/>
    <cellStyle name="Followed Hyperlink" xfId="30840" builtinId="9" hidden="1"/>
    <cellStyle name="Followed Hyperlink" xfId="30842" builtinId="9" hidden="1"/>
    <cellStyle name="Followed Hyperlink" xfId="30844" builtinId="9" hidden="1"/>
    <cellStyle name="Followed Hyperlink" xfId="30846" builtinId="9" hidden="1"/>
    <cellStyle name="Followed Hyperlink" xfId="30848" builtinId="9" hidden="1"/>
    <cellStyle name="Followed Hyperlink" xfId="30850" builtinId="9" hidden="1"/>
    <cellStyle name="Followed Hyperlink" xfId="30852" builtinId="9" hidden="1"/>
    <cellStyle name="Followed Hyperlink" xfId="30854" builtinId="9" hidden="1"/>
    <cellStyle name="Followed Hyperlink" xfId="30856" builtinId="9" hidden="1"/>
    <cellStyle name="Followed Hyperlink" xfId="30858" builtinId="9" hidden="1"/>
    <cellStyle name="Followed Hyperlink" xfId="30860" builtinId="9" hidden="1"/>
    <cellStyle name="Followed Hyperlink" xfId="30862" builtinId="9" hidden="1"/>
    <cellStyle name="Followed Hyperlink" xfId="30864" builtinId="9" hidden="1"/>
    <cellStyle name="Followed Hyperlink" xfId="30866" builtinId="9" hidden="1"/>
    <cellStyle name="Followed Hyperlink" xfId="30868" builtinId="9" hidden="1"/>
    <cellStyle name="Followed Hyperlink" xfId="30870" builtinId="9" hidden="1"/>
    <cellStyle name="Followed Hyperlink" xfId="30872" builtinId="9" hidden="1"/>
    <cellStyle name="Followed Hyperlink" xfId="30874" builtinId="9" hidden="1"/>
    <cellStyle name="Followed Hyperlink" xfId="30876" builtinId="9" hidden="1"/>
    <cellStyle name="Followed Hyperlink" xfId="30878" builtinId="9" hidden="1"/>
    <cellStyle name="Followed Hyperlink" xfId="30880" builtinId="9" hidden="1"/>
    <cellStyle name="Followed Hyperlink" xfId="30882" builtinId="9" hidden="1"/>
    <cellStyle name="Followed Hyperlink" xfId="30884" builtinId="9" hidden="1"/>
    <cellStyle name="Followed Hyperlink" xfId="30886" builtinId="9" hidden="1"/>
    <cellStyle name="Followed Hyperlink" xfId="30888" builtinId="9" hidden="1"/>
    <cellStyle name="Followed Hyperlink" xfId="30890" builtinId="9" hidden="1"/>
    <cellStyle name="Followed Hyperlink" xfId="30892" builtinId="9" hidden="1"/>
    <cellStyle name="Followed Hyperlink" xfId="30894" builtinId="9" hidden="1"/>
    <cellStyle name="Followed Hyperlink" xfId="30896" builtinId="9" hidden="1"/>
    <cellStyle name="Followed Hyperlink" xfId="30898" builtinId="9" hidden="1"/>
    <cellStyle name="Followed Hyperlink" xfId="30900" builtinId="9" hidden="1"/>
    <cellStyle name="Followed Hyperlink" xfId="30902" builtinId="9" hidden="1"/>
    <cellStyle name="Followed Hyperlink" xfId="30904" builtinId="9" hidden="1"/>
    <cellStyle name="Followed Hyperlink" xfId="30906" builtinId="9" hidden="1"/>
    <cellStyle name="Followed Hyperlink" xfId="30908" builtinId="9" hidden="1"/>
    <cellStyle name="Followed Hyperlink" xfId="30910" builtinId="9" hidden="1"/>
    <cellStyle name="Followed Hyperlink" xfId="30912" builtinId="9" hidden="1"/>
    <cellStyle name="Followed Hyperlink" xfId="30914" builtinId="9" hidden="1"/>
    <cellStyle name="Followed Hyperlink" xfId="30916" builtinId="9" hidden="1"/>
    <cellStyle name="Followed Hyperlink" xfId="30918" builtinId="9" hidden="1"/>
    <cellStyle name="Followed Hyperlink" xfId="30920" builtinId="9" hidden="1"/>
    <cellStyle name="Followed Hyperlink" xfId="30922" builtinId="9" hidden="1"/>
    <cellStyle name="Followed Hyperlink" xfId="30924" builtinId="9" hidden="1"/>
    <cellStyle name="Followed Hyperlink" xfId="30926" builtinId="9" hidden="1"/>
    <cellStyle name="Followed Hyperlink" xfId="30928" builtinId="9" hidden="1"/>
    <cellStyle name="Followed Hyperlink" xfId="30930" builtinId="9" hidden="1"/>
    <cellStyle name="Followed Hyperlink" xfId="30932" builtinId="9" hidden="1"/>
    <cellStyle name="Followed Hyperlink" xfId="30934" builtinId="9" hidden="1"/>
    <cellStyle name="Followed Hyperlink" xfId="30936" builtinId="9" hidden="1"/>
    <cellStyle name="Followed Hyperlink" xfId="30938" builtinId="9" hidden="1"/>
    <cellStyle name="Followed Hyperlink" xfId="30940" builtinId="9" hidden="1"/>
    <cellStyle name="Followed Hyperlink" xfId="30942" builtinId="9" hidden="1"/>
    <cellStyle name="Followed Hyperlink" xfId="30944" builtinId="9" hidden="1"/>
    <cellStyle name="Followed Hyperlink" xfId="30946" builtinId="9" hidden="1"/>
    <cellStyle name="Followed Hyperlink" xfId="30948" builtinId="9" hidden="1"/>
    <cellStyle name="Followed Hyperlink" xfId="30950" builtinId="9" hidden="1"/>
    <cellStyle name="Followed Hyperlink" xfId="30952" builtinId="9" hidden="1"/>
    <cellStyle name="Followed Hyperlink" xfId="30954" builtinId="9" hidden="1"/>
    <cellStyle name="Followed Hyperlink" xfId="30956" builtinId="9" hidden="1"/>
    <cellStyle name="Followed Hyperlink" xfId="30958" builtinId="9" hidden="1"/>
    <cellStyle name="Followed Hyperlink" xfId="30960" builtinId="9" hidden="1"/>
    <cellStyle name="Followed Hyperlink" xfId="30962" builtinId="9" hidden="1"/>
    <cellStyle name="Followed Hyperlink" xfId="30964" builtinId="9" hidden="1"/>
    <cellStyle name="Followed Hyperlink" xfId="30966" builtinId="9" hidden="1"/>
    <cellStyle name="Followed Hyperlink" xfId="30968" builtinId="9" hidden="1"/>
    <cellStyle name="Followed Hyperlink" xfId="30970" builtinId="9" hidden="1"/>
    <cellStyle name="Followed Hyperlink" xfId="30972" builtinId="9" hidden="1"/>
    <cellStyle name="Followed Hyperlink" xfId="30974" builtinId="9" hidden="1"/>
    <cellStyle name="Followed Hyperlink" xfId="30976" builtinId="9" hidden="1"/>
    <cellStyle name="Followed Hyperlink" xfId="30978" builtinId="9" hidden="1"/>
    <cellStyle name="Followed Hyperlink" xfId="30980" builtinId="9" hidden="1"/>
    <cellStyle name="Followed Hyperlink" xfId="30982" builtinId="9" hidden="1"/>
    <cellStyle name="Followed Hyperlink" xfId="30984" builtinId="9" hidden="1"/>
    <cellStyle name="Followed Hyperlink" xfId="30986" builtinId="9" hidden="1"/>
    <cellStyle name="Followed Hyperlink" xfId="30988" builtinId="9" hidden="1"/>
    <cellStyle name="Followed Hyperlink" xfId="30990" builtinId="9" hidden="1"/>
    <cellStyle name="Followed Hyperlink" xfId="30992" builtinId="9" hidden="1"/>
    <cellStyle name="Followed Hyperlink" xfId="30994" builtinId="9" hidden="1"/>
    <cellStyle name="Followed Hyperlink" xfId="30996" builtinId="9" hidden="1"/>
    <cellStyle name="Followed Hyperlink" xfId="30998" builtinId="9" hidden="1"/>
    <cellStyle name="Followed Hyperlink" xfId="31000" builtinId="9" hidden="1"/>
    <cellStyle name="Followed Hyperlink" xfId="31002" builtinId="9" hidden="1"/>
    <cellStyle name="Followed Hyperlink" xfId="31004" builtinId="9" hidden="1"/>
    <cellStyle name="Followed Hyperlink" xfId="31006" builtinId="9" hidden="1"/>
    <cellStyle name="Followed Hyperlink" xfId="31008" builtinId="9" hidden="1"/>
    <cellStyle name="Followed Hyperlink" xfId="31010" builtinId="9" hidden="1"/>
    <cellStyle name="Followed Hyperlink" xfId="31012" builtinId="9" hidden="1"/>
    <cellStyle name="Followed Hyperlink" xfId="31014" builtinId="9" hidden="1"/>
    <cellStyle name="Followed Hyperlink" xfId="31016" builtinId="9" hidden="1"/>
    <cellStyle name="Followed Hyperlink" xfId="31018" builtinId="9" hidden="1"/>
    <cellStyle name="Followed Hyperlink" xfId="31020" builtinId="9" hidden="1"/>
    <cellStyle name="Followed Hyperlink" xfId="31022" builtinId="9" hidden="1"/>
    <cellStyle name="Followed Hyperlink" xfId="31024" builtinId="9" hidden="1"/>
    <cellStyle name="Followed Hyperlink" xfId="31026" builtinId="9" hidden="1"/>
    <cellStyle name="Followed Hyperlink" xfId="31028" builtinId="9" hidden="1"/>
    <cellStyle name="Followed Hyperlink" xfId="31030" builtinId="9" hidden="1"/>
    <cellStyle name="Followed Hyperlink" xfId="31032" builtinId="9" hidden="1"/>
    <cellStyle name="Followed Hyperlink" xfId="31034" builtinId="9" hidden="1"/>
    <cellStyle name="Followed Hyperlink" xfId="31036" builtinId="9" hidden="1"/>
    <cellStyle name="Followed Hyperlink" xfId="31038" builtinId="9" hidden="1"/>
    <cellStyle name="Followed Hyperlink" xfId="31042" builtinId="9" hidden="1"/>
    <cellStyle name="Followed Hyperlink" xfId="31044" builtinId="9" hidden="1"/>
    <cellStyle name="Followed Hyperlink" xfId="31046" builtinId="9" hidden="1"/>
    <cellStyle name="Followed Hyperlink" xfId="31048" builtinId="9" hidden="1"/>
    <cellStyle name="Followed Hyperlink" xfId="31050" builtinId="9" hidden="1"/>
    <cellStyle name="Followed Hyperlink" xfId="31052" builtinId="9" hidden="1"/>
    <cellStyle name="Followed Hyperlink" xfId="31054" builtinId="9" hidden="1"/>
    <cellStyle name="Followed Hyperlink" xfId="31056" builtinId="9" hidden="1"/>
    <cellStyle name="Followed Hyperlink" xfId="31058" builtinId="9" hidden="1"/>
    <cellStyle name="Followed Hyperlink" xfId="31060" builtinId="9" hidden="1"/>
    <cellStyle name="Followed Hyperlink" xfId="31062" builtinId="9" hidden="1"/>
    <cellStyle name="Followed Hyperlink" xfId="31064" builtinId="9" hidden="1"/>
    <cellStyle name="Followed Hyperlink" xfId="31066" builtinId="9" hidden="1"/>
    <cellStyle name="Followed Hyperlink" xfId="31068" builtinId="9" hidden="1"/>
    <cellStyle name="Followed Hyperlink" xfId="31070" builtinId="9" hidden="1"/>
    <cellStyle name="Followed Hyperlink" xfId="31072" builtinId="9" hidden="1"/>
    <cellStyle name="Followed Hyperlink" xfId="31074" builtinId="9" hidden="1"/>
    <cellStyle name="Followed Hyperlink" xfId="31076" builtinId="9" hidden="1"/>
    <cellStyle name="Followed Hyperlink" xfId="31078" builtinId="9" hidden="1"/>
    <cellStyle name="Followed Hyperlink" xfId="31080" builtinId="9" hidden="1"/>
    <cellStyle name="Followed Hyperlink" xfId="31082" builtinId="9" hidden="1"/>
    <cellStyle name="Followed Hyperlink" xfId="31084" builtinId="9" hidden="1"/>
    <cellStyle name="Followed Hyperlink" xfId="31086" builtinId="9" hidden="1"/>
    <cellStyle name="Followed Hyperlink" xfId="31088" builtinId="9" hidden="1"/>
    <cellStyle name="Followed Hyperlink" xfId="31090" builtinId="9" hidden="1"/>
    <cellStyle name="Followed Hyperlink" xfId="31092" builtinId="9" hidden="1"/>
    <cellStyle name="Followed Hyperlink" xfId="31094" builtinId="9" hidden="1"/>
    <cellStyle name="Followed Hyperlink" xfId="31096" builtinId="9" hidden="1"/>
    <cellStyle name="Followed Hyperlink" xfId="31098" builtinId="9" hidden="1"/>
    <cellStyle name="Followed Hyperlink" xfId="31100" builtinId="9" hidden="1"/>
    <cellStyle name="Followed Hyperlink" xfId="31102" builtinId="9" hidden="1"/>
    <cellStyle name="Followed Hyperlink" xfId="31104" builtinId="9" hidden="1"/>
    <cellStyle name="Followed Hyperlink" xfId="31106" builtinId="9" hidden="1"/>
    <cellStyle name="Followed Hyperlink" xfId="31108" builtinId="9" hidden="1"/>
    <cellStyle name="Followed Hyperlink" xfId="31110" builtinId="9" hidden="1"/>
    <cellStyle name="Followed Hyperlink" xfId="31112" builtinId="9" hidden="1"/>
    <cellStyle name="Followed Hyperlink" xfId="31114" builtinId="9" hidden="1"/>
    <cellStyle name="Followed Hyperlink" xfId="31116" builtinId="9" hidden="1"/>
    <cellStyle name="Followed Hyperlink" xfId="31118" builtinId="9" hidden="1"/>
    <cellStyle name="Followed Hyperlink" xfId="31120" builtinId="9" hidden="1"/>
    <cellStyle name="Followed Hyperlink" xfId="31122" builtinId="9" hidden="1"/>
    <cellStyle name="Followed Hyperlink" xfId="31124" builtinId="9" hidden="1"/>
    <cellStyle name="Followed Hyperlink" xfId="31126" builtinId="9" hidden="1"/>
    <cellStyle name="Followed Hyperlink" xfId="31128" builtinId="9" hidden="1"/>
    <cellStyle name="Followed Hyperlink" xfId="31130" builtinId="9" hidden="1"/>
    <cellStyle name="Followed Hyperlink" xfId="31132" builtinId="9" hidden="1"/>
    <cellStyle name="Followed Hyperlink" xfId="31134" builtinId="9" hidden="1"/>
    <cellStyle name="Followed Hyperlink" xfId="31136" builtinId="9" hidden="1"/>
    <cellStyle name="Followed Hyperlink" xfId="31138" builtinId="9" hidden="1"/>
    <cellStyle name="Followed Hyperlink" xfId="31140" builtinId="9" hidden="1"/>
    <cellStyle name="Followed Hyperlink" xfId="31142" builtinId="9" hidden="1"/>
    <cellStyle name="Followed Hyperlink" xfId="31144" builtinId="9" hidden="1"/>
    <cellStyle name="Followed Hyperlink" xfId="31146" builtinId="9" hidden="1"/>
    <cellStyle name="Followed Hyperlink" xfId="31148" builtinId="9" hidden="1"/>
    <cellStyle name="Followed Hyperlink" xfId="31150" builtinId="9" hidden="1"/>
    <cellStyle name="Followed Hyperlink" xfId="31152" builtinId="9" hidden="1"/>
    <cellStyle name="Followed Hyperlink" xfId="31154" builtinId="9" hidden="1"/>
    <cellStyle name="Followed Hyperlink" xfId="31156" builtinId="9" hidden="1"/>
    <cellStyle name="Followed Hyperlink" xfId="31158" builtinId="9" hidden="1"/>
    <cellStyle name="Followed Hyperlink" xfId="31160" builtinId="9" hidden="1"/>
    <cellStyle name="Followed Hyperlink" xfId="31162" builtinId="9" hidden="1"/>
    <cellStyle name="Followed Hyperlink" xfId="31164" builtinId="9" hidden="1"/>
    <cellStyle name="Followed Hyperlink" xfId="31166" builtinId="9" hidden="1"/>
    <cellStyle name="Followed Hyperlink" xfId="31168" builtinId="9" hidden="1"/>
    <cellStyle name="Followed Hyperlink" xfId="31170" builtinId="9" hidden="1"/>
    <cellStyle name="Followed Hyperlink" xfId="31172" builtinId="9" hidden="1"/>
    <cellStyle name="Followed Hyperlink" xfId="31174" builtinId="9" hidden="1"/>
    <cellStyle name="Followed Hyperlink" xfId="31176" builtinId="9" hidden="1"/>
    <cellStyle name="Followed Hyperlink" xfId="31178" builtinId="9" hidden="1"/>
    <cellStyle name="Followed Hyperlink" xfId="31180" builtinId="9" hidden="1"/>
    <cellStyle name="Followed Hyperlink" xfId="31182" builtinId="9" hidden="1"/>
    <cellStyle name="Followed Hyperlink" xfId="31184" builtinId="9" hidden="1"/>
    <cellStyle name="Followed Hyperlink" xfId="31186" builtinId="9" hidden="1"/>
    <cellStyle name="Followed Hyperlink" xfId="31188" builtinId="9" hidden="1"/>
    <cellStyle name="Followed Hyperlink" xfId="31190" builtinId="9" hidden="1"/>
    <cellStyle name="Followed Hyperlink" xfId="31192" builtinId="9" hidden="1"/>
    <cellStyle name="Followed Hyperlink" xfId="31194" builtinId="9" hidden="1"/>
    <cellStyle name="Followed Hyperlink" xfId="31196" builtinId="9" hidden="1"/>
    <cellStyle name="Followed Hyperlink" xfId="31198" builtinId="9" hidden="1"/>
    <cellStyle name="Followed Hyperlink" xfId="31200" builtinId="9" hidden="1"/>
    <cellStyle name="Followed Hyperlink" xfId="31202" builtinId="9" hidden="1"/>
    <cellStyle name="Followed Hyperlink" xfId="31204" builtinId="9" hidden="1"/>
    <cellStyle name="Followed Hyperlink" xfId="31206" builtinId="9" hidden="1"/>
    <cellStyle name="Followed Hyperlink" xfId="31208" builtinId="9" hidden="1"/>
    <cellStyle name="Followed Hyperlink" xfId="31210" builtinId="9" hidden="1"/>
    <cellStyle name="Followed Hyperlink" xfId="31212" builtinId="9" hidden="1"/>
    <cellStyle name="Followed Hyperlink" xfId="31214" builtinId="9" hidden="1"/>
    <cellStyle name="Followed Hyperlink" xfId="31216" builtinId="9" hidden="1"/>
    <cellStyle name="Followed Hyperlink" xfId="31218" builtinId="9" hidden="1"/>
    <cellStyle name="Followed Hyperlink" xfId="31220" builtinId="9" hidden="1"/>
    <cellStyle name="Followed Hyperlink" xfId="31222" builtinId="9" hidden="1"/>
    <cellStyle name="Followed Hyperlink" xfId="31224" builtinId="9" hidden="1"/>
    <cellStyle name="Followed Hyperlink" xfId="31226" builtinId="9" hidden="1"/>
    <cellStyle name="Followed Hyperlink" xfId="31228" builtinId="9" hidden="1"/>
    <cellStyle name="Followed Hyperlink" xfId="31230" builtinId="9" hidden="1"/>
    <cellStyle name="Followed Hyperlink" xfId="31232" builtinId="9" hidden="1"/>
    <cellStyle name="Followed Hyperlink" xfId="31234" builtinId="9" hidden="1"/>
    <cellStyle name="Followed Hyperlink" xfId="31236" builtinId="9" hidden="1"/>
    <cellStyle name="Followed Hyperlink" xfId="31238" builtinId="9" hidden="1"/>
    <cellStyle name="Followed Hyperlink" xfId="31240" builtinId="9" hidden="1"/>
    <cellStyle name="Followed Hyperlink" xfId="31242" builtinId="9" hidden="1"/>
    <cellStyle name="Followed Hyperlink" xfId="31244" builtinId="9" hidden="1"/>
    <cellStyle name="Followed Hyperlink" xfId="31246" builtinId="9" hidden="1"/>
    <cellStyle name="Followed Hyperlink" xfId="31248" builtinId="9" hidden="1"/>
    <cellStyle name="Followed Hyperlink" xfId="31250" builtinId="9" hidden="1"/>
    <cellStyle name="Followed Hyperlink" xfId="31252" builtinId="9" hidden="1"/>
    <cellStyle name="Followed Hyperlink" xfId="31254" builtinId="9" hidden="1"/>
    <cellStyle name="Followed Hyperlink" xfId="31256" builtinId="9" hidden="1"/>
    <cellStyle name="Followed Hyperlink" xfId="31258" builtinId="9" hidden="1"/>
    <cellStyle name="Followed Hyperlink" xfId="31260" builtinId="9" hidden="1"/>
    <cellStyle name="Followed Hyperlink" xfId="31259" builtinId="9" hidden="1"/>
    <cellStyle name="Followed Hyperlink" xfId="31255" builtinId="9" hidden="1"/>
    <cellStyle name="Followed Hyperlink" xfId="31251" builtinId="9" hidden="1"/>
    <cellStyle name="Followed Hyperlink" xfId="31247" builtinId="9" hidden="1"/>
    <cellStyle name="Followed Hyperlink" xfId="31243" builtinId="9" hidden="1"/>
    <cellStyle name="Followed Hyperlink" xfId="31239" builtinId="9" hidden="1"/>
    <cellStyle name="Followed Hyperlink" xfId="31235" builtinId="9" hidden="1"/>
    <cellStyle name="Followed Hyperlink" xfId="31231" builtinId="9" hidden="1"/>
    <cellStyle name="Followed Hyperlink" xfId="31227" builtinId="9" hidden="1"/>
    <cellStyle name="Followed Hyperlink" xfId="31223" builtinId="9" hidden="1"/>
    <cellStyle name="Followed Hyperlink" xfId="31219" builtinId="9" hidden="1"/>
    <cellStyle name="Followed Hyperlink" xfId="31215" builtinId="9" hidden="1"/>
    <cellStyle name="Followed Hyperlink" xfId="31211" builtinId="9" hidden="1"/>
    <cellStyle name="Followed Hyperlink" xfId="31207" builtinId="9" hidden="1"/>
    <cellStyle name="Followed Hyperlink" xfId="31203" builtinId="9" hidden="1"/>
    <cellStyle name="Followed Hyperlink" xfId="31199" builtinId="9" hidden="1"/>
    <cellStyle name="Followed Hyperlink" xfId="31195" builtinId="9" hidden="1"/>
    <cellStyle name="Followed Hyperlink" xfId="31191" builtinId="9" hidden="1"/>
    <cellStyle name="Followed Hyperlink" xfId="31187" builtinId="9" hidden="1"/>
    <cellStyle name="Followed Hyperlink" xfId="31183" builtinId="9" hidden="1"/>
    <cellStyle name="Followed Hyperlink" xfId="31179" builtinId="9" hidden="1"/>
    <cellStyle name="Followed Hyperlink" xfId="31175" builtinId="9" hidden="1"/>
    <cellStyle name="Followed Hyperlink" xfId="31171" builtinId="9" hidden="1"/>
    <cellStyle name="Followed Hyperlink" xfId="31167" builtinId="9" hidden="1"/>
    <cellStyle name="Followed Hyperlink" xfId="31163" builtinId="9" hidden="1"/>
    <cellStyle name="Followed Hyperlink" xfId="31159" builtinId="9" hidden="1"/>
    <cellStyle name="Followed Hyperlink" xfId="31155" builtinId="9" hidden="1"/>
    <cellStyle name="Followed Hyperlink" xfId="31151" builtinId="9" hidden="1"/>
    <cellStyle name="Followed Hyperlink" xfId="31147" builtinId="9" hidden="1"/>
    <cellStyle name="Followed Hyperlink" xfId="31143" builtinId="9" hidden="1"/>
    <cellStyle name="Followed Hyperlink" xfId="31139" builtinId="9" hidden="1"/>
    <cellStyle name="Followed Hyperlink" xfId="31135" builtinId="9" hidden="1"/>
    <cellStyle name="Followed Hyperlink" xfId="31131" builtinId="9" hidden="1"/>
    <cellStyle name="Followed Hyperlink" xfId="31127" builtinId="9" hidden="1"/>
    <cellStyle name="Followed Hyperlink" xfId="31123" builtinId="9" hidden="1"/>
    <cellStyle name="Followed Hyperlink" xfId="31119" builtinId="9" hidden="1"/>
    <cellStyle name="Followed Hyperlink" xfId="31115" builtinId="9" hidden="1"/>
    <cellStyle name="Followed Hyperlink" xfId="31111" builtinId="9" hidden="1"/>
    <cellStyle name="Followed Hyperlink" xfId="31107" builtinId="9" hidden="1"/>
    <cellStyle name="Followed Hyperlink" xfId="31103" builtinId="9" hidden="1"/>
    <cellStyle name="Followed Hyperlink" xfId="31099" builtinId="9" hidden="1"/>
    <cellStyle name="Followed Hyperlink" xfId="31095" builtinId="9" hidden="1"/>
    <cellStyle name="Followed Hyperlink" xfId="31091" builtinId="9" hidden="1"/>
    <cellStyle name="Followed Hyperlink" xfId="31087" builtinId="9" hidden="1"/>
    <cellStyle name="Followed Hyperlink" xfId="31083" builtinId="9" hidden="1"/>
    <cellStyle name="Followed Hyperlink" xfId="31079" builtinId="9" hidden="1"/>
    <cellStyle name="Followed Hyperlink" xfId="31075" builtinId="9" hidden="1"/>
    <cellStyle name="Followed Hyperlink" xfId="31071" builtinId="9" hidden="1"/>
    <cellStyle name="Followed Hyperlink" xfId="31067" builtinId="9" hidden="1"/>
    <cellStyle name="Followed Hyperlink" xfId="31063" builtinId="9" hidden="1"/>
    <cellStyle name="Followed Hyperlink" xfId="31059" builtinId="9" hidden="1"/>
    <cellStyle name="Followed Hyperlink" xfId="31055" builtinId="9" hidden="1"/>
    <cellStyle name="Followed Hyperlink" xfId="31051" builtinId="9" hidden="1"/>
    <cellStyle name="Followed Hyperlink" xfId="31047" builtinId="9" hidden="1"/>
    <cellStyle name="Followed Hyperlink" xfId="31043" builtinId="9" hidden="1"/>
    <cellStyle name="Followed Hyperlink" xfId="31261" builtinId="9" hidden="1"/>
    <cellStyle name="Followed Hyperlink" xfId="30819" builtinId="9" hidden="1"/>
    <cellStyle name="Followed Hyperlink" xfId="31262" builtinId="9" hidden="1"/>
    <cellStyle name="Followed Hyperlink" xfId="31266" builtinId="9" hidden="1"/>
    <cellStyle name="Followed Hyperlink" xfId="31268" builtinId="9" hidden="1"/>
    <cellStyle name="Followed Hyperlink" xfId="31270" builtinId="9" hidden="1"/>
    <cellStyle name="Followed Hyperlink" xfId="31272" builtinId="9" hidden="1"/>
    <cellStyle name="Followed Hyperlink" xfId="31274" builtinId="9" hidden="1"/>
    <cellStyle name="Followed Hyperlink" xfId="31276" builtinId="9" hidden="1"/>
    <cellStyle name="Followed Hyperlink" xfId="31278" builtinId="9" hidden="1"/>
    <cellStyle name="Followed Hyperlink" xfId="31280" builtinId="9" hidden="1"/>
    <cellStyle name="Followed Hyperlink" xfId="31282" builtinId="9" hidden="1"/>
    <cellStyle name="Followed Hyperlink" xfId="31284" builtinId="9" hidden="1"/>
    <cellStyle name="Followed Hyperlink" xfId="31286" builtinId="9" hidden="1"/>
    <cellStyle name="Followed Hyperlink" xfId="31288" builtinId="9" hidden="1"/>
    <cellStyle name="Followed Hyperlink" xfId="31290" builtinId="9" hidden="1"/>
    <cellStyle name="Followed Hyperlink" xfId="31292" builtinId="9" hidden="1"/>
    <cellStyle name="Followed Hyperlink" xfId="31294" builtinId="9" hidden="1"/>
    <cellStyle name="Followed Hyperlink" xfId="31296" builtinId="9" hidden="1"/>
    <cellStyle name="Followed Hyperlink" xfId="31298" builtinId="9" hidden="1"/>
    <cellStyle name="Followed Hyperlink" xfId="31300" builtinId="9" hidden="1"/>
    <cellStyle name="Followed Hyperlink" xfId="31302" builtinId="9" hidden="1"/>
    <cellStyle name="Followed Hyperlink" xfId="31304" builtinId="9" hidden="1"/>
    <cellStyle name="Followed Hyperlink" xfId="31306" builtinId="9" hidden="1"/>
    <cellStyle name="Followed Hyperlink" xfId="31308" builtinId="9" hidden="1"/>
    <cellStyle name="Followed Hyperlink" xfId="31310" builtinId="9" hidden="1"/>
    <cellStyle name="Followed Hyperlink" xfId="31312" builtinId="9" hidden="1"/>
    <cellStyle name="Followed Hyperlink" xfId="31314" builtinId="9" hidden="1"/>
    <cellStyle name="Followed Hyperlink" xfId="31316" builtinId="9" hidden="1"/>
    <cellStyle name="Followed Hyperlink" xfId="31318" builtinId="9" hidden="1"/>
    <cellStyle name="Followed Hyperlink" xfId="31320" builtinId="9" hidden="1"/>
    <cellStyle name="Followed Hyperlink" xfId="31322" builtinId="9" hidden="1"/>
    <cellStyle name="Followed Hyperlink" xfId="31324" builtinId="9" hidden="1"/>
    <cellStyle name="Followed Hyperlink" xfId="31326" builtinId="9" hidden="1"/>
    <cellStyle name="Followed Hyperlink" xfId="31328" builtinId="9" hidden="1"/>
    <cellStyle name="Followed Hyperlink" xfId="31330" builtinId="9" hidden="1"/>
    <cellStyle name="Followed Hyperlink" xfId="31332" builtinId="9" hidden="1"/>
    <cellStyle name="Followed Hyperlink" xfId="31334" builtinId="9" hidden="1"/>
    <cellStyle name="Followed Hyperlink" xfId="31336" builtinId="9" hidden="1"/>
    <cellStyle name="Followed Hyperlink" xfId="31338" builtinId="9" hidden="1"/>
    <cellStyle name="Followed Hyperlink" xfId="31340" builtinId="9" hidden="1"/>
    <cellStyle name="Followed Hyperlink" xfId="31342" builtinId="9" hidden="1"/>
    <cellStyle name="Followed Hyperlink" xfId="31344" builtinId="9" hidden="1"/>
    <cellStyle name="Followed Hyperlink" xfId="31346" builtinId="9" hidden="1"/>
    <cellStyle name="Followed Hyperlink" xfId="31348" builtinId="9" hidden="1"/>
    <cellStyle name="Followed Hyperlink" xfId="31350" builtinId="9" hidden="1"/>
    <cellStyle name="Followed Hyperlink" xfId="31352" builtinId="9" hidden="1"/>
    <cellStyle name="Followed Hyperlink" xfId="31354" builtinId="9" hidden="1"/>
    <cellStyle name="Followed Hyperlink" xfId="31356" builtinId="9" hidden="1"/>
    <cellStyle name="Followed Hyperlink" xfId="31358" builtinId="9" hidden="1"/>
    <cellStyle name="Followed Hyperlink" xfId="31360" builtinId="9" hidden="1"/>
    <cellStyle name="Followed Hyperlink" xfId="31362" builtinId="9" hidden="1"/>
    <cellStyle name="Followed Hyperlink" xfId="31364" builtinId="9" hidden="1"/>
    <cellStyle name="Followed Hyperlink" xfId="31366" builtinId="9" hidden="1"/>
    <cellStyle name="Followed Hyperlink" xfId="31368" builtinId="9" hidden="1"/>
    <cellStyle name="Followed Hyperlink" xfId="31370" builtinId="9" hidden="1"/>
    <cellStyle name="Followed Hyperlink" xfId="31371" builtinId="9" hidden="1"/>
    <cellStyle name="Followed Hyperlink" xfId="31372" builtinId="9" hidden="1"/>
    <cellStyle name="Followed Hyperlink" xfId="31373" builtinId="9" hidden="1"/>
    <cellStyle name="Followed Hyperlink" xfId="31374" builtinId="9" hidden="1"/>
    <cellStyle name="Followed Hyperlink" xfId="31375" builtinId="9" hidden="1"/>
    <cellStyle name="Followed Hyperlink" xfId="31376" builtinId="9" hidden="1"/>
    <cellStyle name="Followed Hyperlink" xfId="31377" builtinId="9" hidden="1"/>
    <cellStyle name="Followed Hyperlink" xfId="31378" builtinId="9" hidden="1"/>
    <cellStyle name="Followed Hyperlink" xfId="31379" builtinId="9" hidden="1"/>
    <cellStyle name="Followed Hyperlink" xfId="31380" builtinId="9" hidden="1"/>
    <cellStyle name="Followed Hyperlink" xfId="31381" builtinId="9" hidden="1"/>
    <cellStyle name="Followed Hyperlink" xfId="31382" builtinId="9" hidden="1"/>
    <cellStyle name="Followed Hyperlink" xfId="31383" builtinId="9" hidden="1"/>
    <cellStyle name="Followed Hyperlink" xfId="31384" builtinId="9" hidden="1"/>
    <cellStyle name="Followed Hyperlink" xfId="31385" builtinId="9" hidden="1"/>
    <cellStyle name="Followed Hyperlink" xfId="31386" builtinId="9" hidden="1"/>
    <cellStyle name="Followed Hyperlink" xfId="31387" builtinId="9" hidden="1"/>
    <cellStyle name="Followed Hyperlink" xfId="31388" builtinId="9" hidden="1"/>
    <cellStyle name="Followed Hyperlink" xfId="31389" builtinId="9" hidden="1"/>
    <cellStyle name="Followed Hyperlink" xfId="31390" builtinId="9" hidden="1"/>
    <cellStyle name="Followed Hyperlink" xfId="31391" builtinId="9" hidden="1"/>
    <cellStyle name="Followed Hyperlink" xfId="31392" builtinId="9" hidden="1"/>
    <cellStyle name="Followed Hyperlink" xfId="31393" builtinId="9" hidden="1"/>
    <cellStyle name="Followed Hyperlink" xfId="31394" builtinId="9" hidden="1"/>
    <cellStyle name="Followed Hyperlink" xfId="31395" builtinId="9" hidden="1"/>
    <cellStyle name="Followed Hyperlink" xfId="31396" builtinId="9" hidden="1"/>
    <cellStyle name="Followed Hyperlink" xfId="31397" builtinId="9" hidden="1"/>
    <cellStyle name="Followed Hyperlink" xfId="31398" builtinId="9" hidden="1"/>
    <cellStyle name="Followed Hyperlink" xfId="31399" builtinId="9" hidden="1"/>
    <cellStyle name="Followed Hyperlink" xfId="31400" builtinId="9" hidden="1"/>
    <cellStyle name="Followed Hyperlink" xfId="31401" builtinId="9" hidden="1"/>
    <cellStyle name="Followed Hyperlink" xfId="31402" builtinId="9" hidden="1"/>
    <cellStyle name="Followed Hyperlink" xfId="31403" builtinId="9" hidden="1"/>
    <cellStyle name="Followed Hyperlink" xfId="31404" builtinId="9" hidden="1"/>
    <cellStyle name="Followed Hyperlink" xfId="31405" builtinId="9" hidden="1"/>
    <cellStyle name="Followed Hyperlink" xfId="31406" builtinId="9" hidden="1"/>
    <cellStyle name="Followed Hyperlink" xfId="31407" builtinId="9" hidden="1"/>
    <cellStyle name="Followed Hyperlink" xfId="31408" builtinId="9" hidden="1"/>
    <cellStyle name="Followed Hyperlink" xfId="31409" builtinId="9" hidden="1"/>
    <cellStyle name="Followed Hyperlink" xfId="31410" builtinId="9" hidden="1"/>
    <cellStyle name="Followed Hyperlink" xfId="31411" builtinId="9" hidden="1"/>
    <cellStyle name="Followed Hyperlink" xfId="31412" builtinId="9" hidden="1"/>
    <cellStyle name="Followed Hyperlink" xfId="31413" builtinId="9" hidden="1"/>
    <cellStyle name="Followed Hyperlink" xfId="31414" builtinId="9" hidden="1"/>
    <cellStyle name="Followed Hyperlink" xfId="31415" builtinId="9" hidden="1"/>
    <cellStyle name="Followed Hyperlink" xfId="31416" builtinId="9" hidden="1"/>
    <cellStyle name="Followed Hyperlink" xfId="31417" builtinId="9" hidden="1"/>
    <cellStyle name="Followed Hyperlink" xfId="31418" builtinId="9" hidden="1"/>
    <cellStyle name="Followed Hyperlink" xfId="31419" builtinId="9" hidden="1"/>
    <cellStyle name="Followed Hyperlink" xfId="31420" builtinId="9" hidden="1"/>
    <cellStyle name="Followed Hyperlink" xfId="31421" builtinId="9" hidden="1"/>
    <cellStyle name="Followed Hyperlink" xfId="31422" builtinId="9" hidden="1"/>
    <cellStyle name="Followed Hyperlink" xfId="31423" builtinId="9" hidden="1"/>
    <cellStyle name="Followed Hyperlink" xfId="31424" builtinId="9" hidden="1"/>
    <cellStyle name="Followed Hyperlink" xfId="31425" builtinId="9" hidden="1"/>
    <cellStyle name="Followed Hyperlink" xfId="31426" builtinId="9" hidden="1"/>
    <cellStyle name="Followed Hyperlink" xfId="31427" builtinId="9" hidden="1"/>
    <cellStyle name="Followed Hyperlink" xfId="31428" builtinId="9" hidden="1"/>
    <cellStyle name="Followed Hyperlink" xfId="31429" builtinId="9" hidden="1"/>
    <cellStyle name="Followed Hyperlink" xfId="31430" builtinId="9" hidden="1"/>
    <cellStyle name="Followed Hyperlink" xfId="31431" builtinId="9" hidden="1"/>
    <cellStyle name="Followed Hyperlink" xfId="31432" builtinId="9" hidden="1"/>
    <cellStyle name="Followed Hyperlink" xfId="31433" builtinId="9" hidden="1"/>
    <cellStyle name="Followed Hyperlink" xfId="31434" builtinId="9" hidden="1"/>
    <cellStyle name="Followed Hyperlink" xfId="31435" builtinId="9" hidden="1"/>
    <cellStyle name="Followed Hyperlink" xfId="31436" builtinId="9" hidden="1"/>
    <cellStyle name="Followed Hyperlink" xfId="31437" builtinId="9" hidden="1"/>
    <cellStyle name="Followed Hyperlink" xfId="31438" builtinId="9" hidden="1"/>
    <cellStyle name="Followed Hyperlink" xfId="31439" builtinId="9" hidden="1"/>
    <cellStyle name="Followed Hyperlink" xfId="31440" builtinId="9" hidden="1"/>
    <cellStyle name="Followed Hyperlink" xfId="31441" builtinId="9" hidden="1"/>
    <cellStyle name="Followed Hyperlink" xfId="31442" builtinId="9" hidden="1"/>
    <cellStyle name="Followed Hyperlink" xfId="31443" builtinId="9" hidden="1"/>
    <cellStyle name="Followed Hyperlink" xfId="31444" builtinId="9" hidden="1"/>
    <cellStyle name="Followed Hyperlink" xfId="31445" builtinId="9" hidden="1"/>
    <cellStyle name="Followed Hyperlink" xfId="31446" builtinId="9" hidden="1"/>
    <cellStyle name="Followed Hyperlink" xfId="31447" builtinId="9" hidden="1"/>
    <cellStyle name="Followed Hyperlink" xfId="31448" builtinId="9" hidden="1"/>
    <cellStyle name="Followed Hyperlink" xfId="31449" builtinId="9" hidden="1"/>
    <cellStyle name="Followed Hyperlink" xfId="31450" builtinId="9" hidden="1"/>
    <cellStyle name="Followed Hyperlink" xfId="31451" builtinId="9" hidden="1"/>
    <cellStyle name="Followed Hyperlink" xfId="31452" builtinId="9" hidden="1"/>
    <cellStyle name="Followed Hyperlink" xfId="31453" builtinId="9" hidden="1"/>
    <cellStyle name="Followed Hyperlink" xfId="31454" builtinId="9" hidden="1"/>
    <cellStyle name="Followed Hyperlink" xfId="31455" builtinId="9" hidden="1"/>
    <cellStyle name="Followed Hyperlink" xfId="31456" builtinId="9" hidden="1"/>
    <cellStyle name="Followed Hyperlink" xfId="31457" builtinId="9" hidden="1"/>
    <cellStyle name="Followed Hyperlink" xfId="31458" builtinId="9" hidden="1"/>
    <cellStyle name="Followed Hyperlink" xfId="31459" builtinId="9" hidden="1"/>
    <cellStyle name="Followed Hyperlink" xfId="31460" builtinId="9" hidden="1"/>
    <cellStyle name="Followed Hyperlink" xfId="31461" builtinId="9" hidden="1"/>
    <cellStyle name="Followed Hyperlink" xfId="31462" builtinId="9" hidden="1"/>
    <cellStyle name="Followed Hyperlink" xfId="31463" builtinId="9" hidden="1"/>
    <cellStyle name="Followed Hyperlink" xfId="31464" builtinId="9" hidden="1"/>
    <cellStyle name="Followed Hyperlink" xfId="31465" builtinId="9" hidden="1"/>
    <cellStyle name="Followed Hyperlink" xfId="31466" builtinId="9" hidden="1"/>
    <cellStyle name="Followed Hyperlink" xfId="31467" builtinId="9" hidden="1"/>
    <cellStyle name="Followed Hyperlink" xfId="31468" builtinId="9" hidden="1"/>
    <cellStyle name="Followed Hyperlink" xfId="31469" builtinId="9" hidden="1"/>
    <cellStyle name="Followed Hyperlink" xfId="31470" builtinId="9" hidden="1"/>
    <cellStyle name="Followed Hyperlink" xfId="31471" builtinId="9" hidden="1"/>
    <cellStyle name="Followed Hyperlink" xfId="31472" builtinId="9" hidden="1"/>
    <cellStyle name="Followed Hyperlink" xfId="31473" builtinId="9" hidden="1"/>
    <cellStyle name="Followed Hyperlink" xfId="31474" builtinId="9" hidden="1"/>
    <cellStyle name="Followed Hyperlink" xfId="31475" builtinId="9" hidden="1"/>
    <cellStyle name="Followed Hyperlink" xfId="31476" builtinId="9" hidden="1"/>
    <cellStyle name="Followed Hyperlink" xfId="31477" builtinId="9" hidden="1"/>
    <cellStyle name="Followed Hyperlink" xfId="31478" builtinId="9" hidden="1"/>
    <cellStyle name="Followed Hyperlink" xfId="31479" builtinId="9" hidden="1"/>
    <cellStyle name="Followed Hyperlink" xfId="31480" builtinId="9" hidden="1"/>
    <cellStyle name="Followed Hyperlink" xfId="31481" builtinId="9" hidden="1"/>
    <cellStyle name="Followed Hyperlink" xfId="31482" builtinId="9" hidden="1"/>
    <cellStyle name="Followed Hyperlink" xfId="31483" builtinId="9" hidden="1"/>
    <cellStyle name="Followed Hyperlink" xfId="31484" builtinId="9" hidden="1"/>
    <cellStyle name="Followed Hyperlink" xfId="31485" builtinId="9" hidden="1"/>
    <cellStyle name="Followed Hyperlink" xfId="31486" builtinId="9" hidden="1"/>
    <cellStyle name="Followed Hyperlink" xfId="31487" builtinId="9" hidden="1"/>
    <cellStyle name="Followed Hyperlink" xfId="31488" builtinId="9" hidden="1"/>
    <cellStyle name="Followed Hyperlink" xfId="31489" builtinId="9" hidden="1"/>
    <cellStyle name="Followed Hyperlink" xfId="31490" builtinId="9" hidden="1"/>
    <cellStyle name="Followed Hyperlink" xfId="31491" builtinId="9" hidden="1"/>
    <cellStyle name="Followed Hyperlink" xfId="31492" builtinId="9" hidden="1"/>
    <cellStyle name="Followed Hyperlink" xfId="31493" builtinId="9" hidden="1"/>
    <cellStyle name="Followed Hyperlink" xfId="31494" builtinId="9" hidden="1"/>
    <cellStyle name="Followed Hyperlink" xfId="31495" builtinId="9" hidden="1"/>
    <cellStyle name="Followed Hyperlink" xfId="31496" builtinId="9" hidden="1"/>
    <cellStyle name="Followed Hyperlink" xfId="31497" builtinId="9" hidden="1"/>
    <cellStyle name="Followed Hyperlink" xfId="31498" builtinId="9" hidden="1"/>
    <cellStyle name="Followed Hyperlink" xfId="31499" builtinId="9" hidden="1"/>
    <cellStyle name="Followed Hyperlink" xfId="31500" builtinId="9" hidden="1"/>
    <cellStyle name="Followed Hyperlink" xfId="31501" builtinId="9" hidden="1"/>
    <cellStyle name="Followed Hyperlink" xfId="31502" builtinId="9" hidden="1"/>
    <cellStyle name="Followed Hyperlink" xfId="31503" builtinId="9" hidden="1"/>
    <cellStyle name="Followed Hyperlink" xfId="31504" builtinId="9" hidden="1"/>
    <cellStyle name="Followed Hyperlink" xfId="31505" builtinId="9" hidden="1"/>
    <cellStyle name="Followed Hyperlink" xfId="31506" builtinId="9" hidden="1"/>
    <cellStyle name="Followed Hyperlink" xfId="31507" builtinId="9" hidden="1"/>
    <cellStyle name="Followed Hyperlink" xfId="31508" builtinId="9" hidden="1"/>
    <cellStyle name="Followed Hyperlink" xfId="31509" builtinId="9" hidden="1"/>
    <cellStyle name="Followed Hyperlink" xfId="31510" builtinId="9" hidden="1"/>
    <cellStyle name="Followed Hyperlink" xfId="31511" builtinId="9" hidden="1"/>
    <cellStyle name="Followed Hyperlink" xfId="31512" builtinId="9" hidden="1"/>
    <cellStyle name="Followed Hyperlink" xfId="31513" builtinId="9" hidden="1"/>
    <cellStyle name="Followed Hyperlink" xfId="31514" builtinId="9" hidden="1"/>
    <cellStyle name="Followed Hyperlink" xfId="31515" builtinId="9" hidden="1"/>
    <cellStyle name="Followed Hyperlink" xfId="31516" builtinId="9" hidden="1"/>
    <cellStyle name="Followed Hyperlink" xfId="31517" builtinId="9" hidden="1"/>
    <cellStyle name="Followed Hyperlink" xfId="31518" builtinId="9" hidden="1"/>
    <cellStyle name="Followed Hyperlink" xfId="31519" builtinId="9" hidden="1"/>
    <cellStyle name="Followed Hyperlink" xfId="31520" builtinId="9" hidden="1"/>
    <cellStyle name="Followed Hyperlink" xfId="31521" builtinId="9" hidden="1"/>
    <cellStyle name="Followed Hyperlink" xfId="31522" builtinId="9" hidden="1"/>
    <cellStyle name="Followed Hyperlink" xfId="31523" builtinId="9" hidden="1"/>
    <cellStyle name="Followed Hyperlink" xfId="31524" builtinId="9" hidden="1"/>
    <cellStyle name="Followed Hyperlink" xfId="31525" builtinId="9" hidden="1"/>
    <cellStyle name="Followed Hyperlink" xfId="31526" builtinId="9" hidden="1"/>
    <cellStyle name="Followed Hyperlink" xfId="31527" builtinId="9" hidden="1"/>
    <cellStyle name="Followed Hyperlink" xfId="31528" builtinId="9" hidden="1"/>
    <cellStyle name="Followed Hyperlink" xfId="31529" builtinId="9" hidden="1"/>
    <cellStyle name="Followed Hyperlink" xfId="31530" builtinId="9" hidden="1"/>
    <cellStyle name="Followed Hyperlink" xfId="31531" builtinId="9" hidden="1"/>
    <cellStyle name="Followed Hyperlink" xfId="31532" builtinId="9" hidden="1"/>
    <cellStyle name="Followed Hyperlink" xfId="31533" builtinId="9" hidden="1"/>
    <cellStyle name="Followed Hyperlink" xfId="31534" builtinId="9" hidden="1"/>
    <cellStyle name="Followed Hyperlink" xfId="31535" builtinId="9" hidden="1"/>
    <cellStyle name="Followed Hyperlink" xfId="31536" builtinId="9" hidden="1"/>
    <cellStyle name="Followed Hyperlink" xfId="31537" builtinId="9" hidden="1"/>
    <cellStyle name="Followed Hyperlink" xfId="31538" builtinId="9" hidden="1"/>
    <cellStyle name="Followed Hyperlink" xfId="31539" builtinId="9" hidden="1"/>
    <cellStyle name="Followed Hyperlink" xfId="31540" builtinId="9" hidden="1"/>
    <cellStyle name="Followed Hyperlink" xfId="31541" builtinId="9" hidden="1"/>
    <cellStyle name="Followed Hyperlink" xfId="31542" builtinId="9" hidden="1"/>
    <cellStyle name="Followed Hyperlink" xfId="31543" builtinId="9" hidden="1"/>
    <cellStyle name="Followed Hyperlink" xfId="31544" builtinId="9" hidden="1"/>
    <cellStyle name="Followed Hyperlink" xfId="31545" builtinId="9" hidden="1"/>
    <cellStyle name="Followed Hyperlink" xfId="31546" builtinId="9" hidden="1"/>
    <cellStyle name="Followed Hyperlink" xfId="31547" builtinId="9" hidden="1"/>
    <cellStyle name="Followed Hyperlink" xfId="31548" builtinId="9" hidden="1"/>
    <cellStyle name="Followed Hyperlink" xfId="31549" builtinId="9" hidden="1"/>
    <cellStyle name="Followed Hyperlink" xfId="31550" builtinId="9" hidden="1"/>
    <cellStyle name="Followed Hyperlink" xfId="31551" builtinId="9" hidden="1"/>
    <cellStyle name="Followed Hyperlink" xfId="31552" builtinId="9" hidden="1"/>
    <cellStyle name="Followed Hyperlink" xfId="31553" builtinId="9" hidden="1"/>
    <cellStyle name="Followed Hyperlink" xfId="31554" builtinId="9" hidden="1"/>
    <cellStyle name="Followed Hyperlink" xfId="31555" builtinId="9" hidden="1"/>
    <cellStyle name="Followed Hyperlink" xfId="31556" builtinId="9" hidden="1"/>
    <cellStyle name="Followed Hyperlink" xfId="31557" builtinId="9" hidden="1"/>
    <cellStyle name="Followed Hyperlink" xfId="31558" builtinId="9" hidden="1"/>
    <cellStyle name="Followed Hyperlink" xfId="31559" builtinId="9" hidden="1"/>
    <cellStyle name="Followed Hyperlink" xfId="31560" builtinId="9" hidden="1"/>
    <cellStyle name="Followed Hyperlink" xfId="31561" builtinId="9" hidden="1"/>
    <cellStyle name="Followed Hyperlink" xfId="31562" builtinId="9" hidden="1"/>
    <cellStyle name="Followed Hyperlink" xfId="31563" builtinId="9" hidden="1"/>
    <cellStyle name="Followed Hyperlink" xfId="31564" builtinId="9" hidden="1"/>
    <cellStyle name="Followed Hyperlink" xfId="31565" builtinId="9" hidden="1"/>
    <cellStyle name="Followed Hyperlink" xfId="31566" builtinId="9" hidden="1"/>
    <cellStyle name="Followed Hyperlink" xfId="31567" builtinId="9" hidden="1"/>
    <cellStyle name="Followed Hyperlink" xfId="31568" builtinId="9" hidden="1"/>
    <cellStyle name="Followed Hyperlink" xfId="31569" builtinId="9" hidden="1"/>
    <cellStyle name="Followed Hyperlink" xfId="31570" builtinId="9" hidden="1"/>
    <cellStyle name="Followed Hyperlink" xfId="31571" builtinId="9" hidden="1"/>
    <cellStyle name="Followed Hyperlink" xfId="31572" builtinId="9" hidden="1"/>
    <cellStyle name="Followed Hyperlink" xfId="31573" builtinId="9" hidden="1"/>
    <cellStyle name="Followed Hyperlink" xfId="31574" builtinId="9" hidden="1"/>
    <cellStyle name="Followed Hyperlink" xfId="31575" builtinId="9" hidden="1"/>
    <cellStyle name="Followed Hyperlink" xfId="31576" builtinId="9" hidden="1"/>
    <cellStyle name="Followed Hyperlink" xfId="31577" builtinId="9" hidden="1"/>
    <cellStyle name="Followed Hyperlink" xfId="31578" builtinId="9" hidden="1"/>
    <cellStyle name="Followed Hyperlink" xfId="31579" builtinId="9" hidden="1"/>
    <cellStyle name="Followed Hyperlink" xfId="31580" builtinId="9" hidden="1"/>
    <cellStyle name="Followed Hyperlink" xfId="31581" builtinId="9" hidden="1"/>
    <cellStyle name="Followed Hyperlink" xfId="31582" builtinId="9" hidden="1"/>
    <cellStyle name="Followed Hyperlink" xfId="31583" builtinId="9" hidden="1"/>
    <cellStyle name="Followed Hyperlink" xfId="31584" builtinId="9" hidden="1"/>
    <cellStyle name="Followed Hyperlink" xfId="31585" builtinId="9" hidden="1"/>
    <cellStyle name="Followed Hyperlink" xfId="31586" builtinId="9" hidden="1"/>
    <cellStyle name="Followed Hyperlink" xfId="31587" builtinId="9" hidden="1"/>
    <cellStyle name="Followed Hyperlink" xfId="31588" builtinId="9" hidden="1"/>
    <cellStyle name="Followed Hyperlink" xfId="31589" builtinId="9" hidden="1"/>
    <cellStyle name="Followed Hyperlink" xfId="31590" builtinId="9" hidden="1"/>
    <cellStyle name="Followed Hyperlink" xfId="31591" builtinId="9" hidden="1"/>
    <cellStyle name="Followed Hyperlink" xfId="31592" builtinId="9" hidden="1"/>
    <cellStyle name="Followed Hyperlink" xfId="31593" builtinId="9" hidden="1"/>
    <cellStyle name="Followed Hyperlink" xfId="31594" builtinId="9" hidden="1"/>
    <cellStyle name="Followed Hyperlink" xfId="31595" builtinId="9" hidden="1"/>
    <cellStyle name="Followed Hyperlink" xfId="31596" builtinId="9" hidden="1"/>
    <cellStyle name="Followed Hyperlink" xfId="31597" builtinId="9" hidden="1"/>
    <cellStyle name="Followed Hyperlink" xfId="31598" builtinId="9" hidden="1"/>
    <cellStyle name="Followed Hyperlink" xfId="31599" builtinId="9" hidden="1"/>
    <cellStyle name="Followed Hyperlink" xfId="31600" builtinId="9" hidden="1"/>
    <cellStyle name="Followed Hyperlink" xfId="31601" builtinId="9" hidden="1"/>
    <cellStyle name="Followed Hyperlink" xfId="31602" builtinId="9" hidden="1"/>
    <cellStyle name="Followed Hyperlink" xfId="31603" builtinId="9" hidden="1"/>
    <cellStyle name="Followed Hyperlink" xfId="31604" builtinId="9" hidden="1"/>
    <cellStyle name="Followed Hyperlink" xfId="31605" builtinId="9" hidden="1"/>
    <cellStyle name="Followed Hyperlink" xfId="31606" builtinId="9" hidden="1"/>
    <cellStyle name="Followed Hyperlink" xfId="31607" builtinId="9" hidden="1"/>
    <cellStyle name="Followed Hyperlink" xfId="31608" builtinId="9" hidden="1"/>
    <cellStyle name="Followed Hyperlink" xfId="31609" builtinId="9" hidden="1"/>
    <cellStyle name="Followed Hyperlink" xfId="31610" builtinId="9" hidden="1"/>
    <cellStyle name="Followed Hyperlink" xfId="31611" builtinId="9" hidden="1"/>
    <cellStyle name="Followed Hyperlink" xfId="31612" builtinId="9" hidden="1"/>
    <cellStyle name="Followed Hyperlink" xfId="31613" builtinId="9" hidden="1"/>
    <cellStyle name="Followed Hyperlink" xfId="31614" builtinId="9" hidden="1"/>
    <cellStyle name="Followed Hyperlink" xfId="31615" builtinId="9" hidden="1"/>
    <cellStyle name="Followed Hyperlink" xfId="31616" builtinId="9" hidden="1"/>
    <cellStyle name="Followed Hyperlink" xfId="31617" builtinId="9" hidden="1"/>
    <cellStyle name="Followed Hyperlink" xfId="31618" builtinId="9" hidden="1"/>
    <cellStyle name="Followed Hyperlink" xfId="31619" builtinId="9" hidden="1"/>
    <cellStyle name="Followed Hyperlink" xfId="31620" builtinId="9" hidden="1"/>
    <cellStyle name="Followed Hyperlink" xfId="31621" builtinId="9" hidden="1"/>
    <cellStyle name="Followed Hyperlink" xfId="31622" builtinId="9" hidden="1"/>
    <cellStyle name="Followed Hyperlink" xfId="31623" builtinId="9" hidden="1"/>
    <cellStyle name="Followed Hyperlink" xfId="31624" builtinId="9" hidden="1"/>
    <cellStyle name="Followed Hyperlink" xfId="31625" builtinId="9" hidden="1"/>
    <cellStyle name="Followed Hyperlink" xfId="31626" builtinId="9" hidden="1"/>
    <cellStyle name="Followed Hyperlink" xfId="31627" builtinId="9" hidden="1"/>
    <cellStyle name="Followed Hyperlink" xfId="31628" builtinId="9" hidden="1"/>
    <cellStyle name="Followed Hyperlink" xfId="31629" builtinId="9" hidden="1"/>
    <cellStyle name="Followed Hyperlink" xfId="31630" builtinId="9" hidden="1"/>
    <cellStyle name="Followed Hyperlink" xfId="31631" builtinId="9" hidden="1"/>
    <cellStyle name="Followed Hyperlink" xfId="31632" builtinId="9" hidden="1"/>
    <cellStyle name="Followed Hyperlink" xfId="31633" builtinId="9" hidden="1"/>
    <cellStyle name="Followed Hyperlink" xfId="31634" builtinId="9" hidden="1"/>
    <cellStyle name="Followed Hyperlink" xfId="31635" builtinId="9" hidden="1"/>
    <cellStyle name="Followed Hyperlink" xfId="31636" builtinId="9" hidden="1"/>
    <cellStyle name="Followed Hyperlink" xfId="31637" builtinId="9" hidden="1"/>
    <cellStyle name="Followed Hyperlink" xfId="31638" builtinId="9" hidden="1"/>
    <cellStyle name="Followed Hyperlink" xfId="31639" builtinId="9" hidden="1"/>
    <cellStyle name="Followed Hyperlink" xfId="31640" builtinId="9" hidden="1"/>
    <cellStyle name="Followed Hyperlink" xfId="31641" builtinId="9" hidden="1"/>
    <cellStyle name="Followed Hyperlink" xfId="31642" builtinId="9" hidden="1"/>
    <cellStyle name="Followed Hyperlink" xfId="31643" builtinId="9" hidden="1"/>
    <cellStyle name="Followed Hyperlink" xfId="31644" builtinId="9" hidden="1"/>
    <cellStyle name="Followed Hyperlink" xfId="31645" builtinId="9" hidden="1"/>
    <cellStyle name="Followed Hyperlink" xfId="31646" builtinId="9" hidden="1"/>
    <cellStyle name="Followed Hyperlink" xfId="31647" builtinId="9" hidden="1"/>
    <cellStyle name="Followed Hyperlink" xfId="31648" builtinId="9" hidden="1"/>
    <cellStyle name="Followed Hyperlink" xfId="31649" builtinId="9" hidden="1"/>
    <cellStyle name="Followed Hyperlink" xfId="31650" builtinId="9" hidden="1"/>
    <cellStyle name="Followed Hyperlink" xfId="31651" builtinId="9" hidden="1"/>
    <cellStyle name="Followed Hyperlink" xfId="31652" builtinId="9" hidden="1"/>
    <cellStyle name="Followed Hyperlink" xfId="31653" builtinId="9" hidden="1"/>
    <cellStyle name="Followed Hyperlink" xfId="31654" builtinId="9" hidden="1"/>
    <cellStyle name="Followed Hyperlink" xfId="31655" builtinId="9" hidden="1"/>
    <cellStyle name="Followed Hyperlink" xfId="31656" builtinId="9" hidden="1"/>
    <cellStyle name="Followed Hyperlink" xfId="31657" builtinId="9" hidden="1"/>
    <cellStyle name="Followed Hyperlink" xfId="31658" builtinId="9" hidden="1"/>
    <cellStyle name="Followed Hyperlink" xfId="31659" builtinId="9" hidden="1"/>
    <cellStyle name="Followed Hyperlink" xfId="31660" builtinId="9" hidden="1"/>
    <cellStyle name="Followed Hyperlink" xfId="31661" builtinId="9" hidden="1"/>
    <cellStyle name="Followed Hyperlink" xfId="31662" builtinId="9" hidden="1"/>
    <cellStyle name="Followed Hyperlink" xfId="31663" builtinId="9" hidden="1"/>
    <cellStyle name="Followed Hyperlink" xfId="31664" builtinId="9" hidden="1"/>
    <cellStyle name="Followed Hyperlink" xfId="31665" builtinId="9" hidden="1"/>
    <cellStyle name="Followed Hyperlink" xfId="31666" builtinId="9" hidden="1"/>
    <cellStyle name="Followed Hyperlink" xfId="31667" builtinId="9" hidden="1"/>
    <cellStyle name="Followed Hyperlink" xfId="31668" builtinId="9" hidden="1"/>
    <cellStyle name="Followed Hyperlink" xfId="31669" builtinId="9" hidden="1"/>
    <cellStyle name="Followed Hyperlink" xfId="31670" builtinId="9" hidden="1"/>
    <cellStyle name="Followed Hyperlink" xfId="31671" builtinId="9" hidden="1"/>
    <cellStyle name="Followed Hyperlink" xfId="31672" builtinId="9" hidden="1"/>
    <cellStyle name="Followed Hyperlink" xfId="31673" builtinId="9" hidden="1"/>
    <cellStyle name="Followed Hyperlink" xfId="31674" builtinId="9" hidden="1"/>
    <cellStyle name="Followed Hyperlink" xfId="31675" builtinId="9" hidden="1"/>
    <cellStyle name="Followed Hyperlink" xfId="31676" builtinId="9" hidden="1"/>
    <cellStyle name="Followed Hyperlink" xfId="31677" builtinId="9" hidden="1"/>
    <cellStyle name="Followed Hyperlink" xfId="31678" builtinId="9" hidden="1"/>
    <cellStyle name="Followed Hyperlink" xfId="31679" builtinId="9" hidden="1"/>
    <cellStyle name="Followed Hyperlink" xfId="31680" builtinId="9" hidden="1"/>
    <cellStyle name="Followed Hyperlink" xfId="31681" builtinId="9" hidden="1"/>
    <cellStyle name="Followed Hyperlink" xfId="31682" builtinId="9" hidden="1"/>
    <cellStyle name="Followed Hyperlink" xfId="31683" builtinId="9" hidden="1"/>
    <cellStyle name="Followed Hyperlink" xfId="31686" builtinId="9" hidden="1"/>
    <cellStyle name="Followed Hyperlink" xfId="31687" builtinId="9" hidden="1"/>
    <cellStyle name="Followed Hyperlink" xfId="31688" builtinId="9" hidden="1"/>
    <cellStyle name="Followed Hyperlink" xfId="31689" builtinId="9" hidden="1"/>
    <cellStyle name="Followed Hyperlink" xfId="31690" builtinId="9" hidden="1"/>
    <cellStyle name="Followed Hyperlink" xfId="31691" builtinId="9" hidden="1"/>
    <cellStyle name="Followed Hyperlink" xfId="31692" builtinId="9" hidden="1"/>
    <cellStyle name="Followed Hyperlink" xfId="31693" builtinId="9" hidden="1"/>
    <cellStyle name="Followed Hyperlink" xfId="31694" builtinId="9" hidden="1"/>
    <cellStyle name="Followed Hyperlink" xfId="31695" builtinId="9" hidden="1"/>
    <cellStyle name="Followed Hyperlink" xfId="31696" builtinId="9" hidden="1"/>
    <cellStyle name="Followed Hyperlink" xfId="31697" builtinId="9" hidden="1"/>
    <cellStyle name="Followed Hyperlink" xfId="31698" builtinId="9" hidden="1"/>
    <cellStyle name="Followed Hyperlink" xfId="31699" builtinId="9" hidden="1"/>
    <cellStyle name="Followed Hyperlink" xfId="31700" builtinId="9" hidden="1"/>
    <cellStyle name="Followed Hyperlink" xfId="31701" builtinId="9" hidden="1"/>
    <cellStyle name="Followed Hyperlink" xfId="31702" builtinId="9" hidden="1"/>
    <cellStyle name="Followed Hyperlink" xfId="31703" builtinId="9" hidden="1"/>
    <cellStyle name="Followed Hyperlink" xfId="31704" builtinId="9" hidden="1"/>
    <cellStyle name="Followed Hyperlink" xfId="31705" builtinId="9" hidden="1"/>
    <cellStyle name="Followed Hyperlink" xfId="31706" builtinId="9" hidden="1"/>
    <cellStyle name="Followed Hyperlink" xfId="31707" builtinId="9" hidden="1"/>
    <cellStyle name="Followed Hyperlink" xfId="31708" builtinId="9" hidden="1"/>
    <cellStyle name="Followed Hyperlink" xfId="31709" builtinId="9" hidden="1"/>
    <cellStyle name="Followed Hyperlink" xfId="31710" builtinId="9" hidden="1"/>
    <cellStyle name="Followed Hyperlink" xfId="31711" builtinId="9" hidden="1"/>
    <cellStyle name="Followed Hyperlink" xfId="31712" builtinId="9" hidden="1"/>
    <cellStyle name="Followed Hyperlink" xfId="31713" builtinId="9" hidden="1"/>
    <cellStyle name="Followed Hyperlink" xfId="31714" builtinId="9" hidden="1"/>
    <cellStyle name="Followed Hyperlink" xfId="31715" builtinId="9" hidden="1"/>
    <cellStyle name="Followed Hyperlink" xfId="31716" builtinId="9" hidden="1"/>
    <cellStyle name="Followed Hyperlink" xfId="31717" builtinId="9" hidden="1"/>
    <cellStyle name="Followed Hyperlink" xfId="31718" builtinId="9" hidden="1"/>
    <cellStyle name="Followed Hyperlink" xfId="31719" builtinId="9" hidden="1"/>
    <cellStyle name="Followed Hyperlink" xfId="31720" builtinId="9" hidden="1"/>
    <cellStyle name="Followed Hyperlink" xfId="31721" builtinId="9" hidden="1"/>
    <cellStyle name="Followed Hyperlink" xfId="31722" builtinId="9" hidden="1"/>
    <cellStyle name="Followed Hyperlink" xfId="31723" builtinId="9" hidden="1"/>
    <cellStyle name="Followed Hyperlink" xfId="31724" builtinId="9" hidden="1"/>
    <cellStyle name="Followed Hyperlink" xfId="31725" builtinId="9" hidden="1"/>
    <cellStyle name="Followed Hyperlink" xfId="31726" builtinId="9" hidden="1"/>
    <cellStyle name="Followed Hyperlink" xfId="31727" builtinId="9" hidden="1"/>
    <cellStyle name="Followed Hyperlink" xfId="31728" builtinId="9" hidden="1"/>
    <cellStyle name="Followed Hyperlink" xfId="31729" builtinId="9" hidden="1"/>
    <cellStyle name="Followed Hyperlink" xfId="31730" builtinId="9" hidden="1"/>
    <cellStyle name="Followed Hyperlink" xfId="31731" builtinId="9" hidden="1"/>
    <cellStyle name="Followed Hyperlink" xfId="31732" builtinId="9" hidden="1"/>
    <cellStyle name="Followed Hyperlink" xfId="31733" builtinId="9" hidden="1"/>
    <cellStyle name="Followed Hyperlink" xfId="31734" builtinId="9" hidden="1"/>
    <cellStyle name="Followed Hyperlink" xfId="31735" builtinId="9" hidden="1"/>
    <cellStyle name="Followed Hyperlink" xfId="31736" builtinId="9" hidden="1"/>
    <cellStyle name="Followed Hyperlink" xfId="31737" builtinId="9" hidden="1"/>
    <cellStyle name="Followed Hyperlink" xfId="31738" builtinId="9" hidden="1"/>
    <cellStyle name="Followed Hyperlink" xfId="31739" builtinId="9" hidden="1"/>
    <cellStyle name="Followed Hyperlink" xfId="31740" builtinId="9" hidden="1"/>
    <cellStyle name="Followed Hyperlink" xfId="31741" builtinId="9" hidden="1"/>
    <cellStyle name="Followed Hyperlink" xfId="31742" builtinId="9" hidden="1"/>
    <cellStyle name="Followed Hyperlink" xfId="31743" builtinId="9" hidden="1"/>
    <cellStyle name="Followed Hyperlink" xfId="31744" builtinId="9" hidden="1"/>
    <cellStyle name="Followed Hyperlink" xfId="31745" builtinId="9" hidden="1"/>
    <cellStyle name="Followed Hyperlink" xfId="31746" builtinId="9" hidden="1"/>
    <cellStyle name="Followed Hyperlink" xfId="31747" builtinId="9" hidden="1"/>
    <cellStyle name="Followed Hyperlink" xfId="31748" builtinId="9" hidden="1"/>
    <cellStyle name="Followed Hyperlink" xfId="31749" builtinId="9" hidden="1"/>
    <cellStyle name="Followed Hyperlink" xfId="31750" builtinId="9" hidden="1"/>
    <cellStyle name="Followed Hyperlink" xfId="31751" builtinId="9" hidden="1"/>
    <cellStyle name="Followed Hyperlink" xfId="31752" builtinId="9" hidden="1"/>
    <cellStyle name="Followed Hyperlink" xfId="31753" builtinId="9" hidden="1"/>
    <cellStyle name="Followed Hyperlink" xfId="31754" builtinId="9" hidden="1"/>
    <cellStyle name="Followed Hyperlink" xfId="31755" builtinId="9" hidden="1"/>
    <cellStyle name="Followed Hyperlink" xfId="31756" builtinId="9" hidden="1"/>
    <cellStyle name="Followed Hyperlink" xfId="31757" builtinId="9" hidden="1"/>
    <cellStyle name="Followed Hyperlink" xfId="31758" builtinId="9" hidden="1"/>
    <cellStyle name="Followed Hyperlink" xfId="31759" builtinId="9" hidden="1"/>
    <cellStyle name="Followed Hyperlink" xfId="31760" builtinId="9" hidden="1"/>
    <cellStyle name="Followed Hyperlink" xfId="31761" builtinId="9" hidden="1"/>
    <cellStyle name="Followed Hyperlink" xfId="31762" builtinId="9" hidden="1"/>
    <cellStyle name="Followed Hyperlink" xfId="31763" builtinId="9" hidden="1"/>
    <cellStyle name="Followed Hyperlink" xfId="31764" builtinId="9" hidden="1"/>
    <cellStyle name="Followed Hyperlink" xfId="31765" builtinId="9" hidden="1"/>
    <cellStyle name="Followed Hyperlink" xfId="31766" builtinId="9" hidden="1"/>
    <cellStyle name="Followed Hyperlink" xfId="31767" builtinId="9" hidden="1"/>
    <cellStyle name="Followed Hyperlink" xfId="31768" builtinId="9" hidden="1"/>
    <cellStyle name="Followed Hyperlink" xfId="31769" builtinId="9" hidden="1"/>
    <cellStyle name="Followed Hyperlink" xfId="31770" builtinId="9" hidden="1"/>
    <cellStyle name="Followed Hyperlink" xfId="31771" builtinId="9" hidden="1"/>
    <cellStyle name="Followed Hyperlink" xfId="31772" builtinId="9" hidden="1"/>
    <cellStyle name="Followed Hyperlink" xfId="31773" builtinId="9" hidden="1"/>
    <cellStyle name="Followed Hyperlink" xfId="31774" builtinId="9" hidden="1"/>
    <cellStyle name="Followed Hyperlink" xfId="31775" builtinId="9" hidden="1"/>
    <cellStyle name="Followed Hyperlink" xfId="31776" builtinId="9" hidden="1"/>
    <cellStyle name="Followed Hyperlink" xfId="31777" builtinId="9" hidden="1"/>
    <cellStyle name="Followed Hyperlink" xfId="31778" builtinId="9" hidden="1"/>
    <cellStyle name="Followed Hyperlink" xfId="31779" builtinId="9" hidden="1"/>
    <cellStyle name="Followed Hyperlink" xfId="31780" builtinId="9" hidden="1"/>
    <cellStyle name="Followed Hyperlink" xfId="31781" builtinId="9" hidden="1"/>
    <cellStyle name="Followed Hyperlink" xfId="31782" builtinId="9" hidden="1"/>
    <cellStyle name="Followed Hyperlink" xfId="31783" builtinId="9" hidden="1"/>
    <cellStyle name="Followed Hyperlink" xfId="31784" builtinId="9" hidden="1"/>
    <cellStyle name="Followed Hyperlink" xfId="31785" builtinId="9" hidden="1"/>
    <cellStyle name="Followed Hyperlink" xfId="31786" builtinId="9" hidden="1"/>
    <cellStyle name="Followed Hyperlink" xfId="31787" builtinId="9" hidden="1"/>
    <cellStyle name="Followed Hyperlink" xfId="31788" builtinId="9" hidden="1"/>
    <cellStyle name="Followed Hyperlink" xfId="31789" builtinId="9" hidden="1"/>
    <cellStyle name="Followed Hyperlink" xfId="31790" builtinId="9" hidden="1"/>
    <cellStyle name="Followed Hyperlink" xfId="31791" builtinId="9" hidden="1"/>
    <cellStyle name="Followed Hyperlink" xfId="31792" builtinId="9" hidden="1"/>
    <cellStyle name="Followed Hyperlink" xfId="31793" builtinId="9" hidden="1"/>
    <cellStyle name="Followed Hyperlink" xfId="31794" builtinId="9" hidden="1"/>
    <cellStyle name="Followed Hyperlink" xfId="31795" builtinId="9" hidden="1"/>
    <cellStyle name="Followed Hyperlink" xfId="31796" builtinId="9" hidden="1"/>
    <cellStyle name="Followed Hyperlink" xfId="31797" builtinId="9" hidden="1"/>
    <cellStyle name="Followed Hyperlink" xfId="31798" builtinId="9" hidden="1"/>
    <cellStyle name="Followed Hyperlink" xfId="31799" builtinId="9" hidden="1"/>
    <cellStyle name="Followed Hyperlink" xfId="31800" builtinId="9" hidden="1"/>
    <cellStyle name="Followed Hyperlink" xfId="31801" builtinId="9" hidden="1"/>
    <cellStyle name="Followed Hyperlink" xfId="31802" builtinId="9" hidden="1"/>
    <cellStyle name="Followed Hyperlink" xfId="31803" builtinId="9" hidden="1"/>
    <cellStyle name="Followed Hyperlink" xfId="31804" builtinId="9" hidden="1"/>
    <cellStyle name="Followed Hyperlink" xfId="31805" builtinId="9" hidden="1"/>
    <cellStyle name="Followed Hyperlink" xfId="31806" builtinId="9" hidden="1"/>
    <cellStyle name="Followed Hyperlink" xfId="31807" builtinId="9" hidden="1"/>
    <cellStyle name="Followed Hyperlink" xfId="31808" builtinId="9" hidden="1"/>
    <cellStyle name="Followed Hyperlink" xfId="31809" builtinId="9" hidden="1"/>
    <cellStyle name="Followed Hyperlink" xfId="31810" builtinId="9" hidden="1"/>
    <cellStyle name="Followed Hyperlink" xfId="31813" builtinId="9" hidden="1"/>
    <cellStyle name="Followed Hyperlink" xfId="31814" builtinId="9" hidden="1"/>
    <cellStyle name="Followed Hyperlink" xfId="31815" builtinId="9" hidden="1"/>
    <cellStyle name="Followed Hyperlink" xfId="31816" builtinId="9" hidden="1"/>
    <cellStyle name="Followed Hyperlink" xfId="31817" builtinId="9" hidden="1"/>
    <cellStyle name="Followed Hyperlink" xfId="31818" builtinId="9" hidden="1"/>
    <cellStyle name="Followed Hyperlink" xfId="31819" builtinId="9" hidden="1"/>
    <cellStyle name="Followed Hyperlink" xfId="31820" builtinId="9" hidden="1"/>
    <cellStyle name="Followed Hyperlink" xfId="31821" builtinId="9" hidden="1"/>
    <cellStyle name="Followed Hyperlink" xfId="31822" builtinId="9" hidden="1"/>
    <cellStyle name="Followed Hyperlink" xfId="31823" builtinId="9" hidden="1"/>
    <cellStyle name="Followed Hyperlink" xfId="31824" builtinId="9" hidden="1"/>
    <cellStyle name="Followed Hyperlink" xfId="31825" builtinId="9" hidden="1"/>
    <cellStyle name="Followed Hyperlink" xfId="31826" builtinId="9" hidden="1"/>
    <cellStyle name="Followed Hyperlink" xfId="31827" builtinId="9" hidden="1"/>
    <cellStyle name="Followed Hyperlink" xfId="31828" builtinId="9" hidden="1"/>
    <cellStyle name="Followed Hyperlink" xfId="31829" builtinId="9" hidden="1"/>
    <cellStyle name="Followed Hyperlink" xfId="31830" builtinId="9" hidden="1"/>
    <cellStyle name="Followed Hyperlink" xfId="31831" builtinId="9" hidden="1"/>
    <cellStyle name="Followed Hyperlink" xfId="31832" builtinId="9" hidden="1"/>
    <cellStyle name="Followed Hyperlink" xfId="31833" builtinId="9" hidden="1"/>
    <cellStyle name="Followed Hyperlink" xfId="31834" builtinId="9" hidden="1"/>
    <cellStyle name="Followed Hyperlink" xfId="31835" builtinId="9" hidden="1"/>
    <cellStyle name="Followed Hyperlink" xfId="31836" builtinId="9" hidden="1"/>
    <cellStyle name="Followed Hyperlink" xfId="31837" builtinId="9" hidden="1"/>
    <cellStyle name="Followed Hyperlink" xfId="31838" builtinId="9" hidden="1"/>
    <cellStyle name="Followed Hyperlink" xfId="31839" builtinId="9" hidden="1"/>
    <cellStyle name="Followed Hyperlink" xfId="31840" builtinId="9" hidden="1"/>
    <cellStyle name="Followed Hyperlink" xfId="31841" builtinId="9" hidden="1"/>
    <cellStyle name="Followed Hyperlink" xfId="31842" builtinId="9" hidden="1"/>
    <cellStyle name="Followed Hyperlink" xfId="31843" builtinId="9" hidden="1"/>
    <cellStyle name="Followed Hyperlink" xfId="31844" builtinId="9" hidden="1"/>
    <cellStyle name="Followed Hyperlink" xfId="31845" builtinId="9" hidden="1"/>
    <cellStyle name="Followed Hyperlink" xfId="31846" builtinId="9" hidden="1"/>
    <cellStyle name="Followed Hyperlink" xfId="31847" builtinId="9" hidden="1"/>
    <cellStyle name="Followed Hyperlink" xfId="31848" builtinId="9" hidden="1"/>
    <cellStyle name="Followed Hyperlink" xfId="31849" builtinId="9" hidden="1"/>
    <cellStyle name="Followed Hyperlink" xfId="31850" builtinId="9" hidden="1"/>
    <cellStyle name="Followed Hyperlink" xfId="31851" builtinId="9" hidden="1"/>
    <cellStyle name="Followed Hyperlink" xfId="31852" builtinId="9" hidden="1"/>
    <cellStyle name="Followed Hyperlink" xfId="31853" builtinId="9" hidden="1"/>
    <cellStyle name="Followed Hyperlink" xfId="31854" builtinId="9" hidden="1"/>
    <cellStyle name="Followed Hyperlink" xfId="31855" builtinId="9" hidden="1"/>
    <cellStyle name="Followed Hyperlink" xfId="31856" builtinId="9" hidden="1"/>
    <cellStyle name="Followed Hyperlink" xfId="31857" builtinId="9" hidden="1"/>
    <cellStyle name="Followed Hyperlink" xfId="31858" builtinId="9" hidden="1"/>
    <cellStyle name="Followed Hyperlink" xfId="31859" builtinId="9" hidden="1"/>
    <cellStyle name="Followed Hyperlink" xfId="31860" builtinId="9" hidden="1"/>
    <cellStyle name="Followed Hyperlink" xfId="31861" builtinId="9" hidden="1"/>
    <cellStyle name="Followed Hyperlink" xfId="31862" builtinId="9" hidden="1"/>
    <cellStyle name="Followed Hyperlink" xfId="31863" builtinId="9" hidden="1"/>
    <cellStyle name="Followed Hyperlink" xfId="31864" builtinId="9" hidden="1"/>
    <cellStyle name="Followed Hyperlink" xfId="31865" builtinId="9" hidden="1"/>
    <cellStyle name="Followed Hyperlink" xfId="31866" builtinId="9" hidden="1"/>
    <cellStyle name="Followed Hyperlink" xfId="31867" builtinId="9" hidden="1"/>
    <cellStyle name="Followed Hyperlink" xfId="31868" builtinId="9" hidden="1"/>
    <cellStyle name="Followed Hyperlink" xfId="31869" builtinId="9" hidden="1"/>
    <cellStyle name="Followed Hyperlink" xfId="31870" builtinId="9" hidden="1"/>
    <cellStyle name="Followed Hyperlink" xfId="31871" builtinId="9" hidden="1"/>
    <cellStyle name="Followed Hyperlink" xfId="31872" builtinId="9" hidden="1"/>
    <cellStyle name="Followed Hyperlink" xfId="31873" builtinId="9" hidden="1"/>
    <cellStyle name="Followed Hyperlink" xfId="31874" builtinId="9" hidden="1"/>
    <cellStyle name="Followed Hyperlink" xfId="31875" builtinId="9" hidden="1"/>
    <cellStyle name="Followed Hyperlink" xfId="31876" builtinId="9" hidden="1"/>
    <cellStyle name="Followed Hyperlink" xfId="31877" builtinId="9" hidden="1"/>
    <cellStyle name="Followed Hyperlink" xfId="31878" builtinId="9" hidden="1"/>
    <cellStyle name="Followed Hyperlink" xfId="31879" builtinId="9" hidden="1"/>
    <cellStyle name="Followed Hyperlink" xfId="31880" builtinId="9" hidden="1"/>
    <cellStyle name="Followed Hyperlink" xfId="31881" builtinId="9" hidden="1"/>
    <cellStyle name="Followed Hyperlink" xfId="31882" builtinId="9" hidden="1"/>
    <cellStyle name="Followed Hyperlink" xfId="31883" builtinId="9" hidden="1"/>
    <cellStyle name="Followed Hyperlink" xfId="31884" builtinId="9" hidden="1"/>
    <cellStyle name="Followed Hyperlink" xfId="31885" builtinId="9" hidden="1"/>
    <cellStyle name="Followed Hyperlink" xfId="31886" builtinId="9" hidden="1"/>
    <cellStyle name="Followed Hyperlink" xfId="31887" builtinId="9" hidden="1"/>
    <cellStyle name="Followed Hyperlink" xfId="31888" builtinId="9" hidden="1"/>
    <cellStyle name="Followed Hyperlink" xfId="31889" builtinId="9" hidden="1"/>
    <cellStyle name="Followed Hyperlink" xfId="31890" builtinId="9" hidden="1"/>
    <cellStyle name="Followed Hyperlink" xfId="31891" builtinId="9" hidden="1"/>
    <cellStyle name="Followed Hyperlink" xfId="31892" builtinId="9" hidden="1"/>
    <cellStyle name="Followed Hyperlink" xfId="31893" builtinId="9" hidden="1"/>
    <cellStyle name="Followed Hyperlink" xfId="31894" builtinId="9" hidden="1"/>
    <cellStyle name="Followed Hyperlink" xfId="31895" builtinId="9" hidden="1"/>
    <cellStyle name="Followed Hyperlink" xfId="31896" builtinId="9" hidden="1"/>
    <cellStyle name="Followed Hyperlink" xfId="31897" builtinId="9" hidden="1"/>
    <cellStyle name="Followed Hyperlink" xfId="31898" builtinId="9" hidden="1"/>
    <cellStyle name="Followed Hyperlink" xfId="31899" builtinId="9" hidden="1"/>
    <cellStyle name="Followed Hyperlink" xfId="31900" builtinId="9" hidden="1"/>
    <cellStyle name="Followed Hyperlink" xfId="31901" builtinId="9" hidden="1"/>
    <cellStyle name="Followed Hyperlink" xfId="31902" builtinId="9" hidden="1"/>
    <cellStyle name="Followed Hyperlink" xfId="31903" builtinId="9" hidden="1"/>
    <cellStyle name="Followed Hyperlink" xfId="31904" builtinId="9" hidden="1"/>
    <cellStyle name="Followed Hyperlink" xfId="31905" builtinId="9" hidden="1"/>
    <cellStyle name="Followed Hyperlink" xfId="31906" builtinId="9" hidden="1"/>
    <cellStyle name="Followed Hyperlink" xfId="31907" builtinId="9" hidden="1"/>
    <cellStyle name="Followed Hyperlink" xfId="31908" builtinId="9" hidden="1"/>
    <cellStyle name="Followed Hyperlink" xfId="31909" builtinId="9" hidden="1"/>
    <cellStyle name="Followed Hyperlink" xfId="31910" builtinId="9" hidden="1"/>
    <cellStyle name="Followed Hyperlink" xfId="31911" builtinId="9" hidden="1"/>
    <cellStyle name="Followed Hyperlink" xfId="31912" builtinId="9" hidden="1"/>
    <cellStyle name="Followed Hyperlink" xfId="31913" builtinId="9" hidden="1"/>
    <cellStyle name="Followed Hyperlink" xfId="31914" builtinId="9" hidden="1"/>
    <cellStyle name="Followed Hyperlink" xfId="31915" builtinId="9" hidden="1"/>
    <cellStyle name="Followed Hyperlink" xfId="31916" builtinId="9" hidden="1"/>
    <cellStyle name="Followed Hyperlink" xfId="31917" builtinId="9" hidden="1"/>
    <cellStyle name="Followed Hyperlink" xfId="31918" builtinId="9" hidden="1"/>
    <cellStyle name="Followed Hyperlink" xfId="31919" builtinId="9" hidden="1"/>
    <cellStyle name="Followed Hyperlink" xfId="31920" builtinId="9" hidden="1"/>
    <cellStyle name="Followed Hyperlink" xfId="31921" builtinId="9" hidden="1"/>
    <cellStyle name="Followed Hyperlink" xfId="31922" builtinId="9" hidden="1"/>
    <cellStyle name="Followed Hyperlink" xfId="31923" builtinId="9" hidden="1"/>
    <cellStyle name="Followed Hyperlink" xfId="31924" builtinId="9" hidden="1"/>
    <cellStyle name="Followed Hyperlink" xfId="31925" builtinId="9" hidden="1"/>
    <cellStyle name="Followed Hyperlink" xfId="31926" builtinId="9" hidden="1"/>
    <cellStyle name="Followed Hyperlink" xfId="31927" builtinId="9" hidden="1"/>
    <cellStyle name="Followed Hyperlink" xfId="31928" builtinId="9" hidden="1"/>
    <cellStyle name="Followed Hyperlink" xfId="31929" builtinId="9" hidden="1"/>
    <cellStyle name="Followed Hyperlink" xfId="31930" builtinId="9" hidden="1"/>
    <cellStyle name="Followed Hyperlink" xfId="31931" builtinId="9" hidden="1"/>
    <cellStyle name="Followed Hyperlink" xfId="31932" builtinId="9" hidden="1"/>
    <cellStyle name="Followed Hyperlink" xfId="31933" builtinId="9" hidden="1"/>
    <cellStyle name="Followed Hyperlink" xfId="31934" builtinId="9" hidden="1"/>
    <cellStyle name="Followed Hyperlink" xfId="31935" builtinId="9" hidden="1"/>
    <cellStyle name="Followed Hyperlink" xfId="31936" builtinId="9" hidden="1"/>
    <cellStyle name="Followed Hyperlink" xfId="31937" builtinId="9" hidden="1"/>
    <cellStyle name="Followed Hyperlink" xfId="31938" builtinId="9" hidden="1"/>
    <cellStyle name="Followed Hyperlink" xfId="31939" builtinId="9" hidden="1"/>
    <cellStyle name="Followed Hyperlink" xfId="31940" builtinId="9" hidden="1"/>
    <cellStyle name="Followed Hyperlink" xfId="31941" builtinId="9" hidden="1"/>
    <cellStyle name="Followed Hyperlink" xfId="31942" builtinId="9" hidden="1"/>
    <cellStyle name="Followed Hyperlink" xfId="31943" builtinId="9" hidden="1"/>
    <cellStyle name="Followed Hyperlink" xfId="31944" builtinId="9" hidden="1"/>
    <cellStyle name="Followed Hyperlink" xfId="31945" builtinId="9" hidden="1"/>
    <cellStyle name="Followed Hyperlink" xfId="31946" builtinId="9" hidden="1"/>
    <cellStyle name="Followed Hyperlink" xfId="31947" builtinId="9" hidden="1"/>
    <cellStyle name="Followed Hyperlink" xfId="31948" builtinId="9" hidden="1"/>
    <cellStyle name="Followed Hyperlink" xfId="31949" builtinId="9" hidden="1"/>
    <cellStyle name="Followed Hyperlink" xfId="31950" builtinId="9" hidden="1"/>
    <cellStyle name="Followed Hyperlink" xfId="31951" builtinId="9" hidden="1"/>
    <cellStyle name="Followed Hyperlink" xfId="31952" builtinId="9" hidden="1"/>
    <cellStyle name="Followed Hyperlink" xfId="31953" builtinId="9" hidden="1"/>
    <cellStyle name="Followed Hyperlink" xfId="31954" builtinId="9" hidden="1"/>
    <cellStyle name="Followed Hyperlink" xfId="31955" builtinId="9" hidden="1"/>
    <cellStyle name="Followed Hyperlink" xfId="31956" builtinId="9" hidden="1"/>
    <cellStyle name="Followed Hyperlink" xfId="31957" builtinId="9" hidden="1"/>
    <cellStyle name="Followed Hyperlink" xfId="31958" builtinId="9" hidden="1"/>
    <cellStyle name="Followed Hyperlink" xfId="31959" builtinId="9" hidden="1"/>
    <cellStyle name="Followed Hyperlink" xfId="31960" builtinId="9" hidden="1"/>
    <cellStyle name="Followed Hyperlink" xfId="33356" builtinId="9" hidden="1"/>
    <cellStyle name="Followed Hyperlink" xfId="33357" builtinId="9" hidden="1"/>
    <cellStyle name="Followed Hyperlink 10" xfId="31983"/>
    <cellStyle name="Followed Hyperlink 100" xfId="32073"/>
    <cellStyle name="Followed Hyperlink 101" xfId="32074"/>
    <cellStyle name="Followed Hyperlink 102" xfId="32075"/>
    <cellStyle name="Followed Hyperlink 103" xfId="32076"/>
    <cellStyle name="Followed Hyperlink 104" xfId="32077"/>
    <cellStyle name="Followed Hyperlink 105" xfId="32078"/>
    <cellStyle name="Followed Hyperlink 106" xfId="32079"/>
    <cellStyle name="Followed Hyperlink 107" xfId="32080"/>
    <cellStyle name="Followed Hyperlink 108" xfId="32081"/>
    <cellStyle name="Followed Hyperlink 109" xfId="32082"/>
    <cellStyle name="Followed Hyperlink 11" xfId="31984"/>
    <cellStyle name="Followed Hyperlink 110" xfId="32083"/>
    <cellStyle name="Followed Hyperlink 111" xfId="32084"/>
    <cellStyle name="Followed Hyperlink 112" xfId="32085"/>
    <cellStyle name="Followed Hyperlink 113" xfId="32086"/>
    <cellStyle name="Followed Hyperlink 114" xfId="32087"/>
    <cellStyle name="Followed Hyperlink 115" xfId="32088"/>
    <cellStyle name="Followed Hyperlink 116" xfId="32089"/>
    <cellStyle name="Followed Hyperlink 117" xfId="32090"/>
    <cellStyle name="Followed Hyperlink 118" xfId="32091"/>
    <cellStyle name="Followed Hyperlink 119" xfId="32092"/>
    <cellStyle name="Followed Hyperlink 12" xfId="31985"/>
    <cellStyle name="Followed Hyperlink 120" xfId="32093"/>
    <cellStyle name="Followed Hyperlink 121" xfId="32094"/>
    <cellStyle name="Followed Hyperlink 122" xfId="32095"/>
    <cellStyle name="Followed Hyperlink 123" xfId="32096"/>
    <cellStyle name="Followed Hyperlink 124" xfId="32097"/>
    <cellStyle name="Followed Hyperlink 125" xfId="32098"/>
    <cellStyle name="Followed Hyperlink 126" xfId="32099"/>
    <cellStyle name="Followed Hyperlink 127" xfId="32100"/>
    <cellStyle name="Followed Hyperlink 128" xfId="32101"/>
    <cellStyle name="Followed Hyperlink 129" xfId="32102"/>
    <cellStyle name="Followed Hyperlink 13" xfId="31986"/>
    <cellStyle name="Followed Hyperlink 130" xfId="32103"/>
    <cellStyle name="Followed Hyperlink 131" xfId="32104"/>
    <cellStyle name="Followed Hyperlink 132" xfId="32105"/>
    <cellStyle name="Followed Hyperlink 133" xfId="32106"/>
    <cellStyle name="Followed Hyperlink 134" xfId="32107"/>
    <cellStyle name="Followed Hyperlink 135" xfId="32108"/>
    <cellStyle name="Followed Hyperlink 136" xfId="32109"/>
    <cellStyle name="Followed Hyperlink 137" xfId="32110"/>
    <cellStyle name="Followed Hyperlink 138" xfId="32111"/>
    <cellStyle name="Followed Hyperlink 139" xfId="32112"/>
    <cellStyle name="Followed Hyperlink 14" xfId="31987"/>
    <cellStyle name="Followed Hyperlink 140" xfId="32113"/>
    <cellStyle name="Followed Hyperlink 141" xfId="32114"/>
    <cellStyle name="Followed Hyperlink 142" xfId="32115"/>
    <cellStyle name="Followed Hyperlink 143" xfId="32116"/>
    <cellStyle name="Followed Hyperlink 144" xfId="32117"/>
    <cellStyle name="Followed Hyperlink 145" xfId="32118"/>
    <cellStyle name="Followed Hyperlink 146" xfId="32119"/>
    <cellStyle name="Followed Hyperlink 147" xfId="32120"/>
    <cellStyle name="Followed Hyperlink 148" xfId="32121"/>
    <cellStyle name="Followed Hyperlink 149" xfId="32122"/>
    <cellStyle name="Followed Hyperlink 15" xfId="31988"/>
    <cellStyle name="Followed Hyperlink 150" xfId="32123"/>
    <cellStyle name="Followed Hyperlink 151" xfId="32124"/>
    <cellStyle name="Followed Hyperlink 152" xfId="32125"/>
    <cellStyle name="Followed Hyperlink 153" xfId="32126"/>
    <cellStyle name="Followed Hyperlink 154" xfId="32127"/>
    <cellStyle name="Followed Hyperlink 155" xfId="32128"/>
    <cellStyle name="Followed Hyperlink 156" xfId="32129"/>
    <cellStyle name="Followed Hyperlink 157" xfId="32130"/>
    <cellStyle name="Followed Hyperlink 158" xfId="32131"/>
    <cellStyle name="Followed Hyperlink 159" xfId="32132"/>
    <cellStyle name="Followed Hyperlink 16" xfId="31989"/>
    <cellStyle name="Followed Hyperlink 160" xfId="32133"/>
    <cellStyle name="Followed Hyperlink 161" xfId="32134"/>
    <cellStyle name="Followed Hyperlink 162" xfId="32135"/>
    <cellStyle name="Followed Hyperlink 163" xfId="32136"/>
    <cellStyle name="Followed Hyperlink 164" xfId="32137"/>
    <cellStyle name="Followed Hyperlink 165" xfId="32138"/>
    <cellStyle name="Followed Hyperlink 166" xfId="32139"/>
    <cellStyle name="Followed Hyperlink 167" xfId="32140"/>
    <cellStyle name="Followed Hyperlink 168" xfId="32141"/>
    <cellStyle name="Followed Hyperlink 169" xfId="32142"/>
    <cellStyle name="Followed Hyperlink 17" xfId="31990"/>
    <cellStyle name="Followed Hyperlink 170" xfId="32143"/>
    <cellStyle name="Followed Hyperlink 171" xfId="32144"/>
    <cellStyle name="Followed Hyperlink 172" xfId="32145"/>
    <cellStyle name="Followed Hyperlink 173" xfId="32146"/>
    <cellStyle name="Followed Hyperlink 174" xfId="32147"/>
    <cellStyle name="Followed Hyperlink 175" xfId="32148"/>
    <cellStyle name="Followed Hyperlink 176" xfId="32149"/>
    <cellStyle name="Followed Hyperlink 177" xfId="32150"/>
    <cellStyle name="Followed Hyperlink 178" xfId="32151"/>
    <cellStyle name="Followed Hyperlink 179" xfId="32152"/>
    <cellStyle name="Followed Hyperlink 18" xfId="31991"/>
    <cellStyle name="Followed Hyperlink 180" xfId="32153"/>
    <cellStyle name="Followed Hyperlink 181" xfId="32154"/>
    <cellStyle name="Followed Hyperlink 182" xfId="32155"/>
    <cellStyle name="Followed Hyperlink 183" xfId="32156"/>
    <cellStyle name="Followed Hyperlink 184" xfId="32157"/>
    <cellStyle name="Followed Hyperlink 185" xfId="32158"/>
    <cellStyle name="Followed Hyperlink 186" xfId="32159"/>
    <cellStyle name="Followed Hyperlink 187" xfId="32160"/>
    <cellStyle name="Followed Hyperlink 188" xfId="32161"/>
    <cellStyle name="Followed Hyperlink 189" xfId="32162"/>
    <cellStyle name="Followed Hyperlink 19" xfId="31992"/>
    <cellStyle name="Followed Hyperlink 190" xfId="32163"/>
    <cellStyle name="Followed Hyperlink 191" xfId="32164"/>
    <cellStyle name="Followed Hyperlink 192" xfId="32165"/>
    <cellStyle name="Followed Hyperlink 193" xfId="32166"/>
    <cellStyle name="Followed Hyperlink 194" xfId="32167"/>
    <cellStyle name="Followed Hyperlink 195" xfId="32168"/>
    <cellStyle name="Followed Hyperlink 196" xfId="32169"/>
    <cellStyle name="Followed Hyperlink 197" xfId="32170"/>
    <cellStyle name="Followed Hyperlink 198" xfId="32171"/>
    <cellStyle name="Followed Hyperlink 199" xfId="32172"/>
    <cellStyle name="Followed Hyperlink 2" xfId="31975"/>
    <cellStyle name="Followed Hyperlink 20" xfId="31993"/>
    <cellStyle name="Followed Hyperlink 200" xfId="32173"/>
    <cellStyle name="Followed Hyperlink 201" xfId="32174"/>
    <cellStyle name="Followed Hyperlink 202" xfId="32175"/>
    <cellStyle name="Followed Hyperlink 203" xfId="32176"/>
    <cellStyle name="Followed Hyperlink 204" xfId="32177"/>
    <cellStyle name="Followed Hyperlink 205" xfId="32178"/>
    <cellStyle name="Followed Hyperlink 206" xfId="32179"/>
    <cellStyle name="Followed Hyperlink 207" xfId="32180"/>
    <cellStyle name="Followed Hyperlink 208" xfId="32181"/>
    <cellStyle name="Followed Hyperlink 209" xfId="32182"/>
    <cellStyle name="Followed Hyperlink 21" xfId="31994"/>
    <cellStyle name="Followed Hyperlink 210" xfId="32183"/>
    <cellStyle name="Followed Hyperlink 211" xfId="32184"/>
    <cellStyle name="Followed Hyperlink 212" xfId="32185"/>
    <cellStyle name="Followed Hyperlink 213" xfId="32186"/>
    <cellStyle name="Followed Hyperlink 214" xfId="32187"/>
    <cellStyle name="Followed Hyperlink 215" xfId="32188"/>
    <cellStyle name="Followed Hyperlink 216" xfId="32189"/>
    <cellStyle name="Followed Hyperlink 217" xfId="32190"/>
    <cellStyle name="Followed Hyperlink 218" xfId="32191"/>
    <cellStyle name="Followed Hyperlink 219" xfId="32192"/>
    <cellStyle name="Followed Hyperlink 22" xfId="31995"/>
    <cellStyle name="Followed Hyperlink 220" xfId="32193"/>
    <cellStyle name="Followed Hyperlink 221" xfId="32194"/>
    <cellStyle name="Followed Hyperlink 222" xfId="32195"/>
    <cellStyle name="Followed Hyperlink 223" xfId="32196"/>
    <cellStyle name="Followed Hyperlink 224" xfId="32197"/>
    <cellStyle name="Followed Hyperlink 225" xfId="32198"/>
    <cellStyle name="Followed Hyperlink 226" xfId="32199"/>
    <cellStyle name="Followed Hyperlink 227" xfId="32200"/>
    <cellStyle name="Followed Hyperlink 228" xfId="32201"/>
    <cellStyle name="Followed Hyperlink 229" xfId="32202"/>
    <cellStyle name="Followed Hyperlink 23" xfId="31996"/>
    <cellStyle name="Followed Hyperlink 230" xfId="32203"/>
    <cellStyle name="Followed Hyperlink 231" xfId="32204"/>
    <cellStyle name="Followed Hyperlink 232" xfId="32205"/>
    <cellStyle name="Followed Hyperlink 233" xfId="32206"/>
    <cellStyle name="Followed Hyperlink 234" xfId="32207"/>
    <cellStyle name="Followed Hyperlink 235" xfId="32208"/>
    <cellStyle name="Followed Hyperlink 236" xfId="32209"/>
    <cellStyle name="Followed Hyperlink 237" xfId="32210"/>
    <cellStyle name="Followed Hyperlink 238" xfId="32211"/>
    <cellStyle name="Followed Hyperlink 239" xfId="32212"/>
    <cellStyle name="Followed Hyperlink 24" xfId="31997"/>
    <cellStyle name="Followed Hyperlink 240" xfId="32213"/>
    <cellStyle name="Followed Hyperlink 241" xfId="32214"/>
    <cellStyle name="Followed Hyperlink 242" xfId="32215"/>
    <cellStyle name="Followed Hyperlink 243" xfId="32216"/>
    <cellStyle name="Followed Hyperlink 244" xfId="32217"/>
    <cellStyle name="Followed Hyperlink 245" xfId="32218"/>
    <cellStyle name="Followed Hyperlink 246" xfId="32219"/>
    <cellStyle name="Followed Hyperlink 247" xfId="32220"/>
    <cellStyle name="Followed Hyperlink 248" xfId="32221"/>
    <cellStyle name="Followed Hyperlink 249" xfId="32222"/>
    <cellStyle name="Followed Hyperlink 25" xfId="31998"/>
    <cellStyle name="Followed Hyperlink 250" xfId="32223"/>
    <cellStyle name="Followed Hyperlink 251" xfId="32224"/>
    <cellStyle name="Followed Hyperlink 252" xfId="32225"/>
    <cellStyle name="Followed Hyperlink 253" xfId="32226"/>
    <cellStyle name="Followed Hyperlink 254" xfId="32227"/>
    <cellStyle name="Followed Hyperlink 255" xfId="32228"/>
    <cellStyle name="Followed Hyperlink 256" xfId="32229"/>
    <cellStyle name="Followed Hyperlink 257" xfId="32230"/>
    <cellStyle name="Followed Hyperlink 258" xfId="32231"/>
    <cellStyle name="Followed Hyperlink 259" xfId="32232"/>
    <cellStyle name="Followed Hyperlink 26" xfId="31999"/>
    <cellStyle name="Followed Hyperlink 260" xfId="32233"/>
    <cellStyle name="Followed Hyperlink 261" xfId="32234"/>
    <cellStyle name="Followed Hyperlink 262" xfId="32235"/>
    <cellStyle name="Followed Hyperlink 263" xfId="32236"/>
    <cellStyle name="Followed Hyperlink 264" xfId="32237"/>
    <cellStyle name="Followed Hyperlink 265" xfId="32238"/>
    <cellStyle name="Followed Hyperlink 266" xfId="32239"/>
    <cellStyle name="Followed Hyperlink 267" xfId="32240"/>
    <cellStyle name="Followed Hyperlink 268" xfId="32241"/>
    <cellStyle name="Followed Hyperlink 269" xfId="32242"/>
    <cellStyle name="Followed Hyperlink 27" xfId="32000"/>
    <cellStyle name="Followed Hyperlink 270" xfId="32243"/>
    <cellStyle name="Followed Hyperlink 271" xfId="32244"/>
    <cellStyle name="Followed Hyperlink 272" xfId="32245"/>
    <cellStyle name="Followed Hyperlink 273" xfId="32246"/>
    <cellStyle name="Followed Hyperlink 274" xfId="32247"/>
    <cellStyle name="Followed Hyperlink 28" xfId="32001"/>
    <cellStyle name="Followed Hyperlink 29" xfId="32002"/>
    <cellStyle name="Followed Hyperlink 3" xfId="31976"/>
    <cellStyle name="Followed Hyperlink 30" xfId="32003"/>
    <cellStyle name="Followed Hyperlink 31" xfId="32004"/>
    <cellStyle name="Followed Hyperlink 32" xfId="32005"/>
    <cellStyle name="Followed Hyperlink 33" xfId="32006"/>
    <cellStyle name="Followed Hyperlink 34" xfId="32007"/>
    <cellStyle name="Followed Hyperlink 35" xfId="32008"/>
    <cellStyle name="Followed Hyperlink 36" xfId="32009"/>
    <cellStyle name="Followed Hyperlink 37" xfId="32010"/>
    <cellStyle name="Followed Hyperlink 38" xfId="32011"/>
    <cellStyle name="Followed Hyperlink 39" xfId="32012"/>
    <cellStyle name="Followed Hyperlink 4" xfId="31977"/>
    <cellStyle name="Followed Hyperlink 40" xfId="32013"/>
    <cellStyle name="Followed Hyperlink 41" xfId="32014"/>
    <cellStyle name="Followed Hyperlink 42" xfId="32015"/>
    <cellStyle name="Followed Hyperlink 43" xfId="32016"/>
    <cellStyle name="Followed Hyperlink 44" xfId="32017"/>
    <cellStyle name="Followed Hyperlink 45" xfId="32018"/>
    <cellStyle name="Followed Hyperlink 46" xfId="32019"/>
    <cellStyle name="Followed Hyperlink 47" xfId="32020"/>
    <cellStyle name="Followed Hyperlink 48" xfId="32021"/>
    <cellStyle name="Followed Hyperlink 49" xfId="32022"/>
    <cellStyle name="Followed Hyperlink 5" xfId="31978"/>
    <cellStyle name="Followed Hyperlink 50" xfId="32023"/>
    <cellStyle name="Followed Hyperlink 51" xfId="32024"/>
    <cellStyle name="Followed Hyperlink 52" xfId="32025"/>
    <cellStyle name="Followed Hyperlink 53" xfId="32026"/>
    <cellStyle name="Followed Hyperlink 54" xfId="32027"/>
    <cellStyle name="Followed Hyperlink 55" xfId="32028"/>
    <cellStyle name="Followed Hyperlink 56" xfId="32029"/>
    <cellStyle name="Followed Hyperlink 57" xfId="32030"/>
    <cellStyle name="Followed Hyperlink 58" xfId="32031"/>
    <cellStyle name="Followed Hyperlink 59" xfId="32032"/>
    <cellStyle name="Followed Hyperlink 6" xfId="31979"/>
    <cellStyle name="Followed Hyperlink 60" xfId="32033"/>
    <cellStyle name="Followed Hyperlink 61" xfId="32034"/>
    <cellStyle name="Followed Hyperlink 62" xfId="32035"/>
    <cellStyle name="Followed Hyperlink 63" xfId="32036"/>
    <cellStyle name="Followed Hyperlink 64" xfId="32037"/>
    <cellStyle name="Followed Hyperlink 65" xfId="32038"/>
    <cellStyle name="Followed Hyperlink 66" xfId="32039"/>
    <cellStyle name="Followed Hyperlink 67" xfId="32040"/>
    <cellStyle name="Followed Hyperlink 68" xfId="32041"/>
    <cellStyle name="Followed Hyperlink 69" xfId="32042"/>
    <cellStyle name="Followed Hyperlink 7" xfId="31980"/>
    <cellStyle name="Followed Hyperlink 70" xfId="32043"/>
    <cellStyle name="Followed Hyperlink 71" xfId="32044"/>
    <cellStyle name="Followed Hyperlink 72" xfId="32045"/>
    <cellStyle name="Followed Hyperlink 73" xfId="32046"/>
    <cellStyle name="Followed Hyperlink 74" xfId="32047"/>
    <cellStyle name="Followed Hyperlink 75" xfId="32048"/>
    <cellStyle name="Followed Hyperlink 76" xfId="32049"/>
    <cellStyle name="Followed Hyperlink 77" xfId="32050"/>
    <cellStyle name="Followed Hyperlink 78" xfId="32051"/>
    <cellStyle name="Followed Hyperlink 79" xfId="32052"/>
    <cellStyle name="Followed Hyperlink 8" xfId="31981"/>
    <cellStyle name="Followed Hyperlink 80" xfId="32053"/>
    <cellStyle name="Followed Hyperlink 81" xfId="32054"/>
    <cellStyle name="Followed Hyperlink 82" xfId="32055"/>
    <cellStyle name="Followed Hyperlink 83" xfId="32056"/>
    <cellStyle name="Followed Hyperlink 84" xfId="32057"/>
    <cellStyle name="Followed Hyperlink 85" xfId="32058"/>
    <cellStyle name="Followed Hyperlink 86" xfId="32059"/>
    <cellStyle name="Followed Hyperlink 87" xfId="32060"/>
    <cellStyle name="Followed Hyperlink 88" xfId="32061"/>
    <cellStyle name="Followed Hyperlink 89" xfId="32062"/>
    <cellStyle name="Followed Hyperlink 9" xfId="31982"/>
    <cellStyle name="Followed Hyperlink 90" xfId="32063"/>
    <cellStyle name="Followed Hyperlink 91" xfId="32064"/>
    <cellStyle name="Followed Hyperlink 92" xfId="32065"/>
    <cellStyle name="Followed Hyperlink 93" xfId="32066"/>
    <cellStyle name="Followed Hyperlink 94" xfId="32067"/>
    <cellStyle name="Followed Hyperlink 95" xfId="32068"/>
    <cellStyle name="Followed Hyperlink 96" xfId="32069"/>
    <cellStyle name="Followed Hyperlink 97" xfId="32070"/>
    <cellStyle name="Followed Hyperlink 98" xfId="32071"/>
    <cellStyle name="Followed Hyperlink 99" xfId="32072"/>
    <cellStyle name="Good" xfId="787" builtinId="26" customBuiltin="1"/>
    <cellStyle name="Good 2" xfId="1381"/>
    <cellStyle name="Good 2 2" xfId="1531"/>
    <cellStyle name="Good 2 2 2" xfId="32519"/>
    <cellStyle name="Good 2 2 3" xfId="33184"/>
    <cellStyle name="Good 2 2_AGL" xfId="32520"/>
    <cellStyle name="Good 2 3" xfId="32521"/>
    <cellStyle name="Good 2 4" xfId="33185"/>
    <cellStyle name="Good 2_AGL" xfId="32522"/>
    <cellStyle name="Good 3" xfId="1492"/>
    <cellStyle name="Good 3 2" xfId="32523"/>
    <cellStyle name="Good 3 3" xfId="33186"/>
    <cellStyle name="Good 3_AGL" xfId="32524"/>
    <cellStyle name="Good 4" xfId="32525"/>
    <cellStyle name="Good 5" xfId="33187"/>
    <cellStyle name="Header1" xfId="1382"/>
    <cellStyle name="Header1 2" xfId="32256"/>
    <cellStyle name="Header2" xfId="1383"/>
    <cellStyle name="Header2 2" xfId="3381"/>
    <cellStyle name="Header2 2 2" xfId="14593"/>
    <cellStyle name="Header2 2_Sheet10" xfId="33188"/>
    <cellStyle name="Header2 3" xfId="5606"/>
    <cellStyle name="Header2 3 2" xfId="16817"/>
    <cellStyle name="Header2 4" xfId="9362"/>
    <cellStyle name="Header2_AGL" xfId="32526"/>
    <cellStyle name="Heading" xfId="923"/>
    <cellStyle name="Heading 1" xfId="794" builtinId="16" customBuiltin="1"/>
    <cellStyle name="Heading 1 2" xfId="1384"/>
    <cellStyle name="Heading 1 2 2" xfId="1452"/>
    <cellStyle name="Heading 1 2 2 2" xfId="32527"/>
    <cellStyle name="Heading 1 2 2 3" xfId="33189"/>
    <cellStyle name="Heading 1 2 2_AGL" xfId="32528"/>
    <cellStyle name="Heading 1 2 3" xfId="32529"/>
    <cellStyle name="Heading 1 2 4" xfId="33190"/>
    <cellStyle name="Heading 1 2_AGL" xfId="32530"/>
    <cellStyle name="Heading 1 3" xfId="1385"/>
    <cellStyle name="Heading 1 3 2" xfId="1529"/>
    <cellStyle name="Heading 1 3 2 2" xfId="32531"/>
    <cellStyle name="Heading 1 3 2 3" xfId="33191"/>
    <cellStyle name="Heading 1 3 2_AGL" xfId="32532"/>
    <cellStyle name="Heading 1 3 3" xfId="32533"/>
    <cellStyle name="Heading 1 3 4" xfId="33192"/>
    <cellStyle name="Heading 1 3_AGL" xfId="32534"/>
    <cellStyle name="Heading 1 4" xfId="1493"/>
    <cellStyle name="Heading 1 4 2" xfId="32535"/>
    <cellStyle name="Heading 1 4 3" xfId="33193"/>
    <cellStyle name="Heading 1 4_AGL" xfId="32536"/>
    <cellStyle name="Heading 1 5" xfId="32537"/>
    <cellStyle name="Heading 1 6" xfId="33194"/>
    <cellStyle name="Heading 2" xfId="795" builtinId="17" customBuiltin="1"/>
    <cellStyle name="Heading 2 2" xfId="924"/>
    <cellStyle name="Heading 2 2 2" xfId="1410"/>
    <cellStyle name="Heading 2 2 2 2" xfId="32538"/>
    <cellStyle name="Heading 2 2 2 3" xfId="33195"/>
    <cellStyle name="Heading 2 2 2_AGL" xfId="32539"/>
    <cellStyle name="Heading 2 2 3" xfId="32540"/>
    <cellStyle name="Heading 2 2 4" xfId="33196"/>
    <cellStyle name="Heading 2 2_AGL" xfId="32541"/>
    <cellStyle name="Heading 2 3" xfId="1386"/>
    <cellStyle name="Heading 2 3 2" xfId="32542"/>
    <cellStyle name="Heading 2 3 3" xfId="33197"/>
    <cellStyle name="Heading 2 3_AGL" xfId="32543"/>
    <cellStyle name="Heading 2 4" xfId="1494"/>
    <cellStyle name="Heading 2 4 2" xfId="32544"/>
    <cellStyle name="Heading 2 4 3" xfId="33198"/>
    <cellStyle name="Heading 2 4_AGL" xfId="32545"/>
    <cellStyle name="Heading 2 5" xfId="32546"/>
    <cellStyle name="Heading 2 6" xfId="33199"/>
    <cellStyle name="Heading 3" xfId="796" builtinId="18" customBuiltin="1"/>
    <cellStyle name="Heading 3 2" xfId="925"/>
    <cellStyle name="Heading 3 2 2" xfId="32547"/>
    <cellStyle name="Heading 3 2 3" xfId="33200"/>
    <cellStyle name="Heading 3 2_AGL" xfId="32548"/>
    <cellStyle name="Heading 3 3" xfId="1387"/>
    <cellStyle name="Heading 3 3 2" xfId="32549"/>
    <cellStyle name="Heading 3 3 3" xfId="33201"/>
    <cellStyle name="Heading 3 3_AGL" xfId="32550"/>
    <cellStyle name="Heading 3 4" xfId="1495"/>
    <cellStyle name="Heading 3 4 2" xfId="32551"/>
    <cellStyle name="Heading 3 4 3" xfId="33202"/>
    <cellStyle name="Heading 3 4_AGL" xfId="32552"/>
    <cellStyle name="Heading 3 5" xfId="32553"/>
    <cellStyle name="Heading 3 6" xfId="33203"/>
    <cellStyle name="Heading 4" xfId="797" builtinId="19" customBuiltin="1"/>
    <cellStyle name="Heading 4 2" xfId="926"/>
    <cellStyle name="Heading 4 2 2" xfId="1411"/>
    <cellStyle name="Heading 4 2 2 2" xfId="32554"/>
    <cellStyle name="Heading 4 2 2 3" xfId="33204"/>
    <cellStyle name="Heading 4 2 2_AGL" xfId="32555"/>
    <cellStyle name="Heading 4 2 3" xfId="32556"/>
    <cellStyle name="Heading 4 2 4" xfId="33205"/>
    <cellStyle name="Heading 4 2_AGL" xfId="32557"/>
    <cellStyle name="Heading 4 3" xfId="1496"/>
    <cellStyle name="Heading 4 3 2" xfId="32558"/>
    <cellStyle name="Heading 4 3 3" xfId="33206"/>
    <cellStyle name="Heading 4 3_AGL" xfId="32559"/>
    <cellStyle name="Heading 4 4" xfId="32560"/>
    <cellStyle name="Heading 4 5" xfId="33207"/>
    <cellStyle name="Heading 5" xfId="32257"/>
    <cellStyle name="Heading 6" xfId="33208"/>
    <cellStyle name="Heading1" xfId="927"/>
    <cellStyle name="Heading1 2" xfId="32258"/>
    <cellStyle name="Heading1 3" xfId="33209"/>
    <cellStyle name="Heading1_AGL" xfId="32561"/>
    <cellStyle name="Headline" xfId="928"/>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9" builtinId="8"/>
    <cellStyle name="Hyperlink 10" xfId="248" hidden="1"/>
    <cellStyle name="Hyperlink 10" xfId="646" hidden="1"/>
    <cellStyle name="Hyperlink 10" xfId="2247" hidden="1"/>
    <cellStyle name="Hyperlink 10" xfId="2645" hidden="1"/>
    <cellStyle name="Hyperlink 10" xfId="3832" hidden="1"/>
    <cellStyle name="Hyperlink 10" xfId="2826" hidden="1"/>
    <cellStyle name="Hyperlink 10" xfId="4215" hidden="1"/>
    <cellStyle name="Hyperlink 10" xfId="3855" hidden="1"/>
    <cellStyle name="Hyperlink 10" xfId="5680" hidden="1"/>
    <cellStyle name="Hyperlink 10" xfId="4545" hidden="1"/>
    <cellStyle name="Hyperlink 10" xfId="5877" hidden="1"/>
    <cellStyle name="Hyperlink 10" xfId="5848" hidden="1"/>
    <cellStyle name="Hyperlink 10" xfId="5865" hidden="1"/>
    <cellStyle name="Hyperlink 10" xfId="6773" hidden="1"/>
    <cellStyle name="Hyperlink 10" xfId="5493" hidden="1"/>
    <cellStyle name="Hyperlink 10" xfId="7730" hidden="1"/>
    <cellStyle name="Hyperlink 10" xfId="5794" hidden="1"/>
    <cellStyle name="Hyperlink 10" xfId="8657" hidden="1"/>
    <cellStyle name="Hyperlink 10" xfId="10213" hidden="1"/>
    <cellStyle name="Hyperlink 10" xfId="10607" hidden="1"/>
    <cellStyle name="Hyperlink 10" xfId="11577" hidden="1"/>
    <cellStyle name="Hyperlink 10" xfId="11975" hidden="1"/>
    <cellStyle name="Hyperlink 10" xfId="13459" hidden="1"/>
    <cellStyle name="Hyperlink 10" xfId="13857" hidden="1"/>
    <cellStyle name="Hyperlink 10" xfId="15043" hidden="1"/>
    <cellStyle name="Hyperlink 10" xfId="14038" hidden="1"/>
    <cellStyle name="Hyperlink 10" xfId="15426" hidden="1"/>
    <cellStyle name="Hyperlink 10" xfId="15066" hidden="1"/>
    <cellStyle name="Hyperlink 10" xfId="16891" hidden="1"/>
    <cellStyle name="Hyperlink 10" xfId="15756" hidden="1"/>
    <cellStyle name="Hyperlink 10" xfId="17088" hidden="1"/>
    <cellStyle name="Hyperlink 10" xfId="17059" hidden="1"/>
    <cellStyle name="Hyperlink 10" xfId="17076" hidden="1"/>
    <cellStyle name="Hyperlink 10" xfId="17984" hidden="1"/>
    <cellStyle name="Hyperlink 10" xfId="16704" hidden="1"/>
    <cellStyle name="Hyperlink 10" xfId="18941" hidden="1"/>
    <cellStyle name="Hyperlink 10" xfId="17005" hidden="1"/>
    <cellStyle name="Hyperlink 10" xfId="19868" hidden="1"/>
    <cellStyle name="Hyperlink 10" xfId="21424" hidden="1"/>
    <cellStyle name="Hyperlink 10" xfId="21818" hidden="1"/>
    <cellStyle name="Hyperlink 10" xfId="13122" hidden="1"/>
    <cellStyle name="Hyperlink 10" xfId="12136" hidden="1"/>
    <cellStyle name="Hyperlink 10" xfId="23149" hidden="1"/>
    <cellStyle name="Hyperlink 10" xfId="23547" hidden="1"/>
    <cellStyle name="Hyperlink 10" xfId="24459" hidden="1"/>
    <cellStyle name="Hyperlink 10" xfId="23728" hidden="1"/>
    <cellStyle name="Hyperlink 10" xfId="24839" hidden="1"/>
    <cellStyle name="Hyperlink 10" xfId="24482" hidden="1"/>
    <cellStyle name="Hyperlink 10" xfId="26303" hidden="1"/>
    <cellStyle name="Hyperlink 10" xfId="25169" hidden="1"/>
    <cellStyle name="Hyperlink 10" xfId="26500" hidden="1"/>
    <cellStyle name="Hyperlink 10" xfId="26471" hidden="1"/>
    <cellStyle name="Hyperlink 10" xfId="26488" hidden="1"/>
    <cellStyle name="Hyperlink 10" xfId="27396" hidden="1"/>
    <cellStyle name="Hyperlink 10" xfId="26117" hidden="1"/>
    <cellStyle name="Hyperlink 10" xfId="28353" hidden="1"/>
    <cellStyle name="Hyperlink 10" xfId="26417" hidden="1"/>
    <cellStyle name="Hyperlink 10" xfId="29280" hidden="1"/>
    <cellStyle name="Hyperlink 10" xfId="30835" hidden="1"/>
    <cellStyle name="Hyperlink 10" xfId="31229"/>
    <cellStyle name="Hyperlink 10 2" xfId="1663"/>
    <cellStyle name="Hyperlink 10 3" xfId="1664"/>
    <cellStyle name="Hyperlink 10 9" xfId="32562"/>
    <cellStyle name="Hyperlink 10_AGL" xfId="32563"/>
    <cellStyle name="Hyperlink 100" xfId="428" hidden="1"/>
    <cellStyle name="Hyperlink 100" xfId="762" hidden="1"/>
    <cellStyle name="Hyperlink 100" xfId="2427" hidden="1"/>
    <cellStyle name="Hyperlink 100" xfId="2761" hidden="1"/>
    <cellStyle name="Hyperlink 100" xfId="2214" hidden="1"/>
    <cellStyle name="Hyperlink 100" xfId="4015" hidden="1"/>
    <cellStyle name="Hyperlink 100" xfId="5123" hidden="1"/>
    <cellStyle name="Hyperlink 100" xfId="4741" hidden="1"/>
    <cellStyle name="Hyperlink 100" xfId="6083" hidden="1"/>
    <cellStyle name="Hyperlink 100" xfId="4058" hidden="1"/>
    <cellStyle name="Hyperlink 100" xfId="7066" hidden="1"/>
    <cellStyle name="Hyperlink 100" xfId="6688" hidden="1"/>
    <cellStyle name="Hyperlink 100" xfId="8023" hidden="1"/>
    <cellStyle name="Hyperlink 100" xfId="7646" hidden="1"/>
    <cellStyle name="Hyperlink 100" xfId="8941" hidden="1"/>
    <cellStyle name="Hyperlink 100" xfId="8579" hidden="1"/>
    <cellStyle name="Hyperlink 100" xfId="9729" hidden="1"/>
    <cellStyle name="Hyperlink 100" xfId="9418" hidden="1"/>
    <cellStyle name="Hyperlink 100" xfId="10393" hidden="1"/>
    <cellStyle name="Hyperlink 100" xfId="10723" hidden="1"/>
    <cellStyle name="Hyperlink 100" xfId="11757" hidden="1"/>
    <cellStyle name="Hyperlink 100" xfId="12091" hidden="1"/>
    <cellStyle name="Hyperlink 100" xfId="13639" hidden="1"/>
    <cellStyle name="Hyperlink 100" xfId="13973" hidden="1"/>
    <cellStyle name="Hyperlink 100" xfId="13426" hidden="1"/>
    <cellStyle name="Hyperlink 100" xfId="15226" hidden="1"/>
    <cellStyle name="Hyperlink 100" xfId="16334" hidden="1"/>
    <cellStyle name="Hyperlink 100" xfId="15952" hidden="1"/>
    <cellStyle name="Hyperlink 100" xfId="17294" hidden="1"/>
    <cellStyle name="Hyperlink 100" xfId="15269" hidden="1"/>
    <cellStyle name="Hyperlink 100" xfId="18277" hidden="1"/>
    <cellStyle name="Hyperlink 100" xfId="17899" hidden="1"/>
    <cellStyle name="Hyperlink 100" xfId="19234" hidden="1"/>
    <cellStyle name="Hyperlink 100" xfId="18857" hidden="1"/>
    <cellStyle name="Hyperlink 100" xfId="20152" hidden="1"/>
    <cellStyle name="Hyperlink 100" xfId="19790" hidden="1"/>
    <cellStyle name="Hyperlink 100" xfId="20940" hidden="1"/>
    <cellStyle name="Hyperlink 100" xfId="20629" hidden="1"/>
    <cellStyle name="Hyperlink 100" xfId="21604" hidden="1"/>
    <cellStyle name="Hyperlink 100" xfId="21934" hidden="1"/>
    <cellStyle name="Hyperlink 100" xfId="11552" hidden="1"/>
    <cellStyle name="Hyperlink 100" xfId="22561" hidden="1"/>
    <cellStyle name="Hyperlink 100" xfId="23329" hidden="1"/>
    <cellStyle name="Hyperlink 100" xfId="23663" hidden="1"/>
    <cellStyle name="Hyperlink 100" xfId="23116" hidden="1"/>
    <cellStyle name="Hyperlink 100" xfId="24639" hidden="1"/>
    <cellStyle name="Hyperlink 100" xfId="25747" hidden="1"/>
    <cellStyle name="Hyperlink 100" xfId="25365" hidden="1"/>
    <cellStyle name="Hyperlink 100" xfId="26706" hidden="1"/>
    <cellStyle name="Hyperlink 100" xfId="24682" hidden="1"/>
    <cellStyle name="Hyperlink 100" xfId="27689" hidden="1"/>
    <cellStyle name="Hyperlink 100" xfId="27311" hidden="1"/>
    <cellStyle name="Hyperlink 100" xfId="28646" hidden="1"/>
    <cellStyle name="Hyperlink 100" xfId="28269" hidden="1"/>
    <cellStyle name="Hyperlink 100" xfId="29564" hidden="1"/>
    <cellStyle name="Hyperlink 100" xfId="29202" hidden="1"/>
    <cellStyle name="Hyperlink 100" xfId="30351" hidden="1"/>
    <cellStyle name="Hyperlink 100" xfId="30040" hidden="1"/>
    <cellStyle name="Hyperlink 100" xfId="31015" hidden="1"/>
    <cellStyle name="Hyperlink 100" xfId="31345"/>
    <cellStyle name="Hyperlink 100 2" xfId="1665"/>
    <cellStyle name="Hyperlink 100 3" xfId="1666"/>
    <cellStyle name="Hyperlink 100 9" xfId="32564"/>
    <cellStyle name="Hyperlink 100_AGL" xfId="32565"/>
    <cellStyle name="Hyperlink 101" xfId="430" hidden="1"/>
    <cellStyle name="Hyperlink 101" xfId="764" hidden="1"/>
    <cellStyle name="Hyperlink 101" xfId="2429" hidden="1"/>
    <cellStyle name="Hyperlink 101" xfId="2763" hidden="1"/>
    <cellStyle name="Hyperlink 101" xfId="2210" hidden="1"/>
    <cellStyle name="Hyperlink 101" xfId="4017" hidden="1"/>
    <cellStyle name="Hyperlink 101" xfId="5121" hidden="1"/>
    <cellStyle name="Hyperlink 101" xfId="4174" hidden="1"/>
    <cellStyle name="Hyperlink 101" xfId="6081" hidden="1"/>
    <cellStyle name="Hyperlink 101" xfId="5745" hidden="1"/>
    <cellStyle name="Hyperlink 101" xfId="7064" hidden="1"/>
    <cellStyle name="Hyperlink 101" xfId="4867" hidden="1"/>
    <cellStyle name="Hyperlink 101" xfId="8021" hidden="1"/>
    <cellStyle name="Hyperlink 101" xfId="6671" hidden="1"/>
    <cellStyle name="Hyperlink 101" xfId="8939" hidden="1"/>
    <cellStyle name="Hyperlink 101" xfId="7631" hidden="1"/>
    <cellStyle name="Hyperlink 101" xfId="9727" hidden="1"/>
    <cellStyle name="Hyperlink 101" xfId="8566" hidden="1"/>
    <cellStyle name="Hyperlink 101" xfId="10395" hidden="1"/>
    <cellStyle name="Hyperlink 101" xfId="10725" hidden="1"/>
    <cellStyle name="Hyperlink 101" xfId="11759" hidden="1"/>
    <cellStyle name="Hyperlink 101" xfId="12093" hidden="1"/>
    <cellStyle name="Hyperlink 101" xfId="13641" hidden="1"/>
    <cellStyle name="Hyperlink 101" xfId="13975" hidden="1"/>
    <cellStyle name="Hyperlink 101" xfId="13422" hidden="1"/>
    <cellStyle name="Hyperlink 101" xfId="15228" hidden="1"/>
    <cellStyle name="Hyperlink 101" xfId="16332" hidden="1"/>
    <cellStyle name="Hyperlink 101" xfId="15385" hidden="1"/>
    <cellStyle name="Hyperlink 101" xfId="17292" hidden="1"/>
    <cellStyle name="Hyperlink 101" xfId="16956" hidden="1"/>
    <cellStyle name="Hyperlink 101" xfId="18275" hidden="1"/>
    <cellStyle name="Hyperlink 101" xfId="16078" hidden="1"/>
    <cellStyle name="Hyperlink 101" xfId="19232" hidden="1"/>
    <cellStyle name="Hyperlink 101" xfId="17882" hidden="1"/>
    <cellStyle name="Hyperlink 101" xfId="20150" hidden="1"/>
    <cellStyle name="Hyperlink 101" xfId="18842" hidden="1"/>
    <cellStyle name="Hyperlink 101" xfId="20938" hidden="1"/>
    <cellStyle name="Hyperlink 101" xfId="19777" hidden="1"/>
    <cellStyle name="Hyperlink 101" xfId="21606" hidden="1"/>
    <cellStyle name="Hyperlink 101" xfId="21936" hidden="1"/>
    <cellStyle name="Hyperlink 101" xfId="11548" hidden="1"/>
    <cellStyle name="Hyperlink 101" xfId="22563" hidden="1"/>
    <cellStyle name="Hyperlink 101" xfId="23331" hidden="1"/>
    <cellStyle name="Hyperlink 101" xfId="23665" hidden="1"/>
    <cellStyle name="Hyperlink 101" xfId="23112" hidden="1"/>
    <cellStyle name="Hyperlink 101" xfId="24641" hidden="1"/>
    <cellStyle name="Hyperlink 101" xfId="25745" hidden="1"/>
    <cellStyle name="Hyperlink 101" xfId="24798" hidden="1"/>
    <cellStyle name="Hyperlink 101" xfId="26704" hidden="1"/>
    <cellStyle name="Hyperlink 101" xfId="26368" hidden="1"/>
    <cellStyle name="Hyperlink 101" xfId="27687" hidden="1"/>
    <cellStyle name="Hyperlink 101" xfId="25491" hidden="1"/>
    <cellStyle name="Hyperlink 101" xfId="28644" hidden="1"/>
    <cellStyle name="Hyperlink 101" xfId="27294" hidden="1"/>
    <cellStyle name="Hyperlink 101" xfId="29562" hidden="1"/>
    <cellStyle name="Hyperlink 101" xfId="28254" hidden="1"/>
    <cellStyle name="Hyperlink 101" xfId="30349" hidden="1"/>
    <cellStyle name="Hyperlink 101" xfId="29189" hidden="1"/>
    <cellStyle name="Hyperlink 101" xfId="31017" hidden="1"/>
    <cellStyle name="Hyperlink 101" xfId="31347"/>
    <cellStyle name="Hyperlink 101 2" xfId="1667"/>
    <cellStyle name="Hyperlink 101 3" xfId="1668"/>
    <cellStyle name="Hyperlink 101 9" xfId="32566"/>
    <cellStyle name="Hyperlink 101_AGL" xfId="32567"/>
    <cellStyle name="Hyperlink 102" xfId="432" hidden="1"/>
    <cellStyle name="Hyperlink 102" xfId="766" hidden="1"/>
    <cellStyle name="Hyperlink 102" xfId="2431" hidden="1"/>
    <cellStyle name="Hyperlink 102" xfId="2765" hidden="1"/>
    <cellStyle name="Hyperlink 102" xfId="2206" hidden="1"/>
    <cellStyle name="Hyperlink 102" xfId="4019" hidden="1"/>
    <cellStyle name="Hyperlink 102" xfId="5119" hidden="1"/>
    <cellStyle name="Hyperlink 102" xfId="4740" hidden="1"/>
    <cellStyle name="Hyperlink 102" xfId="6079" hidden="1"/>
    <cellStyle name="Hyperlink 102" xfId="5672" hidden="1"/>
    <cellStyle name="Hyperlink 102" xfId="7062" hidden="1"/>
    <cellStyle name="Hyperlink 102" xfId="6687" hidden="1"/>
    <cellStyle name="Hyperlink 102" xfId="8019" hidden="1"/>
    <cellStyle name="Hyperlink 102" xfId="7645" hidden="1"/>
    <cellStyle name="Hyperlink 102" xfId="8937" hidden="1"/>
    <cellStyle name="Hyperlink 102" xfId="8578" hidden="1"/>
    <cellStyle name="Hyperlink 102" xfId="9725" hidden="1"/>
    <cellStyle name="Hyperlink 102" xfId="9417" hidden="1"/>
    <cellStyle name="Hyperlink 102" xfId="10397" hidden="1"/>
    <cellStyle name="Hyperlink 102" xfId="10727" hidden="1"/>
    <cellStyle name="Hyperlink 102" xfId="11761" hidden="1"/>
    <cellStyle name="Hyperlink 102" xfId="12095" hidden="1"/>
    <cellStyle name="Hyperlink 102" xfId="13643" hidden="1"/>
    <cellStyle name="Hyperlink 102" xfId="13977" hidden="1"/>
    <cellStyle name="Hyperlink 102" xfId="13418" hidden="1"/>
    <cellStyle name="Hyperlink 102" xfId="15230" hidden="1"/>
    <cellStyle name="Hyperlink 102" xfId="16330" hidden="1"/>
    <cellStyle name="Hyperlink 102" xfId="15951" hidden="1"/>
    <cellStyle name="Hyperlink 102" xfId="17290" hidden="1"/>
    <cellStyle name="Hyperlink 102" xfId="16883" hidden="1"/>
    <cellStyle name="Hyperlink 102" xfId="18273" hidden="1"/>
    <cellStyle name="Hyperlink 102" xfId="17898" hidden="1"/>
    <cellStyle name="Hyperlink 102" xfId="19230" hidden="1"/>
    <cellStyle name="Hyperlink 102" xfId="18856" hidden="1"/>
    <cellStyle name="Hyperlink 102" xfId="20148" hidden="1"/>
    <cellStyle name="Hyperlink 102" xfId="19789" hidden="1"/>
    <cellStyle name="Hyperlink 102" xfId="20936" hidden="1"/>
    <cellStyle name="Hyperlink 102" xfId="20628" hidden="1"/>
    <cellStyle name="Hyperlink 102" xfId="21608" hidden="1"/>
    <cellStyle name="Hyperlink 102" xfId="21938" hidden="1"/>
    <cellStyle name="Hyperlink 102" xfId="11544" hidden="1"/>
    <cellStyle name="Hyperlink 102" xfId="22565" hidden="1"/>
    <cellStyle name="Hyperlink 102" xfId="23333" hidden="1"/>
    <cellStyle name="Hyperlink 102" xfId="23667" hidden="1"/>
    <cellStyle name="Hyperlink 102" xfId="23108" hidden="1"/>
    <cellStyle name="Hyperlink 102" xfId="24643" hidden="1"/>
    <cellStyle name="Hyperlink 102" xfId="25743" hidden="1"/>
    <cellStyle name="Hyperlink 102" xfId="25364" hidden="1"/>
    <cellStyle name="Hyperlink 102" xfId="26702" hidden="1"/>
    <cellStyle name="Hyperlink 102" xfId="26295" hidden="1"/>
    <cellStyle name="Hyperlink 102" xfId="27685" hidden="1"/>
    <cellStyle name="Hyperlink 102" xfId="27310" hidden="1"/>
    <cellStyle name="Hyperlink 102" xfId="28642" hidden="1"/>
    <cellStyle name="Hyperlink 102" xfId="28268" hidden="1"/>
    <cellStyle name="Hyperlink 102" xfId="29560" hidden="1"/>
    <cellStyle name="Hyperlink 102" xfId="29201" hidden="1"/>
    <cellStyle name="Hyperlink 102" xfId="30347" hidden="1"/>
    <cellStyle name="Hyperlink 102" xfId="30039" hidden="1"/>
    <cellStyle name="Hyperlink 102" xfId="31019" hidden="1"/>
    <cellStyle name="Hyperlink 102" xfId="31349"/>
    <cellStyle name="Hyperlink 102 2" xfId="1669"/>
    <cellStyle name="Hyperlink 102 3" xfId="1670"/>
    <cellStyle name="Hyperlink 102 9" xfId="32568"/>
    <cellStyle name="Hyperlink 102_AGL" xfId="32569"/>
    <cellStyle name="Hyperlink 103" xfId="434" hidden="1"/>
    <cellStyle name="Hyperlink 103" xfId="768" hidden="1"/>
    <cellStyle name="Hyperlink 103" xfId="2433" hidden="1"/>
    <cellStyle name="Hyperlink 103" xfId="2767" hidden="1"/>
    <cellStyle name="Hyperlink 103" xfId="2202" hidden="1"/>
    <cellStyle name="Hyperlink 103" xfId="4021" hidden="1"/>
    <cellStyle name="Hyperlink 103" xfId="5117" hidden="1"/>
    <cellStyle name="Hyperlink 103" xfId="4656" hidden="1"/>
    <cellStyle name="Hyperlink 103" xfId="6077" hidden="1"/>
    <cellStyle name="Hyperlink 103" xfId="4737" hidden="1"/>
    <cellStyle name="Hyperlink 103" xfId="7060" hidden="1"/>
    <cellStyle name="Hyperlink 103" xfId="6605" hidden="1"/>
    <cellStyle name="Hyperlink 103" xfId="8017" hidden="1"/>
    <cellStyle name="Hyperlink 103" xfId="7568" hidden="1"/>
    <cellStyle name="Hyperlink 103" xfId="8935" hidden="1"/>
    <cellStyle name="Hyperlink 103" xfId="8509" hidden="1"/>
    <cellStyle name="Hyperlink 103" xfId="9723" hidden="1"/>
    <cellStyle name="Hyperlink 103" xfId="9376" hidden="1"/>
    <cellStyle name="Hyperlink 103" xfId="10399" hidden="1"/>
    <cellStyle name="Hyperlink 103" xfId="10729" hidden="1"/>
    <cellStyle name="Hyperlink 103" xfId="11763" hidden="1"/>
    <cellStyle name="Hyperlink 103" xfId="12097" hidden="1"/>
    <cellStyle name="Hyperlink 103" xfId="13645" hidden="1"/>
    <cellStyle name="Hyperlink 103" xfId="13979" hidden="1"/>
    <cellStyle name="Hyperlink 103" xfId="13414" hidden="1"/>
    <cellStyle name="Hyperlink 103" xfId="15232" hidden="1"/>
    <cellStyle name="Hyperlink 103" xfId="16328" hidden="1"/>
    <cellStyle name="Hyperlink 103" xfId="15867" hidden="1"/>
    <cellStyle name="Hyperlink 103" xfId="17288" hidden="1"/>
    <cellStyle name="Hyperlink 103" xfId="15948" hidden="1"/>
    <cellStyle name="Hyperlink 103" xfId="18271" hidden="1"/>
    <cellStyle name="Hyperlink 103" xfId="17816" hidden="1"/>
    <cellStyle name="Hyperlink 103" xfId="19228" hidden="1"/>
    <cellStyle name="Hyperlink 103" xfId="18779" hidden="1"/>
    <cellStyle name="Hyperlink 103" xfId="20146" hidden="1"/>
    <cellStyle name="Hyperlink 103" xfId="19720" hidden="1"/>
    <cellStyle name="Hyperlink 103" xfId="20934" hidden="1"/>
    <cellStyle name="Hyperlink 103" xfId="20587" hidden="1"/>
    <cellStyle name="Hyperlink 103" xfId="21610" hidden="1"/>
    <cellStyle name="Hyperlink 103" xfId="21940" hidden="1"/>
    <cellStyle name="Hyperlink 103" xfId="11540" hidden="1"/>
    <cellStyle name="Hyperlink 103" xfId="22567" hidden="1"/>
    <cellStyle name="Hyperlink 103" xfId="23335" hidden="1"/>
    <cellStyle name="Hyperlink 103" xfId="23669" hidden="1"/>
    <cellStyle name="Hyperlink 103" xfId="23104" hidden="1"/>
    <cellStyle name="Hyperlink 103" xfId="24645" hidden="1"/>
    <cellStyle name="Hyperlink 103" xfId="25741" hidden="1"/>
    <cellStyle name="Hyperlink 103" xfId="25280" hidden="1"/>
    <cellStyle name="Hyperlink 103" xfId="26700" hidden="1"/>
    <cellStyle name="Hyperlink 103" xfId="25361" hidden="1"/>
    <cellStyle name="Hyperlink 103" xfId="27683" hidden="1"/>
    <cellStyle name="Hyperlink 103" xfId="27228" hidden="1"/>
    <cellStyle name="Hyperlink 103" xfId="28640" hidden="1"/>
    <cellStyle name="Hyperlink 103" xfId="28191" hidden="1"/>
    <cellStyle name="Hyperlink 103" xfId="29558" hidden="1"/>
    <cellStyle name="Hyperlink 103" xfId="29132" hidden="1"/>
    <cellStyle name="Hyperlink 103" xfId="30345" hidden="1"/>
    <cellStyle name="Hyperlink 103" xfId="29998" hidden="1"/>
    <cellStyle name="Hyperlink 103" xfId="31021" hidden="1"/>
    <cellStyle name="Hyperlink 103" xfId="31351"/>
    <cellStyle name="Hyperlink 103 2" xfId="1671"/>
    <cellStyle name="Hyperlink 103 3" xfId="1672"/>
    <cellStyle name="Hyperlink 103 9" xfId="32570"/>
    <cellStyle name="Hyperlink 103_AGL" xfId="32571"/>
    <cellStyle name="Hyperlink 104" xfId="436" hidden="1"/>
    <cellStyle name="Hyperlink 104" xfId="770" hidden="1"/>
    <cellStyle name="Hyperlink 104" xfId="2435" hidden="1"/>
    <cellStyle name="Hyperlink 104" xfId="2769" hidden="1"/>
    <cellStyle name="Hyperlink 104" xfId="2198" hidden="1"/>
    <cellStyle name="Hyperlink 104" xfId="4023" hidden="1"/>
    <cellStyle name="Hyperlink 104" xfId="5115" hidden="1"/>
    <cellStyle name="Hyperlink 104" xfId="4048" hidden="1"/>
    <cellStyle name="Hyperlink 104" xfId="6075" hidden="1"/>
    <cellStyle name="Hyperlink 104" xfId="5605" hidden="1"/>
    <cellStyle name="Hyperlink 104" xfId="7058" hidden="1"/>
    <cellStyle name="Hyperlink 104" xfId="4655" hidden="1"/>
    <cellStyle name="Hyperlink 104" xfId="8015" hidden="1"/>
    <cellStyle name="Hyperlink 104" xfId="5677" hidden="1"/>
    <cellStyle name="Hyperlink 104" xfId="8933" hidden="1"/>
    <cellStyle name="Hyperlink 104" xfId="5696" hidden="1"/>
    <cellStyle name="Hyperlink 104" xfId="9721" hidden="1"/>
    <cellStyle name="Hyperlink 104" xfId="5739" hidden="1"/>
    <cellStyle name="Hyperlink 104" xfId="10401" hidden="1"/>
    <cellStyle name="Hyperlink 104" xfId="10731" hidden="1"/>
    <cellStyle name="Hyperlink 104" xfId="11765" hidden="1"/>
    <cellStyle name="Hyperlink 104" xfId="12099" hidden="1"/>
    <cellStyle name="Hyperlink 104" xfId="13647" hidden="1"/>
    <cellStyle name="Hyperlink 104" xfId="13981" hidden="1"/>
    <cellStyle name="Hyperlink 104" xfId="13410" hidden="1"/>
    <cellStyle name="Hyperlink 104" xfId="15234" hidden="1"/>
    <cellStyle name="Hyperlink 104" xfId="16326" hidden="1"/>
    <cellStyle name="Hyperlink 104" xfId="15259" hidden="1"/>
    <cellStyle name="Hyperlink 104" xfId="17286" hidden="1"/>
    <cellStyle name="Hyperlink 104" xfId="16816" hidden="1"/>
    <cellStyle name="Hyperlink 104" xfId="18269" hidden="1"/>
    <cellStyle name="Hyperlink 104" xfId="15866" hidden="1"/>
    <cellStyle name="Hyperlink 104" xfId="19226" hidden="1"/>
    <cellStyle name="Hyperlink 104" xfId="16888" hidden="1"/>
    <cellStyle name="Hyperlink 104" xfId="20144" hidden="1"/>
    <cellStyle name="Hyperlink 104" xfId="16907" hidden="1"/>
    <cellStyle name="Hyperlink 104" xfId="20932" hidden="1"/>
    <cellStyle name="Hyperlink 104" xfId="16950" hidden="1"/>
    <cellStyle name="Hyperlink 104" xfId="21612" hidden="1"/>
    <cellStyle name="Hyperlink 104" xfId="21942" hidden="1"/>
    <cellStyle name="Hyperlink 104" xfId="11536" hidden="1"/>
    <cellStyle name="Hyperlink 104" xfId="22569" hidden="1"/>
    <cellStyle name="Hyperlink 104" xfId="23337" hidden="1"/>
    <cellStyle name="Hyperlink 104" xfId="23671" hidden="1"/>
    <cellStyle name="Hyperlink 104" xfId="23100" hidden="1"/>
    <cellStyle name="Hyperlink 104" xfId="24647" hidden="1"/>
    <cellStyle name="Hyperlink 104" xfId="25739" hidden="1"/>
    <cellStyle name="Hyperlink 104" xfId="24672" hidden="1"/>
    <cellStyle name="Hyperlink 104" xfId="26698" hidden="1"/>
    <cellStyle name="Hyperlink 104" xfId="26229" hidden="1"/>
    <cellStyle name="Hyperlink 104" xfId="27681" hidden="1"/>
    <cellStyle name="Hyperlink 104" xfId="25279" hidden="1"/>
    <cellStyle name="Hyperlink 104" xfId="28638" hidden="1"/>
    <cellStyle name="Hyperlink 104" xfId="26300" hidden="1"/>
    <cellStyle name="Hyperlink 104" xfId="29556" hidden="1"/>
    <cellStyle name="Hyperlink 104" xfId="26319" hidden="1"/>
    <cellStyle name="Hyperlink 104" xfId="30343" hidden="1"/>
    <cellStyle name="Hyperlink 104" xfId="26362" hidden="1"/>
    <cellStyle name="Hyperlink 104" xfId="31023" hidden="1"/>
    <cellStyle name="Hyperlink 104" xfId="31353"/>
    <cellStyle name="Hyperlink 104 2" xfId="1673"/>
    <cellStyle name="Hyperlink 104 3" xfId="1674"/>
    <cellStyle name="Hyperlink 104 9" xfId="32572"/>
    <cellStyle name="Hyperlink 104_AGL" xfId="32573"/>
    <cellStyle name="Hyperlink 105" xfId="438" hidden="1"/>
    <cellStyle name="Hyperlink 105" xfId="772" hidden="1"/>
    <cellStyle name="Hyperlink 105" xfId="2437" hidden="1"/>
    <cellStyle name="Hyperlink 105" xfId="2771" hidden="1"/>
    <cellStyle name="Hyperlink 105" xfId="2194" hidden="1"/>
    <cellStyle name="Hyperlink 105" xfId="4025" hidden="1"/>
    <cellStyle name="Hyperlink 105" xfId="5113" hidden="1"/>
    <cellStyle name="Hyperlink 105" xfId="4775" hidden="1"/>
    <cellStyle name="Hyperlink 105" xfId="6073" hidden="1"/>
    <cellStyle name="Hyperlink 105" xfId="5747" hidden="1"/>
    <cellStyle name="Hyperlink 105" xfId="7056" hidden="1"/>
    <cellStyle name="Hyperlink 105" xfId="6722" hidden="1"/>
    <cellStyle name="Hyperlink 105" xfId="8013" hidden="1"/>
    <cellStyle name="Hyperlink 105" xfId="7680" hidden="1"/>
    <cellStyle name="Hyperlink 105" xfId="8931" hidden="1"/>
    <cellStyle name="Hyperlink 105" xfId="8610" hidden="1"/>
    <cellStyle name="Hyperlink 105" xfId="9719" hidden="1"/>
    <cellStyle name="Hyperlink 105" xfId="9435" hidden="1"/>
    <cellStyle name="Hyperlink 105" xfId="10403" hidden="1"/>
    <cellStyle name="Hyperlink 105" xfId="10733" hidden="1"/>
    <cellStyle name="Hyperlink 105" xfId="11767" hidden="1"/>
    <cellStyle name="Hyperlink 105" xfId="12101" hidden="1"/>
    <cellStyle name="Hyperlink 105" xfId="13649" hidden="1"/>
    <cellStyle name="Hyperlink 105" xfId="13983" hidden="1"/>
    <cellStyle name="Hyperlink 105" xfId="13406" hidden="1"/>
    <cellStyle name="Hyperlink 105" xfId="15236" hidden="1"/>
    <cellStyle name="Hyperlink 105" xfId="16324" hidden="1"/>
    <cellStyle name="Hyperlink 105" xfId="15986" hidden="1"/>
    <cellStyle name="Hyperlink 105" xfId="17284" hidden="1"/>
    <cellStyle name="Hyperlink 105" xfId="16958" hidden="1"/>
    <cellStyle name="Hyperlink 105" xfId="18267" hidden="1"/>
    <cellStyle name="Hyperlink 105" xfId="17933" hidden="1"/>
    <cellStyle name="Hyperlink 105" xfId="19224" hidden="1"/>
    <cellStyle name="Hyperlink 105" xfId="18891" hidden="1"/>
    <cellStyle name="Hyperlink 105" xfId="20142" hidden="1"/>
    <cellStyle name="Hyperlink 105" xfId="19821" hidden="1"/>
    <cellStyle name="Hyperlink 105" xfId="20930" hidden="1"/>
    <cellStyle name="Hyperlink 105" xfId="20646" hidden="1"/>
    <cellStyle name="Hyperlink 105" xfId="21614" hidden="1"/>
    <cellStyle name="Hyperlink 105" xfId="21944" hidden="1"/>
    <cellStyle name="Hyperlink 105" xfId="11532" hidden="1"/>
    <cellStyle name="Hyperlink 105" xfId="22571" hidden="1"/>
    <cellStyle name="Hyperlink 105" xfId="23339" hidden="1"/>
    <cellStyle name="Hyperlink 105" xfId="23673" hidden="1"/>
    <cellStyle name="Hyperlink 105" xfId="23096" hidden="1"/>
    <cellStyle name="Hyperlink 105" xfId="24649" hidden="1"/>
    <cellStyle name="Hyperlink 105" xfId="25737" hidden="1"/>
    <cellStyle name="Hyperlink 105" xfId="25399" hidden="1"/>
    <cellStyle name="Hyperlink 105" xfId="26696" hidden="1"/>
    <cellStyle name="Hyperlink 105" xfId="26370" hidden="1"/>
    <cellStyle name="Hyperlink 105" xfId="27679" hidden="1"/>
    <cellStyle name="Hyperlink 105" xfId="27345" hidden="1"/>
    <cellStyle name="Hyperlink 105" xfId="28636" hidden="1"/>
    <cellStyle name="Hyperlink 105" xfId="28303" hidden="1"/>
    <cellStyle name="Hyperlink 105" xfId="29554" hidden="1"/>
    <cellStyle name="Hyperlink 105" xfId="29233" hidden="1"/>
    <cellStyle name="Hyperlink 105" xfId="30341" hidden="1"/>
    <cellStyle name="Hyperlink 105" xfId="30057" hidden="1"/>
    <cellStyle name="Hyperlink 105" xfId="31025" hidden="1"/>
    <cellStyle name="Hyperlink 105" xfId="31355"/>
    <cellStyle name="Hyperlink 105 2" xfId="1675"/>
    <cellStyle name="Hyperlink 105 3" xfId="1676"/>
    <cellStyle name="Hyperlink 105 9" xfId="32574"/>
    <cellStyle name="Hyperlink 105_AGL" xfId="32575"/>
    <cellStyle name="Hyperlink 106" xfId="440" hidden="1"/>
    <cellStyle name="Hyperlink 106" xfId="774" hidden="1"/>
    <cellStyle name="Hyperlink 106" xfId="2439" hidden="1"/>
    <cellStyle name="Hyperlink 106" xfId="2773" hidden="1"/>
    <cellStyle name="Hyperlink 106" xfId="2190" hidden="1"/>
    <cellStyle name="Hyperlink 106" xfId="4027" hidden="1"/>
    <cellStyle name="Hyperlink 106" xfId="5111" hidden="1"/>
    <cellStyle name="Hyperlink 106" xfId="4698" hidden="1"/>
    <cellStyle name="Hyperlink 106" xfId="6071" hidden="1"/>
    <cellStyle name="Hyperlink 106" xfId="4624" hidden="1"/>
    <cellStyle name="Hyperlink 106" xfId="7054" hidden="1"/>
    <cellStyle name="Hyperlink 106" xfId="6647" hidden="1"/>
    <cellStyle name="Hyperlink 106" xfId="8011" hidden="1"/>
    <cellStyle name="Hyperlink 106" xfId="7608" hidden="1"/>
    <cellStyle name="Hyperlink 106" xfId="8929" hidden="1"/>
    <cellStyle name="Hyperlink 106" xfId="8546" hidden="1"/>
    <cellStyle name="Hyperlink 106" xfId="9717" hidden="1"/>
    <cellStyle name="Hyperlink 106" xfId="9398" hidden="1"/>
    <cellStyle name="Hyperlink 106" xfId="10405" hidden="1"/>
    <cellStyle name="Hyperlink 106" xfId="10735" hidden="1"/>
    <cellStyle name="Hyperlink 106" xfId="11769" hidden="1"/>
    <cellStyle name="Hyperlink 106" xfId="12103" hidden="1"/>
    <cellStyle name="Hyperlink 106" xfId="13651" hidden="1"/>
    <cellStyle name="Hyperlink 106" xfId="13985" hidden="1"/>
    <cellStyle name="Hyperlink 106" xfId="13402" hidden="1"/>
    <cellStyle name="Hyperlink 106" xfId="15238" hidden="1"/>
    <cellStyle name="Hyperlink 106" xfId="16322" hidden="1"/>
    <cellStyle name="Hyperlink 106" xfId="15909" hidden="1"/>
    <cellStyle name="Hyperlink 106" xfId="17282" hidden="1"/>
    <cellStyle name="Hyperlink 106" xfId="15835" hidden="1"/>
    <cellStyle name="Hyperlink 106" xfId="18265" hidden="1"/>
    <cellStyle name="Hyperlink 106" xfId="17858" hidden="1"/>
    <cellStyle name="Hyperlink 106" xfId="19222" hidden="1"/>
    <cellStyle name="Hyperlink 106" xfId="18819" hidden="1"/>
    <cellStyle name="Hyperlink 106" xfId="20140" hidden="1"/>
    <cellStyle name="Hyperlink 106" xfId="19757" hidden="1"/>
    <cellStyle name="Hyperlink 106" xfId="20928" hidden="1"/>
    <cellStyle name="Hyperlink 106" xfId="20609" hidden="1"/>
    <cellStyle name="Hyperlink 106" xfId="21616" hidden="1"/>
    <cellStyle name="Hyperlink 106" xfId="21946" hidden="1"/>
    <cellStyle name="Hyperlink 106" xfId="11528" hidden="1"/>
    <cellStyle name="Hyperlink 106" xfId="22573" hidden="1"/>
    <cellStyle name="Hyperlink 106" xfId="23341" hidden="1"/>
    <cellStyle name="Hyperlink 106" xfId="23675" hidden="1"/>
    <cellStyle name="Hyperlink 106" xfId="23092" hidden="1"/>
    <cellStyle name="Hyperlink 106" xfId="24651" hidden="1"/>
    <cellStyle name="Hyperlink 106" xfId="25735" hidden="1"/>
    <cellStyle name="Hyperlink 106" xfId="25322" hidden="1"/>
    <cellStyle name="Hyperlink 106" xfId="26694" hidden="1"/>
    <cellStyle name="Hyperlink 106" xfId="25248" hidden="1"/>
    <cellStyle name="Hyperlink 106" xfId="27677" hidden="1"/>
    <cellStyle name="Hyperlink 106" xfId="27270" hidden="1"/>
    <cellStyle name="Hyperlink 106" xfId="28634" hidden="1"/>
    <cellStyle name="Hyperlink 106" xfId="28231" hidden="1"/>
    <cellStyle name="Hyperlink 106" xfId="29552" hidden="1"/>
    <cellStyle name="Hyperlink 106" xfId="29169" hidden="1"/>
    <cellStyle name="Hyperlink 106" xfId="30339" hidden="1"/>
    <cellStyle name="Hyperlink 106" xfId="30020" hidden="1"/>
    <cellStyle name="Hyperlink 106" xfId="31027" hidden="1"/>
    <cellStyle name="Hyperlink 106" xfId="31357"/>
    <cellStyle name="Hyperlink 106 2" xfId="1677"/>
    <cellStyle name="Hyperlink 106 3" xfId="1678"/>
    <cellStyle name="Hyperlink 106 9" xfId="32576"/>
    <cellStyle name="Hyperlink 106_AGL" xfId="32577"/>
    <cellStyle name="Hyperlink 107" xfId="442" hidden="1"/>
    <cellStyle name="Hyperlink 107" xfId="776" hidden="1"/>
    <cellStyle name="Hyperlink 107" xfId="2441" hidden="1"/>
    <cellStyle name="Hyperlink 107" xfId="2775" hidden="1"/>
    <cellStyle name="Hyperlink 107" xfId="2186" hidden="1"/>
    <cellStyle name="Hyperlink 107" xfId="4029" hidden="1"/>
    <cellStyle name="Hyperlink 107" xfId="5109" hidden="1"/>
    <cellStyle name="Hyperlink 107" xfId="4047" hidden="1"/>
    <cellStyle name="Hyperlink 107" xfId="6069" hidden="1"/>
    <cellStyle name="Hyperlink 107" xfId="5602" hidden="1"/>
    <cellStyle name="Hyperlink 107" xfId="7052" hidden="1"/>
    <cellStyle name="Hyperlink 107" xfId="5708" hidden="1"/>
    <cellStyle name="Hyperlink 107" xfId="8009" hidden="1"/>
    <cellStyle name="Hyperlink 107" xfId="6684" hidden="1"/>
    <cellStyle name="Hyperlink 107" xfId="8927" hidden="1"/>
    <cellStyle name="Hyperlink 107" xfId="7642" hidden="1"/>
    <cellStyle name="Hyperlink 107" xfId="9715" hidden="1"/>
    <cellStyle name="Hyperlink 107" xfId="8575" hidden="1"/>
    <cellStyle name="Hyperlink 107" xfId="10407" hidden="1"/>
    <cellStyle name="Hyperlink 107" xfId="10737" hidden="1"/>
    <cellStyle name="Hyperlink 107" xfId="11771" hidden="1"/>
    <cellStyle name="Hyperlink 107" xfId="12105" hidden="1"/>
    <cellStyle name="Hyperlink 107" xfId="13653" hidden="1"/>
    <cellStyle name="Hyperlink 107" xfId="13987" hidden="1"/>
    <cellStyle name="Hyperlink 107" xfId="13398" hidden="1"/>
    <cellStyle name="Hyperlink 107" xfId="15240" hidden="1"/>
    <cellStyle name="Hyperlink 107" xfId="16320" hidden="1"/>
    <cellStyle name="Hyperlink 107" xfId="15258" hidden="1"/>
    <cellStyle name="Hyperlink 107" xfId="17280" hidden="1"/>
    <cellStyle name="Hyperlink 107" xfId="16813" hidden="1"/>
    <cellStyle name="Hyperlink 107" xfId="18263" hidden="1"/>
    <cellStyle name="Hyperlink 107" xfId="16919" hidden="1"/>
    <cellStyle name="Hyperlink 107" xfId="19220" hidden="1"/>
    <cellStyle name="Hyperlink 107" xfId="17895" hidden="1"/>
    <cellStyle name="Hyperlink 107" xfId="20138" hidden="1"/>
    <cellStyle name="Hyperlink 107" xfId="18853" hidden="1"/>
    <cellStyle name="Hyperlink 107" xfId="20926" hidden="1"/>
    <cellStyle name="Hyperlink 107" xfId="19786" hidden="1"/>
    <cellStyle name="Hyperlink 107" xfId="21618" hidden="1"/>
    <cellStyle name="Hyperlink 107" xfId="21948" hidden="1"/>
    <cellStyle name="Hyperlink 107" xfId="11524" hidden="1"/>
    <cellStyle name="Hyperlink 107" xfId="22575" hidden="1"/>
    <cellStyle name="Hyperlink 107" xfId="23343" hidden="1"/>
    <cellStyle name="Hyperlink 107" xfId="23677" hidden="1"/>
    <cellStyle name="Hyperlink 107" xfId="23088" hidden="1"/>
    <cellStyle name="Hyperlink 107" xfId="24653" hidden="1"/>
    <cellStyle name="Hyperlink 107" xfId="25733" hidden="1"/>
    <cellStyle name="Hyperlink 107" xfId="24671" hidden="1"/>
    <cellStyle name="Hyperlink 107" xfId="26692" hidden="1"/>
    <cellStyle name="Hyperlink 107" xfId="26226" hidden="1"/>
    <cellStyle name="Hyperlink 107" xfId="27675" hidden="1"/>
    <cellStyle name="Hyperlink 107" xfId="26331" hidden="1"/>
    <cellStyle name="Hyperlink 107" xfId="28632" hidden="1"/>
    <cellStyle name="Hyperlink 107" xfId="27307" hidden="1"/>
    <cellStyle name="Hyperlink 107" xfId="29550" hidden="1"/>
    <cellStyle name="Hyperlink 107" xfId="28265" hidden="1"/>
    <cellStyle name="Hyperlink 107" xfId="30337" hidden="1"/>
    <cellStyle name="Hyperlink 107" xfId="29198" hidden="1"/>
    <cellStyle name="Hyperlink 107" xfId="31029" hidden="1"/>
    <cellStyle name="Hyperlink 107" xfId="31359"/>
    <cellStyle name="Hyperlink 107 2" xfId="1679"/>
    <cellStyle name="Hyperlink 107 3" xfId="1680"/>
    <cellStyle name="Hyperlink 107 9" xfId="32578"/>
    <cellStyle name="Hyperlink 107_AGL" xfId="32579"/>
    <cellStyle name="Hyperlink 108" xfId="444" hidden="1"/>
    <cellStyle name="Hyperlink 108" xfId="778" hidden="1"/>
    <cellStyle name="Hyperlink 108" xfId="2443" hidden="1"/>
    <cellStyle name="Hyperlink 108" xfId="2777" hidden="1"/>
    <cellStyle name="Hyperlink 108" xfId="2182" hidden="1"/>
    <cellStyle name="Hyperlink 108" xfId="4031" hidden="1"/>
    <cellStyle name="Hyperlink 108" xfId="5107" hidden="1"/>
    <cellStyle name="Hyperlink 108" xfId="4630" hidden="1"/>
    <cellStyle name="Hyperlink 108" xfId="6067" hidden="1"/>
    <cellStyle name="Hyperlink 108" xfId="5600" hidden="1"/>
    <cellStyle name="Hyperlink 108" xfId="7050" hidden="1"/>
    <cellStyle name="Hyperlink 108" xfId="6578" hidden="1"/>
    <cellStyle name="Hyperlink 108" xfId="8007" hidden="1"/>
    <cellStyle name="Hyperlink 108" xfId="7543" hidden="1"/>
    <cellStyle name="Hyperlink 108" xfId="8925" hidden="1"/>
    <cellStyle name="Hyperlink 108" xfId="8488" hidden="1"/>
    <cellStyle name="Hyperlink 108" xfId="9713" hidden="1"/>
    <cellStyle name="Hyperlink 108" xfId="9361" hidden="1"/>
    <cellStyle name="Hyperlink 108" xfId="10409" hidden="1"/>
    <cellStyle name="Hyperlink 108" xfId="10739" hidden="1"/>
    <cellStyle name="Hyperlink 108" xfId="11773" hidden="1"/>
    <cellStyle name="Hyperlink 108" xfId="12107" hidden="1"/>
    <cellStyle name="Hyperlink 108" xfId="13655" hidden="1"/>
    <cellStyle name="Hyperlink 108" xfId="13989" hidden="1"/>
    <cellStyle name="Hyperlink 108" xfId="13394" hidden="1"/>
    <cellStyle name="Hyperlink 108" xfId="15242" hidden="1"/>
    <cellStyle name="Hyperlink 108" xfId="16318" hidden="1"/>
    <cellStyle name="Hyperlink 108" xfId="15841" hidden="1"/>
    <cellStyle name="Hyperlink 108" xfId="17278" hidden="1"/>
    <cellStyle name="Hyperlink 108" xfId="16811" hidden="1"/>
    <cellStyle name="Hyperlink 108" xfId="18261" hidden="1"/>
    <cellStyle name="Hyperlink 108" xfId="17789" hidden="1"/>
    <cellStyle name="Hyperlink 108" xfId="19218" hidden="1"/>
    <cellStyle name="Hyperlink 108" xfId="18754" hidden="1"/>
    <cellStyle name="Hyperlink 108" xfId="20136" hidden="1"/>
    <cellStyle name="Hyperlink 108" xfId="19699" hidden="1"/>
    <cellStyle name="Hyperlink 108" xfId="20924" hidden="1"/>
    <cellStyle name="Hyperlink 108" xfId="20572" hidden="1"/>
    <cellStyle name="Hyperlink 108" xfId="21620" hidden="1"/>
    <cellStyle name="Hyperlink 108" xfId="21950" hidden="1"/>
    <cellStyle name="Hyperlink 108" xfId="11520" hidden="1"/>
    <cellStyle name="Hyperlink 108" xfId="22577" hidden="1"/>
    <cellStyle name="Hyperlink 108" xfId="23345" hidden="1"/>
    <cellStyle name="Hyperlink 108" xfId="23679" hidden="1"/>
    <cellStyle name="Hyperlink 108" xfId="23084" hidden="1"/>
    <cellStyle name="Hyperlink 108" xfId="24655" hidden="1"/>
    <cellStyle name="Hyperlink 108" xfId="25731" hidden="1"/>
    <cellStyle name="Hyperlink 108" xfId="25254" hidden="1"/>
    <cellStyle name="Hyperlink 108" xfId="26690" hidden="1"/>
    <cellStyle name="Hyperlink 108" xfId="26224" hidden="1"/>
    <cellStyle name="Hyperlink 108" xfId="27673" hidden="1"/>
    <cellStyle name="Hyperlink 108" xfId="27201" hidden="1"/>
    <cellStyle name="Hyperlink 108" xfId="28630" hidden="1"/>
    <cellStyle name="Hyperlink 108" xfId="28166" hidden="1"/>
    <cellStyle name="Hyperlink 108" xfId="29548" hidden="1"/>
    <cellStyle name="Hyperlink 108" xfId="29111" hidden="1"/>
    <cellStyle name="Hyperlink 108" xfId="30335" hidden="1"/>
    <cellStyle name="Hyperlink 108" xfId="29984" hidden="1"/>
    <cellStyle name="Hyperlink 108" xfId="31031" hidden="1"/>
    <cellStyle name="Hyperlink 108" xfId="31361"/>
    <cellStyle name="Hyperlink 108 2" xfId="1681"/>
    <cellStyle name="Hyperlink 108 3" xfId="1682"/>
    <cellStyle name="Hyperlink 108 9" xfId="32580"/>
    <cellStyle name="Hyperlink 108_AGL" xfId="32581"/>
    <cellStyle name="Hyperlink 109" xfId="446" hidden="1"/>
    <cellStyle name="Hyperlink 109" xfId="780" hidden="1"/>
    <cellStyle name="Hyperlink 109" xfId="2445" hidden="1"/>
    <cellStyle name="Hyperlink 109" xfId="2779" hidden="1"/>
    <cellStyle name="Hyperlink 109" xfId="2178" hidden="1"/>
    <cellStyle name="Hyperlink 109" xfId="4033" hidden="1"/>
    <cellStyle name="Hyperlink 109" xfId="5105" hidden="1"/>
    <cellStyle name="Hyperlink 109" xfId="4738" hidden="1"/>
    <cellStyle name="Hyperlink 109" xfId="6065" hidden="1"/>
    <cellStyle name="Hyperlink 109" xfId="5598" hidden="1"/>
    <cellStyle name="Hyperlink 109" xfId="7048" hidden="1"/>
    <cellStyle name="Hyperlink 109" xfId="6685" hidden="1"/>
    <cellStyle name="Hyperlink 109" xfId="8005" hidden="1"/>
    <cellStyle name="Hyperlink 109" xfId="7643" hidden="1"/>
    <cellStyle name="Hyperlink 109" xfId="8923" hidden="1"/>
    <cellStyle name="Hyperlink 109" xfId="8576" hidden="1"/>
    <cellStyle name="Hyperlink 109" xfId="9711" hidden="1"/>
    <cellStyle name="Hyperlink 109" xfId="9437" hidden="1"/>
    <cellStyle name="Hyperlink 109" xfId="10411" hidden="1"/>
    <cellStyle name="Hyperlink 109" xfId="10741" hidden="1"/>
    <cellStyle name="Hyperlink 109" xfId="11775" hidden="1"/>
    <cellStyle name="Hyperlink 109" xfId="12109" hidden="1"/>
    <cellStyle name="Hyperlink 109" xfId="13657" hidden="1"/>
    <cellStyle name="Hyperlink 109" xfId="13991" hidden="1"/>
    <cellStyle name="Hyperlink 109" xfId="13390" hidden="1"/>
    <cellStyle name="Hyperlink 109" xfId="15244" hidden="1"/>
    <cellStyle name="Hyperlink 109" xfId="16316" hidden="1"/>
    <cellStyle name="Hyperlink 109" xfId="15949" hidden="1"/>
    <cellStyle name="Hyperlink 109" xfId="17276" hidden="1"/>
    <cellStyle name="Hyperlink 109" xfId="16809" hidden="1"/>
    <cellStyle name="Hyperlink 109" xfId="18259" hidden="1"/>
    <cellStyle name="Hyperlink 109" xfId="17896" hidden="1"/>
    <cellStyle name="Hyperlink 109" xfId="19216" hidden="1"/>
    <cellStyle name="Hyperlink 109" xfId="18854" hidden="1"/>
    <cellStyle name="Hyperlink 109" xfId="20134" hidden="1"/>
    <cellStyle name="Hyperlink 109" xfId="19787" hidden="1"/>
    <cellStyle name="Hyperlink 109" xfId="20922" hidden="1"/>
    <cellStyle name="Hyperlink 109" xfId="20648" hidden="1"/>
    <cellStyle name="Hyperlink 109" xfId="21622" hidden="1"/>
    <cellStyle name="Hyperlink 109" xfId="21952" hidden="1"/>
    <cellStyle name="Hyperlink 109" xfId="11516" hidden="1"/>
    <cellStyle name="Hyperlink 109" xfId="22579" hidden="1"/>
    <cellStyle name="Hyperlink 109" xfId="23347" hidden="1"/>
    <cellStyle name="Hyperlink 109" xfId="23681" hidden="1"/>
    <cellStyle name="Hyperlink 109" xfId="23080" hidden="1"/>
    <cellStyle name="Hyperlink 109" xfId="24657" hidden="1"/>
    <cellStyle name="Hyperlink 109" xfId="25729" hidden="1"/>
    <cellStyle name="Hyperlink 109" xfId="25362" hidden="1"/>
    <cellStyle name="Hyperlink 109" xfId="26688" hidden="1"/>
    <cellStyle name="Hyperlink 109" xfId="26222" hidden="1"/>
    <cellStyle name="Hyperlink 109" xfId="27671" hidden="1"/>
    <cellStyle name="Hyperlink 109" xfId="27308" hidden="1"/>
    <cellStyle name="Hyperlink 109" xfId="28628" hidden="1"/>
    <cellStyle name="Hyperlink 109" xfId="28266" hidden="1"/>
    <cellStyle name="Hyperlink 109" xfId="29546" hidden="1"/>
    <cellStyle name="Hyperlink 109" xfId="29199" hidden="1"/>
    <cellStyle name="Hyperlink 109" xfId="30333" hidden="1"/>
    <cellStyle name="Hyperlink 109" xfId="30059" hidden="1"/>
    <cellStyle name="Hyperlink 109" xfId="31033" hidden="1"/>
    <cellStyle name="Hyperlink 109" xfId="31363"/>
    <cellStyle name="Hyperlink 109 2" xfId="1683"/>
    <cellStyle name="Hyperlink 109 3" xfId="1684"/>
    <cellStyle name="Hyperlink 109 9" xfId="32582"/>
    <cellStyle name="Hyperlink 109_AGL" xfId="32583"/>
    <cellStyle name="Hyperlink 11" xfId="250" hidden="1"/>
    <cellStyle name="Hyperlink 11" xfId="642" hidden="1"/>
    <cellStyle name="Hyperlink 11" xfId="2249" hidden="1"/>
    <cellStyle name="Hyperlink 11" xfId="2641" hidden="1"/>
    <cellStyle name="Hyperlink 11" xfId="3830" hidden="1"/>
    <cellStyle name="Hyperlink 11" xfId="2809" hidden="1"/>
    <cellStyle name="Hyperlink 11" xfId="2158" hidden="1"/>
    <cellStyle name="Hyperlink 11" xfId="4911" hidden="1"/>
    <cellStyle name="Hyperlink 11" xfId="5814" hidden="1"/>
    <cellStyle name="Hyperlink 11" xfId="4208" hidden="1"/>
    <cellStyle name="Hyperlink 11" xfId="6056" hidden="1"/>
    <cellStyle name="Hyperlink 11" xfId="6855" hidden="1"/>
    <cellStyle name="Hyperlink 11" xfId="7039" hidden="1"/>
    <cellStyle name="Hyperlink 11" xfId="7812" hidden="1"/>
    <cellStyle name="Hyperlink 11" xfId="7996" hidden="1"/>
    <cellStyle name="Hyperlink 11" xfId="8730" hidden="1"/>
    <cellStyle name="Hyperlink 11" xfId="8914" hidden="1"/>
    <cellStyle name="Hyperlink 11" xfId="9521" hidden="1"/>
    <cellStyle name="Hyperlink 11" xfId="10215" hidden="1"/>
    <cellStyle name="Hyperlink 11" xfId="10603" hidden="1"/>
    <cellStyle name="Hyperlink 11" xfId="11579" hidden="1"/>
    <cellStyle name="Hyperlink 11" xfId="11971" hidden="1"/>
    <cellStyle name="Hyperlink 11" xfId="13461" hidden="1"/>
    <cellStyle name="Hyperlink 11" xfId="13853" hidden="1"/>
    <cellStyle name="Hyperlink 11" xfId="15041" hidden="1"/>
    <cellStyle name="Hyperlink 11" xfId="14021" hidden="1"/>
    <cellStyle name="Hyperlink 11" xfId="13370" hidden="1"/>
    <cellStyle name="Hyperlink 11" xfId="16122" hidden="1"/>
    <cellStyle name="Hyperlink 11" xfId="17025" hidden="1"/>
    <cellStyle name="Hyperlink 11" xfId="15419" hidden="1"/>
    <cellStyle name="Hyperlink 11" xfId="17267" hidden="1"/>
    <cellStyle name="Hyperlink 11" xfId="18066" hidden="1"/>
    <cellStyle name="Hyperlink 11" xfId="18250" hidden="1"/>
    <cellStyle name="Hyperlink 11" xfId="19023" hidden="1"/>
    <cellStyle name="Hyperlink 11" xfId="19207" hidden="1"/>
    <cellStyle name="Hyperlink 11" xfId="19941" hidden="1"/>
    <cellStyle name="Hyperlink 11" xfId="20125" hidden="1"/>
    <cellStyle name="Hyperlink 11" xfId="20732" hidden="1"/>
    <cellStyle name="Hyperlink 11" xfId="21426" hidden="1"/>
    <cellStyle name="Hyperlink 11" xfId="21814" hidden="1"/>
    <cellStyle name="Hyperlink 11" xfId="13120" hidden="1"/>
    <cellStyle name="Hyperlink 11" xfId="12775" hidden="1"/>
    <cellStyle name="Hyperlink 11" xfId="23151" hidden="1"/>
    <cellStyle name="Hyperlink 11" xfId="23543" hidden="1"/>
    <cellStyle name="Hyperlink 11" xfId="24457" hidden="1"/>
    <cellStyle name="Hyperlink 11" xfId="23711" hidden="1"/>
    <cellStyle name="Hyperlink 11" xfId="23060" hidden="1"/>
    <cellStyle name="Hyperlink 11" xfId="25535" hidden="1"/>
    <cellStyle name="Hyperlink 11" xfId="26437" hidden="1"/>
    <cellStyle name="Hyperlink 11" xfId="24832" hidden="1"/>
    <cellStyle name="Hyperlink 11" xfId="26679" hidden="1"/>
    <cellStyle name="Hyperlink 11" xfId="27478" hidden="1"/>
    <cellStyle name="Hyperlink 11" xfId="27662" hidden="1"/>
    <cellStyle name="Hyperlink 11" xfId="28435" hidden="1"/>
    <cellStyle name="Hyperlink 11" xfId="28619" hidden="1"/>
    <cellStyle name="Hyperlink 11" xfId="29353" hidden="1"/>
    <cellStyle name="Hyperlink 11" xfId="29537" hidden="1"/>
    <cellStyle name="Hyperlink 11" xfId="30143" hidden="1"/>
    <cellStyle name="Hyperlink 11" xfId="30837" hidden="1"/>
    <cellStyle name="Hyperlink 11" xfId="31225"/>
    <cellStyle name="Hyperlink 11 2" xfId="1685"/>
    <cellStyle name="Hyperlink 11 3" xfId="1686"/>
    <cellStyle name="Hyperlink 11 9" xfId="32584"/>
    <cellStyle name="Hyperlink 11_AGL" xfId="32585"/>
    <cellStyle name="Hyperlink 110" xfId="448" hidden="1"/>
    <cellStyle name="Hyperlink 110" xfId="782" hidden="1"/>
    <cellStyle name="Hyperlink 110" xfId="2447" hidden="1"/>
    <cellStyle name="Hyperlink 110" xfId="2781" hidden="1"/>
    <cellStyle name="Hyperlink 110" xfId="2174" hidden="1"/>
    <cellStyle name="Hyperlink 110" xfId="4035" hidden="1"/>
    <cellStyle name="Hyperlink 110" xfId="5103" hidden="1"/>
    <cellStyle name="Hyperlink 110" xfId="4628" hidden="1"/>
    <cellStyle name="Hyperlink 110" xfId="6063" hidden="1"/>
    <cellStyle name="Hyperlink 110" xfId="5596" hidden="1"/>
    <cellStyle name="Hyperlink 110" xfId="7046" hidden="1"/>
    <cellStyle name="Hyperlink 110" xfId="6576" hidden="1"/>
    <cellStyle name="Hyperlink 110" xfId="8003" hidden="1"/>
    <cellStyle name="Hyperlink 110" xfId="7541" hidden="1"/>
    <cellStyle name="Hyperlink 110" xfId="8921" hidden="1"/>
    <cellStyle name="Hyperlink 110" xfId="8486" hidden="1"/>
    <cellStyle name="Hyperlink 110" xfId="9709" hidden="1"/>
    <cellStyle name="Hyperlink 110" xfId="8482" hidden="1"/>
    <cellStyle name="Hyperlink 110" xfId="10413" hidden="1"/>
    <cellStyle name="Hyperlink 110" xfId="10743" hidden="1"/>
    <cellStyle name="Hyperlink 110" xfId="11777" hidden="1"/>
    <cellStyle name="Hyperlink 110" xfId="12111" hidden="1"/>
    <cellStyle name="Hyperlink 110" xfId="13659" hidden="1"/>
    <cellStyle name="Hyperlink 110" xfId="13993" hidden="1"/>
    <cellStyle name="Hyperlink 110" xfId="13386" hidden="1"/>
    <cellStyle name="Hyperlink 110" xfId="15246" hidden="1"/>
    <cellStyle name="Hyperlink 110" xfId="16314" hidden="1"/>
    <cellStyle name="Hyperlink 110" xfId="15839" hidden="1"/>
    <cellStyle name="Hyperlink 110" xfId="17274" hidden="1"/>
    <cellStyle name="Hyperlink 110" xfId="16807" hidden="1"/>
    <cellStyle name="Hyperlink 110" xfId="18257" hidden="1"/>
    <cellStyle name="Hyperlink 110" xfId="17787" hidden="1"/>
    <cellStyle name="Hyperlink 110" xfId="19214" hidden="1"/>
    <cellStyle name="Hyperlink 110" xfId="18752" hidden="1"/>
    <cellStyle name="Hyperlink 110" xfId="20132" hidden="1"/>
    <cellStyle name="Hyperlink 110" xfId="19697" hidden="1"/>
    <cellStyle name="Hyperlink 110" xfId="20920" hidden="1"/>
    <cellStyle name="Hyperlink 110" xfId="19693" hidden="1"/>
    <cellStyle name="Hyperlink 110" xfId="21624" hidden="1"/>
    <cellStyle name="Hyperlink 110" xfId="21954" hidden="1"/>
    <cellStyle name="Hyperlink 110" xfId="11512" hidden="1"/>
    <cellStyle name="Hyperlink 110" xfId="22581" hidden="1"/>
    <cellStyle name="Hyperlink 110" xfId="23349" hidden="1"/>
    <cellStyle name="Hyperlink 110" xfId="23683" hidden="1"/>
    <cellStyle name="Hyperlink 110" xfId="23076" hidden="1"/>
    <cellStyle name="Hyperlink 110" xfId="24659" hidden="1"/>
    <cellStyle name="Hyperlink 110" xfId="25727" hidden="1"/>
    <cellStyle name="Hyperlink 110" xfId="25252" hidden="1"/>
    <cellStyle name="Hyperlink 110" xfId="26686" hidden="1"/>
    <cellStyle name="Hyperlink 110" xfId="26220" hidden="1"/>
    <cellStyle name="Hyperlink 110" xfId="27669" hidden="1"/>
    <cellStyle name="Hyperlink 110" xfId="27199" hidden="1"/>
    <cellStyle name="Hyperlink 110" xfId="28626" hidden="1"/>
    <cellStyle name="Hyperlink 110" xfId="28164" hidden="1"/>
    <cellStyle name="Hyperlink 110" xfId="29544" hidden="1"/>
    <cellStyle name="Hyperlink 110" xfId="29109" hidden="1"/>
    <cellStyle name="Hyperlink 110" xfId="30331" hidden="1"/>
    <cellStyle name="Hyperlink 110" xfId="29105" hidden="1"/>
    <cellStyle name="Hyperlink 110" xfId="31035" hidden="1"/>
    <cellStyle name="Hyperlink 110" xfId="31365"/>
    <cellStyle name="Hyperlink 110 2" xfId="1687"/>
    <cellStyle name="Hyperlink 110 3" xfId="1688"/>
    <cellStyle name="Hyperlink 110 9" xfId="32586"/>
    <cellStyle name="Hyperlink 110_AGL" xfId="32587"/>
    <cellStyle name="Hyperlink 111" xfId="450" hidden="1"/>
    <cellStyle name="Hyperlink 111" xfId="784" hidden="1"/>
    <cellStyle name="Hyperlink 111" xfId="2449" hidden="1"/>
    <cellStyle name="Hyperlink 111" xfId="2783" hidden="1"/>
    <cellStyle name="Hyperlink 111" xfId="2170" hidden="1"/>
    <cellStyle name="Hyperlink 111" xfId="4037" hidden="1"/>
    <cellStyle name="Hyperlink 111" xfId="5101" hidden="1"/>
    <cellStyle name="Hyperlink 111" xfId="4627" hidden="1"/>
    <cellStyle name="Hyperlink 111" xfId="6061" hidden="1"/>
    <cellStyle name="Hyperlink 111" xfId="4077" hidden="1"/>
    <cellStyle name="Hyperlink 111" xfId="7044" hidden="1"/>
    <cellStyle name="Hyperlink 111" xfId="6575" hidden="1"/>
    <cellStyle name="Hyperlink 111" xfId="8001" hidden="1"/>
    <cellStyle name="Hyperlink 111" xfId="7540" hidden="1"/>
    <cellStyle name="Hyperlink 111" xfId="8919" hidden="1"/>
    <cellStyle name="Hyperlink 111" xfId="8485" hidden="1"/>
    <cellStyle name="Hyperlink 111" xfId="9707" hidden="1"/>
    <cellStyle name="Hyperlink 111" xfId="9358" hidden="1"/>
    <cellStyle name="Hyperlink 111" xfId="10415" hidden="1"/>
    <cellStyle name="Hyperlink 111" xfId="10745" hidden="1"/>
    <cellStyle name="Hyperlink 111" xfId="11779" hidden="1"/>
    <cellStyle name="Hyperlink 111" xfId="12113" hidden="1"/>
    <cellStyle name="Hyperlink 111" xfId="13661" hidden="1"/>
    <cellStyle name="Hyperlink 111" xfId="13995" hidden="1"/>
    <cellStyle name="Hyperlink 111" xfId="13382" hidden="1"/>
    <cellStyle name="Hyperlink 111" xfId="15248" hidden="1"/>
    <cellStyle name="Hyperlink 111" xfId="16312" hidden="1"/>
    <cellStyle name="Hyperlink 111" xfId="15838" hidden="1"/>
    <cellStyle name="Hyperlink 111" xfId="17272" hidden="1"/>
    <cellStyle name="Hyperlink 111" xfId="15288" hidden="1"/>
    <cellStyle name="Hyperlink 111" xfId="18255" hidden="1"/>
    <cellStyle name="Hyperlink 111" xfId="17786" hidden="1"/>
    <cellStyle name="Hyperlink 111" xfId="19212" hidden="1"/>
    <cellStyle name="Hyperlink 111" xfId="18751" hidden="1"/>
    <cellStyle name="Hyperlink 111" xfId="20130" hidden="1"/>
    <cellStyle name="Hyperlink 111" xfId="19696" hidden="1"/>
    <cellStyle name="Hyperlink 111" xfId="20918" hidden="1"/>
    <cellStyle name="Hyperlink 111" xfId="20569" hidden="1"/>
    <cellStyle name="Hyperlink 111" xfId="21626" hidden="1"/>
    <cellStyle name="Hyperlink 111" xfId="21956" hidden="1"/>
    <cellStyle name="Hyperlink 111" xfId="11508" hidden="1"/>
    <cellStyle name="Hyperlink 111" xfId="22583" hidden="1"/>
    <cellStyle name="Hyperlink 111" xfId="23351" hidden="1"/>
    <cellStyle name="Hyperlink 111" xfId="23685" hidden="1"/>
    <cellStyle name="Hyperlink 111" xfId="23072" hidden="1"/>
    <cellStyle name="Hyperlink 111" xfId="24661" hidden="1"/>
    <cellStyle name="Hyperlink 111" xfId="25725" hidden="1"/>
    <cellStyle name="Hyperlink 111" xfId="25251" hidden="1"/>
    <cellStyle name="Hyperlink 111" xfId="26684" hidden="1"/>
    <cellStyle name="Hyperlink 111" xfId="24701" hidden="1"/>
    <cellStyle name="Hyperlink 111" xfId="27667" hidden="1"/>
    <cellStyle name="Hyperlink 111" xfId="27198" hidden="1"/>
    <cellStyle name="Hyperlink 111" xfId="28624" hidden="1"/>
    <cellStyle name="Hyperlink 111" xfId="28163" hidden="1"/>
    <cellStyle name="Hyperlink 111" xfId="29542" hidden="1"/>
    <cellStyle name="Hyperlink 111" xfId="29108" hidden="1"/>
    <cellStyle name="Hyperlink 111" xfId="30329" hidden="1"/>
    <cellStyle name="Hyperlink 111" xfId="29981" hidden="1"/>
    <cellStyle name="Hyperlink 111" xfId="31037" hidden="1"/>
    <cellStyle name="Hyperlink 111" xfId="31367"/>
    <cellStyle name="Hyperlink 111 2" xfId="1689"/>
    <cellStyle name="Hyperlink 111 3" xfId="1690"/>
    <cellStyle name="Hyperlink 111 9" xfId="32588"/>
    <cellStyle name="Hyperlink 111_AGL" xfId="32589"/>
    <cellStyle name="Hyperlink 112" xfId="1412"/>
    <cellStyle name="Hyperlink 113" xfId="1691"/>
    <cellStyle name="Hyperlink 114" xfId="1692"/>
    <cellStyle name="Hyperlink 115" xfId="1693"/>
    <cellStyle name="Hyperlink 116" xfId="1694"/>
    <cellStyle name="Hyperlink 117" xfId="1695"/>
    <cellStyle name="Hyperlink 118" xfId="1696"/>
    <cellStyle name="Hyperlink 119" xfId="1697"/>
    <cellStyle name="Hyperlink 12" xfId="252" hidden="1"/>
    <cellStyle name="Hyperlink 12" xfId="638" hidden="1"/>
    <cellStyle name="Hyperlink 12" xfId="2251" hidden="1"/>
    <cellStyle name="Hyperlink 12" xfId="2637" hidden="1"/>
    <cellStyle name="Hyperlink 12" xfId="3828" hidden="1"/>
    <cellStyle name="Hyperlink 12" xfId="2817" hidden="1"/>
    <cellStyle name="Hyperlink 12" xfId="4847" hidden="1"/>
    <cellStyle name="Hyperlink 12" xfId="4915" hidden="1"/>
    <cellStyle name="Hyperlink 12" xfId="5780" hidden="1"/>
    <cellStyle name="Hyperlink 12" xfId="4826" hidden="1"/>
    <cellStyle name="Hyperlink 12" xfId="6794" hidden="1"/>
    <cellStyle name="Hyperlink 12" xfId="6859" hidden="1"/>
    <cellStyle name="Hyperlink 12" xfId="7751" hidden="1"/>
    <cellStyle name="Hyperlink 12" xfId="7816" hidden="1"/>
    <cellStyle name="Hyperlink 12" xfId="8678" hidden="1"/>
    <cellStyle name="Hyperlink 12" xfId="8734" hidden="1"/>
    <cellStyle name="Hyperlink 12" xfId="9487" hidden="1"/>
    <cellStyle name="Hyperlink 12" xfId="9525" hidden="1"/>
    <cellStyle name="Hyperlink 12" xfId="10217" hidden="1"/>
    <cellStyle name="Hyperlink 12" xfId="10599" hidden="1"/>
    <cellStyle name="Hyperlink 12" xfId="11581" hidden="1"/>
    <cellStyle name="Hyperlink 12" xfId="11967" hidden="1"/>
    <cellStyle name="Hyperlink 12" xfId="13463" hidden="1"/>
    <cellStyle name="Hyperlink 12" xfId="13849" hidden="1"/>
    <cellStyle name="Hyperlink 12" xfId="15039" hidden="1"/>
    <cellStyle name="Hyperlink 12" xfId="14029" hidden="1"/>
    <cellStyle name="Hyperlink 12" xfId="16058" hidden="1"/>
    <cellStyle name="Hyperlink 12" xfId="16126" hidden="1"/>
    <cellStyle name="Hyperlink 12" xfId="16991" hidden="1"/>
    <cellStyle name="Hyperlink 12" xfId="16037" hidden="1"/>
    <cellStyle name="Hyperlink 12" xfId="18005" hidden="1"/>
    <cellStyle name="Hyperlink 12" xfId="18070" hidden="1"/>
    <cellStyle name="Hyperlink 12" xfId="18962" hidden="1"/>
    <cellStyle name="Hyperlink 12" xfId="19027" hidden="1"/>
    <cellStyle name="Hyperlink 12" xfId="19889" hidden="1"/>
    <cellStyle name="Hyperlink 12" xfId="19945" hidden="1"/>
    <cellStyle name="Hyperlink 12" xfId="20698" hidden="1"/>
    <cellStyle name="Hyperlink 12" xfId="20736" hidden="1"/>
    <cellStyle name="Hyperlink 12" xfId="21428" hidden="1"/>
    <cellStyle name="Hyperlink 12" xfId="21810" hidden="1"/>
    <cellStyle name="Hyperlink 12" xfId="13118" hidden="1"/>
    <cellStyle name="Hyperlink 12" xfId="12279" hidden="1"/>
    <cellStyle name="Hyperlink 12" xfId="23153" hidden="1"/>
    <cellStyle name="Hyperlink 12" xfId="23539" hidden="1"/>
    <cellStyle name="Hyperlink 12" xfId="24455" hidden="1"/>
    <cellStyle name="Hyperlink 12" xfId="23719" hidden="1"/>
    <cellStyle name="Hyperlink 12" xfId="25471" hidden="1"/>
    <cellStyle name="Hyperlink 12" xfId="25539" hidden="1"/>
    <cellStyle name="Hyperlink 12" xfId="26403" hidden="1"/>
    <cellStyle name="Hyperlink 12" xfId="25450" hidden="1"/>
    <cellStyle name="Hyperlink 12" xfId="27417" hidden="1"/>
    <cellStyle name="Hyperlink 12" xfId="27482" hidden="1"/>
    <cellStyle name="Hyperlink 12" xfId="28374" hidden="1"/>
    <cellStyle name="Hyperlink 12" xfId="28439" hidden="1"/>
    <cellStyle name="Hyperlink 12" xfId="29301" hidden="1"/>
    <cellStyle name="Hyperlink 12" xfId="29357" hidden="1"/>
    <cellStyle name="Hyperlink 12" xfId="30109" hidden="1"/>
    <cellStyle name="Hyperlink 12" xfId="30147" hidden="1"/>
    <cellStyle name="Hyperlink 12" xfId="30839" hidden="1"/>
    <cellStyle name="Hyperlink 12" xfId="31221"/>
    <cellStyle name="Hyperlink 12 2" xfId="1698"/>
    <cellStyle name="Hyperlink 12 3" xfId="1699"/>
    <cellStyle name="Hyperlink 12 9" xfId="32590"/>
    <cellStyle name="Hyperlink 12_AGL" xfId="32591"/>
    <cellStyle name="Hyperlink 120" xfId="1700"/>
    <cellStyle name="Hyperlink 121" xfId="1701"/>
    <cellStyle name="Hyperlink 122" xfId="1702"/>
    <cellStyle name="Hyperlink 123" xfId="1703"/>
    <cellStyle name="Hyperlink 124" xfId="1704"/>
    <cellStyle name="Hyperlink 125" xfId="1705"/>
    <cellStyle name="Hyperlink 126" xfId="1706"/>
    <cellStyle name="Hyperlink 127" xfId="1707"/>
    <cellStyle name="Hyperlink 128" xfId="1708"/>
    <cellStyle name="Hyperlink 129" xfId="1709"/>
    <cellStyle name="Hyperlink 13" xfId="254" hidden="1"/>
    <cellStyle name="Hyperlink 13" xfId="634" hidden="1"/>
    <cellStyle name="Hyperlink 13" xfId="2253" hidden="1"/>
    <cellStyle name="Hyperlink 13" xfId="2633" hidden="1"/>
    <cellStyle name="Hyperlink 13" xfId="3826" hidden="1"/>
    <cellStyle name="Hyperlink 13" xfId="3482" hidden="1"/>
    <cellStyle name="Hyperlink 13" xfId="4849" hidden="1"/>
    <cellStyle name="Hyperlink 13" xfId="4919" hidden="1"/>
    <cellStyle name="Hyperlink 13" xfId="5720" hidden="1"/>
    <cellStyle name="Hyperlink 13" xfId="5880" hidden="1"/>
    <cellStyle name="Hyperlink 13" xfId="6796" hidden="1"/>
    <cellStyle name="Hyperlink 13" xfId="6863" hidden="1"/>
    <cellStyle name="Hyperlink 13" xfId="7753" hidden="1"/>
    <cellStyle name="Hyperlink 13" xfId="7820" hidden="1"/>
    <cellStyle name="Hyperlink 13" xfId="8680" hidden="1"/>
    <cellStyle name="Hyperlink 13" xfId="8738" hidden="1"/>
    <cellStyle name="Hyperlink 13" xfId="9489" hidden="1"/>
    <cellStyle name="Hyperlink 13" xfId="9529" hidden="1"/>
    <cellStyle name="Hyperlink 13" xfId="10219" hidden="1"/>
    <cellStyle name="Hyperlink 13" xfId="10595" hidden="1"/>
    <cellStyle name="Hyperlink 13" xfId="11583" hidden="1"/>
    <cellStyle name="Hyperlink 13" xfId="11963" hidden="1"/>
    <cellStyle name="Hyperlink 13" xfId="13465" hidden="1"/>
    <cellStyle name="Hyperlink 13" xfId="13845" hidden="1"/>
    <cellStyle name="Hyperlink 13" xfId="15037" hidden="1"/>
    <cellStyle name="Hyperlink 13" xfId="14693" hidden="1"/>
    <cellStyle name="Hyperlink 13" xfId="16060" hidden="1"/>
    <cellStyle name="Hyperlink 13" xfId="16130" hidden="1"/>
    <cellStyle name="Hyperlink 13" xfId="16931" hidden="1"/>
    <cellStyle name="Hyperlink 13" xfId="17091" hidden="1"/>
    <cellStyle name="Hyperlink 13" xfId="18007" hidden="1"/>
    <cellStyle name="Hyperlink 13" xfId="18074" hidden="1"/>
    <cellStyle name="Hyperlink 13" xfId="18964" hidden="1"/>
    <cellStyle name="Hyperlink 13" xfId="19031" hidden="1"/>
    <cellStyle name="Hyperlink 13" xfId="19891" hidden="1"/>
    <cellStyle name="Hyperlink 13" xfId="19949" hidden="1"/>
    <cellStyle name="Hyperlink 13" xfId="20700" hidden="1"/>
    <cellStyle name="Hyperlink 13" xfId="20740" hidden="1"/>
    <cellStyle name="Hyperlink 13" xfId="21430" hidden="1"/>
    <cellStyle name="Hyperlink 13" xfId="21806" hidden="1"/>
    <cellStyle name="Hyperlink 13" xfId="13116" hidden="1"/>
    <cellStyle name="Hyperlink 13" xfId="12224" hidden="1"/>
    <cellStyle name="Hyperlink 13" xfId="23155" hidden="1"/>
    <cellStyle name="Hyperlink 13" xfId="23535" hidden="1"/>
    <cellStyle name="Hyperlink 13" xfId="24453" hidden="1"/>
    <cellStyle name="Hyperlink 13" xfId="24252" hidden="1"/>
    <cellStyle name="Hyperlink 13" xfId="25473" hidden="1"/>
    <cellStyle name="Hyperlink 13" xfId="25543" hidden="1"/>
    <cellStyle name="Hyperlink 13" xfId="26343" hidden="1"/>
    <cellStyle name="Hyperlink 13" xfId="26503" hidden="1"/>
    <cellStyle name="Hyperlink 13" xfId="27419" hidden="1"/>
    <cellStyle name="Hyperlink 13" xfId="27486" hidden="1"/>
    <cellStyle name="Hyperlink 13" xfId="28376" hidden="1"/>
    <cellStyle name="Hyperlink 13" xfId="28443" hidden="1"/>
    <cellStyle name="Hyperlink 13" xfId="29303" hidden="1"/>
    <cellStyle name="Hyperlink 13" xfId="29361" hidden="1"/>
    <cellStyle name="Hyperlink 13" xfId="30111" hidden="1"/>
    <cellStyle name="Hyperlink 13" xfId="30151" hidden="1"/>
    <cellStyle name="Hyperlink 13" xfId="30841" hidden="1"/>
    <cellStyle name="Hyperlink 13" xfId="31217"/>
    <cellStyle name="Hyperlink 13 2" xfId="1710"/>
    <cellStyle name="Hyperlink 13 3" xfId="1711"/>
    <cellStyle name="Hyperlink 13 9" xfId="32592"/>
    <cellStyle name="Hyperlink 13_AGL" xfId="32593"/>
    <cellStyle name="Hyperlink 130" xfId="1712"/>
    <cellStyle name="Hyperlink 131" xfId="1713"/>
    <cellStyle name="Hyperlink 132" xfId="1714"/>
    <cellStyle name="Hyperlink 133" xfId="1715"/>
    <cellStyle name="Hyperlink 134" xfId="1716"/>
    <cellStyle name="Hyperlink 135" xfId="1717"/>
    <cellStyle name="Hyperlink 136" xfId="1718"/>
    <cellStyle name="Hyperlink 137" xfId="1719"/>
    <cellStyle name="Hyperlink 138" xfId="1720"/>
    <cellStyle name="Hyperlink 139" xfId="1721"/>
    <cellStyle name="Hyperlink 14" xfId="256" hidden="1"/>
    <cellStyle name="Hyperlink 14" xfId="630" hidden="1"/>
    <cellStyle name="Hyperlink 14" xfId="2255" hidden="1"/>
    <cellStyle name="Hyperlink 14" xfId="2629" hidden="1"/>
    <cellStyle name="Hyperlink 14" xfId="3824" hidden="1"/>
    <cellStyle name="Hyperlink 14" xfId="3447" hidden="1"/>
    <cellStyle name="Hyperlink 14" xfId="4706" hidden="1"/>
    <cellStyle name="Hyperlink 14" xfId="4923" hidden="1"/>
    <cellStyle name="Hyperlink 14" xfId="5722" hidden="1"/>
    <cellStyle name="Hyperlink 14" xfId="5884" hidden="1"/>
    <cellStyle name="Hyperlink 14" xfId="6655" hidden="1"/>
    <cellStyle name="Hyperlink 14" xfId="6867" hidden="1"/>
    <cellStyle name="Hyperlink 14" xfId="7615" hidden="1"/>
    <cellStyle name="Hyperlink 14" xfId="7824" hidden="1"/>
    <cellStyle name="Hyperlink 14" xfId="8553" hidden="1"/>
    <cellStyle name="Hyperlink 14" xfId="8742" hidden="1"/>
    <cellStyle name="Hyperlink 14" xfId="9405" hidden="1"/>
    <cellStyle name="Hyperlink 14" xfId="9533" hidden="1"/>
    <cellStyle name="Hyperlink 14" xfId="10221" hidden="1"/>
    <cellStyle name="Hyperlink 14" xfId="10591" hidden="1"/>
    <cellStyle name="Hyperlink 14" xfId="11585" hidden="1"/>
    <cellStyle name="Hyperlink 14" xfId="11959" hidden="1"/>
    <cellStyle name="Hyperlink 14" xfId="13467" hidden="1"/>
    <cellStyle name="Hyperlink 14" xfId="13841" hidden="1"/>
    <cellStyle name="Hyperlink 14" xfId="15035" hidden="1"/>
    <cellStyle name="Hyperlink 14" xfId="14658" hidden="1"/>
    <cellStyle name="Hyperlink 14" xfId="15917" hidden="1"/>
    <cellStyle name="Hyperlink 14" xfId="16134" hidden="1"/>
    <cellStyle name="Hyperlink 14" xfId="16933" hidden="1"/>
    <cellStyle name="Hyperlink 14" xfId="17095" hidden="1"/>
    <cellStyle name="Hyperlink 14" xfId="17866" hidden="1"/>
    <cellStyle name="Hyperlink 14" xfId="18078" hidden="1"/>
    <cellStyle name="Hyperlink 14" xfId="18826" hidden="1"/>
    <cellStyle name="Hyperlink 14" xfId="19035" hidden="1"/>
    <cellStyle name="Hyperlink 14" xfId="19764" hidden="1"/>
    <cellStyle name="Hyperlink 14" xfId="19953" hidden="1"/>
    <cellStyle name="Hyperlink 14" xfId="20616" hidden="1"/>
    <cellStyle name="Hyperlink 14" xfId="20744" hidden="1"/>
    <cellStyle name="Hyperlink 14" xfId="21432" hidden="1"/>
    <cellStyle name="Hyperlink 14" xfId="21802" hidden="1"/>
    <cellStyle name="Hyperlink 14" xfId="13114" hidden="1"/>
    <cellStyle name="Hyperlink 14" xfId="12778" hidden="1"/>
    <cellStyle name="Hyperlink 14" xfId="23157" hidden="1"/>
    <cellStyle name="Hyperlink 14" xfId="23531" hidden="1"/>
    <cellStyle name="Hyperlink 14" xfId="24451" hidden="1"/>
    <cellStyle name="Hyperlink 14" xfId="24223" hidden="1"/>
    <cellStyle name="Hyperlink 14" xfId="25330" hidden="1"/>
    <cellStyle name="Hyperlink 14" xfId="25547" hidden="1"/>
    <cellStyle name="Hyperlink 14" xfId="26345" hidden="1"/>
    <cellStyle name="Hyperlink 14" xfId="26507" hidden="1"/>
    <cellStyle name="Hyperlink 14" xfId="27278" hidden="1"/>
    <cellStyle name="Hyperlink 14" xfId="27490" hidden="1"/>
    <cellStyle name="Hyperlink 14" xfId="28238" hidden="1"/>
    <cellStyle name="Hyperlink 14" xfId="28447" hidden="1"/>
    <cellStyle name="Hyperlink 14" xfId="29176" hidden="1"/>
    <cellStyle name="Hyperlink 14" xfId="29365" hidden="1"/>
    <cellStyle name="Hyperlink 14" xfId="30027" hidden="1"/>
    <cellStyle name="Hyperlink 14" xfId="30155" hidden="1"/>
    <cellStyle name="Hyperlink 14" xfId="30843" hidden="1"/>
    <cellStyle name="Hyperlink 14" xfId="31213"/>
    <cellStyle name="Hyperlink 14 2" xfId="1722"/>
    <cellStyle name="Hyperlink 14 3" xfId="1723"/>
    <cellStyle name="Hyperlink 14 9" xfId="32594"/>
    <cellStyle name="Hyperlink 14_AGL" xfId="32595"/>
    <cellStyle name="Hyperlink 140" xfId="1724"/>
    <cellStyle name="Hyperlink 141" xfId="1725"/>
    <cellStyle name="Hyperlink 142" xfId="1726"/>
    <cellStyle name="Hyperlink 143" xfId="1727"/>
    <cellStyle name="Hyperlink 144" xfId="1728"/>
    <cellStyle name="Hyperlink 145" xfId="1729"/>
    <cellStyle name="Hyperlink 146" xfId="1730"/>
    <cellStyle name="Hyperlink 147" xfId="1731"/>
    <cellStyle name="Hyperlink 148" xfId="1732"/>
    <cellStyle name="Hyperlink 149" xfId="1733"/>
    <cellStyle name="Hyperlink 15" xfId="258" hidden="1"/>
    <cellStyle name="Hyperlink 15" xfId="626" hidden="1"/>
    <cellStyle name="Hyperlink 15" xfId="2257" hidden="1"/>
    <cellStyle name="Hyperlink 15" xfId="2625" hidden="1"/>
    <cellStyle name="Hyperlink 15" xfId="3822" hidden="1"/>
    <cellStyle name="Hyperlink 15" xfId="2905" hidden="1"/>
    <cellStyle name="Hyperlink 15" xfId="4845" hidden="1"/>
    <cellStyle name="Hyperlink 15" xfId="4927" hidden="1"/>
    <cellStyle name="Hyperlink 15" xfId="5754" hidden="1"/>
    <cellStyle name="Hyperlink 15" xfId="5888" hidden="1"/>
    <cellStyle name="Hyperlink 15" xfId="6792" hidden="1"/>
    <cellStyle name="Hyperlink 15" xfId="6871" hidden="1"/>
    <cellStyle name="Hyperlink 15" xfId="7749" hidden="1"/>
    <cellStyle name="Hyperlink 15" xfId="7828" hidden="1"/>
    <cellStyle name="Hyperlink 15" xfId="8676" hidden="1"/>
    <cellStyle name="Hyperlink 15" xfId="8746" hidden="1"/>
    <cellStyle name="Hyperlink 15" xfId="9486" hidden="1"/>
    <cellStyle name="Hyperlink 15" xfId="9537" hidden="1"/>
    <cellStyle name="Hyperlink 15" xfId="10223" hidden="1"/>
    <cellStyle name="Hyperlink 15" xfId="10587" hidden="1"/>
    <cellStyle name="Hyperlink 15" xfId="11587" hidden="1"/>
    <cellStyle name="Hyperlink 15" xfId="11955" hidden="1"/>
    <cellStyle name="Hyperlink 15" xfId="13469" hidden="1"/>
    <cellStyle name="Hyperlink 15" xfId="13837" hidden="1"/>
    <cellStyle name="Hyperlink 15" xfId="15033" hidden="1"/>
    <cellStyle name="Hyperlink 15" xfId="14117" hidden="1"/>
    <cellStyle name="Hyperlink 15" xfId="16056" hidden="1"/>
    <cellStyle name="Hyperlink 15" xfId="16138" hidden="1"/>
    <cellStyle name="Hyperlink 15" xfId="16965" hidden="1"/>
    <cellStyle name="Hyperlink 15" xfId="17099" hidden="1"/>
    <cellStyle name="Hyperlink 15" xfId="18003" hidden="1"/>
    <cellStyle name="Hyperlink 15" xfId="18082" hidden="1"/>
    <cellStyle name="Hyperlink 15" xfId="18960" hidden="1"/>
    <cellStyle name="Hyperlink 15" xfId="19039" hidden="1"/>
    <cellStyle name="Hyperlink 15" xfId="19887" hidden="1"/>
    <cellStyle name="Hyperlink 15" xfId="19957" hidden="1"/>
    <cellStyle name="Hyperlink 15" xfId="20697" hidden="1"/>
    <cellStyle name="Hyperlink 15" xfId="20748" hidden="1"/>
    <cellStyle name="Hyperlink 15" xfId="21434" hidden="1"/>
    <cellStyle name="Hyperlink 15" xfId="21798" hidden="1"/>
    <cellStyle name="Hyperlink 15" xfId="13112" hidden="1"/>
    <cellStyle name="Hyperlink 15" xfId="12657" hidden="1"/>
    <cellStyle name="Hyperlink 15" xfId="23159" hidden="1"/>
    <cellStyle name="Hyperlink 15" xfId="23527" hidden="1"/>
    <cellStyle name="Hyperlink 15" xfId="24449" hidden="1"/>
    <cellStyle name="Hyperlink 15" xfId="23805" hidden="1"/>
    <cellStyle name="Hyperlink 15" xfId="25469" hidden="1"/>
    <cellStyle name="Hyperlink 15" xfId="25551" hidden="1"/>
    <cellStyle name="Hyperlink 15" xfId="26377" hidden="1"/>
    <cellStyle name="Hyperlink 15" xfId="26511" hidden="1"/>
    <cellStyle name="Hyperlink 15" xfId="27415" hidden="1"/>
    <cellStyle name="Hyperlink 15" xfId="27494" hidden="1"/>
    <cellStyle name="Hyperlink 15" xfId="28372" hidden="1"/>
    <cellStyle name="Hyperlink 15" xfId="28451" hidden="1"/>
    <cellStyle name="Hyperlink 15" xfId="29299" hidden="1"/>
    <cellStyle name="Hyperlink 15" xfId="29369" hidden="1"/>
    <cellStyle name="Hyperlink 15" xfId="30108" hidden="1"/>
    <cellStyle name="Hyperlink 15" xfId="30159" hidden="1"/>
    <cellStyle name="Hyperlink 15" xfId="30845" hidden="1"/>
    <cellStyle name="Hyperlink 15" xfId="31209"/>
    <cellStyle name="Hyperlink 15 2" xfId="1734"/>
    <cellStyle name="Hyperlink 15 3" xfId="1735"/>
    <cellStyle name="Hyperlink 15 9" xfId="32596"/>
    <cellStyle name="Hyperlink 15_AGL" xfId="32597"/>
    <cellStyle name="Hyperlink 150" xfId="1736"/>
    <cellStyle name="Hyperlink 151" xfId="1737"/>
    <cellStyle name="Hyperlink 152" xfId="1738"/>
    <cellStyle name="Hyperlink 153" xfId="1739"/>
    <cellStyle name="Hyperlink 154" xfId="1740"/>
    <cellStyle name="Hyperlink 155" xfId="1741"/>
    <cellStyle name="Hyperlink 156" xfId="1742"/>
    <cellStyle name="Hyperlink 157" xfId="1743"/>
    <cellStyle name="Hyperlink 158" xfId="1744"/>
    <cellStyle name="Hyperlink 159" xfId="1745"/>
    <cellStyle name="Hyperlink 16" xfId="260" hidden="1"/>
    <cellStyle name="Hyperlink 16" xfId="622" hidden="1"/>
    <cellStyle name="Hyperlink 16" xfId="2259" hidden="1"/>
    <cellStyle name="Hyperlink 16" xfId="2621" hidden="1"/>
    <cellStyle name="Hyperlink 16" xfId="3820" hidden="1"/>
    <cellStyle name="Hyperlink 16" xfId="3449" hidden="1"/>
    <cellStyle name="Hyperlink 16" xfId="4810" hidden="1"/>
    <cellStyle name="Hyperlink 16" xfId="4931" hidden="1"/>
    <cellStyle name="Hyperlink 16" xfId="5830" hidden="1"/>
    <cellStyle name="Hyperlink 16" xfId="5892" hidden="1"/>
    <cellStyle name="Hyperlink 16" xfId="6757" hidden="1"/>
    <cellStyle name="Hyperlink 16" xfId="6875" hidden="1"/>
    <cellStyle name="Hyperlink 16" xfId="7715" hidden="1"/>
    <cellStyle name="Hyperlink 16" xfId="7832" hidden="1"/>
    <cellStyle name="Hyperlink 16" xfId="8642" hidden="1"/>
    <cellStyle name="Hyperlink 16" xfId="8750" hidden="1"/>
    <cellStyle name="Hyperlink 16" xfId="9461" hidden="1"/>
    <cellStyle name="Hyperlink 16" xfId="9541" hidden="1"/>
    <cellStyle name="Hyperlink 16" xfId="10225" hidden="1"/>
    <cellStyle name="Hyperlink 16" xfId="10583" hidden="1"/>
    <cellStyle name="Hyperlink 16" xfId="11589" hidden="1"/>
    <cellStyle name="Hyperlink 16" xfId="11951" hidden="1"/>
    <cellStyle name="Hyperlink 16" xfId="13471" hidden="1"/>
    <cellStyle name="Hyperlink 16" xfId="13833" hidden="1"/>
    <cellStyle name="Hyperlink 16" xfId="15031" hidden="1"/>
    <cellStyle name="Hyperlink 16" xfId="14660" hidden="1"/>
    <cellStyle name="Hyperlink 16" xfId="16021" hidden="1"/>
    <cellStyle name="Hyperlink 16" xfId="16142" hidden="1"/>
    <cellStyle name="Hyperlink 16" xfId="17041" hidden="1"/>
    <cellStyle name="Hyperlink 16" xfId="17103" hidden="1"/>
    <cellStyle name="Hyperlink 16" xfId="17968" hidden="1"/>
    <cellStyle name="Hyperlink 16" xfId="18086" hidden="1"/>
    <cellStyle name="Hyperlink 16" xfId="18926" hidden="1"/>
    <cellStyle name="Hyperlink 16" xfId="19043" hidden="1"/>
    <cellStyle name="Hyperlink 16" xfId="19853" hidden="1"/>
    <cellStyle name="Hyperlink 16" xfId="19961" hidden="1"/>
    <cellStyle name="Hyperlink 16" xfId="20672" hidden="1"/>
    <cellStyle name="Hyperlink 16" xfId="20752" hidden="1"/>
    <cellStyle name="Hyperlink 16" xfId="21436" hidden="1"/>
    <cellStyle name="Hyperlink 16" xfId="21794" hidden="1"/>
    <cellStyle name="Hyperlink 16" xfId="13110" hidden="1"/>
    <cellStyle name="Hyperlink 16" xfId="12658" hidden="1"/>
    <cellStyle name="Hyperlink 16" xfId="23161" hidden="1"/>
    <cellStyle name="Hyperlink 16" xfId="23523" hidden="1"/>
    <cellStyle name="Hyperlink 16" xfId="24447" hidden="1"/>
    <cellStyle name="Hyperlink 16" xfId="24225" hidden="1"/>
    <cellStyle name="Hyperlink 16" xfId="25434" hidden="1"/>
    <cellStyle name="Hyperlink 16" xfId="25555" hidden="1"/>
    <cellStyle name="Hyperlink 16" xfId="26453" hidden="1"/>
    <cellStyle name="Hyperlink 16" xfId="26515" hidden="1"/>
    <cellStyle name="Hyperlink 16" xfId="27380" hidden="1"/>
    <cellStyle name="Hyperlink 16" xfId="27498" hidden="1"/>
    <cellStyle name="Hyperlink 16" xfId="28338" hidden="1"/>
    <cellStyle name="Hyperlink 16" xfId="28455" hidden="1"/>
    <cellStyle name="Hyperlink 16" xfId="29265" hidden="1"/>
    <cellStyle name="Hyperlink 16" xfId="29373" hidden="1"/>
    <cellStyle name="Hyperlink 16" xfId="30083" hidden="1"/>
    <cellStyle name="Hyperlink 16" xfId="30163" hidden="1"/>
    <cellStyle name="Hyperlink 16" xfId="30847" hidden="1"/>
    <cellStyle name="Hyperlink 16" xfId="31205"/>
    <cellStyle name="Hyperlink 16 2" xfId="1746"/>
    <cellStyle name="Hyperlink 16 3" xfId="1747"/>
    <cellStyle name="Hyperlink 16 9" xfId="32598"/>
    <cellStyle name="Hyperlink 16_AGL" xfId="32599"/>
    <cellStyle name="Hyperlink 160" xfId="1748"/>
    <cellStyle name="Hyperlink 161" xfId="1749"/>
    <cellStyle name="Hyperlink 162" xfId="1750"/>
    <cellStyle name="Hyperlink 163" xfId="1751"/>
    <cellStyle name="Hyperlink 164" xfId="1752"/>
    <cellStyle name="Hyperlink 165" xfId="1753"/>
    <cellStyle name="Hyperlink 166" xfId="1754"/>
    <cellStyle name="Hyperlink 167" xfId="1755"/>
    <cellStyle name="Hyperlink 168" xfId="1756"/>
    <cellStyle name="Hyperlink 169" xfId="1757"/>
    <cellStyle name="Hyperlink 17" xfId="262" hidden="1"/>
    <cellStyle name="Hyperlink 17" xfId="618" hidden="1"/>
    <cellStyle name="Hyperlink 17" xfId="2261" hidden="1"/>
    <cellStyle name="Hyperlink 17" xfId="2617" hidden="1"/>
    <cellStyle name="Hyperlink 17" xfId="3818" hidden="1"/>
    <cellStyle name="Hyperlink 17" xfId="2801" hidden="1"/>
    <cellStyle name="Hyperlink 17" xfId="4750" hidden="1"/>
    <cellStyle name="Hyperlink 17" xfId="4935" hidden="1"/>
    <cellStyle name="Hyperlink 17" xfId="5804" hidden="1"/>
    <cellStyle name="Hyperlink 17" xfId="5896" hidden="1"/>
    <cellStyle name="Hyperlink 17" xfId="6697" hidden="1"/>
    <cellStyle name="Hyperlink 17" xfId="6879" hidden="1"/>
    <cellStyle name="Hyperlink 17" xfId="7655" hidden="1"/>
    <cellStyle name="Hyperlink 17" xfId="7836" hidden="1"/>
    <cellStyle name="Hyperlink 17" xfId="8588" hidden="1"/>
    <cellStyle name="Hyperlink 17" xfId="8754" hidden="1"/>
    <cellStyle name="Hyperlink 17" xfId="9423" hidden="1"/>
    <cellStyle name="Hyperlink 17" xfId="9545" hidden="1"/>
    <cellStyle name="Hyperlink 17" xfId="10227" hidden="1"/>
    <cellStyle name="Hyperlink 17" xfId="10579" hidden="1"/>
    <cellStyle name="Hyperlink 17" xfId="11591" hidden="1"/>
    <cellStyle name="Hyperlink 17" xfId="11947" hidden="1"/>
    <cellStyle name="Hyperlink 17" xfId="13473" hidden="1"/>
    <cellStyle name="Hyperlink 17" xfId="13829" hidden="1"/>
    <cellStyle name="Hyperlink 17" xfId="15029" hidden="1"/>
    <cellStyle name="Hyperlink 17" xfId="14013" hidden="1"/>
    <cellStyle name="Hyperlink 17" xfId="15961" hidden="1"/>
    <cellStyle name="Hyperlink 17" xfId="16146" hidden="1"/>
    <cellStyle name="Hyperlink 17" xfId="17015" hidden="1"/>
    <cellStyle name="Hyperlink 17" xfId="17107" hidden="1"/>
    <cellStyle name="Hyperlink 17" xfId="17908" hidden="1"/>
    <cellStyle name="Hyperlink 17" xfId="18090" hidden="1"/>
    <cellStyle name="Hyperlink 17" xfId="18866" hidden="1"/>
    <cellStyle name="Hyperlink 17" xfId="19047" hidden="1"/>
    <cellStyle name="Hyperlink 17" xfId="19799" hidden="1"/>
    <cellStyle name="Hyperlink 17" xfId="19965" hidden="1"/>
    <cellStyle name="Hyperlink 17" xfId="20634" hidden="1"/>
    <cellStyle name="Hyperlink 17" xfId="20756" hidden="1"/>
    <cellStyle name="Hyperlink 17" xfId="21438" hidden="1"/>
    <cellStyle name="Hyperlink 17" xfId="21790" hidden="1"/>
    <cellStyle name="Hyperlink 17" xfId="13108" hidden="1"/>
    <cellStyle name="Hyperlink 17" xfId="11337" hidden="1"/>
    <cellStyle name="Hyperlink 17" xfId="23163" hidden="1"/>
    <cellStyle name="Hyperlink 17" xfId="23519" hidden="1"/>
    <cellStyle name="Hyperlink 17" xfId="24445" hidden="1"/>
    <cellStyle name="Hyperlink 17" xfId="23703" hidden="1"/>
    <cellStyle name="Hyperlink 17" xfId="25374" hidden="1"/>
    <cellStyle name="Hyperlink 17" xfId="25559" hidden="1"/>
    <cellStyle name="Hyperlink 17" xfId="26427" hidden="1"/>
    <cellStyle name="Hyperlink 17" xfId="26519" hidden="1"/>
    <cellStyle name="Hyperlink 17" xfId="27320" hidden="1"/>
    <cellStyle name="Hyperlink 17" xfId="27502" hidden="1"/>
    <cellStyle name="Hyperlink 17" xfId="28278" hidden="1"/>
    <cellStyle name="Hyperlink 17" xfId="28459" hidden="1"/>
    <cellStyle name="Hyperlink 17" xfId="29211" hidden="1"/>
    <cellStyle name="Hyperlink 17" xfId="29377" hidden="1"/>
    <cellStyle name="Hyperlink 17" xfId="30045" hidden="1"/>
    <cellStyle name="Hyperlink 17" xfId="30167" hidden="1"/>
    <cellStyle name="Hyperlink 17" xfId="30849" hidden="1"/>
    <cellStyle name="Hyperlink 17" xfId="31201"/>
    <cellStyle name="Hyperlink 17 2" xfId="1758"/>
    <cellStyle name="Hyperlink 17 3" xfId="1759"/>
    <cellStyle name="Hyperlink 17 9" xfId="32600"/>
    <cellStyle name="Hyperlink 17_AGL" xfId="32601"/>
    <cellStyle name="Hyperlink 170" xfId="1760"/>
    <cellStyle name="Hyperlink 171" xfId="1761"/>
    <cellStyle name="Hyperlink 172" xfId="1762"/>
    <cellStyle name="Hyperlink 173" xfId="1763"/>
    <cellStyle name="Hyperlink 174" xfId="1764"/>
    <cellStyle name="Hyperlink 175" xfId="1765"/>
    <cellStyle name="Hyperlink 176" xfId="1766"/>
    <cellStyle name="Hyperlink 177" xfId="1767"/>
    <cellStyle name="Hyperlink 178" xfId="1768"/>
    <cellStyle name="Hyperlink 179" xfId="1769"/>
    <cellStyle name="Hyperlink 18" xfId="264" hidden="1"/>
    <cellStyle name="Hyperlink 18" xfId="614" hidden="1"/>
    <cellStyle name="Hyperlink 18" xfId="2263" hidden="1"/>
    <cellStyle name="Hyperlink 18" xfId="2613" hidden="1"/>
    <cellStyle name="Hyperlink 18" xfId="3816" hidden="1"/>
    <cellStyle name="Hyperlink 18" xfId="2803" hidden="1"/>
    <cellStyle name="Hyperlink 18" xfId="4752" hidden="1"/>
    <cellStyle name="Hyperlink 18" xfId="4938" hidden="1"/>
    <cellStyle name="Hyperlink 18" xfId="5774" hidden="1"/>
    <cellStyle name="Hyperlink 18" xfId="5900" hidden="1"/>
    <cellStyle name="Hyperlink 18" xfId="6699" hidden="1"/>
    <cellStyle name="Hyperlink 18" xfId="6882" hidden="1"/>
    <cellStyle name="Hyperlink 18" xfId="7657" hidden="1"/>
    <cellStyle name="Hyperlink 18" xfId="7839" hidden="1"/>
    <cellStyle name="Hyperlink 18" xfId="8590" hidden="1"/>
    <cellStyle name="Hyperlink 18" xfId="8757" hidden="1"/>
    <cellStyle name="Hyperlink 18" xfId="9424" hidden="1"/>
    <cellStyle name="Hyperlink 18" xfId="9548" hidden="1"/>
    <cellStyle name="Hyperlink 18" xfId="10229" hidden="1"/>
    <cellStyle name="Hyperlink 18" xfId="10575" hidden="1"/>
    <cellStyle name="Hyperlink 18" xfId="11593" hidden="1"/>
    <cellStyle name="Hyperlink 18" xfId="11943" hidden="1"/>
    <cellStyle name="Hyperlink 18" xfId="13475" hidden="1"/>
    <cellStyle name="Hyperlink 18" xfId="13825" hidden="1"/>
    <cellStyle name="Hyperlink 18" xfId="15027" hidden="1"/>
    <cellStyle name="Hyperlink 18" xfId="14015" hidden="1"/>
    <cellStyle name="Hyperlink 18" xfId="15963" hidden="1"/>
    <cellStyle name="Hyperlink 18" xfId="16149" hidden="1"/>
    <cellStyle name="Hyperlink 18" xfId="16985" hidden="1"/>
    <cellStyle name="Hyperlink 18" xfId="17111" hidden="1"/>
    <cellStyle name="Hyperlink 18" xfId="17910" hidden="1"/>
    <cellStyle name="Hyperlink 18" xfId="18093" hidden="1"/>
    <cellStyle name="Hyperlink 18" xfId="18868" hidden="1"/>
    <cellStyle name="Hyperlink 18" xfId="19050" hidden="1"/>
    <cellStyle name="Hyperlink 18" xfId="19801" hidden="1"/>
    <cellStyle name="Hyperlink 18" xfId="19968" hidden="1"/>
    <cellStyle name="Hyperlink 18" xfId="20635" hidden="1"/>
    <cellStyle name="Hyperlink 18" xfId="20759" hidden="1"/>
    <cellStyle name="Hyperlink 18" xfId="21440" hidden="1"/>
    <cellStyle name="Hyperlink 18" xfId="21786" hidden="1"/>
    <cellStyle name="Hyperlink 18" xfId="13106" hidden="1"/>
    <cellStyle name="Hyperlink 18" xfId="12662" hidden="1"/>
    <cellStyle name="Hyperlink 18" xfId="23165" hidden="1"/>
    <cellStyle name="Hyperlink 18" xfId="23515" hidden="1"/>
    <cellStyle name="Hyperlink 18" xfId="24443" hidden="1"/>
    <cellStyle name="Hyperlink 18" xfId="23705" hidden="1"/>
    <cellStyle name="Hyperlink 18" xfId="25376" hidden="1"/>
    <cellStyle name="Hyperlink 18" xfId="25562" hidden="1"/>
    <cellStyle name="Hyperlink 18" xfId="26397" hidden="1"/>
    <cellStyle name="Hyperlink 18" xfId="26523" hidden="1"/>
    <cellStyle name="Hyperlink 18" xfId="27322" hidden="1"/>
    <cellStyle name="Hyperlink 18" xfId="27505" hidden="1"/>
    <cellStyle name="Hyperlink 18" xfId="28280" hidden="1"/>
    <cellStyle name="Hyperlink 18" xfId="28462" hidden="1"/>
    <cellStyle name="Hyperlink 18" xfId="29213" hidden="1"/>
    <cellStyle name="Hyperlink 18" xfId="29380" hidden="1"/>
    <cellStyle name="Hyperlink 18" xfId="30046" hidden="1"/>
    <cellStyle name="Hyperlink 18" xfId="30170" hidden="1"/>
    <cellStyle name="Hyperlink 18" xfId="30851" hidden="1"/>
    <cellStyle name="Hyperlink 18" xfId="31197"/>
    <cellStyle name="Hyperlink 18 2" xfId="1770"/>
    <cellStyle name="Hyperlink 18 3" xfId="1771"/>
    <cellStyle name="Hyperlink 18 9" xfId="32602"/>
    <cellStyle name="Hyperlink 18_AGL" xfId="32603"/>
    <cellStyle name="Hyperlink 180" xfId="1772"/>
    <cellStyle name="Hyperlink 181" xfId="1773"/>
    <cellStyle name="Hyperlink 182" xfId="1774"/>
    <cellStyle name="Hyperlink 183" xfId="1775"/>
    <cellStyle name="Hyperlink 184" xfId="1776"/>
    <cellStyle name="Hyperlink 185" xfId="1777"/>
    <cellStyle name="Hyperlink 186" xfId="1778"/>
    <cellStyle name="Hyperlink 187" xfId="1779"/>
    <cellStyle name="Hyperlink 188" xfId="1780"/>
    <cellStyle name="Hyperlink 189" xfId="1781"/>
    <cellStyle name="Hyperlink 19" xfId="266" hidden="1"/>
    <cellStyle name="Hyperlink 19" xfId="610" hidden="1"/>
    <cellStyle name="Hyperlink 19" xfId="2265" hidden="1"/>
    <cellStyle name="Hyperlink 19" xfId="2609" hidden="1"/>
    <cellStyle name="Hyperlink 19" xfId="3814" hidden="1"/>
    <cellStyle name="Hyperlink 19" xfId="3359" hidden="1"/>
    <cellStyle name="Hyperlink 19" xfId="4784" hidden="1"/>
    <cellStyle name="Hyperlink 19" xfId="4942" hidden="1"/>
    <cellStyle name="Hyperlink 19" xfId="5665" hidden="1"/>
    <cellStyle name="Hyperlink 19" xfId="5904" hidden="1"/>
    <cellStyle name="Hyperlink 19" xfId="6731" hidden="1"/>
    <cellStyle name="Hyperlink 19" xfId="6886" hidden="1"/>
    <cellStyle name="Hyperlink 19" xfId="7689" hidden="1"/>
    <cellStyle name="Hyperlink 19" xfId="7843" hidden="1"/>
    <cellStyle name="Hyperlink 19" xfId="8618" hidden="1"/>
    <cellStyle name="Hyperlink 19" xfId="8761" hidden="1"/>
    <cellStyle name="Hyperlink 19" xfId="9443" hidden="1"/>
    <cellStyle name="Hyperlink 19" xfId="9552" hidden="1"/>
    <cellStyle name="Hyperlink 19" xfId="10231" hidden="1"/>
    <cellStyle name="Hyperlink 19" xfId="10571" hidden="1"/>
    <cellStyle name="Hyperlink 19" xfId="11595" hidden="1"/>
    <cellStyle name="Hyperlink 19" xfId="11939" hidden="1"/>
    <cellStyle name="Hyperlink 19" xfId="13477" hidden="1"/>
    <cellStyle name="Hyperlink 19" xfId="13821" hidden="1"/>
    <cellStyle name="Hyperlink 19" xfId="15025" hidden="1"/>
    <cellStyle name="Hyperlink 19" xfId="14571" hidden="1"/>
    <cellStyle name="Hyperlink 19" xfId="15995" hidden="1"/>
    <cellStyle name="Hyperlink 19" xfId="16153" hidden="1"/>
    <cellStyle name="Hyperlink 19" xfId="16876" hidden="1"/>
    <cellStyle name="Hyperlink 19" xfId="17115" hidden="1"/>
    <cellStyle name="Hyperlink 19" xfId="17942" hidden="1"/>
    <cellStyle name="Hyperlink 19" xfId="18097" hidden="1"/>
    <cellStyle name="Hyperlink 19" xfId="18900" hidden="1"/>
    <cellStyle name="Hyperlink 19" xfId="19054" hidden="1"/>
    <cellStyle name="Hyperlink 19" xfId="19829" hidden="1"/>
    <cellStyle name="Hyperlink 19" xfId="19972" hidden="1"/>
    <cellStyle name="Hyperlink 19" xfId="20654" hidden="1"/>
    <cellStyle name="Hyperlink 19" xfId="20763" hidden="1"/>
    <cellStyle name="Hyperlink 19" xfId="21442" hidden="1"/>
    <cellStyle name="Hyperlink 19" xfId="21782" hidden="1"/>
    <cellStyle name="Hyperlink 19" xfId="13104" hidden="1"/>
    <cellStyle name="Hyperlink 19" xfId="12666" hidden="1"/>
    <cellStyle name="Hyperlink 19" xfId="23167" hidden="1"/>
    <cellStyle name="Hyperlink 19" xfId="23511" hidden="1"/>
    <cellStyle name="Hyperlink 19" xfId="24441" hidden="1"/>
    <cellStyle name="Hyperlink 19" xfId="24178" hidden="1"/>
    <cellStyle name="Hyperlink 19" xfId="25408" hidden="1"/>
    <cellStyle name="Hyperlink 19" xfId="25566" hidden="1"/>
    <cellStyle name="Hyperlink 19" xfId="26288" hidden="1"/>
    <cellStyle name="Hyperlink 19" xfId="26527" hidden="1"/>
    <cellStyle name="Hyperlink 19" xfId="27354" hidden="1"/>
    <cellStyle name="Hyperlink 19" xfId="27509" hidden="1"/>
    <cellStyle name="Hyperlink 19" xfId="28312" hidden="1"/>
    <cellStyle name="Hyperlink 19" xfId="28466" hidden="1"/>
    <cellStyle name="Hyperlink 19" xfId="29241" hidden="1"/>
    <cellStyle name="Hyperlink 19" xfId="29384" hidden="1"/>
    <cellStyle name="Hyperlink 19" xfId="30065" hidden="1"/>
    <cellStyle name="Hyperlink 19" xfId="30174" hidden="1"/>
    <cellStyle name="Hyperlink 19" xfId="30853" hidden="1"/>
    <cellStyle name="Hyperlink 19" xfId="31193"/>
    <cellStyle name="Hyperlink 19 2" xfId="1782"/>
    <cellStyle name="Hyperlink 19 3" xfId="1783"/>
    <cellStyle name="Hyperlink 19 9" xfId="32604"/>
    <cellStyle name="Hyperlink 19_AGL" xfId="32605"/>
    <cellStyle name="Hyperlink 190" xfId="1784"/>
    <cellStyle name="Hyperlink 191" xfId="1785"/>
    <cellStyle name="Hyperlink 192" xfId="1786"/>
    <cellStyle name="Hyperlink 193" xfId="1787"/>
    <cellStyle name="Hyperlink 194" xfId="1788"/>
    <cellStyle name="Hyperlink 195" xfId="1789"/>
    <cellStyle name="Hyperlink 196" xfId="1790"/>
    <cellStyle name="Hyperlink 197" xfId="1791"/>
    <cellStyle name="Hyperlink 198" xfId="1792"/>
    <cellStyle name="Hyperlink 199" xfId="1793"/>
    <cellStyle name="Hyperlink 2" xfId="230" hidden="1"/>
    <cellStyle name="Hyperlink 2" xfId="453" hidden="1"/>
    <cellStyle name="Hyperlink 2" xfId="680" hidden="1"/>
    <cellStyle name="Hyperlink 2" xfId="786" hidden="1"/>
    <cellStyle name="Hyperlink 2" xfId="2229" hidden="1"/>
    <cellStyle name="Hyperlink 2" xfId="2452" hidden="1"/>
    <cellStyle name="Hyperlink 2" xfId="2679" hidden="1"/>
    <cellStyle name="Hyperlink 2" xfId="2785" hidden="1"/>
    <cellStyle name="Hyperlink 2" xfId="3850" hidden="1"/>
    <cellStyle name="Hyperlink 2" xfId="2164" hidden="1"/>
    <cellStyle name="Hyperlink 2" xfId="2838" hidden="1"/>
    <cellStyle name="Hyperlink 2" xfId="4039" hidden="1"/>
    <cellStyle name="Hyperlink 2" xfId="2162" hidden="1"/>
    <cellStyle name="Hyperlink 2" xfId="5098" hidden="1"/>
    <cellStyle name="Hyperlink 2" xfId="3923" hidden="1"/>
    <cellStyle name="Hyperlink 2" xfId="4625" hidden="1"/>
    <cellStyle name="Hyperlink 2" xfId="5828" hidden="1"/>
    <cellStyle name="Hyperlink 2" xfId="6058" hidden="1"/>
    <cellStyle name="Hyperlink 2" xfId="4193" hidden="1"/>
    <cellStyle name="Hyperlink 2" xfId="5709" hidden="1"/>
    <cellStyle name="Hyperlink 2" xfId="6057" hidden="1"/>
    <cellStyle name="Hyperlink 2" xfId="7041" hidden="1"/>
    <cellStyle name="Hyperlink 2" xfId="4895" hidden="1"/>
    <cellStyle name="Hyperlink 2" xfId="6573" hidden="1"/>
    <cellStyle name="Hyperlink 2" xfId="7040" hidden="1"/>
    <cellStyle name="Hyperlink 2" xfId="7998" hidden="1"/>
    <cellStyle name="Hyperlink 2" xfId="6506" hidden="1"/>
    <cellStyle name="Hyperlink 2" xfId="7538" hidden="1"/>
    <cellStyle name="Hyperlink 2" xfId="7997" hidden="1"/>
    <cellStyle name="Hyperlink 2" xfId="8916" hidden="1"/>
    <cellStyle name="Hyperlink 2" xfId="7472" hidden="1"/>
    <cellStyle name="Hyperlink 2" xfId="8483" hidden="1"/>
    <cellStyle name="Hyperlink 2" xfId="8915" hidden="1"/>
    <cellStyle name="Hyperlink 2" xfId="9705" hidden="1"/>
    <cellStyle name="Hyperlink 2" xfId="8421" hidden="1"/>
    <cellStyle name="Hyperlink 2" xfId="9356" hidden="1"/>
    <cellStyle name="Hyperlink 2" xfId="10196" hidden="1"/>
    <cellStyle name="Hyperlink 2" xfId="10417" hidden="1"/>
    <cellStyle name="Hyperlink 2" xfId="10641" hidden="1"/>
    <cellStyle name="Hyperlink 2" xfId="10747" hidden="1"/>
    <cellStyle name="Hyperlink 2" xfId="11559" hidden="1"/>
    <cellStyle name="Hyperlink 2" xfId="11782" hidden="1"/>
    <cellStyle name="Hyperlink 2" xfId="12009" hidden="1"/>
    <cellStyle name="Hyperlink 2" xfId="12115" hidden="1"/>
    <cellStyle name="Hyperlink 2" xfId="13441" hidden="1"/>
    <cellStyle name="Hyperlink 2" xfId="13664" hidden="1"/>
    <cellStyle name="Hyperlink 2" xfId="13891" hidden="1"/>
    <cellStyle name="Hyperlink 2" xfId="13997" hidden="1"/>
    <cellStyle name="Hyperlink 2" xfId="15061" hidden="1"/>
    <cellStyle name="Hyperlink 2" xfId="13376" hidden="1"/>
    <cellStyle name="Hyperlink 2" xfId="14050" hidden="1"/>
    <cellStyle name="Hyperlink 2" xfId="15250" hidden="1"/>
    <cellStyle name="Hyperlink 2" xfId="13374" hidden="1"/>
    <cellStyle name="Hyperlink 2" xfId="16309" hidden="1"/>
    <cellStyle name="Hyperlink 2" xfId="15134" hidden="1"/>
    <cellStyle name="Hyperlink 2" xfId="15836" hidden="1"/>
    <cellStyle name="Hyperlink 2" xfId="17039" hidden="1"/>
    <cellStyle name="Hyperlink 2" xfId="17269" hidden="1"/>
    <cellStyle name="Hyperlink 2" xfId="15404" hidden="1"/>
    <cellStyle name="Hyperlink 2" xfId="16920" hidden="1"/>
    <cellStyle name="Hyperlink 2" xfId="17268" hidden="1"/>
    <cellStyle name="Hyperlink 2" xfId="18252" hidden="1"/>
    <cellStyle name="Hyperlink 2" xfId="16106" hidden="1"/>
    <cellStyle name="Hyperlink 2" xfId="17784" hidden="1"/>
    <cellStyle name="Hyperlink 2" xfId="18251" hidden="1"/>
    <cellStyle name="Hyperlink 2" xfId="19209" hidden="1"/>
    <cellStyle name="Hyperlink 2" xfId="17717" hidden="1"/>
    <cellStyle name="Hyperlink 2" xfId="18749" hidden="1"/>
    <cellStyle name="Hyperlink 2" xfId="19208" hidden="1"/>
    <cellStyle name="Hyperlink 2" xfId="20127" hidden="1"/>
    <cellStyle name="Hyperlink 2" xfId="18683" hidden="1"/>
    <cellStyle name="Hyperlink 2" xfId="19694" hidden="1"/>
    <cellStyle name="Hyperlink 2" xfId="20126" hidden="1"/>
    <cellStyle name="Hyperlink 2" xfId="20916" hidden="1"/>
    <cellStyle name="Hyperlink 2" xfId="19632" hidden="1"/>
    <cellStyle name="Hyperlink 2" xfId="20567" hidden="1"/>
    <cellStyle name="Hyperlink 2" xfId="21407" hidden="1"/>
    <cellStyle name="Hyperlink 2" xfId="21628" hidden="1"/>
    <cellStyle name="Hyperlink 2" xfId="21852" hidden="1"/>
    <cellStyle name="Hyperlink 2" xfId="21958" hidden="1"/>
    <cellStyle name="Hyperlink 2" xfId="13139" hidden="1"/>
    <cellStyle name="Hyperlink 2" xfId="11503" hidden="1"/>
    <cellStyle name="Hyperlink 2" xfId="12160" hidden="1"/>
    <cellStyle name="Hyperlink 2" xfId="22585" hidden="1"/>
    <cellStyle name="Hyperlink 2" xfId="23131" hidden="1"/>
    <cellStyle name="Hyperlink 2" xfId="23354" hidden="1"/>
    <cellStyle name="Hyperlink 2" xfId="23581" hidden="1"/>
    <cellStyle name="Hyperlink 2" xfId="23687" hidden="1"/>
    <cellStyle name="Hyperlink 2" xfId="24477" hidden="1"/>
    <cellStyle name="Hyperlink 2" xfId="23066" hidden="1"/>
    <cellStyle name="Hyperlink 2" xfId="23740" hidden="1"/>
    <cellStyle name="Hyperlink 2" xfId="24663" hidden="1"/>
    <cellStyle name="Hyperlink 2" xfId="23064" hidden="1"/>
    <cellStyle name="Hyperlink 2" xfId="25722" hidden="1"/>
    <cellStyle name="Hyperlink 2" xfId="24550" hidden="1"/>
    <cellStyle name="Hyperlink 2" xfId="25249" hidden="1"/>
    <cellStyle name="Hyperlink 2" xfId="26451" hidden="1"/>
    <cellStyle name="Hyperlink 2" xfId="26681" hidden="1"/>
    <cellStyle name="Hyperlink 2" xfId="24817" hidden="1"/>
    <cellStyle name="Hyperlink 2" xfId="26332" hidden="1"/>
    <cellStyle name="Hyperlink 2" xfId="26680" hidden="1"/>
    <cellStyle name="Hyperlink 2" xfId="27664" hidden="1"/>
    <cellStyle name="Hyperlink 2" xfId="25519" hidden="1"/>
    <cellStyle name="Hyperlink 2" xfId="27196" hidden="1"/>
    <cellStyle name="Hyperlink 2" xfId="27663" hidden="1"/>
    <cellStyle name="Hyperlink 2" xfId="28621" hidden="1"/>
    <cellStyle name="Hyperlink 2" xfId="27129" hidden="1"/>
    <cellStyle name="Hyperlink 2" xfId="28161" hidden="1"/>
    <cellStyle name="Hyperlink 2" xfId="28620" hidden="1"/>
    <cellStyle name="Hyperlink 2" xfId="29539" hidden="1"/>
    <cellStyle name="Hyperlink 2" xfId="28095" hidden="1"/>
    <cellStyle name="Hyperlink 2" xfId="29106" hidden="1"/>
    <cellStyle name="Hyperlink 2" xfId="29538" hidden="1"/>
    <cellStyle name="Hyperlink 2" xfId="30327" hidden="1"/>
    <cellStyle name="Hyperlink 2" xfId="29044" hidden="1"/>
    <cellStyle name="Hyperlink 2" xfId="29979" hidden="1"/>
    <cellStyle name="Hyperlink 2" xfId="30818" hidden="1"/>
    <cellStyle name="Hyperlink 2" xfId="31039" hidden="1"/>
    <cellStyle name="Hyperlink 2" xfId="31263" hidden="1"/>
    <cellStyle name="Hyperlink 2" xfId="31369"/>
    <cellStyle name="Hyperlink 2 2" xfId="929"/>
    <cellStyle name="Hyperlink 2 2 2" xfId="32606"/>
    <cellStyle name="Hyperlink 2 2 3" xfId="33210"/>
    <cellStyle name="Hyperlink 2 2_AGL" xfId="32607"/>
    <cellStyle name="Hyperlink 2 20" xfId="33211"/>
    <cellStyle name="Hyperlink 2 21" xfId="33212"/>
    <cellStyle name="Hyperlink 2 22" xfId="33213"/>
    <cellStyle name="Hyperlink 2 23" xfId="33214"/>
    <cellStyle name="Hyperlink 2 24" xfId="33215"/>
    <cellStyle name="Hyperlink 2 25" xfId="33216"/>
    <cellStyle name="Hyperlink 2 26" xfId="33217"/>
    <cellStyle name="Hyperlink 2 27" xfId="33218"/>
    <cellStyle name="Hyperlink 2 28" xfId="33219"/>
    <cellStyle name="Hyperlink 2 3" xfId="1794"/>
    <cellStyle name="Hyperlink 2 4" xfId="1795"/>
    <cellStyle name="Hyperlink 2 5" xfId="1796"/>
    <cellStyle name="Hyperlink 2 6" xfId="33220"/>
    <cellStyle name="Hyperlink 2 7" xfId="33221"/>
    <cellStyle name="Hyperlink 2 8" xfId="33222"/>
    <cellStyle name="Hyperlink 2 9" xfId="32608"/>
    <cellStyle name="Hyperlink 2_AGL" xfId="32609"/>
    <cellStyle name="Hyperlink 20" xfId="268" hidden="1"/>
    <cellStyle name="Hyperlink 20" xfId="606" hidden="1"/>
    <cellStyle name="Hyperlink 20" xfId="2267" hidden="1"/>
    <cellStyle name="Hyperlink 20" xfId="2605" hidden="1"/>
    <cellStyle name="Hyperlink 20" xfId="3812" hidden="1"/>
    <cellStyle name="Hyperlink 20" xfId="3363" hidden="1"/>
    <cellStyle name="Hyperlink 20" xfId="4861" hidden="1"/>
    <cellStyle name="Hyperlink 20" xfId="4946" hidden="1"/>
    <cellStyle name="Hyperlink 20" xfId="5577" hidden="1"/>
    <cellStyle name="Hyperlink 20" xfId="5907" hidden="1"/>
    <cellStyle name="Hyperlink 20" xfId="6807" hidden="1"/>
    <cellStyle name="Hyperlink 20" xfId="6890" hidden="1"/>
    <cellStyle name="Hyperlink 20" xfId="7764" hidden="1"/>
    <cellStyle name="Hyperlink 20" xfId="7847" hidden="1"/>
    <cellStyle name="Hyperlink 20" xfId="8691" hidden="1"/>
    <cellStyle name="Hyperlink 20" xfId="8765" hidden="1"/>
    <cellStyle name="Hyperlink 20" xfId="9499" hidden="1"/>
    <cellStyle name="Hyperlink 20" xfId="9556" hidden="1"/>
    <cellStyle name="Hyperlink 20" xfId="10233" hidden="1"/>
    <cellStyle name="Hyperlink 20" xfId="10567" hidden="1"/>
    <cellStyle name="Hyperlink 20" xfId="11597" hidden="1"/>
    <cellStyle name="Hyperlink 20" xfId="11935" hidden="1"/>
    <cellStyle name="Hyperlink 20" xfId="13479" hidden="1"/>
    <cellStyle name="Hyperlink 20" xfId="13817" hidden="1"/>
    <cellStyle name="Hyperlink 20" xfId="15023" hidden="1"/>
    <cellStyle name="Hyperlink 20" xfId="14575" hidden="1"/>
    <cellStyle name="Hyperlink 20" xfId="16072" hidden="1"/>
    <cellStyle name="Hyperlink 20" xfId="16157" hidden="1"/>
    <cellStyle name="Hyperlink 20" xfId="16788" hidden="1"/>
    <cellStyle name="Hyperlink 20" xfId="17118" hidden="1"/>
    <cellStyle name="Hyperlink 20" xfId="18018" hidden="1"/>
    <cellStyle name="Hyperlink 20" xfId="18101" hidden="1"/>
    <cellStyle name="Hyperlink 20" xfId="18975" hidden="1"/>
    <cellStyle name="Hyperlink 20" xfId="19058" hidden="1"/>
    <cellStyle name="Hyperlink 20" xfId="19902" hidden="1"/>
    <cellStyle name="Hyperlink 20" xfId="19976" hidden="1"/>
    <cellStyle name="Hyperlink 20" xfId="20710" hidden="1"/>
    <cellStyle name="Hyperlink 20" xfId="20767" hidden="1"/>
    <cellStyle name="Hyperlink 20" xfId="21444" hidden="1"/>
    <cellStyle name="Hyperlink 20" xfId="21778" hidden="1"/>
    <cellStyle name="Hyperlink 20" xfId="13102" hidden="1"/>
    <cellStyle name="Hyperlink 20" xfId="11784" hidden="1"/>
    <cellStyle name="Hyperlink 20" xfId="23169" hidden="1"/>
    <cellStyle name="Hyperlink 20" xfId="23507" hidden="1"/>
    <cellStyle name="Hyperlink 20" xfId="24439" hidden="1"/>
    <cellStyle name="Hyperlink 20" xfId="24182" hidden="1"/>
    <cellStyle name="Hyperlink 20" xfId="25485" hidden="1"/>
    <cellStyle name="Hyperlink 20" xfId="25570" hidden="1"/>
    <cellStyle name="Hyperlink 20" xfId="26201" hidden="1"/>
    <cellStyle name="Hyperlink 20" xfId="26530" hidden="1"/>
    <cellStyle name="Hyperlink 20" xfId="27430" hidden="1"/>
    <cellStyle name="Hyperlink 20" xfId="27513" hidden="1"/>
    <cellStyle name="Hyperlink 20" xfId="28387" hidden="1"/>
    <cellStyle name="Hyperlink 20" xfId="28470" hidden="1"/>
    <cellStyle name="Hyperlink 20" xfId="29314" hidden="1"/>
    <cellStyle name="Hyperlink 20" xfId="29388" hidden="1"/>
    <cellStyle name="Hyperlink 20" xfId="30121" hidden="1"/>
    <cellStyle name="Hyperlink 20" xfId="30178" hidden="1"/>
    <cellStyle name="Hyperlink 20" xfId="30855" hidden="1"/>
    <cellStyle name="Hyperlink 20" xfId="31189"/>
    <cellStyle name="Hyperlink 20 2" xfId="1797"/>
    <cellStyle name="Hyperlink 20 3" xfId="1798"/>
    <cellStyle name="Hyperlink 20 9" xfId="32610"/>
    <cellStyle name="Hyperlink 20_AGL" xfId="32611"/>
    <cellStyle name="Hyperlink 200" xfId="1799"/>
    <cellStyle name="Hyperlink 201" xfId="1800"/>
    <cellStyle name="Hyperlink 202" xfId="1801"/>
    <cellStyle name="Hyperlink 203" xfId="1802"/>
    <cellStyle name="Hyperlink 204" xfId="1803"/>
    <cellStyle name="Hyperlink 205" xfId="1804"/>
    <cellStyle name="Hyperlink 206" xfId="1805"/>
    <cellStyle name="Hyperlink 207" xfId="1806"/>
    <cellStyle name="Hyperlink 208" xfId="1807"/>
    <cellStyle name="Hyperlink 209" xfId="1808"/>
    <cellStyle name="Hyperlink 21" xfId="270" hidden="1"/>
    <cellStyle name="Hyperlink 21" xfId="602" hidden="1"/>
    <cellStyle name="Hyperlink 21" xfId="2269" hidden="1"/>
    <cellStyle name="Hyperlink 21" xfId="2601" hidden="1"/>
    <cellStyle name="Hyperlink 21" xfId="3810" hidden="1"/>
    <cellStyle name="Hyperlink 21" xfId="3487" hidden="1"/>
    <cellStyle name="Hyperlink 21" xfId="4834" hidden="1"/>
    <cellStyle name="Hyperlink 21" xfId="4950" hidden="1"/>
    <cellStyle name="Hyperlink 21" xfId="5807" hidden="1"/>
    <cellStyle name="Hyperlink 21" xfId="5911" hidden="1"/>
    <cellStyle name="Hyperlink 21" xfId="6781" hidden="1"/>
    <cellStyle name="Hyperlink 21" xfId="6894" hidden="1"/>
    <cellStyle name="Hyperlink 21" xfId="7738" hidden="1"/>
    <cellStyle name="Hyperlink 21" xfId="7851" hidden="1"/>
    <cellStyle name="Hyperlink 21" xfId="8665" hidden="1"/>
    <cellStyle name="Hyperlink 21" xfId="8769" hidden="1"/>
    <cellStyle name="Hyperlink 21" xfId="9478" hidden="1"/>
    <cellStyle name="Hyperlink 21" xfId="9560" hidden="1"/>
    <cellStyle name="Hyperlink 21" xfId="10235" hidden="1"/>
    <cellStyle name="Hyperlink 21" xfId="10563" hidden="1"/>
    <cellStyle name="Hyperlink 21" xfId="11599" hidden="1"/>
    <cellStyle name="Hyperlink 21" xfId="11931" hidden="1"/>
    <cellStyle name="Hyperlink 21" xfId="13481" hidden="1"/>
    <cellStyle name="Hyperlink 21" xfId="13813" hidden="1"/>
    <cellStyle name="Hyperlink 21" xfId="15021" hidden="1"/>
    <cellStyle name="Hyperlink 21" xfId="14698" hidden="1"/>
    <cellStyle name="Hyperlink 21" xfId="16045" hidden="1"/>
    <cellStyle name="Hyperlink 21" xfId="16161" hidden="1"/>
    <cellStyle name="Hyperlink 21" xfId="17018" hidden="1"/>
    <cellStyle name="Hyperlink 21" xfId="17122" hidden="1"/>
    <cellStyle name="Hyperlink 21" xfId="17992" hidden="1"/>
    <cellStyle name="Hyperlink 21" xfId="18105" hidden="1"/>
    <cellStyle name="Hyperlink 21" xfId="18949" hidden="1"/>
    <cellStyle name="Hyperlink 21" xfId="19062" hidden="1"/>
    <cellStyle name="Hyperlink 21" xfId="19876" hidden="1"/>
    <cellStyle name="Hyperlink 21" xfId="19980" hidden="1"/>
    <cellStyle name="Hyperlink 21" xfId="20689" hidden="1"/>
    <cellStyle name="Hyperlink 21" xfId="20771" hidden="1"/>
    <cellStyle name="Hyperlink 21" xfId="21446" hidden="1"/>
    <cellStyle name="Hyperlink 21" xfId="21774" hidden="1"/>
    <cellStyle name="Hyperlink 21" xfId="13100" hidden="1"/>
    <cellStyle name="Hyperlink 21" xfId="12264" hidden="1"/>
    <cellStyle name="Hyperlink 21" xfId="23171" hidden="1"/>
    <cellStyle name="Hyperlink 21" xfId="23503" hidden="1"/>
    <cellStyle name="Hyperlink 21" xfId="24437" hidden="1"/>
    <cellStyle name="Hyperlink 21" xfId="24257" hidden="1"/>
    <cellStyle name="Hyperlink 21" xfId="25458" hidden="1"/>
    <cellStyle name="Hyperlink 21" xfId="25574" hidden="1"/>
    <cellStyle name="Hyperlink 21" xfId="26430" hidden="1"/>
    <cellStyle name="Hyperlink 21" xfId="26534" hidden="1"/>
    <cellStyle name="Hyperlink 21" xfId="27404" hidden="1"/>
    <cellStyle name="Hyperlink 21" xfId="27517" hidden="1"/>
    <cellStyle name="Hyperlink 21" xfId="28361" hidden="1"/>
    <cellStyle name="Hyperlink 21" xfId="28474" hidden="1"/>
    <cellStyle name="Hyperlink 21" xfId="29288" hidden="1"/>
    <cellStyle name="Hyperlink 21" xfId="29392" hidden="1"/>
    <cellStyle name="Hyperlink 21" xfId="30100" hidden="1"/>
    <cellStyle name="Hyperlink 21" xfId="30182" hidden="1"/>
    <cellStyle name="Hyperlink 21" xfId="30857" hidden="1"/>
    <cellStyle name="Hyperlink 21" xfId="31185"/>
    <cellStyle name="Hyperlink 21 2" xfId="1809"/>
    <cellStyle name="Hyperlink 21 3" xfId="1810"/>
    <cellStyle name="Hyperlink 21 9" xfId="32612"/>
    <cellStyle name="Hyperlink 21_AGL" xfId="32613"/>
    <cellStyle name="Hyperlink 210" xfId="1811"/>
    <cellStyle name="Hyperlink 211" xfId="1812"/>
    <cellStyle name="Hyperlink 212" xfId="1813"/>
    <cellStyle name="Hyperlink 213" xfId="1814"/>
    <cellStyle name="Hyperlink 214" xfId="1815"/>
    <cellStyle name="Hyperlink 215" xfId="1816"/>
    <cellStyle name="Hyperlink 216" xfId="1817"/>
    <cellStyle name="Hyperlink 217" xfId="1818"/>
    <cellStyle name="Hyperlink 218" xfId="1819"/>
    <cellStyle name="Hyperlink 219" xfId="1820"/>
    <cellStyle name="Hyperlink 22" xfId="272" hidden="1"/>
    <cellStyle name="Hyperlink 22" xfId="598" hidden="1"/>
    <cellStyle name="Hyperlink 22" xfId="2271" hidden="1"/>
    <cellStyle name="Hyperlink 22" xfId="2597" hidden="1"/>
    <cellStyle name="Hyperlink 22" xfId="3808" hidden="1"/>
    <cellStyle name="Hyperlink 22" xfId="3403" hidden="1"/>
    <cellStyle name="Hyperlink 22" xfId="4804" hidden="1"/>
    <cellStyle name="Hyperlink 22" xfId="4954" hidden="1"/>
    <cellStyle name="Hyperlink 22" xfId="5778" hidden="1"/>
    <cellStyle name="Hyperlink 22" xfId="5915" hidden="1"/>
    <cellStyle name="Hyperlink 22" xfId="6751" hidden="1"/>
    <cellStyle name="Hyperlink 22" xfId="6898" hidden="1"/>
    <cellStyle name="Hyperlink 22" xfId="7709" hidden="1"/>
    <cellStyle name="Hyperlink 22" xfId="7855" hidden="1"/>
    <cellStyle name="Hyperlink 22" xfId="8637" hidden="1"/>
    <cellStyle name="Hyperlink 22" xfId="8773" hidden="1"/>
    <cellStyle name="Hyperlink 22" xfId="9458" hidden="1"/>
    <cellStyle name="Hyperlink 22" xfId="9564" hidden="1"/>
    <cellStyle name="Hyperlink 22" xfId="10237" hidden="1"/>
    <cellStyle name="Hyperlink 22" xfId="10559" hidden="1"/>
    <cellStyle name="Hyperlink 22" xfId="11601" hidden="1"/>
    <cellStyle name="Hyperlink 22" xfId="11927" hidden="1"/>
    <cellStyle name="Hyperlink 22" xfId="13483" hidden="1"/>
    <cellStyle name="Hyperlink 22" xfId="13809" hidden="1"/>
    <cellStyle name="Hyperlink 22" xfId="15019" hidden="1"/>
    <cellStyle name="Hyperlink 22" xfId="14615" hidden="1"/>
    <cellStyle name="Hyperlink 22" xfId="16015" hidden="1"/>
    <cellStyle name="Hyperlink 22" xfId="16165" hidden="1"/>
    <cellStyle name="Hyperlink 22" xfId="16989" hidden="1"/>
    <cellStyle name="Hyperlink 22" xfId="17126" hidden="1"/>
    <cellStyle name="Hyperlink 22" xfId="17962" hidden="1"/>
    <cellStyle name="Hyperlink 22" xfId="18109" hidden="1"/>
    <cellStyle name="Hyperlink 22" xfId="18920" hidden="1"/>
    <cellStyle name="Hyperlink 22" xfId="19066" hidden="1"/>
    <cellStyle name="Hyperlink 22" xfId="19848" hidden="1"/>
    <cellStyle name="Hyperlink 22" xfId="19984" hidden="1"/>
    <cellStyle name="Hyperlink 22" xfId="20669" hidden="1"/>
    <cellStyle name="Hyperlink 22" xfId="20775" hidden="1"/>
    <cellStyle name="Hyperlink 22" xfId="21448" hidden="1"/>
    <cellStyle name="Hyperlink 22" xfId="21770" hidden="1"/>
    <cellStyle name="Hyperlink 22" xfId="13098" hidden="1"/>
    <cellStyle name="Hyperlink 22" xfId="12219" hidden="1"/>
    <cellStyle name="Hyperlink 22" xfId="23173" hidden="1"/>
    <cellStyle name="Hyperlink 22" xfId="23499" hidden="1"/>
    <cellStyle name="Hyperlink 22" xfId="24435" hidden="1"/>
    <cellStyle name="Hyperlink 22" xfId="24212" hidden="1"/>
    <cellStyle name="Hyperlink 22" xfId="25428" hidden="1"/>
    <cellStyle name="Hyperlink 22" xfId="25578" hidden="1"/>
    <cellStyle name="Hyperlink 22" xfId="26401" hidden="1"/>
    <cellStyle name="Hyperlink 22" xfId="26538" hidden="1"/>
    <cellStyle name="Hyperlink 22" xfId="27374" hidden="1"/>
    <cellStyle name="Hyperlink 22" xfId="27521" hidden="1"/>
    <cellStyle name="Hyperlink 22" xfId="28332" hidden="1"/>
    <cellStyle name="Hyperlink 22" xfId="28478" hidden="1"/>
    <cellStyle name="Hyperlink 22" xfId="29260" hidden="1"/>
    <cellStyle name="Hyperlink 22" xfId="29396" hidden="1"/>
    <cellStyle name="Hyperlink 22" xfId="30080" hidden="1"/>
    <cellStyle name="Hyperlink 22" xfId="30186" hidden="1"/>
    <cellStyle name="Hyperlink 22" xfId="30859" hidden="1"/>
    <cellStyle name="Hyperlink 22" xfId="31181"/>
    <cellStyle name="Hyperlink 22 2" xfId="1821"/>
    <cellStyle name="Hyperlink 22 3" xfId="1822"/>
    <cellStyle name="Hyperlink 22 9" xfId="32614"/>
    <cellStyle name="Hyperlink 22_AGL" xfId="32615"/>
    <cellStyle name="Hyperlink 220" xfId="1823"/>
    <cellStyle name="Hyperlink 221" xfId="1824"/>
    <cellStyle name="Hyperlink 222" xfId="1825"/>
    <cellStyle name="Hyperlink 223" xfId="32616"/>
    <cellStyle name="Hyperlink 224" xfId="33223"/>
    <cellStyle name="Hyperlink 225" xfId="33351"/>
    <cellStyle name="Hyperlink 23" xfId="274" hidden="1"/>
    <cellStyle name="Hyperlink 23" xfId="594" hidden="1"/>
    <cellStyle name="Hyperlink 23" xfId="2273" hidden="1"/>
    <cellStyle name="Hyperlink 23" xfId="2593" hidden="1"/>
    <cellStyle name="Hyperlink 23" xfId="3806" hidden="1"/>
    <cellStyle name="Hyperlink 23" xfId="3503" hidden="1"/>
    <cellStyle name="Hyperlink 23" xfId="4690" hidden="1"/>
    <cellStyle name="Hyperlink 23" xfId="4958" hidden="1"/>
    <cellStyle name="Hyperlink 23" xfId="5678" hidden="1"/>
    <cellStyle name="Hyperlink 23" xfId="5919" hidden="1"/>
    <cellStyle name="Hyperlink 23" xfId="6639" hidden="1"/>
    <cellStyle name="Hyperlink 23" xfId="6902" hidden="1"/>
    <cellStyle name="Hyperlink 23" xfId="7600" hidden="1"/>
    <cellStyle name="Hyperlink 23" xfId="7859" hidden="1"/>
    <cellStyle name="Hyperlink 23" xfId="8538" hidden="1"/>
    <cellStyle name="Hyperlink 23" xfId="8777" hidden="1"/>
    <cellStyle name="Hyperlink 23" xfId="9394" hidden="1"/>
    <cellStyle name="Hyperlink 23" xfId="9568" hidden="1"/>
    <cellStyle name="Hyperlink 23" xfId="10239" hidden="1"/>
    <cellStyle name="Hyperlink 23" xfId="10555" hidden="1"/>
    <cellStyle name="Hyperlink 23" xfId="11603" hidden="1"/>
    <cellStyle name="Hyperlink 23" xfId="11923" hidden="1"/>
    <cellStyle name="Hyperlink 23" xfId="13485" hidden="1"/>
    <cellStyle name="Hyperlink 23" xfId="13805" hidden="1"/>
    <cellStyle name="Hyperlink 23" xfId="15017" hidden="1"/>
    <cellStyle name="Hyperlink 23" xfId="14714" hidden="1"/>
    <cellStyle name="Hyperlink 23" xfId="15901" hidden="1"/>
    <cellStyle name="Hyperlink 23" xfId="16169" hidden="1"/>
    <cellStyle name="Hyperlink 23" xfId="16889" hidden="1"/>
    <cellStyle name="Hyperlink 23" xfId="17130" hidden="1"/>
    <cellStyle name="Hyperlink 23" xfId="17850" hidden="1"/>
    <cellStyle name="Hyperlink 23" xfId="18113" hidden="1"/>
    <cellStyle name="Hyperlink 23" xfId="18811" hidden="1"/>
    <cellStyle name="Hyperlink 23" xfId="19070" hidden="1"/>
    <cellStyle name="Hyperlink 23" xfId="19749" hidden="1"/>
    <cellStyle name="Hyperlink 23" xfId="19988" hidden="1"/>
    <cellStyle name="Hyperlink 23" xfId="20605" hidden="1"/>
    <cellStyle name="Hyperlink 23" xfId="20779" hidden="1"/>
    <cellStyle name="Hyperlink 23" xfId="21450" hidden="1"/>
    <cellStyle name="Hyperlink 23" xfId="21766" hidden="1"/>
    <cellStyle name="Hyperlink 23" xfId="13096" hidden="1"/>
    <cellStyle name="Hyperlink 23" xfId="12700" hidden="1"/>
    <cellStyle name="Hyperlink 23" xfId="23175" hidden="1"/>
    <cellStyle name="Hyperlink 23" xfId="23495" hidden="1"/>
    <cellStyle name="Hyperlink 23" xfId="24433" hidden="1"/>
    <cellStyle name="Hyperlink 23" xfId="24273" hidden="1"/>
    <cellStyle name="Hyperlink 23" xfId="25314" hidden="1"/>
    <cellStyle name="Hyperlink 23" xfId="25582" hidden="1"/>
    <cellStyle name="Hyperlink 23" xfId="26301" hidden="1"/>
    <cellStyle name="Hyperlink 23" xfId="26542" hidden="1"/>
    <cellStyle name="Hyperlink 23" xfId="27262" hidden="1"/>
    <cellStyle name="Hyperlink 23" xfId="27525" hidden="1"/>
    <cellStyle name="Hyperlink 23" xfId="28223" hidden="1"/>
    <cellStyle name="Hyperlink 23" xfId="28482" hidden="1"/>
    <cellStyle name="Hyperlink 23" xfId="29161" hidden="1"/>
    <cellStyle name="Hyperlink 23" xfId="29400" hidden="1"/>
    <cellStyle name="Hyperlink 23" xfId="30016" hidden="1"/>
    <cellStyle name="Hyperlink 23" xfId="30190" hidden="1"/>
    <cellStyle name="Hyperlink 23" xfId="30861" hidden="1"/>
    <cellStyle name="Hyperlink 23" xfId="31177"/>
    <cellStyle name="Hyperlink 23 2" xfId="1826"/>
    <cellStyle name="Hyperlink 23 3" xfId="1827"/>
    <cellStyle name="Hyperlink 23 9" xfId="32617"/>
    <cellStyle name="Hyperlink 23_AGL" xfId="32618"/>
    <cellStyle name="Hyperlink 24" xfId="276" hidden="1"/>
    <cellStyle name="Hyperlink 24" xfId="590" hidden="1"/>
    <cellStyle name="Hyperlink 24" xfId="2275" hidden="1"/>
    <cellStyle name="Hyperlink 24" xfId="2589" hidden="1"/>
    <cellStyle name="Hyperlink 24" xfId="3804" hidden="1"/>
    <cellStyle name="Hyperlink 24" xfId="3404" hidden="1"/>
    <cellStyle name="Hyperlink 24" xfId="4602" hidden="1"/>
    <cellStyle name="Hyperlink 24" xfId="4962" hidden="1"/>
    <cellStyle name="Hyperlink 24" xfId="5644" hidden="1"/>
    <cellStyle name="Hyperlink 24" xfId="5923" hidden="1"/>
    <cellStyle name="Hyperlink 24" xfId="6551" hidden="1"/>
    <cellStyle name="Hyperlink 24" xfId="6906" hidden="1"/>
    <cellStyle name="Hyperlink 24" xfId="7517" hidden="1"/>
    <cellStyle name="Hyperlink 24" xfId="7863" hidden="1"/>
    <cellStyle name="Hyperlink 24" xfId="8465" hidden="1"/>
    <cellStyle name="Hyperlink 24" xfId="8781" hidden="1"/>
    <cellStyle name="Hyperlink 24" xfId="9343" hidden="1"/>
    <cellStyle name="Hyperlink 24" xfId="9572" hidden="1"/>
    <cellStyle name="Hyperlink 24" xfId="10241" hidden="1"/>
    <cellStyle name="Hyperlink 24" xfId="10551" hidden="1"/>
    <cellStyle name="Hyperlink 24" xfId="11605" hidden="1"/>
    <cellStyle name="Hyperlink 24" xfId="11919" hidden="1"/>
    <cellStyle name="Hyperlink 24" xfId="13487" hidden="1"/>
    <cellStyle name="Hyperlink 24" xfId="13801" hidden="1"/>
    <cellStyle name="Hyperlink 24" xfId="15015" hidden="1"/>
    <cellStyle name="Hyperlink 24" xfId="14616" hidden="1"/>
    <cellStyle name="Hyperlink 24" xfId="15813" hidden="1"/>
    <cellStyle name="Hyperlink 24" xfId="16173" hidden="1"/>
    <cellStyle name="Hyperlink 24" xfId="16855" hidden="1"/>
    <cellStyle name="Hyperlink 24" xfId="17134" hidden="1"/>
    <cellStyle name="Hyperlink 24" xfId="17762" hidden="1"/>
    <cellStyle name="Hyperlink 24" xfId="18117" hidden="1"/>
    <cellStyle name="Hyperlink 24" xfId="18728" hidden="1"/>
    <cellStyle name="Hyperlink 24" xfId="19074" hidden="1"/>
    <cellStyle name="Hyperlink 24" xfId="19676" hidden="1"/>
    <cellStyle name="Hyperlink 24" xfId="19992" hidden="1"/>
    <cellStyle name="Hyperlink 24" xfId="20554" hidden="1"/>
    <cellStyle name="Hyperlink 24" xfId="20783" hidden="1"/>
    <cellStyle name="Hyperlink 24" xfId="21452" hidden="1"/>
    <cellStyle name="Hyperlink 24" xfId="21762" hidden="1"/>
    <cellStyle name="Hyperlink 24" xfId="13094" hidden="1"/>
    <cellStyle name="Hyperlink 24" xfId="12277" hidden="1"/>
    <cellStyle name="Hyperlink 24" xfId="23177" hidden="1"/>
    <cellStyle name="Hyperlink 24" xfId="23491" hidden="1"/>
    <cellStyle name="Hyperlink 24" xfId="24431" hidden="1"/>
    <cellStyle name="Hyperlink 24" xfId="24213" hidden="1"/>
    <cellStyle name="Hyperlink 24" xfId="25226" hidden="1"/>
    <cellStyle name="Hyperlink 24" xfId="25586" hidden="1"/>
    <cellStyle name="Hyperlink 24" xfId="26267" hidden="1"/>
    <cellStyle name="Hyperlink 24" xfId="26546" hidden="1"/>
    <cellStyle name="Hyperlink 24" xfId="27174" hidden="1"/>
    <cellStyle name="Hyperlink 24" xfId="27529" hidden="1"/>
    <cellStyle name="Hyperlink 24" xfId="28140" hidden="1"/>
    <cellStyle name="Hyperlink 24" xfId="28486" hidden="1"/>
    <cellStyle name="Hyperlink 24" xfId="29088" hidden="1"/>
    <cellStyle name="Hyperlink 24" xfId="29404" hidden="1"/>
    <cellStyle name="Hyperlink 24" xfId="29966" hidden="1"/>
    <cellStyle name="Hyperlink 24" xfId="30194" hidden="1"/>
    <cellStyle name="Hyperlink 24" xfId="30863" hidden="1"/>
    <cellStyle name="Hyperlink 24" xfId="31173"/>
    <cellStyle name="Hyperlink 24 2" xfId="1828"/>
    <cellStyle name="Hyperlink 24 3" xfId="1829"/>
    <cellStyle name="Hyperlink 24 9" xfId="32619"/>
    <cellStyle name="Hyperlink 24_AGL" xfId="32620"/>
    <cellStyle name="Hyperlink 25" xfId="278" hidden="1"/>
    <cellStyle name="Hyperlink 25" xfId="586" hidden="1"/>
    <cellStyle name="Hyperlink 25" xfId="2277" hidden="1"/>
    <cellStyle name="Hyperlink 25" xfId="2585" hidden="1"/>
    <cellStyle name="Hyperlink 25" xfId="3802" hidden="1"/>
    <cellStyle name="Hyperlink 25" xfId="3396" hidden="1"/>
    <cellStyle name="Hyperlink 25" xfId="4838" hidden="1"/>
    <cellStyle name="Hyperlink 25" xfId="4966" hidden="1"/>
    <cellStyle name="Hyperlink 25" xfId="5738" hidden="1"/>
    <cellStyle name="Hyperlink 25" xfId="5927" hidden="1"/>
    <cellStyle name="Hyperlink 25" xfId="6785" hidden="1"/>
    <cellStyle name="Hyperlink 25" xfId="6910" hidden="1"/>
    <cellStyle name="Hyperlink 25" xfId="7742" hidden="1"/>
    <cellStyle name="Hyperlink 25" xfId="7867" hidden="1"/>
    <cellStyle name="Hyperlink 25" xfId="8669" hidden="1"/>
    <cellStyle name="Hyperlink 25" xfId="8785" hidden="1"/>
    <cellStyle name="Hyperlink 25" xfId="9479" hidden="1"/>
    <cellStyle name="Hyperlink 25" xfId="9576" hidden="1"/>
    <cellStyle name="Hyperlink 25" xfId="10243" hidden="1"/>
    <cellStyle name="Hyperlink 25" xfId="10547" hidden="1"/>
    <cellStyle name="Hyperlink 25" xfId="11607" hidden="1"/>
    <cellStyle name="Hyperlink 25" xfId="11915" hidden="1"/>
    <cellStyle name="Hyperlink 25" xfId="13489" hidden="1"/>
    <cellStyle name="Hyperlink 25" xfId="13797" hidden="1"/>
    <cellStyle name="Hyperlink 25" xfId="15013" hidden="1"/>
    <cellStyle name="Hyperlink 25" xfId="14608" hidden="1"/>
    <cellStyle name="Hyperlink 25" xfId="16049" hidden="1"/>
    <cellStyle name="Hyperlink 25" xfId="16177" hidden="1"/>
    <cellStyle name="Hyperlink 25" xfId="16949" hidden="1"/>
    <cellStyle name="Hyperlink 25" xfId="17138" hidden="1"/>
    <cellStyle name="Hyperlink 25" xfId="17996" hidden="1"/>
    <cellStyle name="Hyperlink 25" xfId="18121" hidden="1"/>
    <cellStyle name="Hyperlink 25" xfId="18953" hidden="1"/>
    <cellStyle name="Hyperlink 25" xfId="19078" hidden="1"/>
    <cellStyle name="Hyperlink 25" xfId="19880" hidden="1"/>
    <cellStyle name="Hyperlink 25" xfId="19996" hidden="1"/>
    <cellStyle name="Hyperlink 25" xfId="20690" hidden="1"/>
    <cellStyle name="Hyperlink 25" xfId="20787" hidden="1"/>
    <cellStyle name="Hyperlink 25" xfId="21454" hidden="1"/>
    <cellStyle name="Hyperlink 25" xfId="21758" hidden="1"/>
    <cellStyle name="Hyperlink 25" xfId="13092" hidden="1"/>
    <cellStyle name="Hyperlink 25" xfId="12782" hidden="1"/>
    <cellStyle name="Hyperlink 25" xfId="23179" hidden="1"/>
    <cellStyle name="Hyperlink 25" xfId="23487" hidden="1"/>
    <cellStyle name="Hyperlink 25" xfId="24429" hidden="1"/>
    <cellStyle name="Hyperlink 25" xfId="24211" hidden="1"/>
    <cellStyle name="Hyperlink 25" xfId="25462" hidden="1"/>
    <cellStyle name="Hyperlink 25" xfId="25590" hidden="1"/>
    <cellStyle name="Hyperlink 25" xfId="26361" hidden="1"/>
    <cellStyle name="Hyperlink 25" xfId="26550" hidden="1"/>
    <cellStyle name="Hyperlink 25" xfId="27408" hidden="1"/>
    <cellStyle name="Hyperlink 25" xfId="27533" hidden="1"/>
    <cellStyle name="Hyperlink 25" xfId="28365" hidden="1"/>
    <cellStyle name="Hyperlink 25" xfId="28490" hidden="1"/>
    <cellStyle name="Hyperlink 25" xfId="29292" hidden="1"/>
    <cellStyle name="Hyperlink 25" xfId="29408" hidden="1"/>
    <cellStyle name="Hyperlink 25" xfId="30101" hidden="1"/>
    <cellStyle name="Hyperlink 25" xfId="30198" hidden="1"/>
    <cellStyle name="Hyperlink 25" xfId="30865" hidden="1"/>
    <cellStyle name="Hyperlink 25" xfId="31169"/>
    <cellStyle name="Hyperlink 25 2" xfId="1830"/>
    <cellStyle name="Hyperlink 25 3" xfId="1831"/>
    <cellStyle name="Hyperlink 25 9" xfId="32621"/>
    <cellStyle name="Hyperlink 25_AGL" xfId="32622"/>
    <cellStyle name="Hyperlink 26" xfId="280" hidden="1"/>
    <cellStyle name="Hyperlink 26" xfId="582" hidden="1"/>
    <cellStyle name="Hyperlink 26" xfId="2279" hidden="1"/>
    <cellStyle name="Hyperlink 26" xfId="2581" hidden="1"/>
    <cellStyle name="Hyperlink 26" xfId="3800" hidden="1"/>
    <cellStyle name="Hyperlink 26" xfId="2914" hidden="1"/>
    <cellStyle name="Hyperlink 26" xfId="4808" hidden="1"/>
    <cellStyle name="Hyperlink 26" xfId="4970" hidden="1"/>
    <cellStyle name="Hyperlink 26" xfId="4311" hidden="1"/>
    <cellStyle name="Hyperlink 26" xfId="5931" hidden="1"/>
    <cellStyle name="Hyperlink 26" xfId="6755" hidden="1"/>
    <cellStyle name="Hyperlink 26" xfId="6914" hidden="1"/>
    <cellStyle name="Hyperlink 26" xfId="7713" hidden="1"/>
    <cellStyle name="Hyperlink 26" xfId="7871" hidden="1"/>
    <cellStyle name="Hyperlink 26" xfId="8640" hidden="1"/>
    <cellStyle name="Hyperlink 26" xfId="8789" hidden="1"/>
    <cellStyle name="Hyperlink 26" xfId="9459" hidden="1"/>
    <cellStyle name="Hyperlink 26" xfId="9580" hidden="1"/>
    <cellStyle name="Hyperlink 26" xfId="10245" hidden="1"/>
    <cellStyle name="Hyperlink 26" xfId="10543" hidden="1"/>
    <cellStyle name="Hyperlink 26" xfId="11609" hidden="1"/>
    <cellStyle name="Hyperlink 26" xfId="11911" hidden="1"/>
    <cellStyle name="Hyperlink 26" xfId="13491" hidden="1"/>
    <cellStyle name="Hyperlink 26" xfId="13793" hidden="1"/>
    <cellStyle name="Hyperlink 26" xfId="15011" hidden="1"/>
    <cellStyle name="Hyperlink 26" xfId="14126" hidden="1"/>
    <cellStyle name="Hyperlink 26" xfId="16019" hidden="1"/>
    <cellStyle name="Hyperlink 26" xfId="16181" hidden="1"/>
    <cellStyle name="Hyperlink 26" xfId="15522" hidden="1"/>
    <cellStyle name="Hyperlink 26" xfId="17142" hidden="1"/>
    <cellStyle name="Hyperlink 26" xfId="17966" hidden="1"/>
    <cellStyle name="Hyperlink 26" xfId="18125" hidden="1"/>
    <cellStyle name="Hyperlink 26" xfId="18924" hidden="1"/>
    <cellStyle name="Hyperlink 26" xfId="19082" hidden="1"/>
    <cellStyle name="Hyperlink 26" xfId="19851" hidden="1"/>
    <cellStyle name="Hyperlink 26" xfId="20000" hidden="1"/>
    <cellStyle name="Hyperlink 26" xfId="20670" hidden="1"/>
    <cellStyle name="Hyperlink 26" xfId="20791" hidden="1"/>
    <cellStyle name="Hyperlink 26" xfId="21456" hidden="1"/>
    <cellStyle name="Hyperlink 26" xfId="21754" hidden="1"/>
    <cellStyle name="Hyperlink 26" xfId="13090" hidden="1"/>
    <cellStyle name="Hyperlink 26" xfId="11556" hidden="1"/>
    <cellStyle name="Hyperlink 26" xfId="23181" hidden="1"/>
    <cellStyle name="Hyperlink 26" xfId="23483" hidden="1"/>
    <cellStyle name="Hyperlink 26" xfId="24427" hidden="1"/>
    <cellStyle name="Hyperlink 26" xfId="23813" hidden="1"/>
    <cellStyle name="Hyperlink 26" xfId="25432" hidden="1"/>
    <cellStyle name="Hyperlink 26" xfId="25594" hidden="1"/>
    <cellStyle name="Hyperlink 26" xfId="24935" hidden="1"/>
    <cellStyle name="Hyperlink 26" xfId="26554" hidden="1"/>
    <cellStyle name="Hyperlink 26" xfId="27378" hidden="1"/>
    <cellStyle name="Hyperlink 26" xfId="27537" hidden="1"/>
    <cellStyle name="Hyperlink 26" xfId="28336" hidden="1"/>
    <cellStyle name="Hyperlink 26" xfId="28494" hidden="1"/>
    <cellStyle name="Hyperlink 26" xfId="29263" hidden="1"/>
    <cellStyle name="Hyperlink 26" xfId="29412" hidden="1"/>
    <cellStyle name="Hyperlink 26" xfId="30081" hidden="1"/>
    <cellStyle name="Hyperlink 26" xfId="30202" hidden="1"/>
    <cellStyle name="Hyperlink 26" xfId="30867" hidden="1"/>
    <cellStyle name="Hyperlink 26" xfId="31165"/>
    <cellStyle name="Hyperlink 26 2" xfId="1832"/>
    <cellStyle name="Hyperlink 26 3" xfId="1833"/>
    <cellStyle name="Hyperlink 26 9" xfId="32623"/>
    <cellStyle name="Hyperlink 26_AGL" xfId="32624"/>
    <cellStyle name="Hyperlink 27" xfId="282" hidden="1"/>
    <cellStyle name="Hyperlink 27" xfId="578" hidden="1"/>
    <cellStyle name="Hyperlink 27" xfId="2281" hidden="1"/>
    <cellStyle name="Hyperlink 27" xfId="2577" hidden="1"/>
    <cellStyle name="Hyperlink 27" xfId="3798" hidden="1"/>
    <cellStyle name="Hyperlink 27" xfId="3370" hidden="1"/>
    <cellStyle name="Hyperlink 27" xfId="4704" hidden="1"/>
    <cellStyle name="Hyperlink 27" xfId="4974" hidden="1"/>
    <cellStyle name="Hyperlink 27" xfId="5554" hidden="1"/>
    <cellStyle name="Hyperlink 27" xfId="5935" hidden="1"/>
    <cellStyle name="Hyperlink 27" xfId="6653" hidden="1"/>
    <cellStyle name="Hyperlink 27" xfId="6918" hidden="1"/>
    <cellStyle name="Hyperlink 27" xfId="7613" hidden="1"/>
    <cellStyle name="Hyperlink 27" xfId="7875" hidden="1"/>
    <cellStyle name="Hyperlink 27" xfId="8551" hidden="1"/>
    <cellStyle name="Hyperlink 27" xfId="8793" hidden="1"/>
    <cellStyle name="Hyperlink 27" xfId="9403" hidden="1"/>
    <cellStyle name="Hyperlink 27" xfId="9584" hidden="1"/>
    <cellStyle name="Hyperlink 27" xfId="10247" hidden="1"/>
    <cellStyle name="Hyperlink 27" xfId="10539" hidden="1"/>
    <cellStyle name="Hyperlink 27" xfId="11611" hidden="1"/>
    <cellStyle name="Hyperlink 27" xfId="11907" hidden="1"/>
    <cellStyle name="Hyperlink 27" xfId="13493" hidden="1"/>
    <cellStyle name="Hyperlink 27" xfId="13789" hidden="1"/>
    <cellStyle name="Hyperlink 27" xfId="15009" hidden="1"/>
    <cellStyle name="Hyperlink 27" xfId="14582" hidden="1"/>
    <cellStyle name="Hyperlink 27" xfId="15915" hidden="1"/>
    <cellStyle name="Hyperlink 27" xfId="16185" hidden="1"/>
    <cellStyle name="Hyperlink 27" xfId="16765" hidden="1"/>
    <cellStyle name="Hyperlink 27" xfId="17146" hidden="1"/>
    <cellStyle name="Hyperlink 27" xfId="17864" hidden="1"/>
    <cellStyle name="Hyperlink 27" xfId="18129" hidden="1"/>
    <cellStyle name="Hyperlink 27" xfId="18824" hidden="1"/>
    <cellStyle name="Hyperlink 27" xfId="19086" hidden="1"/>
    <cellStyle name="Hyperlink 27" xfId="19762" hidden="1"/>
    <cellStyle name="Hyperlink 27" xfId="20004" hidden="1"/>
    <cellStyle name="Hyperlink 27" xfId="20614" hidden="1"/>
    <cellStyle name="Hyperlink 27" xfId="20795" hidden="1"/>
    <cellStyle name="Hyperlink 27" xfId="21458" hidden="1"/>
    <cellStyle name="Hyperlink 27" xfId="21750" hidden="1"/>
    <cellStyle name="Hyperlink 27" xfId="13088" hidden="1"/>
    <cellStyle name="Hyperlink 27" xfId="12128" hidden="1"/>
    <cellStyle name="Hyperlink 27" xfId="23183" hidden="1"/>
    <cellStyle name="Hyperlink 27" xfId="23479" hidden="1"/>
    <cellStyle name="Hyperlink 27" xfId="24425" hidden="1"/>
    <cellStyle name="Hyperlink 27" xfId="24187" hidden="1"/>
    <cellStyle name="Hyperlink 27" xfId="25328" hidden="1"/>
    <cellStyle name="Hyperlink 27" xfId="25598" hidden="1"/>
    <cellStyle name="Hyperlink 27" xfId="26178" hidden="1"/>
    <cellStyle name="Hyperlink 27" xfId="26558" hidden="1"/>
    <cellStyle name="Hyperlink 27" xfId="27276" hidden="1"/>
    <cellStyle name="Hyperlink 27" xfId="27541" hidden="1"/>
    <cellStyle name="Hyperlink 27" xfId="28236" hidden="1"/>
    <cellStyle name="Hyperlink 27" xfId="28498" hidden="1"/>
    <cellStyle name="Hyperlink 27" xfId="29174" hidden="1"/>
    <cellStyle name="Hyperlink 27" xfId="29416" hidden="1"/>
    <cellStyle name="Hyperlink 27" xfId="30025" hidden="1"/>
    <cellStyle name="Hyperlink 27" xfId="30206" hidden="1"/>
    <cellStyle name="Hyperlink 27" xfId="30869" hidden="1"/>
    <cellStyle name="Hyperlink 27" xfId="31161"/>
    <cellStyle name="Hyperlink 27 2" xfId="1834"/>
    <cellStyle name="Hyperlink 27 3" xfId="1835"/>
    <cellStyle name="Hyperlink 27 9" xfId="32625"/>
    <cellStyle name="Hyperlink 27_AGL" xfId="32626"/>
    <cellStyle name="Hyperlink 28" xfId="284" hidden="1"/>
    <cellStyle name="Hyperlink 28" xfId="574" hidden="1"/>
    <cellStyle name="Hyperlink 28" xfId="2283" hidden="1"/>
    <cellStyle name="Hyperlink 28" xfId="2573" hidden="1"/>
    <cellStyle name="Hyperlink 28" xfId="3796" hidden="1"/>
    <cellStyle name="Hyperlink 28" xfId="2916" hidden="1"/>
    <cellStyle name="Hyperlink 28" xfId="4668" hidden="1"/>
    <cellStyle name="Hyperlink 28" xfId="4978" hidden="1"/>
    <cellStyle name="Hyperlink 28" xfId="4060" hidden="1"/>
    <cellStyle name="Hyperlink 28" xfId="5939" hidden="1"/>
    <cellStyle name="Hyperlink 28" xfId="6617" hidden="1"/>
    <cellStyle name="Hyperlink 28" xfId="6922" hidden="1"/>
    <cellStyle name="Hyperlink 28" xfId="7580" hidden="1"/>
    <cellStyle name="Hyperlink 28" xfId="7879" hidden="1"/>
    <cellStyle name="Hyperlink 28" xfId="8521" hidden="1"/>
    <cellStyle name="Hyperlink 28" xfId="8797" hidden="1"/>
    <cellStyle name="Hyperlink 28" xfId="9381" hidden="1"/>
    <cellStyle name="Hyperlink 28" xfId="9588" hidden="1"/>
    <cellStyle name="Hyperlink 28" xfId="10249" hidden="1"/>
    <cellStyle name="Hyperlink 28" xfId="10535" hidden="1"/>
    <cellStyle name="Hyperlink 28" xfId="11613" hidden="1"/>
    <cellStyle name="Hyperlink 28" xfId="11903" hidden="1"/>
    <cellStyle name="Hyperlink 28" xfId="13495" hidden="1"/>
    <cellStyle name="Hyperlink 28" xfId="13785" hidden="1"/>
    <cellStyle name="Hyperlink 28" xfId="15007" hidden="1"/>
    <cellStyle name="Hyperlink 28" xfId="14128" hidden="1"/>
    <cellStyle name="Hyperlink 28" xfId="15879" hidden="1"/>
    <cellStyle name="Hyperlink 28" xfId="16189" hidden="1"/>
    <cellStyle name="Hyperlink 28" xfId="15271" hidden="1"/>
    <cellStyle name="Hyperlink 28" xfId="17150" hidden="1"/>
    <cellStyle name="Hyperlink 28" xfId="17828" hidden="1"/>
    <cellStyle name="Hyperlink 28" xfId="18133" hidden="1"/>
    <cellStyle name="Hyperlink 28" xfId="18791" hidden="1"/>
    <cellStyle name="Hyperlink 28" xfId="19090" hidden="1"/>
    <cellStyle name="Hyperlink 28" xfId="19732" hidden="1"/>
    <cellStyle name="Hyperlink 28" xfId="20008" hidden="1"/>
    <cellStyle name="Hyperlink 28" xfId="20592" hidden="1"/>
    <cellStyle name="Hyperlink 28" xfId="20799" hidden="1"/>
    <cellStyle name="Hyperlink 28" xfId="21460" hidden="1"/>
    <cellStyle name="Hyperlink 28" xfId="21746" hidden="1"/>
    <cellStyle name="Hyperlink 28" xfId="13086" hidden="1"/>
    <cellStyle name="Hyperlink 28" xfId="12702" hidden="1"/>
    <cellStyle name="Hyperlink 28" xfId="23185" hidden="1"/>
    <cellStyle name="Hyperlink 28" xfId="23475" hidden="1"/>
    <cellStyle name="Hyperlink 28" xfId="24423" hidden="1"/>
    <cellStyle name="Hyperlink 28" xfId="23815" hidden="1"/>
    <cellStyle name="Hyperlink 28" xfId="25292" hidden="1"/>
    <cellStyle name="Hyperlink 28" xfId="25602" hidden="1"/>
    <cellStyle name="Hyperlink 28" xfId="24684" hidden="1"/>
    <cellStyle name="Hyperlink 28" xfId="26562" hidden="1"/>
    <cellStyle name="Hyperlink 28" xfId="27240" hidden="1"/>
    <cellStyle name="Hyperlink 28" xfId="27545" hidden="1"/>
    <cellStyle name="Hyperlink 28" xfId="28203" hidden="1"/>
    <cellStyle name="Hyperlink 28" xfId="28502" hidden="1"/>
    <cellStyle name="Hyperlink 28" xfId="29144" hidden="1"/>
    <cellStyle name="Hyperlink 28" xfId="29420" hidden="1"/>
    <cellStyle name="Hyperlink 28" xfId="30003" hidden="1"/>
    <cellStyle name="Hyperlink 28" xfId="30210" hidden="1"/>
    <cellStyle name="Hyperlink 28" xfId="30871" hidden="1"/>
    <cellStyle name="Hyperlink 28" xfId="31157"/>
    <cellStyle name="Hyperlink 28 2" xfId="1836"/>
    <cellStyle name="Hyperlink 28 3" xfId="1837"/>
    <cellStyle name="Hyperlink 28 9" xfId="32627"/>
    <cellStyle name="Hyperlink 28_AGL" xfId="32628"/>
    <cellStyle name="Hyperlink 29" xfId="286" hidden="1"/>
    <cellStyle name="Hyperlink 29" xfId="570" hidden="1"/>
    <cellStyle name="Hyperlink 29" xfId="2285" hidden="1"/>
    <cellStyle name="Hyperlink 29" xfId="2569" hidden="1"/>
    <cellStyle name="Hyperlink 29" xfId="3794" hidden="1"/>
    <cellStyle name="Hyperlink 29" xfId="2919" hidden="1"/>
    <cellStyle name="Hyperlink 29" xfId="4768" hidden="1"/>
    <cellStyle name="Hyperlink 29" xfId="4982" hidden="1"/>
    <cellStyle name="Hyperlink 29" xfId="4203" hidden="1"/>
    <cellStyle name="Hyperlink 29" xfId="5943" hidden="1"/>
    <cellStyle name="Hyperlink 29" xfId="6715" hidden="1"/>
    <cellStyle name="Hyperlink 29" xfId="6926" hidden="1"/>
    <cellStyle name="Hyperlink 29" xfId="7673" hidden="1"/>
    <cellStyle name="Hyperlink 29" xfId="7883" hidden="1"/>
    <cellStyle name="Hyperlink 29" xfId="8604" hidden="1"/>
    <cellStyle name="Hyperlink 29" xfId="8801" hidden="1"/>
    <cellStyle name="Hyperlink 29" xfId="9433" hidden="1"/>
    <cellStyle name="Hyperlink 29" xfId="9592" hidden="1"/>
    <cellStyle name="Hyperlink 29" xfId="10251" hidden="1"/>
    <cellStyle name="Hyperlink 29" xfId="10531" hidden="1"/>
    <cellStyle name="Hyperlink 29" xfId="11615" hidden="1"/>
    <cellStyle name="Hyperlink 29" xfId="11899" hidden="1"/>
    <cellStyle name="Hyperlink 29" xfId="13497" hidden="1"/>
    <cellStyle name="Hyperlink 29" xfId="13781" hidden="1"/>
    <cellStyle name="Hyperlink 29" xfId="15005" hidden="1"/>
    <cellStyle name="Hyperlink 29" xfId="14131" hidden="1"/>
    <cellStyle name="Hyperlink 29" xfId="15979" hidden="1"/>
    <cellStyle name="Hyperlink 29" xfId="16193" hidden="1"/>
    <cellStyle name="Hyperlink 29" xfId="15414" hidden="1"/>
    <cellStyle name="Hyperlink 29" xfId="17154" hidden="1"/>
    <cellStyle name="Hyperlink 29" xfId="17926" hidden="1"/>
    <cellStyle name="Hyperlink 29" xfId="18137" hidden="1"/>
    <cellStyle name="Hyperlink 29" xfId="18884" hidden="1"/>
    <cellStyle name="Hyperlink 29" xfId="19094" hidden="1"/>
    <cellStyle name="Hyperlink 29" xfId="19815" hidden="1"/>
    <cellStyle name="Hyperlink 29" xfId="20012" hidden="1"/>
    <cellStyle name="Hyperlink 29" xfId="20644" hidden="1"/>
    <cellStyle name="Hyperlink 29" xfId="20803" hidden="1"/>
    <cellStyle name="Hyperlink 29" xfId="21462" hidden="1"/>
    <cellStyle name="Hyperlink 29" xfId="21742" hidden="1"/>
    <cellStyle name="Hyperlink 29" xfId="13084" hidden="1"/>
    <cellStyle name="Hyperlink 29" xfId="12675" hidden="1"/>
    <cellStyle name="Hyperlink 29" xfId="23187" hidden="1"/>
    <cellStyle name="Hyperlink 29" xfId="23471" hidden="1"/>
    <cellStyle name="Hyperlink 29" xfId="24421" hidden="1"/>
    <cellStyle name="Hyperlink 29" xfId="23818" hidden="1"/>
    <cellStyle name="Hyperlink 29" xfId="25392" hidden="1"/>
    <cellStyle name="Hyperlink 29" xfId="25606" hidden="1"/>
    <cellStyle name="Hyperlink 29" xfId="24827" hidden="1"/>
    <cellStyle name="Hyperlink 29" xfId="26566" hidden="1"/>
    <cellStyle name="Hyperlink 29" xfId="27338" hidden="1"/>
    <cellStyle name="Hyperlink 29" xfId="27549" hidden="1"/>
    <cellStyle name="Hyperlink 29" xfId="28296" hidden="1"/>
    <cellStyle name="Hyperlink 29" xfId="28506" hidden="1"/>
    <cellStyle name="Hyperlink 29" xfId="29227" hidden="1"/>
    <cellStyle name="Hyperlink 29" xfId="29424" hidden="1"/>
    <cellStyle name="Hyperlink 29" xfId="30055" hidden="1"/>
    <cellStyle name="Hyperlink 29" xfId="30214" hidden="1"/>
    <cellStyle name="Hyperlink 29" xfId="30873" hidden="1"/>
    <cellStyle name="Hyperlink 29" xfId="31153"/>
    <cellStyle name="Hyperlink 29 2" xfId="1838"/>
    <cellStyle name="Hyperlink 29 3" xfId="1839"/>
    <cellStyle name="Hyperlink 29 9" xfId="32629"/>
    <cellStyle name="Hyperlink 29_AGL" xfId="32630"/>
    <cellStyle name="Hyperlink 3" xfId="234" hidden="1"/>
    <cellStyle name="Hyperlink 3" xfId="674" hidden="1"/>
    <cellStyle name="Hyperlink 3" xfId="2233" hidden="1"/>
    <cellStyle name="Hyperlink 3" xfId="2673" hidden="1"/>
    <cellStyle name="Hyperlink 3" xfId="3846" hidden="1"/>
    <cellStyle name="Hyperlink 3" xfId="2840" hidden="1"/>
    <cellStyle name="Hyperlink 3" xfId="4878" hidden="1"/>
    <cellStyle name="Hyperlink 3" xfId="3911" hidden="1"/>
    <cellStyle name="Hyperlink 3" xfId="4536" hidden="1"/>
    <cellStyle name="Hyperlink 3" xfId="4753" hidden="1"/>
    <cellStyle name="Hyperlink 3" xfId="6824" hidden="1"/>
    <cellStyle name="Hyperlink 3" xfId="4908" hidden="1"/>
    <cellStyle name="Hyperlink 3" xfId="7781" hidden="1"/>
    <cellStyle name="Hyperlink 3" xfId="4158" hidden="1"/>
    <cellStyle name="Hyperlink 3" xfId="8704" hidden="1"/>
    <cellStyle name="Hyperlink 3" xfId="6593" hidden="1"/>
    <cellStyle name="Hyperlink 3" xfId="9506" hidden="1"/>
    <cellStyle name="Hyperlink 3" xfId="7558" hidden="1"/>
    <cellStyle name="Hyperlink 3" xfId="10199" hidden="1"/>
    <cellStyle name="Hyperlink 3" xfId="10635" hidden="1"/>
    <cellStyle name="Hyperlink 3" xfId="11563" hidden="1"/>
    <cellStyle name="Hyperlink 3" xfId="12003" hidden="1"/>
    <cellStyle name="Hyperlink 3" xfId="13445" hidden="1"/>
    <cellStyle name="Hyperlink 3" xfId="13885" hidden="1"/>
    <cellStyle name="Hyperlink 3" xfId="15057" hidden="1"/>
    <cellStyle name="Hyperlink 3" xfId="14052" hidden="1"/>
    <cellStyle name="Hyperlink 3" xfId="16089" hidden="1"/>
    <cellStyle name="Hyperlink 3" xfId="15122" hidden="1"/>
    <cellStyle name="Hyperlink 3" xfId="15747" hidden="1"/>
    <cellStyle name="Hyperlink 3" xfId="15964" hidden="1"/>
    <cellStyle name="Hyperlink 3" xfId="18035" hidden="1"/>
    <cellStyle name="Hyperlink 3" xfId="16119" hidden="1"/>
    <cellStyle name="Hyperlink 3" xfId="18992" hidden="1"/>
    <cellStyle name="Hyperlink 3" xfId="15369" hidden="1"/>
    <cellStyle name="Hyperlink 3" xfId="19915" hidden="1"/>
    <cellStyle name="Hyperlink 3" xfId="17804" hidden="1"/>
    <cellStyle name="Hyperlink 3" xfId="20717" hidden="1"/>
    <cellStyle name="Hyperlink 3" xfId="18769" hidden="1"/>
    <cellStyle name="Hyperlink 3" xfId="21410" hidden="1"/>
    <cellStyle name="Hyperlink 3" xfId="21846" hidden="1"/>
    <cellStyle name="Hyperlink 3" xfId="13136" hidden="1"/>
    <cellStyle name="Hyperlink 3" xfId="12162" hidden="1"/>
    <cellStyle name="Hyperlink 3" xfId="23135" hidden="1"/>
    <cellStyle name="Hyperlink 3" xfId="23575" hidden="1"/>
    <cellStyle name="Hyperlink 3" xfId="24473" hidden="1"/>
    <cellStyle name="Hyperlink 3" xfId="23742" hidden="1"/>
    <cellStyle name="Hyperlink 3" xfId="25502" hidden="1"/>
    <cellStyle name="Hyperlink 3" xfId="24538" hidden="1"/>
    <cellStyle name="Hyperlink 3" xfId="25160" hidden="1"/>
    <cellStyle name="Hyperlink 3" xfId="25377" hidden="1"/>
    <cellStyle name="Hyperlink 3" xfId="27447" hidden="1"/>
    <cellStyle name="Hyperlink 3" xfId="25532" hidden="1"/>
    <cellStyle name="Hyperlink 3" xfId="28404" hidden="1"/>
    <cellStyle name="Hyperlink 3" xfId="24782" hidden="1"/>
    <cellStyle name="Hyperlink 3" xfId="29327" hidden="1"/>
    <cellStyle name="Hyperlink 3" xfId="27216" hidden="1"/>
    <cellStyle name="Hyperlink 3" xfId="30128" hidden="1"/>
    <cellStyle name="Hyperlink 3" xfId="28181" hidden="1"/>
    <cellStyle name="Hyperlink 3" xfId="30821" hidden="1"/>
    <cellStyle name="Hyperlink 3" xfId="31257"/>
    <cellStyle name="Hyperlink 3 2" xfId="1840"/>
    <cellStyle name="Hyperlink 3 3" xfId="1841"/>
    <cellStyle name="Hyperlink 3 9" xfId="32631"/>
    <cellStyle name="Hyperlink 3_AGL" xfId="32632"/>
    <cellStyle name="Hyperlink 30" xfId="288" hidden="1"/>
    <cellStyle name="Hyperlink 30" xfId="566" hidden="1"/>
    <cellStyle name="Hyperlink 30" xfId="2287" hidden="1"/>
    <cellStyle name="Hyperlink 30" xfId="2565" hidden="1"/>
    <cellStyle name="Hyperlink 30" xfId="3792" hidden="1"/>
    <cellStyle name="Hyperlink 30" xfId="3372" hidden="1"/>
    <cellStyle name="Hyperlink 30" xfId="4226" hidden="1"/>
    <cellStyle name="Hyperlink 30" xfId="4986" hidden="1"/>
    <cellStyle name="Hyperlink 30" xfId="5614" hidden="1"/>
    <cellStyle name="Hyperlink 30" xfId="5947" hidden="1"/>
    <cellStyle name="Hyperlink 30" xfId="5243" hidden="1"/>
    <cellStyle name="Hyperlink 30" xfId="6930" hidden="1"/>
    <cellStyle name="Hyperlink 30" xfId="6263" hidden="1"/>
    <cellStyle name="Hyperlink 30" xfId="7887" hidden="1"/>
    <cellStyle name="Hyperlink 30" xfId="7230" hidden="1"/>
    <cellStyle name="Hyperlink 30" xfId="8805" hidden="1"/>
    <cellStyle name="Hyperlink 30" xfId="8187" hidden="1"/>
    <cellStyle name="Hyperlink 30" xfId="9596" hidden="1"/>
    <cellStyle name="Hyperlink 30" xfId="10253" hidden="1"/>
    <cellStyle name="Hyperlink 30" xfId="10527" hidden="1"/>
    <cellStyle name="Hyperlink 30" xfId="11617" hidden="1"/>
    <cellStyle name="Hyperlink 30" xfId="11895" hidden="1"/>
    <cellStyle name="Hyperlink 30" xfId="13499" hidden="1"/>
    <cellStyle name="Hyperlink 30" xfId="13777" hidden="1"/>
    <cellStyle name="Hyperlink 30" xfId="15003" hidden="1"/>
    <cellStyle name="Hyperlink 30" xfId="14584" hidden="1"/>
    <cellStyle name="Hyperlink 30" xfId="15437" hidden="1"/>
    <cellStyle name="Hyperlink 30" xfId="16197" hidden="1"/>
    <cellStyle name="Hyperlink 30" xfId="16825" hidden="1"/>
    <cellStyle name="Hyperlink 30" xfId="17158" hidden="1"/>
    <cellStyle name="Hyperlink 30" xfId="16454" hidden="1"/>
    <cellStyle name="Hyperlink 30" xfId="18141" hidden="1"/>
    <cellStyle name="Hyperlink 30" xfId="17474" hidden="1"/>
    <cellStyle name="Hyperlink 30" xfId="19098" hidden="1"/>
    <cellStyle name="Hyperlink 30" xfId="18441" hidden="1"/>
    <cellStyle name="Hyperlink 30" xfId="20016" hidden="1"/>
    <cellStyle name="Hyperlink 30" xfId="19398" hidden="1"/>
    <cellStyle name="Hyperlink 30" xfId="20807" hidden="1"/>
    <cellStyle name="Hyperlink 30" xfId="21464" hidden="1"/>
    <cellStyle name="Hyperlink 30" xfId="21738" hidden="1"/>
    <cellStyle name="Hyperlink 30" xfId="13082" hidden="1"/>
    <cellStyle name="Hyperlink 30" xfId="12679" hidden="1"/>
    <cellStyle name="Hyperlink 30" xfId="23189" hidden="1"/>
    <cellStyle name="Hyperlink 30" xfId="23467" hidden="1"/>
    <cellStyle name="Hyperlink 30" xfId="24419" hidden="1"/>
    <cellStyle name="Hyperlink 30" xfId="24189" hidden="1"/>
    <cellStyle name="Hyperlink 30" xfId="24850" hidden="1"/>
    <cellStyle name="Hyperlink 30" xfId="25610" hidden="1"/>
    <cellStyle name="Hyperlink 30" xfId="26237" hidden="1"/>
    <cellStyle name="Hyperlink 30" xfId="26570" hidden="1"/>
    <cellStyle name="Hyperlink 30" xfId="25867" hidden="1"/>
    <cellStyle name="Hyperlink 30" xfId="27553" hidden="1"/>
    <cellStyle name="Hyperlink 30" xfId="26886" hidden="1"/>
    <cellStyle name="Hyperlink 30" xfId="28510" hidden="1"/>
    <cellStyle name="Hyperlink 30" xfId="27853" hidden="1"/>
    <cellStyle name="Hyperlink 30" xfId="29428" hidden="1"/>
    <cellStyle name="Hyperlink 30" xfId="28810" hidden="1"/>
    <cellStyle name="Hyperlink 30" xfId="30218" hidden="1"/>
    <cellStyle name="Hyperlink 30" xfId="30875" hidden="1"/>
    <cellStyle name="Hyperlink 30" xfId="31149"/>
    <cellStyle name="Hyperlink 30 2" xfId="1842"/>
    <cellStyle name="Hyperlink 30 3" xfId="1843"/>
    <cellStyle name="Hyperlink 30 9" xfId="32633"/>
    <cellStyle name="Hyperlink 30_AGL" xfId="32634"/>
    <cellStyle name="Hyperlink 31" xfId="290" hidden="1"/>
    <cellStyle name="Hyperlink 31" xfId="562" hidden="1"/>
    <cellStyle name="Hyperlink 31" xfId="2289" hidden="1"/>
    <cellStyle name="Hyperlink 31" xfId="2561" hidden="1"/>
    <cellStyle name="Hyperlink 31" xfId="3791" hidden="1"/>
    <cellStyle name="Hyperlink 31" xfId="3376" hidden="1"/>
    <cellStyle name="Hyperlink 31" xfId="4579" hidden="1"/>
    <cellStyle name="Hyperlink 31" xfId="4990" hidden="1"/>
    <cellStyle name="Hyperlink 31" xfId="3853" hidden="1"/>
    <cellStyle name="Hyperlink 31" xfId="5951" hidden="1"/>
    <cellStyle name="Hyperlink 31" xfId="6528" hidden="1"/>
    <cellStyle name="Hyperlink 31" xfId="6934" hidden="1"/>
    <cellStyle name="Hyperlink 31" xfId="7494" hidden="1"/>
    <cellStyle name="Hyperlink 31" xfId="7891" hidden="1"/>
    <cellStyle name="Hyperlink 31" xfId="8442" hidden="1"/>
    <cellStyle name="Hyperlink 31" xfId="8809" hidden="1"/>
    <cellStyle name="Hyperlink 31" xfId="9332" hidden="1"/>
    <cellStyle name="Hyperlink 31" xfId="9600" hidden="1"/>
    <cellStyle name="Hyperlink 31" xfId="10255" hidden="1"/>
    <cellStyle name="Hyperlink 31" xfId="10523" hidden="1"/>
    <cellStyle name="Hyperlink 31" xfId="11619" hidden="1"/>
    <cellStyle name="Hyperlink 31" xfId="11891" hidden="1"/>
    <cellStyle name="Hyperlink 31" xfId="13501" hidden="1"/>
    <cellStyle name="Hyperlink 31" xfId="13773" hidden="1"/>
    <cellStyle name="Hyperlink 31" xfId="15002" hidden="1"/>
    <cellStyle name="Hyperlink 31" xfId="14588" hidden="1"/>
    <cellStyle name="Hyperlink 31" xfId="15790" hidden="1"/>
    <cellStyle name="Hyperlink 31" xfId="16201" hidden="1"/>
    <cellStyle name="Hyperlink 31" xfId="15064" hidden="1"/>
    <cellStyle name="Hyperlink 31" xfId="17162" hidden="1"/>
    <cellStyle name="Hyperlink 31" xfId="17739" hidden="1"/>
    <cellStyle name="Hyperlink 31" xfId="18145" hidden="1"/>
    <cellStyle name="Hyperlink 31" xfId="18705" hidden="1"/>
    <cellStyle name="Hyperlink 31" xfId="19102" hidden="1"/>
    <cellStyle name="Hyperlink 31" xfId="19653" hidden="1"/>
    <cellStyle name="Hyperlink 31" xfId="20020" hidden="1"/>
    <cellStyle name="Hyperlink 31" xfId="20543" hidden="1"/>
    <cellStyle name="Hyperlink 31" xfId="20811" hidden="1"/>
    <cellStyle name="Hyperlink 31" xfId="21466" hidden="1"/>
    <cellStyle name="Hyperlink 31" xfId="21734" hidden="1"/>
    <cellStyle name="Hyperlink 31" xfId="13080" hidden="1"/>
    <cellStyle name="Hyperlink 31" xfId="12784" hidden="1"/>
    <cellStyle name="Hyperlink 31" xfId="23191" hidden="1"/>
    <cellStyle name="Hyperlink 31" xfId="23463" hidden="1"/>
    <cellStyle name="Hyperlink 31" xfId="24418" hidden="1"/>
    <cellStyle name="Hyperlink 31" xfId="24193" hidden="1"/>
    <cellStyle name="Hyperlink 31" xfId="25203" hidden="1"/>
    <cellStyle name="Hyperlink 31" xfId="25614" hidden="1"/>
    <cellStyle name="Hyperlink 31" xfId="24480" hidden="1"/>
    <cellStyle name="Hyperlink 31" xfId="26574" hidden="1"/>
    <cellStyle name="Hyperlink 31" xfId="27151" hidden="1"/>
    <cellStyle name="Hyperlink 31" xfId="27557" hidden="1"/>
    <cellStyle name="Hyperlink 31" xfId="28117" hidden="1"/>
    <cellStyle name="Hyperlink 31" xfId="28514" hidden="1"/>
    <cellStyle name="Hyperlink 31" xfId="29065" hidden="1"/>
    <cellStyle name="Hyperlink 31" xfId="29432" hidden="1"/>
    <cellStyle name="Hyperlink 31" xfId="29955" hidden="1"/>
    <cellStyle name="Hyperlink 31" xfId="30222" hidden="1"/>
    <cellStyle name="Hyperlink 31" xfId="30877" hidden="1"/>
    <cellStyle name="Hyperlink 31" xfId="31145"/>
    <cellStyle name="Hyperlink 31 2" xfId="1844"/>
    <cellStyle name="Hyperlink 31 3" xfId="1845"/>
    <cellStyle name="Hyperlink 31 9" xfId="32635"/>
    <cellStyle name="Hyperlink 31_AGL" xfId="32636"/>
    <cellStyle name="Hyperlink 32" xfId="292" hidden="1"/>
    <cellStyle name="Hyperlink 32" xfId="558" hidden="1"/>
    <cellStyle name="Hyperlink 32" xfId="2291" hidden="1"/>
    <cellStyle name="Hyperlink 32" xfId="2557" hidden="1"/>
    <cellStyle name="Hyperlink 32" xfId="3789" hidden="1"/>
    <cellStyle name="Hyperlink 32" xfId="3379" hidden="1"/>
    <cellStyle name="Hyperlink 32" xfId="4216" hidden="1"/>
    <cellStyle name="Hyperlink 32" xfId="4994" hidden="1"/>
    <cellStyle name="Hyperlink 32" xfId="4618" hidden="1"/>
    <cellStyle name="Hyperlink 32" xfId="5955" hidden="1"/>
    <cellStyle name="Hyperlink 32" xfId="5496" hidden="1"/>
    <cellStyle name="Hyperlink 32" xfId="6938" hidden="1"/>
    <cellStyle name="Hyperlink 32" xfId="5646" hidden="1"/>
    <cellStyle name="Hyperlink 32" xfId="7895" hidden="1"/>
    <cellStyle name="Hyperlink 32" xfId="6730" hidden="1"/>
    <cellStyle name="Hyperlink 32" xfId="8813" hidden="1"/>
    <cellStyle name="Hyperlink 32" xfId="7688" hidden="1"/>
    <cellStyle name="Hyperlink 32" xfId="9604" hidden="1"/>
    <cellStyle name="Hyperlink 32" xfId="10257" hidden="1"/>
    <cellStyle name="Hyperlink 32" xfId="10519" hidden="1"/>
    <cellStyle name="Hyperlink 32" xfId="11621" hidden="1"/>
    <cellStyle name="Hyperlink 32" xfId="11887" hidden="1"/>
    <cellStyle name="Hyperlink 32" xfId="13503" hidden="1"/>
    <cellStyle name="Hyperlink 32" xfId="13769" hidden="1"/>
    <cellStyle name="Hyperlink 32" xfId="15000" hidden="1"/>
    <cellStyle name="Hyperlink 32" xfId="14591" hidden="1"/>
    <cellStyle name="Hyperlink 32" xfId="15427" hidden="1"/>
    <cellStyle name="Hyperlink 32" xfId="16205" hidden="1"/>
    <cellStyle name="Hyperlink 32" xfId="15829" hidden="1"/>
    <cellStyle name="Hyperlink 32" xfId="17166" hidden="1"/>
    <cellStyle name="Hyperlink 32" xfId="16707" hidden="1"/>
    <cellStyle name="Hyperlink 32" xfId="18149" hidden="1"/>
    <cellStyle name="Hyperlink 32" xfId="16857" hidden="1"/>
    <cellStyle name="Hyperlink 32" xfId="19106" hidden="1"/>
    <cellStyle name="Hyperlink 32" xfId="17941" hidden="1"/>
    <cellStyle name="Hyperlink 32" xfId="20024" hidden="1"/>
    <cellStyle name="Hyperlink 32" xfId="18899" hidden="1"/>
    <cellStyle name="Hyperlink 32" xfId="20815" hidden="1"/>
    <cellStyle name="Hyperlink 32" xfId="21468" hidden="1"/>
    <cellStyle name="Hyperlink 32" xfId="21730" hidden="1"/>
    <cellStyle name="Hyperlink 32" xfId="13078" hidden="1"/>
    <cellStyle name="Hyperlink 32" xfId="12239" hidden="1"/>
    <cellStyle name="Hyperlink 32" xfId="23193" hidden="1"/>
    <cellStyle name="Hyperlink 32" xfId="23459" hidden="1"/>
    <cellStyle name="Hyperlink 32" xfId="24416" hidden="1"/>
    <cellStyle name="Hyperlink 32" xfId="24196" hidden="1"/>
    <cellStyle name="Hyperlink 32" xfId="24840" hidden="1"/>
    <cellStyle name="Hyperlink 32" xfId="25618" hidden="1"/>
    <cellStyle name="Hyperlink 32" xfId="25242" hidden="1"/>
    <cellStyle name="Hyperlink 32" xfId="26578" hidden="1"/>
    <cellStyle name="Hyperlink 32" xfId="26120" hidden="1"/>
    <cellStyle name="Hyperlink 32" xfId="27561" hidden="1"/>
    <cellStyle name="Hyperlink 32" xfId="26269" hidden="1"/>
    <cellStyle name="Hyperlink 32" xfId="28518" hidden="1"/>
    <cellStyle name="Hyperlink 32" xfId="27353" hidden="1"/>
    <cellStyle name="Hyperlink 32" xfId="29436" hidden="1"/>
    <cellStyle name="Hyperlink 32" xfId="28311" hidden="1"/>
    <cellStyle name="Hyperlink 32" xfId="30226" hidden="1"/>
    <cellStyle name="Hyperlink 32" xfId="30879" hidden="1"/>
    <cellStyle name="Hyperlink 32" xfId="31141"/>
    <cellStyle name="Hyperlink 32 2" xfId="1846"/>
    <cellStyle name="Hyperlink 32 3" xfId="1847"/>
    <cellStyle name="Hyperlink 32 9" xfId="32637"/>
    <cellStyle name="Hyperlink 32_AGL" xfId="32638"/>
    <cellStyle name="Hyperlink 33" xfId="294" hidden="1"/>
    <cellStyle name="Hyperlink 33" xfId="554" hidden="1"/>
    <cellStyle name="Hyperlink 33" xfId="2293" hidden="1"/>
    <cellStyle name="Hyperlink 33" xfId="2553" hidden="1"/>
    <cellStyle name="Hyperlink 33" xfId="3787" hidden="1"/>
    <cellStyle name="Hyperlink 33" xfId="2921" hidden="1"/>
    <cellStyle name="Hyperlink 33" xfId="2952" hidden="1"/>
    <cellStyle name="Hyperlink 33" xfId="4998" hidden="1"/>
    <cellStyle name="Hyperlink 33" xfId="5613" hidden="1"/>
    <cellStyle name="Hyperlink 33" xfId="5959" hidden="1"/>
    <cellStyle name="Hyperlink 33" xfId="5619" hidden="1"/>
    <cellStyle name="Hyperlink 33" xfId="6942" hidden="1"/>
    <cellStyle name="Hyperlink 33" xfId="5501" hidden="1"/>
    <cellStyle name="Hyperlink 33" xfId="7899" hidden="1"/>
    <cellStyle name="Hyperlink 33" xfId="5853" hidden="1"/>
    <cellStyle name="Hyperlink 33" xfId="8817" hidden="1"/>
    <cellStyle name="Hyperlink 33" xfId="6601" hidden="1"/>
    <cellStyle name="Hyperlink 33" xfId="9608" hidden="1"/>
    <cellStyle name="Hyperlink 33" xfId="10259" hidden="1"/>
    <cellStyle name="Hyperlink 33" xfId="10515" hidden="1"/>
    <cellStyle name="Hyperlink 33" xfId="11623" hidden="1"/>
    <cellStyle name="Hyperlink 33" xfId="11883" hidden="1"/>
    <cellStyle name="Hyperlink 33" xfId="13505" hidden="1"/>
    <cellStyle name="Hyperlink 33" xfId="13765" hidden="1"/>
    <cellStyle name="Hyperlink 33" xfId="14998" hidden="1"/>
    <cellStyle name="Hyperlink 33" xfId="14133" hidden="1"/>
    <cellStyle name="Hyperlink 33" xfId="14164" hidden="1"/>
    <cellStyle name="Hyperlink 33" xfId="16209" hidden="1"/>
    <cellStyle name="Hyperlink 33" xfId="16824" hidden="1"/>
    <cellStyle name="Hyperlink 33" xfId="17170" hidden="1"/>
    <cellStyle name="Hyperlink 33" xfId="16830" hidden="1"/>
    <cellStyle name="Hyperlink 33" xfId="18153" hidden="1"/>
    <cellStyle name="Hyperlink 33" xfId="16712" hidden="1"/>
    <cellStyle name="Hyperlink 33" xfId="19110" hidden="1"/>
    <cellStyle name="Hyperlink 33" xfId="17064" hidden="1"/>
    <cellStyle name="Hyperlink 33" xfId="20028" hidden="1"/>
    <cellStyle name="Hyperlink 33" xfId="17812" hidden="1"/>
    <cellStyle name="Hyperlink 33" xfId="20819" hidden="1"/>
    <cellStyle name="Hyperlink 33" xfId="21470" hidden="1"/>
    <cellStyle name="Hyperlink 33" xfId="21726" hidden="1"/>
    <cellStyle name="Hyperlink 33" xfId="13077" hidden="1"/>
    <cellStyle name="Hyperlink 33" xfId="12684" hidden="1"/>
    <cellStyle name="Hyperlink 33" xfId="23195" hidden="1"/>
    <cellStyle name="Hyperlink 33" xfId="23455" hidden="1"/>
    <cellStyle name="Hyperlink 33" xfId="24414" hidden="1"/>
    <cellStyle name="Hyperlink 33" xfId="23820" hidden="1"/>
    <cellStyle name="Hyperlink 33" xfId="23845" hidden="1"/>
    <cellStyle name="Hyperlink 33" xfId="25622" hidden="1"/>
    <cellStyle name="Hyperlink 33" xfId="26236" hidden="1"/>
    <cellStyle name="Hyperlink 33" xfId="26582" hidden="1"/>
    <cellStyle name="Hyperlink 33" xfId="26242" hidden="1"/>
    <cellStyle name="Hyperlink 33" xfId="27565" hidden="1"/>
    <cellStyle name="Hyperlink 33" xfId="26125" hidden="1"/>
    <cellStyle name="Hyperlink 33" xfId="28522" hidden="1"/>
    <cellStyle name="Hyperlink 33" xfId="26476" hidden="1"/>
    <cellStyle name="Hyperlink 33" xfId="29440" hidden="1"/>
    <cellStyle name="Hyperlink 33" xfId="27224" hidden="1"/>
    <cellStyle name="Hyperlink 33" xfId="30230" hidden="1"/>
    <cellStyle name="Hyperlink 33" xfId="30881" hidden="1"/>
    <cellStyle name="Hyperlink 33" xfId="31137"/>
    <cellStyle name="Hyperlink 33 2" xfId="1848"/>
    <cellStyle name="Hyperlink 33 3" xfId="1849"/>
    <cellStyle name="Hyperlink 33 9" xfId="32639"/>
    <cellStyle name="Hyperlink 33_AGL" xfId="32640"/>
    <cellStyle name="Hyperlink 34" xfId="296" hidden="1"/>
    <cellStyle name="Hyperlink 34" xfId="550" hidden="1"/>
    <cellStyle name="Hyperlink 34" xfId="2295" hidden="1"/>
    <cellStyle name="Hyperlink 34" xfId="2549" hidden="1"/>
    <cellStyle name="Hyperlink 34" xfId="3785" hidden="1"/>
    <cellStyle name="Hyperlink 34" xfId="3383" hidden="1"/>
    <cellStyle name="Hyperlink 34" xfId="4638" hidden="1"/>
    <cellStyle name="Hyperlink 34" xfId="5002" hidden="1"/>
    <cellStyle name="Hyperlink 34" xfId="5612" hidden="1"/>
    <cellStyle name="Hyperlink 34" xfId="5963" hidden="1"/>
    <cellStyle name="Hyperlink 34" xfId="6586" hidden="1"/>
    <cellStyle name="Hyperlink 34" xfId="6946" hidden="1"/>
    <cellStyle name="Hyperlink 34" xfId="7551" hidden="1"/>
    <cellStyle name="Hyperlink 34" xfId="7903" hidden="1"/>
    <cellStyle name="Hyperlink 34" xfId="8496" hidden="1"/>
    <cellStyle name="Hyperlink 34" xfId="8821" hidden="1"/>
    <cellStyle name="Hyperlink 34" xfId="9370" hidden="1"/>
    <cellStyle name="Hyperlink 34" xfId="9612" hidden="1"/>
    <cellStyle name="Hyperlink 34" xfId="10261" hidden="1"/>
    <cellStyle name="Hyperlink 34" xfId="10511" hidden="1"/>
    <cellStyle name="Hyperlink 34" xfId="11625" hidden="1"/>
    <cellStyle name="Hyperlink 34" xfId="11879" hidden="1"/>
    <cellStyle name="Hyperlink 34" xfId="13507" hidden="1"/>
    <cellStyle name="Hyperlink 34" xfId="13761" hidden="1"/>
    <cellStyle name="Hyperlink 34" xfId="14996" hidden="1"/>
    <cellStyle name="Hyperlink 34" xfId="14595" hidden="1"/>
    <cellStyle name="Hyperlink 34" xfId="15849" hidden="1"/>
    <cellStyle name="Hyperlink 34" xfId="16213" hidden="1"/>
    <cellStyle name="Hyperlink 34" xfId="16823" hidden="1"/>
    <cellStyle name="Hyperlink 34" xfId="17174" hidden="1"/>
    <cellStyle name="Hyperlink 34" xfId="17797" hidden="1"/>
    <cellStyle name="Hyperlink 34" xfId="18157" hidden="1"/>
    <cellStyle name="Hyperlink 34" xfId="18762" hidden="1"/>
    <cellStyle name="Hyperlink 34" xfId="19114" hidden="1"/>
    <cellStyle name="Hyperlink 34" xfId="19707" hidden="1"/>
    <cellStyle name="Hyperlink 34" xfId="20032" hidden="1"/>
    <cellStyle name="Hyperlink 34" xfId="20581" hidden="1"/>
    <cellStyle name="Hyperlink 34" xfId="20823" hidden="1"/>
    <cellStyle name="Hyperlink 34" xfId="21472" hidden="1"/>
    <cellStyle name="Hyperlink 34" xfId="21722" hidden="1"/>
    <cellStyle name="Hyperlink 34" xfId="13075" hidden="1"/>
    <cellStyle name="Hyperlink 34" xfId="12240" hidden="1"/>
    <cellStyle name="Hyperlink 34" xfId="23197" hidden="1"/>
    <cellStyle name="Hyperlink 34" xfId="23451" hidden="1"/>
    <cellStyle name="Hyperlink 34" xfId="24412" hidden="1"/>
    <cellStyle name="Hyperlink 34" xfId="24199" hidden="1"/>
    <cellStyle name="Hyperlink 34" xfId="25262" hidden="1"/>
    <cellStyle name="Hyperlink 34" xfId="25626" hidden="1"/>
    <cellStyle name="Hyperlink 34" xfId="26235" hidden="1"/>
    <cellStyle name="Hyperlink 34" xfId="26586" hidden="1"/>
    <cellStyle name="Hyperlink 34" xfId="27209" hidden="1"/>
    <cellStyle name="Hyperlink 34" xfId="27569" hidden="1"/>
    <cellStyle name="Hyperlink 34" xfId="28174" hidden="1"/>
    <cellStyle name="Hyperlink 34" xfId="28526" hidden="1"/>
    <cellStyle name="Hyperlink 34" xfId="29119" hidden="1"/>
    <cellStyle name="Hyperlink 34" xfId="29444" hidden="1"/>
    <cellStyle name="Hyperlink 34" xfId="29992" hidden="1"/>
    <cellStyle name="Hyperlink 34" xfId="30234" hidden="1"/>
    <cellStyle name="Hyperlink 34" xfId="30883" hidden="1"/>
    <cellStyle name="Hyperlink 34" xfId="31133"/>
    <cellStyle name="Hyperlink 34 2" xfId="1850"/>
    <cellStyle name="Hyperlink 34 3" xfId="1851"/>
    <cellStyle name="Hyperlink 34 9" xfId="32641"/>
    <cellStyle name="Hyperlink 34_AGL" xfId="32642"/>
    <cellStyle name="Hyperlink 35" xfId="298" hidden="1"/>
    <cellStyle name="Hyperlink 35" xfId="546" hidden="1"/>
    <cellStyle name="Hyperlink 35" xfId="2297" hidden="1"/>
    <cellStyle name="Hyperlink 35" xfId="2545" hidden="1"/>
    <cellStyle name="Hyperlink 35" xfId="3783" hidden="1"/>
    <cellStyle name="Hyperlink 35" xfId="2922" hidden="1"/>
    <cellStyle name="Hyperlink 35" xfId="4052" hidden="1"/>
    <cellStyle name="Hyperlink 35" xfId="5006" hidden="1"/>
    <cellStyle name="Hyperlink 35" xfId="5715" hidden="1"/>
    <cellStyle name="Hyperlink 35" xfId="5967" hidden="1"/>
    <cellStyle name="Hyperlink 35" xfId="5753" hidden="1"/>
    <cellStyle name="Hyperlink 35" xfId="6950" hidden="1"/>
    <cellStyle name="Hyperlink 35" xfId="5846" hidden="1"/>
    <cellStyle name="Hyperlink 35" xfId="7907" hidden="1"/>
    <cellStyle name="Hyperlink 35" xfId="6733" hidden="1"/>
    <cellStyle name="Hyperlink 35" xfId="8825" hidden="1"/>
    <cellStyle name="Hyperlink 35" xfId="7691" hidden="1"/>
    <cellStyle name="Hyperlink 35" xfId="9616" hidden="1"/>
    <cellStyle name="Hyperlink 35" xfId="10263" hidden="1"/>
    <cellStyle name="Hyperlink 35" xfId="10507" hidden="1"/>
    <cellStyle name="Hyperlink 35" xfId="11627" hidden="1"/>
    <cellStyle name="Hyperlink 35" xfId="11875" hidden="1"/>
    <cellStyle name="Hyperlink 35" xfId="13509" hidden="1"/>
    <cellStyle name="Hyperlink 35" xfId="13757" hidden="1"/>
    <cellStyle name="Hyperlink 35" xfId="14994" hidden="1"/>
    <cellStyle name="Hyperlink 35" xfId="14134" hidden="1"/>
    <cellStyle name="Hyperlink 35" xfId="15263" hidden="1"/>
    <cellStyle name="Hyperlink 35" xfId="16217" hidden="1"/>
    <cellStyle name="Hyperlink 35" xfId="16926" hidden="1"/>
    <cellStyle name="Hyperlink 35" xfId="17178" hidden="1"/>
    <cellStyle name="Hyperlink 35" xfId="16964" hidden="1"/>
    <cellStyle name="Hyperlink 35" xfId="18161" hidden="1"/>
    <cellStyle name="Hyperlink 35" xfId="17057" hidden="1"/>
    <cellStyle name="Hyperlink 35" xfId="19118" hidden="1"/>
    <cellStyle name="Hyperlink 35" xfId="17944" hidden="1"/>
    <cellStyle name="Hyperlink 35" xfId="20036" hidden="1"/>
    <cellStyle name="Hyperlink 35" xfId="18902" hidden="1"/>
    <cellStyle name="Hyperlink 35" xfId="20827" hidden="1"/>
    <cellStyle name="Hyperlink 35" xfId="21474" hidden="1"/>
    <cellStyle name="Hyperlink 35" xfId="21718" hidden="1"/>
    <cellStyle name="Hyperlink 35" xfId="13073" hidden="1"/>
    <cellStyle name="Hyperlink 35" xfId="12123" hidden="1"/>
    <cellStyle name="Hyperlink 35" xfId="23199" hidden="1"/>
    <cellStyle name="Hyperlink 35" xfId="23447" hidden="1"/>
    <cellStyle name="Hyperlink 35" xfId="24410" hidden="1"/>
    <cellStyle name="Hyperlink 35" xfId="23821" hidden="1"/>
    <cellStyle name="Hyperlink 35" xfId="24676" hidden="1"/>
    <cellStyle name="Hyperlink 35" xfId="25630" hidden="1"/>
    <cellStyle name="Hyperlink 35" xfId="26338" hidden="1"/>
    <cellStyle name="Hyperlink 35" xfId="26590" hidden="1"/>
    <cellStyle name="Hyperlink 35" xfId="26376" hidden="1"/>
    <cellStyle name="Hyperlink 35" xfId="27573" hidden="1"/>
    <cellStyle name="Hyperlink 35" xfId="26469" hidden="1"/>
    <cellStyle name="Hyperlink 35" xfId="28530" hidden="1"/>
    <cellStyle name="Hyperlink 35" xfId="27356" hidden="1"/>
    <cellStyle name="Hyperlink 35" xfId="29448" hidden="1"/>
    <cellStyle name="Hyperlink 35" xfId="28314" hidden="1"/>
    <cellStyle name="Hyperlink 35" xfId="30238" hidden="1"/>
    <cellStyle name="Hyperlink 35" xfId="30885" hidden="1"/>
    <cellStyle name="Hyperlink 35" xfId="31129"/>
    <cellStyle name="Hyperlink 35 2" xfId="1852"/>
    <cellStyle name="Hyperlink 35 3" xfId="1853"/>
    <cellStyle name="Hyperlink 35 9" xfId="32643"/>
    <cellStyle name="Hyperlink 35_AGL" xfId="32644"/>
    <cellStyle name="Hyperlink 36" xfId="300" hidden="1"/>
    <cellStyle name="Hyperlink 36" xfId="542" hidden="1"/>
    <cellStyle name="Hyperlink 36" xfId="2299" hidden="1"/>
    <cellStyle name="Hyperlink 36" xfId="2541" hidden="1"/>
    <cellStyle name="Hyperlink 36" xfId="3781" hidden="1"/>
    <cellStyle name="Hyperlink 36" xfId="2796" hidden="1"/>
    <cellStyle name="Hyperlink 36" xfId="4055" hidden="1"/>
    <cellStyle name="Hyperlink 36" xfId="5010" hidden="1"/>
    <cellStyle name="Hyperlink 36" xfId="5515" hidden="1"/>
    <cellStyle name="Hyperlink 36" xfId="5971" hidden="1"/>
    <cellStyle name="Hyperlink 36" xfId="5805" hidden="1"/>
    <cellStyle name="Hyperlink 36" xfId="6954" hidden="1"/>
    <cellStyle name="Hyperlink 36" xfId="6566" hidden="1"/>
    <cellStyle name="Hyperlink 36" xfId="7911" hidden="1"/>
    <cellStyle name="Hyperlink 36" xfId="7532" hidden="1"/>
    <cellStyle name="Hyperlink 36" xfId="8829" hidden="1"/>
    <cellStyle name="Hyperlink 36" xfId="8479" hidden="1"/>
    <cellStyle name="Hyperlink 36" xfId="9620" hidden="1"/>
    <cellStyle name="Hyperlink 36" xfId="10265" hidden="1"/>
    <cellStyle name="Hyperlink 36" xfId="10503" hidden="1"/>
    <cellStyle name="Hyperlink 36" xfId="11629" hidden="1"/>
    <cellStyle name="Hyperlink 36" xfId="11871" hidden="1"/>
    <cellStyle name="Hyperlink 36" xfId="13511" hidden="1"/>
    <cellStyle name="Hyperlink 36" xfId="13753" hidden="1"/>
    <cellStyle name="Hyperlink 36" xfId="14992" hidden="1"/>
    <cellStyle name="Hyperlink 36" xfId="14008" hidden="1"/>
    <cellStyle name="Hyperlink 36" xfId="15266" hidden="1"/>
    <cellStyle name="Hyperlink 36" xfId="16221" hidden="1"/>
    <cellStyle name="Hyperlink 36" xfId="16726" hidden="1"/>
    <cellStyle name="Hyperlink 36" xfId="17182" hidden="1"/>
    <cellStyle name="Hyperlink 36" xfId="17016" hidden="1"/>
    <cellStyle name="Hyperlink 36" xfId="18165" hidden="1"/>
    <cellStyle name="Hyperlink 36" xfId="17777" hidden="1"/>
    <cellStyle name="Hyperlink 36" xfId="19122" hidden="1"/>
    <cellStyle name="Hyperlink 36" xfId="18743" hidden="1"/>
    <cellStyle name="Hyperlink 36" xfId="20040" hidden="1"/>
    <cellStyle name="Hyperlink 36" xfId="19690" hidden="1"/>
    <cellStyle name="Hyperlink 36" xfId="20831" hidden="1"/>
    <cellStyle name="Hyperlink 36" xfId="21476" hidden="1"/>
    <cellStyle name="Hyperlink 36" xfId="21714" hidden="1"/>
    <cellStyle name="Hyperlink 36" xfId="13071" hidden="1"/>
    <cellStyle name="Hyperlink 36" xfId="12124" hidden="1"/>
    <cellStyle name="Hyperlink 36" xfId="23201" hidden="1"/>
    <cellStyle name="Hyperlink 36" xfId="23443" hidden="1"/>
    <cellStyle name="Hyperlink 36" xfId="24408" hidden="1"/>
    <cellStyle name="Hyperlink 36" xfId="23698" hidden="1"/>
    <cellStyle name="Hyperlink 36" xfId="24679" hidden="1"/>
    <cellStyle name="Hyperlink 36" xfId="25634" hidden="1"/>
    <cellStyle name="Hyperlink 36" xfId="26139" hidden="1"/>
    <cellStyle name="Hyperlink 36" xfId="26594" hidden="1"/>
    <cellStyle name="Hyperlink 36" xfId="26428" hidden="1"/>
    <cellStyle name="Hyperlink 36" xfId="27577" hidden="1"/>
    <cellStyle name="Hyperlink 36" xfId="27189" hidden="1"/>
    <cellStyle name="Hyperlink 36" xfId="28534" hidden="1"/>
    <cellStyle name="Hyperlink 36" xfId="28155" hidden="1"/>
    <cellStyle name="Hyperlink 36" xfId="29452" hidden="1"/>
    <cellStyle name="Hyperlink 36" xfId="29102" hidden="1"/>
    <cellStyle name="Hyperlink 36" xfId="30242" hidden="1"/>
    <cellStyle name="Hyperlink 36" xfId="30887" hidden="1"/>
    <cellStyle name="Hyperlink 36" xfId="31125"/>
    <cellStyle name="Hyperlink 36 2" xfId="1854"/>
    <cellStyle name="Hyperlink 36 3" xfId="1855"/>
    <cellStyle name="Hyperlink 36 9" xfId="32645"/>
    <cellStyle name="Hyperlink 36_AGL" xfId="32646"/>
    <cellStyle name="Hyperlink 37" xfId="302" hidden="1"/>
    <cellStyle name="Hyperlink 37" xfId="538" hidden="1"/>
    <cellStyle name="Hyperlink 37" xfId="2301" hidden="1"/>
    <cellStyle name="Hyperlink 37" xfId="2537" hidden="1"/>
    <cellStyle name="Hyperlink 37" xfId="3779" hidden="1"/>
    <cellStyle name="Hyperlink 37" xfId="2797" hidden="1"/>
    <cellStyle name="Hyperlink 37" xfId="4637" hidden="1"/>
    <cellStyle name="Hyperlink 37" xfId="5014" hidden="1"/>
    <cellStyle name="Hyperlink 37" xfId="4061" hidden="1"/>
    <cellStyle name="Hyperlink 37" xfId="5975" hidden="1"/>
    <cellStyle name="Hyperlink 37" xfId="6585" hidden="1"/>
    <cellStyle name="Hyperlink 37" xfId="6958" hidden="1"/>
    <cellStyle name="Hyperlink 37" xfId="7550" hidden="1"/>
    <cellStyle name="Hyperlink 37" xfId="7915" hidden="1"/>
    <cellStyle name="Hyperlink 37" xfId="8495" hidden="1"/>
    <cellStyle name="Hyperlink 37" xfId="8833" hidden="1"/>
    <cellStyle name="Hyperlink 37" xfId="9369" hidden="1"/>
    <cellStyle name="Hyperlink 37" xfId="9624" hidden="1"/>
    <cellStyle name="Hyperlink 37" xfId="10267" hidden="1"/>
    <cellStyle name="Hyperlink 37" xfId="10499" hidden="1"/>
    <cellStyle name="Hyperlink 37" xfId="11631" hidden="1"/>
    <cellStyle name="Hyperlink 37" xfId="11867" hidden="1"/>
    <cellStyle name="Hyperlink 37" xfId="13513" hidden="1"/>
    <cellStyle name="Hyperlink 37" xfId="13749" hidden="1"/>
    <cellStyle name="Hyperlink 37" xfId="14990" hidden="1"/>
    <cellStyle name="Hyperlink 37" xfId="14009" hidden="1"/>
    <cellStyle name="Hyperlink 37" xfId="15848" hidden="1"/>
    <cellStyle name="Hyperlink 37" xfId="16225" hidden="1"/>
    <cellStyle name="Hyperlink 37" xfId="15272" hidden="1"/>
    <cellStyle name="Hyperlink 37" xfId="17186" hidden="1"/>
    <cellStyle name="Hyperlink 37" xfId="17796" hidden="1"/>
    <cellStyle name="Hyperlink 37" xfId="18169" hidden="1"/>
    <cellStyle name="Hyperlink 37" xfId="18761" hidden="1"/>
    <cellStyle name="Hyperlink 37" xfId="19126" hidden="1"/>
    <cellStyle name="Hyperlink 37" xfId="19706" hidden="1"/>
    <cellStyle name="Hyperlink 37" xfId="20044" hidden="1"/>
    <cellStyle name="Hyperlink 37" xfId="20580" hidden="1"/>
    <cellStyle name="Hyperlink 37" xfId="20835" hidden="1"/>
    <cellStyle name="Hyperlink 37" xfId="21478" hidden="1"/>
    <cellStyle name="Hyperlink 37" xfId="21710" hidden="1"/>
    <cellStyle name="Hyperlink 37" xfId="13069" hidden="1"/>
    <cellStyle name="Hyperlink 37" xfId="12243" hidden="1"/>
    <cellStyle name="Hyperlink 37" xfId="23203" hidden="1"/>
    <cellStyle name="Hyperlink 37" xfId="23439" hidden="1"/>
    <cellStyle name="Hyperlink 37" xfId="24406" hidden="1"/>
    <cellStyle name="Hyperlink 37" xfId="23699" hidden="1"/>
    <cellStyle name="Hyperlink 37" xfId="25261" hidden="1"/>
    <cellStyle name="Hyperlink 37" xfId="25638" hidden="1"/>
    <cellStyle name="Hyperlink 37" xfId="24685" hidden="1"/>
    <cellStyle name="Hyperlink 37" xfId="26598" hidden="1"/>
    <cellStyle name="Hyperlink 37" xfId="27208" hidden="1"/>
    <cellStyle name="Hyperlink 37" xfId="27581" hidden="1"/>
    <cellStyle name="Hyperlink 37" xfId="28173" hidden="1"/>
    <cellStyle name="Hyperlink 37" xfId="28538" hidden="1"/>
    <cellStyle name="Hyperlink 37" xfId="29118" hidden="1"/>
    <cellStyle name="Hyperlink 37" xfId="29456" hidden="1"/>
    <cellStyle name="Hyperlink 37" xfId="29991" hidden="1"/>
    <cellStyle name="Hyperlink 37" xfId="30246" hidden="1"/>
    <cellStyle name="Hyperlink 37" xfId="30889" hidden="1"/>
    <cellStyle name="Hyperlink 37" xfId="31121"/>
    <cellStyle name="Hyperlink 37 2" xfId="1856"/>
    <cellStyle name="Hyperlink 37 3" xfId="1857"/>
    <cellStyle name="Hyperlink 37 9" xfId="32647"/>
    <cellStyle name="Hyperlink 37_AGL" xfId="32648"/>
    <cellStyle name="Hyperlink 38" xfId="304" hidden="1"/>
    <cellStyle name="Hyperlink 38" xfId="534" hidden="1"/>
    <cellStyle name="Hyperlink 38" xfId="2303" hidden="1"/>
    <cellStyle name="Hyperlink 38" xfId="2533" hidden="1"/>
    <cellStyle name="Hyperlink 38" xfId="3777" hidden="1"/>
    <cellStyle name="Hyperlink 38" xfId="2925" hidden="1"/>
    <cellStyle name="Hyperlink 38" xfId="4636" hidden="1"/>
    <cellStyle name="Hyperlink 38" xfId="5018" hidden="1"/>
    <cellStyle name="Hyperlink 38" xfId="6207" hidden="1"/>
    <cellStyle name="Hyperlink 38" xfId="5979" hidden="1"/>
    <cellStyle name="Hyperlink 38" xfId="6584" hidden="1"/>
    <cellStyle name="Hyperlink 38" xfId="6962" hidden="1"/>
    <cellStyle name="Hyperlink 38" xfId="7549" hidden="1"/>
    <cellStyle name="Hyperlink 38" xfId="7919" hidden="1"/>
    <cellStyle name="Hyperlink 38" xfId="8494" hidden="1"/>
    <cellStyle name="Hyperlink 38" xfId="8837" hidden="1"/>
    <cellStyle name="Hyperlink 38" xfId="9368" hidden="1"/>
    <cellStyle name="Hyperlink 38" xfId="9628" hidden="1"/>
    <cellStyle name="Hyperlink 38" xfId="10269" hidden="1"/>
    <cellStyle name="Hyperlink 38" xfId="10495" hidden="1"/>
    <cellStyle name="Hyperlink 38" xfId="11633" hidden="1"/>
    <cellStyle name="Hyperlink 38" xfId="11863" hidden="1"/>
    <cellStyle name="Hyperlink 38" xfId="13515" hidden="1"/>
    <cellStyle name="Hyperlink 38" xfId="13745" hidden="1"/>
    <cellStyle name="Hyperlink 38" xfId="14988" hidden="1"/>
    <cellStyle name="Hyperlink 38" xfId="14137" hidden="1"/>
    <cellStyle name="Hyperlink 38" xfId="15847" hidden="1"/>
    <cellStyle name="Hyperlink 38" xfId="16229" hidden="1"/>
    <cellStyle name="Hyperlink 38" xfId="17418" hidden="1"/>
    <cellStyle name="Hyperlink 38" xfId="17190" hidden="1"/>
    <cellStyle name="Hyperlink 38" xfId="17795" hidden="1"/>
    <cellStyle name="Hyperlink 38" xfId="18173" hidden="1"/>
    <cellStyle name="Hyperlink 38" xfId="18760" hidden="1"/>
    <cellStyle name="Hyperlink 38" xfId="19130" hidden="1"/>
    <cellStyle name="Hyperlink 38" xfId="19705" hidden="1"/>
    <cellStyle name="Hyperlink 38" xfId="20048" hidden="1"/>
    <cellStyle name="Hyperlink 38" xfId="20579" hidden="1"/>
    <cellStyle name="Hyperlink 38" xfId="20839" hidden="1"/>
    <cellStyle name="Hyperlink 38" xfId="21480" hidden="1"/>
    <cellStyle name="Hyperlink 38" xfId="21706" hidden="1"/>
    <cellStyle name="Hyperlink 38" xfId="13067" hidden="1"/>
    <cellStyle name="Hyperlink 38" xfId="11344" hidden="1"/>
    <cellStyle name="Hyperlink 38" xfId="23205" hidden="1"/>
    <cellStyle name="Hyperlink 38" xfId="23435" hidden="1"/>
    <cellStyle name="Hyperlink 38" xfId="24404" hidden="1"/>
    <cellStyle name="Hyperlink 38" xfId="23824" hidden="1"/>
    <cellStyle name="Hyperlink 38" xfId="25260" hidden="1"/>
    <cellStyle name="Hyperlink 38" xfId="25642" hidden="1"/>
    <cellStyle name="Hyperlink 38" xfId="26830" hidden="1"/>
    <cellStyle name="Hyperlink 38" xfId="26602" hidden="1"/>
    <cellStyle name="Hyperlink 38" xfId="27207" hidden="1"/>
    <cellStyle name="Hyperlink 38" xfId="27585" hidden="1"/>
    <cellStyle name="Hyperlink 38" xfId="28172" hidden="1"/>
    <cellStyle name="Hyperlink 38" xfId="28542" hidden="1"/>
    <cellStyle name="Hyperlink 38" xfId="29117" hidden="1"/>
    <cellStyle name="Hyperlink 38" xfId="29460" hidden="1"/>
    <cellStyle name="Hyperlink 38" xfId="29990" hidden="1"/>
    <cellStyle name="Hyperlink 38" xfId="30250" hidden="1"/>
    <cellStyle name="Hyperlink 38" xfId="30891" hidden="1"/>
    <cellStyle name="Hyperlink 38" xfId="31117"/>
    <cellStyle name="Hyperlink 38 2" xfId="1858"/>
    <cellStyle name="Hyperlink 38 3" xfId="1859"/>
    <cellStyle name="Hyperlink 38 9" xfId="32649"/>
    <cellStyle name="Hyperlink 38_AGL" xfId="32650"/>
    <cellStyle name="Hyperlink 39" xfId="306" hidden="1"/>
    <cellStyle name="Hyperlink 39" xfId="530" hidden="1"/>
    <cellStyle name="Hyperlink 39" xfId="2305" hidden="1"/>
    <cellStyle name="Hyperlink 39" xfId="2529" hidden="1"/>
    <cellStyle name="Hyperlink 39" xfId="3775" hidden="1"/>
    <cellStyle name="Hyperlink 39" xfId="2010" hidden="1"/>
    <cellStyle name="Hyperlink 39" xfId="4743" hidden="1"/>
    <cellStyle name="Hyperlink 39" xfId="5022" hidden="1"/>
    <cellStyle name="Hyperlink 39" xfId="6205" hidden="1"/>
    <cellStyle name="Hyperlink 39" xfId="5983" hidden="1"/>
    <cellStyle name="Hyperlink 39" xfId="6690" hidden="1"/>
    <cellStyle name="Hyperlink 39" xfId="6966" hidden="1"/>
    <cellStyle name="Hyperlink 39" xfId="7648" hidden="1"/>
    <cellStyle name="Hyperlink 39" xfId="7923" hidden="1"/>
    <cellStyle name="Hyperlink 39" xfId="8581" hidden="1"/>
    <cellStyle name="Hyperlink 39" xfId="8841" hidden="1"/>
    <cellStyle name="Hyperlink 39" xfId="9420" hidden="1"/>
    <cellStyle name="Hyperlink 39" xfId="9632" hidden="1"/>
    <cellStyle name="Hyperlink 39" xfId="10271" hidden="1"/>
    <cellStyle name="Hyperlink 39" xfId="10491" hidden="1"/>
    <cellStyle name="Hyperlink 39" xfId="11635" hidden="1"/>
    <cellStyle name="Hyperlink 39" xfId="11859" hidden="1"/>
    <cellStyle name="Hyperlink 39" xfId="13517" hidden="1"/>
    <cellStyle name="Hyperlink 39" xfId="13741" hidden="1"/>
    <cellStyle name="Hyperlink 39" xfId="14986" hidden="1"/>
    <cellStyle name="Hyperlink 39" xfId="13222" hidden="1"/>
    <cellStyle name="Hyperlink 39" xfId="15954" hidden="1"/>
    <cellStyle name="Hyperlink 39" xfId="16233" hidden="1"/>
    <cellStyle name="Hyperlink 39" xfId="17416" hidden="1"/>
    <cellStyle name="Hyperlink 39" xfId="17194" hidden="1"/>
    <cellStyle name="Hyperlink 39" xfId="17901" hidden="1"/>
    <cellStyle name="Hyperlink 39" xfId="18177" hidden="1"/>
    <cellStyle name="Hyperlink 39" xfId="18859" hidden="1"/>
    <cellStyle name="Hyperlink 39" xfId="19134" hidden="1"/>
    <cellStyle name="Hyperlink 39" xfId="19792" hidden="1"/>
    <cellStyle name="Hyperlink 39" xfId="20052" hidden="1"/>
    <cellStyle name="Hyperlink 39" xfId="20631" hidden="1"/>
    <cellStyle name="Hyperlink 39" xfId="20843" hidden="1"/>
    <cellStyle name="Hyperlink 39" xfId="21482" hidden="1"/>
    <cellStyle name="Hyperlink 39" xfId="21702" hidden="1"/>
    <cellStyle name="Hyperlink 39" xfId="13065" hidden="1"/>
    <cellStyle name="Hyperlink 39" xfId="11352" hidden="1"/>
    <cellStyle name="Hyperlink 39" xfId="23207" hidden="1"/>
    <cellStyle name="Hyperlink 39" xfId="23431" hidden="1"/>
    <cellStyle name="Hyperlink 39" xfId="24402" hidden="1"/>
    <cellStyle name="Hyperlink 39" xfId="22912" hidden="1"/>
    <cellStyle name="Hyperlink 39" xfId="25367" hidden="1"/>
    <cellStyle name="Hyperlink 39" xfId="25646" hidden="1"/>
    <cellStyle name="Hyperlink 39" xfId="26828" hidden="1"/>
    <cellStyle name="Hyperlink 39" xfId="26606" hidden="1"/>
    <cellStyle name="Hyperlink 39" xfId="27313" hidden="1"/>
    <cellStyle name="Hyperlink 39" xfId="27589" hidden="1"/>
    <cellStyle name="Hyperlink 39" xfId="28271" hidden="1"/>
    <cellStyle name="Hyperlink 39" xfId="28546" hidden="1"/>
    <cellStyle name="Hyperlink 39" xfId="29204" hidden="1"/>
    <cellStyle name="Hyperlink 39" xfId="29464" hidden="1"/>
    <cellStyle name="Hyperlink 39" xfId="30042" hidden="1"/>
    <cellStyle name="Hyperlink 39" xfId="30254" hidden="1"/>
    <cellStyle name="Hyperlink 39" xfId="30893" hidden="1"/>
    <cellStyle name="Hyperlink 39" xfId="31113"/>
    <cellStyle name="Hyperlink 39 2" xfId="1860"/>
    <cellStyle name="Hyperlink 39 3" xfId="1861"/>
    <cellStyle name="Hyperlink 39 9" xfId="32651"/>
    <cellStyle name="Hyperlink 39_AGL" xfId="32652"/>
    <cellStyle name="Hyperlink 4" xfId="236" hidden="1"/>
    <cellStyle name="Hyperlink 4" xfId="670" hidden="1"/>
    <cellStyle name="Hyperlink 4" xfId="2235" hidden="1"/>
    <cellStyle name="Hyperlink 4" xfId="2669" hidden="1"/>
    <cellStyle name="Hyperlink 4" xfId="3844" hidden="1"/>
    <cellStyle name="Hyperlink 4" xfId="3469" hidden="1"/>
    <cellStyle name="Hyperlink 4" xfId="4876" hidden="1"/>
    <cellStyle name="Hyperlink 4" xfId="3903" hidden="1"/>
    <cellStyle name="Hyperlink 4" xfId="4535" hidden="1"/>
    <cellStyle name="Hyperlink 4" xfId="4111" hidden="1"/>
    <cellStyle name="Hyperlink 4" xfId="6822" hidden="1"/>
    <cellStyle name="Hyperlink 4" xfId="5559" hidden="1"/>
    <cellStyle name="Hyperlink 4" xfId="7779" hidden="1"/>
    <cellStyle name="Hyperlink 4" xfId="5495" hidden="1"/>
    <cellStyle name="Hyperlink 4" xfId="8702" hidden="1"/>
    <cellStyle name="Hyperlink 4" xfId="6852" hidden="1"/>
    <cellStyle name="Hyperlink 4" xfId="9504" hidden="1"/>
    <cellStyle name="Hyperlink 4" xfId="7809" hidden="1"/>
    <cellStyle name="Hyperlink 4" xfId="10201" hidden="1"/>
    <cellStyle name="Hyperlink 4" xfId="10631" hidden="1"/>
    <cellStyle name="Hyperlink 4" xfId="11565" hidden="1"/>
    <cellStyle name="Hyperlink 4" xfId="11999" hidden="1"/>
    <cellStyle name="Hyperlink 4" xfId="13447" hidden="1"/>
    <cellStyle name="Hyperlink 4" xfId="13881" hidden="1"/>
    <cellStyle name="Hyperlink 4" xfId="15055" hidden="1"/>
    <cellStyle name="Hyperlink 4" xfId="14680" hidden="1"/>
    <cellStyle name="Hyperlink 4" xfId="16087" hidden="1"/>
    <cellStyle name="Hyperlink 4" xfId="15114" hidden="1"/>
    <cellStyle name="Hyperlink 4" xfId="15746" hidden="1"/>
    <cellStyle name="Hyperlink 4" xfId="15322" hidden="1"/>
    <cellStyle name="Hyperlink 4" xfId="18033" hidden="1"/>
    <cellStyle name="Hyperlink 4" xfId="16770" hidden="1"/>
    <cellStyle name="Hyperlink 4" xfId="18990" hidden="1"/>
    <cellStyle name="Hyperlink 4" xfId="16706" hidden="1"/>
    <cellStyle name="Hyperlink 4" xfId="19913" hidden="1"/>
    <cellStyle name="Hyperlink 4" xfId="18063" hidden="1"/>
    <cellStyle name="Hyperlink 4" xfId="20715" hidden="1"/>
    <cellStyle name="Hyperlink 4" xfId="19020" hidden="1"/>
    <cellStyle name="Hyperlink 4" xfId="21412" hidden="1"/>
    <cellStyle name="Hyperlink 4" xfId="21842" hidden="1"/>
    <cellStyle name="Hyperlink 4" xfId="13134" hidden="1"/>
    <cellStyle name="Hyperlink 4" xfId="12764" hidden="1"/>
    <cellStyle name="Hyperlink 4" xfId="23137" hidden="1"/>
    <cellStyle name="Hyperlink 4" xfId="23571" hidden="1"/>
    <cellStyle name="Hyperlink 4" xfId="24471" hidden="1"/>
    <cellStyle name="Hyperlink 4" xfId="24239" hidden="1"/>
    <cellStyle name="Hyperlink 4" xfId="25500" hidden="1"/>
    <cellStyle name="Hyperlink 4" xfId="24530" hidden="1"/>
    <cellStyle name="Hyperlink 4" xfId="25159" hidden="1"/>
    <cellStyle name="Hyperlink 4" xfId="24735" hidden="1"/>
    <cellStyle name="Hyperlink 4" xfId="27445" hidden="1"/>
    <cellStyle name="Hyperlink 4" xfId="26183" hidden="1"/>
    <cellStyle name="Hyperlink 4" xfId="28402" hidden="1"/>
    <cellStyle name="Hyperlink 4" xfId="26119" hidden="1"/>
    <cellStyle name="Hyperlink 4" xfId="29325" hidden="1"/>
    <cellStyle name="Hyperlink 4" xfId="27475" hidden="1"/>
    <cellStyle name="Hyperlink 4" xfId="30126" hidden="1"/>
    <cellStyle name="Hyperlink 4" xfId="28432" hidden="1"/>
    <cellStyle name="Hyperlink 4" xfId="30823" hidden="1"/>
    <cellStyle name="Hyperlink 4" xfId="31253"/>
    <cellStyle name="Hyperlink 4 2" xfId="1862"/>
    <cellStyle name="Hyperlink 4 3" xfId="1863"/>
    <cellStyle name="Hyperlink 4 9" xfId="32653"/>
    <cellStyle name="Hyperlink 4_AGL" xfId="32654"/>
    <cellStyle name="Hyperlink 40" xfId="308" hidden="1"/>
    <cellStyle name="Hyperlink 40" xfId="526" hidden="1"/>
    <cellStyle name="Hyperlink 40" xfId="2307" hidden="1"/>
    <cellStyle name="Hyperlink 40" xfId="2525" hidden="1"/>
    <cellStyle name="Hyperlink 40" xfId="3773" hidden="1"/>
    <cellStyle name="Hyperlink 40" xfId="2018" hidden="1"/>
    <cellStyle name="Hyperlink 40" xfId="4540" hidden="1"/>
    <cellStyle name="Hyperlink 40" xfId="5026" hidden="1"/>
    <cellStyle name="Hyperlink 40" xfId="6203" hidden="1"/>
    <cellStyle name="Hyperlink 40" xfId="5987" hidden="1"/>
    <cellStyle name="Hyperlink 40" xfId="6489" hidden="1"/>
    <cellStyle name="Hyperlink 40" xfId="6970" hidden="1"/>
    <cellStyle name="Hyperlink 40" xfId="7455" hidden="1"/>
    <cellStyle name="Hyperlink 40" xfId="7927" hidden="1"/>
    <cellStyle name="Hyperlink 40" xfId="8404" hidden="1"/>
    <cellStyle name="Hyperlink 40" xfId="8845" hidden="1"/>
    <cellStyle name="Hyperlink 40" xfId="9308" hidden="1"/>
    <cellStyle name="Hyperlink 40" xfId="9636" hidden="1"/>
    <cellStyle name="Hyperlink 40" xfId="10273" hidden="1"/>
    <cellStyle name="Hyperlink 40" xfId="10487" hidden="1"/>
    <cellStyle name="Hyperlink 40" xfId="11637" hidden="1"/>
    <cellStyle name="Hyperlink 40" xfId="11855" hidden="1"/>
    <cellStyle name="Hyperlink 40" xfId="13519" hidden="1"/>
    <cellStyle name="Hyperlink 40" xfId="13737" hidden="1"/>
    <cellStyle name="Hyperlink 40" xfId="14984" hidden="1"/>
    <cellStyle name="Hyperlink 40" xfId="13230" hidden="1"/>
    <cellStyle name="Hyperlink 40" xfId="15751" hidden="1"/>
    <cellStyle name="Hyperlink 40" xfId="16237" hidden="1"/>
    <cellStyle name="Hyperlink 40" xfId="17414" hidden="1"/>
    <cellStyle name="Hyperlink 40" xfId="17198" hidden="1"/>
    <cellStyle name="Hyperlink 40" xfId="17700" hidden="1"/>
    <cellStyle name="Hyperlink 40" xfId="18181" hidden="1"/>
    <cellStyle name="Hyperlink 40" xfId="18666" hidden="1"/>
    <cellStyle name="Hyperlink 40" xfId="19138" hidden="1"/>
    <cellStyle name="Hyperlink 40" xfId="19615" hidden="1"/>
    <cellStyle name="Hyperlink 40" xfId="20056" hidden="1"/>
    <cellStyle name="Hyperlink 40" xfId="20519" hidden="1"/>
    <cellStyle name="Hyperlink 40" xfId="20847" hidden="1"/>
    <cellStyle name="Hyperlink 40" xfId="21484" hidden="1"/>
    <cellStyle name="Hyperlink 40" xfId="21698" hidden="1"/>
    <cellStyle name="Hyperlink 40" xfId="13063" hidden="1"/>
    <cellStyle name="Hyperlink 40" xfId="11360" hidden="1"/>
    <cellStyle name="Hyperlink 40" xfId="23209" hidden="1"/>
    <cellStyle name="Hyperlink 40" xfId="23427" hidden="1"/>
    <cellStyle name="Hyperlink 40" xfId="24400" hidden="1"/>
    <cellStyle name="Hyperlink 40" xfId="22920" hidden="1"/>
    <cellStyle name="Hyperlink 40" xfId="25164" hidden="1"/>
    <cellStyle name="Hyperlink 40" xfId="25650" hidden="1"/>
    <cellStyle name="Hyperlink 40" xfId="26826" hidden="1"/>
    <cellStyle name="Hyperlink 40" xfId="26610" hidden="1"/>
    <cellStyle name="Hyperlink 40" xfId="27112" hidden="1"/>
    <cellStyle name="Hyperlink 40" xfId="27593" hidden="1"/>
    <cellStyle name="Hyperlink 40" xfId="28078" hidden="1"/>
    <cellStyle name="Hyperlink 40" xfId="28550" hidden="1"/>
    <cellStyle name="Hyperlink 40" xfId="29027" hidden="1"/>
    <cellStyle name="Hyperlink 40" xfId="29468" hidden="1"/>
    <cellStyle name="Hyperlink 40" xfId="29931" hidden="1"/>
    <cellStyle name="Hyperlink 40" xfId="30258" hidden="1"/>
    <cellStyle name="Hyperlink 40" xfId="30895" hidden="1"/>
    <cellStyle name="Hyperlink 40" xfId="31109"/>
    <cellStyle name="Hyperlink 40 2" xfId="1864"/>
    <cellStyle name="Hyperlink 40 3" xfId="1865"/>
    <cellStyle name="Hyperlink 40 9" xfId="32655"/>
    <cellStyle name="Hyperlink 40_AGL" xfId="32656"/>
    <cellStyle name="Hyperlink 41" xfId="310" hidden="1"/>
    <cellStyle name="Hyperlink 41" xfId="522" hidden="1"/>
    <cellStyle name="Hyperlink 41" xfId="2309" hidden="1"/>
    <cellStyle name="Hyperlink 41" xfId="2521" hidden="1"/>
    <cellStyle name="Hyperlink 41" xfId="3771" hidden="1"/>
    <cellStyle name="Hyperlink 41" xfId="2026" hidden="1"/>
    <cellStyle name="Hyperlink 41" xfId="4179" hidden="1"/>
    <cellStyle name="Hyperlink 41" xfId="5030" hidden="1"/>
    <cellStyle name="Hyperlink 41" xfId="6201" hidden="1"/>
    <cellStyle name="Hyperlink 41" xfId="5991" hidden="1"/>
    <cellStyle name="Hyperlink 41" xfId="5509" hidden="1"/>
    <cellStyle name="Hyperlink 41" xfId="6974" hidden="1"/>
    <cellStyle name="Hyperlink 41" xfId="5592" hidden="1"/>
    <cellStyle name="Hyperlink 41" xfId="7931" hidden="1"/>
    <cellStyle name="Hyperlink 41" xfId="6603" hidden="1"/>
    <cellStyle name="Hyperlink 41" xfId="8849" hidden="1"/>
    <cellStyle name="Hyperlink 41" xfId="7567" hidden="1"/>
    <cellStyle name="Hyperlink 41" xfId="9640" hidden="1"/>
    <cellStyle name="Hyperlink 41" xfId="10275" hidden="1"/>
    <cellStyle name="Hyperlink 41" xfId="10483" hidden="1"/>
    <cellStyle name="Hyperlink 41" xfId="11639" hidden="1"/>
    <cellStyle name="Hyperlink 41" xfId="11851" hidden="1"/>
    <cellStyle name="Hyperlink 41" xfId="13521" hidden="1"/>
    <cellStyle name="Hyperlink 41" xfId="13733" hidden="1"/>
    <cellStyle name="Hyperlink 41" xfId="14982" hidden="1"/>
    <cellStyle name="Hyperlink 41" xfId="13238" hidden="1"/>
    <cellStyle name="Hyperlink 41" xfId="15390" hidden="1"/>
    <cellStyle name="Hyperlink 41" xfId="16241" hidden="1"/>
    <cellStyle name="Hyperlink 41" xfId="17412" hidden="1"/>
    <cellStyle name="Hyperlink 41" xfId="17202" hidden="1"/>
    <cellStyle name="Hyperlink 41" xfId="16720" hidden="1"/>
    <cellStyle name="Hyperlink 41" xfId="18185" hidden="1"/>
    <cellStyle name="Hyperlink 41" xfId="16803" hidden="1"/>
    <cellStyle name="Hyperlink 41" xfId="19142" hidden="1"/>
    <cellStyle name="Hyperlink 41" xfId="17814" hidden="1"/>
    <cellStyle name="Hyperlink 41" xfId="20060" hidden="1"/>
    <cellStyle name="Hyperlink 41" xfId="18778" hidden="1"/>
    <cellStyle name="Hyperlink 41" xfId="20851" hidden="1"/>
    <cellStyle name="Hyperlink 41" xfId="21486" hidden="1"/>
    <cellStyle name="Hyperlink 41" xfId="21694" hidden="1"/>
    <cellStyle name="Hyperlink 41" xfId="13061" hidden="1"/>
    <cellStyle name="Hyperlink 41" xfId="11368" hidden="1"/>
    <cellStyle name="Hyperlink 41" xfId="23211" hidden="1"/>
    <cellStyle name="Hyperlink 41" xfId="23423" hidden="1"/>
    <cellStyle name="Hyperlink 41" xfId="24398" hidden="1"/>
    <cellStyle name="Hyperlink 41" xfId="22928" hidden="1"/>
    <cellStyle name="Hyperlink 41" xfId="24803" hidden="1"/>
    <cellStyle name="Hyperlink 41" xfId="25654" hidden="1"/>
    <cellStyle name="Hyperlink 41" xfId="26824" hidden="1"/>
    <cellStyle name="Hyperlink 41" xfId="26614" hidden="1"/>
    <cellStyle name="Hyperlink 41" xfId="26133" hidden="1"/>
    <cellStyle name="Hyperlink 41" xfId="27597" hidden="1"/>
    <cellStyle name="Hyperlink 41" xfId="26216" hidden="1"/>
    <cellStyle name="Hyperlink 41" xfId="28554" hidden="1"/>
    <cellStyle name="Hyperlink 41" xfId="27226" hidden="1"/>
    <cellStyle name="Hyperlink 41" xfId="29472" hidden="1"/>
    <cellStyle name="Hyperlink 41" xfId="28190" hidden="1"/>
    <cellStyle name="Hyperlink 41" xfId="30262" hidden="1"/>
    <cellStyle name="Hyperlink 41" xfId="30897" hidden="1"/>
    <cellStyle name="Hyperlink 41" xfId="31105"/>
    <cellStyle name="Hyperlink 41 2" xfId="1866"/>
    <cellStyle name="Hyperlink 41 3" xfId="1867"/>
    <cellStyle name="Hyperlink 41 9" xfId="32657"/>
    <cellStyle name="Hyperlink 41_AGL" xfId="32658"/>
    <cellStyle name="Hyperlink 42" xfId="312" hidden="1"/>
    <cellStyle name="Hyperlink 42" xfId="518" hidden="1"/>
    <cellStyle name="Hyperlink 42" xfId="2311" hidden="1"/>
    <cellStyle name="Hyperlink 42" xfId="2517" hidden="1"/>
    <cellStyle name="Hyperlink 42" xfId="3769" hidden="1"/>
    <cellStyle name="Hyperlink 42" xfId="2034" hidden="1"/>
    <cellStyle name="Hyperlink 42" xfId="5239" hidden="1"/>
    <cellStyle name="Hyperlink 42" xfId="5034" hidden="1"/>
    <cellStyle name="Hyperlink 42" xfId="6199" hidden="1"/>
    <cellStyle name="Hyperlink 42" xfId="5995" hidden="1"/>
    <cellStyle name="Hyperlink 42" xfId="7182" hidden="1"/>
    <cellStyle name="Hyperlink 42" xfId="6978" hidden="1"/>
    <cellStyle name="Hyperlink 42" xfId="8139" hidden="1"/>
    <cellStyle name="Hyperlink 42" xfId="7935" hidden="1"/>
    <cellStyle name="Hyperlink 42" xfId="9057" hidden="1"/>
    <cellStyle name="Hyperlink 42" xfId="8853" hidden="1"/>
    <cellStyle name="Hyperlink 42" xfId="9845" hidden="1"/>
    <cellStyle name="Hyperlink 42" xfId="9644" hidden="1"/>
    <cellStyle name="Hyperlink 42" xfId="10277" hidden="1"/>
    <cellStyle name="Hyperlink 42" xfId="10479" hidden="1"/>
    <cellStyle name="Hyperlink 42" xfId="11641" hidden="1"/>
    <cellStyle name="Hyperlink 42" xfId="11847" hidden="1"/>
    <cellStyle name="Hyperlink 42" xfId="13523" hidden="1"/>
    <cellStyle name="Hyperlink 42" xfId="13729" hidden="1"/>
    <cellStyle name="Hyperlink 42" xfId="14980" hidden="1"/>
    <cellStyle name="Hyperlink 42" xfId="13246" hidden="1"/>
    <cellStyle name="Hyperlink 42" xfId="16450" hidden="1"/>
    <cellStyle name="Hyperlink 42" xfId="16245" hidden="1"/>
    <cellStyle name="Hyperlink 42" xfId="17410" hidden="1"/>
    <cellStyle name="Hyperlink 42" xfId="17206" hidden="1"/>
    <cellStyle name="Hyperlink 42" xfId="18393" hidden="1"/>
    <cellStyle name="Hyperlink 42" xfId="18189" hidden="1"/>
    <cellStyle name="Hyperlink 42" xfId="19350" hidden="1"/>
    <cellStyle name="Hyperlink 42" xfId="19146" hidden="1"/>
    <cellStyle name="Hyperlink 42" xfId="20268" hidden="1"/>
    <cellStyle name="Hyperlink 42" xfId="20064" hidden="1"/>
    <cellStyle name="Hyperlink 42" xfId="21056" hidden="1"/>
    <cellStyle name="Hyperlink 42" xfId="20855" hidden="1"/>
    <cellStyle name="Hyperlink 42" xfId="21488" hidden="1"/>
    <cellStyle name="Hyperlink 42" xfId="21690" hidden="1"/>
    <cellStyle name="Hyperlink 42" xfId="13059" hidden="1"/>
    <cellStyle name="Hyperlink 42" xfId="11376" hidden="1"/>
    <cellStyle name="Hyperlink 42" xfId="23213" hidden="1"/>
    <cellStyle name="Hyperlink 42" xfId="23419" hidden="1"/>
    <cellStyle name="Hyperlink 42" xfId="24396" hidden="1"/>
    <cellStyle name="Hyperlink 42" xfId="22936" hidden="1"/>
    <cellStyle name="Hyperlink 42" xfId="25863" hidden="1"/>
    <cellStyle name="Hyperlink 42" xfId="25658" hidden="1"/>
    <cellStyle name="Hyperlink 42" xfId="26822" hidden="1"/>
    <cellStyle name="Hyperlink 42" xfId="26618" hidden="1"/>
    <cellStyle name="Hyperlink 42" xfId="27805" hidden="1"/>
    <cellStyle name="Hyperlink 42" xfId="27601" hidden="1"/>
    <cellStyle name="Hyperlink 42" xfId="28762" hidden="1"/>
    <cellStyle name="Hyperlink 42" xfId="28558" hidden="1"/>
    <cellStyle name="Hyperlink 42" xfId="29680" hidden="1"/>
    <cellStyle name="Hyperlink 42" xfId="29476" hidden="1"/>
    <cellStyle name="Hyperlink 42" xfId="30467" hidden="1"/>
    <cellStyle name="Hyperlink 42" xfId="30266" hidden="1"/>
    <cellStyle name="Hyperlink 42" xfId="30899" hidden="1"/>
    <cellStyle name="Hyperlink 42" xfId="31101"/>
    <cellStyle name="Hyperlink 42 2" xfId="1868"/>
    <cellStyle name="Hyperlink 42 3" xfId="1869"/>
    <cellStyle name="Hyperlink 42 9" xfId="32659"/>
    <cellStyle name="Hyperlink 42_AGL" xfId="32660"/>
    <cellStyle name="Hyperlink 43" xfId="314" hidden="1"/>
    <cellStyle name="Hyperlink 43" xfId="514" hidden="1"/>
    <cellStyle name="Hyperlink 43" xfId="2313" hidden="1"/>
    <cellStyle name="Hyperlink 43" xfId="2513" hidden="1"/>
    <cellStyle name="Hyperlink 43" xfId="3767" hidden="1"/>
    <cellStyle name="Hyperlink 43" xfId="2042" hidden="1"/>
    <cellStyle name="Hyperlink 43" xfId="5237" hidden="1"/>
    <cellStyle name="Hyperlink 43" xfId="5038" hidden="1"/>
    <cellStyle name="Hyperlink 43" xfId="6197" hidden="1"/>
    <cellStyle name="Hyperlink 43" xfId="5999" hidden="1"/>
    <cellStyle name="Hyperlink 43" xfId="7180" hidden="1"/>
    <cellStyle name="Hyperlink 43" xfId="6982" hidden="1"/>
    <cellStyle name="Hyperlink 43" xfId="8137" hidden="1"/>
    <cellStyle name="Hyperlink 43" xfId="7939" hidden="1"/>
    <cellStyle name="Hyperlink 43" xfId="9055" hidden="1"/>
    <cellStyle name="Hyperlink 43" xfId="8857" hidden="1"/>
    <cellStyle name="Hyperlink 43" xfId="9843" hidden="1"/>
    <cellStyle name="Hyperlink 43" xfId="9648" hidden="1"/>
    <cellStyle name="Hyperlink 43" xfId="10279" hidden="1"/>
    <cellStyle name="Hyperlink 43" xfId="10475" hidden="1"/>
    <cellStyle name="Hyperlink 43" xfId="11643" hidden="1"/>
    <cellStyle name="Hyperlink 43" xfId="11843" hidden="1"/>
    <cellStyle name="Hyperlink 43" xfId="13525" hidden="1"/>
    <cellStyle name="Hyperlink 43" xfId="13725" hidden="1"/>
    <cellStyle name="Hyperlink 43" xfId="14978" hidden="1"/>
    <cellStyle name="Hyperlink 43" xfId="13254" hidden="1"/>
    <cellStyle name="Hyperlink 43" xfId="16448" hidden="1"/>
    <cellStyle name="Hyperlink 43" xfId="16249" hidden="1"/>
    <cellStyle name="Hyperlink 43" xfId="17408" hidden="1"/>
    <cellStyle name="Hyperlink 43" xfId="17210" hidden="1"/>
    <cellStyle name="Hyperlink 43" xfId="18391" hidden="1"/>
    <cellStyle name="Hyperlink 43" xfId="18193" hidden="1"/>
    <cellStyle name="Hyperlink 43" xfId="19348" hidden="1"/>
    <cellStyle name="Hyperlink 43" xfId="19150" hidden="1"/>
    <cellStyle name="Hyperlink 43" xfId="20266" hidden="1"/>
    <cellStyle name="Hyperlink 43" xfId="20068" hidden="1"/>
    <cellStyle name="Hyperlink 43" xfId="21054" hidden="1"/>
    <cellStyle name="Hyperlink 43" xfId="20859" hidden="1"/>
    <cellStyle name="Hyperlink 43" xfId="21490" hidden="1"/>
    <cellStyle name="Hyperlink 43" xfId="21686" hidden="1"/>
    <cellStyle name="Hyperlink 43" xfId="13057" hidden="1"/>
    <cellStyle name="Hyperlink 43" xfId="11384" hidden="1"/>
    <cellStyle name="Hyperlink 43" xfId="23215" hidden="1"/>
    <cellStyle name="Hyperlink 43" xfId="23415" hidden="1"/>
    <cellStyle name="Hyperlink 43" xfId="24394" hidden="1"/>
    <cellStyle name="Hyperlink 43" xfId="22944" hidden="1"/>
    <cellStyle name="Hyperlink 43" xfId="25861" hidden="1"/>
    <cellStyle name="Hyperlink 43" xfId="25662" hidden="1"/>
    <cellStyle name="Hyperlink 43" xfId="26820" hidden="1"/>
    <cellStyle name="Hyperlink 43" xfId="26622" hidden="1"/>
    <cellStyle name="Hyperlink 43" xfId="27803" hidden="1"/>
    <cellStyle name="Hyperlink 43" xfId="27605" hidden="1"/>
    <cellStyle name="Hyperlink 43" xfId="28760" hidden="1"/>
    <cellStyle name="Hyperlink 43" xfId="28562" hidden="1"/>
    <cellStyle name="Hyperlink 43" xfId="29678" hidden="1"/>
    <cellStyle name="Hyperlink 43" xfId="29480" hidden="1"/>
    <cellStyle name="Hyperlink 43" xfId="30465" hidden="1"/>
    <cellStyle name="Hyperlink 43" xfId="30270" hidden="1"/>
    <cellStyle name="Hyperlink 43" xfId="30901" hidden="1"/>
    <cellStyle name="Hyperlink 43" xfId="31097"/>
    <cellStyle name="Hyperlink 43 2" xfId="1870"/>
    <cellStyle name="Hyperlink 43 3" xfId="1871"/>
    <cellStyle name="Hyperlink 43 9" xfId="32661"/>
    <cellStyle name="Hyperlink 43_AGL" xfId="32662"/>
    <cellStyle name="Hyperlink 44" xfId="316" hidden="1"/>
    <cellStyle name="Hyperlink 44" xfId="510" hidden="1"/>
    <cellStyle name="Hyperlink 44" xfId="2315" hidden="1"/>
    <cellStyle name="Hyperlink 44" xfId="2509" hidden="1"/>
    <cellStyle name="Hyperlink 44" xfId="3765" hidden="1"/>
    <cellStyle name="Hyperlink 44" xfId="2050" hidden="1"/>
    <cellStyle name="Hyperlink 44" xfId="5235" hidden="1"/>
    <cellStyle name="Hyperlink 44" xfId="5041" hidden="1"/>
    <cellStyle name="Hyperlink 44" xfId="6195" hidden="1"/>
    <cellStyle name="Hyperlink 44" xfId="6003" hidden="1"/>
    <cellStyle name="Hyperlink 44" xfId="7178" hidden="1"/>
    <cellStyle name="Hyperlink 44" xfId="6985" hidden="1"/>
    <cellStyle name="Hyperlink 44" xfId="8135" hidden="1"/>
    <cellStyle name="Hyperlink 44" xfId="7942" hidden="1"/>
    <cellStyle name="Hyperlink 44" xfId="9053" hidden="1"/>
    <cellStyle name="Hyperlink 44" xfId="8860" hidden="1"/>
    <cellStyle name="Hyperlink 44" xfId="9841" hidden="1"/>
    <cellStyle name="Hyperlink 44" xfId="9651" hidden="1"/>
    <cellStyle name="Hyperlink 44" xfId="10281" hidden="1"/>
    <cellStyle name="Hyperlink 44" xfId="10471" hidden="1"/>
    <cellStyle name="Hyperlink 44" xfId="11645" hidden="1"/>
    <cellStyle name="Hyperlink 44" xfId="11839" hidden="1"/>
    <cellStyle name="Hyperlink 44" xfId="13527" hidden="1"/>
    <cellStyle name="Hyperlink 44" xfId="13721" hidden="1"/>
    <cellStyle name="Hyperlink 44" xfId="14976" hidden="1"/>
    <cellStyle name="Hyperlink 44" xfId="13262" hidden="1"/>
    <cellStyle name="Hyperlink 44" xfId="16446" hidden="1"/>
    <cellStyle name="Hyperlink 44" xfId="16252" hidden="1"/>
    <cellStyle name="Hyperlink 44" xfId="17406" hidden="1"/>
    <cellStyle name="Hyperlink 44" xfId="17214" hidden="1"/>
    <cellStyle name="Hyperlink 44" xfId="18389" hidden="1"/>
    <cellStyle name="Hyperlink 44" xfId="18196" hidden="1"/>
    <cellStyle name="Hyperlink 44" xfId="19346" hidden="1"/>
    <cellStyle name="Hyperlink 44" xfId="19153" hidden="1"/>
    <cellStyle name="Hyperlink 44" xfId="20264" hidden="1"/>
    <cellStyle name="Hyperlink 44" xfId="20071" hidden="1"/>
    <cellStyle name="Hyperlink 44" xfId="21052" hidden="1"/>
    <cellStyle name="Hyperlink 44" xfId="20862" hidden="1"/>
    <cellStyle name="Hyperlink 44" xfId="21492" hidden="1"/>
    <cellStyle name="Hyperlink 44" xfId="21682" hidden="1"/>
    <cellStyle name="Hyperlink 44" xfId="13055" hidden="1"/>
    <cellStyle name="Hyperlink 44" xfId="11392" hidden="1"/>
    <cellStyle name="Hyperlink 44" xfId="23217" hidden="1"/>
    <cellStyle name="Hyperlink 44" xfId="23411" hidden="1"/>
    <cellStyle name="Hyperlink 44" xfId="24392" hidden="1"/>
    <cellStyle name="Hyperlink 44" xfId="22952" hidden="1"/>
    <cellStyle name="Hyperlink 44" xfId="25859" hidden="1"/>
    <cellStyle name="Hyperlink 44" xfId="25665" hidden="1"/>
    <cellStyle name="Hyperlink 44" xfId="26818" hidden="1"/>
    <cellStyle name="Hyperlink 44" xfId="26626" hidden="1"/>
    <cellStyle name="Hyperlink 44" xfId="27801" hidden="1"/>
    <cellStyle name="Hyperlink 44" xfId="27608" hidden="1"/>
    <cellStyle name="Hyperlink 44" xfId="28758" hidden="1"/>
    <cellStyle name="Hyperlink 44" xfId="28565" hidden="1"/>
    <cellStyle name="Hyperlink 44" xfId="29676" hidden="1"/>
    <cellStyle name="Hyperlink 44" xfId="29483" hidden="1"/>
    <cellStyle name="Hyperlink 44" xfId="30463" hidden="1"/>
    <cellStyle name="Hyperlink 44" xfId="30273" hidden="1"/>
    <cellStyle name="Hyperlink 44" xfId="30903" hidden="1"/>
    <cellStyle name="Hyperlink 44" xfId="31093"/>
    <cellStyle name="Hyperlink 44 2" xfId="1872"/>
    <cellStyle name="Hyperlink 44 3" xfId="1873"/>
    <cellStyle name="Hyperlink 44 9" xfId="32663"/>
    <cellStyle name="Hyperlink 44_AGL" xfId="32664"/>
    <cellStyle name="Hyperlink 45" xfId="318" hidden="1"/>
    <cellStyle name="Hyperlink 45" xfId="506" hidden="1"/>
    <cellStyle name="Hyperlink 45" xfId="2317" hidden="1"/>
    <cellStyle name="Hyperlink 45" xfId="2505" hidden="1"/>
    <cellStyle name="Hyperlink 45" xfId="3763" hidden="1"/>
    <cellStyle name="Hyperlink 45" xfId="2058" hidden="1"/>
    <cellStyle name="Hyperlink 45" xfId="5233" hidden="1"/>
    <cellStyle name="Hyperlink 45" xfId="5045" hidden="1"/>
    <cellStyle name="Hyperlink 45" xfId="6193" hidden="1"/>
    <cellStyle name="Hyperlink 45" xfId="6007" hidden="1"/>
    <cellStyle name="Hyperlink 45" xfId="7176" hidden="1"/>
    <cellStyle name="Hyperlink 45" xfId="6989" hidden="1"/>
    <cellStyle name="Hyperlink 45" xfId="8133" hidden="1"/>
    <cellStyle name="Hyperlink 45" xfId="7946" hidden="1"/>
    <cellStyle name="Hyperlink 45" xfId="9051" hidden="1"/>
    <cellStyle name="Hyperlink 45" xfId="8864" hidden="1"/>
    <cellStyle name="Hyperlink 45" xfId="9839" hidden="1"/>
    <cellStyle name="Hyperlink 45" xfId="9655" hidden="1"/>
    <cellStyle name="Hyperlink 45" xfId="10283" hidden="1"/>
    <cellStyle name="Hyperlink 45" xfId="10467" hidden="1"/>
    <cellStyle name="Hyperlink 45" xfId="11647" hidden="1"/>
    <cellStyle name="Hyperlink 45" xfId="11835" hidden="1"/>
    <cellStyle name="Hyperlink 45" xfId="13529" hidden="1"/>
    <cellStyle name="Hyperlink 45" xfId="13717" hidden="1"/>
    <cellStyle name="Hyperlink 45" xfId="14974" hidden="1"/>
    <cellStyle name="Hyperlink 45" xfId="13270" hidden="1"/>
    <cellStyle name="Hyperlink 45" xfId="16444" hidden="1"/>
    <cellStyle name="Hyperlink 45" xfId="16256" hidden="1"/>
    <cellStyle name="Hyperlink 45" xfId="17404" hidden="1"/>
    <cellStyle name="Hyperlink 45" xfId="17218" hidden="1"/>
    <cellStyle name="Hyperlink 45" xfId="18387" hidden="1"/>
    <cellStyle name="Hyperlink 45" xfId="18200" hidden="1"/>
    <cellStyle name="Hyperlink 45" xfId="19344" hidden="1"/>
    <cellStyle name="Hyperlink 45" xfId="19157" hidden="1"/>
    <cellStyle name="Hyperlink 45" xfId="20262" hidden="1"/>
    <cellStyle name="Hyperlink 45" xfId="20075" hidden="1"/>
    <cellStyle name="Hyperlink 45" xfId="21050" hidden="1"/>
    <cellStyle name="Hyperlink 45" xfId="20866" hidden="1"/>
    <cellStyle name="Hyperlink 45" xfId="21494" hidden="1"/>
    <cellStyle name="Hyperlink 45" xfId="21678" hidden="1"/>
    <cellStyle name="Hyperlink 45" xfId="13053" hidden="1"/>
    <cellStyle name="Hyperlink 45" xfId="11400" hidden="1"/>
    <cellStyle name="Hyperlink 45" xfId="23219" hidden="1"/>
    <cellStyle name="Hyperlink 45" xfId="23407" hidden="1"/>
    <cellStyle name="Hyperlink 45" xfId="24390" hidden="1"/>
    <cellStyle name="Hyperlink 45" xfId="22960" hidden="1"/>
    <cellStyle name="Hyperlink 45" xfId="25857" hidden="1"/>
    <cellStyle name="Hyperlink 45" xfId="25669" hidden="1"/>
    <cellStyle name="Hyperlink 45" xfId="26816" hidden="1"/>
    <cellStyle name="Hyperlink 45" xfId="26630" hidden="1"/>
    <cellStyle name="Hyperlink 45" xfId="27799" hidden="1"/>
    <cellStyle name="Hyperlink 45" xfId="27612" hidden="1"/>
    <cellStyle name="Hyperlink 45" xfId="28756" hidden="1"/>
    <cellStyle name="Hyperlink 45" xfId="28569" hidden="1"/>
    <cellStyle name="Hyperlink 45" xfId="29674" hidden="1"/>
    <cellStyle name="Hyperlink 45" xfId="29487" hidden="1"/>
    <cellStyle name="Hyperlink 45" xfId="30461" hidden="1"/>
    <cellStyle name="Hyperlink 45" xfId="30277" hidden="1"/>
    <cellStyle name="Hyperlink 45" xfId="30905" hidden="1"/>
    <cellStyle name="Hyperlink 45" xfId="31089"/>
    <cellStyle name="Hyperlink 45 2" xfId="1874"/>
    <cellStyle name="Hyperlink 45 3" xfId="1875"/>
    <cellStyle name="Hyperlink 45 9" xfId="32665"/>
    <cellStyle name="Hyperlink 45_AGL" xfId="32666"/>
    <cellStyle name="Hyperlink 46" xfId="320" hidden="1"/>
    <cellStyle name="Hyperlink 46" xfId="502" hidden="1"/>
    <cellStyle name="Hyperlink 46" xfId="2319" hidden="1"/>
    <cellStyle name="Hyperlink 46" xfId="2501" hidden="1"/>
    <cellStyle name="Hyperlink 46" xfId="3761" hidden="1"/>
    <cellStyle name="Hyperlink 46" xfId="2066" hidden="1"/>
    <cellStyle name="Hyperlink 46" xfId="5231" hidden="1"/>
    <cellStyle name="Hyperlink 46" xfId="5049" hidden="1"/>
    <cellStyle name="Hyperlink 46" xfId="6191" hidden="1"/>
    <cellStyle name="Hyperlink 46" xfId="6010" hidden="1"/>
    <cellStyle name="Hyperlink 46" xfId="7174" hidden="1"/>
    <cellStyle name="Hyperlink 46" xfId="6993" hidden="1"/>
    <cellStyle name="Hyperlink 46" xfId="8131" hidden="1"/>
    <cellStyle name="Hyperlink 46" xfId="7950" hidden="1"/>
    <cellStyle name="Hyperlink 46" xfId="9049" hidden="1"/>
    <cellStyle name="Hyperlink 46" xfId="8868" hidden="1"/>
    <cellStyle name="Hyperlink 46" xfId="9837" hidden="1"/>
    <cellStyle name="Hyperlink 46" xfId="9659" hidden="1"/>
    <cellStyle name="Hyperlink 46" xfId="10285" hidden="1"/>
    <cellStyle name="Hyperlink 46" xfId="10463" hidden="1"/>
    <cellStyle name="Hyperlink 46" xfId="11649" hidden="1"/>
    <cellStyle name="Hyperlink 46" xfId="11831" hidden="1"/>
    <cellStyle name="Hyperlink 46" xfId="13531" hidden="1"/>
    <cellStyle name="Hyperlink 46" xfId="13713" hidden="1"/>
    <cellStyle name="Hyperlink 46" xfId="14972" hidden="1"/>
    <cellStyle name="Hyperlink 46" xfId="13278" hidden="1"/>
    <cellStyle name="Hyperlink 46" xfId="16442" hidden="1"/>
    <cellStyle name="Hyperlink 46" xfId="16260" hidden="1"/>
    <cellStyle name="Hyperlink 46" xfId="17402" hidden="1"/>
    <cellStyle name="Hyperlink 46" xfId="17221" hidden="1"/>
    <cellStyle name="Hyperlink 46" xfId="18385" hidden="1"/>
    <cellStyle name="Hyperlink 46" xfId="18204" hidden="1"/>
    <cellStyle name="Hyperlink 46" xfId="19342" hidden="1"/>
    <cellStyle name="Hyperlink 46" xfId="19161" hidden="1"/>
    <cellStyle name="Hyperlink 46" xfId="20260" hidden="1"/>
    <cellStyle name="Hyperlink 46" xfId="20079" hidden="1"/>
    <cellStyle name="Hyperlink 46" xfId="21048" hidden="1"/>
    <cellStyle name="Hyperlink 46" xfId="20870" hidden="1"/>
    <cellStyle name="Hyperlink 46" xfId="21496" hidden="1"/>
    <cellStyle name="Hyperlink 46" xfId="21674" hidden="1"/>
    <cellStyle name="Hyperlink 46" xfId="13051" hidden="1"/>
    <cellStyle name="Hyperlink 46" xfId="11408" hidden="1"/>
    <cellStyle name="Hyperlink 46" xfId="23221" hidden="1"/>
    <cellStyle name="Hyperlink 46" xfId="23403" hidden="1"/>
    <cellStyle name="Hyperlink 46" xfId="24388" hidden="1"/>
    <cellStyle name="Hyperlink 46" xfId="22968" hidden="1"/>
    <cellStyle name="Hyperlink 46" xfId="25855" hidden="1"/>
    <cellStyle name="Hyperlink 46" xfId="25673" hidden="1"/>
    <cellStyle name="Hyperlink 46" xfId="26814" hidden="1"/>
    <cellStyle name="Hyperlink 46" xfId="26633" hidden="1"/>
    <cellStyle name="Hyperlink 46" xfId="27797" hidden="1"/>
    <cellStyle name="Hyperlink 46" xfId="27616" hidden="1"/>
    <cellStyle name="Hyperlink 46" xfId="28754" hidden="1"/>
    <cellStyle name="Hyperlink 46" xfId="28573" hidden="1"/>
    <cellStyle name="Hyperlink 46" xfId="29672" hidden="1"/>
    <cellStyle name="Hyperlink 46" xfId="29491" hidden="1"/>
    <cellStyle name="Hyperlink 46" xfId="30459" hidden="1"/>
    <cellStyle name="Hyperlink 46" xfId="30281" hidden="1"/>
    <cellStyle name="Hyperlink 46" xfId="30907" hidden="1"/>
    <cellStyle name="Hyperlink 46" xfId="31085"/>
    <cellStyle name="Hyperlink 46 2" xfId="1876"/>
    <cellStyle name="Hyperlink 46 3" xfId="1877"/>
    <cellStyle name="Hyperlink 46 9" xfId="32667"/>
    <cellStyle name="Hyperlink 46_AGL" xfId="32668"/>
    <cellStyle name="Hyperlink 47" xfId="322" hidden="1"/>
    <cellStyle name="Hyperlink 47" xfId="498" hidden="1"/>
    <cellStyle name="Hyperlink 47" xfId="2321" hidden="1"/>
    <cellStyle name="Hyperlink 47" xfId="2497" hidden="1"/>
    <cellStyle name="Hyperlink 47" xfId="3759" hidden="1"/>
    <cellStyle name="Hyperlink 47" xfId="2074" hidden="1"/>
    <cellStyle name="Hyperlink 47" xfId="5229" hidden="1"/>
    <cellStyle name="Hyperlink 47" xfId="5053" hidden="1"/>
    <cellStyle name="Hyperlink 47" xfId="6189" hidden="1"/>
    <cellStyle name="Hyperlink 47" xfId="6014" hidden="1"/>
    <cellStyle name="Hyperlink 47" xfId="7172" hidden="1"/>
    <cellStyle name="Hyperlink 47" xfId="6997" hidden="1"/>
    <cellStyle name="Hyperlink 47" xfId="8129" hidden="1"/>
    <cellStyle name="Hyperlink 47" xfId="7954" hidden="1"/>
    <cellStyle name="Hyperlink 47" xfId="9047" hidden="1"/>
    <cellStyle name="Hyperlink 47" xfId="8872" hidden="1"/>
    <cellStyle name="Hyperlink 47" xfId="9835" hidden="1"/>
    <cellStyle name="Hyperlink 47" xfId="9663" hidden="1"/>
    <cellStyle name="Hyperlink 47" xfId="10287" hidden="1"/>
    <cellStyle name="Hyperlink 47" xfId="10459" hidden="1"/>
    <cellStyle name="Hyperlink 47" xfId="11651" hidden="1"/>
    <cellStyle name="Hyperlink 47" xfId="11827" hidden="1"/>
    <cellStyle name="Hyperlink 47" xfId="13533" hidden="1"/>
    <cellStyle name="Hyperlink 47" xfId="13709" hidden="1"/>
    <cellStyle name="Hyperlink 47" xfId="14970" hidden="1"/>
    <cellStyle name="Hyperlink 47" xfId="13286" hidden="1"/>
    <cellStyle name="Hyperlink 47" xfId="16440" hidden="1"/>
    <cellStyle name="Hyperlink 47" xfId="16264" hidden="1"/>
    <cellStyle name="Hyperlink 47" xfId="17400" hidden="1"/>
    <cellStyle name="Hyperlink 47" xfId="17225" hidden="1"/>
    <cellStyle name="Hyperlink 47" xfId="18383" hidden="1"/>
    <cellStyle name="Hyperlink 47" xfId="18208" hidden="1"/>
    <cellStyle name="Hyperlink 47" xfId="19340" hidden="1"/>
    <cellStyle name="Hyperlink 47" xfId="19165" hidden="1"/>
    <cellStyle name="Hyperlink 47" xfId="20258" hidden="1"/>
    <cellStyle name="Hyperlink 47" xfId="20083" hidden="1"/>
    <cellStyle name="Hyperlink 47" xfId="21046" hidden="1"/>
    <cellStyle name="Hyperlink 47" xfId="20874" hidden="1"/>
    <cellStyle name="Hyperlink 47" xfId="21498" hidden="1"/>
    <cellStyle name="Hyperlink 47" xfId="21670" hidden="1"/>
    <cellStyle name="Hyperlink 47" xfId="13049" hidden="1"/>
    <cellStyle name="Hyperlink 47" xfId="11416" hidden="1"/>
    <cellStyle name="Hyperlink 47" xfId="23223" hidden="1"/>
    <cellStyle name="Hyperlink 47" xfId="23399" hidden="1"/>
    <cellStyle name="Hyperlink 47" xfId="24386" hidden="1"/>
    <cellStyle name="Hyperlink 47" xfId="22976" hidden="1"/>
    <cellStyle name="Hyperlink 47" xfId="25853" hidden="1"/>
    <cellStyle name="Hyperlink 47" xfId="25677" hidden="1"/>
    <cellStyle name="Hyperlink 47" xfId="26812" hidden="1"/>
    <cellStyle name="Hyperlink 47" xfId="26637" hidden="1"/>
    <cellStyle name="Hyperlink 47" xfId="27795" hidden="1"/>
    <cellStyle name="Hyperlink 47" xfId="27620" hidden="1"/>
    <cellStyle name="Hyperlink 47" xfId="28752" hidden="1"/>
    <cellStyle name="Hyperlink 47" xfId="28577" hidden="1"/>
    <cellStyle name="Hyperlink 47" xfId="29670" hidden="1"/>
    <cellStyle name="Hyperlink 47" xfId="29495" hidden="1"/>
    <cellStyle name="Hyperlink 47" xfId="30457" hidden="1"/>
    <cellStyle name="Hyperlink 47" xfId="30285" hidden="1"/>
    <cellStyle name="Hyperlink 47" xfId="30909" hidden="1"/>
    <cellStyle name="Hyperlink 47" xfId="31081"/>
    <cellStyle name="Hyperlink 47 2" xfId="1878"/>
    <cellStyle name="Hyperlink 47 3" xfId="1879"/>
    <cellStyle name="Hyperlink 47 9" xfId="32669"/>
    <cellStyle name="Hyperlink 47_AGL" xfId="32670"/>
    <cellStyle name="Hyperlink 48" xfId="324" hidden="1"/>
    <cellStyle name="Hyperlink 48" xfId="494" hidden="1"/>
    <cellStyle name="Hyperlink 48" xfId="2323" hidden="1"/>
    <cellStyle name="Hyperlink 48" xfId="2493" hidden="1"/>
    <cellStyle name="Hyperlink 48" xfId="3757" hidden="1"/>
    <cellStyle name="Hyperlink 48" xfId="2082" hidden="1"/>
    <cellStyle name="Hyperlink 48" xfId="5227" hidden="1"/>
    <cellStyle name="Hyperlink 48" xfId="5057" hidden="1"/>
    <cellStyle name="Hyperlink 48" xfId="6187" hidden="1"/>
    <cellStyle name="Hyperlink 48" xfId="6018" hidden="1"/>
    <cellStyle name="Hyperlink 48" xfId="7170" hidden="1"/>
    <cellStyle name="Hyperlink 48" xfId="7001" hidden="1"/>
    <cellStyle name="Hyperlink 48" xfId="8127" hidden="1"/>
    <cellStyle name="Hyperlink 48" xfId="7958" hidden="1"/>
    <cellStyle name="Hyperlink 48" xfId="9045" hidden="1"/>
    <cellStyle name="Hyperlink 48" xfId="8876" hidden="1"/>
    <cellStyle name="Hyperlink 48" xfId="9833" hidden="1"/>
    <cellStyle name="Hyperlink 48" xfId="9667" hidden="1"/>
    <cellStyle name="Hyperlink 48" xfId="10289" hidden="1"/>
    <cellStyle name="Hyperlink 48" xfId="10455" hidden="1"/>
    <cellStyle name="Hyperlink 48" xfId="11653" hidden="1"/>
    <cellStyle name="Hyperlink 48" xfId="11823" hidden="1"/>
    <cellStyle name="Hyperlink 48" xfId="13535" hidden="1"/>
    <cellStyle name="Hyperlink 48" xfId="13705" hidden="1"/>
    <cellStyle name="Hyperlink 48" xfId="14968" hidden="1"/>
    <cellStyle name="Hyperlink 48" xfId="13294" hidden="1"/>
    <cellStyle name="Hyperlink 48" xfId="16438" hidden="1"/>
    <cellStyle name="Hyperlink 48" xfId="16268" hidden="1"/>
    <cellStyle name="Hyperlink 48" xfId="17398" hidden="1"/>
    <cellStyle name="Hyperlink 48" xfId="17229" hidden="1"/>
    <cellStyle name="Hyperlink 48" xfId="18381" hidden="1"/>
    <cellStyle name="Hyperlink 48" xfId="18212" hidden="1"/>
    <cellStyle name="Hyperlink 48" xfId="19338" hidden="1"/>
    <cellStyle name="Hyperlink 48" xfId="19169" hidden="1"/>
    <cellStyle name="Hyperlink 48" xfId="20256" hidden="1"/>
    <cellStyle name="Hyperlink 48" xfId="20087" hidden="1"/>
    <cellStyle name="Hyperlink 48" xfId="21044" hidden="1"/>
    <cellStyle name="Hyperlink 48" xfId="20878" hidden="1"/>
    <cellStyle name="Hyperlink 48" xfId="21500" hidden="1"/>
    <cellStyle name="Hyperlink 48" xfId="21666" hidden="1"/>
    <cellStyle name="Hyperlink 48" xfId="13047" hidden="1"/>
    <cellStyle name="Hyperlink 48" xfId="11424" hidden="1"/>
    <cellStyle name="Hyperlink 48" xfId="23225" hidden="1"/>
    <cellStyle name="Hyperlink 48" xfId="23395" hidden="1"/>
    <cellStyle name="Hyperlink 48" xfId="24384" hidden="1"/>
    <cellStyle name="Hyperlink 48" xfId="22984" hidden="1"/>
    <cellStyle name="Hyperlink 48" xfId="25851" hidden="1"/>
    <cellStyle name="Hyperlink 48" xfId="25681" hidden="1"/>
    <cellStyle name="Hyperlink 48" xfId="26810" hidden="1"/>
    <cellStyle name="Hyperlink 48" xfId="26641" hidden="1"/>
    <cellStyle name="Hyperlink 48" xfId="27793" hidden="1"/>
    <cellStyle name="Hyperlink 48" xfId="27624" hidden="1"/>
    <cellStyle name="Hyperlink 48" xfId="28750" hidden="1"/>
    <cellStyle name="Hyperlink 48" xfId="28581" hidden="1"/>
    <cellStyle name="Hyperlink 48" xfId="29668" hidden="1"/>
    <cellStyle name="Hyperlink 48" xfId="29499" hidden="1"/>
    <cellStyle name="Hyperlink 48" xfId="30455" hidden="1"/>
    <cellStyle name="Hyperlink 48" xfId="30289" hidden="1"/>
    <cellStyle name="Hyperlink 48" xfId="30911" hidden="1"/>
    <cellStyle name="Hyperlink 48" xfId="31077"/>
    <cellStyle name="Hyperlink 48 2" xfId="1880"/>
    <cellStyle name="Hyperlink 48 3" xfId="1881"/>
    <cellStyle name="Hyperlink 48 9" xfId="32671"/>
    <cellStyle name="Hyperlink 48_AGL" xfId="32672"/>
    <cellStyle name="Hyperlink 49" xfId="326" hidden="1"/>
    <cellStyle name="Hyperlink 49" xfId="490" hidden="1"/>
    <cellStyle name="Hyperlink 49" xfId="2325" hidden="1"/>
    <cellStyle name="Hyperlink 49" xfId="2489" hidden="1"/>
    <cellStyle name="Hyperlink 49" xfId="3755" hidden="1"/>
    <cellStyle name="Hyperlink 49" xfId="2090" hidden="1"/>
    <cellStyle name="Hyperlink 49" xfId="5225" hidden="1"/>
    <cellStyle name="Hyperlink 49" xfId="5061" hidden="1"/>
    <cellStyle name="Hyperlink 49" xfId="6185" hidden="1"/>
    <cellStyle name="Hyperlink 49" xfId="6022" hidden="1"/>
    <cellStyle name="Hyperlink 49" xfId="7168" hidden="1"/>
    <cellStyle name="Hyperlink 49" xfId="7005" hidden="1"/>
    <cellStyle name="Hyperlink 49" xfId="8125" hidden="1"/>
    <cellStyle name="Hyperlink 49" xfId="7962" hidden="1"/>
    <cellStyle name="Hyperlink 49" xfId="9043" hidden="1"/>
    <cellStyle name="Hyperlink 49" xfId="8880" hidden="1"/>
    <cellStyle name="Hyperlink 49" xfId="9831" hidden="1"/>
    <cellStyle name="Hyperlink 49" xfId="9671" hidden="1"/>
    <cellStyle name="Hyperlink 49" xfId="10291" hidden="1"/>
    <cellStyle name="Hyperlink 49" xfId="10451" hidden="1"/>
    <cellStyle name="Hyperlink 49" xfId="11655" hidden="1"/>
    <cellStyle name="Hyperlink 49" xfId="11819" hidden="1"/>
    <cellStyle name="Hyperlink 49" xfId="13537" hidden="1"/>
    <cellStyle name="Hyperlink 49" xfId="13701" hidden="1"/>
    <cellStyle name="Hyperlink 49" xfId="14966" hidden="1"/>
    <cellStyle name="Hyperlink 49" xfId="13302" hidden="1"/>
    <cellStyle name="Hyperlink 49" xfId="16436" hidden="1"/>
    <cellStyle name="Hyperlink 49" xfId="16272" hidden="1"/>
    <cellStyle name="Hyperlink 49" xfId="17396" hidden="1"/>
    <cellStyle name="Hyperlink 49" xfId="17233" hidden="1"/>
    <cellStyle name="Hyperlink 49" xfId="18379" hidden="1"/>
    <cellStyle name="Hyperlink 49" xfId="18216" hidden="1"/>
    <cellStyle name="Hyperlink 49" xfId="19336" hidden="1"/>
    <cellStyle name="Hyperlink 49" xfId="19173" hidden="1"/>
    <cellStyle name="Hyperlink 49" xfId="20254" hidden="1"/>
    <cellStyle name="Hyperlink 49" xfId="20091" hidden="1"/>
    <cellStyle name="Hyperlink 49" xfId="21042" hidden="1"/>
    <cellStyle name="Hyperlink 49" xfId="20882" hidden="1"/>
    <cellStyle name="Hyperlink 49" xfId="21502" hidden="1"/>
    <cellStyle name="Hyperlink 49" xfId="21662" hidden="1"/>
    <cellStyle name="Hyperlink 49" xfId="13045" hidden="1"/>
    <cellStyle name="Hyperlink 49" xfId="11432" hidden="1"/>
    <cellStyle name="Hyperlink 49" xfId="23227" hidden="1"/>
    <cellStyle name="Hyperlink 49" xfId="23391" hidden="1"/>
    <cellStyle name="Hyperlink 49" xfId="24382" hidden="1"/>
    <cellStyle name="Hyperlink 49" xfId="22992" hidden="1"/>
    <cellStyle name="Hyperlink 49" xfId="25849" hidden="1"/>
    <cellStyle name="Hyperlink 49" xfId="25685" hidden="1"/>
    <cellStyle name="Hyperlink 49" xfId="26808" hidden="1"/>
    <cellStyle name="Hyperlink 49" xfId="26645" hidden="1"/>
    <cellStyle name="Hyperlink 49" xfId="27791" hidden="1"/>
    <cellStyle name="Hyperlink 49" xfId="27628" hidden="1"/>
    <cellStyle name="Hyperlink 49" xfId="28748" hidden="1"/>
    <cellStyle name="Hyperlink 49" xfId="28585" hidden="1"/>
    <cellStyle name="Hyperlink 49" xfId="29666" hidden="1"/>
    <cellStyle name="Hyperlink 49" xfId="29503" hidden="1"/>
    <cellStyle name="Hyperlink 49" xfId="30453" hidden="1"/>
    <cellStyle name="Hyperlink 49" xfId="30293" hidden="1"/>
    <cellStyle name="Hyperlink 49" xfId="30913" hidden="1"/>
    <cellStyle name="Hyperlink 49" xfId="31073"/>
    <cellStyle name="Hyperlink 49 2" xfId="1882"/>
    <cellStyle name="Hyperlink 49 3" xfId="1883"/>
    <cellStyle name="Hyperlink 49 9" xfId="32673"/>
    <cellStyle name="Hyperlink 49_AGL" xfId="32674"/>
    <cellStyle name="Hyperlink 5" xfId="238" hidden="1"/>
    <cellStyle name="Hyperlink 5" xfId="666" hidden="1"/>
    <cellStyle name="Hyperlink 5" xfId="2237" hidden="1"/>
    <cellStyle name="Hyperlink 5" xfId="2665" hidden="1"/>
    <cellStyle name="Hyperlink 5" xfId="3842" hidden="1"/>
    <cellStyle name="Hyperlink 5" xfId="2856" hidden="1"/>
    <cellStyle name="Hyperlink 5" xfId="4859" hidden="1"/>
    <cellStyle name="Hyperlink 5" xfId="3895" hidden="1"/>
    <cellStyle name="Hyperlink 5" xfId="4110" hidden="1"/>
    <cellStyle name="Hyperlink 5" xfId="4084" hidden="1"/>
    <cellStyle name="Hyperlink 5" xfId="6805" hidden="1"/>
    <cellStyle name="Hyperlink 5" xfId="4770" hidden="1"/>
    <cellStyle name="Hyperlink 5" xfId="7762" hidden="1"/>
    <cellStyle name="Hyperlink 5" xfId="6533" hidden="1"/>
    <cellStyle name="Hyperlink 5" xfId="8689" hidden="1"/>
    <cellStyle name="Hyperlink 5" xfId="7499" hidden="1"/>
    <cellStyle name="Hyperlink 5" xfId="9497" hidden="1"/>
    <cellStyle name="Hyperlink 5" xfId="8447" hidden="1"/>
    <cellStyle name="Hyperlink 5" xfId="10203" hidden="1"/>
    <cellStyle name="Hyperlink 5" xfId="10627" hidden="1"/>
    <cellStyle name="Hyperlink 5" xfId="11567" hidden="1"/>
    <cellStyle name="Hyperlink 5" xfId="11995" hidden="1"/>
    <cellStyle name="Hyperlink 5" xfId="13449" hidden="1"/>
    <cellStyle name="Hyperlink 5" xfId="13877" hidden="1"/>
    <cellStyle name="Hyperlink 5" xfId="15053" hidden="1"/>
    <cellStyle name="Hyperlink 5" xfId="14068" hidden="1"/>
    <cellStyle name="Hyperlink 5" xfId="16070" hidden="1"/>
    <cellStyle name="Hyperlink 5" xfId="15106" hidden="1"/>
    <cellStyle name="Hyperlink 5" xfId="15321" hidden="1"/>
    <cellStyle name="Hyperlink 5" xfId="15295" hidden="1"/>
    <cellStyle name="Hyperlink 5" xfId="18016" hidden="1"/>
    <cellStyle name="Hyperlink 5" xfId="15981" hidden="1"/>
    <cellStyle name="Hyperlink 5" xfId="18973" hidden="1"/>
    <cellStyle name="Hyperlink 5" xfId="17744" hidden="1"/>
    <cellStyle name="Hyperlink 5" xfId="19900" hidden="1"/>
    <cellStyle name="Hyperlink 5" xfId="18710" hidden="1"/>
    <cellStyle name="Hyperlink 5" xfId="20708" hidden="1"/>
    <cellStyle name="Hyperlink 5" xfId="19658" hidden="1"/>
    <cellStyle name="Hyperlink 5" xfId="21414" hidden="1"/>
    <cellStyle name="Hyperlink 5" xfId="21838" hidden="1"/>
    <cellStyle name="Hyperlink 5" xfId="13132" hidden="1"/>
    <cellStyle name="Hyperlink 5" xfId="12176" hidden="1"/>
    <cellStyle name="Hyperlink 5" xfId="23139" hidden="1"/>
    <cellStyle name="Hyperlink 5" xfId="23567" hidden="1"/>
    <cellStyle name="Hyperlink 5" xfId="24469" hidden="1"/>
    <cellStyle name="Hyperlink 5" xfId="23758" hidden="1"/>
    <cellStyle name="Hyperlink 5" xfId="25483" hidden="1"/>
    <cellStyle name="Hyperlink 5" xfId="24522" hidden="1"/>
    <cellStyle name="Hyperlink 5" xfId="24734" hidden="1"/>
    <cellStyle name="Hyperlink 5" xfId="24708" hidden="1"/>
    <cellStyle name="Hyperlink 5" xfId="27428" hidden="1"/>
    <cellStyle name="Hyperlink 5" xfId="25394" hidden="1"/>
    <cellStyle name="Hyperlink 5" xfId="28385" hidden="1"/>
    <cellStyle name="Hyperlink 5" xfId="27156" hidden="1"/>
    <cellStyle name="Hyperlink 5" xfId="29312" hidden="1"/>
    <cellStyle name="Hyperlink 5" xfId="28122" hidden="1"/>
    <cellStyle name="Hyperlink 5" xfId="30119" hidden="1"/>
    <cellStyle name="Hyperlink 5" xfId="29070" hidden="1"/>
    <cellStyle name="Hyperlink 5" xfId="30825" hidden="1"/>
    <cellStyle name="Hyperlink 5" xfId="31249"/>
    <cellStyle name="Hyperlink 5 2" xfId="1884"/>
    <cellStyle name="Hyperlink 5 3" xfId="1885"/>
    <cellStyle name="Hyperlink 5 9" xfId="32675"/>
    <cellStyle name="Hyperlink 5_AGL" xfId="32676"/>
    <cellStyle name="Hyperlink 50" xfId="328" hidden="1"/>
    <cellStyle name="Hyperlink 50" xfId="486" hidden="1"/>
    <cellStyle name="Hyperlink 50" xfId="2327" hidden="1"/>
    <cellStyle name="Hyperlink 50" xfId="2485" hidden="1"/>
    <cellStyle name="Hyperlink 50" xfId="3753" hidden="1"/>
    <cellStyle name="Hyperlink 50" xfId="2098" hidden="1"/>
    <cellStyle name="Hyperlink 50" xfId="5223" hidden="1"/>
    <cellStyle name="Hyperlink 50" xfId="5065" hidden="1"/>
    <cellStyle name="Hyperlink 50" xfId="6183" hidden="1"/>
    <cellStyle name="Hyperlink 50" xfId="6026" hidden="1"/>
    <cellStyle name="Hyperlink 50" xfId="7166" hidden="1"/>
    <cellStyle name="Hyperlink 50" xfId="7009" hidden="1"/>
    <cellStyle name="Hyperlink 50" xfId="8123" hidden="1"/>
    <cellStyle name="Hyperlink 50" xfId="7966" hidden="1"/>
    <cellStyle name="Hyperlink 50" xfId="9041" hidden="1"/>
    <cellStyle name="Hyperlink 50" xfId="8884" hidden="1"/>
    <cellStyle name="Hyperlink 50" xfId="9829" hidden="1"/>
    <cellStyle name="Hyperlink 50" xfId="9675" hidden="1"/>
    <cellStyle name="Hyperlink 50" xfId="10293" hidden="1"/>
    <cellStyle name="Hyperlink 50" xfId="10447" hidden="1"/>
    <cellStyle name="Hyperlink 50" xfId="11657" hidden="1"/>
    <cellStyle name="Hyperlink 50" xfId="11815" hidden="1"/>
    <cellStyle name="Hyperlink 50" xfId="13539" hidden="1"/>
    <cellStyle name="Hyperlink 50" xfId="13697" hidden="1"/>
    <cellStyle name="Hyperlink 50" xfId="14964" hidden="1"/>
    <cellStyle name="Hyperlink 50" xfId="13310" hidden="1"/>
    <cellStyle name="Hyperlink 50" xfId="16434" hidden="1"/>
    <cellStyle name="Hyperlink 50" xfId="16276" hidden="1"/>
    <cellStyle name="Hyperlink 50" xfId="17394" hidden="1"/>
    <cellStyle name="Hyperlink 50" xfId="17237" hidden="1"/>
    <cellStyle name="Hyperlink 50" xfId="18377" hidden="1"/>
    <cellStyle name="Hyperlink 50" xfId="18220" hidden="1"/>
    <cellStyle name="Hyperlink 50" xfId="19334" hidden="1"/>
    <cellStyle name="Hyperlink 50" xfId="19177" hidden="1"/>
    <cellStyle name="Hyperlink 50" xfId="20252" hidden="1"/>
    <cellStyle name="Hyperlink 50" xfId="20095" hidden="1"/>
    <cellStyle name="Hyperlink 50" xfId="21040" hidden="1"/>
    <cellStyle name="Hyperlink 50" xfId="20886" hidden="1"/>
    <cellStyle name="Hyperlink 50" xfId="21504" hidden="1"/>
    <cellStyle name="Hyperlink 50" xfId="21658" hidden="1"/>
    <cellStyle name="Hyperlink 50" xfId="13043" hidden="1"/>
    <cellStyle name="Hyperlink 50" xfId="11440" hidden="1"/>
    <cellStyle name="Hyperlink 50" xfId="23229" hidden="1"/>
    <cellStyle name="Hyperlink 50" xfId="23387" hidden="1"/>
    <cellStyle name="Hyperlink 50" xfId="24380" hidden="1"/>
    <cellStyle name="Hyperlink 50" xfId="23000" hidden="1"/>
    <cellStyle name="Hyperlink 50" xfId="25847" hidden="1"/>
    <cellStyle name="Hyperlink 50" xfId="25689" hidden="1"/>
    <cellStyle name="Hyperlink 50" xfId="26806" hidden="1"/>
    <cellStyle name="Hyperlink 50" xfId="26649" hidden="1"/>
    <cellStyle name="Hyperlink 50" xfId="27789" hidden="1"/>
    <cellStyle name="Hyperlink 50" xfId="27632" hidden="1"/>
    <cellStyle name="Hyperlink 50" xfId="28746" hidden="1"/>
    <cellStyle name="Hyperlink 50" xfId="28589" hidden="1"/>
    <cellStyle name="Hyperlink 50" xfId="29664" hidden="1"/>
    <cellStyle name="Hyperlink 50" xfId="29507" hidden="1"/>
    <cellStyle name="Hyperlink 50" xfId="30451" hidden="1"/>
    <cellStyle name="Hyperlink 50" xfId="30297" hidden="1"/>
    <cellStyle name="Hyperlink 50" xfId="30915" hidden="1"/>
    <cellStyle name="Hyperlink 50" xfId="31069"/>
    <cellStyle name="Hyperlink 50 2" xfId="1886"/>
    <cellStyle name="Hyperlink 50 3" xfId="1887"/>
    <cellStyle name="Hyperlink 50 9" xfId="32677"/>
    <cellStyle name="Hyperlink 50_AGL" xfId="32678"/>
    <cellStyle name="Hyperlink 51" xfId="330" hidden="1"/>
    <cellStyle name="Hyperlink 51" xfId="482" hidden="1"/>
    <cellStyle name="Hyperlink 51" xfId="2329" hidden="1"/>
    <cellStyle name="Hyperlink 51" xfId="2481" hidden="1"/>
    <cellStyle name="Hyperlink 51" xfId="3751" hidden="1"/>
    <cellStyle name="Hyperlink 51" xfId="2106" hidden="1"/>
    <cellStyle name="Hyperlink 51" xfId="5221" hidden="1"/>
    <cellStyle name="Hyperlink 51" xfId="5069" hidden="1"/>
    <cellStyle name="Hyperlink 51" xfId="6181" hidden="1"/>
    <cellStyle name="Hyperlink 51" xfId="6030" hidden="1"/>
    <cellStyle name="Hyperlink 51" xfId="7164" hidden="1"/>
    <cellStyle name="Hyperlink 51" xfId="7013" hidden="1"/>
    <cellStyle name="Hyperlink 51" xfId="8121" hidden="1"/>
    <cellStyle name="Hyperlink 51" xfId="7970" hidden="1"/>
    <cellStyle name="Hyperlink 51" xfId="9039" hidden="1"/>
    <cellStyle name="Hyperlink 51" xfId="8888" hidden="1"/>
    <cellStyle name="Hyperlink 51" xfId="9827" hidden="1"/>
    <cellStyle name="Hyperlink 51" xfId="9679" hidden="1"/>
    <cellStyle name="Hyperlink 51" xfId="10295" hidden="1"/>
    <cellStyle name="Hyperlink 51" xfId="10443" hidden="1"/>
    <cellStyle name="Hyperlink 51" xfId="11659" hidden="1"/>
    <cellStyle name="Hyperlink 51" xfId="11811" hidden="1"/>
    <cellStyle name="Hyperlink 51" xfId="13541" hidden="1"/>
    <cellStyle name="Hyperlink 51" xfId="13693" hidden="1"/>
    <cellStyle name="Hyperlink 51" xfId="14962" hidden="1"/>
    <cellStyle name="Hyperlink 51" xfId="13318" hidden="1"/>
    <cellStyle name="Hyperlink 51" xfId="16432" hidden="1"/>
    <cellStyle name="Hyperlink 51" xfId="16280" hidden="1"/>
    <cellStyle name="Hyperlink 51" xfId="17392" hidden="1"/>
    <cellStyle name="Hyperlink 51" xfId="17241" hidden="1"/>
    <cellStyle name="Hyperlink 51" xfId="18375" hidden="1"/>
    <cellStyle name="Hyperlink 51" xfId="18224" hidden="1"/>
    <cellStyle name="Hyperlink 51" xfId="19332" hidden="1"/>
    <cellStyle name="Hyperlink 51" xfId="19181" hidden="1"/>
    <cellStyle name="Hyperlink 51" xfId="20250" hidden="1"/>
    <cellStyle name="Hyperlink 51" xfId="20099" hidden="1"/>
    <cellStyle name="Hyperlink 51" xfId="21038" hidden="1"/>
    <cellStyle name="Hyperlink 51" xfId="20890" hidden="1"/>
    <cellStyle name="Hyperlink 51" xfId="21506" hidden="1"/>
    <cellStyle name="Hyperlink 51" xfId="21654" hidden="1"/>
    <cellStyle name="Hyperlink 51" xfId="13041" hidden="1"/>
    <cellStyle name="Hyperlink 51" xfId="11448" hidden="1"/>
    <cellStyle name="Hyperlink 51" xfId="23231" hidden="1"/>
    <cellStyle name="Hyperlink 51" xfId="23383" hidden="1"/>
    <cellStyle name="Hyperlink 51" xfId="24378" hidden="1"/>
    <cellStyle name="Hyperlink 51" xfId="23008" hidden="1"/>
    <cellStyle name="Hyperlink 51" xfId="25845" hidden="1"/>
    <cellStyle name="Hyperlink 51" xfId="25693" hidden="1"/>
    <cellStyle name="Hyperlink 51" xfId="26804" hidden="1"/>
    <cellStyle name="Hyperlink 51" xfId="26653" hidden="1"/>
    <cellStyle name="Hyperlink 51" xfId="27787" hidden="1"/>
    <cellStyle name="Hyperlink 51" xfId="27636" hidden="1"/>
    <cellStyle name="Hyperlink 51" xfId="28744" hidden="1"/>
    <cellStyle name="Hyperlink 51" xfId="28593" hidden="1"/>
    <cellStyle name="Hyperlink 51" xfId="29662" hidden="1"/>
    <cellStyle name="Hyperlink 51" xfId="29511" hidden="1"/>
    <cellStyle name="Hyperlink 51" xfId="30449" hidden="1"/>
    <cellStyle name="Hyperlink 51" xfId="30301" hidden="1"/>
    <cellStyle name="Hyperlink 51" xfId="30917" hidden="1"/>
    <cellStyle name="Hyperlink 51" xfId="31065"/>
    <cellStyle name="Hyperlink 51 2" xfId="1888"/>
    <cellStyle name="Hyperlink 51 3" xfId="1889"/>
    <cellStyle name="Hyperlink 51 9" xfId="32679"/>
    <cellStyle name="Hyperlink 51_AGL" xfId="32680"/>
    <cellStyle name="Hyperlink 52" xfId="332" hidden="1"/>
    <cellStyle name="Hyperlink 52" xfId="478" hidden="1"/>
    <cellStyle name="Hyperlink 52" xfId="2331" hidden="1"/>
    <cellStyle name="Hyperlink 52" xfId="2477" hidden="1"/>
    <cellStyle name="Hyperlink 52" xfId="3749" hidden="1"/>
    <cellStyle name="Hyperlink 52" xfId="2114" hidden="1"/>
    <cellStyle name="Hyperlink 52" xfId="5219" hidden="1"/>
    <cellStyle name="Hyperlink 52" xfId="5073" hidden="1"/>
    <cellStyle name="Hyperlink 52" xfId="6179" hidden="1"/>
    <cellStyle name="Hyperlink 52" xfId="6034" hidden="1"/>
    <cellStyle name="Hyperlink 52" xfId="7162" hidden="1"/>
    <cellStyle name="Hyperlink 52" xfId="7017" hidden="1"/>
    <cellStyle name="Hyperlink 52" xfId="8119" hidden="1"/>
    <cellStyle name="Hyperlink 52" xfId="7974" hidden="1"/>
    <cellStyle name="Hyperlink 52" xfId="9037" hidden="1"/>
    <cellStyle name="Hyperlink 52" xfId="8892" hidden="1"/>
    <cellStyle name="Hyperlink 52" xfId="9825" hidden="1"/>
    <cellStyle name="Hyperlink 52" xfId="9683" hidden="1"/>
    <cellStyle name="Hyperlink 52" xfId="10297" hidden="1"/>
    <cellStyle name="Hyperlink 52" xfId="10439" hidden="1"/>
    <cellStyle name="Hyperlink 52" xfId="11661" hidden="1"/>
    <cellStyle name="Hyperlink 52" xfId="11807" hidden="1"/>
    <cellStyle name="Hyperlink 52" xfId="13543" hidden="1"/>
    <cellStyle name="Hyperlink 52" xfId="13689" hidden="1"/>
    <cellStyle name="Hyperlink 52" xfId="14960" hidden="1"/>
    <cellStyle name="Hyperlink 52" xfId="13326" hidden="1"/>
    <cellStyle name="Hyperlink 52" xfId="16430" hidden="1"/>
    <cellStyle name="Hyperlink 52" xfId="16284" hidden="1"/>
    <cellStyle name="Hyperlink 52" xfId="17390" hidden="1"/>
    <cellStyle name="Hyperlink 52" xfId="17245" hidden="1"/>
    <cellStyle name="Hyperlink 52" xfId="18373" hidden="1"/>
    <cellStyle name="Hyperlink 52" xfId="18228" hidden="1"/>
    <cellStyle name="Hyperlink 52" xfId="19330" hidden="1"/>
    <cellStyle name="Hyperlink 52" xfId="19185" hidden="1"/>
    <cellStyle name="Hyperlink 52" xfId="20248" hidden="1"/>
    <cellStyle name="Hyperlink 52" xfId="20103" hidden="1"/>
    <cellStyle name="Hyperlink 52" xfId="21036" hidden="1"/>
    <cellStyle name="Hyperlink 52" xfId="20894" hidden="1"/>
    <cellStyle name="Hyperlink 52" xfId="21508" hidden="1"/>
    <cellStyle name="Hyperlink 52" xfId="21650" hidden="1"/>
    <cellStyle name="Hyperlink 52" xfId="13039" hidden="1"/>
    <cellStyle name="Hyperlink 52" xfId="11456" hidden="1"/>
    <cellStyle name="Hyperlink 52" xfId="23233" hidden="1"/>
    <cellStyle name="Hyperlink 52" xfId="23379" hidden="1"/>
    <cellStyle name="Hyperlink 52" xfId="24376" hidden="1"/>
    <cellStyle name="Hyperlink 52" xfId="23016" hidden="1"/>
    <cellStyle name="Hyperlink 52" xfId="25843" hidden="1"/>
    <cellStyle name="Hyperlink 52" xfId="25697" hidden="1"/>
    <cellStyle name="Hyperlink 52" xfId="26802" hidden="1"/>
    <cellStyle name="Hyperlink 52" xfId="26657" hidden="1"/>
    <cellStyle name="Hyperlink 52" xfId="27785" hidden="1"/>
    <cellStyle name="Hyperlink 52" xfId="27640" hidden="1"/>
    <cellStyle name="Hyperlink 52" xfId="28742" hidden="1"/>
    <cellStyle name="Hyperlink 52" xfId="28597" hidden="1"/>
    <cellStyle name="Hyperlink 52" xfId="29660" hidden="1"/>
    <cellStyle name="Hyperlink 52" xfId="29515" hidden="1"/>
    <cellStyle name="Hyperlink 52" xfId="30447" hidden="1"/>
    <cellStyle name="Hyperlink 52" xfId="30305" hidden="1"/>
    <cellStyle name="Hyperlink 52" xfId="30919" hidden="1"/>
    <cellStyle name="Hyperlink 52" xfId="31061"/>
    <cellStyle name="Hyperlink 52 2" xfId="1890"/>
    <cellStyle name="Hyperlink 52 3" xfId="1891"/>
    <cellStyle name="Hyperlink 52 9" xfId="32681"/>
    <cellStyle name="Hyperlink 52_AGL" xfId="32682"/>
    <cellStyle name="Hyperlink 53" xfId="334" hidden="1"/>
    <cellStyle name="Hyperlink 53" xfId="474" hidden="1"/>
    <cellStyle name="Hyperlink 53" xfId="2333" hidden="1"/>
    <cellStyle name="Hyperlink 53" xfId="2473" hidden="1"/>
    <cellStyle name="Hyperlink 53" xfId="3747" hidden="1"/>
    <cellStyle name="Hyperlink 53" xfId="2122" hidden="1"/>
    <cellStyle name="Hyperlink 53" xfId="5217" hidden="1"/>
    <cellStyle name="Hyperlink 53" xfId="5077" hidden="1"/>
    <cellStyle name="Hyperlink 53" xfId="6177" hidden="1"/>
    <cellStyle name="Hyperlink 53" xfId="6038" hidden="1"/>
    <cellStyle name="Hyperlink 53" xfId="7160" hidden="1"/>
    <cellStyle name="Hyperlink 53" xfId="7021" hidden="1"/>
    <cellStyle name="Hyperlink 53" xfId="8117" hidden="1"/>
    <cellStyle name="Hyperlink 53" xfId="7978" hidden="1"/>
    <cellStyle name="Hyperlink 53" xfId="9035" hidden="1"/>
    <cellStyle name="Hyperlink 53" xfId="8896" hidden="1"/>
    <cellStyle name="Hyperlink 53" xfId="9823" hidden="1"/>
    <cellStyle name="Hyperlink 53" xfId="9687" hidden="1"/>
    <cellStyle name="Hyperlink 53" xfId="10299" hidden="1"/>
    <cellStyle name="Hyperlink 53" xfId="10435" hidden="1"/>
    <cellStyle name="Hyperlink 53" xfId="11663" hidden="1"/>
    <cellStyle name="Hyperlink 53" xfId="11803" hidden="1"/>
    <cellStyle name="Hyperlink 53" xfId="13545" hidden="1"/>
    <cellStyle name="Hyperlink 53" xfId="13685" hidden="1"/>
    <cellStyle name="Hyperlink 53" xfId="14958" hidden="1"/>
    <cellStyle name="Hyperlink 53" xfId="13334" hidden="1"/>
    <cellStyle name="Hyperlink 53" xfId="16428" hidden="1"/>
    <cellStyle name="Hyperlink 53" xfId="16288" hidden="1"/>
    <cellStyle name="Hyperlink 53" xfId="17388" hidden="1"/>
    <cellStyle name="Hyperlink 53" xfId="17249" hidden="1"/>
    <cellStyle name="Hyperlink 53" xfId="18371" hidden="1"/>
    <cellStyle name="Hyperlink 53" xfId="18232" hidden="1"/>
    <cellStyle name="Hyperlink 53" xfId="19328" hidden="1"/>
    <cellStyle name="Hyperlink 53" xfId="19189" hidden="1"/>
    <cellStyle name="Hyperlink 53" xfId="20246" hidden="1"/>
    <cellStyle name="Hyperlink 53" xfId="20107" hidden="1"/>
    <cellStyle name="Hyperlink 53" xfId="21034" hidden="1"/>
    <cellStyle name="Hyperlink 53" xfId="20898" hidden="1"/>
    <cellStyle name="Hyperlink 53" xfId="21510" hidden="1"/>
    <cellStyle name="Hyperlink 53" xfId="21646" hidden="1"/>
    <cellStyle name="Hyperlink 53" xfId="13037" hidden="1"/>
    <cellStyle name="Hyperlink 53" xfId="11464" hidden="1"/>
    <cellStyle name="Hyperlink 53" xfId="23235" hidden="1"/>
    <cellStyle name="Hyperlink 53" xfId="23375" hidden="1"/>
    <cellStyle name="Hyperlink 53" xfId="24374" hidden="1"/>
    <cellStyle name="Hyperlink 53" xfId="23024" hidden="1"/>
    <cellStyle name="Hyperlink 53" xfId="25841" hidden="1"/>
    <cellStyle name="Hyperlink 53" xfId="25701" hidden="1"/>
    <cellStyle name="Hyperlink 53" xfId="26800" hidden="1"/>
    <cellStyle name="Hyperlink 53" xfId="26661" hidden="1"/>
    <cellStyle name="Hyperlink 53" xfId="27783" hidden="1"/>
    <cellStyle name="Hyperlink 53" xfId="27644" hidden="1"/>
    <cellStyle name="Hyperlink 53" xfId="28740" hidden="1"/>
    <cellStyle name="Hyperlink 53" xfId="28601" hidden="1"/>
    <cellStyle name="Hyperlink 53" xfId="29658" hidden="1"/>
    <cellStyle name="Hyperlink 53" xfId="29519" hidden="1"/>
    <cellStyle name="Hyperlink 53" xfId="30445" hidden="1"/>
    <cellStyle name="Hyperlink 53" xfId="30309" hidden="1"/>
    <cellStyle name="Hyperlink 53" xfId="30921" hidden="1"/>
    <cellStyle name="Hyperlink 53" xfId="31057"/>
    <cellStyle name="Hyperlink 53 2" xfId="1892"/>
    <cellStyle name="Hyperlink 53 3" xfId="1893"/>
    <cellStyle name="Hyperlink 53 9" xfId="32683"/>
    <cellStyle name="Hyperlink 53_AGL" xfId="32684"/>
    <cellStyle name="Hyperlink 54" xfId="336" hidden="1"/>
    <cellStyle name="Hyperlink 54" xfId="470" hidden="1"/>
    <cellStyle name="Hyperlink 54" xfId="2335" hidden="1"/>
    <cellStyle name="Hyperlink 54" xfId="2469" hidden="1"/>
    <cellStyle name="Hyperlink 54" xfId="3745" hidden="1"/>
    <cellStyle name="Hyperlink 54" xfId="2130" hidden="1"/>
    <cellStyle name="Hyperlink 54" xfId="5215" hidden="1"/>
    <cellStyle name="Hyperlink 54" xfId="5081" hidden="1"/>
    <cellStyle name="Hyperlink 54" xfId="6175" hidden="1"/>
    <cellStyle name="Hyperlink 54" xfId="6042" hidden="1"/>
    <cellStyle name="Hyperlink 54" xfId="7158" hidden="1"/>
    <cellStyle name="Hyperlink 54" xfId="7025" hidden="1"/>
    <cellStyle name="Hyperlink 54" xfId="8115" hidden="1"/>
    <cellStyle name="Hyperlink 54" xfId="7982" hidden="1"/>
    <cellStyle name="Hyperlink 54" xfId="9033" hidden="1"/>
    <cellStyle name="Hyperlink 54" xfId="8900" hidden="1"/>
    <cellStyle name="Hyperlink 54" xfId="9821" hidden="1"/>
    <cellStyle name="Hyperlink 54" xfId="9691" hidden="1"/>
    <cellStyle name="Hyperlink 54" xfId="10301" hidden="1"/>
    <cellStyle name="Hyperlink 54" xfId="10431" hidden="1"/>
    <cellStyle name="Hyperlink 54" xfId="11665" hidden="1"/>
    <cellStyle name="Hyperlink 54" xfId="11799" hidden="1"/>
    <cellStyle name="Hyperlink 54" xfId="13547" hidden="1"/>
    <cellStyle name="Hyperlink 54" xfId="13681" hidden="1"/>
    <cellStyle name="Hyperlink 54" xfId="14956" hidden="1"/>
    <cellStyle name="Hyperlink 54" xfId="13342" hidden="1"/>
    <cellStyle name="Hyperlink 54" xfId="16426" hidden="1"/>
    <cellStyle name="Hyperlink 54" xfId="16292" hidden="1"/>
    <cellStyle name="Hyperlink 54" xfId="17386" hidden="1"/>
    <cellStyle name="Hyperlink 54" xfId="17253" hidden="1"/>
    <cellStyle name="Hyperlink 54" xfId="18369" hidden="1"/>
    <cellStyle name="Hyperlink 54" xfId="18236" hidden="1"/>
    <cellStyle name="Hyperlink 54" xfId="19326" hidden="1"/>
    <cellStyle name="Hyperlink 54" xfId="19193" hidden="1"/>
    <cellStyle name="Hyperlink 54" xfId="20244" hidden="1"/>
    <cellStyle name="Hyperlink 54" xfId="20111" hidden="1"/>
    <cellStyle name="Hyperlink 54" xfId="21032" hidden="1"/>
    <cellStyle name="Hyperlink 54" xfId="20902" hidden="1"/>
    <cellStyle name="Hyperlink 54" xfId="21512" hidden="1"/>
    <cellStyle name="Hyperlink 54" xfId="21642" hidden="1"/>
    <cellStyle name="Hyperlink 54" xfId="13035" hidden="1"/>
    <cellStyle name="Hyperlink 54" xfId="11472" hidden="1"/>
    <cellStyle name="Hyperlink 54" xfId="23237" hidden="1"/>
    <cellStyle name="Hyperlink 54" xfId="23371" hidden="1"/>
    <cellStyle name="Hyperlink 54" xfId="24372" hidden="1"/>
    <cellStyle name="Hyperlink 54" xfId="23032" hidden="1"/>
    <cellStyle name="Hyperlink 54" xfId="25839" hidden="1"/>
    <cellStyle name="Hyperlink 54" xfId="25705" hidden="1"/>
    <cellStyle name="Hyperlink 54" xfId="26798" hidden="1"/>
    <cellStyle name="Hyperlink 54" xfId="26665" hidden="1"/>
    <cellStyle name="Hyperlink 54" xfId="27781" hidden="1"/>
    <cellStyle name="Hyperlink 54" xfId="27648" hidden="1"/>
    <cellStyle name="Hyperlink 54" xfId="28738" hidden="1"/>
    <cellStyle name="Hyperlink 54" xfId="28605" hidden="1"/>
    <cellStyle name="Hyperlink 54" xfId="29656" hidden="1"/>
    <cellStyle name="Hyperlink 54" xfId="29523" hidden="1"/>
    <cellStyle name="Hyperlink 54" xfId="30443" hidden="1"/>
    <cellStyle name="Hyperlink 54" xfId="30313" hidden="1"/>
    <cellStyle name="Hyperlink 54" xfId="30923" hidden="1"/>
    <cellStyle name="Hyperlink 54" xfId="31053"/>
    <cellStyle name="Hyperlink 54 2" xfId="1894"/>
    <cellStyle name="Hyperlink 54 3" xfId="1895"/>
    <cellStyle name="Hyperlink 54 9" xfId="32685"/>
    <cellStyle name="Hyperlink 54_AGL" xfId="32686"/>
    <cellStyle name="Hyperlink 55" xfId="338" hidden="1"/>
    <cellStyle name="Hyperlink 55" xfId="466" hidden="1"/>
    <cellStyle name="Hyperlink 55" xfId="2337" hidden="1"/>
    <cellStyle name="Hyperlink 55" xfId="2465" hidden="1"/>
    <cellStyle name="Hyperlink 55" xfId="3743" hidden="1"/>
    <cellStyle name="Hyperlink 55" xfId="2138" hidden="1"/>
    <cellStyle name="Hyperlink 55" xfId="5213" hidden="1"/>
    <cellStyle name="Hyperlink 55" xfId="5085" hidden="1"/>
    <cellStyle name="Hyperlink 55" xfId="6173" hidden="1"/>
    <cellStyle name="Hyperlink 55" xfId="6046" hidden="1"/>
    <cellStyle name="Hyperlink 55" xfId="7156" hidden="1"/>
    <cellStyle name="Hyperlink 55" xfId="7029" hidden="1"/>
    <cellStyle name="Hyperlink 55" xfId="8113" hidden="1"/>
    <cellStyle name="Hyperlink 55" xfId="7986" hidden="1"/>
    <cellStyle name="Hyperlink 55" xfId="9031" hidden="1"/>
    <cellStyle name="Hyperlink 55" xfId="8904" hidden="1"/>
    <cellStyle name="Hyperlink 55" xfId="9819" hidden="1"/>
    <cellStyle name="Hyperlink 55" xfId="9695" hidden="1"/>
    <cellStyle name="Hyperlink 55" xfId="10303" hidden="1"/>
    <cellStyle name="Hyperlink 55" xfId="10427" hidden="1"/>
    <cellStyle name="Hyperlink 55" xfId="11667" hidden="1"/>
    <cellStyle name="Hyperlink 55" xfId="11795" hidden="1"/>
    <cellStyle name="Hyperlink 55" xfId="13549" hidden="1"/>
    <cellStyle name="Hyperlink 55" xfId="13677" hidden="1"/>
    <cellStyle name="Hyperlink 55" xfId="14954" hidden="1"/>
    <cellStyle name="Hyperlink 55" xfId="13350" hidden="1"/>
    <cellStyle name="Hyperlink 55" xfId="16424" hidden="1"/>
    <cellStyle name="Hyperlink 55" xfId="16296" hidden="1"/>
    <cellStyle name="Hyperlink 55" xfId="17384" hidden="1"/>
    <cellStyle name="Hyperlink 55" xfId="17257" hidden="1"/>
    <cellStyle name="Hyperlink 55" xfId="18367" hidden="1"/>
    <cellStyle name="Hyperlink 55" xfId="18240" hidden="1"/>
    <cellStyle name="Hyperlink 55" xfId="19324" hidden="1"/>
    <cellStyle name="Hyperlink 55" xfId="19197" hidden="1"/>
    <cellStyle name="Hyperlink 55" xfId="20242" hidden="1"/>
    <cellStyle name="Hyperlink 55" xfId="20115" hidden="1"/>
    <cellStyle name="Hyperlink 55" xfId="21030" hidden="1"/>
    <cellStyle name="Hyperlink 55" xfId="20906" hidden="1"/>
    <cellStyle name="Hyperlink 55" xfId="21514" hidden="1"/>
    <cellStyle name="Hyperlink 55" xfId="21638" hidden="1"/>
    <cellStyle name="Hyperlink 55" xfId="13033" hidden="1"/>
    <cellStyle name="Hyperlink 55" xfId="11480" hidden="1"/>
    <cellStyle name="Hyperlink 55" xfId="23239" hidden="1"/>
    <cellStyle name="Hyperlink 55" xfId="23367" hidden="1"/>
    <cellStyle name="Hyperlink 55" xfId="24370" hidden="1"/>
    <cellStyle name="Hyperlink 55" xfId="23040" hidden="1"/>
    <cellStyle name="Hyperlink 55" xfId="25837" hidden="1"/>
    <cellStyle name="Hyperlink 55" xfId="25709" hidden="1"/>
    <cellStyle name="Hyperlink 55" xfId="26796" hidden="1"/>
    <cellStyle name="Hyperlink 55" xfId="26669" hidden="1"/>
    <cellStyle name="Hyperlink 55" xfId="27779" hidden="1"/>
    <cellStyle name="Hyperlink 55" xfId="27652" hidden="1"/>
    <cellStyle name="Hyperlink 55" xfId="28736" hidden="1"/>
    <cellStyle name="Hyperlink 55" xfId="28609" hidden="1"/>
    <cellStyle name="Hyperlink 55" xfId="29654" hidden="1"/>
    <cellStyle name="Hyperlink 55" xfId="29527" hidden="1"/>
    <cellStyle name="Hyperlink 55" xfId="30441" hidden="1"/>
    <cellStyle name="Hyperlink 55" xfId="30317" hidden="1"/>
    <cellStyle name="Hyperlink 55" xfId="30925" hidden="1"/>
    <cellStyle name="Hyperlink 55" xfId="31049"/>
    <cellStyle name="Hyperlink 55 2" xfId="1896"/>
    <cellStyle name="Hyperlink 55 3" xfId="1897"/>
    <cellStyle name="Hyperlink 55 9" xfId="32687"/>
    <cellStyle name="Hyperlink 55_AGL" xfId="32688"/>
    <cellStyle name="Hyperlink 56" xfId="340" hidden="1"/>
    <cellStyle name="Hyperlink 56" xfId="462" hidden="1"/>
    <cellStyle name="Hyperlink 56" xfId="2339" hidden="1"/>
    <cellStyle name="Hyperlink 56" xfId="2461" hidden="1"/>
    <cellStyle name="Hyperlink 56" xfId="3741" hidden="1"/>
    <cellStyle name="Hyperlink 56" xfId="2146" hidden="1"/>
    <cellStyle name="Hyperlink 56" xfId="5211" hidden="1"/>
    <cellStyle name="Hyperlink 56" xfId="5089" hidden="1"/>
    <cellStyle name="Hyperlink 56" xfId="6171" hidden="1"/>
    <cellStyle name="Hyperlink 56" xfId="6050" hidden="1"/>
    <cellStyle name="Hyperlink 56" xfId="7154" hidden="1"/>
    <cellStyle name="Hyperlink 56" xfId="7033" hidden="1"/>
    <cellStyle name="Hyperlink 56" xfId="8111" hidden="1"/>
    <cellStyle name="Hyperlink 56" xfId="7990" hidden="1"/>
    <cellStyle name="Hyperlink 56" xfId="9029" hidden="1"/>
    <cellStyle name="Hyperlink 56" xfId="8908" hidden="1"/>
    <cellStyle name="Hyperlink 56" xfId="9817" hidden="1"/>
    <cellStyle name="Hyperlink 56" xfId="9699" hidden="1"/>
    <cellStyle name="Hyperlink 56" xfId="10305" hidden="1"/>
    <cellStyle name="Hyperlink 56" xfId="10423" hidden="1"/>
    <cellStyle name="Hyperlink 56" xfId="11669" hidden="1"/>
    <cellStyle name="Hyperlink 56" xfId="11791" hidden="1"/>
    <cellStyle name="Hyperlink 56" xfId="13551" hidden="1"/>
    <cellStyle name="Hyperlink 56" xfId="13673" hidden="1"/>
    <cellStyle name="Hyperlink 56" xfId="14952" hidden="1"/>
    <cellStyle name="Hyperlink 56" xfId="13358" hidden="1"/>
    <cellStyle name="Hyperlink 56" xfId="16422" hidden="1"/>
    <cellStyle name="Hyperlink 56" xfId="16300" hidden="1"/>
    <cellStyle name="Hyperlink 56" xfId="17382" hidden="1"/>
    <cellStyle name="Hyperlink 56" xfId="17261" hidden="1"/>
    <cellStyle name="Hyperlink 56" xfId="18365" hidden="1"/>
    <cellStyle name="Hyperlink 56" xfId="18244" hidden="1"/>
    <cellStyle name="Hyperlink 56" xfId="19322" hidden="1"/>
    <cellStyle name="Hyperlink 56" xfId="19201" hidden="1"/>
    <cellStyle name="Hyperlink 56" xfId="20240" hidden="1"/>
    <cellStyle name="Hyperlink 56" xfId="20119" hidden="1"/>
    <cellStyle name="Hyperlink 56" xfId="21028" hidden="1"/>
    <cellStyle name="Hyperlink 56" xfId="20910" hidden="1"/>
    <cellStyle name="Hyperlink 56" xfId="21516" hidden="1"/>
    <cellStyle name="Hyperlink 56" xfId="21634" hidden="1"/>
    <cellStyle name="Hyperlink 56" xfId="13031" hidden="1"/>
    <cellStyle name="Hyperlink 56" xfId="11488" hidden="1"/>
    <cellStyle name="Hyperlink 56" xfId="23241" hidden="1"/>
    <cellStyle name="Hyperlink 56" xfId="23363" hidden="1"/>
    <cellStyle name="Hyperlink 56" xfId="24368" hidden="1"/>
    <cellStyle name="Hyperlink 56" xfId="23048" hidden="1"/>
    <cellStyle name="Hyperlink 56" xfId="25835" hidden="1"/>
    <cellStyle name="Hyperlink 56" xfId="25713" hidden="1"/>
    <cellStyle name="Hyperlink 56" xfId="26794" hidden="1"/>
    <cellStyle name="Hyperlink 56" xfId="26673" hidden="1"/>
    <cellStyle name="Hyperlink 56" xfId="27777" hidden="1"/>
    <cellStyle name="Hyperlink 56" xfId="27656" hidden="1"/>
    <cellStyle name="Hyperlink 56" xfId="28734" hidden="1"/>
    <cellStyle name="Hyperlink 56" xfId="28613" hidden="1"/>
    <cellStyle name="Hyperlink 56" xfId="29652" hidden="1"/>
    <cellStyle name="Hyperlink 56" xfId="29531" hidden="1"/>
    <cellStyle name="Hyperlink 56" xfId="30439" hidden="1"/>
    <cellStyle name="Hyperlink 56" xfId="30321" hidden="1"/>
    <cellStyle name="Hyperlink 56" xfId="30927" hidden="1"/>
    <cellStyle name="Hyperlink 56" xfId="31045"/>
    <cellStyle name="Hyperlink 56 2" xfId="1898"/>
    <cellStyle name="Hyperlink 56 3" xfId="1899"/>
    <cellStyle name="Hyperlink 56 9" xfId="32689"/>
    <cellStyle name="Hyperlink 56_AGL" xfId="32690"/>
    <cellStyle name="Hyperlink 57" xfId="342" hidden="1"/>
    <cellStyle name="Hyperlink 57" xfId="458" hidden="1"/>
    <cellStyle name="Hyperlink 57" xfId="2341" hidden="1"/>
    <cellStyle name="Hyperlink 57" xfId="2457" hidden="1"/>
    <cellStyle name="Hyperlink 57" xfId="3739" hidden="1"/>
    <cellStyle name="Hyperlink 57" xfId="2154" hidden="1"/>
    <cellStyle name="Hyperlink 57" xfId="5209" hidden="1"/>
    <cellStyle name="Hyperlink 57" xfId="5093" hidden="1"/>
    <cellStyle name="Hyperlink 57" xfId="6169" hidden="1"/>
    <cellStyle name="Hyperlink 57" xfId="6054" hidden="1"/>
    <cellStyle name="Hyperlink 57" xfId="7152" hidden="1"/>
    <cellStyle name="Hyperlink 57" xfId="7037" hidden="1"/>
    <cellStyle name="Hyperlink 57" xfId="8109" hidden="1"/>
    <cellStyle name="Hyperlink 57" xfId="7994" hidden="1"/>
    <cellStyle name="Hyperlink 57" xfId="9027" hidden="1"/>
    <cellStyle name="Hyperlink 57" xfId="8912" hidden="1"/>
    <cellStyle name="Hyperlink 57" xfId="9815" hidden="1"/>
    <cellStyle name="Hyperlink 57" xfId="9703" hidden="1"/>
    <cellStyle name="Hyperlink 57" xfId="10307" hidden="1"/>
    <cellStyle name="Hyperlink 57" xfId="10419" hidden="1"/>
    <cellStyle name="Hyperlink 57" xfId="11671" hidden="1"/>
    <cellStyle name="Hyperlink 57" xfId="11787" hidden="1"/>
    <cellStyle name="Hyperlink 57" xfId="13553" hidden="1"/>
    <cellStyle name="Hyperlink 57" xfId="13669" hidden="1"/>
    <cellStyle name="Hyperlink 57" xfId="14950" hidden="1"/>
    <cellStyle name="Hyperlink 57" xfId="13366" hidden="1"/>
    <cellStyle name="Hyperlink 57" xfId="16420" hidden="1"/>
    <cellStyle name="Hyperlink 57" xfId="16304" hidden="1"/>
    <cellStyle name="Hyperlink 57" xfId="17380" hidden="1"/>
    <cellStyle name="Hyperlink 57" xfId="17265" hidden="1"/>
    <cellStyle name="Hyperlink 57" xfId="18363" hidden="1"/>
    <cellStyle name="Hyperlink 57" xfId="18248" hidden="1"/>
    <cellStyle name="Hyperlink 57" xfId="19320" hidden="1"/>
    <cellStyle name="Hyperlink 57" xfId="19205" hidden="1"/>
    <cellStyle name="Hyperlink 57" xfId="20238" hidden="1"/>
    <cellStyle name="Hyperlink 57" xfId="20123" hidden="1"/>
    <cellStyle name="Hyperlink 57" xfId="21026" hidden="1"/>
    <cellStyle name="Hyperlink 57" xfId="20914" hidden="1"/>
    <cellStyle name="Hyperlink 57" xfId="21518" hidden="1"/>
    <cellStyle name="Hyperlink 57" xfId="21630" hidden="1"/>
    <cellStyle name="Hyperlink 57" xfId="13029" hidden="1"/>
    <cellStyle name="Hyperlink 57" xfId="11496" hidden="1"/>
    <cellStyle name="Hyperlink 57" xfId="23243" hidden="1"/>
    <cellStyle name="Hyperlink 57" xfId="23359" hidden="1"/>
    <cellStyle name="Hyperlink 57" xfId="24366" hidden="1"/>
    <cellStyle name="Hyperlink 57" xfId="23056" hidden="1"/>
    <cellStyle name="Hyperlink 57" xfId="25833" hidden="1"/>
    <cellStyle name="Hyperlink 57" xfId="25717" hidden="1"/>
    <cellStyle name="Hyperlink 57" xfId="26792" hidden="1"/>
    <cellStyle name="Hyperlink 57" xfId="26677" hidden="1"/>
    <cellStyle name="Hyperlink 57" xfId="27775" hidden="1"/>
    <cellStyle name="Hyperlink 57" xfId="27660" hidden="1"/>
    <cellStyle name="Hyperlink 57" xfId="28732" hidden="1"/>
    <cellStyle name="Hyperlink 57" xfId="28617" hidden="1"/>
    <cellStyle name="Hyperlink 57" xfId="29650" hidden="1"/>
    <cellStyle name="Hyperlink 57" xfId="29535" hidden="1"/>
    <cellStyle name="Hyperlink 57" xfId="30437" hidden="1"/>
    <cellStyle name="Hyperlink 57" xfId="30325" hidden="1"/>
    <cellStyle name="Hyperlink 57" xfId="30929" hidden="1"/>
    <cellStyle name="Hyperlink 57" xfId="31041"/>
    <cellStyle name="Hyperlink 57 2" xfId="1900"/>
    <cellStyle name="Hyperlink 57 3" xfId="1901"/>
    <cellStyle name="Hyperlink 57 9" xfId="32691"/>
    <cellStyle name="Hyperlink 57_AGL" xfId="32692"/>
    <cellStyle name="Hyperlink 58" xfId="344" hidden="1"/>
    <cellStyle name="Hyperlink 58" xfId="681" hidden="1"/>
    <cellStyle name="Hyperlink 58" xfId="2343" hidden="1"/>
    <cellStyle name="Hyperlink 58" xfId="2680" hidden="1"/>
    <cellStyle name="Hyperlink 58" xfId="3737" hidden="1"/>
    <cellStyle name="Hyperlink 58" xfId="2815" hidden="1"/>
    <cellStyle name="Hyperlink 58" xfId="5207" hidden="1"/>
    <cellStyle name="Hyperlink 58" xfId="3925" hidden="1"/>
    <cellStyle name="Hyperlink 58" xfId="6167" hidden="1"/>
    <cellStyle name="Hyperlink 58" xfId="4081" hidden="1"/>
    <cellStyle name="Hyperlink 58" xfId="7150" hidden="1"/>
    <cellStyle name="Hyperlink 58" xfId="4041" hidden="1"/>
    <cellStyle name="Hyperlink 58" xfId="8107" hidden="1"/>
    <cellStyle name="Hyperlink 58" xfId="6596" hidden="1"/>
    <cellStyle name="Hyperlink 58" xfId="9025" hidden="1"/>
    <cellStyle name="Hyperlink 58" xfId="7561" hidden="1"/>
    <cellStyle name="Hyperlink 58" xfId="9813" hidden="1"/>
    <cellStyle name="Hyperlink 58" xfId="8504" hidden="1"/>
    <cellStyle name="Hyperlink 58" xfId="10309" hidden="1"/>
    <cellStyle name="Hyperlink 58" xfId="10642" hidden="1"/>
    <cellStyle name="Hyperlink 58" xfId="11673" hidden="1"/>
    <cellStyle name="Hyperlink 58" xfId="12010" hidden="1"/>
    <cellStyle name="Hyperlink 58" xfId="13555" hidden="1"/>
    <cellStyle name="Hyperlink 58" xfId="13892" hidden="1"/>
    <cellStyle name="Hyperlink 58" xfId="14948" hidden="1"/>
    <cellStyle name="Hyperlink 58" xfId="14027" hidden="1"/>
    <cellStyle name="Hyperlink 58" xfId="16418" hidden="1"/>
    <cellStyle name="Hyperlink 58" xfId="15136" hidden="1"/>
    <cellStyle name="Hyperlink 58" xfId="17378" hidden="1"/>
    <cellStyle name="Hyperlink 58" xfId="15292" hidden="1"/>
    <cellStyle name="Hyperlink 58" xfId="18361" hidden="1"/>
    <cellStyle name="Hyperlink 58" xfId="15252" hidden="1"/>
    <cellStyle name="Hyperlink 58" xfId="19318" hidden="1"/>
    <cellStyle name="Hyperlink 58" xfId="17807" hidden="1"/>
    <cellStyle name="Hyperlink 58" xfId="20236" hidden="1"/>
    <cellStyle name="Hyperlink 58" xfId="18772" hidden="1"/>
    <cellStyle name="Hyperlink 58" xfId="21024" hidden="1"/>
    <cellStyle name="Hyperlink 58" xfId="19715" hidden="1"/>
    <cellStyle name="Hyperlink 58" xfId="21520" hidden="1"/>
    <cellStyle name="Hyperlink 58" xfId="21853" hidden="1"/>
    <cellStyle name="Hyperlink 58" xfId="13027" hidden="1"/>
    <cellStyle name="Hyperlink 58" xfId="12142" hidden="1"/>
    <cellStyle name="Hyperlink 58" xfId="23245" hidden="1"/>
    <cellStyle name="Hyperlink 58" xfId="23582" hidden="1"/>
    <cellStyle name="Hyperlink 58" xfId="24364" hidden="1"/>
    <cellStyle name="Hyperlink 58" xfId="23717" hidden="1"/>
    <cellStyle name="Hyperlink 58" xfId="25831" hidden="1"/>
    <cellStyle name="Hyperlink 58" xfId="24552" hidden="1"/>
    <cellStyle name="Hyperlink 58" xfId="26790" hidden="1"/>
    <cellStyle name="Hyperlink 58" xfId="24705" hidden="1"/>
    <cellStyle name="Hyperlink 58" xfId="27773" hidden="1"/>
    <cellStyle name="Hyperlink 58" xfId="24665" hidden="1"/>
    <cellStyle name="Hyperlink 58" xfId="28730" hidden="1"/>
    <cellStyle name="Hyperlink 58" xfId="27219" hidden="1"/>
    <cellStyle name="Hyperlink 58" xfId="29648" hidden="1"/>
    <cellStyle name="Hyperlink 58" xfId="28184" hidden="1"/>
    <cellStyle name="Hyperlink 58" xfId="30435" hidden="1"/>
    <cellStyle name="Hyperlink 58" xfId="29127" hidden="1"/>
    <cellStyle name="Hyperlink 58" xfId="30931" hidden="1"/>
    <cellStyle name="Hyperlink 58" xfId="31264"/>
    <cellStyle name="Hyperlink 58 2" xfId="1902"/>
    <cellStyle name="Hyperlink 58 3" xfId="1903"/>
    <cellStyle name="Hyperlink 58 9" xfId="32693"/>
    <cellStyle name="Hyperlink 58_AGL" xfId="32694"/>
    <cellStyle name="Hyperlink 59" xfId="346" hidden="1"/>
    <cellStyle name="Hyperlink 59" xfId="457" hidden="1"/>
    <cellStyle name="Hyperlink 59" xfId="2345" hidden="1"/>
    <cellStyle name="Hyperlink 59" xfId="2456" hidden="1"/>
    <cellStyle name="Hyperlink 59" xfId="3735" hidden="1"/>
    <cellStyle name="Hyperlink 59" xfId="2156" hidden="1"/>
    <cellStyle name="Hyperlink 59" xfId="5205" hidden="1"/>
    <cellStyle name="Hyperlink 59" xfId="5094" hidden="1"/>
    <cellStyle name="Hyperlink 59" xfId="6165" hidden="1"/>
    <cellStyle name="Hyperlink 59" xfId="6055" hidden="1"/>
    <cellStyle name="Hyperlink 59" xfId="7148" hidden="1"/>
    <cellStyle name="Hyperlink 59" xfId="7038" hidden="1"/>
    <cellStyle name="Hyperlink 59" xfId="8105" hidden="1"/>
    <cellStyle name="Hyperlink 59" xfId="7995" hidden="1"/>
    <cellStyle name="Hyperlink 59" xfId="9023" hidden="1"/>
    <cellStyle name="Hyperlink 59" xfId="8913" hidden="1"/>
    <cellStyle name="Hyperlink 59" xfId="9811" hidden="1"/>
    <cellStyle name="Hyperlink 59" xfId="9704" hidden="1"/>
    <cellStyle name="Hyperlink 59" xfId="10311" hidden="1"/>
    <cellStyle name="Hyperlink 59" xfId="10418" hidden="1"/>
    <cellStyle name="Hyperlink 59" xfId="11675" hidden="1"/>
    <cellStyle name="Hyperlink 59" xfId="11786" hidden="1"/>
    <cellStyle name="Hyperlink 59" xfId="13557" hidden="1"/>
    <cellStyle name="Hyperlink 59" xfId="13668" hidden="1"/>
    <cellStyle name="Hyperlink 59" xfId="14946" hidden="1"/>
    <cellStyle name="Hyperlink 59" xfId="13368" hidden="1"/>
    <cellStyle name="Hyperlink 59" xfId="16416" hidden="1"/>
    <cellStyle name="Hyperlink 59" xfId="16305" hidden="1"/>
    <cellStyle name="Hyperlink 59" xfId="17376" hidden="1"/>
    <cellStyle name="Hyperlink 59" xfId="17266" hidden="1"/>
    <cellStyle name="Hyperlink 59" xfId="18359" hidden="1"/>
    <cellStyle name="Hyperlink 59" xfId="18249" hidden="1"/>
    <cellStyle name="Hyperlink 59" xfId="19316" hidden="1"/>
    <cellStyle name="Hyperlink 59" xfId="19206" hidden="1"/>
    <cellStyle name="Hyperlink 59" xfId="20234" hidden="1"/>
    <cellStyle name="Hyperlink 59" xfId="20124" hidden="1"/>
    <cellStyle name="Hyperlink 59" xfId="21022" hidden="1"/>
    <cellStyle name="Hyperlink 59" xfId="20915" hidden="1"/>
    <cellStyle name="Hyperlink 59" xfId="21522" hidden="1"/>
    <cellStyle name="Hyperlink 59" xfId="21629" hidden="1"/>
    <cellStyle name="Hyperlink 59" xfId="13025" hidden="1"/>
    <cellStyle name="Hyperlink 59" xfId="11498" hidden="1"/>
    <cellStyle name="Hyperlink 59" xfId="23247" hidden="1"/>
    <cellStyle name="Hyperlink 59" xfId="23358" hidden="1"/>
    <cellStyle name="Hyperlink 59" xfId="24362" hidden="1"/>
    <cellStyle name="Hyperlink 59" xfId="23058" hidden="1"/>
    <cellStyle name="Hyperlink 59" xfId="25829" hidden="1"/>
    <cellStyle name="Hyperlink 59" xfId="25718" hidden="1"/>
    <cellStyle name="Hyperlink 59" xfId="26788" hidden="1"/>
    <cellStyle name="Hyperlink 59" xfId="26678" hidden="1"/>
    <cellStyle name="Hyperlink 59" xfId="27771" hidden="1"/>
    <cellStyle name="Hyperlink 59" xfId="27661" hidden="1"/>
    <cellStyle name="Hyperlink 59" xfId="28728" hidden="1"/>
    <cellStyle name="Hyperlink 59" xfId="28618" hidden="1"/>
    <cellStyle name="Hyperlink 59" xfId="29646" hidden="1"/>
    <cellStyle name="Hyperlink 59" xfId="29536" hidden="1"/>
    <cellStyle name="Hyperlink 59" xfId="30433" hidden="1"/>
    <cellStyle name="Hyperlink 59" xfId="30326" hidden="1"/>
    <cellStyle name="Hyperlink 59" xfId="30933" hidden="1"/>
    <cellStyle name="Hyperlink 59" xfId="31040"/>
    <cellStyle name="Hyperlink 59 2" xfId="1904"/>
    <cellStyle name="Hyperlink 59 3" xfId="1905"/>
    <cellStyle name="Hyperlink 59 9" xfId="32695"/>
    <cellStyle name="Hyperlink 59_AGL" xfId="32696"/>
    <cellStyle name="Hyperlink 6" xfId="240" hidden="1"/>
    <cellStyle name="Hyperlink 6" xfId="662" hidden="1"/>
    <cellStyle name="Hyperlink 6" xfId="2239" hidden="1"/>
    <cellStyle name="Hyperlink 6" xfId="2661" hidden="1"/>
    <cellStyle name="Hyperlink 6" xfId="3840" hidden="1"/>
    <cellStyle name="Hyperlink 6" xfId="2844" hidden="1"/>
    <cellStyle name="Hyperlink 6" xfId="4824" hidden="1"/>
    <cellStyle name="Hyperlink 6" xfId="3887" hidden="1"/>
    <cellStyle name="Hyperlink 6" xfId="4087" hidden="1"/>
    <cellStyle name="Hyperlink 6" xfId="4223" hidden="1"/>
    <cellStyle name="Hyperlink 6" xfId="6771" hidden="1"/>
    <cellStyle name="Hyperlink 6" xfId="5519" hidden="1"/>
    <cellStyle name="Hyperlink 6" xfId="7728" hidden="1"/>
    <cellStyle name="Hyperlink 6" xfId="5629" hidden="1"/>
    <cellStyle name="Hyperlink 6" xfId="8655" hidden="1"/>
    <cellStyle name="Hyperlink 6" xfId="6717" hidden="1"/>
    <cellStyle name="Hyperlink 6" xfId="9472" hidden="1"/>
    <cellStyle name="Hyperlink 6" xfId="7675" hidden="1"/>
    <cellStyle name="Hyperlink 6" xfId="10205" hidden="1"/>
    <cellStyle name="Hyperlink 6" xfId="10623" hidden="1"/>
    <cellStyle name="Hyperlink 6" xfId="11569" hidden="1"/>
    <cellStyle name="Hyperlink 6" xfId="11991" hidden="1"/>
    <cellStyle name="Hyperlink 6" xfId="13451" hidden="1"/>
    <cellStyle name="Hyperlink 6" xfId="13873" hidden="1"/>
    <cellStyle name="Hyperlink 6" xfId="15051" hidden="1"/>
    <cellStyle name="Hyperlink 6" xfId="14056" hidden="1"/>
    <cellStyle name="Hyperlink 6" xfId="16035" hidden="1"/>
    <cellStyle name="Hyperlink 6" xfId="15098" hidden="1"/>
    <cellStyle name="Hyperlink 6" xfId="15298" hidden="1"/>
    <cellStyle name="Hyperlink 6" xfId="15434" hidden="1"/>
    <cellStyle name="Hyperlink 6" xfId="17982" hidden="1"/>
    <cellStyle name="Hyperlink 6" xfId="16730" hidden="1"/>
    <cellStyle name="Hyperlink 6" xfId="18939" hidden="1"/>
    <cellStyle name="Hyperlink 6" xfId="16840" hidden="1"/>
    <cellStyle name="Hyperlink 6" xfId="19866" hidden="1"/>
    <cellStyle name="Hyperlink 6" xfId="17928" hidden="1"/>
    <cellStyle name="Hyperlink 6" xfId="20683" hidden="1"/>
    <cellStyle name="Hyperlink 6" xfId="18886" hidden="1"/>
    <cellStyle name="Hyperlink 6" xfId="21416" hidden="1"/>
    <cellStyle name="Hyperlink 6" xfId="21834" hidden="1"/>
    <cellStyle name="Hyperlink 6" xfId="13130" hidden="1"/>
    <cellStyle name="Hyperlink 6" xfId="12131" hidden="1"/>
    <cellStyle name="Hyperlink 6" xfId="23141" hidden="1"/>
    <cellStyle name="Hyperlink 6" xfId="23563" hidden="1"/>
    <cellStyle name="Hyperlink 6" xfId="24467" hidden="1"/>
    <cellStyle name="Hyperlink 6" xfId="23746" hidden="1"/>
    <cellStyle name="Hyperlink 6" xfId="25448" hidden="1"/>
    <cellStyle name="Hyperlink 6" xfId="24514" hidden="1"/>
    <cellStyle name="Hyperlink 6" xfId="24711" hidden="1"/>
    <cellStyle name="Hyperlink 6" xfId="24847" hidden="1"/>
    <cellStyle name="Hyperlink 6" xfId="27394" hidden="1"/>
    <cellStyle name="Hyperlink 6" xfId="26143" hidden="1"/>
    <cellStyle name="Hyperlink 6" xfId="28351" hidden="1"/>
    <cellStyle name="Hyperlink 6" xfId="26252" hidden="1"/>
    <cellStyle name="Hyperlink 6" xfId="29278" hidden="1"/>
    <cellStyle name="Hyperlink 6" xfId="27340" hidden="1"/>
    <cellStyle name="Hyperlink 6" xfId="30094" hidden="1"/>
    <cellStyle name="Hyperlink 6" xfId="28298" hidden="1"/>
    <cellStyle name="Hyperlink 6" xfId="30827" hidden="1"/>
    <cellStyle name="Hyperlink 6" xfId="31245"/>
    <cellStyle name="Hyperlink 6 2" xfId="1906"/>
    <cellStyle name="Hyperlink 6 3" xfId="1907"/>
    <cellStyle name="Hyperlink 6 9" xfId="32697"/>
    <cellStyle name="Hyperlink 6_AGL" xfId="32698"/>
    <cellStyle name="Hyperlink 60" xfId="348" hidden="1"/>
    <cellStyle name="Hyperlink 60" xfId="682" hidden="1"/>
    <cellStyle name="Hyperlink 60" xfId="2347" hidden="1"/>
    <cellStyle name="Hyperlink 60" xfId="2681" hidden="1"/>
    <cellStyle name="Hyperlink 60" xfId="3733" hidden="1"/>
    <cellStyle name="Hyperlink 60" xfId="3467" hidden="1"/>
    <cellStyle name="Hyperlink 60" xfId="5203" hidden="1"/>
    <cellStyle name="Hyperlink 60" xfId="3927" hidden="1"/>
    <cellStyle name="Hyperlink 60" xfId="6163" hidden="1"/>
    <cellStyle name="Hyperlink 60" xfId="4367" hidden="1"/>
    <cellStyle name="Hyperlink 60" xfId="7146" hidden="1"/>
    <cellStyle name="Hyperlink 60" xfId="4873" hidden="1"/>
    <cellStyle name="Hyperlink 60" xfId="8103" hidden="1"/>
    <cellStyle name="Hyperlink 60" xfId="6700" hidden="1"/>
    <cellStyle name="Hyperlink 60" xfId="9021" hidden="1"/>
    <cellStyle name="Hyperlink 60" xfId="7658" hidden="1"/>
    <cellStyle name="Hyperlink 60" xfId="9809" hidden="1"/>
    <cellStyle name="Hyperlink 60" xfId="8591" hidden="1"/>
    <cellStyle name="Hyperlink 60" xfId="10313" hidden="1"/>
    <cellStyle name="Hyperlink 60" xfId="10643" hidden="1"/>
    <cellStyle name="Hyperlink 60" xfId="11677" hidden="1"/>
    <cellStyle name="Hyperlink 60" xfId="12011" hidden="1"/>
    <cellStyle name="Hyperlink 60" xfId="13559" hidden="1"/>
    <cellStyle name="Hyperlink 60" xfId="13893" hidden="1"/>
    <cellStyle name="Hyperlink 60" xfId="14944" hidden="1"/>
    <cellStyle name="Hyperlink 60" xfId="14678" hidden="1"/>
    <cellStyle name="Hyperlink 60" xfId="16414" hidden="1"/>
    <cellStyle name="Hyperlink 60" xfId="15138" hidden="1"/>
    <cellStyle name="Hyperlink 60" xfId="17374" hidden="1"/>
    <cellStyle name="Hyperlink 60" xfId="15578" hidden="1"/>
    <cellStyle name="Hyperlink 60" xfId="18357" hidden="1"/>
    <cellStyle name="Hyperlink 60" xfId="16084" hidden="1"/>
    <cellStyle name="Hyperlink 60" xfId="19314" hidden="1"/>
    <cellStyle name="Hyperlink 60" xfId="17911" hidden="1"/>
    <cellStyle name="Hyperlink 60" xfId="20232" hidden="1"/>
    <cellStyle name="Hyperlink 60" xfId="18869" hidden="1"/>
    <cellStyle name="Hyperlink 60" xfId="21020" hidden="1"/>
    <cellStyle name="Hyperlink 60" xfId="19802" hidden="1"/>
    <cellStyle name="Hyperlink 60" xfId="21524" hidden="1"/>
    <cellStyle name="Hyperlink 60" xfId="21854" hidden="1"/>
    <cellStyle name="Hyperlink 60" xfId="13023" hidden="1"/>
    <cellStyle name="Hyperlink 60" xfId="12762" hidden="1"/>
    <cellStyle name="Hyperlink 60" xfId="23249" hidden="1"/>
    <cellStyle name="Hyperlink 60" xfId="23583" hidden="1"/>
    <cellStyle name="Hyperlink 60" xfId="24360" hidden="1"/>
    <cellStyle name="Hyperlink 60" xfId="24237" hidden="1"/>
    <cellStyle name="Hyperlink 60" xfId="25827" hidden="1"/>
    <cellStyle name="Hyperlink 60" xfId="24554" hidden="1"/>
    <cellStyle name="Hyperlink 60" xfId="26786" hidden="1"/>
    <cellStyle name="Hyperlink 60" xfId="24991" hidden="1"/>
    <cellStyle name="Hyperlink 60" xfId="27769" hidden="1"/>
    <cellStyle name="Hyperlink 60" xfId="25497" hidden="1"/>
    <cellStyle name="Hyperlink 60" xfId="28726" hidden="1"/>
    <cellStyle name="Hyperlink 60" xfId="27323" hidden="1"/>
    <cellStyle name="Hyperlink 60" xfId="29644" hidden="1"/>
    <cellStyle name="Hyperlink 60" xfId="28281" hidden="1"/>
    <cellStyle name="Hyperlink 60" xfId="30431" hidden="1"/>
    <cellStyle name="Hyperlink 60" xfId="29214" hidden="1"/>
    <cellStyle name="Hyperlink 60" xfId="30935" hidden="1"/>
    <cellStyle name="Hyperlink 60" xfId="31265"/>
    <cellStyle name="Hyperlink 60 2" xfId="1908"/>
    <cellStyle name="Hyperlink 60 3" xfId="1909"/>
    <cellStyle name="Hyperlink 60 9" xfId="32699"/>
    <cellStyle name="Hyperlink 60_AGL" xfId="32700"/>
    <cellStyle name="Hyperlink 61" xfId="350" hidden="1"/>
    <cellStyle name="Hyperlink 61" xfId="684" hidden="1"/>
    <cellStyle name="Hyperlink 61" xfId="2349" hidden="1"/>
    <cellStyle name="Hyperlink 61" xfId="2683" hidden="1"/>
    <cellStyle name="Hyperlink 61" xfId="3731" hidden="1"/>
    <cellStyle name="Hyperlink 61" xfId="2850" hidden="1"/>
    <cellStyle name="Hyperlink 61" xfId="5201" hidden="1"/>
    <cellStyle name="Hyperlink 61" xfId="3931" hidden="1"/>
    <cellStyle name="Hyperlink 61" xfId="6161" hidden="1"/>
    <cellStyle name="Hyperlink 61" xfId="4098" hidden="1"/>
    <cellStyle name="Hyperlink 61" xfId="7144" hidden="1"/>
    <cellStyle name="Hyperlink 61" xfId="5532" hidden="1"/>
    <cellStyle name="Hyperlink 61" xfId="8101" hidden="1"/>
    <cellStyle name="Hyperlink 61" xfId="6507" hidden="1"/>
    <cellStyle name="Hyperlink 61" xfId="9019" hidden="1"/>
    <cellStyle name="Hyperlink 61" xfId="7473" hidden="1"/>
    <cellStyle name="Hyperlink 61" xfId="9807" hidden="1"/>
    <cellStyle name="Hyperlink 61" xfId="8422" hidden="1"/>
    <cellStyle name="Hyperlink 61" xfId="10315" hidden="1"/>
    <cellStyle name="Hyperlink 61" xfId="10645" hidden="1"/>
    <cellStyle name="Hyperlink 61" xfId="11679" hidden="1"/>
    <cellStyle name="Hyperlink 61" xfId="12013" hidden="1"/>
    <cellStyle name="Hyperlink 61" xfId="13561" hidden="1"/>
    <cellStyle name="Hyperlink 61" xfId="13895" hidden="1"/>
    <cellStyle name="Hyperlink 61" xfId="14942" hidden="1"/>
    <cellStyle name="Hyperlink 61" xfId="14062" hidden="1"/>
    <cellStyle name="Hyperlink 61" xfId="16412" hidden="1"/>
    <cellStyle name="Hyperlink 61" xfId="15142" hidden="1"/>
    <cellStyle name="Hyperlink 61" xfId="17372" hidden="1"/>
    <cellStyle name="Hyperlink 61" xfId="15309" hidden="1"/>
    <cellStyle name="Hyperlink 61" xfId="18355" hidden="1"/>
    <cellStyle name="Hyperlink 61" xfId="16743" hidden="1"/>
    <cellStyle name="Hyperlink 61" xfId="19312" hidden="1"/>
    <cellStyle name="Hyperlink 61" xfId="17718" hidden="1"/>
    <cellStyle name="Hyperlink 61" xfId="20230" hidden="1"/>
    <cellStyle name="Hyperlink 61" xfId="18684" hidden="1"/>
    <cellStyle name="Hyperlink 61" xfId="21018" hidden="1"/>
    <cellStyle name="Hyperlink 61" xfId="19633" hidden="1"/>
    <cellStyle name="Hyperlink 61" xfId="21526" hidden="1"/>
    <cellStyle name="Hyperlink 61" xfId="21856" hidden="1"/>
    <cellStyle name="Hyperlink 61" xfId="13021" hidden="1"/>
    <cellStyle name="Hyperlink 61" xfId="12170" hidden="1"/>
    <cellStyle name="Hyperlink 61" xfId="23251" hidden="1"/>
    <cellStyle name="Hyperlink 61" xfId="23585" hidden="1"/>
    <cellStyle name="Hyperlink 61" xfId="24358" hidden="1"/>
    <cellStyle name="Hyperlink 61" xfId="23752" hidden="1"/>
    <cellStyle name="Hyperlink 61" xfId="25825" hidden="1"/>
    <cellStyle name="Hyperlink 61" xfId="24558" hidden="1"/>
    <cellStyle name="Hyperlink 61" xfId="26784" hidden="1"/>
    <cellStyle name="Hyperlink 61" xfId="24722" hidden="1"/>
    <cellStyle name="Hyperlink 61" xfId="27767" hidden="1"/>
    <cellStyle name="Hyperlink 61" xfId="26156" hidden="1"/>
    <cellStyle name="Hyperlink 61" xfId="28724" hidden="1"/>
    <cellStyle name="Hyperlink 61" xfId="27130" hidden="1"/>
    <cellStyle name="Hyperlink 61" xfId="29642" hidden="1"/>
    <cellStyle name="Hyperlink 61" xfId="28096" hidden="1"/>
    <cellStyle name="Hyperlink 61" xfId="30429" hidden="1"/>
    <cellStyle name="Hyperlink 61" xfId="29045" hidden="1"/>
    <cellStyle name="Hyperlink 61" xfId="30937" hidden="1"/>
    <cellStyle name="Hyperlink 61" xfId="31267"/>
    <cellStyle name="Hyperlink 61 2" xfId="1910"/>
    <cellStyle name="Hyperlink 61 3" xfId="1911"/>
    <cellStyle name="Hyperlink 61 9" xfId="32701"/>
    <cellStyle name="Hyperlink 61_AGL" xfId="32702"/>
    <cellStyle name="Hyperlink 62" xfId="352" hidden="1"/>
    <cellStyle name="Hyperlink 62" xfId="686" hidden="1"/>
    <cellStyle name="Hyperlink 62" xfId="2351" hidden="1"/>
    <cellStyle name="Hyperlink 62" xfId="2685" hidden="1"/>
    <cellStyle name="Hyperlink 62" xfId="3729" hidden="1"/>
    <cellStyle name="Hyperlink 62" xfId="2836" hidden="1"/>
    <cellStyle name="Hyperlink 62" xfId="5199" hidden="1"/>
    <cellStyle name="Hyperlink 62" xfId="3935" hidden="1"/>
    <cellStyle name="Hyperlink 62" xfId="6159" hidden="1"/>
    <cellStyle name="Hyperlink 62" xfId="4590" hidden="1"/>
    <cellStyle name="Hyperlink 62" xfId="7142" hidden="1"/>
    <cellStyle name="Hyperlink 62" xfId="5723" hidden="1"/>
    <cellStyle name="Hyperlink 62" xfId="8099" hidden="1"/>
    <cellStyle name="Hyperlink 62" xfId="6718" hidden="1"/>
    <cellStyle name="Hyperlink 62" xfId="9017" hidden="1"/>
    <cellStyle name="Hyperlink 62" xfId="7676" hidden="1"/>
    <cellStyle name="Hyperlink 62" xfId="9805" hidden="1"/>
    <cellStyle name="Hyperlink 62" xfId="8606" hidden="1"/>
    <cellStyle name="Hyperlink 62" xfId="10317" hidden="1"/>
    <cellStyle name="Hyperlink 62" xfId="10647" hidden="1"/>
    <cellStyle name="Hyperlink 62" xfId="11681" hidden="1"/>
    <cellStyle name="Hyperlink 62" xfId="12015" hidden="1"/>
    <cellStyle name="Hyperlink 62" xfId="13563" hidden="1"/>
    <cellStyle name="Hyperlink 62" xfId="13897" hidden="1"/>
    <cellStyle name="Hyperlink 62" xfId="14940" hidden="1"/>
    <cellStyle name="Hyperlink 62" xfId="14048" hidden="1"/>
    <cellStyle name="Hyperlink 62" xfId="16410" hidden="1"/>
    <cellStyle name="Hyperlink 62" xfId="15146" hidden="1"/>
    <cellStyle name="Hyperlink 62" xfId="17370" hidden="1"/>
    <cellStyle name="Hyperlink 62" xfId="15801" hidden="1"/>
    <cellStyle name="Hyperlink 62" xfId="18353" hidden="1"/>
    <cellStyle name="Hyperlink 62" xfId="16934" hidden="1"/>
    <cellStyle name="Hyperlink 62" xfId="19310" hidden="1"/>
    <cellStyle name="Hyperlink 62" xfId="17929" hidden="1"/>
    <cellStyle name="Hyperlink 62" xfId="20228" hidden="1"/>
    <cellStyle name="Hyperlink 62" xfId="18887" hidden="1"/>
    <cellStyle name="Hyperlink 62" xfId="21016" hidden="1"/>
    <cellStyle name="Hyperlink 62" xfId="19817" hidden="1"/>
    <cellStyle name="Hyperlink 62" xfId="21528" hidden="1"/>
    <cellStyle name="Hyperlink 62" xfId="21858" hidden="1"/>
    <cellStyle name="Hyperlink 62" xfId="13019" hidden="1"/>
    <cellStyle name="Hyperlink 62" xfId="12158" hidden="1"/>
    <cellStyle name="Hyperlink 62" xfId="23253" hidden="1"/>
    <cellStyle name="Hyperlink 62" xfId="23587" hidden="1"/>
    <cellStyle name="Hyperlink 62" xfId="24356" hidden="1"/>
    <cellStyle name="Hyperlink 62" xfId="23738" hidden="1"/>
    <cellStyle name="Hyperlink 62" xfId="25823" hidden="1"/>
    <cellStyle name="Hyperlink 62" xfId="24562" hidden="1"/>
    <cellStyle name="Hyperlink 62" xfId="26782" hidden="1"/>
    <cellStyle name="Hyperlink 62" xfId="25214" hidden="1"/>
    <cellStyle name="Hyperlink 62" xfId="27765" hidden="1"/>
    <cellStyle name="Hyperlink 62" xfId="26346" hidden="1"/>
    <cellStyle name="Hyperlink 62" xfId="28722" hidden="1"/>
    <cellStyle name="Hyperlink 62" xfId="27341" hidden="1"/>
    <cellStyle name="Hyperlink 62" xfId="29640" hidden="1"/>
    <cellStyle name="Hyperlink 62" xfId="28299" hidden="1"/>
    <cellStyle name="Hyperlink 62" xfId="30427" hidden="1"/>
    <cellStyle name="Hyperlink 62" xfId="29229" hidden="1"/>
    <cellStyle name="Hyperlink 62" xfId="30939" hidden="1"/>
    <cellStyle name="Hyperlink 62" xfId="31269"/>
    <cellStyle name="Hyperlink 62 2" xfId="1912"/>
    <cellStyle name="Hyperlink 62 3" xfId="1913"/>
    <cellStyle name="Hyperlink 62 9" xfId="32703"/>
    <cellStyle name="Hyperlink 62_AGL" xfId="32704"/>
    <cellStyle name="Hyperlink 63" xfId="354" hidden="1"/>
    <cellStyle name="Hyperlink 63" xfId="688" hidden="1"/>
    <cellStyle name="Hyperlink 63" xfId="2353" hidden="1"/>
    <cellStyle name="Hyperlink 63" xfId="2687" hidden="1"/>
    <cellStyle name="Hyperlink 63" xfId="3727" hidden="1"/>
    <cellStyle name="Hyperlink 63" xfId="3466" hidden="1"/>
    <cellStyle name="Hyperlink 63" xfId="5197" hidden="1"/>
    <cellStyle name="Hyperlink 63" xfId="3939" hidden="1"/>
    <cellStyle name="Hyperlink 63" xfId="6157" hidden="1"/>
    <cellStyle name="Hyperlink 63" xfId="4773" hidden="1"/>
    <cellStyle name="Hyperlink 63" xfId="7140" hidden="1"/>
    <cellStyle name="Hyperlink 63" xfId="5533" hidden="1"/>
    <cellStyle name="Hyperlink 63" xfId="8097" hidden="1"/>
    <cellStyle name="Hyperlink 63" xfId="5504" hidden="1"/>
    <cellStyle name="Hyperlink 63" xfId="9015" hidden="1"/>
    <cellStyle name="Hyperlink 63" xfId="6666" hidden="1"/>
    <cellStyle name="Hyperlink 63" xfId="9803" hidden="1"/>
    <cellStyle name="Hyperlink 63" xfId="7626" hidden="1"/>
    <cellStyle name="Hyperlink 63" xfId="10319" hidden="1"/>
    <cellStyle name="Hyperlink 63" xfId="10649" hidden="1"/>
    <cellStyle name="Hyperlink 63" xfId="11683" hidden="1"/>
    <cellStyle name="Hyperlink 63" xfId="12017" hidden="1"/>
    <cellStyle name="Hyperlink 63" xfId="13565" hidden="1"/>
    <cellStyle name="Hyperlink 63" xfId="13899" hidden="1"/>
    <cellStyle name="Hyperlink 63" xfId="14938" hidden="1"/>
    <cellStyle name="Hyperlink 63" xfId="14677" hidden="1"/>
    <cellStyle name="Hyperlink 63" xfId="16408" hidden="1"/>
    <cellStyle name="Hyperlink 63" xfId="15150" hidden="1"/>
    <cellStyle name="Hyperlink 63" xfId="17368" hidden="1"/>
    <cellStyle name="Hyperlink 63" xfId="15984" hidden="1"/>
    <cellStyle name="Hyperlink 63" xfId="18351" hidden="1"/>
    <cellStyle name="Hyperlink 63" xfId="16744" hidden="1"/>
    <cellStyle name="Hyperlink 63" xfId="19308" hidden="1"/>
    <cellStyle name="Hyperlink 63" xfId="16715" hidden="1"/>
    <cellStyle name="Hyperlink 63" xfId="20226" hidden="1"/>
    <cellStyle name="Hyperlink 63" xfId="17877" hidden="1"/>
    <cellStyle name="Hyperlink 63" xfId="21014" hidden="1"/>
    <cellStyle name="Hyperlink 63" xfId="18837" hidden="1"/>
    <cellStyle name="Hyperlink 63" xfId="21530" hidden="1"/>
    <cellStyle name="Hyperlink 63" xfId="21860" hidden="1"/>
    <cellStyle name="Hyperlink 63" xfId="13017" hidden="1"/>
    <cellStyle name="Hyperlink 63" xfId="12761" hidden="1"/>
    <cellStyle name="Hyperlink 63" xfId="23255" hidden="1"/>
    <cellStyle name="Hyperlink 63" xfId="23589" hidden="1"/>
    <cellStyle name="Hyperlink 63" xfId="24354" hidden="1"/>
    <cellStyle name="Hyperlink 63" xfId="24236" hidden="1"/>
    <cellStyle name="Hyperlink 63" xfId="25821" hidden="1"/>
    <cellStyle name="Hyperlink 63" xfId="24566" hidden="1"/>
    <cellStyle name="Hyperlink 63" xfId="26780" hidden="1"/>
    <cellStyle name="Hyperlink 63" xfId="25397" hidden="1"/>
    <cellStyle name="Hyperlink 63" xfId="27763" hidden="1"/>
    <cellStyle name="Hyperlink 63" xfId="26157" hidden="1"/>
    <cellStyle name="Hyperlink 63" xfId="28720" hidden="1"/>
    <cellStyle name="Hyperlink 63" xfId="26128" hidden="1"/>
    <cellStyle name="Hyperlink 63" xfId="29638" hidden="1"/>
    <cellStyle name="Hyperlink 63" xfId="27289" hidden="1"/>
    <cellStyle name="Hyperlink 63" xfId="30425" hidden="1"/>
    <cellStyle name="Hyperlink 63" xfId="28249" hidden="1"/>
    <cellStyle name="Hyperlink 63" xfId="30941" hidden="1"/>
    <cellStyle name="Hyperlink 63" xfId="31271"/>
    <cellStyle name="Hyperlink 63 2" xfId="1914"/>
    <cellStyle name="Hyperlink 63 3" xfId="1915"/>
    <cellStyle name="Hyperlink 63 9" xfId="32705"/>
    <cellStyle name="Hyperlink 63_AGL" xfId="32706"/>
    <cellStyle name="Hyperlink 64" xfId="356" hidden="1"/>
    <cellStyle name="Hyperlink 64" xfId="690" hidden="1"/>
    <cellStyle name="Hyperlink 64" xfId="2355" hidden="1"/>
    <cellStyle name="Hyperlink 64" xfId="2689" hidden="1"/>
    <cellStyle name="Hyperlink 64" xfId="3725" hidden="1"/>
    <cellStyle name="Hyperlink 64" xfId="2848" hidden="1"/>
    <cellStyle name="Hyperlink 64" xfId="5195" hidden="1"/>
    <cellStyle name="Hyperlink 64" xfId="3943" hidden="1"/>
    <cellStyle name="Hyperlink 64" xfId="6155" hidden="1"/>
    <cellStyle name="Hyperlink 64" xfId="4758" hidden="1"/>
    <cellStyle name="Hyperlink 64" xfId="7138" hidden="1"/>
    <cellStyle name="Hyperlink 64" xfId="5741" hidden="1"/>
    <cellStyle name="Hyperlink 64" xfId="8095" hidden="1"/>
    <cellStyle name="Hyperlink 64" xfId="6319" hidden="1"/>
    <cellStyle name="Hyperlink 64" xfId="9013" hidden="1"/>
    <cellStyle name="Hyperlink 64" xfId="7286" hidden="1"/>
    <cellStyle name="Hyperlink 64" xfId="9801" hidden="1"/>
    <cellStyle name="Hyperlink 64" xfId="8243" hidden="1"/>
    <cellStyle name="Hyperlink 64" xfId="10321" hidden="1"/>
    <cellStyle name="Hyperlink 64" xfId="10651" hidden="1"/>
    <cellStyle name="Hyperlink 64" xfId="11685" hidden="1"/>
    <cellStyle name="Hyperlink 64" xfId="12019" hidden="1"/>
    <cellStyle name="Hyperlink 64" xfId="13567" hidden="1"/>
    <cellStyle name="Hyperlink 64" xfId="13901" hidden="1"/>
    <cellStyle name="Hyperlink 64" xfId="14936" hidden="1"/>
    <cellStyle name="Hyperlink 64" xfId="14060" hidden="1"/>
    <cellStyle name="Hyperlink 64" xfId="16406" hidden="1"/>
    <cellStyle name="Hyperlink 64" xfId="15154" hidden="1"/>
    <cellStyle name="Hyperlink 64" xfId="17366" hidden="1"/>
    <cellStyle name="Hyperlink 64" xfId="15969" hidden="1"/>
    <cellStyle name="Hyperlink 64" xfId="18349" hidden="1"/>
    <cellStyle name="Hyperlink 64" xfId="16952" hidden="1"/>
    <cellStyle name="Hyperlink 64" xfId="19306" hidden="1"/>
    <cellStyle name="Hyperlink 64" xfId="17530" hidden="1"/>
    <cellStyle name="Hyperlink 64" xfId="20224" hidden="1"/>
    <cellStyle name="Hyperlink 64" xfId="18497" hidden="1"/>
    <cellStyle name="Hyperlink 64" xfId="21012" hidden="1"/>
    <cellStyle name="Hyperlink 64" xfId="19454" hidden="1"/>
    <cellStyle name="Hyperlink 64" xfId="21532" hidden="1"/>
    <cellStyle name="Hyperlink 64" xfId="21862" hidden="1"/>
    <cellStyle name="Hyperlink 64" xfId="13015" hidden="1"/>
    <cellStyle name="Hyperlink 64" xfId="12168" hidden="1"/>
    <cellStyle name="Hyperlink 64" xfId="23257" hidden="1"/>
    <cellStyle name="Hyperlink 64" xfId="23591" hidden="1"/>
    <cellStyle name="Hyperlink 64" xfId="24352" hidden="1"/>
    <cellStyle name="Hyperlink 64" xfId="23750" hidden="1"/>
    <cellStyle name="Hyperlink 64" xfId="25819" hidden="1"/>
    <cellStyle name="Hyperlink 64" xfId="24570" hidden="1"/>
    <cellStyle name="Hyperlink 64" xfId="26778" hidden="1"/>
    <cellStyle name="Hyperlink 64" xfId="25382" hidden="1"/>
    <cellStyle name="Hyperlink 64" xfId="27761" hidden="1"/>
    <cellStyle name="Hyperlink 64" xfId="26364" hidden="1"/>
    <cellStyle name="Hyperlink 64" xfId="28718" hidden="1"/>
    <cellStyle name="Hyperlink 64" xfId="26942" hidden="1"/>
    <cellStyle name="Hyperlink 64" xfId="29636" hidden="1"/>
    <cellStyle name="Hyperlink 64" xfId="27909" hidden="1"/>
    <cellStyle name="Hyperlink 64" xfId="30423" hidden="1"/>
    <cellStyle name="Hyperlink 64" xfId="28866" hidden="1"/>
    <cellStyle name="Hyperlink 64" xfId="30943" hidden="1"/>
    <cellStyle name="Hyperlink 64" xfId="31273"/>
    <cellStyle name="Hyperlink 64 2" xfId="1916"/>
    <cellStyle name="Hyperlink 64 3" xfId="1917"/>
    <cellStyle name="Hyperlink 64 9" xfId="32707"/>
    <cellStyle name="Hyperlink 64_AGL" xfId="32708"/>
    <cellStyle name="Hyperlink 65" xfId="358" hidden="1"/>
    <cellStyle name="Hyperlink 65" xfId="692" hidden="1"/>
    <cellStyle name="Hyperlink 65" xfId="2357" hidden="1"/>
    <cellStyle name="Hyperlink 65" xfId="2691" hidden="1"/>
    <cellStyle name="Hyperlink 65" xfId="3723" hidden="1"/>
    <cellStyle name="Hyperlink 65" xfId="2834" hidden="1"/>
    <cellStyle name="Hyperlink 65" xfId="5193" hidden="1"/>
    <cellStyle name="Hyperlink 65" xfId="3947" hidden="1"/>
    <cellStyle name="Hyperlink 65" xfId="6153" hidden="1"/>
    <cellStyle name="Hyperlink 65" xfId="4692" hidden="1"/>
    <cellStyle name="Hyperlink 65" xfId="7136" hidden="1"/>
    <cellStyle name="Hyperlink 65" xfId="4717" hidden="1"/>
    <cellStyle name="Hyperlink 65" xfId="8093" hidden="1"/>
    <cellStyle name="Hyperlink 65" xfId="5627" hidden="1"/>
    <cellStyle name="Hyperlink 65" xfId="9011" hidden="1"/>
    <cellStyle name="Hyperlink 65" xfId="6836" hidden="1"/>
    <cellStyle name="Hyperlink 65" xfId="9799" hidden="1"/>
    <cellStyle name="Hyperlink 65" xfId="7793" hidden="1"/>
    <cellStyle name="Hyperlink 65" xfId="10323" hidden="1"/>
    <cellStyle name="Hyperlink 65" xfId="10653" hidden="1"/>
    <cellStyle name="Hyperlink 65" xfId="11687" hidden="1"/>
    <cellStyle name="Hyperlink 65" xfId="12021" hidden="1"/>
    <cellStyle name="Hyperlink 65" xfId="13569" hidden="1"/>
    <cellStyle name="Hyperlink 65" xfId="13903" hidden="1"/>
    <cellStyle name="Hyperlink 65" xfId="14934" hidden="1"/>
    <cellStyle name="Hyperlink 65" xfId="14046" hidden="1"/>
    <cellStyle name="Hyperlink 65" xfId="16404" hidden="1"/>
    <cellStyle name="Hyperlink 65" xfId="15158" hidden="1"/>
    <cellStyle name="Hyperlink 65" xfId="17364" hidden="1"/>
    <cellStyle name="Hyperlink 65" xfId="15903" hidden="1"/>
    <cellStyle name="Hyperlink 65" xfId="18347" hidden="1"/>
    <cellStyle name="Hyperlink 65" xfId="15928" hidden="1"/>
    <cellStyle name="Hyperlink 65" xfId="19304" hidden="1"/>
    <cellStyle name="Hyperlink 65" xfId="16838" hidden="1"/>
    <cellStyle name="Hyperlink 65" xfId="20222" hidden="1"/>
    <cellStyle name="Hyperlink 65" xfId="18047" hidden="1"/>
    <cellStyle name="Hyperlink 65" xfId="21010" hidden="1"/>
    <cellStyle name="Hyperlink 65" xfId="19004" hidden="1"/>
    <cellStyle name="Hyperlink 65" xfId="21534" hidden="1"/>
    <cellStyle name="Hyperlink 65" xfId="21864" hidden="1"/>
    <cellStyle name="Hyperlink 65" xfId="13013" hidden="1"/>
    <cellStyle name="Hyperlink 65" xfId="12156" hidden="1"/>
    <cellStyle name="Hyperlink 65" xfId="23259" hidden="1"/>
    <cellStyle name="Hyperlink 65" xfId="23593" hidden="1"/>
    <cellStyle name="Hyperlink 65" xfId="24350" hidden="1"/>
    <cellStyle name="Hyperlink 65" xfId="23736" hidden="1"/>
    <cellStyle name="Hyperlink 65" xfId="25817" hidden="1"/>
    <cellStyle name="Hyperlink 65" xfId="24574" hidden="1"/>
    <cellStyle name="Hyperlink 65" xfId="26776" hidden="1"/>
    <cellStyle name="Hyperlink 65" xfId="25316" hidden="1"/>
    <cellStyle name="Hyperlink 65" xfId="27759" hidden="1"/>
    <cellStyle name="Hyperlink 65" xfId="25341" hidden="1"/>
    <cellStyle name="Hyperlink 65" xfId="28716" hidden="1"/>
    <cellStyle name="Hyperlink 65" xfId="26250" hidden="1"/>
    <cellStyle name="Hyperlink 65" xfId="29634" hidden="1"/>
    <cellStyle name="Hyperlink 65" xfId="27459" hidden="1"/>
    <cellStyle name="Hyperlink 65" xfId="30421" hidden="1"/>
    <cellStyle name="Hyperlink 65" xfId="28416" hidden="1"/>
    <cellStyle name="Hyperlink 65" xfId="30945" hidden="1"/>
    <cellStyle name="Hyperlink 65" xfId="31275"/>
    <cellStyle name="Hyperlink 65 2" xfId="1918"/>
    <cellStyle name="Hyperlink 65 3" xfId="1919"/>
    <cellStyle name="Hyperlink 65 9" xfId="32709"/>
    <cellStyle name="Hyperlink 65_AGL" xfId="32710"/>
    <cellStyle name="Hyperlink 66" xfId="360" hidden="1"/>
    <cellStyle name="Hyperlink 66" xfId="694" hidden="1"/>
    <cellStyle name="Hyperlink 66" xfId="2359" hidden="1"/>
    <cellStyle name="Hyperlink 66" xfId="2693" hidden="1"/>
    <cellStyle name="Hyperlink 66" xfId="3721" hidden="1"/>
    <cellStyle name="Hyperlink 66" xfId="3465" hidden="1"/>
    <cellStyle name="Hyperlink 66" xfId="5191" hidden="1"/>
    <cellStyle name="Hyperlink 66" xfId="3951" hidden="1"/>
    <cellStyle name="Hyperlink 66" xfId="6151" hidden="1"/>
    <cellStyle name="Hyperlink 66" xfId="4837" hidden="1"/>
    <cellStyle name="Hyperlink 66" xfId="7134" hidden="1"/>
    <cellStyle name="Hyperlink 66" xfId="5343" hidden="1"/>
    <cellStyle name="Hyperlink 66" xfId="8091" hidden="1"/>
    <cellStyle name="Hyperlink 66" xfId="6539" hidden="1"/>
    <cellStyle name="Hyperlink 66" xfId="9009" hidden="1"/>
    <cellStyle name="Hyperlink 66" xfId="7505" hidden="1"/>
    <cellStyle name="Hyperlink 66" xfId="9797" hidden="1"/>
    <cellStyle name="Hyperlink 66" xfId="8453" hidden="1"/>
    <cellStyle name="Hyperlink 66" xfId="10325" hidden="1"/>
    <cellStyle name="Hyperlink 66" xfId="10655" hidden="1"/>
    <cellStyle name="Hyperlink 66" xfId="11689" hidden="1"/>
    <cellStyle name="Hyperlink 66" xfId="12023" hidden="1"/>
    <cellStyle name="Hyperlink 66" xfId="13571" hidden="1"/>
    <cellStyle name="Hyperlink 66" xfId="13905" hidden="1"/>
    <cellStyle name="Hyperlink 66" xfId="14932" hidden="1"/>
    <cellStyle name="Hyperlink 66" xfId="14676" hidden="1"/>
    <cellStyle name="Hyperlink 66" xfId="16402" hidden="1"/>
    <cellStyle name="Hyperlink 66" xfId="15162" hidden="1"/>
    <cellStyle name="Hyperlink 66" xfId="17362" hidden="1"/>
    <cellStyle name="Hyperlink 66" xfId="16048" hidden="1"/>
    <cellStyle name="Hyperlink 66" xfId="18345" hidden="1"/>
    <cellStyle name="Hyperlink 66" xfId="16554" hidden="1"/>
    <cellStyle name="Hyperlink 66" xfId="19302" hidden="1"/>
    <cellStyle name="Hyperlink 66" xfId="17750" hidden="1"/>
    <cellStyle name="Hyperlink 66" xfId="20220" hidden="1"/>
    <cellStyle name="Hyperlink 66" xfId="18716" hidden="1"/>
    <cellStyle name="Hyperlink 66" xfId="21008" hidden="1"/>
    <cellStyle name="Hyperlink 66" xfId="19664" hidden="1"/>
    <cellStyle name="Hyperlink 66" xfId="21536" hidden="1"/>
    <cellStyle name="Hyperlink 66" xfId="21866" hidden="1"/>
    <cellStyle name="Hyperlink 66" xfId="13011" hidden="1"/>
    <cellStyle name="Hyperlink 66" xfId="12760" hidden="1"/>
    <cellStyle name="Hyperlink 66" xfId="23261" hidden="1"/>
    <cellStyle name="Hyperlink 66" xfId="23595" hidden="1"/>
    <cellStyle name="Hyperlink 66" xfId="24348" hidden="1"/>
    <cellStyle name="Hyperlink 66" xfId="24235" hidden="1"/>
    <cellStyle name="Hyperlink 66" xfId="25815" hidden="1"/>
    <cellStyle name="Hyperlink 66" xfId="24578" hidden="1"/>
    <cellStyle name="Hyperlink 66" xfId="26774" hidden="1"/>
    <cellStyle name="Hyperlink 66" xfId="25461" hidden="1"/>
    <cellStyle name="Hyperlink 66" xfId="27757" hidden="1"/>
    <cellStyle name="Hyperlink 66" xfId="25967" hidden="1"/>
    <cellStyle name="Hyperlink 66" xfId="28714" hidden="1"/>
    <cellStyle name="Hyperlink 66" xfId="27162" hidden="1"/>
    <cellStyle name="Hyperlink 66" xfId="29632" hidden="1"/>
    <cellStyle name="Hyperlink 66" xfId="28128" hidden="1"/>
    <cellStyle name="Hyperlink 66" xfId="30419" hidden="1"/>
    <cellStyle name="Hyperlink 66" xfId="29076" hidden="1"/>
    <cellStyle name="Hyperlink 66" xfId="30947" hidden="1"/>
    <cellStyle name="Hyperlink 66" xfId="31277"/>
    <cellStyle name="Hyperlink 66 2" xfId="1920"/>
    <cellStyle name="Hyperlink 66 3" xfId="1921"/>
    <cellStyle name="Hyperlink 66 9" xfId="32711"/>
    <cellStyle name="Hyperlink 66_AGL" xfId="32712"/>
    <cellStyle name="Hyperlink 67" xfId="362" hidden="1"/>
    <cellStyle name="Hyperlink 67" xfId="696" hidden="1"/>
    <cellStyle name="Hyperlink 67" xfId="2361" hidden="1"/>
    <cellStyle name="Hyperlink 67" xfId="2695" hidden="1"/>
    <cellStyle name="Hyperlink 67" xfId="3719" hidden="1"/>
    <cellStyle name="Hyperlink 67" xfId="2857" hidden="1"/>
    <cellStyle name="Hyperlink 67" xfId="5189" hidden="1"/>
    <cellStyle name="Hyperlink 67" xfId="3955" hidden="1"/>
    <cellStyle name="Hyperlink 67" xfId="6149" hidden="1"/>
    <cellStyle name="Hyperlink 67" xfId="4905" hidden="1"/>
    <cellStyle name="Hyperlink 67" xfId="7132" hidden="1"/>
    <cellStyle name="Hyperlink 67" xfId="4891" hidden="1"/>
    <cellStyle name="Hyperlink 67" xfId="8089" hidden="1"/>
    <cellStyle name="Hyperlink 67" xfId="6720" hidden="1"/>
    <cellStyle name="Hyperlink 67" xfId="9007" hidden="1"/>
    <cellStyle name="Hyperlink 67" xfId="7678" hidden="1"/>
    <cellStyle name="Hyperlink 67" xfId="9795" hidden="1"/>
    <cellStyle name="Hyperlink 67" xfId="8608" hidden="1"/>
    <cellStyle name="Hyperlink 67" xfId="10327" hidden="1"/>
    <cellStyle name="Hyperlink 67" xfId="10657" hidden="1"/>
    <cellStyle name="Hyperlink 67" xfId="11691" hidden="1"/>
    <cellStyle name="Hyperlink 67" xfId="12025" hidden="1"/>
    <cellStyle name="Hyperlink 67" xfId="13573" hidden="1"/>
    <cellStyle name="Hyperlink 67" xfId="13907" hidden="1"/>
    <cellStyle name="Hyperlink 67" xfId="14930" hidden="1"/>
    <cellStyle name="Hyperlink 67" xfId="14069" hidden="1"/>
    <cellStyle name="Hyperlink 67" xfId="16400" hidden="1"/>
    <cellStyle name="Hyperlink 67" xfId="15166" hidden="1"/>
    <cellStyle name="Hyperlink 67" xfId="17360" hidden="1"/>
    <cellStyle name="Hyperlink 67" xfId="16116" hidden="1"/>
    <cellStyle name="Hyperlink 67" xfId="18343" hidden="1"/>
    <cellStyle name="Hyperlink 67" xfId="16102" hidden="1"/>
    <cellStyle name="Hyperlink 67" xfId="19300" hidden="1"/>
    <cellStyle name="Hyperlink 67" xfId="17931" hidden="1"/>
    <cellStyle name="Hyperlink 67" xfId="20218" hidden="1"/>
    <cellStyle name="Hyperlink 67" xfId="18889" hidden="1"/>
    <cellStyle name="Hyperlink 67" xfId="21006" hidden="1"/>
    <cellStyle name="Hyperlink 67" xfId="19819" hidden="1"/>
    <cellStyle name="Hyperlink 67" xfId="21538" hidden="1"/>
    <cellStyle name="Hyperlink 67" xfId="21868" hidden="1"/>
    <cellStyle name="Hyperlink 67" xfId="13009" hidden="1"/>
    <cellStyle name="Hyperlink 67" xfId="12166" hidden="1"/>
    <cellStyle name="Hyperlink 67" xfId="23263" hidden="1"/>
    <cellStyle name="Hyperlink 67" xfId="23597" hidden="1"/>
    <cellStyle name="Hyperlink 67" xfId="24346" hidden="1"/>
    <cellStyle name="Hyperlink 67" xfId="23759" hidden="1"/>
    <cellStyle name="Hyperlink 67" xfId="25813" hidden="1"/>
    <cellStyle name="Hyperlink 67" xfId="24582" hidden="1"/>
    <cellStyle name="Hyperlink 67" xfId="26772" hidden="1"/>
    <cellStyle name="Hyperlink 67" xfId="25529" hidden="1"/>
    <cellStyle name="Hyperlink 67" xfId="27755" hidden="1"/>
    <cellStyle name="Hyperlink 67" xfId="25515" hidden="1"/>
    <cellStyle name="Hyperlink 67" xfId="28712" hidden="1"/>
    <cellStyle name="Hyperlink 67" xfId="27343" hidden="1"/>
    <cellStyle name="Hyperlink 67" xfId="29630" hidden="1"/>
    <cellStyle name="Hyperlink 67" xfId="28301" hidden="1"/>
    <cellStyle name="Hyperlink 67" xfId="30417" hidden="1"/>
    <cellStyle name="Hyperlink 67" xfId="29231" hidden="1"/>
    <cellStyle name="Hyperlink 67" xfId="30949" hidden="1"/>
    <cellStyle name="Hyperlink 67" xfId="31279"/>
    <cellStyle name="Hyperlink 67 2" xfId="1922"/>
    <cellStyle name="Hyperlink 67 3" xfId="1923"/>
    <cellStyle name="Hyperlink 67 9" xfId="32713"/>
    <cellStyle name="Hyperlink 67_AGL" xfId="32714"/>
    <cellStyle name="Hyperlink 68" xfId="364" hidden="1"/>
    <cellStyle name="Hyperlink 68" xfId="698" hidden="1"/>
    <cellStyle name="Hyperlink 68" xfId="2363" hidden="1"/>
    <cellStyle name="Hyperlink 68" xfId="2697" hidden="1"/>
    <cellStyle name="Hyperlink 68" xfId="3717" hidden="1"/>
    <cellStyle name="Hyperlink 68" xfId="2843" hidden="1"/>
    <cellStyle name="Hyperlink 68" xfId="5187" hidden="1"/>
    <cellStyle name="Hyperlink 68" xfId="3959" hidden="1"/>
    <cellStyle name="Hyperlink 68" xfId="6147" hidden="1"/>
    <cellStyle name="Hyperlink 68" xfId="4746" hidden="1"/>
    <cellStyle name="Hyperlink 68" xfId="7130" hidden="1"/>
    <cellStyle name="Hyperlink 68" xfId="5565" hidden="1"/>
    <cellStyle name="Hyperlink 68" xfId="8087" hidden="1"/>
    <cellStyle name="Hyperlink 68" xfId="6705" hidden="1"/>
    <cellStyle name="Hyperlink 68" xfId="9005" hidden="1"/>
    <cellStyle name="Hyperlink 68" xfId="7663" hidden="1"/>
    <cellStyle name="Hyperlink 68" xfId="9793" hidden="1"/>
    <cellStyle name="Hyperlink 68" xfId="8596" hidden="1"/>
    <cellStyle name="Hyperlink 68" xfId="10329" hidden="1"/>
    <cellStyle name="Hyperlink 68" xfId="10659" hidden="1"/>
    <cellStyle name="Hyperlink 68" xfId="11693" hidden="1"/>
    <cellStyle name="Hyperlink 68" xfId="12027" hidden="1"/>
    <cellStyle name="Hyperlink 68" xfId="13575" hidden="1"/>
    <cellStyle name="Hyperlink 68" xfId="13909" hidden="1"/>
    <cellStyle name="Hyperlink 68" xfId="14928" hidden="1"/>
    <cellStyle name="Hyperlink 68" xfId="14055" hidden="1"/>
    <cellStyle name="Hyperlink 68" xfId="16398" hidden="1"/>
    <cellStyle name="Hyperlink 68" xfId="15170" hidden="1"/>
    <cellStyle name="Hyperlink 68" xfId="17358" hidden="1"/>
    <cellStyle name="Hyperlink 68" xfId="15957" hidden="1"/>
    <cellStyle name="Hyperlink 68" xfId="18341" hidden="1"/>
    <cellStyle name="Hyperlink 68" xfId="16776" hidden="1"/>
    <cellStyle name="Hyperlink 68" xfId="19298" hidden="1"/>
    <cellStyle name="Hyperlink 68" xfId="17916" hidden="1"/>
    <cellStyle name="Hyperlink 68" xfId="20216" hidden="1"/>
    <cellStyle name="Hyperlink 68" xfId="18874" hidden="1"/>
    <cellStyle name="Hyperlink 68" xfId="21004" hidden="1"/>
    <cellStyle name="Hyperlink 68" xfId="19807" hidden="1"/>
    <cellStyle name="Hyperlink 68" xfId="21540" hidden="1"/>
    <cellStyle name="Hyperlink 68" xfId="21870" hidden="1"/>
    <cellStyle name="Hyperlink 68" xfId="13007" hidden="1"/>
    <cellStyle name="Hyperlink 68" xfId="12154" hidden="1"/>
    <cellStyle name="Hyperlink 68" xfId="23265" hidden="1"/>
    <cellStyle name="Hyperlink 68" xfId="23599" hidden="1"/>
    <cellStyle name="Hyperlink 68" xfId="24344" hidden="1"/>
    <cellStyle name="Hyperlink 68" xfId="23745" hidden="1"/>
    <cellStyle name="Hyperlink 68" xfId="25811" hidden="1"/>
    <cellStyle name="Hyperlink 68" xfId="24586" hidden="1"/>
    <cellStyle name="Hyperlink 68" xfId="26770" hidden="1"/>
    <cellStyle name="Hyperlink 68" xfId="25370" hidden="1"/>
    <cellStyle name="Hyperlink 68" xfId="27753" hidden="1"/>
    <cellStyle name="Hyperlink 68" xfId="26189" hidden="1"/>
    <cellStyle name="Hyperlink 68" xfId="28710" hidden="1"/>
    <cellStyle name="Hyperlink 68" xfId="27328" hidden="1"/>
    <cellStyle name="Hyperlink 68" xfId="29628" hidden="1"/>
    <cellStyle name="Hyperlink 68" xfId="28286" hidden="1"/>
    <cellStyle name="Hyperlink 68" xfId="30415" hidden="1"/>
    <cellStyle name="Hyperlink 68" xfId="29219" hidden="1"/>
    <cellStyle name="Hyperlink 68" xfId="30951" hidden="1"/>
    <cellStyle name="Hyperlink 68" xfId="31281"/>
    <cellStyle name="Hyperlink 68 2" xfId="1924"/>
    <cellStyle name="Hyperlink 68 3" xfId="1925"/>
    <cellStyle name="Hyperlink 68 9" xfId="32715"/>
    <cellStyle name="Hyperlink 68_AGL" xfId="32716"/>
    <cellStyle name="Hyperlink 69" xfId="366" hidden="1"/>
    <cellStyle name="Hyperlink 69" xfId="700" hidden="1"/>
    <cellStyle name="Hyperlink 69" xfId="2365" hidden="1"/>
    <cellStyle name="Hyperlink 69" xfId="2699" hidden="1"/>
    <cellStyle name="Hyperlink 69" xfId="3715" hidden="1"/>
    <cellStyle name="Hyperlink 69" xfId="2830" hidden="1"/>
    <cellStyle name="Hyperlink 69" xfId="5185" hidden="1"/>
    <cellStyle name="Hyperlink 69" xfId="3963" hidden="1"/>
    <cellStyle name="Hyperlink 69" xfId="6145" hidden="1"/>
    <cellStyle name="Hyperlink 69" xfId="4664" hidden="1"/>
    <cellStyle name="Hyperlink 69" xfId="7128" hidden="1"/>
    <cellStyle name="Hyperlink 69" xfId="5743" hidden="1"/>
    <cellStyle name="Hyperlink 69" xfId="8085" hidden="1"/>
    <cellStyle name="Hyperlink 69" xfId="6641" hidden="1"/>
    <cellStyle name="Hyperlink 69" xfId="9003" hidden="1"/>
    <cellStyle name="Hyperlink 69" xfId="7602" hidden="1"/>
    <cellStyle name="Hyperlink 69" xfId="9791" hidden="1"/>
    <cellStyle name="Hyperlink 69" xfId="8540" hidden="1"/>
    <cellStyle name="Hyperlink 69" xfId="10331" hidden="1"/>
    <cellStyle name="Hyperlink 69" xfId="10661" hidden="1"/>
    <cellStyle name="Hyperlink 69" xfId="11695" hidden="1"/>
    <cellStyle name="Hyperlink 69" xfId="12029" hidden="1"/>
    <cellStyle name="Hyperlink 69" xfId="13577" hidden="1"/>
    <cellStyle name="Hyperlink 69" xfId="13911" hidden="1"/>
    <cellStyle name="Hyperlink 69" xfId="14926" hidden="1"/>
    <cellStyle name="Hyperlink 69" xfId="14042" hidden="1"/>
    <cellStyle name="Hyperlink 69" xfId="16396" hidden="1"/>
    <cellStyle name="Hyperlink 69" xfId="15174" hidden="1"/>
    <cellStyle name="Hyperlink 69" xfId="17356" hidden="1"/>
    <cellStyle name="Hyperlink 69" xfId="15875" hidden="1"/>
    <cellStyle name="Hyperlink 69" xfId="18339" hidden="1"/>
    <cellStyle name="Hyperlink 69" xfId="16954" hidden="1"/>
    <cellStyle name="Hyperlink 69" xfId="19296" hidden="1"/>
    <cellStyle name="Hyperlink 69" xfId="17852" hidden="1"/>
    <cellStyle name="Hyperlink 69" xfId="20214" hidden="1"/>
    <cellStyle name="Hyperlink 69" xfId="18813" hidden="1"/>
    <cellStyle name="Hyperlink 69" xfId="21002" hidden="1"/>
    <cellStyle name="Hyperlink 69" xfId="19751" hidden="1"/>
    <cellStyle name="Hyperlink 69" xfId="21542" hidden="1"/>
    <cellStyle name="Hyperlink 69" xfId="21872" hidden="1"/>
    <cellStyle name="Hyperlink 69" xfId="13005" hidden="1"/>
    <cellStyle name="Hyperlink 69" xfId="12759" hidden="1"/>
    <cellStyle name="Hyperlink 69" xfId="23267" hidden="1"/>
    <cellStyle name="Hyperlink 69" xfId="23601" hidden="1"/>
    <cellStyle name="Hyperlink 69" xfId="24342" hidden="1"/>
    <cellStyle name="Hyperlink 69" xfId="23732" hidden="1"/>
    <cellStyle name="Hyperlink 69" xfId="25809" hidden="1"/>
    <cellStyle name="Hyperlink 69" xfId="24590" hidden="1"/>
    <cellStyle name="Hyperlink 69" xfId="26768" hidden="1"/>
    <cellStyle name="Hyperlink 69" xfId="25288" hidden="1"/>
    <cellStyle name="Hyperlink 69" xfId="27751" hidden="1"/>
    <cellStyle name="Hyperlink 69" xfId="26366" hidden="1"/>
    <cellStyle name="Hyperlink 69" xfId="28708" hidden="1"/>
    <cellStyle name="Hyperlink 69" xfId="27264" hidden="1"/>
    <cellStyle name="Hyperlink 69" xfId="29626" hidden="1"/>
    <cellStyle name="Hyperlink 69" xfId="28225" hidden="1"/>
    <cellStyle name="Hyperlink 69" xfId="30413" hidden="1"/>
    <cellStyle name="Hyperlink 69" xfId="29163" hidden="1"/>
    <cellStyle name="Hyperlink 69" xfId="30953" hidden="1"/>
    <cellStyle name="Hyperlink 69" xfId="31283"/>
    <cellStyle name="Hyperlink 69 2" xfId="1926"/>
    <cellStyle name="Hyperlink 69 3" xfId="1927"/>
    <cellStyle name="Hyperlink 69 9" xfId="32717"/>
    <cellStyle name="Hyperlink 69_AGL" xfId="32718"/>
    <cellStyle name="Hyperlink 7" xfId="242" hidden="1"/>
    <cellStyle name="Hyperlink 7" xfId="658" hidden="1"/>
    <cellStyle name="Hyperlink 7" xfId="2241" hidden="1"/>
    <cellStyle name="Hyperlink 7" xfId="2657" hidden="1"/>
    <cellStyle name="Hyperlink 7" xfId="3838" hidden="1"/>
    <cellStyle name="Hyperlink 7" xfId="3471" hidden="1"/>
    <cellStyle name="Hyperlink 7" xfId="4182" hidden="1"/>
    <cellStyle name="Hyperlink 7" xfId="3879" hidden="1"/>
    <cellStyle name="Hyperlink 7" xfId="5095" hidden="1"/>
    <cellStyle name="Hyperlink 7" xfId="4584" hidden="1"/>
    <cellStyle name="Hyperlink 7" xfId="4902" hidden="1"/>
    <cellStyle name="Hyperlink 7" xfId="5520" hidden="1"/>
    <cellStyle name="Hyperlink 7" xfId="6485" hidden="1"/>
    <cellStyle name="Hyperlink 7" xfId="6493" hidden="1"/>
    <cellStyle name="Hyperlink 7" xfId="7452" hidden="1"/>
    <cellStyle name="Hyperlink 7" xfId="7459" hidden="1"/>
    <cellStyle name="Hyperlink 7" xfId="8402" hidden="1"/>
    <cellStyle name="Hyperlink 7" xfId="8408" hidden="1"/>
    <cellStyle name="Hyperlink 7" xfId="10207" hidden="1"/>
    <cellStyle name="Hyperlink 7" xfId="10619" hidden="1"/>
    <cellStyle name="Hyperlink 7" xfId="11571" hidden="1"/>
    <cellStyle name="Hyperlink 7" xfId="11987" hidden="1"/>
    <cellStyle name="Hyperlink 7" xfId="13453" hidden="1"/>
    <cellStyle name="Hyperlink 7" xfId="13869" hidden="1"/>
    <cellStyle name="Hyperlink 7" xfId="15049" hidden="1"/>
    <cellStyle name="Hyperlink 7" xfId="14682" hidden="1"/>
    <cellStyle name="Hyperlink 7" xfId="15393" hidden="1"/>
    <cellStyle name="Hyperlink 7" xfId="15090" hidden="1"/>
    <cellStyle name="Hyperlink 7" xfId="16306" hidden="1"/>
    <cellStyle name="Hyperlink 7" xfId="15795" hidden="1"/>
    <cellStyle name="Hyperlink 7" xfId="16113" hidden="1"/>
    <cellStyle name="Hyperlink 7" xfId="16731" hidden="1"/>
    <cellStyle name="Hyperlink 7" xfId="17696" hidden="1"/>
    <cellStyle name="Hyperlink 7" xfId="17704" hidden="1"/>
    <cellStyle name="Hyperlink 7" xfId="18663" hidden="1"/>
    <cellStyle name="Hyperlink 7" xfId="18670" hidden="1"/>
    <cellStyle name="Hyperlink 7" xfId="19613" hidden="1"/>
    <cellStyle name="Hyperlink 7" xfId="19619" hidden="1"/>
    <cellStyle name="Hyperlink 7" xfId="21418" hidden="1"/>
    <cellStyle name="Hyperlink 7" xfId="21830" hidden="1"/>
    <cellStyle name="Hyperlink 7" xfId="13128" hidden="1"/>
    <cellStyle name="Hyperlink 7" xfId="12139" hidden="1"/>
    <cellStyle name="Hyperlink 7" xfId="23143" hidden="1"/>
    <cellStyle name="Hyperlink 7" xfId="23559" hidden="1"/>
    <cellStyle name="Hyperlink 7" xfId="24465" hidden="1"/>
    <cellStyle name="Hyperlink 7" xfId="24241" hidden="1"/>
    <cellStyle name="Hyperlink 7" xfId="24806" hidden="1"/>
    <cellStyle name="Hyperlink 7" xfId="24506" hidden="1"/>
    <cellStyle name="Hyperlink 7" xfId="25719" hidden="1"/>
    <cellStyle name="Hyperlink 7" xfId="25208" hidden="1"/>
    <cellStyle name="Hyperlink 7" xfId="25526" hidden="1"/>
    <cellStyle name="Hyperlink 7" xfId="26144" hidden="1"/>
    <cellStyle name="Hyperlink 7" xfId="27108" hidden="1"/>
    <cellStyle name="Hyperlink 7" xfId="27116" hidden="1"/>
    <cellStyle name="Hyperlink 7" xfId="28075" hidden="1"/>
    <cellStyle name="Hyperlink 7" xfId="28082" hidden="1"/>
    <cellStyle name="Hyperlink 7" xfId="29025" hidden="1"/>
    <cellStyle name="Hyperlink 7" xfId="29031" hidden="1"/>
    <cellStyle name="Hyperlink 7" xfId="30829" hidden="1"/>
    <cellStyle name="Hyperlink 7" xfId="31241"/>
    <cellStyle name="Hyperlink 7 2" xfId="1928"/>
    <cellStyle name="Hyperlink 7 3" xfId="1929"/>
    <cellStyle name="Hyperlink 7 9" xfId="32719"/>
    <cellStyle name="Hyperlink 7_AGL" xfId="32720"/>
    <cellStyle name="Hyperlink 70" xfId="368" hidden="1"/>
    <cellStyle name="Hyperlink 70" xfId="702" hidden="1"/>
    <cellStyle name="Hyperlink 70" xfId="2367" hidden="1"/>
    <cellStyle name="Hyperlink 70" xfId="2701" hidden="1"/>
    <cellStyle name="Hyperlink 70" xfId="3713" hidden="1"/>
    <cellStyle name="Hyperlink 70" xfId="3271" hidden="1"/>
    <cellStyle name="Hyperlink 70" xfId="5183" hidden="1"/>
    <cellStyle name="Hyperlink 70" xfId="3967" hidden="1"/>
    <cellStyle name="Hyperlink 70" xfId="6143" hidden="1"/>
    <cellStyle name="Hyperlink 70" xfId="4813" hidden="1"/>
    <cellStyle name="Hyperlink 70" xfId="7126" hidden="1"/>
    <cellStyle name="Hyperlink 70" xfId="5728" hidden="1"/>
    <cellStyle name="Hyperlink 70" xfId="8083" hidden="1"/>
    <cellStyle name="Hyperlink 70" xfId="6784" hidden="1"/>
    <cellStyle name="Hyperlink 70" xfId="9001" hidden="1"/>
    <cellStyle name="Hyperlink 70" xfId="7741" hidden="1"/>
    <cellStyle name="Hyperlink 70" xfId="9789" hidden="1"/>
    <cellStyle name="Hyperlink 70" xfId="8668" hidden="1"/>
    <cellStyle name="Hyperlink 70" xfId="10333" hidden="1"/>
    <cellStyle name="Hyperlink 70" xfId="10663" hidden="1"/>
    <cellStyle name="Hyperlink 70" xfId="11697" hidden="1"/>
    <cellStyle name="Hyperlink 70" xfId="12031" hidden="1"/>
    <cellStyle name="Hyperlink 70" xfId="13579" hidden="1"/>
    <cellStyle name="Hyperlink 70" xfId="13913" hidden="1"/>
    <cellStyle name="Hyperlink 70" xfId="14924" hidden="1"/>
    <cellStyle name="Hyperlink 70" xfId="14483" hidden="1"/>
    <cellStyle name="Hyperlink 70" xfId="16394" hidden="1"/>
    <cellStyle name="Hyperlink 70" xfId="15178" hidden="1"/>
    <cellStyle name="Hyperlink 70" xfId="17354" hidden="1"/>
    <cellStyle name="Hyperlink 70" xfId="16024" hidden="1"/>
    <cellStyle name="Hyperlink 70" xfId="18337" hidden="1"/>
    <cellStyle name="Hyperlink 70" xfId="16939" hidden="1"/>
    <cellStyle name="Hyperlink 70" xfId="19294" hidden="1"/>
    <cellStyle name="Hyperlink 70" xfId="17995" hidden="1"/>
    <cellStyle name="Hyperlink 70" xfId="20212" hidden="1"/>
    <cellStyle name="Hyperlink 70" xfId="18952" hidden="1"/>
    <cellStyle name="Hyperlink 70" xfId="21000" hidden="1"/>
    <cellStyle name="Hyperlink 70" xfId="19879" hidden="1"/>
    <cellStyle name="Hyperlink 70" xfId="21544" hidden="1"/>
    <cellStyle name="Hyperlink 70" xfId="21874" hidden="1"/>
    <cellStyle name="Hyperlink 70" xfId="13003" hidden="1"/>
    <cellStyle name="Hyperlink 70" xfId="12175" hidden="1"/>
    <cellStyle name="Hyperlink 70" xfId="23269" hidden="1"/>
    <cellStyle name="Hyperlink 70" xfId="23603" hidden="1"/>
    <cellStyle name="Hyperlink 70" xfId="24340" hidden="1"/>
    <cellStyle name="Hyperlink 70" xfId="24145" hidden="1"/>
    <cellStyle name="Hyperlink 70" xfId="25807" hidden="1"/>
    <cellStyle name="Hyperlink 70" xfId="24594" hidden="1"/>
    <cellStyle name="Hyperlink 70" xfId="26766" hidden="1"/>
    <cellStyle name="Hyperlink 70" xfId="25437" hidden="1"/>
    <cellStyle name="Hyperlink 70" xfId="27749" hidden="1"/>
    <cellStyle name="Hyperlink 70" xfId="26351" hidden="1"/>
    <cellStyle name="Hyperlink 70" xfId="28706" hidden="1"/>
    <cellStyle name="Hyperlink 70" xfId="27407" hidden="1"/>
    <cellStyle name="Hyperlink 70" xfId="29624" hidden="1"/>
    <cellStyle name="Hyperlink 70" xfId="28364" hidden="1"/>
    <cellStyle name="Hyperlink 70" xfId="30411" hidden="1"/>
    <cellStyle name="Hyperlink 70" xfId="29291" hidden="1"/>
    <cellStyle name="Hyperlink 70" xfId="30955" hidden="1"/>
    <cellStyle name="Hyperlink 70" xfId="31285"/>
    <cellStyle name="Hyperlink 70 2" xfId="1930"/>
    <cellStyle name="Hyperlink 70 3" xfId="1931"/>
    <cellStyle name="Hyperlink 70 9" xfId="32721"/>
    <cellStyle name="Hyperlink 70_AGL" xfId="32722"/>
    <cellStyle name="Hyperlink 71" xfId="370" hidden="1"/>
    <cellStyle name="Hyperlink 71" xfId="704" hidden="1"/>
    <cellStyle name="Hyperlink 71" xfId="2369" hidden="1"/>
    <cellStyle name="Hyperlink 71" xfId="2703" hidden="1"/>
    <cellStyle name="Hyperlink 71" xfId="3711" hidden="1"/>
    <cellStyle name="Hyperlink 71" xfId="3061" hidden="1"/>
    <cellStyle name="Hyperlink 71" xfId="5181" hidden="1"/>
    <cellStyle name="Hyperlink 71" xfId="3971" hidden="1"/>
    <cellStyle name="Hyperlink 71" xfId="6141" hidden="1"/>
    <cellStyle name="Hyperlink 71" xfId="4811" hidden="1"/>
    <cellStyle name="Hyperlink 71" xfId="7124" hidden="1"/>
    <cellStyle name="Hyperlink 71" xfId="5667" hidden="1"/>
    <cellStyle name="Hyperlink 71" xfId="8081" hidden="1"/>
    <cellStyle name="Hyperlink 71" xfId="6849" hidden="1"/>
    <cellStyle name="Hyperlink 71" xfId="8999" hidden="1"/>
    <cellStyle name="Hyperlink 71" xfId="7806" hidden="1"/>
    <cellStyle name="Hyperlink 71" xfId="9787" hidden="1"/>
    <cellStyle name="Hyperlink 71" xfId="8725" hidden="1"/>
    <cellStyle name="Hyperlink 71" xfId="10335" hidden="1"/>
    <cellStyle name="Hyperlink 71" xfId="10665" hidden="1"/>
    <cellStyle name="Hyperlink 71" xfId="11699" hidden="1"/>
    <cellStyle name="Hyperlink 71" xfId="12033" hidden="1"/>
    <cellStyle name="Hyperlink 71" xfId="13581" hidden="1"/>
    <cellStyle name="Hyperlink 71" xfId="13915" hidden="1"/>
    <cellStyle name="Hyperlink 71" xfId="14922" hidden="1"/>
    <cellStyle name="Hyperlink 71" xfId="14273" hidden="1"/>
    <cellStyle name="Hyperlink 71" xfId="16392" hidden="1"/>
    <cellStyle name="Hyperlink 71" xfId="15182" hidden="1"/>
    <cellStyle name="Hyperlink 71" xfId="17352" hidden="1"/>
    <cellStyle name="Hyperlink 71" xfId="16022" hidden="1"/>
    <cellStyle name="Hyperlink 71" xfId="18335" hidden="1"/>
    <cellStyle name="Hyperlink 71" xfId="16878" hidden="1"/>
    <cellStyle name="Hyperlink 71" xfId="19292" hidden="1"/>
    <cellStyle name="Hyperlink 71" xfId="18060" hidden="1"/>
    <cellStyle name="Hyperlink 71" xfId="20210" hidden="1"/>
    <cellStyle name="Hyperlink 71" xfId="19017" hidden="1"/>
    <cellStyle name="Hyperlink 71" xfId="20998" hidden="1"/>
    <cellStyle name="Hyperlink 71" xfId="19936" hidden="1"/>
    <cellStyle name="Hyperlink 71" xfId="21546" hidden="1"/>
    <cellStyle name="Hyperlink 71" xfId="21876" hidden="1"/>
    <cellStyle name="Hyperlink 71" xfId="13001" hidden="1"/>
    <cellStyle name="Hyperlink 71" xfId="12163" hidden="1"/>
    <cellStyle name="Hyperlink 71" xfId="23271" hidden="1"/>
    <cellStyle name="Hyperlink 71" xfId="23605" hidden="1"/>
    <cellStyle name="Hyperlink 71" xfId="24338" hidden="1"/>
    <cellStyle name="Hyperlink 71" xfId="23937" hidden="1"/>
    <cellStyle name="Hyperlink 71" xfId="25805" hidden="1"/>
    <cellStyle name="Hyperlink 71" xfId="24598" hidden="1"/>
    <cellStyle name="Hyperlink 71" xfId="26764" hidden="1"/>
    <cellStyle name="Hyperlink 71" xfId="25435" hidden="1"/>
    <cellStyle name="Hyperlink 71" xfId="27747" hidden="1"/>
    <cellStyle name="Hyperlink 71" xfId="26290" hidden="1"/>
    <cellStyle name="Hyperlink 71" xfId="28704" hidden="1"/>
    <cellStyle name="Hyperlink 71" xfId="27472" hidden="1"/>
    <cellStyle name="Hyperlink 71" xfId="29622" hidden="1"/>
    <cellStyle name="Hyperlink 71" xfId="28429" hidden="1"/>
    <cellStyle name="Hyperlink 71" xfId="30409" hidden="1"/>
    <cellStyle name="Hyperlink 71" xfId="29348" hidden="1"/>
    <cellStyle name="Hyperlink 71" xfId="30957" hidden="1"/>
    <cellStyle name="Hyperlink 71" xfId="31287"/>
    <cellStyle name="Hyperlink 71 2" xfId="1932"/>
    <cellStyle name="Hyperlink 71 3" xfId="1933"/>
    <cellStyle name="Hyperlink 71 9" xfId="32723"/>
    <cellStyle name="Hyperlink 71_AGL" xfId="32724"/>
    <cellStyle name="Hyperlink 72" xfId="372" hidden="1"/>
    <cellStyle name="Hyperlink 72" xfId="706" hidden="1"/>
    <cellStyle name="Hyperlink 72" xfId="2371" hidden="1"/>
    <cellStyle name="Hyperlink 72" xfId="2705" hidden="1"/>
    <cellStyle name="Hyperlink 72" xfId="3709" hidden="1"/>
    <cellStyle name="Hyperlink 72" xfId="3270" hidden="1"/>
    <cellStyle name="Hyperlink 72" xfId="5179" hidden="1"/>
    <cellStyle name="Hyperlink 72" xfId="3975" hidden="1"/>
    <cellStyle name="Hyperlink 72" xfId="6139" hidden="1"/>
    <cellStyle name="Hyperlink 72" xfId="4831" hidden="1"/>
    <cellStyle name="Hyperlink 72" xfId="7122" hidden="1"/>
    <cellStyle name="Hyperlink 72" xfId="5806" hidden="1"/>
    <cellStyle name="Hyperlink 72" xfId="8079" hidden="1"/>
    <cellStyle name="Hyperlink 72" xfId="6693" hidden="1"/>
    <cellStyle name="Hyperlink 72" xfId="8997" hidden="1"/>
    <cellStyle name="Hyperlink 72" xfId="7651" hidden="1"/>
    <cellStyle name="Hyperlink 72" xfId="9785" hidden="1"/>
    <cellStyle name="Hyperlink 72" xfId="8584" hidden="1"/>
    <cellStyle name="Hyperlink 72" xfId="10337" hidden="1"/>
    <cellStyle name="Hyperlink 72" xfId="10667" hidden="1"/>
    <cellStyle name="Hyperlink 72" xfId="11701" hidden="1"/>
    <cellStyle name="Hyperlink 72" xfId="12035" hidden="1"/>
    <cellStyle name="Hyperlink 72" xfId="13583" hidden="1"/>
    <cellStyle name="Hyperlink 72" xfId="13917" hidden="1"/>
    <cellStyle name="Hyperlink 72" xfId="14920" hidden="1"/>
    <cellStyle name="Hyperlink 72" xfId="14482" hidden="1"/>
    <cellStyle name="Hyperlink 72" xfId="16390" hidden="1"/>
    <cellStyle name="Hyperlink 72" xfId="15186" hidden="1"/>
    <cellStyle name="Hyperlink 72" xfId="17350" hidden="1"/>
    <cellStyle name="Hyperlink 72" xfId="16042" hidden="1"/>
    <cellStyle name="Hyperlink 72" xfId="18333" hidden="1"/>
    <cellStyle name="Hyperlink 72" xfId="17017" hidden="1"/>
    <cellStyle name="Hyperlink 72" xfId="19290" hidden="1"/>
    <cellStyle name="Hyperlink 72" xfId="17904" hidden="1"/>
    <cellStyle name="Hyperlink 72" xfId="20208" hidden="1"/>
    <cellStyle name="Hyperlink 72" xfId="18862" hidden="1"/>
    <cellStyle name="Hyperlink 72" xfId="20996" hidden="1"/>
    <cellStyle name="Hyperlink 72" xfId="19795" hidden="1"/>
    <cellStyle name="Hyperlink 72" xfId="21548" hidden="1"/>
    <cellStyle name="Hyperlink 72" xfId="21878" hidden="1"/>
    <cellStyle name="Hyperlink 72" xfId="12999" hidden="1"/>
    <cellStyle name="Hyperlink 72" xfId="12152" hidden="1"/>
    <cellStyle name="Hyperlink 72" xfId="23273" hidden="1"/>
    <cellStyle name="Hyperlink 72" xfId="23607" hidden="1"/>
    <cellStyle name="Hyperlink 72" xfId="24336" hidden="1"/>
    <cellStyle name="Hyperlink 72" xfId="24144" hidden="1"/>
    <cellStyle name="Hyperlink 72" xfId="25803" hidden="1"/>
    <cellStyle name="Hyperlink 72" xfId="24602" hidden="1"/>
    <cellStyle name="Hyperlink 72" xfId="26762" hidden="1"/>
    <cellStyle name="Hyperlink 72" xfId="25455" hidden="1"/>
    <cellStyle name="Hyperlink 72" xfId="27745" hidden="1"/>
    <cellStyle name="Hyperlink 72" xfId="26429" hidden="1"/>
    <cellStyle name="Hyperlink 72" xfId="28702" hidden="1"/>
    <cellStyle name="Hyperlink 72" xfId="27316" hidden="1"/>
    <cellStyle name="Hyperlink 72" xfId="29620" hidden="1"/>
    <cellStyle name="Hyperlink 72" xfId="28274" hidden="1"/>
    <cellStyle name="Hyperlink 72" xfId="30407" hidden="1"/>
    <cellStyle name="Hyperlink 72" xfId="29207" hidden="1"/>
    <cellStyle name="Hyperlink 72" xfId="30959" hidden="1"/>
    <cellStyle name="Hyperlink 72" xfId="31289"/>
    <cellStyle name="Hyperlink 72 2" xfId="1934"/>
    <cellStyle name="Hyperlink 72 3" xfId="1935"/>
    <cellStyle name="Hyperlink 72 9" xfId="32725"/>
    <cellStyle name="Hyperlink 72_AGL" xfId="32726"/>
    <cellStyle name="Hyperlink 73" xfId="374" hidden="1"/>
    <cellStyle name="Hyperlink 73" xfId="708" hidden="1"/>
    <cellStyle name="Hyperlink 73" xfId="2373" hidden="1"/>
    <cellStyle name="Hyperlink 73" xfId="2707" hidden="1"/>
    <cellStyle name="Hyperlink 73" xfId="3707" hidden="1"/>
    <cellStyle name="Hyperlink 73" xfId="2005" hidden="1"/>
    <cellStyle name="Hyperlink 73" xfId="5177" hidden="1"/>
    <cellStyle name="Hyperlink 73" xfId="3979" hidden="1"/>
    <cellStyle name="Hyperlink 73" xfId="6137" hidden="1"/>
    <cellStyle name="Hyperlink 73" xfId="4866" hidden="1"/>
    <cellStyle name="Hyperlink 73" xfId="7120" hidden="1"/>
    <cellStyle name="Hyperlink 73" xfId="5874" hidden="1"/>
    <cellStyle name="Hyperlink 73" xfId="8077" hidden="1"/>
    <cellStyle name="Hyperlink 73" xfId="6613" hidden="1"/>
    <cellStyle name="Hyperlink 73" xfId="8995" hidden="1"/>
    <cellStyle name="Hyperlink 73" xfId="7576" hidden="1"/>
    <cellStyle name="Hyperlink 73" xfId="9783" hidden="1"/>
    <cellStyle name="Hyperlink 73" xfId="8517" hidden="1"/>
    <cellStyle name="Hyperlink 73" xfId="10339" hidden="1"/>
    <cellStyle name="Hyperlink 73" xfId="10669" hidden="1"/>
    <cellStyle name="Hyperlink 73" xfId="11703" hidden="1"/>
    <cellStyle name="Hyperlink 73" xfId="12037" hidden="1"/>
    <cellStyle name="Hyperlink 73" xfId="13585" hidden="1"/>
    <cellStyle name="Hyperlink 73" xfId="13919" hidden="1"/>
    <cellStyle name="Hyperlink 73" xfId="14918" hidden="1"/>
    <cellStyle name="Hyperlink 73" xfId="13217" hidden="1"/>
    <cellStyle name="Hyperlink 73" xfId="16388" hidden="1"/>
    <cellStyle name="Hyperlink 73" xfId="15190" hidden="1"/>
    <cellStyle name="Hyperlink 73" xfId="17348" hidden="1"/>
    <cellStyle name="Hyperlink 73" xfId="16077" hidden="1"/>
    <cellStyle name="Hyperlink 73" xfId="18331" hidden="1"/>
    <cellStyle name="Hyperlink 73" xfId="17085" hidden="1"/>
    <cellStyle name="Hyperlink 73" xfId="19288" hidden="1"/>
    <cellStyle name="Hyperlink 73" xfId="17824" hidden="1"/>
    <cellStyle name="Hyperlink 73" xfId="20206" hidden="1"/>
    <cellStyle name="Hyperlink 73" xfId="18787" hidden="1"/>
    <cellStyle name="Hyperlink 73" xfId="20994" hidden="1"/>
    <cellStyle name="Hyperlink 73" xfId="19728" hidden="1"/>
    <cellStyle name="Hyperlink 73" xfId="21550" hidden="1"/>
    <cellStyle name="Hyperlink 73" xfId="21880" hidden="1"/>
    <cellStyle name="Hyperlink 73" xfId="12997" hidden="1"/>
    <cellStyle name="Hyperlink 73" xfId="12577" hidden="1"/>
    <cellStyle name="Hyperlink 73" xfId="23275" hidden="1"/>
    <cellStyle name="Hyperlink 73" xfId="23609" hidden="1"/>
    <cellStyle name="Hyperlink 73" xfId="24334" hidden="1"/>
    <cellStyle name="Hyperlink 73" xfId="22907" hidden="1"/>
    <cellStyle name="Hyperlink 73" xfId="25801" hidden="1"/>
    <cellStyle name="Hyperlink 73" xfId="24606" hidden="1"/>
    <cellStyle name="Hyperlink 73" xfId="26760" hidden="1"/>
    <cellStyle name="Hyperlink 73" xfId="25490" hidden="1"/>
    <cellStyle name="Hyperlink 73" xfId="27743" hidden="1"/>
    <cellStyle name="Hyperlink 73" xfId="26497" hidden="1"/>
    <cellStyle name="Hyperlink 73" xfId="28700" hidden="1"/>
    <cellStyle name="Hyperlink 73" xfId="27236" hidden="1"/>
    <cellStyle name="Hyperlink 73" xfId="29618" hidden="1"/>
    <cellStyle name="Hyperlink 73" xfId="28199" hidden="1"/>
    <cellStyle name="Hyperlink 73" xfId="30405" hidden="1"/>
    <cellStyle name="Hyperlink 73" xfId="29140" hidden="1"/>
    <cellStyle name="Hyperlink 73" xfId="30961" hidden="1"/>
    <cellStyle name="Hyperlink 73" xfId="31291"/>
    <cellStyle name="Hyperlink 73 2" xfId="1936"/>
    <cellStyle name="Hyperlink 73 3" xfId="1937"/>
    <cellStyle name="Hyperlink 73 9" xfId="32727"/>
    <cellStyle name="Hyperlink 73_AGL" xfId="32728"/>
    <cellStyle name="Hyperlink 74" xfId="376" hidden="1"/>
    <cellStyle name="Hyperlink 74" xfId="710" hidden="1"/>
    <cellStyle name="Hyperlink 74" xfId="2375" hidden="1"/>
    <cellStyle name="Hyperlink 74" xfId="2709" hidden="1"/>
    <cellStyle name="Hyperlink 74" xfId="3705" hidden="1"/>
    <cellStyle name="Hyperlink 74" xfId="3269" hidden="1"/>
    <cellStyle name="Hyperlink 74" xfId="5175" hidden="1"/>
    <cellStyle name="Hyperlink 74" xfId="3983" hidden="1"/>
    <cellStyle name="Hyperlink 74" xfId="6135" hidden="1"/>
    <cellStyle name="Hyperlink 74" xfId="4198" hidden="1"/>
    <cellStyle name="Hyperlink 74" xfId="7118" hidden="1"/>
    <cellStyle name="Hyperlink 74" xfId="5718" hidden="1"/>
    <cellStyle name="Hyperlink 74" xfId="8075" hidden="1"/>
    <cellStyle name="Hyperlink 74" xfId="6760" hidden="1"/>
    <cellStyle name="Hyperlink 74" xfId="8993" hidden="1"/>
    <cellStyle name="Hyperlink 74" xfId="7718" hidden="1"/>
    <cellStyle name="Hyperlink 74" xfId="9781" hidden="1"/>
    <cellStyle name="Hyperlink 74" xfId="8645" hidden="1"/>
    <cellStyle name="Hyperlink 74" xfId="10341" hidden="1"/>
    <cellStyle name="Hyperlink 74" xfId="10671" hidden="1"/>
    <cellStyle name="Hyperlink 74" xfId="11705" hidden="1"/>
    <cellStyle name="Hyperlink 74" xfId="12039" hidden="1"/>
    <cellStyle name="Hyperlink 74" xfId="13587" hidden="1"/>
    <cellStyle name="Hyperlink 74" xfId="13921" hidden="1"/>
    <cellStyle name="Hyperlink 74" xfId="14916" hidden="1"/>
    <cellStyle name="Hyperlink 74" xfId="14481" hidden="1"/>
    <cellStyle name="Hyperlink 74" xfId="16386" hidden="1"/>
    <cellStyle name="Hyperlink 74" xfId="15194" hidden="1"/>
    <cellStyle name="Hyperlink 74" xfId="17346" hidden="1"/>
    <cellStyle name="Hyperlink 74" xfId="15409" hidden="1"/>
    <cellStyle name="Hyperlink 74" xfId="18329" hidden="1"/>
    <cellStyle name="Hyperlink 74" xfId="16929" hidden="1"/>
    <cellStyle name="Hyperlink 74" xfId="19286" hidden="1"/>
    <cellStyle name="Hyperlink 74" xfId="17971" hidden="1"/>
    <cellStyle name="Hyperlink 74" xfId="20204" hidden="1"/>
    <cellStyle name="Hyperlink 74" xfId="18929" hidden="1"/>
    <cellStyle name="Hyperlink 74" xfId="20992" hidden="1"/>
    <cellStyle name="Hyperlink 74" xfId="19856" hidden="1"/>
    <cellStyle name="Hyperlink 74" xfId="21552" hidden="1"/>
    <cellStyle name="Hyperlink 74" xfId="21882" hidden="1"/>
    <cellStyle name="Hyperlink 74" xfId="12995" hidden="1"/>
    <cellStyle name="Hyperlink 74" xfId="12369" hidden="1"/>
    <cellStyle name="Hyperlink 74" xfId="23277" hidden="1"/>
    <cellStyle name="Hyperlink 74" xfId="23611" hidden="1"/>
    <cellStyle name="Hyperlink 74" xfId="24332" hidden="1"/>
    <cellStyle name="Hyperlink 74" xfId="24143" hidden="1"/>
    <cellStyle name="Hyperlink 74" xfId="25799" hidden="1"/>
    <cellStyle name="Hyperlink 74" xfId="24610" hidden="1"/>
    <cellStyle name="Hyperlink 74" xfId="26758" hidden="1"/>
    <cellStyle name="Hyperlink 74" xfId="24822" hidden="1"/>
    <cellStyle name="Hyperlink 74" xfId="27741" hidden="1"/>
    <cellStyle name="Hyperlink 74" xfId="26341" hidden="1"/>
    <cellStyle name="Hyperlink 74" xfId="28698" hidden="1"/>
    <cellStyle name="Hyperlink 74" xfId="27383" hidden="1"/>
    <cellStyle name="Hyperlink 74" xfId="29616" hidden="1"/>
    <cellStyle name="Hyperlink 74" xfId="28341" hidden="1"/>
    <cellStyle name="Hyperlink 74" xfId="30403" hidden="1"/>
    <cellStyle name="Hyperlink 74" xfId="29268" hidden="1"/>
    <cellStyle name="Hyperlink 74" xfId="30963" hidden="1"/>
    <cellStyle name="Hyperlink 74" xfId="31293"/>
    <cellStyle name="Hyperlink 74 2" xfId="1938"/>
    <cellStyle name="Hyperlink 74 3" xfId="1939"/>
    <cellStyle name="Hyperlink 74 9" xfId="32729"/>
    <cellStyle name="Hyperlink 74_AGL" xfId="32730"/>
    <cellStyle name="Hyperlink 75" xfId="378" hidden="1"/>
    <cellStyle name="Hyperlink 75" xfId="712" hidden="1"/>
    <cellStyle name="Hyperlink 75" xfId="2377" hidden="1"/>
    <cellStyle name="Hyperlink 75" xfId="2711" hidden="1"/>
    <cellStyle name="Hyperlink 75" xfId="3703" hidden="1"/>
    <cellStyle name="Hyperlink 75" xfId="3268" hidden="1"/>
    <cellStyle name="Hyperlink 75" xfId="5173" hidden="1"/>
    <cellStyle name="Hyperlink 75" xfId="3987" hidden="1"/>
    <cellStyle name="Hyperlink 75" xfId="6133" hidden="1"/>
    <cellStyle name="Hyperlink 75" xfId="4564" hidden="1"/>
    <cellStyle name="Hyperlink 75" xfId="7116" hidden="1"/>
    <cellStyle name="Hyperlink 75" xfId="5640" hidden="1"/>
    <cellStyle name="Hyperlink 75" xfId="8073" hidden="1"/>
    <cellStyle name="Hyperlink 75" xfId="6758" hidden="1"/>
    <cellStyle name="Hyperlink 75" xfId="8991" hidden="1"/>
    <cellStyle name="Hyperlink 75" xfId="7716" hidden="1"/>
    <cellStyle name="Hyperlink 75" xfId="9779" hidden="1"/>
    <cellStyle name="Hyperlink 75" xfId="8643" hidden="1"/>
    <cellStyle name="Hyperlink 75" xfId="10343" hidden="1"/>
    <cellStyle name="Hyperlink 75" xfId="10673" hidden="1"/>
    <cellStyle name="Hyperlink 75" xfId="11707" hidden="1"/>
    <cellStyle name="Hyperlink 75" xfId="12041" hidden="1"/>
    <cellStyle name="Hyperlink 75" xfId="13589" hidden="1"/>
    <cellStyle name="Hyperlink 75" xfId="13923" hidden="1"/>
    <cellStyle name="Hyperlink 75" xfId="14914" hidden="1"/>
    <cellStyle name="Hyperlink 75" xfId="14480" hidden="1"/>
    <cellStyle name="Hyperlink 75" xfId="16384" hidden="1"/>
    <cellStyle name="Hyperlink 75" xfId="15198" hidden="1"/>
    <cellStyle name="Hyperlink 75" xfId="17344" hidden="1"/>
    <cellStyle name="Hyperlink 75" xfId="15775" hidden="1"/>
    <cellStyle name="Hyperlink 75" xfId="18327" hidden="1"/>
    <cellStyle name="Hyperlink 75" xfId="16851" hidden="1"/>
    <cellStyle name="Hyperlink 75" xfId="19284" hidden="1"/>
    <cellStyle name="Hyperlink 75" xfId="17969" hidden="1"/>
    <cellStyle name="Hyperlink 75" xfId="20202" hidden="1"/>
    <cellStyle name="Hyperlink 75" xfId="18927" hidden="1"/>
    <cellStyle name="Hyperlink 75" xfId="20990" hidden="1"/>
    <cellStyle name="Hyperlink 75" xfId="19854" hidden="1"/>
    <cellStyle name="Hyperlink 75" xfId="21554" hidden="1"/>
    <cellStyle name="Hyperlink 75" xfId="21884" hidden="1"/>
    <cellStyle name="Hyperlink 75" xfId="12993" hidden="1"/>
    <cellStyle name="Hyperlink 75" xfId="12576" hidden="1"/>
    <cellStyle name="Hyperlink 75" xfId="23279" hidden="1"/>
    <cellStyle name="Hyperlink 75" xfId="23613" hidden="1"/>
    <cellStyle name="Hyperlink 75" xfId="24330" hidden="1"/>
    <cellStyle name="Hyperlink 75" xfId="24142" hidden="1"/>
    <cellStyle name="Hyperlink 75" xfId="25797" hidden="1"/>
    <cellStyle name="Hyperlink 75" xfId="24614" hidden="1"/>
    <cellStyle name="Hyperlink 75" xfId="26756" hidden="1"/>
    <cellStyle name="Hyperlink 75" xfId="25188" hidden="1"/>
    <cellStyle name="Hyperlink 75" xfId="27739" hidden="1"/>
    <cellStyle name="Hyperlink 75" xfId="26263" hidden="1"/>
    <cellStyle name="Hyperlink 75" xfId="28696" hidden="1"/>
    <cellStyle name="Hyperlink 75" xfId="27381" hidden="1"/>
    <cellStyle name="Hyperlink 75" xfId="29614" hidden="1"/>
    <cellStyle name="Hyperlink 75" xfId="28339" hidden="1"/>
    <cellStyle name="Hyperlink 75" xfId="30401" hidden="1"/>
    <cellStyle name="Hyperlink 75" xfId="29266" hidden="1"/>
    <cellStyle name="Hyperlink 75" xfId="30965" hidden="1"/>
    <cellStyle name="Hyperlink 75" xfId="31295"/>
    <cellStyle name="Hyperlink 75 2" xfId="1940"/>
    <cellStyle name="Hyperlink 75 3" xfId="1941"/>
    <cellStyle name="Hyperlink 75 9" xfId="32731"/>
    <cellStyle name="Hyperlink 75_AGL" xfId="32732"/>
    <cellStyle name="Hyperlink 76" xfId="380" hidden="1"/>
    <cellStyle name="Hyperlink 76" xfId="714" hidden="1"/>
    <cellStyle name="Hyperlink 76" xfId="2379" hidden="1"/>
    <cellStyle name="Hyperlink 76" xfId="2713" hidden="1"/>
    <cellStyle name="Hyperlink 76" xfId="3701" hidden="1"/>
    <cellStyle name="Hyperlink 76" xfId="2822" hidden="1"/>
    <cellStyle name="Hyperlink 76" xfId="5171" hidden="1"/>
    <cellStyle name="Hyperlink 76" xfId="3991" hidden="1"/>
    <cellStyle name="Hyperlink 76" xfId="6131" hidden="1"/>
    <cellStyle name="Hyperlink 76" xfId="4869" hidden="1"/>
    <cellStyle name="Hyperlink 76" xfId="7114" hidden="1"/>
    <cellStyle name="Hyperlink 76" xfId="5783" hidden="1"/>
    <cellStyle name="Hyperlink 76" xfId="8071" hidden="1"/>
    <cellStyle name="Hyperlink 76" xfId="6778" hidden="1"/>
    <cellStyle name="Hyperlink 76" xfId="8989" hidden="1"/>
    <cellStyle name="Hyperlink 76" xfId="7735" hidden="1"/>
    <cellStyle name="Hyperlink 76" xfId="9777" hidden="1"/>
    <cellStyle name="Hyperlink 76" xfId="8662" hidden="1"/>
    <cellStyle name="Hyperlink 76" xfId="10345" hidden="1"/>
    <cellStyle name="Hyperlink 76" xfId="10675" hidden="1"/>
    <cellStyle name="Hyperlink 76" xfId="11709" hidden="1"/>
    <cellStyle name="Hyperlink 76" xfId="12043" hidden="1"/>
    <cellStyle name="Hyperlink 76" xfId="13591" hidden="1"/>
    <cellStyle name="Hyperlink 76" xfId="13925" hidden="1"/>
    <cellStyle name="Hyperlink 76" xfId="14912" hidden="1"/>
    <cellStyle name="Hyperlink 76" xfId="14034" hidden="1"/>
    <cellStyle name="Hyperlink 76" xfId="16382" hidden="1"/>
    <cellStyle name="Hyperlink 76" xfId="15202" hidden="1"/>
    <cellStyle name="Hyperlink 76" xfId="17342" hidden="1"/>
    <cellStyle name="Hyperlink 76" xfId="16080" hidden="1"/>
    <cellStyle name="Hyperlink 76" xfId="18325" hidden="1"/>
    <cellStyle name="Hyperlink 76" xfId="16994" hidden="1"/>
    <cellStyle name="Hyperlink 76" xfId="19282" hidden="1"/>
    <cellStyle name="Hyperlink 76" xfId="17989" hidden="1"/>
    <cellStyle name="Hyperlink 76" xfId="20200" hidden="1"/>
    <cellStyle name="Hyperlink 76" xfId="18946" hidden="1"/>
    <cellStyle name="Hyperlink 76" xfId="20988" hidden="1"/>
    <cellStyle name="Hyperlink 76" xfId="19873" hidden="1"/>
    <cellStyle name="Hyperlink 76" xfId="21556" hidden="1"/>
    <cellStyle name="Hyperlink 76" xfId="21886" hidden="1"/>
    <cellStyle name="Hyperlink 76" xfId="12991" hidden="1"/>
    <cellStyle name="Hyperlink 76" xfId="11339" hidden="1"/>
    <cellStyle name="Hyperlink 76" xfId="23281" hidden="1"/>
    <cellStyle name="Hyperlink 76" xfId="23615" hidden="1"/>
    <cellStyle name="Hyperlink 76" xfId="24328" hidden="1"/>
    <cellStyle name="Hyperlink 76" xfId="23724" hidden="1"/>
    <cellStyle name="Hyperlink 76" xfId="25795" hidden="1"/>
    <cellStyle name="Hyperlink 76" xfId="24618" hidden="1"/>
    <cellStyle name="Hyperlink 76" xfId="26754" hidden="1"/>
    <cellStyle name="Hyperlink 76" xfId="25493" hidden="1"/>
    <cellStyle name="Hyperlink 76" xfId="27737" hidden="1"/>
    <cellStyle name="Hyperlink 76" xfId="26406" hidden="1"/>
    <cellStyle name="Hyperlink 76" xfId="28694" hidden="1"/>
    <cellStyle name="Hyperlink 76" xfId="27401" hidden="1"/>
    <cellStyle name="Hyperlink 76" xfId="29612" hidden="1"/>
    <cellStyle name="Hyperlink 76" xfId="28358" hidden="1"/>
    <cellStyle name="Hyperlink 76" xfId="30399" hidden="1"/>
    <cellStyle name="Hyperlink 76" xfId="29285" hidden="1"/>
    <cellStyle name="Hyperlink 76" xfId="30967" hidden="1"/>
    <cellStyle name="Hyperlink 76" xfId="31297"/>
    <cellStyle name="Hyperlink 76 2" xfId="1942"/>
    <cellStyle name="Hyperlink 76 3" xfId="1943"/>
    <cellStyle name="Hyperlink 76 9" xfId="32733"/>
    <cellStyle name="Hyperlink 76_AGL" xfId="32734"/>
    <cellStyle name="Hyperlink 77" xfId="382" hidden="1"/>
    <cellStyle name="Hyperlink 77" xfId="716" hidden="1"/>
    <cellStyle name="Hyperlink 77" xfId="2381" hidden="1"/>
    <cellStyle name="Hyperlink 77" xfId="2715" hidden="1"/>
    <cellStyle name="Hyperlink 77" xfId="3699" hidden="1"/>
    <cellStyle name="Hyperlink 77" xfId="3267" hidden="1"/>
    <cellStyle name="Hyperlink 77" xfId="5169" hidden="1"/>
    <cellStyle name="Hyperlink 77" xfId="3290" hidden="1"/>
    <cellStyle name="Hyperlink 77" xfId="6129" hidden="1"/>
    <cellStyle name="Hyperlink 77" xfId="4595" hidden="1"/>
    <cellStyle name="Hyperlink 77" xfId="7112" hidden="1"/>
    <cellStyle name="Hyperlink 77" xfId="5781" hidden="1"/>
    <cellStyle name="Hyperlink 77" xfId="8069" hidden="1"/>
    <cellStyle name="Hyperlink 77" xfId="6812" hidden="1"/>
    <cellStyle name="Hyperlink 77" xfId="8987" hidden="1"/>
    <cellStyle name="Hyperlink 77" xfId="7769" hidden="1"/>
    <cellStyle name="Hyperlink 77" xfId="9775" hidden="1"/>
    <cellStyle name="Hyperlink 77" xfId="8696" hidden="1"/>
    <cellStyle name="Hyperlink 77" xfId="10347" hidden="1"/>
    <cellStyle name="Hyperlink 77" xfId="10677" hidden="1"/>
    <cellStyle name="Hyperlink 77" xfId="11711" hidden="1"/>
    <cellStyle name="Hyperlink 77" xfId="12045" hidden="1"/>
    <cellStyle name="Hyperlink 77" xfId="13593" hidden="1"/>
    <cellStyle name="Hyperlink 77" xfId="13927" hidden="1"/>
    <cellStyle name="Hyperlink 77" xfId="14910" hidden="1"/>
    <cellStyle name="Hyperlink 77" xfId="14479" hidden="1"/>
    <cellStyle name="Hyperlink 77" xfId="16380" hidden="1"/>
    <cellStyle name="Hyperlink 77" xfId="14502" hidden="1"/>
    <cellStyle name="Hyperlink 77" xfId="17340" hidden="1"/>
    <cellStyle name="Hyperlink 77" xfId="15806" hidden="1"/>
    <cellStyle name="Hyperlink 77" xfId="18323" hidden="1"/>
    <cellStyle name="Hyperlink 77" xfId="16992" hidden="1"/>
    <cellStyle name="Hyperlink 77" xfId="19280" hidden="1"/>
    <cellStyle name="Hyperlink 77" xfId="18023" hidden="1"/>
    <cellStyle name="Hyperlink 77" xfId="20198" hidden="1"/>
    <cellStyle name="Hyperlink 77" xfId="18980" hidden="1"/>
    <cellStyle name="Hyperlink 77" xfId="20986" hidden="1"/>
    <cellStyle name="Hyperlink 77" xfId="19907" hidden="1"/>
    <cellStyle name="Hyperlink 77" xfId="21558" hidden="1"/>
    <cellStyle name="Hyperlink 77" xfId="21888" hidden="1"/>
    <cellStyle name="Hyperlink 77" xfId="12989" hidden="1"/>
    <cellStyle name="Hyperlink 77" xfId="12575" hidden="1"/>
    <cellStyle name="Hyperlink 77" xfId="23283" hidden="1"/>
    <cellStyle name="Hyperlink 77" xfId="23617" hidden="1"/>
    <cellStyle name="Hyperlink 77" xfId="24326" hidden="1"/>
    <cellStyle name="Hyperlink 77" xfId="24141" hidden="1"/>
    <cellStyle name="Hyperlink 77" xfId="25793" hidden="1"/>
    <cellStyle name="Hyperlink 77" xfId="24162" hidden="1"/>
    <cellStyle name="Hyperlink 77" xfId="26752" hidden="1"/>
    <cellStyle name="Hyperlink 77" xfId="25219" hidden="1"/>
    <cellStyle name="Hyperlink 77" xfId="27735" hidden="1"/>
    <cellStyle name="Hyperlink 77" xfId="26404" hidden="1"/>
    <cellStyle name="Hyperlink 77" xfId="28692" hidden="1"/>
    <cellStyle name="Hyperlink 77" xfId="27435" hidden="1"/>
    <cellStyle name="Hyperlink 77" xfId="29610" hidden="1"/>
    <cellStyle name="Hyperlink 77" xfId="28392" hidden="1"/>
    <cellStyle name="Hyperlink 77" xfId="30397" hidden="1"/>
    <cellStyle name="Hyperlink 77" xfId="29319" hidden="1"/>
    <cellStyle name="Hyperlink 77" xfId="30969" hidden="1"/>
    <cellStyle name="Hyperlink 77" xfId="31299"/>
    <cellStyle name="Hyperlink 77 2" xfId="1944"/>
    <cellStyle name="Hyperlink 77 3" xfId="1945"/>
    <cellStyle name="Hyperlink 77 9" xfId="32735"/>
    <cellStyle name="Hyperlink 77_AGL" xfId="32736"/>
    <cellStyle name="Hyperlink 78" xfId="384" hidden="1"/>
    <cellStyle name="Hyperlink 78" xfId="718" hidden="1"/>
    <cellStyle name="Hyperlink 78" xfId="2383" hidden="1"/>
    <cellStyle name="Hyperlink 78" xfId="2717" hidden="1"/>
    <cellStyle name="Hyperlink 78" xfId="3697" hidden="1"/>
    <cellStyle name="Hyperlink 78" xfId="3266" hidden="1"/>
    <cellStyle name="Hyperlink 78" xfId="5167" hidden="1"/>
    <cellStyle name="Hyperlink 78" xfId="3387" hidden="1"/>
    <cellStyle name="Hyperlink 78" xfId="6127" hidden="1"/>
    <cellStyle name="Hyperlink 78" xfId="4210" hidden="1"/>
    <cellStyle name="Hyperlink 78" xfId="7110" hidden="1"/>
    <cellStyle name="Hyperlink 78" xfId="5801" hidden="1"/>
    <cellStyle name="Hyperlink 78" xfId="8067" hidden="1"/>
    <cellStyle name="Hyperlink 78" xfId="4874" hidden="1"/>
    <cellStyle name="Hyperlink 78" xfId="8985" hidden="1"/>
    <cellStyle name="Hyperlink 78" xfId="5651" hidden="1"/>
    <cellStyle name="Hyperlink 78" xfId="9773" hidden="1"/>
    <cellStyle name="Hyperlink 78" xfId="6623" hidden="1"/>
    <cellStyle name="Hyperlink 78" xfId="10349" hidden="1"/>
    <cellStyle name="Hyperlink 78" xfId="10679" hidden="1"/>
    <cellStyle name="Hyperlink 78" xfId="11713" hidden="1"/>
    <cellStyle name="Hyperlink 78" xfId="12047" hidden="1"/>
    <cellStyle name="Hyperlink 78" xfId="13595" hidden="1"/>
    <cellStyle name="Hyperlink 78" xfId="13929" hidden="1"/>
    <cellStyle name="Hyperlink 78" xfId="14908" hidden="1"/>
    <cellStyle name="Hyperlink 78" xfId="14478" hidden="1"/>
    <cellStyle name="Hyperlink 78" xfId="16378" hidden="1"/>
    <cellStyle name="Hyperlink 78" xfId="14599" hidden="1"/>
    <cellStyle name="Hyperlink 78" xfId="17338" hidden="1"/>
    <cellStyle name="Hyperlink 78" xfId="15421" hidden="1"/>
    <cellStyle name="Hyperlink 78" xfId="18321" hidden="1"/>
    <cellStyle name="Hyperlink 78" xfId="17012" hidden="1"/>
    <cellStyle name="Hyperlink 78" xfId="19278" hidden="1"/>
    <cellStyle name="Hyperlink 78" xfId="16085" hidden="1"/>
    <cellStyle name="Hyperlink 78" xfId="20196" hidden="1"/>
    <cellStyle name="Hyperlink 78" xfId="16862" hidden="1"/>
    <cellStyle name="Hyperlink 78" xfId="20984" hidden="1"/>
    <cellStyle name="Hyperlink 78" xfId="17834" hidden="1"/>
    <cellStyle name="Hyperlink 78" xfId="21560" hidden="1"/>
    <cellStyle name="Hyperlink 78" xfId="21890" hidden="1"/>
    <cellStyle name="Hyperlink 78" xfId="12987" hidden="1"/>
    <cellStyle name="Hyperlink 78" xfId="12574" hidden="1"/>
    <cellStyle name="Hyperlink 78" xfId="23285" hidden="1"/>
    <cellStyle name="Hyperlink 78" xfId="23619" hidden="1"/>
    <cellStyle name="Hyperlink 78" xfId="24324" hidden="1"/>
    <cellStyle name="Hyperlink 78" xfId="24140" hidden="1"/>
    <cellStyle name="Hyperlink 78" xfId="25791" hidden="1"/>
    <cellStyle name="Hyperlink 78" xfId="24203" hidden="1"/>
    <cellStyle name="Hyperlink 78" xfId="26750" hidden="1"/>
    <cellStyle name="Hyperlink 78" xfId="24834" hidden="1"/>
    <cellStyle name="Hyperlink 78" xfId="27733" hidden="1"/>
    <cellStyle name="Hyperlink 78" xfId="26424" hidden="1"/>
    <cellStyle name="Hyperlink 78" xfId="28690" hidden="1"/>
    <cellStyle name="Hyperlink 78" xfId="25498" hidden="1"/>
    <cellStyle name="Hyperlink 78" xfId="29608" hidden="1"/>
    <cellStyle name="Hyperlink 78" xfId="26274" hidden="1"/>
    <cellStyle name="Hyperlink 78" xfId="30395" hidden="1"/>
    <cellStyle name="Hyperlink 78" xfId="27246" hidden="1"/>
    <cellStyle name="Hyperlink 78" xfId="30971" hidden="1"/>
    <cellStyle name="Hyperlink 78" xfId="31301"/>
    <cellStyle name="Hyperlink 78 2" xfId="1946"/>
    <cellStyle name="Hyperlink 78 3" xfId="1947"/>
    <cellStyle name="Hyperlink 78 9" xfId="32737"/>
    <cellStyle name="Hyperlink 78_AGL" xfId="32738"/>
    <cellStyle name="Hyperlink 79" xfId="386" hidden="1"/>
    <cellStyle name="Hyperlink 79" xfId="720" hidden="1"/>
    <cellStyle name="Hyperlink 79" xfId="2385" hidden="1"/>
    <cellStyle name="Hyperlink 79" xfId="2719" hidden="1"/>
    <cellStyle name="Hyperlink 79" xfId="3695" hidden="1"/>
    <cellStyle name="Hyperlink 79" xfId="2818" hidden="1"/>
    <cellStyle name="Hyperlink 79" xfId="5165" hidden="1"/>
    <cellStyle name="Hyperlink 79" xfId="2802" hidden="1"/>
    <cellStyle name="Hyperlink 79" xfId="6125" hidden="1"/>
    <cellStyle name="Hyperlink 79" xfId="4569" hidden="1"/>
    <cellStyle name="Hyperlink 79" xfId="7108" hidden="1"/>
    <cellStyle name="Hyperlink 79" xfId="5835" hidden="1"/>
    <cellStyle name="Hyperlink 79" xfId="8065" hidden="1"/>
    <cellStyle name="Hyperlink 79" xfId="6513" hidden="1"/>
    <cellStyle name="Hyperlink 79" xfId="8983" hidden="1"/>
    <cellStyle name="Hyperlink 79" xfId="7479" hidden="1"/>
    <cellStyle name="Hyperlink 79" xfId="9771" hidden="1"/>
    <cellStyle name="Hyperlink 79" xfId="8428" hidden="1"/>
    <cellStyle name="Hyperlink 79" xfId="10351" hidden="1"/>
    <cellStyle name="Hyperlink 79" xfId="10681" hidden="1"/>
    <cellStyle name="Hyperlink 79" xfId="11715" hidden="1"/>
    <cellStyle name="Hyperlink 79" xfId="12049" hidden="1"/>
    <cellStyle name="Hyperlink 79" xfId="13597" hidden="1"/>
    <cellStyle name="Hyperlink 79" xfId="13931" hidden="1"/>
    <cellStyle name="Hyperlink 79" xfId="14906" hidden="1"/>
    <cellStyle name="Hyperlink 79" xfId="14030" hidden="1"/>
    <cellStyle name="Hyperlink 79" xfId="16376" hidden="1"/>
    <cellStyle name="Hyperlink 79" xfId="14014" hidden="1"/>
    <cellStyle name="Hyperlink 79" xfId="17336" hidden="1"/>
    <cellStyle name="Hyperlink 79" xfId="15780" hidden="1"/>
    <cellStyle name="Hyperlink 79" xfId="18319" hidden="1"/>
    <cellStyle name="Hyperlink 79" xfId="17046" hidden="1"/>
    <cellStyle name="Hyperlink 79" xfId="19276" hidden="1"/>
    <cellStyle name="Hyperlink 79" xfId="17724" hidden="1"/>
    <cellStyle name="Hyperlink 79" xfId="20194" hidden="1"/>
    <cellStyle name="Hyperlink 79" xfId="18690" hidden="1"/>
    <cellStyle name="Hyperlink 79" xfId="20982" hidden="1"/>
    <cellStyle name="Hyperlink 79" xfId="19639" hidden="1"/>
    <cellStyle name="Hyperlink 79" xfId="21562" hidden="1"/>
    <cellStyle name="Hyperlink 79" xfId="21892" hidden="1"/>
    <cellStyle name="Hyperlink 79" xfId="12985" hidden="1"/>
    <cellStyle name="Hyperlink 79" xfId="12145" hidden="1"/>
    <cellStyle name="Hyperlink 79" xfId="23287" hidden="1"/>
    <cellStyle name="Hyperlink 79" xfId="23621" hidden="1"/>
    <cellStyle name="Hyperlink 79" xfId="24322" hidden="1"/>
    <cellStyle name="Hyperlink 79" xfId="23720" hidden="1"/>
    <cellStyle name="Hyperlink 79" xfId="25789" hidden="1"/>
    <cellStyle name="Hyperlink 79" xfId="23704" hidden="1"/>
    <cellStyle name="Hyperlink 79" xfId="26748" hidden="1"/>
    <cellStyle name="Hyperlink 79" xfId="25193" hidden="1"/>
    <cellStyle name="Hyperlink 79" xfId="27731" hidden="1"/>
    <cellStyle name="Hyperlink 79" xfId="26458" hidden="1"/>
    <cellStyle name="Hyperlink 79" xfId="28688" hidden="1"/>
    <cellStyle name="Hyperlink 79" xfId="27136" hidden="1"/>
    <cellStyle name="Hyperlink 79" xfId="29606" hidden="1"/>
    <cellStyle name="Hyperlink 79" xfId="28102" hidden="1"/>
    <cellStyle name="Hyperlink 79" xfId="30393" hidden="1"/>
    <cellStyle name="Hyperlink 79" xfId="29051" hidden="1"/>
    <cellStyle name="Hyperlink 79" xfId="30973" hidden="1"/>
    <cellStyle name="Hyperlink 79" xfId="31303"/>
    <cellStyle name="Hyperlink 79 2" xfId="1948"/>
    <cellStyle name="Hyperlink 79 3" xfId="1949"/>
    <cellStyle name="Hyperlink 79 9" xfId="32739"/>
    <cellStyle name="Hyperlink 79_AGL" xfId="32740"/>
    <cellStyle name="Hyperlink 8" xfId="244" hidden="1"/>
    <cellStyle name="Hyperlink 8" xfId="654" hidden="1"/>
    <cellStyle name="Hyperlink 8" xfId="2243" hidden="1"/>
    <cellStyle name="Hyperlink 8" xfId="2653" hidden="1"/>
    <cellStyle name="Hyperlink 8" xfId="3836" hidden="1"/>
    <cellStyle name="Hyperlink 8" xfId="2812" hidden="1"/>
    <cellStyle name="Hyperlink 8" xfId="4184" hidden="1"/>
    <cellStyle name="Hyperlink 8" xfId="3871" hidden="1"/>
    <cellStyle name="Hyperlink 8" xfId="5816" hidden="1"/>
    <cellStyle name="Hyperlink 8" xfId="4080" hidden="1"/>
    <cellStyle name="Hyperlink 8" xfId="5691" hidden="1"/>
    <cellStyle name="Hyperlink 8" xfId="4527" hidden="1"/>
    <cellStyle name="Hyperlink 8" xfId="6484" hidden="1"/>
    <cellStyle name="Hyperlink 8" xfId="6494" hidden="1"/>
    <cellStyle name="Hyperlink 8" xfId="7451" hidden="1"/>
    <cellStyle name="Hyperlink 8" xfId="7460" hidden="1"/>
    <cellStyle name="Hyperlink 8" xfId="8401" hidden="1"/>
    <cellStyle name="Hyperlink 8" xfId="8409" hidden="1"/>
    <cellStyle name="Hyperlink 8" xfId="10209" hidden="1"/>
    <cellStyle name="Hyperlink 8" xfId="10615" hidden="1"/>
    <cellStyle name="Hyperlink 8" xfId="11573" hidden="1"/>
    <cellStyle name="Hyperlink 8" xfId="11983" hidden="1"/>
    <cellStyle name="Hyperlink 8" xfId="13455" hidden="1"/>
    <cellStyle name="Hyperlink 8" xfId="13865" hidden="1"/>
    <cellStyle name="Hyperlink 8" xfId="15047" hidden="1"/>
    <cellStyle name="Hyperlink 8" xfId="14024" hidden="1"/>
    <cellStyle name="Hyperlink 8" xfId="15395" hidden="1"/>
    <cellStyle name="Hyperlink 8" xfId="15082" hidden="1"/>
    <cellStyle name="Hyperlink 8" xfId="17027" hidden="1"/>
    <cellStyle name="Hyperlink 8" xfId="15291" hidden="1"/>
    <cellStyle name="Hyperlink 8" xfId="16902" hidden="1"/>
    <cellStyle name="Hyperlink 8" xfId="15738" hidden="1"/>
    <cellStyle name="Hyperlink 8" xfId="17695" hidden="1"/>
    <cellStyle name="Hyperlink 8" xfId="17705" hidden="1"/>
    <cellStyle name="Hyperlink 8" xfId="18662" hidden="1"/>
    <cellStyle name="Hyperlink 8" xfId="18671" hidden="1"/>
    <cellStyle name="Hyperlink 8" xfId="19612" hidden="1"/>
    <cellStyle name="Hyperlink 8" xfId="19620" hidden="1"/>
    <cellStyle name="Hyperlink 8" xfId="21420" hidden="1"/>
    <cellStyle name="Hyperlink 8" xfId="21826" hidden="1"/>
    <cellStyle name="Hyperlink 8" xfId="13126" hidden="1"/>
    <cellStyle name="Hyperlink 8" xfId="12147" hidden="1"/>
    <cellStyle name="Hyperlink 8" xfId="23145" hidden="1"/>
    <cellStyle name="Hyperlink 8" xfId="23555" hidden="1"/>
    <cellStyle name="Hyperlink 8" xfId="24463" hidden="1"/>
    <cellStyle name="Hyperlink 8" xfId="23714" hidden="1"/>
    <cellStyle name="Hyperlink 8" xfId="24808" hidden="1"/>
    <cellStyle name="Hyperlink 8" xfId="24498" hidden="1"/>
    <cellStyle name="Hyperlink 8" xfId="26439" hidden="1"/>
    <cellStyle name="Hyperlink 8" xfId="24704" hidden="1"/>
    <cellStyle name="Hyperlink 8" xfId="26314" hidden="1"/>
    <cellStyle name="Hyperlink 8" xfId="25151" hidden="1"/>
    <cellStyle name="Hyperlink 8" xfId="27107" hidden="1"/>
    <cellStyle name="Hyperlink 8" xfId="27117" hidden="1"/>
    <cellStyle name="Hyperlink 8" xfId="28074" hidden="1"/>
    <cellStyle name="Hyperlink 8" xfId="28083" hidden="1"/>
    <cellStyle name="Hyperlink 8" xfId="29024" hidden="1"/>
    <cellStyle name="Hyperlink 8" xfId="29032" hidden="1"/>
    <cellStyle name="Hyperlink 8" xfId="30831" hidden="1"/>
    <cellStyle name="Hyperlink 8" xfId="31237"/>
    <cellStyle name="Hyperlink 8 2" xfId="1950"/>
    <cellStyle name="Hyperlink 8 3" xfId="1951"/>
    <cellStyle name="Hyperlink 8 9" xfId="32741"/>
    <cellStyle name="Hyperlink 8_AGL" xfId="32742"/>
    <cellStyle name="Hyperlink 80" xfId="388" hidden="1"/>
    <cellStyle name="Hyperlink 80" xfId="722" hidden="1"/>
    <cellStyle name="Hyperlink 80" xfId="2387" hidden="1"/>
    <cellStyle name="Hyperlink 80" xfId="2721" hidden="1"/>
    <cellStyle name="Hyperlink 80" xfId="3693" hidden="1"/>
    <cellStyle name="Hyperlink 80" xfId="3116" hidden="1"/>
    <cellStyle name="Hyperlink 80" xfId="5163" hidden="1"/>
    <cellStyle name="Hyperlink 80" xfId="3389" hidden="1"/>
    <cellStyle name="Hyperlink 80" xfId="6123" hidden="1"/>
    <cellStyle name="Hyperlink 80" xfId="4665" hidden="1"/>
    <cellStyle name="Hyperlink 80" xfId="7106" hidden="1"/>
    <cellStyle name="Hyperlink 80" xfId="4072" hidden="1"/>
    <cellStyle name="Hyperlink 80" xfId="8063" hidden="1"/>
    <cellStyle name="Hyperlink 80" xfId="6815" hidden="1"/>
    <cellStyle name="Hyperlink 80" xfId="8981" hidden="1"/>
    <cellStyle name="Hyperlink 80" xfId="7772" hidden="1"/>
    <cellStyle name="Hyperlink 80" xfId="9769" hidden="1"/>
    <cellStyle name="Hyperlink 80" xfId="8698" hidden="1"/>
    <cellStyle name="Hyperlink 80" xfId="10353" hidden="1"/>
    <cellStyle name="Hyperlink 80" xfId="10683" hidden="1"/>
    <cellStyle name="Hyperlink 80" xfId="11717" hidden="1"/>
    <cellStyle name="Hyperlink 80" xfId="12051" hidden="1"/>
    <cellStyle name="Hyperlink 80" xfId="13599" hidden="1"/>
    <cellStyle name="Hyperlink 80" xfId="13933" hidden="1"/>
    <cellStyle name="Hyperlink 80" xfId="14904" hidden="1"/>
    <cellStyle name="Hyperlink 80" xfId="14328" hidden="1"/>
    <cellStyle name="Hyperlink 80" xfId="16374" hidden="1"/>
    <cellStyle name="Hyperlink 80" xfId="14601" hidden="1"/>
    <cellStyle name="Hyperlink 80" xfId="17334" hidden="1"/>
    <cellStyle name="Hyperlink 80" xfId="15876" hidden="1"/>
    <cellStyle name="Hyperlink 80" xfId="18317" hidden="1"/>
    <cellStyle name="Hyperlink 80" xfId="15283" hidden="1"/>
    <cellStyle name="Hyperlink 80" xfId="19274" hidden="1"/>
    <cellStyle name="Hyperlink 80" xfId="18026" hidden="1"/>
    <cellStyle name="Hyperlink 80" xfId="20192" hidden="1"/>
    <cellStyle name="Hyperlink 80" xfId="18983" hidden="1"/>
    <cellStyle name="Hyperlink 80" xfId="20980" hidden="1"/>
    <cellStyle name="Hyperlink 80" xfId="19909" hidden="1"/>
    <cellStyle name="Hyperlink 80" xfId="21564" hidden="1"/>
    <cellStyle name="Hyperlink 80" xfId="21894" hidden="1"/>
    <cellStyle name="Hyperlink 80" xfId="12983" hidden="1"/>
    <cellStyle name="Hyperlink 80" xfId="12573" hidden="1"/>
    <cellStyle name="Hyperlink 80" xfId="23289" hidden="1"/>
    <cellStyle name="Hyperlink 80" xfId="23623" hidden="1"/>
    <cellStyle name="Hyperlink 80" xfId="24320" hidden="1"/>
    <cellStyle name="Hyperlink 80" xfId="23990" hidden="1"/>
    <cellStyle name="Hyperlink 80" xfId="25787" hidden="1"/>
    <cellStyle name="Hyperlink 80" xfId="24205" hidden="1"/>
    <cellStyle name="Hyperlink 80" xfId="26746" hidden="1"/>
    <cellStyle name="Hyperlink 80" xfId="25289" hidden="1"/>
    <cellStyle name="Hyperlink 80" xfId="27729" hidden="1"/>
    <cellStyle name="Hyperlink 80" xfId="24696" hidden="1"/>
    <cellStyle name="Hyperlink 80" xfId="28686" hidden="1"/>
    <cellStyle name="Hyperlink 80" xfId="27438" hidden="1"/>
    <cellStyle name="Hyperlink 80" xfId="29604" hidden="1"/>
    <cellStyle name="Hyperlink 80" xfId="28395" hidden="1"/>
    <cellStyle name="Hyperlink 80" xfId="30391" hidden="1"/>
    <cellStyle name="Hyperlink 80" xfId="29321" hidden="1"/>
    <cellStyle name="Hyperlink 80" xfId="30975" hidden="1"/>
    <cellStyle name="Hyperlink 80" xfId="31305"/>
    <cellStyle name="Hyperlink 80 2" xfId="1952"/>
    <cellStyle name="Hyperlink 80 3" xfId="1953"/>
    <cellStyle name="Hyperlink 80 9" xfId="32743"/>
    <cellStyle name="Hyperlink 80_AGL" xfId="32744"/>
    <cellStyle name="Hyperlink 81" xfId="390" hidden="1"/>
    <cellStyle name="Hyperlink 81" xfId="724" hidden="1"/>
    <cellStyle name="Hyperlink 81" xfId="2389" hidden="1"/>
    <cellStyle name="Hyperlink 81" xfId="2723" hidden="1"/>
    <cellStyle name="Hyperlink 81" xfId="3691" hidden="1"/>
    <cellStyle name="Hyperlink 81" xfId="2981" hidden="1"/>
    <cellStyle name="Hyperlink 81" xfId="5161" hidden="1"/>
    <cellStyle name="Hyperlink 81" xfId="3502" hidden="1"/>
    <cellStyle name="Hyperlink 81" xfId="6121" hidden="1"/>
    <cellStyle name="Hyperlink 81" xfId="4667" hidden="1"/>
    <cellStyle name="Hyperlink 81" xfId="7104" hidden="1"/>
    <cellStyle name="Hyperlink 81" xfId="5539" hidden="1"/>
    <cellStyle name="Hyperlink 81" xfId="8061" hidden="1"/>
    <cellStyle name="Hyperlink 81" xfId="6544" hidden="1"/>
    <cellStyle name="Hyperlink 81" xfId="8979" hidden="1"/>
    <cellStyle name="Hyperlink 81" xfId="7510" hidden="1"/>
    <cellStyle name="Hyperlink 81" xfId="9767" hidden="1"/>
    <cellStyle name="Hyperlink 81" xfId="8458" hidden="1"/>
    <cellStyle name="Hyperlink 81" xfId="10355" hidden="1"/>
    <cellStyle name="Hyperlink 81" xfId="10685" hidden="1"/>
    <cellStyle name="Hyperlink 81" xfId="11719" hidden="1"/>
    <cellStyle name="Hyperlink 81" xfId="12053" hidden="1"/>
    <cellStyle name="Hyperlink 81" xfId="13601" hidden="1"/>
    <cellStyle name="Hyperlink 81" xfId="13935" hidden="1"/>
    <cellStyle name="Hyperlink 81" xfId="14902" hidden="1"/>
    <cellStyle name="Hyperlink 81" xfId="14193" hidden="1"/>
    <cellStyle name="Hyperlink 81" xfId="16372" hidden="1"/>
    <cellStyle name="Hyperlink 81" xfId="14713" hidden="1"/>
    <cellStyle name="Hyperlink 81" xfId="17332" hidden="1"/>
    <cellStyle name="Hyperlink 81" xfId="15878" hidden="1"/>
    <cellStyle name="Hyperlink 81" xfId="18315" hidden="1"/>
    <cellStyle name="Hyperlink 81" xfId="16750" hidden="1"/>
    <cellStyle name="Hyperlink 81" xfId="19272" hidden="1"/>
    <cellStyle name="Hyperlink 81" xfId="17755" hidden="1"/>
    <cellStyle name="Hyperlink 81" xfId="20190" hidden="1"/>
    <cellStyle name="Hyperlink 81" xfId="18721" hidden="1"/>
    <cellStyle name="Hyperlink 81" xfId="20978" hidden="1"/>
    <cellStyle name="Hyperlink 81" xfId="19669" hidden="1"/>
    <cellStyle name="Hyperlink 81" xfId="21566" hidden="1"/>
    <cellStyle name="Hyperlink 81" xfId="21896" hidden="1"/>
    <cellStyle name="Hyperlink 81" xfId="12981" hidden="1"/>
    <cellStyle name="Hyperlink 81" xfId="12572" hidden="1"/>
    <cellStyle name="Hyperlink 81" xfId="23291" hidden="1"/>
    <cellStyle name="Hyperlink 81" xfId="23625" hidden="1"/>
    <cellStyle name="Hyperlink 81" xfId="24318" hidden="1"/>
    <cellStyle name="Hyperlink 81" xfId="23857" hidden="1"/>
    <cellStyle name="Hyperlink 81" xfId="25785" hidden="1"/>
    <cellStyle name="Hyperlink 81" xfId="24272" hidden="1"/>
    <cellStyle name="Hyperlink 81" xfId="26744" hidden="1"/>
    <cellStyle name="Hyperlink 81" xfId="25291" hidden="1"/>
    <cellStyle name="Hyperlink 81" xfId="27727" hidden="1"/>
    <cellStyle name="Hyperlink 81" xfId="26163" hidden="1"/>
    <cellStyle name="Hyperlink 81" xfId="28684" hidden="1"/>
    <cellStyle name="Hyperlink 81" xfId="27167" hidden="1"/>
    <cellStyle name="Hyperlink 81" xfId="29602" hidden="1"/>
    <cellStyle name="Hyperlink 81" xfId="28133" hidden="1"/>
    <cellStyle name="Hyperlink 81" xfId="30389" hidden="1"/>
    <cellStyle name="Hyperlink 81" xfId="29081" hidden="1"/>
    <cellStyle name="Hyperlink 81" xfId="30977" hidden="1"/>
    <cellStyle name="Hyperlink 81" xfId="31307"/>
    <cellStyle name="Hyperlink 81 2" xfId="1954"/>
    <cellStyle name="Hyperlink 81 3" xfId="1955"/>
    <cellStyle name="Hyperlink 81 9" xfId="32745"/>
    <cellStyle name="Hyperlink 81_AGL" xfId="32746"/>
    <cellStyle name="Hyperlink 82" xfId="392" hidden="1"/>
    <cellStyle name="Hyperlink 82" xfId="726" hidden="1"/>
    <cellStyle name="Hyperlink 82" xfId="2391" hidden="1"/>
    <cellStyle name="Hyperlink 82" xfId="2725" hidden="1"/>
    <cellStyle name="Hyperlink 82" xfId="3689" hidden="1"/>
    <cellStyle name="Hyperlink 82" xfId="2814" hidden="1"/>
    <cellStyle name="Hyperlink 82" xfId="5159" hidden="1"/>
    <cellStyle name="Hyperlink 82" xfId="2789" hidden="1"/>
    <cellStyle name="Hyperlink 82" xfId="6119" hidden="1"/>
    <cellStyle name="Hyperlink 82" xfId="4887" hidden="1"/>
    <cellStyle name="Hyperlink 82" xfId="7102" hidden="1"/>
    <cellStyle name="Hyperlink 82" xfId="5838" hidden="1"/>
    <cellStyle name="Hyperlink 82" xfId="8059" hidden="1"/>
    <cellStyle name="Hyperlink 82" xfId="2160" hidden="1"/>
    <cellStyle name="Hyperlink 82" xfId="8977" hidden="1"/>
    <cellStyle name="Hyperlink 82" xfId="5591" hidden="1"/>
    <cellStyle name="Hyperlink 82" xfId="9765" hidden="1"/>
    <cellStyle name="Hyperlink 82" xfId="6766" hidden="1"/>
    <cellStyle name="Hyperlink 82" xfId="10357" hidden="1"/>
    <cellStyle name="Hyperlink 82" xfId="10687" hidden="1"/>
    <cellStyle name="Hyperlink 82" xfId="11721" hidden="1"/>
    <cellStyle name="Hyperlink 82" xfId="12055" hidden="1"/>
    <cellStyle name="Hyperlink 82" xfId="13603" hidden="1"/>
    <cellStyle name="Hyperlink 82" xfId="13937" hidden="1"/>
    <cellStyle name="Hyperlink 82" xfId="14900" hidden="1"/>
    <cellStyle name="Hyperlink 82" xfId="14026" hidden="1"/>
    <cellStyle name="Hyperlink 82" xfId="16370" hidden="1"/>
    <cellStyle name="Hyperlink 82" xfId="14001" hidden="1"/>
    <cellStyle name="Hyperlink 82" xfId="17330" hidden="1"/>
    <cellStyle name="Hyperlink 82" xfId="16098" hidden="1"/>
    <cellStyle name="Hyperlink 82" xfId="18313" hidden="1"/>
    <cellStyle name="Hyperlink 82" xfId="17049" hidden="1"/>
    <cellStyle name="Hyperlink 82" xfId="19270" hidden="1"/>
    <cellStyle name="Hyperlink 82" xfId="13372" hidden="1"/>
    <cellStyle name="Hyperlink 82" xfId="20188" hidden="1"/>
    <cellStyle name="Hyperlink 82" xfId="16802" hidden="1"/>
    <cellStyle name="Hyperlink 82" xfId="20976" hidden="1"/>
    <cellStyle name="Hyperlink 82" xfId="17977" hidden="1"/>
    <cellStyle name="Hyperlink 82" xfId="21568" hidden="1"/>
    <cellStyle name="Hyperlink 82" xfId="21898" hidden="1"/>
    <cellStyle name="Hyperlink 82" xfId="12979" hidden="1"/>
    <cellStyle name="Hyperlink 82" xfId="12141" hidden="1"/>
    <cellStyle name="Hyperlink 82" xfId="23293" hidden="1"/>
    <cellStyle name="Hyperlink 82" xfId="23627" hidden="1"/>
    <cellStyle name="Hyperlink 82" xfId="24316" hidden="1"/>
    <cellStyle name="Hyperlink 82" xfId="23716" hidden="1"/>
    <cellStyle name="Hyperlink 82" xfId="25783" hidden="1"/>
    <cellStyle name="Hyperlink 82" xfId="23691" hidden="1"/>
    <cellStyle name="Hyperlink 82" xfId="26742" hidden="1"/>
    <cellStyle name="Hyperlink 82" xfId="25511" hidden="1"/>
    <cellStyle name="Hyperlink 82" xfId="27725" hidden="1"/>
    <cellStyle name="Hyperlink 82" xfId="26461" hidden="1"/>
    <cellStyle name="Hyperlink 82" xfId="28682" hidden="1"/>
    <cellStyle name="Hyperlink 82" xfId="23062" hidden="1"/>
    <cellStyle name="Hyperlink 82" xfId="29600" hidden="1"/>
    <cellStyle name="Hyperlink 82" xfId="26215" hidden="1"/>
    <cellStyle name="Hyperlink 82" xfId="30387" hidden="1"/>
    <cellStyle name="Hyperlink 82" xfId="27389" hidden="1"/>
    <cellStyle name="Hyperlink 82" xfId="30979" hidden="1"/>
    <cellStyle name="Hyperlink 82" xfId="31309"/>
    <cellStyle name="Hyperlink 82 2" xfId="1956"/>
    <cellStyle name="Hyperlink 82 3" xfId="1957"/>
    <cellStyle name="Hyperlink 82 9" xfId="32747"/>
    <cellStyle name="Hyperlink 82_AGL" xfId="32748"/>
    <cellStyle name="Hyperlink 83" xfId="394" hidden="1"/>
    <cellStyle name="Hyperlink 83" xfId="728" hidden="1"/>
    <cellStyle name="Hyperlink 83" xfId="2393" hidden="1"/>
    <cellStyle name="Hyperlink 83" xfId="2727" hidden="1"/>
    <cellStyle name="Hyperlink 83" xfId="3688" hidden="1"/>
    <cellStyle name="Hyperlink 83" xfId="3057" hidden="1"/>
    <cellStyle name="Hyperlink 83" xfId="5157" hidden="1"/>
    <cellStyle name="Hyperlink 83" xfId="3292" hidden="1"/>
    <cellStyle name="Hyperlink 83" xfId="6117" hidden="1"/>
    <cellStyle name="Hyperlink 83" xfId="4154" hidden="1"/>
    <cellStyle name="Hyperlink 83" xfId="7100" hidden="1"/>
    <cellStyle name="Hyperlink 83" xfId="5570" hidden="1"/>
    <cellStyle name="Hyperlink 83" xfId="8057" hidden="1"/>
    <cellStyle name="Hyperlink 83" xfId="6518" hidden="1"/>
    <cellStyle name="Hyperlink 83" xfId="8975" hidden="1"/>
    <cellStyle name="Hyperlink 83" xfId="7484" hidden="1"/>
    <cellStyle name="Hyperlink 83" xfId="9763" hidden="1"/>
    <cellStyle name="Hyperlink 83" xfId="8433" hidden="1"/>
    <cellStyle name="Hyperlink 83" xfId="10359" hidden="1"/>
    <cellStyle name="Hyperlink 83" xfId="10689" hidden="1"/>
    <cellStyle name="Hyperlink 83" xfId="11723" hidden="1"/>
    <cellStyle name="Hyperlink 83" xfId="12057" hidden="1"/>
    <cellStyle name="Hyperlink 83" xfId="13605" hidden="1"/>
    <cellStyle name="Hyperlink 83" xfId="13939" hidden="1"/>
    <cellStyle name="Hyperlink 83" xfId="14899" hidden="1"/>
    <cellStyle name="Hyperlink 83" xfId="14269" hidden="1"/>
    <cellStyle name="Hyperlink 83" xfId="16368" hidden="1"/>
    <cellStyle name="Hyperlink 83" xfId="14504" hidden="1"/>
    <cellStyle name="Hyperlink 83" xfId="17328" hidden="1"/>
    <cellStyle name="Hyperlink 83" xfId="15365" hidden="1"/>
    <cellStyle name="Hyperlink 83" xfId="18311" hidden="1"/>
    <cellStyle name="Hyperlink 83" xfId="16781" hidden="1"/>
    <cellStyle name="Hyperlink 83" xfId="19268" hidden="1"/>
    <cellStyle name="Hyperlink 83" xfId="17729" hidden="1"/>
    <cellStyle name="Hyperlink 83" xfId="20186" hidden="1"/>
    <cellStyle name="Hyperlink 83" xfId="18695" hidden="1"/>
    <cellStyle name="Hyperlink 83" xfId="20974" hidden="1"/>
    <cellStyle name="Hyperlink 83" xfId="19644" hidden="1"/>
    <cellStyle name="Hyperlink 83" xfId="21570" hidden="1"/>
    <cellStyle name="Hyperlink 83" xfId="21900" hidden="1"/>
    <cellStyle name="Hyperlink 83" xfId="12977" hidden="1"/>
    <cellStyle name="Hyperlink 83" xfId="12423" hidden="1"/>
    <cellStyle name="Hyperlink 83" xfId="23295" hidden="1"/>
    <cellStyle name="Hyperlink 83" xfId="23629" hidden="1"/>
    <cellStyle name="Hyperlink 83" xfId="24315" hidden="1"/>
    <cellStyle name="Hyperlink 83" xfId="23933" hidden="1"/>
    <cellStyle name="Hyperlink 83" xfId="25781" hidden="1"/>
    <cellStyle name="Hyperlink 83" xfId="24163" hidden="1"/>
    <cellStyle name="Hyperlink 83" xfId="26740" hidden="1"/>
    <cellStyle name="Hyperlink 83" xfId="24778" hidden="1"/>
    <cellStyle name="Hyperlink 83" xfId="27723" hidden="1"/>
    <cellStyle name="Hyperlink 83" xfId="26194" hidden="1"/>
    <cellStyle name="Hyperlink 83" xfId="28680" hidden="1"/>
    <cellStyle name="Hyperlink 83" xfId="27141" hidden="1"/>
    <cellStyle name="Hyperlink 83" xfId="29598" hidden="1"/>
    <cellStyle name="Hyperlink 83" xfId="28107" hidden="1"/>
    <cellStyle name="Hyperlink 83" xfId="30385" hidden="1"/>
    <cellStyle name="Hyperlink 83" xfId="29056" hidden="1"/>
    <cellStyle name="Hyperlink 83" xfId="30981" hidden="1"/>
    <cellStyle name="Hyperlink 83" xfId="31311"/>
    <cellStyle name="Hyperlink 83 2" xfId="1958"/>
    <cellStyle name="Hyperlink 83 3" xfId="1959"/>
    <cellStyle name="Hyperlink 83 9" xfId="32749"/>
    <cellStyle name="Hyperlink 83_AGL" xfId="32750"/>
    <cellStyle name="Hyperlink 84" xfId="396" hidden="1"/>
    <cellStyle name="Hyperlink 84" xfId="730" hidden="1"/>
    <cellStyle name="Hyperlink 84" xfId="2395" hidden="1"/>
    <cellStyle name="Hyperlink 84" xfId="2729" hidden="1"/>
    <cellStyle name="Hyperlink 84" xfId="3686" hidden="1"/>
    <cellStyle name="Hyperlink 84" xfId="3112" hidden="1"/>
    <cellStyle name="Hyperlink 84" xfId="5155" hidden="1"/>
    <cellStyle name="Hyperlink 84" xfId="3658" hidden="1"/>
    <cellStyle name="Hyperlink 84" xfId="6115" hidden="1"/>
    <cellStyle name="Hyperlink 84" xfId="4598" hidden="1"/>
    <cellStyle name="Hyperlink 84" xfId="7098" hidden="1"/>
    <cellStyle name="Hyperlink 84" xfId="4064" hidden="1"/>
    <cellStyle name="Hyperlink 84" xfId="8055" hidden="1"/>
    <cellStyle name="Hyperlink 84" xfId="6614" hidden="1"/>
    <cellStyle name="Hyperlink 84" xfId="8973" hidden="1"/>
    <cellStyle name="Hyperlink 84" xfId="7577" hidden="1"/>
    <cellStyle name="Hyperlink 84" xfId="9761" hidden="1"/>
    <cellStyle name="Hyperlink 84" xfId="8518" hidden="1"/>
    <cellStyle name="Hyperlink 84" xfId="10361" hidden="1"/>
    <cellStyle name="Hyperlink 84" xfId="10691" hidden="1"/>
    <cellStyle name="Hyperlink 84" xfId="11725" hidden="1"/>
    <cellStyle name="Hyperlink 84" xfId="12059" hidden="1"/>
    <cellStyle name="Hyperlink 84" xfId="13607" hidden="1"/>
    <cellStyle name="Hyperlink 84" xfId="13941" hidden="1"/>
    <cellStyle name="Hyperlink 84" xfId="14897" hidden="1"/>
    <cellStyle name="Hyperlink 84" xfId="14324" hidden="1"/>
    <cellStyle name="Hyperlink 84" xfId="16366" hidden="1"/>
    <cellStyle name="Hyperlink 84" xfId="14869" hidden="1"/>
    <cellStyle name="Hyperlink 84" xfId="17326" hidden="1"/>
    <cellStyle name="Hyperlink 84" xfId="15809" hidden="1"/>
    <cellStyle name="Hyperlink 84" xfId="18309" hidden="1"/>
    <cellStyle name="Hyperlink 84" xfId="15275" hidden="1"/>
    <cellStyle name="Hyperlink 84" xfId="19266" hidden="1"/>
    <cellStyle name="Hyperlink 84" xfId="17825" hidden="1"/>
    <cellStyle name="Hyperlink 84" xfId="20184" hidden="1"/>
    <cellStyle name="Hyperlink 84" xfId="18788" hidden="1"/>
    <cellStyle name="Hyperlink 84" xfId="20972" hidden="1"/>
    <cellStyle name="Hyperlink 84" xfId="19729" hidden="1"/>
    <cellStyle name="Hyperlink 84" xfId="21572" hidden="1"/>
    <cellStyle name="Hyperlink 84" xfId="21902" hidden="1"/>
    <cellStyle name="Hyperlink 84" xfId="12975" hidden="1"/>
    <cellStyle name="Hyperlink 84" xfId="12289" hidden="1"/>
    <cellStyle name="Hyperlink 84" xfId="23297" hidden="1"/>
    <cellStyle name="Hyperlink 84" xfId="23631" hidden="1"/>
    <cellStyle name="Hyperlink 84" xfId="24313" hidden="1"/>
    <cellStyle name="Hyperlink 84" xfId="23988" hidden="1"/>
    <cellStyle name="Hyperlink 84" xfId="25779" hidden="1"/>
    <cellStyle name="Hyperlink 84" xfId="24285" hidden="1"/>
    <cellStyle name="Hyperlink 84" xfId="26738" hidden="1"/>
    <cellStyle name="Hyperlink 84" xfId="25222" hidden="1"/>
    <cellStyle name="Hyperlink 84" xfId="27721" hidden="1"/>
    <cellStyle name="Hyperlink 84" xfId="24688" hidden="1"/>
    <cellStyle name="Hyperlink 84" xfId="28678" hidden="1"/>
    <cellStyle name="Hyperlink 84" xfId="27237" hidden="1"/>
    <cellStyle name="Hyperlink 84" xfId="29596" hidden="1"/>
    <cellStyle name="Hyperlink 84" xfId="28200" hidden="1"/>
    <cellStyle name="Hyperlink 84" xfId="30383" hidden="1"/>
    <cellStyle name="Hyperlink 84" xfId="29141" hidden="1"/>
    <cellStyle name="Hyperlink 84" xfId="30983" hidden="1"/>
    <cellStyle name="Hyperlink 84" xfId="31313"/>
    <cellStyle name="Hyperlink 84 2" xfId="1960"/>
    <cellStyle name="Hyperlink 84 3" xfId="1961"/>
    <cellStyle name="Hyperlink 84 9" xfId="32751"/>
    <cellStyle name="Hyperlink 84_AGL" xfId="32752"/>
    <cellStyle name="Hyperlink 85" xfId="398" hidden="1"/>
    <cellStyle name="Hyperlink 85" xfId="732" hidden="1"/>
    <cellStyle name="Hyperlink 85" xfId="2397" hidden="1"/>
    <cellStyle name="Hyperlink 85" xfId="2731" hidden="1"/>
    <cellStyle name="Hyperlink 85" xfId="3684" hidden="1"/>
    <cellStyle name="Hyperlink 85" xfId="2810" hidden="1"/>
    <cellStyle name="Hyperlink 85" xfId="5153" hidden="1"/>
    <cellStyle name="Hyperlink 85" xfId="2935" hidden="1"/>
    <cellStyle name="Hyperlink 85" xfId="6113" hidden="1"/>
    <cellStyle name="Hyperlink 85" xfId="4774" hidden="1"/>
    <cellStyle name="Hyperlink 85" xfId="7096" hidden="1"/>
    <cellStyle name="Hyperlink 85" xfId="5544" hidden="1"/>
    <cellStyle name="Hyperlink 85" xfId="8053" hidden="1"/>
    <cellStyle name="Hyperlink 85" xfId="6616" hidden="1"/>
    <cellStyle name="Hyperlink 85" xfId="8971" hidden="1"/>
    <cellStyle name="Hyperlink 85" xfId="7579" hidden="1"/>
    <cellStyle name="Hyperlink 85" xfId="9759" hidden="1"/>
    <cellStyle name="Hyperlink 85" xfId="8520" hidden="1"/>
    <cellStyle name="Hyperlink 85" xfId="10363" hidden="1"/>
    <cellStyle name="Hyperlink 85" xfId="10693" hidden="1"/>
    <cellStyle name="Hyperlink 85" xfId="11727" hidden="1"/>
    <cellStyle name="Hyperlink 85" xfId="12061" hidden="1"/>
    <cellStyle name="Hyperlink 85" xfId="13609" hidden="1"/>
    <cellStyle name="Hyperlink 85" xfId="13943" hidden="1"/>
    <cellStyle name="Hyperlink 85" xfId="14895" hidden="1"/>
    <cellStyle name="Hyperlink 85" xfId="14022" hidden="1"/>
    <cellStyle name="Hyperlink 85" xfId="16364" hidden="1"/>
    <cellStyle name="Hyperlink 85" xfId="14147" hidden="1"/>
    <cellStyle name="Hyperlink 85" xfId="17324" hidden="1"/>
    <cellStyle name="Hyperlink 85" xfId="15985" hidden="1"/>
    <cellStyle name="Hyperlink 85" xfId="18307" hidden="1"/>
    <cellStyle name="Hyperlink 85" xfId="16755" hidden="1"/>
    <cellStyle name="Hyperlink 85" xfId="19264" hidden="1"/>
    <cellStyle name="Hyperlink 85" xfId="17827" hidden="1"/>
    <cellStyle name="Hyperlink 85" xfId="20182" hidden="1"/>
    <cellStyle name="Hyperlink 85" xfId="18790" hidden="1"/>
    <cellStyle name="Hyperlink 85" xfId="20970" hidden="1"/>
    <cellStyle name="Hyperlink 85" xfId="19731" hidden="1"/>
    <cellStyle name="Hyperlink 85" xfId="21574" hidden="1"/>
    <cellStyle name="Hyperlink 85" xfId="21904" hidden="1"/>
    <cellStyle name="Hyperlink 85" xfId="12974" hidden="1"/>
    <cellStyle name="Hyperlink 85" xfId="12137" hidden="1"/>
    <cellStyle name="Hyperlink 85" xfId="23299" hidden="1"/>
    <cellStyle name="Hyperlink 85" xfId="23633" hidden="1"/>
    <cellStyle name="Hyperlink 85" xfId="24311" hidden="1"/>
    <cellStyle name="Hyperlink 85" xfId="23712" hidden="1"/>
    <cellStyle name="Hyperlink 85" xfId="25777" hidden="1"/>
    <cellStyle name="Hyperlink 85" xfId="23834" hidden="1"/>
    <cellStyle name="Hyperlink 85" xfId="26736" hidden="1"/>
    <cellStyle name="Hyperlink 85" xfId="25398" hidden="1"/>
    <cellStyle name="Hyperlink 85" xfId="27719" hidden="1"/>
    <cellStyle name="Hyperlink 85" xfId="26168" hidden="1"/>
    <cellStyle name="Hyperlink 85" xfId="28676" hidden="1"/>
    <cellStyle name="Hyperlink 85" xfId="27239" hidden="1"/>
    <cellStyle name="Hyperlink 85" xfId="29594" hidden="1"/>
    <cellStyle name="Hyperlink 85" xfId="28202" hidden="1"/>
    <cellStyle name="Hyperlink 85" xfId="30381" hidden="1"/>
    <cellStyle name="Hyperlink 85" xfId="29143" hidden="1"/>
    <cellStyle name="Hyperlink 85" xfId="30985" hidden="1"/>
    <cellStyle name="Hyperlink 85" xfId="31315"/>
    <cellStyle name="Hyperlink 85 2" xfId="1962"/>
    <cellStyle name="Hyperlink 85 3" xfId="1963"/>
    <cellStyle name="Hyperlink 85 9" xfId="32753"/>
    <cellStyle name="Hyperlink 85_AGL" xfId="32754"/>
    <cellStyle name="Hyperlink 86" xfId="400" hidden="1"/>
    <cellStyle name="Hyperlink 86" xfId="734" hidden="1"/>
    <cellStyle name="Hyperlink 86" xfId="2399" hidden="1"/>
    <cellStyle name="Hyperlink 86" xfId="2733" hidden="1"/>
    <cellStyle name="Hyperlink 86" xfId="3682" hidden="1"/>
    <cellStyle name="Hyperlink 86" xfId="3058" hidden="1"/>
    <cellStyle name="Hyperlink 86" xfId="5151" hidden="1"/>
    <cellStyle name="Hyperlink 86" xfId="2937" hidden="1"/>
    <cellStyle name="Hyperlink 86" xfId="6111" hidden="1"/>
    <cellStyle name="Hyperlink 86" xfId="4195" hidden="1"/>
    <cellStyle name="Hyperlink 86" xfId="7094" hidden="1"/>
    <cellStyle name="Hyperlink 86" xfId="5641" hidden="1"/>
    <cellStyle name="Hyperlink 86" xfId="8051" hidden="1"/>
    <cellStyle name="Hyperlink 86" xfId="6832" hidden="1"/>
    <cellStyle name="Hyperlink 86" xfId="8969" hidden="1"/>
    <cellStyle name="Hyperlink 86" xfId="7789" hidden="1"/>
    <cellStyle name="Hyperlink 86" xfId="9757" hidden="1"/>
    <cellStyle name="Hyperlink 86" xfId="8712" hidden="1"/>
    <cellStyle name="Hyperlink 86" xfId="10365" hidden="1"/>
    <cellStyle name="Hyperlink 86" xfId="10695" hidden="1"/>
    <cellStyle name="Hyperlink 86" xfId="11729" hidden="1"/>
    <cellStyle name="Hyperlink 86" xfId="12063" hidden="1"/>
    <cellStyle name="Hyperlink 86" xfId="13611" hidden="1"/>
    <cellStyle name="Hyperlink 86" xfId="13945" hidden="1"/>
    <cellStyle name="Hyperlink 86" xfId="14893" hidden="1"/>
    <cellStyle name="Hyperlink 86" xfId="14270" hidden="1"/>
    <cellStyle name="Hyperlink 86" xfId="16362" hidden="1"/>
    <cellStyle name="Hyperlink 86" xfId="14149" hidden="1"/>
    <cellStyle name="Hyperlink 86" xfId="17322" hidden="1"/>
    <cellStyle name="Hyperlink 86" xfId="15406" hidden="1"/>
    <cellStyle name="Hyperlink 86" xfId="18305" hidden="1"/>
    <cellStyle name="Hyperlink 86" xfId="16852" hidden="1"/>
    <cellStyle name="Hyperlink 86" xfId="19262" hidden="1"/>
    <cellStyle name="Hyperlink 86" xfId="18043" hidden="1"/>
    <cellStyle name="Hyperlink 86" xfId="20180" hidden="1"/>
    <cellStyle name="Hyperlink 86" xfId="19000" hidden="1"/>
    <cellStyle name="Hyperlink 86" xfId="20968" hidden="1"/>
    <cellStyle name="Hyperlink 86" xfId="19923" hidden="1"/>
    <cellStyle name="Hyperlink 86" xfId="21576" hidden="1"/>
    <cellStyle name="Hyperlink 86" xfId="21906" hidden="1"/>
    <cellStyle name="Hyperlink 86" xfId="12972" hidden="1"/>
    <cellStyle name="Hyperlink 86" xfId="12365" hidden="1"/>
    <cellStyle name="Hyperlink 86" xfId="23301" hidden="1"/>
    <cellStyle name="Hyperlink 86" xfId="23635" hidden="1"/>
    <cellStyle name="Hyperlink 86" xfId="24309" hidden="1"/>
    <cellStyle name="Hyperlink 86" xfId="23934" hidden="1"/>
    <cellStyle name="Hyperlink 86" xfId="25775" hidden="1"/>
    <cellStyle name="Hyperlink 86" xfId="23835" hidden="1"/>
    <cellStyle name="Hyperlink 86" xfId="26734" hidden="1"/>
    <cellStyle name="Hyperlink 86" xfId="24819" hidden="1"/>
    <cellStyle name="Hyperlink 86" xfId="27717" hidden="1"/>
    <cellStyle name="Hyperlink 86" xfId="26264" hidden="1"/>
    <cellStyle name="Hyperlink 86" xfId="28674" hidden="1"/>
    <cellStyle name="Hyperlink 86" xfId="27455" hidden="1"/>
    <cellStyle name="Hyperlink 86" xfId="29592" hidden="1"/>
    <cellStyle name="Hyperlink 86" xfId="28412" hidden="1"/>
    <cellStyle name="Hyperlink 86" xfId="30379" hidden="1"/>
    <cellStyle name="Hyperlink 86" xfId="29335" hidden="1"/>
    <cellStyle name="Hyperlink 86" xfId="30987" hidden="1"/>
    <cellStyle name="Hyperlink 86" xfId="31317"/>
    <cellStyle name="Hyperlink 86 2" xfId="1964"/>
    <cellStyle name="Hyperlink 86 3" xfId="1965"/>
    <cellStyle name="Hyperlink 86 9" xfId="32755"/>
    <cellStyle name="Hyperlink 86_AGL" xfId="32756"/>
    <cellStyle name="Hyperlink 87" xfId="402" hidden="1"/>
    <cellStyle name="Hyperlink 87" xfId="736" hidden="1"/>
    <cellStyle name="Hyperlink 87" xfId="2401" hidden="1"/>
    <cellStyle name="Hyperlink 87" xfId="2735" hidden="1"/>
    <cellStyle name="Hyperlink 87" xfId="3680" hidden="1"/>
    <cellStyle name="Hyperlink 87" xfId="3059" hidden="1"/>
    <cellStyle name="Hyperlink 87" xfId="5149" hidden="1"/>
    <cellStyle name="Hyperlink 87" xfId="3115" hidden="1"/>
    <cellStyle name="Hyperlink 87" xfId="6109" hidden="1"/>
    <cellStyle name="Hyperlink 87" xfId="4211" hidden="1"/>
    <cellStyle name="Hyperlink 87" xfId="7092" hidden="1"/>
    <cellStyle name="Hyperlink 87" xfId="5643" hidden="1"/>
    <cellStyle name="Hyperlink 87" xfId="8049" hidden="1"/>
    <cellStyle name="Hyperlink 87" xfId="4617" hidden="1"/>
    <cellStyle name="Hyperlink 87" xfId="8967" hidden="1"/>
    <cellStyle name="Hyperlink 87" xfId="4524" hidden="1"/>
    <cellStyle name="Hyperlink 87" xfId="9755" hidden="1"/>
    <cellStyle name="Hyperlink 87" xfId="4805" hidden="1"/>
    <cellStyle name="Hyperlink 87" xfId="10367" hidden="1"/>
    <cellStyle name="Hyperlink 87" xfId="10697" hidden="1"/>
    <cellStyle name="Hyperlink 87" xfId="11731" hidden="1"/>
    <cellStyle name="Hyperlink 87" xfId="12065" hidden="1"/>
    <cellStyle name="Hyperlink 87" xfId="13613" hidden="1"/>
    <cellStyle name="Hyperlink 87" xfId="13947" hidden="1"/>
    <cellStyle name="Hyperlink 87" xfId="14891" hidden="1"/>
    <cellStyle name="Hyperlink 87" xfId="14271" hidden="1"/>
    <cellStyle name="Hyperlink 87" xfId="16360" hidden="1"/>
    <cellStyle name="Hyperlink 87" xfId="14327" hidden="1"/>
    <cellStyle name="Hyperlink 87" xfId="17320" hidden="1"/>
    <cellStyle name="Hyperlink 87" xfId="15422" hidden="1"/>
    <cellStyle name="Hyperlink 87" xfId="18303" hidden="1"/>
    <cellStyle name="Hyperlink 87" xfId="16854" hidden="1"/>
    <cellStyle name="Hyperlink 87" xfId="19260" hidden="1"/>
    <cellStyle name="Hyperlink 87" xfId="15828" hidden="1"/>
    <cellStyle name="Hyperlink 87" xfId="20178" hidden="1"/>
    <cellStyle name="Hyperlink 87" xfId="15735" hidden="1"/>
    <cellStyle name="Hyperlink 87" xfId="20966" hidden="1"/>
    <cellStyle name="Hyperlink 87" xfId="16016" hidden="1"/>
    <cellStyle name="Hyperlink 87" xfId="21578" hidden="1"/>
    <cellStyle name="Hyperlink 87" xfId="21908" hidden="1"/>
    <cellStyle name="Hyperlink 87" xfId="12970" hidden="1"/>
    <cellStyle name="Hyperlink 87" xfId="12420" hidden="1"/>
    <cellStyle name="Hyperlink 87" xfId="23303" hidden="1"/>
    <cellStyle name="Hyperlink 87" xfId="23637" hidden="1"/>
    <cellStyle name="Hyperlink 87" xfId="24307" hidden="1"/>
    <cellStyle name="Hyperlink 87" xfId="23935" hidden="1"/>
    <cellStyle name="Hyperlink 87" xfId="25773" hidden="1"/>
    <cellStyle name="Hyperlink 87" xfId="23989" hidden="1"/>
    <cellStyle name="Hyperlink 87" xfId="26732" hidden="1"/>
    <cellStyle name="Hyperlink 87" xfId="24835" hidden="1"/>
    <cellStyle name="Hyperlink 87" xfId="27715" hidden="1"/>
    <cellStyle name="Hyperlink 87" xfId="26266" hidden="1"/>
    <cellStyle name="Hyperlink 87" xfId="28672" hidden="1"/>
    <cellStyle name="Hyperlink 87" xfId="25241" hidden="1"/>
    <cellStyle name="Hyperlink 87" xfId="29590" hidden="1"/>
    <cellStyle name="Hyperlink 87" xfId="25148" hidden="1"/>
    <cellStyle name="Hyperlink 87" xfId="30377" hidden="1"/>
    <cellStyle name="Hyperlink 87" xfId="25429" hidden="1"/>
    <cellStyle name="Hyperlink 87" xfId="30989" hidden="1"/>
    <cellStyle name="Hyperlink 87" xfId="31319"/>
    <cellStyle name="Hyperlink 87 2" xfId="1966"/>
    <cellStyle name="Hyperlink 87 3" xfId="1967"/>
    <cellStyle name="Hyperlink 87 9" xfId="32757"/>
    <cellStyle name="Hyperlink 87_AGL" xfId="32758"/>
    <cellStyle name="Hyperlink 88" xfId="404" hidden="1"/>
    <cellStyle name="Hyperlink 88" xfId="738" hidden="1"/>
    <cellStyle name="Hyperlink 88" xfId="2403" hidden="1"/>
    <cellStyle name="Hyperlink 88" xfId="2737" hidden="1"/>
    <cellStyle name="Hyperlink 88" xfId="3678" hidden="1"/>
    <cellStyle name="Hyperlink 88" xfId="3060" hidden="1"/>
    <cellStyle name="Hyperlink 88" xfId="5147" hidden="1"/>
    <cellStyle name="Hyperlink 88" xfId="3305" hidden="1"/>
    <cellStyle name="Hyperlink 88" xfId="6107" hidden="1"/>
    <cellStyle name="Hyperlink 88" xfId="4767" hidden="1"/>
    <cellStyle name="Hyperlink 88" xfId="7090" hidden="1"/>
    <cellStyle name="Hyperlink 88" xfId="5856" hidden="1"/>
    <cellStyle name="Hyperlink 88" xfId="8047" hidden="1"/>
    <cellStyle name="Hyperlink 88" xfId="6547" hidden="1"/>
    <cellStyle name="Hyperlink 88" xfId="8965" hidden="1"/>
    <cellStyle name="Hyperlink 88" xfId="7513" hidden="1"/>
    <cellStyle name="Hyperlink 88" xfId="9753" hidden="1"/>
    <cellStyle name="Hyperlink 88" xfId="8461" hidden="1"/>
    <cellStyle name="Hyperlink 88" xfId="10369" hidden="1"/>
    <cellStyle name="Hyperlink 88" xfId="10699" hidden="1"/>
    <cellStyle name="Hyperlink 88" xfId="11733" hidden="1"/>
    <cellStyle name="Hyperlink 88" xfId="12067" hidden="1"/>
    <cellStyle name="Hyperlink 88" xfId="13615" hidden="1"/>
    <cellStyle name="Hyperlink 88" xfId="13949" hidden="1"/>
    <cellStyle name="Hyperlink 88" xfId="14889" hidden="1"/>
    <cellStyle name="Hyperlink 88" xfId="14272" hidden="1"/>
    <cellStyle name="Hyperlink 88" xfId="16358" hidden="1"/>
    <cellStyle name="Hyperlink 88" xfId="14517" hidden="1"/>
    <cellStyle name="Hyperlink 88" xfId="17318" hidden="1"/>
    <cellStyle name="Hyperlink 88" xfId="15978" hidden="1"/>
    <cellStyle name="Hyperlink 88" xfId="18301" hidden="1"/>
    <cellStyle name="Hyperlink 88" xfId="17067" hidden="1"/>
    <cellStyle name="Hyperlink 88" xfId="19258" hidden="1"/>
    <cellStyle name="Hyperlink 88" xfId="17758" hidden="1"/>
    <cellStyle name="Hyperlink 88" xfId="20176" hidden="1"/>
    <cellStyle name="Hyperlink 88" xfId="18724" hidden="1"/>
    <cellStyle name="Hyperlink 88" xfId="20964" hidden="1"/>
    <cellStyle name="Hyperlink 88" xfId="19672" hidden="1"/>
    <cellStyle name="Hyperlink 88" xfId="21580" hidden="1"/>
    <cellStyle name="Hyperlink 88" xfId="21910" hidden="1"/>
    <cellStyle name="Hyperlink 88" xfId="12968" hidden="1"/>
    <cellStyle name="Hyperlink 88" xfId="12133" hidden="1"/>
    <cellStyle name="Hyperlink 88" xfId="23305" hidden="1"/>
    <cellStyle name="Hyperlink 88" xfId="23639" hidden="1"/>
    <cellStyle name="Hyperlink 88" xfId="24305" hidden="1"/>
    <cellStyle name="Hyperlink 88" xfId="23936" hidden="1"/>
    <cellStyle name="Hyperlink 88" xfId="25771" hidden="1"/>
    <cellStyle name="Hyperlink 88" xfId="24169" hidden="1"/>
    <cellStyle name="Hyperlink 88" xfId="26730" hidden="1"/>
    <cellStyle name="Hyperlink 88" xfId="25391" hidden="1"/>
    <cellStyle name="Hyperlink 88" xfId="27713" hidden="1"/>
    <cellStyle name="Hyperlink 88" xfId="26479" hidden="1"/>
    <cellStyle name="Hyperlink 88" xfId="28670" hidden="1"/>
    <cellStyle name="Hyperlink 88" xfId="27170" hidden="1"/>
    <cellStyle name="Hyperlink 88" xfId="29588" hidden="1"/>
    <cellStyle name="Hyperlink 88" xfId="28136" hidden="1"/>
    <cellStyle name="Hyperlink 88" xfId="30375" hidden="1"/>
    <cellStyle name="Hyperlink 88" xfId="29084" hidden="1"/>
    <cellStyle name="Hyperlink 88" xfId="30991" hidden="1"/>
    <cellStyle name="Hyperlink 88" xfId="31321"/>
    <cellStyle name="Hyperlink 88 2" xfId="1968"/>
    <cellStyle name="Hyperlink 88 3" xfId="1969"/>
    <cellStyle name="Hyperlink 88 9" xfId="32759"/>
    <cellStyle name="Hyperlink 88_AGL" xfId="32760"/>
    <cellStyle name="Hyperlink 89" xfId="406" hidden="1"/>
    <cellStyle name="Hyperlink 89" xfId="740" hidden="1"/>
    <cellStyle name="Hyperlink 89" xfId="2405" hidden="1"/>
    <cellStyle name="Hyperlink 89" xfId="2739" hidden="1"/>
    <cellStyle name="Hyperlink 89" xfId="3676" hidden="1"/>
    <cellStyle name="Hyperlink 89" xfId="2980" hidden="1"/>
    <cellStyle name="Hyperlink 89" xfId="5145" hidden="1"/>
    <cellStyle name="Hyperlink 89" xfId="2828" hidden="1"/>
    <cellStyle name="Hyperlink 89" xfId="6105" hidden="1"/>
    <cellStyle name="Hyperlink 89" xfId="4669" hidden="1"/>
    <cellStyle name="Hyperlink 89" xfId="7088" hidden="1"/>
    <cellStyle name="Hyperlink 89" xfId="4051" hidden="1"/>
    <cellStyle name="Hyperlink 89" xfId="8045" hidden="1"/>
    <cellStyle name="Hyperlink 89" xfId="6721" hidden="1"/>
    <cellStyle name="Hyperlink 89" xfId="8963" hidden="1"/>
    <cellStyle name="Hyperlink 89" xfId="7679" hidden="1"/>
    <cellStyle name="Hyperlink 89" xfId="9751" hidden="1"/>
    <cellStyle name="Hyperlink 89" xfId="8609" hidden="1"/>
    <cellStyle name="Hyperlink 89" xfId="10371" hidden="1"/>
    <cellStyle name="Hyperlink 89" xfId="10701" hidden="1"/>
    <cellStyle name="Hyperlink 89" xfId="11735" hidden="1"/>
    <cellStyle name="Hyperlink 89" xfId="12069" hidden="1"/>
    <cellStyle name="Hyperlink 89" xfId="13617" hidden="1"/>
    <cellStyle name="Hyperlink 89" xfId="13951" hidden="1"/>
    <cellStyle name="Hyperlink 89" xfId="14887" hidden="1"/>
    <cellStyle name="Hyperlink 89" xfId="14192" hidden="1"/>
    <cellStyle name="Hyperlink 89" xfId="16356" hidden="1"/>
    <cellStyle name="Hyperlink 89" xfId="14040" hidden="1"/>
    <cellStyle name="Hyperlink 89" xfId="17316" hidden="1"/>
    <cellStyle name="Hyperlink 89" xfId="15880" hidden="1"/>
    <cellStyle name="Hyperlink 89" xfId="18299" hidden="1"/>
    <cellStyle name="Hyperlink 89" xfId="15262" hidden="1"/>
    <cellStyle name="Hyperlink 89" xfId="19256" hidden="1"/>
    <cellStyle name="Hyperlink 89" xfId="17932" hidden="1"/>
    <cellStyle name="Hyperlink 89" xfId="20174" hidden="1"/>
    <cellStyle name="Hyperlink 89" xfId="18890" hidden="1"/>
    <cellStyle name="Hyperlink 89" xfId="20962" hidden="1"/>
    <cellStyle name="Hyperlink 89" xfId="19820" hidden="1"/>
    <cellStyle name="Hyperlink 89" xfId="21582" hidden="1"/>
    <cellStyle name="Hyperlink 89" xfId="21912" hidden="1"/>
    <cellStyle name="Hyperlink 89" xfId="12966" hidden="1"/>
    <cellStyle name="Hyperlink 89" xfId="12366" hidden="1"/>
    <cellStyle name="Hyperlink 89" xfId="23307" hidden="1"/>
    <cellStyle name="Hyperlink 89" xfId="23641" hidden="1"/>
    <cellStyle name="Hyperlink 89" xfId="24303" hidden="1"/>
    <cellStyle name="Hyperlink 89" xfId="23856" hidden="1"/>
    <cellStyle name="Hyperlink 89" xfId="25769" hidden="1"/>
    <cellStyle name="Hyperlink 89" xfId="23730" hidden="1"/>
    <cellStyle name="Hyperlink 89" xfId="26728" hidden="1"/>
    <cellStyle name="Hyperlink 89" xfId="25293" hidden="1"/>
    <cellStyle name="Hyperlink 89" xfId="27711" hidden="1"/>
    <cellStyle name="Hyperlink 89" xfId="24675" hidden="1"/>
    <cellStyle name="Hyperlink 89" xfId="28668" hidden="1"/>
    <cellStyle name="Hyperlink 89" xfId="27344" hidden="1"/>
    <cellStyle name="Hyperlink 89" xfId="29586" hidden="1"/>
    <cellStyle name="Hyperlink 89" xfId="28302" hidden="1"/>
    <cellStyle name="Hyperlink 89" xfId="30373" hidden="1"/>
    <cellStyle name="Hyperlink 89" xfId="29232" hidden="1"/>
    <cellStyle name="Hyperlink 89" xfId="30993" hidden="1"/>
    <cellStyle name="Hyperlink 89" xfId="31323"/>
    <cellStyle name="Hyperlink 89 2" xfId="1970"/>
    <cellStyle name="Hyperlink 89 3" xfId="1971"/>
    <cellStyle name="Hyperlink 89 9" xfId="32761"/>
    <cellStyle name="Hyperlink 89_AGL" xfId="32762"/>
    <cellStyle name="Hyperlink 9" xfId="246" hidden="1"/>
    <cellStyle name="Hyperlink 9" xfId="650" hidden="1"/>
    <cellStyle name="Hyperlink 9" xfId="2245" hidden="1"/>
    <cellStyle name="Hyperlink 9" xfId="2649" hidden="1"/>
    <cellStyle name="Hyperlink 9" xfId="3834" hidden="1"/>
    <cellStyle name="Hyperlink 9" xfId="2820" hidden="1"/>
    <cellStyle name="Hyperlink 9" xfId="4183" hidden="1"/>
    <cellStyle name="Hyperlink 9" xfId="3863" hidden="1"/>
    <cellStyle name="Hyperlink 9" xfId="5818" hidden="1"/>
    <cellStyle name="Hyperlink 9" xfId="4544" hidden="1"/>
    <cellStyle name="Hyperlink 9" xfId="4539" hidden="1"/>
    <cellStyle name="Hyperlink 9" xfId="5796" hidden="1"/>
    <cellStyle name="Hyperlink 9" xfId="5810" hidden="1"/>
    <cellStyle name="Hyperlink 9" xfId="5687" hidden="1"/>
    <cellStyle name="Hyperlink 9" xfId="6813" hidden="1"/>
    <cellStyle name="Hyperlink 9" xfId="6476" hidden="1"/>
    <cellStyle name="Hyperlink 9" xfId="7770" hidden="1"/>
    <cellStyle name="Hyperlink 9" xfId="7443" hidden="1"/>
    <cellStyle name="Hyperlink 9" xfId="10211" hidden="1"/>
    <cellStyle name="Hyperlink 9" xfId="10611" hidden="1"/>
    <cellStyle name="Hyperlink 9" xfId="11575" hidden="1"/>
    <cellStyle name="Hyperlink 9" xfId="11979" hidden="1"/>
    <cellStyle name="Hyperlink 9" xfId="13457" hidden="1"/>
    <cellStyle name="Hyperlink 9" xfId="13861" hidden="1"/>
    <cellStyle name="Hyperlink 9" xfId="15045" hidden="1"/>
    <cellStyle name="Hyperlink 9" xfId="14032" hidden="1"/>
    <cellStyle name="Hyperlink 9" xfId="15394" hidden="1"/>
    <cellStyle name="Hyperlink 9" xfId="15074" hidden="1"/>
    <cellStyle name="Hyperlink 9" xfId="17029" hidden="1"/>
    <cellStyle name="Hyperlink 9" xfId="15755" hidden="1"/>
    <cellStyle name="Hyperlink 9" xfId="15750" hidden="1"/>
    <cellStyle name="Hyperlink 9" xfId="17007" hidden="1"/>
    <cellStyle name="Hyperlink 9" xfId="17021" hidden="1"/>
    <cellStyle name="Hyperlink 9" xfId="16898" hidden="1"/>
    <cellStyle name="Hyperlink 9" xfId="18024" hidden="1"/>
    <cellStyle name="Hyperlink 9" xfId="17687" hidden="1"/>
    <cellStyle name="Hyperlink 9" xfId="18981" hidden="1"/>
    <cellStyle name="Hyperlink 9" xfId="18654" hidden="1"/>
    <cellStyle name="Hyperlink 9" xfId="21422" hidden="1"/>
    <cellStyle name="Hyperlink 9" xfId="21822" hidden="1"/>
    <cellStyle name="Hyperlink 9" xfId="13124" hidden="1"/>
    <cellStyle name="Hyperlink 9" xfId="12129" hidden="1"/>
    <cellStyle name="Hyperlink 9" xfId="23147" hidden="1"/>
    <cellStyle name="Hyperlink 9" xfId="23551" hidden="1"/>
    <cellStyle name="Hyperlink 9" xfId="24461" hidden="1"/>
    <cellStyle name="Hyperlink 9" xfId="23722" hidden="1"/>
    <cellStyle name="Hyperlink 9" xfId="24807" hidden="1"/>
    <cellStyle name="Hyperlink 9" xfId="24490" hidden="1"/>
    <cellStyle name="Hyperlink 9" xfId="26441" hidden="1"/>
    <cellStyle name="Hyperlink 9" xfId="25168" hidden="1"/>
    <cellStyle name="Hyperlink 9" xfId="25163" hidden="1"/>
    <cellStyle name="Hyperlink 9" xfId="26419" hidden="1"/>
    <cellStyle name="Hyperlink 9" xfId="26433" hidden="1"/>
    <cellStyle name="Hyperlink 9" xfId="26310" hidden="1"/>
    <cellStyle name="Hyperlink 9" xfId="27436" hidden="1"/>
    <cellStyle name="Hyperlink 9" xfId="27099" hidden="1"/>
    <cellStyle name="Hyperlink 9" xfId="28393" hidden="1"/>
    <cellStyle name="Hyperlink 9" xfId="28066" hidden="1"/>
    <cellStyle name="Hyperlink 9" xfId="30833" hidden="1"/>
    <cellStyle name="Hyperlink 9" xfId="31233"/>
    <cellStyle name="Hyperlink 9 2" xfId="1972"/>
    <cellStyle name="Hyperlink 9 3" xfId="1973"/>
    <cellStyle name="Hyperlink 9 9" xfId="32763"/>
    <cellStyle name="Hyperlink 9_AGL" xfId="32764"/>
    <cellStyle name="Hyperlink 90" xfId="408" hidden="1"/>
    <cellStyle name="Hyperlink 90" xfId="742" hidden="1"/>
    <cellStyle name="Hyperlink 90" xfId="2407" hidden="1"/>
    <cellStyle name="Hyperlink 90" xfId="2741" hidden="1"/>
    <cellStyle name="Hyperlink 90" xfId="3674" hidden="1"/>
    <cellStyle name="Hyperlink 90" xfId="2227" hidden="1"/>
    <cellStyle name="Hyperlink 90" xfId="5143" hidden="1"/>
    <cellStyle name="Hyperlink 90" xfId="2832" hidden="1"/>
    <cellStyle name="Hyperlink 90" xfId="6103" hidden="1"/>
    <cellStyle name="Hyperlink 90" xfId="4603" hidden="1"/>
    <cellStyle name="Hyperlink 90" xfId="7086" hidden="1"/>
    <cellStyle name="Hyperlink 90" xfId="5573" hidden="1"/>
    <cellStyle name="Hyperlink 90" xfId="8043" hidden="1"/>
    <cellStyle name="Hyperlink 90" xfId="4685" hidden="1"/>
    <cellStyle name="Hyperlink 90" xfId="8961" hidden="1"/>
    <cellStyle name="Hyperlink 90" xfId="5791" hidden="1"/>
    <cellStyle name="Hyperlink 90" xfId="9749" hidden="1"/>
    <cellStyle name="Hyperlink 90" xfId="5698" hidden="1"/>
    <cellStyle name="Hyperlink 90" xfId="10373" hidden="1"/>
    <cellStyle name="Hyperlink 90" xfId="10703" hidden="1"/>
    <cellStyle name="Hyperlink 90" xfId="11737" hidden="1"/>
    <cellStyle name="Hyperlink 90" xfId="12071" hidden="1"/>
    <cellStyle name="Hyperlink 90" xfId="13619" hidden="1"/>
    <cellStyle name="Hyperlink 90" xfId="13953" hidden="1"/>
    <cellStyle name="Hyperlink 90" xfId="14885" hidden="1"/>
    <cellStyle name="Hyperlink 90" xfId="13439" hidden="1"/>
    <cellStyle name="Hyperlink 90" xfId="16354" hidden="1"/>
    <cellStyle name="Hyperlink 90" xfId="14044" hidden="1"/>
    <cellStyle name="Hyperlink 90" xfId="17314" hidden="1"/>
    <cellStyle name="Hyperlink 90" xfId="15814" hidden="1"/>
    <cellStyle name="Hyperlink 90" xfId="18297" hidden="1"/>
    <cellStyle name="Hyperlink 90" xfId="16784" hidden="1"/>
    <cellStyle name="Hyperlink 90" xfId="19254" hidden="1"/>
    <cellStyle name="Hyperlink 90" xfId="15896" hidden="1"/>
    <cellStyle name="Hyperlink 90" xfId="20172" hidden="1"/>
    <cellStyle name="Hyperlink 90" xfId="17002" hidden="1"/>
    <cellStyle name="Hyperlink 90" xfId="20960" hidden="1"/>
    <cellStyle name="Hyperlink 90" xfId="16909" hidden="1"/>
    <cellStyle name="Hyperlink 90" xfId="21584" hidden="1"/>
    <cellStyle name="Hyperlink 90" xfId="21914" hidden="1"/>
    <cellStyle name="Hyperlink 90" xfId="12964" hidden="1"/>
    <cellStyle name="Hyperlink 90" xfId="12367" hidden="1"/>
    <cellStyle name="Hyperlink 90" xfId="23309" hidden="1"/>
    <cellStyle name="Hyperlink 90" xfId="23643" hidden="1"/>
    <cellStyle name="Hyperlink 90" xfId="24301" hidden="1"/>
    <cellStyle name="Hyperlink 90" xfId="23129" hidden="1"/>
    <cellStyle name="Hyperlink 90" xfId="25767" hidden="1"/>
    <cellStyle name="Hyperlink 90" xfId="23734" hidden="1"/>
    <cellStyle name="Hyperlink 90" xfId="26726" hidden="1"/>
    <cellStyle name="Hyperlink 90" xfId="25227" hidden="1"/>
    <cellStyle name="Hyperlink 90" xfId="27709" hidden="1"/>
    <cellStyle name="Hyperlink 90" xfId="26197" hidden="1"/>
    <cellStyle name="Hyperlink 90" xfId="28666" hidden="1"/>
    <cellStyle name="Hyperlink 90" xfId="25309" hidden="1"/>
    <cellStyle name="Hyperlink 90" xfId="29584" hidden="1"/>
    <cellStyle name="Hyperlink 90" xfId="26414" hidden="1"/>
    <cellStyle name="Hyperlink 90" xfId="30371" hidden="1"/>
    <cellStyle name="Hyperlink 90" xfId="26321" hidden="1"/>
    <cellStyle name="Hyperlink 90" xfId="30995" hidden="1"/>
    <cellStyle name="Hyperlink 90" xfId="31325"/>
    <cellStyle name="Hyperlink 90 2" xfId="1974"/>
    <cellStyle name="Hyperlink 90 3" xfId="1975"/>
    <cellStyle name="Hyperlink 90 9" xfId="32765"/>
    <cellStyle name="Hyperlink 90_AGL" xfId="32766"/>
    <cellStyle name="Hyperlink 91" xfId="410" hidden="1"/>
    <cellStyle name="Hyperlink 91" xfId="744" hidden="1"/>
    <cellStyle name="Hyperlink 91" xfId="2409" hidden="1"/>
    <cellStyle name="Hyperlink 91" xfId="2743" hidden="1"/>
    <cellStyle name="Hyperlink 91" xfId="3672" hidden="1"/>
    <cellStyle name="Hyperlink 91" xfId="3997" hidden="1"/>
    <cellStyle name="Hyperlink 91" xfId="5141" hidden="1"/>
    <cellStyle name="Hyperlink 91" xfId="2002" hidden="1"/>
    <cellStyle name="Hyperlink 91" xfId="6101" hidden="1"/>
    <cellStyle name="Hyperlink 91" xfId="4806" hidden="1"/>
    <cellStyle name="Hyperlink 91" xfId="7084" hidden="1"/>
    <cellStyle name="Hyperlink 91" xfId="5744" hidden="1"/>
    <cellStyle name="Hyperlink 91" xfId="8041" hidden="1"/>
    <cellStyle name="Hyperlink 91" xfId="5498" hidden="1"/>
    <cellStyle name="Hyperlink 91" xfId="8959" hidden="1"/>
    <cellStyle name="Hyperlink 91" xfId="6663" hidden="1"/>
    <cellStyle name="Hyperlink 91" xfId="9747" hidden="1"/>
    <cellStyle name="Hyperlink 91" xfId="7623" hidden="1"/>
    <cellStyle name="Hyperlink 91" xfId="10375" hidden="1"/>
    <cellStyle name="Hyperlink 91" xfId="10705" hidden="1"/>
    <cellStyle name="Hyperlink 91" xfId="11739" hidden="1"/>
    <cellStyle name="Hyperlink 91" xfId="12073" hidden="1"/>
    <cellStyle name="Hyperlink 91" xfId="13621" hidden="1"/>
    <cellStyle name="Hyperlink 91" xfId="13955" hidden="1"/>
    <cellStyle name="Hyperlink 91" xfId="14883" hidden="1"/>
    <cellStyle name="Hyperlink 91" xfId="15208" hidden="1"/>
    <cellStyle name="Hyperlink 91" xfId="16352" hidden="1"/>
    <cellStyle name="Hyperlink 91" xfId="13214" hidden="1"/>
    <cellStyle name="Hyperlink 91" xfId="17312" hidden="1"/>
    <cellStyle name="Hyperlink 91" xfId="16017" hidden="1"/>
    <cellStyle name="Hyperlink 91" xfId="18295" hidden="1"/>
    <cellStyle name="Hyperlink 91" xfId="16955" hidden="1"/>
    <cellStyle name="Hyperlink 91" xfId="19252" hidden="1"/>
    <cellStyle name="Hyperlink 91" xfId="16709" hidden="1"/>
    <cellStyle name="Hyperlink 91" xfId="20170" hidden="1"/>
    <cellStyle name="Hyperlink 91" xfId="17874" hidden="1"/>
    <cellStyle name="Hyperlink 91" xfId="20958" hidden="1"/>
    <cellStyle name="Hyperlink 91" xfId="18834" hidden="1"/>
    <cellStyle name="Hyperlink 91" xfId="21586" hidden="1"/>
    <cellStyle name="Hyperlink 91" xfId="21916" hidden="1"/>
    <cellStyle name="Hyperlink 91" xfId="12962" hidden="1"/>
    <cellStyle name="Hyperlink 91" xfId="12368" hidden="1"/>
    <cellStyle name="Hyperlink 91" xfId="23311" hidden="1"/>
    <cellStyle name="Hyperlink 91" xfId="23645" hidden="1"/>
    <cellStyle name="Hyperlink 91" xfId="24299" hidden="1"/>
    <cellStyle name="Hyperlink 91" xfId="24621" hidden="1"/>
    <cellStyle name="Hyperlink 91" xfId="25765" hidden="1"/>
    <cellStyle name="Hyperlink 91" xfId="22904" hidden="1"/>
    <cellStyle name="Hyperlink 91" xfId="26724" hidden="1"/>
    <cellStyle name="Hyperlink 91" xfId="25430" hidden="1"/>
    <cellStyle name="Hyperlink 91" xfId="27707" hidden="1"/>
    <cellStyle name="Hyperlink 91" xfId="26367" hidden="1"/>
    <cellStyle name="Hyperlink 91" xfId="28664" hidden="1"/>
    <cellStyle name="Hyperlink 91" xfId="26122" hidden="1"/>
    <cellStyle name="Hyperlink 91" xfId="29582" hidden="1"/>
    <cellStyle name="Hyperlink 91" xfId="27286" hidden="1"/>
    <cellStyle name="Hyperlink 91" xfId="30369" hidden="1"/>
    <cellStyle name="Hyperlink 91" xfId="28246" hidden="1"/>
    <cellStyle name="Hyperlink 91" xfId="30997" hidden="1"/>
    <cellStyle name="Hyperlink 91" xfId="31327"/>
    <cellStyle name="Hyperlink 91 2" xfId="1976"/>
    <cellStyle name="Hyperlink 91 3" xfId="1977"/>
    <cellStyle name="Hyperlink 91 9" xfId="32767"/>
    <cellStyle name="Hyperlink 91_AGL" xfId="32768"/>
    <cellStyle name="Hyperlink 92" xfId="412" hidden="1"/>
    <cellStyle name="Hyperlink 92" xfId="746" hidden="1"/>
    <cellStyle name="Hyperlink 92" xfId="2411" hidden="1"/>
    <cellStyle name="Hyperlink 92" xfId="2745" hidden="1"/>
    <cellStyle name="Hyperlink 92" xfId="3670" hidden="1"/>
    <cellStyle name="Hyperlink 92" xfId="3999" hidden="1"/>
    <cellStyle name="Hyperlink 92" xfId="5139" hidden="1"/>
    <cellStyle name="Hyperlink 92" xfId="3530" hidden="1"/>
    <cellStyle name="Hyperlink 92" xfId="6099" hidden="1"/>
    <cellStyle name="Hyperlink 92" xfId="4201" hidden="1"/>
    <cellStyle name="Hyperlink 92" xfId="7082" hidden="1"/>
    <cellStyle name="Hyperlink 92" xfId="4106" hidden="1"/>
    <cellStyle name="Hyperlink 92" xfId="8039" hidden="1"/>
    <cellStyle name="Hyperlink 92" xfId="6714" hidden="1"/>
    <cellStyle name="Hyperlink 92" xfId="8957" hidden="1"/>
    <cellStyle name="Hyperlink 92" xfId="7672" hidden="1"/>
    <cellStyle name="Hyperlink 92" xfId="9745" hidden="1"/>
    <cellStyle name="Hyperlink 92" xfId="8603" hidden="1"/>
    <cellStyle name="Hyperlink 92" xfId="10377" hidden="1"/>
    <cellStyle name="Hyperlink 92" xfId="10707" hidden="1"/>
    <cellStyle name="Hyperlink 92" xfId="11741" hidden="1"/>
    <cellStyle name="Hyperlink 92" xfId="12075" hidden="1"/>
    <cellStyle name="Hyperlink 92" xfId="13623" hidden="1"/>
    <cellStyle name="Hyperlink 92" xfId="13957" hidden="1"/>
    <cellStyle name="Hyperlink 92" xfId="14881" hidden="1"/>
    <cellStyle name="Hyperlink 92" xfId="15210" hidden="1"/>
    <cellStyle name="Hyperlink 92" xfId="16350" hidden="1"/>
    <cellStyle name="Hyperlink 92" xfId="14741" hidden="1"/>
    <cellStyle name="Hyperlink 92" xfId="17310" hidden="1"/>
    <cellStyle name="Hyperlink 92" xfId="15412" hidden="1"/>
    <cellStyle name="Hyperlink 92" xfId="18293" hidden="1"/>
    <cellStyle name="Hyperlink 92" xfId="15317" hidden="1"/>
    <cellStyle name="Hyperlink 92" xfId="19250" hidden="1"/>
    <cellStyle name="Hyperlink 92" xfId="17925" hidden="1"/>
    <cellStyle name="Hyperlink 92" xfId="20168" hidden="1"/>
    <cellStyle name="Hyperlink 92" xfId="18883" hidden="1"/>
    <cellStyle name="Hyperlink 92" xfId="20956" hidden="1"/>
    <cellStyle name="Hyperlink 92" xfId="19814" hidden="1"/>
    <cellStyle name="Hyperlink 92" xfId="21588" hidden="1"/>
    <cellStyle name="Hyperlink 92" xfId="21918" hidden="1"/>
    <cellStyle name="Hyperlink 92" xfId="12960" hidden="1"/>
    <cellStyle name="Hyperlink 92" xfId="12288" hidden="1"/>
    <cellStyle name="Hyperlink 92" xfId="23313" hidden="1"/>
    <cellStyle name="Hyperlink 92" xfId="23647" hidden="1"/>
    <cellStyle name="Hyperlink 92" xfId="24297" hidden="1"/>
    <cellStyle name="Hyperlink 92" xfId="24623" hidden="1"/>
    <cellStyle name="Hyperlink 92" xfId="25763" hidden="1"/>
    <cellStyle name="Hyperlink 92" xfId="24276" hidden="1"/>
    <cellStyle name="Hyperlink 92" xfId="26722" hidden="1"/>
    <cellStyle name="Hyperlink 92" xfId="24825" hidden="1"/>
    <cellStyle name="Hyperlink 92" xfId="27705" hidden="1"/>
    <cellStyle name="Hyperlink 92" xfId="24730" hidden="1"/>
    <cellStyle name="Hyperlink 92" xfId="28662" hidden="1"/>
    <cellStyle name="Hyperlink 92" xfId="27337" hidden="1"/>
    <cellStyle name="Hyperlink 92" xfId="29580" hidden="1"/>
    <cellStyle name="Hyperlink 92" xfId="28295" hidden="1"/>
    <cellStyle name="Hyperlink 92" xfId="30367" hidden="1"/>
    <cellStyle name="Hyperlink 92" xfId="29226" hidden="1"/>
    <cellStyle name="Hyperlink 92" xfId="30999" hidden="1"/>
    <cellStyle name="Hyperlink 92" xfId="31329"/>
    <cellStyle name="Hyperlink 92 2" xfId="1978"/>
    <cellStyle name="Hyperlink 92 3" xfId="1979"/>
    <cellStyle name="Hyperlink 92 9" xfId="32769"/>
    <cellStyle name="Hyperlink 92_AGL" xfId="32770"/>
    <cellStyle name="Hyperlink 93" xfId="414" hidden="1"/>
    <cellStyle name="Hyperlink 93" xfId="748" hidden="1"/>
    <cellStyle name="Hyperlink 93" xfId="2413" hidden="1"/>
    <cellStyle name="Hyperlink 93" xfId="2747" hidden="1"/>
    <cellStyle name="Hyperlink 93" xfId="3668" hidden="1"/>
    <cellStyle name="Hyperlink 93" xfId="4001" hidden="1"/>
    <cellStyle name="Hyperlink 93" xfId="5137" hidden="1"/>
    <cellStyle name="Hyperlink 93" xfId="2004" hidden="1"/>
    <cellStyle name="Hyperlink 93" xfId="6097" hidden="1"/>
    <cellStyle name="Hyperlink 93" xfId="4065" hidden="1"/>
    <cellStyle name="Hyperlink 93" xfId="7080" hidden="1"/>
    <cellStyle name="Hyperlink 93" xfId="4714" hidden="1"/>
    <cellStyle name="Hyperlink 93" xfId="8037" hidden="1"/>
    <cellStyle name="Hyperlink 93" xfId="6618" hidden="1"/>
    <cellStyle name="Hyperlink 93" xfId="8955" hidden="1"/>
    <cellStyle name="Hyperlink 93" xfId="7581" hidden="1"/>
    <cellStyle name="Hyperlink 93" xfId="9743" hidden="1"/>
    <cellStyle name="Hyperlink 93" xfId="8522" hidden="1"/>
    <cellStyle name="Hyperlink 93" xfId="10379" hidden="1"/>
    <cellStyle name="Hyperlink 93" xfId="10709" hidden="1"/>
    <cellStyle name="Hyperlink 93" xfId="11743" hidden="1"/>
    <cellStyle name="Hyperlink 93" xfId="12077" hidden="1"/>
    <cellStyle name="Hyperlink 93" xfId="13625" hidden="1"/>
    <cellStyle name="Hyperlink 93" xfId="13959" hidden="1"/>
    <cellStyle name="Hyperlink 93" xfId="14879" hidden="1"/>
    <cellStyle name="Hyperlink 93" xfId="15212" hidden="1"/>
    <cellStyle name="Hyperlink 93" xfId="16348" hidden="1"/>
    <cellStyle name="Hyperlink 93" xfId="13216" hidden="1"/>
    <cellStyle name="Hyperlink 93" xfId="17308" hidden="1"/>
    <cellStyle name="Hyperlink 93" xfId="15276" hidden="1"/>
    <cellStyle name="Hyperlink 93" xfId="18291" hidden="1"/>
    <cellStyle name="Hyperlink 93" xfId="15925" hidden="1"/>
    <cellStyle name="Hyperlink 93" xfId="19248" hidden="1"/>
    <cellStyle name="Hyperlink 93" xfId="17829" hidden="1"/>
    <cellStyle name="Hyperlink 93" xfId="20166" hidden="1"/>
    <cellStyle name="Hyperlink 93" xfId="18792" hidden="1"/>
    <cellStyle name="Hyperlink 93" xfId="20954" hidden="1"/>
    <cellStyle name="Hyperlink 93" xfId="19733" hidden="1"/>
    <cellStyle name="Hyperlink 93" xfId="21590" hidden="1"/>
    <cellStyle name="Hyperlink 93" xfId="21920" hidden="1"/>
    <cellStyle name="Hyperlink 93" xfId="12958" hidden="1"/>
    <cellStyle name="Hyperlink 93" xfId="11557" hidden="1"/>
    <cellStyle name="Hyperlink 93" xfId="23315" hidden="1"/>
    <cellStyle name="Hyperlink 93" xfId="23649" hidden="1"/>
    <cellStyle name="Hyperlink 93" xfId="24295" hidden="1"/>
    <cellStyle name="Hyperlink 93" xfId="24625" hidden="1"/>
    <cellStyle name="Hyperlink 93" xfId="25761" hidden="1"/>
    <cellStyle name="Hyperlink 93" xfId="22906" hidden="1"/>
    <cellStyle name="Hyperlink 93" xfId="26720" hidden="1"/>
    <cellStyle name="Hyperlink 93" xfId="24689" hidden="1"/>
    <cellStyle name="Hyperlink 93" xfId="27703" hidden="1"/>
    <cellStyle name="Hyperlink 93" xfId="25338" hidden="1"/>
    <cellStyle name="Hyperlink 93" xfId="28660" hidden="1"/>
    <cellStyle name="Hyperlink 93" xfId="27241" hidden="1"/>
    <cellStyle name="Hyperlink 93" xfId="29578" hidden="1"/>
    <cellStyle name="Hyperlink 93" xfId="28204" hidden="1"/>
    <cellStyle name="Hyperlink 93" xfId="30365" hidden="1"/>
    <cellStyle name="Hyperlink 93" xfId="29145" hidden="1"/>
    <cellStyle name="Hyperlink 93" xfId="31001" hidden="1"/>
    <cellStyle name="Hyperlink 93" xfId="31331"/>
    <cellStyle name="Hyperlink 93 2" xfId="1980"/>
    <cellStyle name="Hyperlink 93 3" xfId="1981"/>
    <cellStyle name="Hyperlink 93 9" xfId="32771"/>
    <cellStyle name="Hyperlink 93_AGL" xfId="32772"/>
    <cellStyle name="Hyperlink 94" xfId="416" hidden="1"/>
    <cellStyle name="Hyperlink 94" xfId="750" hidden="1"/>
    <cellStyle name="Hyperlink 94" xfId="2415" hidden="1"/>
    <cellStyle name="Hyperlink 94" xfId="2749" hidden="1"/>
    <cellStyle name="Hyperlink 94" xfId="3666" hidden="1"/>
    <cellStyle name="Hyperlink 94" xfId="4003" hidden="1"/>
    <cellStyle name="Hyperlink 94" xfId="5135" hidden="1"/>
    <cellStyle name="Hyperlink 94" xfId="3655" hidden="1"/>
    <cellStyle name="Hyperlink 94" xfId="6095" hidden="1"/>
    <cellStyle name="Hyperlink 94" xfId="5714" hidden="1"/>
    <cellStyle name="Hyperlink 94" xfId="7078" hidden="1"/>
    <cellStyle name="Hyperlink 94" xfId="5737" hidden="1"/>
    <cellStyle name="Hyperlink 94" xfId="8035" hidden="1"/>
    <cellStyle name="Hyperlink 94" xfId="6552" hidden="1"/>
    <cellStyle name="Hyperlink 94" xfId="8953" hidden="1"/>
    <cellStyle name="Hyperlink 94" xfId="7518" hidden="1"/>
    <cellStyle name="Hyperlink 94" xfId="9741" hidden="1"/>
    <cellStyle name="Hyperlink 94" xfId="8466" hidden="1"/>
    <cellStyle name="Hyperlink 94" xfId="10381" hidden="1"/>
    <cellStyle name="Hyperlink 94" xfId="10711" hidden="1"/>
    <cellStyle name="Hyperlink 94" xfId="11745" hidden="1"/>
    <cellStyle name="Hyperlink 94" xfId="12079" hidden="1"/>
    <cellStyle name="Hyperlink 94" xfId="13627" hidden="1"/>
    <cellStyle name="Hyperlink 94" xfId="13961" hidden="1"/>
    <cellStyle name="Hyperlink 94" xfId="14877" hidden="1"/>
    <cellStyle name="Hyperlink 94" xfId="15214" hidden="1"/>
    <cellStyle name="Hyperlink 94" xfId="16346" hidden="1"/>
    <cellStyle name="Hyperlink 94" xfId="14866" hidden="1"/>
    <cellStyle name="Hyperlink 94" xfId="17306" hidden="1"/>
    <cellStyle name="Hyperlink 94" xfId="16925" hidden="1"/>
    <cellStyle name="Hyperlink 94" xfId="18289" hidden="1"/>
    <cellStyle name="Hyperlink 94" xfId="16948" hidden="1"/>
    <cellStyle name="Hyperlink 94" xfId="19246" hidden="1"/>
    <cellStyle name="Hyperlink 94" xfId="17763" hidden="1"/>
    <cellStyle name="Hyperlink 94" xfId="20164" hidden="1"/>
    <cellStyle name="Hyperlink 94" xfId="18729" hidden="1"/>
    <cellStyle name="Hyperlink 94" xfId="20952" hidden="1"/>
    <cellStyle name="Hyperlink 94" xfId="19677" hidden="1"/>
    <cellStyle name="Hyperlink 94" xfId="21592" hidden="1"/>
    <cellStyle name="Hyperlink 94" xfId="21922" hidden="1"/>
    <cellStyle name="Hyperlink 94" xfId="12956" hidden="1"/>
    <cellStyle name="Hyperlink 94" xfId="22549" hidden="1"/>
    <cellStyle name="Hyperlink 94" xfId="23317" hidden="1"/>
    <cellStyle name="Hyperlink 94" xfId="23651" hidden="1"/>
    <cellStyle name="Hyperlink 94" xfId="24293" hidden="1"/>
    <cellStyle name="Hyperlink 94" xfId="24627" hidden="1"/>
    <cellStyle name="Hyperlink 94" xfId="25759" hidden="1"/>
    <cellStyle name="Hyperlink 94" xfId="24282" hidden="1"/>
    <cellStyle name="Hyperlink 94" xfId="26718" hidden="1"/>
    <cellStyle name="Hyperlink 94" xfId="26337" hidden="1"/>
    <cellStyle name="Hyperlink 94" xfId="27701" hidden="1"/>
    <cellStyle name="Hyperlink 94" xfId="26360" hidden="1"/>
    <cellStyle name="Hyperlink 94" xfId="28658" hidden="1"/>
    <cellStyle name="Hyperlink 94" xfId="27175" hidden="1"/>
    <cellStyle name="Hyperlink 94" xfId="29576" hidden="1"/>
    <cellStyle name="Hyperlink 94" xfId="28141" hidden="1"/>
    <cellStyle name="Hyperlink 94" xfId="30363" hidden="1"/>
    <cellStyle name="Hyperlink 94" xfId="29089" hidden="1"/>
    <cellStyle name="Hyperlink 94" xfId="31003" hidden="1"/>
    <cellStyle name="Hyperlink 94" xfId="31333"/>
    <cellStyle name="Hyperlink 94 2" xfId="1982"/>
    <cellStyle name="Hyperlink 94 3" xfId="1983"/>
    <cellStyle name="Hyperlink 94 9" xfId="32773"/>
    <cellStyle name="Hyperlink 94_AGL" xfId="32774"/>
    <cellStyle name="Hyperlink 95" xfId="418" hidden="1"/>
    <cellStyle name="Hyperlink 95" xfId="752" hidden="1"/>
    <cellStyle name="Hyperlink 95" xfId="2417" hidden="1"/>
    <cellStyle name="Hyperlink 95" xfId="2751" hidden="1"/>
    <cellStyle name="Hyperlink 95" xfId="3664" hidden="1"/>
    <cellStyle name="Hyperlink 95" xfId="4005" hidden="1"/>
    <cellStyle name="Hyperlink 95" xfId="5133" hidden="1"/>
    <cellStyle name="Hyperlink 95" xfId="3640" hidden="1"/>
    <cellStyle name="Hyperlink 95" xfId="6093" hidden="1"/>
    <cellStyle name="Hyperlink 95" xfId="4069" hidden="1"/>
    <cellStyle name="Hyperlink 95" xfId="7076" hidden="1"/>
    <cellStyle name="Hyperlink 95" xfId="5645" hidden="1"/>
    <cellStyle name="Hyperlink 95" xfId="8033" hidden="1"/>
    <cellStyle name="Hyperlink 95" xfId="6753" hidden="1"/>
    <cellStyle name="Hyperlink 95" xfId="8951" hidden="1"/>
    <cellStyle name="Hyperlink 95" xfId="7711" hidden="1"/>
    <cellStyle name="Hyperlink 95" xfId="9739" hidden="1"/>
    <cellStyle name="Hyperlink 95" xfId="8638" hidden="1"/>
    <cellStyle name="Hyperlink 95" xfId="10383" hidden="1"/>
    <cellStyle name="Hyperlink 95" xfId="10713" hidden="1"/>
    <cellStyle name="Hyperlink 95" xfId="11747" hidden="1"/>
    <cellStyle name="Hyperlink 95" xfId="12081" hidden="1"/>
    <cellStyle name="Hyperlink 95" xfId="13629" hidden="1"/>
    <cellStyle name="Hyperlink 95" xfId="13963" hidden="1"/>
    <cellStyle name="Hyperlink 95" xfId="14875" hidden="1"/>
    <cellStyle name="Hyperlink 95" xfId="15216" hidden="1"/>
    <cellStyle name="Hyperlink 95" xfId="16344" hidden="1"/>
    <cellStyle name="Hyperlink 95" xfId="14851" hidden="1"/>
    <cellStyle name="Hyperlink 95" xfId="17304" hidden="1"/>
    <cellStyle name="Hyperlink 95" xfId="15280" hidden="1"/>
    <cellStyle name="Hyperlink 95" xfId="18287" hidden="1"/>
    <cellStyle name="Hyperlink 95" xfId="16856" hidden="1"/>
    <cellStyle name="Hyperlink 95" xfId="19244" hidden="1"/>
    <cellStyle name="Hyperlink 95" xfId="17964" hidden="1"/>
    <cellStyle name="Hyperlink 95" xfId="20162" hidden="1"/>
    <cellStyle name="Hyperlink 95" xfId="18922" hidden="1"/>
    <cellStyle name="Hyperlink 95" xfId="20950" hidden="1"/>
    <cellStyle name="Hyperlink 95" xfId="19849" hidden="1"/>
    <cellStyle name="Hyperlink 95" xfId="21594" hidden="1"/>
    <cellStyle name="Hyperlink 95" xfId="21924" hidden="1"/>
    <cellStyle name="Hyperlink 95" xfId="12954" hidden="1"/>
    <cellStyle name="Hyperlink 95" xfId="22551" hidden="1"/>
    <cellStyle name="Hyperlink 95" xfId="23319" hidden="1"/>
    <cellStyle name="Hyperlink 95" xfId="23653" hidden="1"/>
    <cellStyle name="Hyperlink 95" xfId="24291" hidden="1"/>
    <cellStyle name="Hyperlink 95" xfId="24629" hidden="1"/>
    <cellStyle name="Hyperlink 95" xfId="25757" hidden="1"/>
    <cellStyle name="Hyperlink 95" xfId="24278" hidden="1"/>
    <cellStyle name="Hyperlink 95" xfId="26716" hidden="1"/>
    <cellStyle name="Hyperlink 95" xfId="24693" hidden="1"/>
    <cellStyle name="Hyperlink 95" xfId="27699" hidden="1"/>
    <cellStyle name="Hyperlink 95" xfId="26268" hidden="1"/>
    <cellStyle name="Hyperlink 95" xfId="28656" hidden="1"/>
    <cellStyle name="Hyperlink 95" xfId="27376" hidden="1"/>
    <cellStyle name="Hyperlink 95" xfId="29574" hidden="1"/>
    <cellStyle name="Hyperlink 95" xfId="28334" hidden="1"/>
    <cellStyle name="Hyperlink 95" xfId="30361" hidden="1"/>
    <cellStyle name="Hyperlink 95" xfId="29261" hidden="1"/>
    <cellStyle name="Hyperlink 95" xfId="31005" hidden="1"/>
    <cellStyle name="Hyperlink 95" xfId="31335"/>
    <cellStyle name="Hyperlink 95 2" xfId="1984"/>
    <cellStyle name="Hyperlink 95 3" xfId="1985"/>
    <cellStyle name="Hyperlink 95 9" xfId="32775"/>
    <cellStyle name="Hyperlink 95_AGL" xfId="32776"/>
    <cellStyle name="Hyperlink 96" xfId="420" hidden="1"/>
    <cellStyle name="Hyperlink 96" xfId="754" hidden="1"/>
    <cellStyle name="Hyperlink 96" xfId="2419" hidden="1"/>
    <cellStyle name="Hyperlink 96" xfId="2753" hidden="1"/>
    <cellStyle name="Hyperlink 96" xfId="3662" hidden="1"/>
    <cellStyle name="Hyperlink 96" xfId="4007" hidden="1"/>
    <cellStyle name="Hyperlink 96" xfId="5131" hidden="1"/>
    <cellStyle name="Hyperlink 96" xfId="2950" hidden="1"/>
    <cellStyle name="Hyperlink 96" xfId="6091" hidden="1"/>
    <cellStyle name="Hyperlink 96" xfId="5713" hidden="1"/>
    <cellStyle name="Hyperlink 96" xfId="7074" hidden="1"/>
    <cellStyle name="Hyperlink 96" xfId="5578" hidden="1"/>
    <cellStyle name="Hyperlink 96" xfId="8031" hidden="1"/>
    <cellStyle name="Hyperlink 96" xfId="4819" hidden="1"/>
    <cellStyle name="Hyperlink 96" xfId="8949" hidden="1"/>
    <cellStyle name="Hyperlink 96" xfId="5829" hidden="1"/>
    <cellStyle name="Hyperlink 96" xfId="9737" hidden="1"/>
    <cellStyle name="Hyperlink 96" xfId="6486" hidden="1"/>
    <cellStyle name="Hyperlink 96" xfId="10385" hidden="1"/>
    <cellStyle name="Hyperlink 96" xfId="10715" hidden="1"/>
    <cellStyle name="Hyperlink 96" xfId="11749" hidden="1"/>
    <cellStyle name="Hyperlink 96" xfId="12083" hidden="1"/>
    <cellStyle name="Hyperlink 96" xfId="13631" hidden="1"/>
    <cellStyle name="Hyperlink 96" xfId="13965" hidden="1"/>
    <cellStyle name="Hyperlink 96" xfId="14873" hidden="1"/>
    <cellStyle name="Hyperlink 96" xfId="15218" hidden="1"/>
    <cellStyle name="Hyperlink 96" xfId="16342" hidden="1"/>
    <cellStyle name="Hyperlink 96" xfId="14162" hidden="1"/>
    <cellStyle name="Hyperlink 96" xfId="17302" hidden="1"/>
    <cellStyle name="Hyperlink 96" xfId="16924" hidden="1"/>
    <cellStyle name="Hyperlink 96" xfId="18285" hidden="1"/>
    <cellStyle name="Hyperlink 96" xfId="16789" hidden="1"/>
    <cellStyle name="Hyperlink 96" xfId="19242" hidden="1"/>
    <cellStyle name="Hyperlink 96" xfId="16030" hidden="1"/>
    <cellStyle name="Hyperlink 96" xfId="20160" hidden="1"/>
    <cellStyle name="Hyperlink 96" xfId="17040" hidden="1"/>
    <cellStyle name="Hyperlink 96" xfId="20948" hidden="1"/>
    <cellStyle name="Hyperlink 96" xfId="17697" hidden="1"/>
    <cellStyle name="Hyperlink 96" xfId="21596" hidden="1"/>
    <cellStyle name="Hyperlink 96" xfId="21926" hidden="1"/>
    <cellStyle name="Hyperlink 96" xfId="12952" hidden="1"/>
    <cellStyle name="Hyperlink 96" xfId="22553" hidden="1"/>
    <cellStyle name="Hyperlink 96" xfId="23321" hidden="1"/>
    <cellStyle name="Hyperlink 96" xfId="23655" hidden="1"/>
    <cellStyle name="Hyperlink 96" xfId="24289" hidden="1"/>
    <cellStyle name="Hyperlink 96" xfId="24631" hidden="1"/>
    <cellStyle name="Hyperlink 96" xfId="25755" hidden="1"/>
    <cellStyle name="Hyperlink 96" xfId="23843" hidden="1"/>
    <cellStyle name="Hyperlink 96" xfId="26714" hidden="1"/>
    <cellStyle name="Hyperlink 96" xfId="26336" hidden="1"/>
    <cellStyle name="Hyperlink 96" xfId="27697" hidden="1"/>
    <cellStyle name="Hyperlink 96" xfId="26202" hidden="1"/>
    <cellStyle name="Hyperlink 96" xfId="28654" hidden="1"/>
    <cellStyle name="Hyperlink 96" xfId="25443" hidden="1"/>
    <cellStyle name="Hyperlink 96" xfId="29572" hidden="1"/>
    <cellStyle name="Hyperlink 96" xfId="26452" hidden="1"/>
    <cellStyle name="Hyperlink 96" xfId="30359" hidden="1"/>
    <cellStyle name="Hyperlink 96" xfId="27109" hidden="1"/>
    <cellStyle name="Hyperlink 96" xfId="31007" hidden="1"/>
    <cellStyle name="Hyperlink 96" xfId="31337"/>
    <cellStyle name="Hyperlink 96 2" xfId="1986"/>
    <cellStyle name="Hyperlink 96 3" xfId="1987"/>
    <cellStyle name="Hyperlink 96 9" xfId="32777"/>
    <cellStyle name="Hyperlink 96_AGL" xfId="32778"/>
    <cellStyle name="Hyperlink 97" xfId="422" hidden="1"/>
    <cellStyle name="Hyperlink 97" xfId="756" hidden="1"/>
    <cellStyle name="Hyperlink 97" xfId="2421" hidden="1"/>
    <cellStyle name="Hyperlink 97" xfId="2755" hidden="1"/>
    <cellStyle name="Hyperlink 97" xfId="2228" hidden="1"/>
    <cellStyle name="Hyperlink 97" xfId="4009" hidden="1"/>
    <cellStyle name="Hyperlink 97" xfId="5129" hidden="1"/>
    <cellStyle name="Hyperlink 97" xfId="4177" hidden="1"/>
    <cellStyle name="Hyperlink 97" xfId="6089" hidden="1"/>
    <cellStyle name="Hyperlink 97" xfId="4722" hidden="1"/>
    <cellStyle name="Hyperlink 97" xfId="7072" hidden="1"/>
    <cellStyle name="Hyperlink 97" xfId="4760" hidden="1"/>
    <cellStyle name="Hyperlink 97" xfId="8029" hidden="1"/>
    <cellStyle name="Hyperlink 97" xfId="5729" hidden="1"/>
    <cellStyle name="Hyperlink 97" xfId="8947" hidden="1"/>
    <cellStyle name="Hyperlink 97" xfId="6752" hidden="1"/>
    <cellStyle name="Hyperlink 97" xfId="9735" hidden="1"/>
    <cellStyle name="Hyperlink 97" xfId="7710" hidden="1"/>
    <cellStyle name="Hyperlink 97" xfId="10387" hidden="1"/>
    <cellStyle name="Hyperlink 97" xfId="10717" hidden="1"/>
    <cellStyle name="Hyperlink 97" xfId="11751" hidden="1"/>
    <cellStyle name="Hyperlink 97" xfId="12085" hidden="1"/>
    <cellStyle name="Hyperlink 97" xfId="13633" hidden="1"/>
    <cellStyle name="Hyperlink 97" xfId="13967" hidden="1"/>
    <cellStyle name="Hyperlink 97" xfId="13440" hidden="1"/>
    <cellStyle name="Hyperlink 97" xfId="15220" hidden="1"/>
    <cellStyle name="Hyperlink 97" xfId="16340" hidden="1"/>
    <cellStyle name="Hyperlink 97" xfId="15388" hidden="1"/>
    <cellStyle name="Hyperlink 97" xfId="17300" hidden="1"/>
    <cellStyle name="Hyperlink 97" xfId="15933" hidden="1"/>
    <cellStyle name="Hyperlink 97" xfId="18283" hidden="1"/>
    <cellStyle name="Hyperlink 97" xfId="15971" hidden="1"/>
    <cellStyle name="Hyperlink 97" xfId="19240" hidden="1"/>
    <cellStyle name="Hyperlink 97" xfId="16940" hidden="1"/>
    <cellStyle name="Hyperlink 97" xfId="20158" hidden="1"/>
    <cellStyle name="Hyperlink 97" xfId="17963" hidden="1"/>
    <cellStyle name="Hyperlink 97" xfId="20946" hidden="1"/>
    <cellStyle name="Hyperlink 97" xfId="18921" hidden="1"/>
    <cellStyle name="Hyperlink 97" xfId="21598" hidden="1"/>
    <cellStyle name="Hyperlink 97" xfId="21928" hidden="1"/>
    <cellStyle name="Hyperlink 97" xfId="12950" hidden="1"/>
    <cellStyle name="Hyperlink 97" xfId="22555" hidden="1"/>
    <cellStyle name="Hyperlink 97" xfId="23323" hidden="1"/>
    <cellStyle name="Hyperlink 97" xfId="23657" hidden="1"/>
    <cellStyle name="Hyperlink 97" xfId="23130" hidden="1"/>
    <cellStyle name="Hyperlink 97" xfId="24633" hidden="1"/>
    <cellStyle name="Hyperlink 97" xfId="25753" hidden="1"/>
    <cellStyle name="Hyperlink 97" xfId="24801" hidden="1"/>
    <cellStyle name="Hyperlink 97" xfId="26712" hidden="1"/>
    <cellStyle name="Hyperlink 97" xfId="25346" hidden="1"/>
    <cellStyle name="Hyperlink 97" xfId="27695" hidden="1"/>
    <cellStyle name="Hyperlink 97" xfId="25384" hidden="1"/>
    <cellStyle name="Hyperlink 97" xfId="28652" hidden="1"/>
    <cellStyle name="Hyperlink 97" xfId="26352" hidden="1"/>
    <cellStyle name="Hyperlink 97" xfId="29570" hidden="1"/>
    <cellStyle name="Hyperlink 97" xfId="27375" hidden="1"/>
    <cellStyle name="Hyperlink 97" xfId="30357" hidden="1"/>
    <cellStyle name="Hyperlink 97" xfId="28333" hidden="1"/>
    <cellStyle name="Hyperlink 97" xfId="31009" hidden="1"/>
    <cellStyle name="Hyperlink 97" xfId="31339"/>
    <cellStyle name="Hyperlink 97 2" xfId="1988"/>
    <cellStyle name="Hyperlink 97 3" xfId="1989"/>
    <cellStyle name="Hyperlink 97 9" xfId="32779"/>
    <cellStyle name="Hyperlink 97_AGL" xfId="32780"/>
    <cellStyle name="Hyperlink 98" xfId="424" hidden="1"/>
    <cellStyle name="Hyperlink 98" xfId="758" hidden="1"/>
    <cellStyle name="Hyperlink 98" xfId="2423" hidden="1"/>
    <cellStyle name="Hyperlink 98" xfId="2757" hidden="1"/>
    <cellStyle name="Hyperlink 98" xfId="2222" hidden="1"/>
    <cellStyle name="Hyperlink 98" xfId="4011" hidden="1"/>
    <cellStyle name="Hyperlink 98" xfId="5127" hidden="1"/>
    <cellStyle name="Hyperlink 98" xfId="4742" hidden="1"/>
    <cellStyle name="Hyperlink 98" xfId="6087" hidden="1"/>
    <cellStyle name="Hyperlink 98" xfId="5712" hidden="1"/>
    <cellStyle name="Hyperlink 98" xfId="7070" hidden="1"/>
    <cellStyle name="Hyperlink 98" xfId="6689" hidden="1"/>
    <cellStyle name="Hyperlink 98" xfId="8027" hidden="1"/>
    <cellStyle name="Hyperlink 98" xfId="7647" hidden="1"/>
    <cellStyle name="Hyperlink 98" xfId="8945" hidden="1"/>
    <cellStyle name="Hyperlink 98" xfId="8580" hidden="1"/>
    <cellStyle name="Hyperlink 98" xfId="9733" hidden="1"/>
    <cellStyle name="Hyperlink 98" xfId="9419" hidden="1"/>
    <cellStyle name="Hyperlink 98" xfId="10389" hidden="1"/>
    <cellStyle name="Hyperlink 98" xfId="10719" hidden="1"/>
    <cellStyle name="Hyperlink 98" xfId="11753" hidden="1"/>
    <cellStyle name="Hyperlink 98" xfId="12087" hidden="1"/>
    <cellStyle name="Hyperlink 98" xfId="13635" hidden="1"/>
    <cellStyle name="Hyperlink 98" xfId="13969" hidden="1"/>
    <cellStyle name="Hyperlink 98" xfId="13434" hidden="1"/>
    <cellStyle name="Hyperlink 98" xfId="15222" hidden="1"/>
    <cellStyle name="Hyperlink 98" xfId="16338" hidden="1"/>
    <cellStyle name="Hyperlink 98" xfId="15953" hidden="1"/>
    <cellStyle name="Hyperlink 98" xfId="17298" hidden="1"/>
    <cellStyle name="Hyperlink 98" xfId="16923" hidden="1"/>
    <cellStyle name="Hyperlink 98" xfId="18281" hidden="1"/>
    <cellStyle name="Hyperlink 98" xfId="17900" hidden="1"/>
    <cellStyle name="Hyperlink 98" xfId="19238" hidden="1"/>
    <cellStyle name="Hyperlink 98" xfId="18858" hidden="1"/>
    <cellStyle name="Hyperlink 98" xfId="20156" hidden="1"/>
    <cellStyle name="Hyperlink 98" xfId="19791" hidden="1"/>
    <cellStyle name="Hyperlink 98" xfId="20944" hidden="1"/>
    <cellStyle name="Hyperlink 98" xfId="20630" hidden="1"/>
    <cellStyle name="Hyperlink 98" xfId="21600" hidden="1"/>
    <cellStyle name="Hyperlink 98" xfId="21930" hidden="1"/>
    <cellStyle name="Hyperlink 98" xfId="12948" hidden="1"/>
    <cellStyle name="Hyperlink 98" xfId="22557" hidden="1"/>
    <cellStyle name="Hyperlink 98" xfId="23325" hidden="1"/>
    <cellStyle name="Hyperlink 98" xfId="23659" hidden="1"/>
    <cellStyle name="Hyperlink 98" xfId="23124" hidden="1"/>
    <cellStyle name="Hyperlink 98" xfId="24635" hidden="1"/>
    <cellStyle name="Hyperlink 98" xfId="25751" hidden="1"/>
    <cellStyle name="Hyperlink 98" xfId="25366" hidden="1"/>
    <cellStyle name="Hyperlink 98" xfId="26710" hidden="1"/>
    <cellStyle name="Hyperlink 98" xfId="26335" hidden="1"/>
    <cellStyle name="Hyperlink 98" xfId="27693" hidden="1"/>
    <cellStyle name="Hyperlink 98" xfId="27312" hidden="1"/>
    <cellStyle name="Hyperlink 98" xfId="28650" hidden="1"/>
    <cellStyle name="Hyperlink 98" xfId="28270" hidden="1"/>
    <cellStyle name="Hyperlink 98" xfId="29568" hidden="1"/>
    <cellStyle name="Hyperlink 98" xfId="29203" hidden="1"/>
    <cellStyle name="Hyperlink 98" xfId="30355" hidden="1"/>
    <cellStyle name="Hyperlink 98" xfId="30041" hidden="1"/>
    <cellStyle name="Hyperlink 98" xfId="31011" hidden="1"/>
    <cellStyle name="Hyperlink 98" xfId="31341"/>
    <cellStyle name="Hyperlink 98 2" xfId="1990"/>
    <cellStyle name="Hyperlink 98 3" xfId="1991"/>
    <cellStyle name="Hyperlink 98 9" xfId="32781"/>
    <cellStyle name="Hyperlink 98_AGL" xfId="32782"/>
    <cellStyle name="Hyperlink 99" xfId="426" hidden="1"/>
    <cellStyle name="Hyperlink 99" xfId="760" hidden="1"/>
    <cellStyle name="Hyperlink 99" xfId="2425" hidden="1"/>
    <cellStyle name="Hyperlink 99" xfId="2759" hidden="1"/>
    <cellStyle name="Hyperlink 99" xfId="2218" hidden="1"/>
    <cellStyle name="Hyperlink 99" xfId="4013" hidden="1"/>
    <cellStyle name="Hyperlink 99" xfId="5125" hidden="1"/>
    <cellStyle name="Hyperlink 99" xfId="4175" hidden="1"/>
    <cellStyle name="Hyperlink 99" xfId="6085" hidden="1"/>
    <cellStyle name="Hyperlink 99" xfId="5632" hidden="1"/>
    <cellStyle name="Hyperlink 99" xfId="7068" hidden="1"/>
    <cellStyle name="Hyperlink 99" xfId="5510" hidden="1"/>
    <cellStyle name="Hyperlink 99" xfId="8025" hidden="1"/>
    <cellStyle name="Hyperlink 99" xfId="5730" hidden="1"/>
    <cellStyle name="Hyperlink 99" xfId="8943" hidden="1"/>
    <cellStyle name="Hyperlink 99" xfId="6619" hidden="1"/>
    <cellStyle name="Hyperlink 99" xfId="9731" hidden="1"/>
    <cellStyle name="Hyperlink 99" xfId="7582" hidden="1"/>
    <cellStyle name="Hyperlink 99" xfId="10391" hidden="1"/>
    <cellStyle name="Hyperlink 99" xfId="10721" hidden="1"/>
    <cellStyle name="Hyperlink 99" xfId="11755" hidden="1"/>
    <cellStyle name="Hyperlink 99" xfId="12089" hidden="1"/>
    <cellStyle name="Hyperlink 99" xfId="13637" hidden="1"/>
    <cellStyle name="Hyperlink 99" xfId="13971" hidden="1"/>
    <cellStyle name="Hyperlink 99" xfId="13430" hidden="1"/>
    <cellStyle name="Hyperlink 99" xfId="15224" hidden="1"/>
    <cellStyle name="Hyperlink 99" xfId="16336" hidden="1"/>
    <cellStyle name="Hyperlink 99" xfId="15386" hidden="1"/>
    <cellStyle name="Hyperlink 99" xfId="17296" hidden="1"/>
    <cellStyle name="Hyperlink 99" xfId="16843" hidden="1"/>
    <cellStyle name="Hyperlink 99" xfId="18279" hidden="1"/>
    <cellStyle name="Hyperlink 99" xfId="16721" hidden="1"/>
    <cellStyle name="Hyperlink 99" xfId="19236" hidden="1"/>
    <cellStyle name="Hyperlink 99" xfId="16941" hidden="1"/>
    <cellStyle name="Hyperlink 99" xfId="20154" hidden="1"/>
    <cellStyle name="Hyperlink 99" xfId="17830" hidden="1"/>
    <cellStyle name="Hyperlink 99" xfId="20942" hidden="1"/>
    <cellStyle name="Hyperlink 99" xfId="18793" hidden="1"/>
    <cellStyle name="Hyperlink 99" xfId="21602" hidden="1"/>
    <cellStyle name="Hyperlink 99" xfId="21932" hidden="1"/>
    <cellStyle name="Hyperlink 99" xfId="11558" hidden="1"/>
    <cellStyle name="Hyperlink 99" xfId="22559" hidden="1"/>
    <cellStyle name="Hyperlink 99" xfId="23327" hidden="1"/>
    <cellStyle name="Hyperlink 99" xfId="23661" hidden="1"/>
    <cellStyle name="Hyperlink 99" xfId="23120" hidden="1"/>
    <cellStyle name="Hyperlink 99" xfId="24637" hidden="1"/>
    <cellStyle name="Hyperlink 99" xfId="25749" hidden="1"/>
    <cellStyle name="Hyperlink 99" xfId="24799" hidden="1"/>
    <cellStyle name="Hyperlink 99" xfId="26708" hidden="1"/>
    <cellStyle name="Hyperlink 99" xfId="26255" hidden="1"/>
    <cellStyle name="Hyperlink 99" xfId="27691" hidden="1"/>
    <cellStyle name="Hyperlink 99" xfId="26134" hidden="1"/>
    <cellStyle name="Hyperlink 99" xfId="28648" hidden="1"/>
    <cellStyle name="Hyperlink 99" xfId="26353" hidden="1"/>
    <cellStyle name="Hyperlink 99" xfId="29566" hidden="1"/>
    <cellStyle name="Hyperlink 99" xfId="27242" hidden="1"/>
    <cellStyle name="Hyperlink 99" xfId="30353" hidden="1"/>
    <cellStyle name="Hyperlink 99" xfId="28205" hidden="1"/>
    <cellStyle name="Hyperlink 99" xfId="31013" hidden="1"/>
    <cellStyle name="Hyperlink 99" xfId="31343"/>
    <cellStyle name="Hyperlink 99 2" xfId="1992"/>
    <cellStyle name="Hyperlink 99 3" xfId="1993"/>
    <cellStyle name="Hyperlink 99 9" xfId="32783"/>
    <cellStyle name="Hyperlink 99_AGL" xfId="32784"/>
    <cellStyle name="Input" xfId="3" builtinId="20" customBuiltin="1"/>
    <cellStyle name="Input 2" xfId="930"/>
    <cellStyle name="Input 2 2" xfId="957"/>
    <cellStyle name="Input 2 2 2" xfId="32785"/>
    <cellStyle name="Input 2 2 2 2" xfId="33224"/>
    <cellStyle name="Input 2 2 2_Sheet10" xfId="33225"/>
    <cellStyle name="Input 2 2 3" xfId="33226"/>
    <cellStyle name="Input 2 2_AGL" xfId="32786"/>
    <cellStyle name="Input 2 3" xfId="1292"/>
    <cellStyle name="Input 2 3 2" xfId="32787"/>
    <cellStyle name="Input 2 3 2 2" xfId="33227"/>
    <cellStyle name="Input 2 3 2_Sheet10" xfId="33228"/>
    <cellStyle name="Input 2 3 3" xfId="33229"/>
    <cellStyle name="Input 2 3_AGL" xfId="32788"/>
    <cellStyle name="Input 2 4" xfId="32789"/>
    <cellStyle name="Input 2 4 2" xfId="33230"/>
    <cellStyle name="Input 2 4_Sheet10" xfId="33231"/>
    <cellStyle name="Input 2 5" xfId="33232"/>
    <cellStyle name="Input 2_AGL" xfId="32790"/>
    <cellStyle name="Input 3" xfId="1388"/>
    <cellStyle name="Input 3 2" xfId="32791"/>
    <cellStyle name="Input 3 2 2" xfId="33233"/>
    <cellStyle name="Input 3 2_Sheet10" xfId="33234"/>
    <cellStyle name="Input 3 3" xfId="33235"/>
    <cellStyle name="Input 3_AGL" xfId="32792"/>
    <cellStyle name="Input 4" xfId="1497"/>
    <cellStyle name="Input 4 2" xfId="32793"/>
    <cellStyle name="Input 4 2 2" xfId="33236"/>
    <cellStyle name="Input 4 2_Sheet10" xfId="33237"/>
    <cellStyle name="Input 4 3" xfId="33238"/>
    <cellStyle name="Input 4_AGL" xfId="32794"/>
    <cellStyle name="Input 5" xfId="32795"/>
    <cellStyle name="Input 5 2" xfId="33239"/>
    <cellStyle name="Input 5_Sheet10" xfId="33240"/>
    <cellStyle name="Input 6" xfId="33241"/>
    <cellStyle name="Intermediate/scenario user input" xfId="1453"/>
    <cellStyle name="Intermediate/scenario user input 2" xfId="32796"/>
    <cellStyle name="Intermediate/scenario user input 2 2" xfId="33242"/>
    <cellStyle name="Intermediate/scenario user input 2_Sheet10" xfId="33243"/>
    <cellStyle name="Intermediate/scenario user input 3" xfId="33244"/>
    <cellStyle name="Intermediate/scenario user input_AGL" xfId="32797"/>
    <cellStyle name="L_Green" xfId="1389"/>
    <cellStyle name="Linked" xfId="931"/>
    <cellStyle name="Linked 2" xfId="1390"/>
    <cellStyle name="Linked 2 2" xfId="1437"/>
    <cellStyle name="Linked 2 2 2" xfId="32798"/>
    <cellStyle name="Linked 2 2 3" xfId="33245"/>
    <cellStyle name="Linked 2 2_AGL" xfId="32799"/>
    <cellStyle name="Linked 2 3" xfId="32800"/>
    <cellStyle name="Linked 2 4" xfId="33246"/>
    <cellStyle name="Linked 2_AGL" xfId="32801"/>
    <cellStyle name="Linked 3" xfId="32802"/>
    <cellStyle name="Linked 4" xfId="33247"/>
    <cellStyle name="Linked Cell" xfId="802" builtinId="24" customBuiltin="1"/>
    <cellStyle name="Linked Cell 2" xfId="1498"/>
    <cellStyle name="Linked Cell 2 2" xfId="32803"/>
    <cellStyle name="Linked Cell 2 3" xfId="33248"/>
    <cellStyle name="Linked Cell 2_AGL" xfId="32804"/>
    <cellStyle name="Linked Cell 3" xfId="32805"/>
    <cellStyle name="Linked Cell 4" xfId="33249"/>
    <cellStyle name="Neutral" xfId="799" builtinId="28" customBuiltin="1"/>
    <cellStyle name="Neutral 2" xfId="932"/>
    <cellStyle name="Neutral 2 2" xfId="32806"/>
    <cellStyle name="Neutral 2 3" xfId="33250"/>
    <cellStyle name="Neutral 2_AGL" xfId="32807"/>
    <cellStyle name="Neutral 3" xfId="1391"/>
    <cellStyle name="Neutral 3 2" xfId="32808"/>
    <cellStyle name="Neutral 3 3" xfId="33251"/>
    <cellStyle name="Neutral 3_AGL" xfId="32809"/>
    <cellStyle name="Neutral 4" xfId="1499"/>
    <cellStyle name="Neutral 4 2" xfId="32810"/>
    <cellStyle name="Neutral 4 3" xfId="33252"/>
    <cellStyle name="Neutral 4_AGL" xfId="32811"/>
    <cellStyle name="Neutral 5" xfId="32812"/>
    <cellStyle name="Neutral 6" xfId="33253"/>
    <cellStyle name="Normal" xfId="0" builtinId="0" customBuiltin="1"/>
    <cellStyle name="Normal - Style1" xfId="1392"/>
    <cellStyle name="Normal 10" xfId="967"/>
    <cellStyle name="Normal 10 2" xfId="1293"/>
    <cellStyle name="Normal 10 2 2" xfId="3291"/>
    <cellStyle name="Normal 10 2 2 2" xfId="14503"/>
    <cellStyle name="Normal 10 2 3" xfId="11091"/>
    <cellStyle name="Normal 10 2 3 2" xfId="22302"/>
    <cellStyle name="Normal 10 2 4" xfId="12596"/>
    <cellStyle name="Normal 10 2_AGL" xfId="32813"/>
    <cellStyle name="Normal 10 3" xfId="1331"/>
    <cellStyle name="Normal 10 3 2" xfId="3329"/>
    <cellStyle name="Normal 10 3 2 2" xfId="14541"/>
    <cellStyle name="Normal 10 3 3" xfId="11118"/>
    <cellStyle name="Normal 10 3 3 2" xfId="22329"/>
    <cellStyle name="Normal 10 3 4" xfId="12630"/>
    <cellStyle name="Normal 10 3_AGL" xfId="32814"/>
    <cellStyle name="Normal 10 4" xfId="1509"/>
    <cellStyle name="Normal 10 4 2" xfId="3507"/>
    <cellStyle name="Normal 10 4 2 2" xfId="14718"/>
    <cellStyle name="Normal 10 4 3" xfId="11194"/>
    <cellStyle name="Normal 10 4 3 2" xfId="22405"/>
    <cellStyle name="Normal 10 4 4" xfId="12798"/>
    <cellStyle name="Normal 10 4_AGL" xfId="32815"/>
    <cellStyle name="Normal 10 5" xfId="2965"/>
    <cellStyle name="Normal 10 5 2" xfId="14177"/>
    <cellStyle name="Normal 10 6" xfId="10806"/>
    <cellStyle name="Normal 10 6 2" xfId="22017"/>
    <cellStyle name="Normal 10 7" xfId="12275"/>
    <cellStyle name="Normal 10_AGL" xfId="32816"/>
    <cellStyle name="Normal 11" xfId="978"/>
    <cellStyle name="Normal 11 2" xfId="1427"/>
    <cellStyle name="Normal 11 2 2" xfId="3425"/>
    <cellStyle name="Normal 11 2 2 2" xfId="14637"/>
    <cellStyle name="Normal 11 2 3" xfId="11167"/>
    <cellStyle name="Normal 11 2 3 2" xfId="22378"/>
    <cellStyle name="Normal 11 2 4" xfId="12720"/>
    <cellStyle name="Normal 11 2_AGL" xfId="32817"/>
    <cellStyle name="Normal 11 3" xfId="1522"/>
    <cellStyle name="Normal 11 3 2" xfId="3520"/>
    <cellStyle name="Normal 11 3 2 2" xfId="14731"/>
    <cellStyle name="Normal 11 3 3" xfId="11207"/>
    <cellStyle name="Normal 11 3 3 2" xfId="22418"/>
    <cellStyle name="Normal 11 3 4" xfId="12811"/>
    <cellStyle name="Normal 11 3_AGL" xfId="32818"/>
    <cellStyle name="Normal 11 4" xfId="2976"/>
    <cellStyle name="Normal 11 4 2" xfId="14188"/>
    <cellStyle name="Normal 11 5" xfId="10813"/>
    <cellStyle name="Normal 11 5 2" xfId="22024"/>
    <cellStyle name="Normal 11 6" xfId="12286"/>
    <cellStyle name="Normal 11_AGL" xfId="32819"/>
    <cellStyle name="Normal 12" xfId="1327"/>
    <cellStyle name="Normal 12 10" xfId="3325"/>
    <cellStyle name="Normal 12 10 2" xfId="14537"/>
    <cellStyle name="Normal 12 11" xfId="11114"/>
    <cellStyle name="Normal 12 11 2" xfId="22325"/>
    <cellStyle name="Normal 12 12" xfId="12626"/>
    <cellStyle name="Normal 12 2" xfId="1422"/>
    <cellStyle name="Normal 12 2 2" xfId="3420"/>
    <cellStyle name="Normal 12 2 2 2" xfId="14632"/>
    <cellStyle name="Normal 12 2 3" xfId="11163"/>
    <cellStyle name="Normal 12 2 3 2" xfId="22374"/>
    <cellStyle name="Normal 12 2 4" xfId="12715"/>
    <cellStyle name="Normal 12 2_AGL" xfId="32820"/>
    <cellStyle name="Normal 12 3" xfId="1443"/>
    <cellStyle name="Normal 12 3 2" xfId="3441"/>
    <cellStyle name="Normal 12 3 2 2" xfId="14653"/>
    <cellStyle name="Normal 12 3 3" xfId="11180"/>
    <cellStyle name="Normal 12 3 3 2" xfId="22391"/>
    <cellStyle name="Normal 12 3 4" xfId="12736"/>
    <cellStyle name="Normal 12 3_AGL" xfId="32821"/>
    <cellStyle name="Normal 12 4" xfId="1458"/>
    <cellStyle name="Normal 12 4 2" xfId="3456"/>
    <cellStyle name="Normal 12 4 2 2" xfId="14667"/>
    <cellStyle name="Normal 12 4 3" xfId="11189"/>
    <cellStyle name="Normal 12 4 3 2" xfId="22400"/>
    <cellStyle name="Normal 12 4 4" xfId="12750"/>
    <cellStyle name="Normal 12 4_AGL" xfId="32822"/>
    <cellStyle name="Normal 12 5" xfId="1517"/>
    <cellStyle name="Normal 12 5 2" xfId="3515"/>
    <cellStyle name="Normal 12 5 2 2" xfId="14726"/>
    <cellStyle name="Normal 12 5 3" xfId="11202"/>
    <cellStyle name="Normal 12 5 3 2" xfId="22413"/>
    <cellStyle name="Normal 12 5 4" xfId="12806"/>
    <cellStyle name="Normal 12 5_AGL" xfId="32823"/>
    <cellStyle name="Normal 12 6" xfId="1562"/>
    <cellStyle name="Normal 12 6 2" xfId="3560"/>
    <cellStyle name="Normal 12 6 2 2" xfId="14771"/>
    <cellStyle name="Normal 12 6 3" xfId="11244"/>
    <cellStyle name="Normal 12 6 3 2" xfId="22455"/>
    <cellStyle name="Normal 12 6 4" xfId="12850"/>
    <cellStyle name="Normal 12 6_AGL" xfId="32824"/>
    <cellStyle name="Normal 12 7" xfId="1569"/>
    <cellStyle name="Normal 12 7 2" xfId="3567"/>
    <cellStyle name="Normal 12 7 2 2" xfId="14778"/>
    <cellStyle name="Normal 12 7 3" xfId="11250"/>
    <cellStyle name="Normal 12 7 3 2" xfId="22461"/>
    <cellStyle name="Normal 12 7 4" xfId="12857"/>
    <cellStyle name="Normal 12 7_AGL" xfId="32825"/>
    <cellStyle name="Normal 12 8" xfId="1592"/>
    <cellStyle name="Normal 12 8 2" xfId="3590"/>
    <cellStyle name="Normal 12 8 2 2" xfId="14801"/>
    <cellStyle name="Normal 12 8 3" xfId="11273"/>
    <cellStyle name="Normal 12 8 3 2" xfId="22484"/>
    <cellStyle name="Normal 12 8 4" xfId="12880"/>
    <cellStyle name="Normal 12 8_AGL" xfId="32826"/>
    <cellStyle name="Normal 12 9" xfId="1606"/>
    <cellStyle name="Normal 12 9 2" xfId="3604"/>
    <cellStyle name="Normal 12 9 2 2" xfId="14815"/>
    <cellStyle name="Normal 12 9 3" xfId="11287"/>
    <cellStyle name="Normal 12 9 3 2" xfId="22498"/>
    <cellStyle name="Normal 12 9 4" xfId="12894"/>
    <cellStyle name="Normal 12 9_AGL" xfId="32827"/>
    <cellStyle name="Normal 12_AGL" xfId="32828"/>
    <cellStyle name="Normal 13" xfId="1354"/>
    <cellStyle name="Normal 13 10" xfId="3352"/>
    <cellStyle name="Normal 13 10 2" xfId="14564"/>
    <cellStyle name="Normal 13 11" xfId="11141"/>
    <cellStyle name="Normal 13 11 2" xfId="22352"/>
    <cellStyle name="Normal 13 12" xfId="12653"/>
    <cellStyle name="Normal 13 13" xfId="31964"/>
    <cellStyle name="Normal 13 2" xfId="1434"/>
    <cellStyle name="Normal 13 2 2" xfId="3432"/>
    <cellStyle name="Normal 13 2 2 2" xfId="14644"/>
    <cellStyle name="Normal 13 2 3" xfId="11174"/>
    <cellStyle name="Normal 13 2 3 2" xfId="22385"/>
    <cellStyle name="Normal 13 2 4" xfId="12727"/>
    <cellStyle name="Normal 13 2_AGL" xfId="32829"/>
    <cellStyle name="Normal 13 3" xfId="1444"/>
    <cellStyle name="Normal 13 3 2" xfId="3442"/>
    <cellStyle name="Normal 13 3 2 2" xfId="14654"/>
    <cellStyle name="Normal 13 3 3" xfId="11181"/>
    <cellStyle name="Normal 13 3 3 2" xfId="22392"/>
    <cellStyle name="Normal 13 3 4" xfId="12737"/>
    <cellStyle name="Normal 13 3_AGL" xfId="32830"/>
    <cellStyle name="Normal 13 4" xfId="1454"/>
    <cellStyle name="Normal 13 4 2" xfId="3452"/>
    <cellStyle name="Normal 13 4 2 2" xfId="14663"/>
    <cellStyle name="Normal 13 4 3" xfId="11185"/>
    <cellStyle name="Normal 13 4 3 2" xfId="22396"/>
    <cellStyle name="Normal 13 4 4" xfId="12746"/>
    <cellStyle name="Normal 13 4_AGL" xfId="32831"/>
    <cellStyle name="Normal 13 5" xfId="1558"/>
    <cellStyle name="Normal 13 5 2" xfId="3556"/>
    <cellStyle name="Normal 13 5 2 2" xfId="14767"/>
    <cellStyle name="Normal 13 5 3" xfId="11240"/>
    <cellStyle name="Normal 13 5 3 2" xfId="22451"/>
    <cellStyle name="Normal 13 5 4" xfId="12846"/>
    <cellStyle name="Normal 13 5_AGL" xfId="32832"/>
    <cellStyle name="Normal 13 6" xfId="1571"/>
    <cellStyle name="Normal 13 6 2" xfId="3569"/>
    <cellStyle name="Normal 13 6 2 2" xfId="14780"/>
    <cellStyle name="Normal 13 6 3" xfId="11252"/>
    <cellStyle name="Normal 13 6 3 2" xfId="22463"/>
    <cellStyle name="Normal 13 6 4" xfId="12859"/>
    <cellStyle name="Normal 13 6_AGL" xfId="32833"/>
    <cellStyle name="Normal 13 7" xfId="1588"/>
    <cellStyle name="Normal 13 7 2" xfId="3586"/>
    <cellStyle name="Normal 13 7 2 2" xfId="14797"/>
    <cellStyle name="Normal 13 7 3" xfId="11269"/>
    <cellStyle name="Normal 13 7 3 2" xfId="22480"/>
    <cellStyle name="Normal 13 7 4" xfId="12876"/>
    <cellStyle name="Normal 13 7_AGL" xfId="32834"/>
    <cellStyle name="Normal 13 8" xfId="1608"/>
    <cellStyle name="Normal 13 8 2" xfId="3606"/>
    <cellStyle name="Normal 13 8 2 2" xfId="14817"/>
    <cellStyle name="Normal 13 8 3" xfId="11289"/>
    <cellStyle name="Normal 13 8 3 2" xfId="22500"/>
    <cellStyle name="Normal 13 8 4" xfId="12896"/>
    <cellStyle name="Normal 13 8_AGL" xfId="32835"/>
    <cellStyle name="Normal 13 9" xfId="1615"/>
    <cellStyle name="Normal 13 9 2" xfId="3613"/>
    <cellStyle name="Normal 13 9 2 2" xfId="14824"/>
    <cellStyle name="Normal 13 9 3" xfId="11296"/>
    <cellStyle name="Normal 13 9 3 2" xfId="22507"/>
    <cellStyle name="Normal 13 9 4" xfId="12903"/>
    <cellStyle name="Normal 13 9_AGL" xfId="32836"/>
    <cellStyle name="Normal 13_AGL" xfId="32837"/>
    <cellStyle name="Normal 14" xfId="1413"/>
    <cellStyle name="Normal 14 2" xfId="1538"/>
    <cellStyle name="Normal 14 2 2" xfId="3536"/>
    <cellStyle name="Normal 14 2 2 2" xfId="14747"/>
    <cellStyle name="Normal 14 2 3" xfId="11220"/>
    <cellStyle name="Normal 14 2 3 2" xfId="22431"/>
    <cellStyle name="Normal 14 2 4" xfId="12826"/>
    <cellStyle name="Normal 14 2_AGL" xfId="32838"/>
    <cellStyle name="Normal 14 3" xfId="3411"/>
    <cellStyle name="Normal 14 3 2" xfId="14623"/>
    <cellStyle name="Normal 14 4" xfId="11154"/>
    <cellStyle name="Normal 14 4 2" xfId="22365"/>
    <cellStyle name="Normal 14 5" xfId="12706"/>
    <cellStyle name="Normal 14_AGL" xfId="32839"/>
    <cellStyle name="Normal 15" xfId="1404"/>
    <cellStyle name="Normal 15 2" xfId="1506"/>
    <cellStyle name="Normal 15 2 2" xfId="3504"/>
    <cellStyle name="Normal 15 2 2 2" xfId="14715"/>
    <cellStyle name="Normal 15 2 3" xfId="11191"/>
    <cellStyle name="Normal 15 2 3 2" xfId="22402"/>
    <cellStyle name="Normal 15 2 4" xfId="12795"/>
    <cellStyle name="Normal 15 2_AGL" xfId="32840"/>
    <cellStyle name="Normal 15 3" xfId="3402"/>
    <cellStyle name="Normal 15 3 2" xfId="14614"/>
    <cellStyle name="Normal 15 4" xfId="11152"/>
    <cellStyle name="Normal 15 4 2" xfId="22363"/>
    <cellStyle name="Normal 15 5" xfId="12697"/>
    <cellStyle name="Normal 15_AGL" xfId="32841"/>
    <cellStyle name="Normal 16" xfId="1448"/>
    <cellStyle name="Normal 16 2" xfId="1504"/>
    <cellStyle name="Normal 16 2 2" xfId="32842"/>
    <cellStyle name="Normal 16 2 3" xfId="33254"/>
    <cellStyle name="Normal 16 2_AGL" xfId="32843"/>
    <cellStyle name="Normal 16 3" xfId="1530"/>
    <cellStyle name="Normal 16 3 2" xfId="3528"/>
    <cellStyle name="Normal 16 3 2 2" xfId="14739"/>
    <cellStyle name="Normal 16 3 3" xfId="11214"/>
    <cellStyle name="Normal 16 3 3 2" xfId="22425"/>
    <cellStyle name="Normal 16 3 4" xfId="12819"/>
    <cellStyle name="Normal 16 3_AGL" xfId="32844"/>
    <cellStyle name="Normal 16 4" xfId="1564"/>
    <cellStyle name="Normal 16 4 2" xfId="3562"/>
    <cellStyle name="Normal 16 4 2 2" xfId="14773"/>
    <cellStyle name="Normal 16 4 3" xfId="11245"/>
    <cellStyle name="Normal 16 4 3 2" xfId="22456"/>
    <cellStyle name="Normal 16 4 4" xfId="12852"/>
    <cellStyle name="Normal 16 4_AGL" xfId="32845"/>
    <cellStyle name="Normal 16 5" xfId="1594"/>
    <cellStyle name="Normal 16 5 2" xfId="3592"/>
    <cellStyle name="Normal 16 5 2 2" xfId="14803"/>
    <cellStyle name="Normal 16 5 3" xfId="11275"/>
    <cellStyle name="Normal 16 5 3 2" xfId="22486"/>
    <cellStyle name="Normal 16 5 4" xfId="12882"/>
    <cellStyle name="Normal 16 5_AGL" xfId="32846"/>
    <cellStyle name="Normal 16 6" xfId="1599"/>
    <cellStyle name="Normal 16 6 2" xfId="3597"/>
    <cellStyle name="Normal 16 6 2 2" xfId="14808"/>
    <cellStyle name="Normal 16 6 3" xfId="11280"/>
    <cellStyle name="Normal 16 6 3 2" xfId="22491"/>
    <cellStyle name="Normal 16 6 4" xfId="12887"/>
    <cellStyle name="Normal 16 6_AGL" xfId="32847"/>
    <cellStyle name="Normal 16 7" xfId="3446"/>
    <cellStyle name="Normal 16_AGL" xfId="32848"/>
    <cellStyle name="Normal 17" xfId="1459"/>
    <cellStyle name="Normal 17 2" xfId="3457"/>
    <cellStyle name="Normal 17 2 2" xfId="14668"/>
    <cellStyle name="Normal 17 3" xfId="11190"/>
    <cellStyle name="Normal 17 3 2" xfId="22401"/>
    <cellStyle name="Normal 17 4" xfId="12751"/>
    <cellStyle name="Normal 17_AGL" xfId="32849"/>
    <cellStyle name="Normal 18" xfId="1460"/>
    <cellStyle name="Normal 18 2" xfId="1593"/>
    <cellStyle name="Normal 18 2 2" xfId="3591"/>
    <cellStyle name="Normal 18 2 2 2" xfId="14802"/>
    <cellStyle name="Normal 18 2 3" xfId="11274"/>
    <cellStyle name="Normal 18 2 3 2" xfId="22485"/>
    <cellStyle name="Normal 18 2 4" xfId="12881"/>
    <cellStyle name="Normal 18 2_AGL" xfId="32850"/>
    <cellStyle name="Normal 18 3" xfId="1603"/>
    <cellStyle name="Normal 18 3 2" xfId="3601"/>
    <cellStyle name="Normal 18 3 2 2" xfId="14812"/>
    <cellStyle name="Normal 18 3 3" xfId="11284"/>
    <cellStyle name="Normal 18 3 3 2" xfId="22495"/>
    <cellStyle name="Normal 18 3 4" xfId="12891"/>
    <cellStyle name="Normal 18 3_AGL" xfId="32851"/>
    <cellStyle name="Normal 18 4" xfId="32852"/>
    <cellStyle name="Normal 18 5" xfId="33255"/>
    <cellStyle name="Normal 18_AGL" xfId="32853"/>
    <cellStyle name="Normal 19" xfId="1577"/>
    <cellStyle name="Normal 19 2" xfId="1601"/>
    <cellStyle name="Normal 19 2 2" xfId="3599"/>
    <cellStyle name="Normal 19 2 2 2" xfId="14810"/>
    <cellStyle name="Normal 19 2 3" xfId="11282"/>
    <cellStyle name="Normal 19 2 3 2" xfId="22493"/>
    <cellStyle name="Normal 19 2 4" xfId="12889"/>
    <cellStyle name="Normal 19 2_AGL" xfId="32854"/>
    <cellStyle name="Normal 19 3" xfId="3575"/>
    <cellStyle name="Normal 19 3 2" xfId="14786"/>
    <cellStyle name="Normal 19 4" xfId="11258"/>
    <cellStyle name="Normal 19 4 2" xfId="22469"/>
    <cellStyle name="Normal 19 5" xfId="12865"/>
    <cellStyle name="Normal 19_AGL" xfId="32855"/>
    <cellStyle name="Normal 2" xfId="6"/>
    <cellStyle name="Normal 2 2" xfId="456"/>
    <cellStyle name="Normal 2 2 2" xfId="790"/>
    <cellStyle name="Normal 2 2 2 2" xfId="966"/>
    <cellStyle name="Normal 2 2 2 3" xfId="1295"/>
    <cellStyle name="Normal 2 2 2 3 2" xfId="32856"/>
    <cellStyle name="Normal 2 2 2 3 3" xfId="33256"/>
    <cellStyle name="Normal 2 2 2 3_AGL" xfId="32857"/>
    <cellStyle name="Normal 2 2 2 4" xfId="32858"/>
    <cellStyle name="Normal 2 2 2 5" xfId="33257"/>
    <cellStyle name="Normal 2 2 2_AGL" xfId="32859"/>
    <cellStyle name="Normal 2 2 3" xfId="934"/>
    <cellStyle name="Normal 2 2 4" xfId="1294"/>
    <cellStyle name="Normal 2 2 4 2" xfId="32860"/>
    <cellStyle name="Normal 2 2 4 3" xfId="33258"/>
    <cellStyle name="Normal 2 2 4_AGL" xfId="32861"/>
    <cellStyle name="Normal 2 2 5" xfId="32862"/>
    <cellStyle name="Normal 2 2 6" xfId="33259"/>
    <cellStyle name="Normal 2 2_AGL" xfId="32863"/>
    <cellStyle name="Normal 2 3" xfId="935"/>
    <cellStyle name="Normal 2 4" xfId="936"/>
    <cellStyle name="Normal 2 4 2" xfId="32864"/>
    <cellStyle name="Normal 2 4 3" xfId="33260"/>
    <cellStyle name="Normal 2 4_AGL" xfId="32865"/>
    <cellStyle name="Normal 2 5" xfId="933"/>
    <cellStyle name="Normal 2 6" xfId="1660"/>
    <cellStyle name="Normal 2 6 2" xfId="33348"/>
    <cellStyle name="Normal 2 7" xfId="33350"/>
    <cellStyle name="Normal 2_Sheet1" xfId="33352"/>
    <cellStyle name="Normal 20" xfId="1578"/>
    <cellStyle name="Normal 20 2" xfId="3576"/>
    <cellStyle name="Normal 20 2 2" xfId="14787"/>
    <cellStyle name="Normal 20 3" xfId="11259"/>
    <cellStyle name="Normal 20 3 2" xfId="22470"/>
    <cellStyle name="Normal 20 4" xfId="12866"/>
    <cellStyle name="Normal 20_AGL" xfId="32866"/>
    <cellStyle name="Normal 21" xfId="1611"/>
    <cellStyle name="Normal 21 2" xfId="3609"/>
    <cellStyle name="Normal 21 2 2" xfId="14820"/>
    <cellStyle name="Normal 21 3" xfId="11292"/>
    <cellStyle name="Normal 21 3 2" xfId="22503"/>
    <cellStyle name="Normal 21 4" xfId="12899"/>
    <cellStyle name="Normal 21_AGL" xfId="32867"/>
    <cellStyle name="Normal 22" xfId="1613"/>
    <cellStyle name="Normal 22 2" xfId="3611"/>
    <cellStyle name="Normal 22 2 2" xfId="14822"/>
    <cellStyle name="Normal 22 3" xfId="11294"/>
    <cellStyle name="Normal 22 3 2" xfId="22505"/>
    <cellStyle name="Normal 22 4" xfId="12901"/>
    <cellStyle name="Normal 22_AGL" xfId="32868"/>
    <cellStyle name="Normal 23" xfId="1626"/>
    <cellStyle name="Normal 23 2" xfId="3624"/>
    <cellStyle name="Normal 23 2 2" xfId="14835"/>
    <cellStyle name="Normal 23 3" xfId="11307"/>
    <cellStyle name="Normal 23 3 2" xfId="22518"/>
    <cellStyle name="Normal 23 4" xfId="12914"/>
    <cellStyle name="Normal 23_AGL" xfId="32869"/>
    <cellStyle name="Normal 24" xfId="1630"/>
    <cellStyle name="Normal 24 2" xfId="3628"/>
    <cellStyle name="Normal 24 2 2" xfId="14839"/>
    <cellStyle name="Normal 24 3" xfId="11311"/>
    <cellStyle name="Normal 24 3 2" xfId="22522"/>
    <cellStyle name="Normal 24 4" xfId="12918"/>
    <cellStyle name="Normal 24_AGL" xfId="32870"/>
    <cellStyle name="Normal 25" xfId="1631"/>
    <cellStyle name="Normal 25 2" xfId="3629"/>
    <cellStyle name="Normal 25 2 2" xfId="14840"/>
    <cellStyle name="Normal 25 3" xfId="11312"/>
    <cellStyle name="Normal 25 3 2" xfId="22523"/>
    <cellStyle name="Normal 25 4" xfId="12919"/>
    <cellStyle name="Normal 25_AGL" xfId="32871"/>
    <cellStyle name="Normal 26" xfId="1632"/>
    <cellStyle name="Normal 26 2" xfId="3630"/>
    <cellStyle name="Normal 26 2 2" xfId="14841"/>
    <cellStyle name="Normal 26 3" xfId="11313"/>
    <cellStyle name="Normal 26 3 2" xfId="22524"/>
    <cellStyle name="Normal 26 4" xfId="12920"/>
    <cellStyle name="Normal 26_AGL" xfId="32872"/>
    <cellStyle name="Normal 27" xfId="1633"/>
    <cellStyle name="Normal 27 2" xfId="3631"/>
    <cellStyle name="Normal 27 2 2" xfId="14842"/>
    <cellStyle name="Normal 27 3" xfId="11314"/>
    <cellStyle name="Normal 27 3 2" xfId="22525"/>
    <cellStyle name="Normal 27 4" xfId="12921"/>
    <cellStyle name="Normal 27_AGL" xfId="32873"/>
    <cellStyle name="Normal 28" xfId="1634"/>
    <cellStyle name="Normal 28 2" xfId="3632"/>
    <cellStyle name="Normal 28 2 2" xfId="14843"/>
    <cellStyle name="Normal 28 3" xfId="11315"/>
    <cellStyle name="Normal 28 3 2" xfId="22526"/>
    <cellStyle name="Normal 28 4" xfId="12922"/>
    <cellStyle name="Normal 28_AGL" xfId="32874"/>
    <cellStyle name="Normal 29" xfId="1625"/>
    <cellStyle name="Normal 29 2" xfId="3623"/>
    <cellStyle name="Normal 29 2 2" xfId="14834"/>
    <cellStyle name="Normal 29 3" xfId="11306"/>
    <cellStyle name="Normal 29 3 2" xfId="22517"/>
    <cellStyle name="Normal 29 4" xfId="12913"/>
    <cellStyle name="Normal 29_AGL" xfId="32875"/>
    <cellStyle name="Normal 3" xfId="454"/>
    <cellStyle name="Normal 3 2" xfId="789"/>
    <cellStyle name="Normal 3 2 10" xfId="1539"/>
    <cellStyle name="Normal 3 2 10 2" xfId="3537"/>
    <cellStyle name="Normal 3 2 10 2 2" xfId="14748"/>
    <cellStyle name="Normal 3 2 10 3" xfId="11221"/>
    <cellStyle name="Normal 3 2 10 3 2" xfId="22432"/>
    <cellStyle name="Normal 3 2 10 4" xfId="12827"/>
    <cellStyle name="Normal 3 2 10_AGL" xfId="32876"/>
    <cellStyle name="Normal 3 2 11" xfId="1540"/>
    <cellStyle name="Normal 3 2 11 2" xfId="3538"/>
    <cellStyle name="Normal 3 2 11 2 2" xfId="14749"/>
    <cellStyle name="Normal 3 2 11 3" xfId="11222"/>
    <cellStyle name="Normal 3 2 11 3 2" xfId="22433"/>
    <cellStyle name="Normal 3 2 11 4" xfId="12828"/>
    <cellStyle name="Normal 3 2 11_AGL" xfId="32877"/>
    <cellStyle name="Normal 3 2 12" xfId="1579"/>
    <cellStyle name="Normal 3 2 12 2" xfId="3577"/>
    <cellStyle name="Normal 3 2 12 2 2" xfId="14788"/>
    <cellStyle name="Normal 3 2 12 3" xfId="11260"/>
    <cellStyle name="Normal 3 2 12 3 2" xfId="22471"/>
    <cellStyle name="Normal 3 2 12 4" xfId="12867"/>
    <cellStyle name="Normal 3 2 12_AGL" xfId="32878"/>
    <cellStyle name="Normal 3 2 13" xfId="1580"/>
    <cellStyle name="Normal 3 2 13 2" xfId="3578"/>
    <cellStyle name="Normal 3 2 13 2 2" xfId="14789"/>
    <cellStyle name="Normal 3 2 13 3" xfId="11261"/>
    <cellStyle name="Normal 3 2 13 3 2" xfId="22472"/>
    <cellStyle name="Normal 3 2 13 4" xfId="12868"/>
    <cellStyle name="Normal 3 2 13_AGL" xfId="32879"/>
    <cellStyle name="Normal 3 2 14" xfId="1581"/>
    <cellStyle name="Normal 3 2 14 2" xfId="3579"/>
    <cellStyle name="Normal 3 2 14 2 2" xfId="14790"/>
    <cellStyle name="Normal 3 2 14 3" xfId="11262"/>
    <cellStyle name="Normal 3 2 14 3 2" xfId="22473"/>
    <cellStyle name="Normal 3 2 14 4" xfId="12869"/>
    <cellStyle name="Normal 3 2 14_AGL" xfId="32880"/>
    <cellStyle name="Normal 3 2 15" xfId="1616"/>
    <cellStyle name="Normal 3 2 15 2" xfId="3614"/>
    <cellStyle name="Normal 3 2 15 2 2" xfId="14825"/>
    <cellStyle name="Normal 3 2 15 3" xfId="11297"/>
    <cellStyle name="Normal 3 2 15 3 2" xfId="22508"/>
    <cellStyle name="Normal 3 2 15 4" xfId="12904"/>
    <cellStyle name="Normal 3 2 15_AGL" xfId="32881"/>
    <cellStyle name="Normal 3 2 16" xfId="1639"/>
    <cellStyle name="Normal 3 2 16 2" xfId="3637"/>
    <cellStyle name="Normal 3 2 16 2 2" xfId="14848"/>
    <cellStyle name="Normal 3 2 16 3" xfId="11320"/>
    <cellStyle name="Normal 3 2 16 3 2" xfId="22531"/>
    <cellStyle name="Normal 3 2 16 4" xfId="12927"/>
    <cellStyle name="Normal 3 2 16_AGL" xfId="32882"/>
    <cellStyle name="Normal 3 2 17" xfId="1646"/>
    <cellStyle name="Normal 3 2 17 2" xfId="3644"/>
    <cellStyle name="Normal 3 2 17 2 2" xfId="14855"/>
    <cellStyle name="Normal 3 2 17 3" xfId="11325"/>
    <cellStyle name="Normal 3 2 17 3 2" xfId="22536"/>
    <cellStyle name="Normal 3 2 17 4" xfId="12933"/>
    <cellStyle name="Normal 3 2 17_AGL" xfId="32883"/>
    <cellStyle name="Normal 3 2 18" xfId="31811"/>
    <cellStyle name="Normal 3 2 19" xfId="33261"/>
    <cellStyle name="Normal 3 2 2" xfId="938"/>
    <cellStyle name="Normal 3 2 2 2" xfId="1298"/>
    <cellStyle name="Normal 3 2 2 2 2" xfId="3296"/>
    <cellStyle name="Normal 3 2 2 2 2 2" xfId="14508"/>
    <cellStyle name="Normal 3 2 2 2 3" xfId="11092"/>
    <cellStyle name="Normal 3 2 2 2 3 2" xfId="22303"/>
    <cellStyle name="Normal 3 2 2 2 4" xfId="12599"/>
    <cellStyle name="Normal 3 2 2 2_AGL" xfId="32884"/>
    <cellStyle name="Normal 3 2 2 3" xfId="1332"/>
    <cellStyle name="Normal 3 2 2 3 2" xfId="3330"/>
    <cellStyle name="Normal 3 2 2 3 2 2" xfId="14542"/>
    <cellStyle name="Normal 3 2 2 3 3" xfId="11119"/>
    <cellStyle name="Normal 3 2 2 3 3 2" xfId="22330"/>
    <cellStyle name="Normal 3 2 2 3 4" xfId="12631"/>
    <cellStyle name="Normal 3 2 2 3_AGL" xfId="32885"/>
    <cellStyle name="Normal 3 2 2 4" xfId="2936"/>
    <cellStyle name="Normal 3 2 2 4 2" xfId="14148"/>
    <cellStyle name="Normal 3 2 2 5" xfId="10792"/>
    <cellStyle name="Normal 3 2 2 5 2" xfId="22003"/>
    <cellStyle name="Normal 3 2 2 6" xfId="12251"/>
    <cellStyle name="Normal 3 2 2_AGL" xfId="32886"/>
    <cellStyle name="Normal 3 2 3" xfId="959"/>
    <cellStyle name="Normal 3 2 3 2" xfId="1299"/>
    <cellStyle name="Normal 3 2 3 2 2" xfId="3297"/>
    <cellStyle name="Normal 3 2 3 2 2 2" xfId="14509"/>
    <cellStyle name="Normal 3 2 3 2 3" xfId="11093"/>
    <cellStyle name="Normal 3 2 3 2 3 2" xfId="22304"/>
    <cellStyle name="Normal 3 2 3 2 4" xfId="12600"/>
    <cellStyle name="Normal 3 2 3 2_AGL" xfId="32887"/>
    <cellStyle name="Normal 3 2 3 3" xfId="1333"/>
    <cellStyle name="Normal 3 2 3 3 2" xfId="3331"/>
    <cellStyle name="Normal 3 2 3 3 2 2" xfId="14543"/>
    <cellStyle name="Normal 3 2 3 3 3" xfId="11120"/>
    <cellStyle name="Normal 3 2 3 3 3 2" xfId="22331"/>
    <cellStyle name="Normal 3 2 3 3 4" xfId="12632"/>
    <cellStyle name="Normal 3 2 3 3_AGL" xfId="32888"/>
    <cellStyle name="Normal 3 2 3 4" xfId="2957"/>
    <cellStyle name="Normal 3 2 3 4 2" xfId="14169"/>
    <cellStyle name="Normal 3 2 3 5" xfId="10799"/>
    <cellStyle name="Normal 3 2 3 5 2" xfId="22010"/>
    <cellStyle name="Normal 3 2 3 6" xfId="12267"/>
    <cellStyle name="Normal 3 2 3_AGL" xfId="32889"/>
    <cellStyle name="Normal 3 2 4" xfId="974"/>
    <cellStyle name="Normal 3 2 4 2" xfId="1300"/>
    <cellStyle name="Normal 3 2 4 2 2" xfId="3298"/>
    <cellStyle name="Normal 3 2 4 2 2 2" xfId="14510"/>
    <cellStyle name="Normal 3 2 4 2 3" xfId="11094"/>
    <cellStyle name="Normal 3 2 4 2 3 2" xfId="22305"/>
    <cellStyle name="Normal 3 2 4 2 4" xfId="12601"/>
    <cellStyle name="Normal 3 2 4 2_AGL" xfId="32890"/>
    <cellStyle name="Normal 3 2 4 3" xfId="1334"/>
    <cellStyle name="Normal 3 2 4 3 2" xfId="3332"/>
    <cellStyle name="Normal 3 2 4 3 2 2" xfId="14544"/>
    <cellStyle name="Normal 3 2 4 3 3" xfId="11121"/>
    <cellStyle name="Normal 3 2 4 3 3 2" xfId="22332"/>
    <cellStyle name="Normal 3 2 4 3 4" xfId="12633"/>
    <cellStyle name="Normal 3 2 4 3_AGL" xfId="32891"/>
    <cellStyle name="Normal 3 2 4 4" xfId="2972"/>
    <cellStyle name="Normal 3 2 4 4 2" xfId="14184"/>
    <cellStyle name="Normal 3 2 4 5" xfId="10809"/>
    <cellStyle name="Normal 3 2 4 5 2" xfId="22020"/>
    <cellStyle name="Normal 3 2 4 6" xfId="12282"/>
    <cellStyle name="Normal 3 2 4_AGL" xfId="32892"/>
    <cellStyle name="Normal 3 2 5" xfId="1115"/>
    <cellStyle name="Normal 3 2 5 2" xfId="1541"/>
    <cellStyle name="Normal 3 2 5 2 2" xfId="3539"/>
    <cellStyle name="Normal 3 2 5 2 2 2" xfId="14750"/>
    <cellStyle name="Normal 3 2 5 2 3" xfId="11223"/>
    <cellStyle name="Normal 3 2 5 2 3 2" xfId="22434"/>
    <cellStyle name="Normal 3 2 5 2 4" xfId="12829"/>
    <cellStyle name="Normal 3 2 5 2_AGL" xfId="32893"/>
    <cellStyle name="Normal 3 2 5 3" xfId="3113"/>
    <cellStyle name="Normal 3 2 5 3 2" xfId="14325"/>
    <cellStyle name="Normal 3 2 5 4" xfId="10939"/>
    <cellStyle name="Normal 3 2 5 4 2" xfId="22150"/>
    <cellStyle name="Normal 3 2 5 5" xfId="12421"/>
    <cellStyle name="Normal 3 2 5_AGL" xfId="32894"/>
    <cellStyle name="Normal 3 2 6" xfId="1297"/>
    <cellStyle name="Normal 3 2 6 2" xfId="1542"/>
    <cellStyle name="Normal 3 2 6 2 2" xfId="3540"/>
    <cellStyle name="Normal 3 2 6 2 2 2" xfId="14751"/>
    <cellStyle name="Normal 3 2 6 2 3" xfId="11224"/>
    <cellStyle name="Normal 3 2 6 2 3 2" xfId="22435"/>
    <cellStyle name="Normal 3 2 6 2 4" xfId="12830"/>
    <cellStyle name="Normal 3 2 6 2_AGL" xfId="32895"/>
    <cellStyle name="Normal 3 2 6 3" xfId="32896"/>
    <cellStyle name="Normal 3 2 6 4" xfId="33262"/>
    <cellStyle name="Normal 3 2 6_AGL" xfId="32897"/>
    <cellStyle name="Normal 3 2 7" xfId="1414"/>
    <cellStyle name="Normal 3 2 7 2" xfId="1543"/>
    <cellStyle name="Normal 3 2 7 2 2" xfId="3541"/>
    <cellStyle name="Normal 3 2 7 2 2 2" xfId="14752"/>
    <cellStyle name="Normal 3 2 7 2 3" xfId="11225"/>
    <cellStyle name="Normal 3 2 7 2 3 2" xfId="22436"/>
    <cellStyle name="Normal 3 2 7 2 4" xfId="12831"/>
    <cellStyle name="Normal 3 2 7 2_AGL" xfId="32898"/>
    <cellStyle name="Normal 3 2 7 3" xfId="3412"/>
    <cellStyle name="Normal 3 2 7 3 2" xfId="14624"/>
    <cellStyle name="Normal 3 2 7 4" xfId="11155"/>
    <cellStyle name="Normal 3 2 7 4 2" xfId="22366"/>
    <cellStyle name="Normal 3 2 7 5" xfId="12707"/>
    <cellStyle name="Normal 3 2 7_AGL" xfId="32899"/>
    <cellStyle name="Normal 3 2 8" xfId="1415"/>
    <cellStyle name="Normal 3 2 8 2" xfId="1544"/>
    <cellStyle name="Normal 3 2 8 2 2" xfId="3542"/>
    <cellStyle name="Normal 3 2 8 2 2 2" xfId="14753"/>
    <cellStyle name="Normal 3 2 8 2 3" xfId="11226"/>
    <cellStyle name="Normal 3 2 8 2 3 2" xfId="22437"/>
    <cellStyle name="Normal 3 2 8 2 4" xfId="12832"/>
    <cellStyle name="Normal 3 2 8 2_AGL" xfId="32900"/>
    <cellStyle name="Normal 3 2 8 3" xfId="3413"/>
    <cellStyle name="Normal 3 2 8 3 2" xfId="14625"/>
    <cellStyle name="Normal 3 2 8 4" xfId="11156"/>
    <cellStyle name="Normal 3 2 8 4 2" xfId="22367"/>
    <cellStyle name="Normal 3 2 8 5" xfId="12708"/>
    <cellStyle name="Normal 3 2 8_AGL" xfId="32901"/>
    <cellStyle name="Normal 3 2 9" xfId="1545"/>
    <cellStyle name="Normal 3 2 9 2" xfId="3543"/>
    <cellStyle name="Normal 3 2 9 2 2" xfId="14754"/>
    <cellStyle name="Normal 3 2 9 3" xfId="11227"/>
    <cellStyle name="Normal 3 2 9 3 2" xfId="22438"/>
    <cellStyle name="Normal 3 2 9 4" xfId="12833"/>
    <cellStyle name="Normal 3 2 9_AGL" xfId="32902"/>
    <cellStyle name="Normal 3 2_AGL" xfId="32903"/>
    <cellStyle name="Normal 3 3" xfId="937"/>
    <cellStyle name="Normal 3 4" xfId="1296"/>
    <cellStyle name="Normal 3 4 2" xfId="32904"/>
    <cellStyle name="Normal 3 4 3" xfId="33263"/>
    <cellStyle name="Normal 3 4_AGL" xfId="32905"/>
    <cellStyle name="Normal 3 5" xfId="32906"/>
    <cellStyle name="Normal 3 6" xfId="33264"/>
    <cellStyle name="Normal 3_AGL" xfId="32907"/>
    <cellStyle name="Normal 30" xfId="1637"/>
    <cellStyle name="Normal 30 2" xfId="3635"/>
    <cellStyle name="Normal 30 2 2" xfId="14846"/>
    <cellStyle name="Normal 30 3" xfId="11318"/>
    <cellStyle name="Normal 30 3 2" xfId="22529"/>
    <cellStyle name="Normal 30 4" xfId="12925"/>
    <cellStyle name="Normal 30_AGL" xfId="32908"/>
    <cellStyle name="Normal 31" xfId="1644"/>
    <cellStyle name="Normal 31 2" xfId="3642"/>
    <cellStyle name="Normal 31 2 2" xfId="14853"/>
    <cellStyle name="Normal 31 3" xfId="11323"/>
    <cellStyle name="Normal 31 3 2" xfId="22534"/>
    <cellStyle name="Normal 31 4" xfId="12931"/>
    <cellStyle name="Normal 31_AGL" xfId="32909"/>
    <cellStyle name="Normal 32" xfId="1651"/>
    <cellStyle name="Normal 32 2" xfId="3649"/>
    <cellStyle name="Normal 32 2 2" xfId="14860"/>
    <cellStyle name="Normal 32 3" xfId="11330"/>
    <cellStyle name="Normal 32 3 2" xfId="22541"/>
    <cellStyle name="Normal 32 4" xfId="12938"/>
    <cellStyle name="Normal 32_AGL" xfId="32910"/>
    <cellStyle name="Normal 33" xfId="1653"/>
    <cellStyle name="Normal 33 2" xfId="3651"/>
    <cellStyle name="Normal 33 2 2" xfId="14862"/>
    <cellStyle name="Normal 33 3" xfId="11332"/>
    <cellStyle name="Normal 33 3 2" xfId="22543"/>
    <cellStyle name="Normal 33 4" xfId="12940"/>
    <cellStyle name="Normal 33_AGL" xfId="32911"/>
    <cellStyle name="Normal 34" xfId="1654"/>
    <cellStyle name="Normal 34 2" xfId="3652"/>
    <cellStyle name="Normal 34 2 2" xfId="14863"/>
    <cellStyle name="Normal 34 3" xfId="11333"/>
    <cellStyle name="Normal 34 3 2" xfId="22544"/>
    <cellStyle name="Normal 34 4" xfId="12941"/>
    <cellStyle name="Normal 34_AGL" xfId="32912"/>
    <cellStyle name="Normal 35" xfId="1655"/>
    <cellStyle name="Normal 35 2" xfId="33344"/>
    <cellStyle name="Normal 36" xfId="1995"/>
    <cellStyle name="Normal 36 2" xfId="3993"/>
    <cellStyle name="Normal 36 2 2" xfId="15204"/>
    <cellStyle name="Normal 36 3" xfId="11334"/>
    <cellStyle name="Normal 36 3 2" xfId="22545"/>
    <cellStyle name="Normal 36 4" xfId="13207"/>
    <cellStyle name="Normal 37" xfId="31684"/>
    <cellStyle name="Normal 38" xfId="31962"/>
    <cellStyle name="Normal 39" xfId="31970"/>
    <cellStyle name="Normal 4" xfId="828"/>
    <cellStyle name="Normal 4 10" xfId="1582"/>
    <cellStyle name="Normal 4 10 2" xfId="3580"/>
    <cellStyle name="Normal 4 10 2 2" xfId="14791"/>
    <cellStyle name="Normal 4 10 3" xfId="11263"/>
    <cellStyle name="Normal 4 10 3 2" xfId="22474"/>
    <cellStyle name="Normal 4 10 4" xfId="12870"/>
    <cellStyle name="Normal 4 10_AGL" xfId="32913"/>
    <cellStyle name="Normal 4 11" xfId="1583"/>
    <cellStyle name="Normal 4 11 2" xfId="3581"/>
    <cellStyle name="Normal 4 11 2 2" xfId="14792"/>
    <cellStyle name="Normal 4 11 3" xfId="11264"/>
    <cellStyle name="Normal 4 11 3 2" xfId="22475"/>
    <cellStyle name="Normal 4 11 4" xfId="12871"/>
    <cellStyle name="Normal 4 11_AGL" xfId="32914"/>
    <cellStyle name="Normal 4 12" xfId="1640"/>
    <cellStyle name="Normal 4 12 2" xfId="3638"/>
    <cellStyle name="Normal 4 12 2 2" xfId="14849"/>
    <cellStyle name="Normal 4 12 3" xfId="11321"/>
    <cellStyle name="Normal 4 12 3 2" xfId="22532"/>
    <cellStyle name="Normal 4 12 4" xfId="12928"/>
    <cellStyle name="Normal 4 12_AGL" xfId="32915"/>
    <cellStyle name="Normal 4 13" xfId="1647"/>
    <cellStyle name="Normal 4 13 2" xfId="3645"/>
    <cellStyle name="Normal 4 13 2 2" xfId="14856"/>
    <cellStyle name="Normal 4 13 3" xfId="11326"/>
    <cellStyle name="Normal 4 13 3 2" xfId="22537"/>
    <cellStyle name="Normal 4 13 4" xfId="12934"/>
    <cellStyle name="Normal 4 13_AGL" xfId="32916"/>
    <cellStyle name="Normal 4 14" xfId="32917"/>
    <cellStyle name="Normal 4 15" xfId="33265"/>
    <cellStyle name="Normal 4 2" xfId="940"/>
    <cellStyle name="Normal 4 2 2" xfId="963"/>
    <cellStyle name="Normal 4 2 2 2" xfId="1303"/>
    <cellStyle name="Normal 4 2 2 2 2" xfId="3301"/>
    <cellStyle name="Normal 4 2 2 2 2 2" xfId="14513"/>
    <cellStyle name="Normal 4 2 2 2 3" xfId="11096"/>
    <cellStyle name="Normal 4 2 2 2 3 2" xfId="22307"/>
    <cellStyle name="Normal 4 2 2 2 4" xfId="12604"/>
    <cellStyle name="Normal 4 2 2 2_AGL" xfId="32918"/>
    <cellStyle name="Normal 4 2 2 3" xfId="1336"/>
    <cellStyle name="Normal 4 2 2 3 2" xfId="3334"/>
    <cellStyle name="Normal 4 2 2 3 2 2" xfId="14546"/>
    <cellStyle name="Normal 4 2 2 3 3" xfId="11123"/>
    <cellStyle name="Normal 4 2 2 3 3 2" xfId="22334"/>
    <cellStyle name="Normal 4 2 2 3 4" xfId="12635"/>
    <cellStyle name="Normal 4 2 2 3_AGL" xfId="32919"/>
    <cellStyle name="Normal 4 2 2 4" xfId="2961"/>
    <cellStyle name="Normal 4 2 2 4 2" xfId="14173"/>
    <cellStyle name="Normal 4 2 2 5" xfId="10803"/>
    <cellStyle name="Normal 4 2 2 5 2" xfId="22014"/>
    <cellStyle name="Normal 4 2 2 6" xfId="12271"/>
    <cellStyle name="Normal 4 2 2_AGL" xfId="32920"/>
    <cellStyle name="Normal 4 2 3" xfId="1302"/>
    <cellStyle name="Normal 4 2 3 2" xfId="3300"/>
    <cellStyle name="Normal 4 2 3 2 2" xfId="14512"/>
    <cellStyle name="Normal 4 2 3 3" xfId="11095"/>
    <cellStyle name="Normal 4 2 3 3 2" xfId="22306"/>
    <cellStyle name="Normal 4 2 3 4" xfId="12603"/>
    <cellStyle name="Normal 4 2 3_AGL" xfId="32921"/>
    <cellStyle name="Normal 4 2 4" xfId="1335"/>
    <cellStyle name="Normal 4 2 4 2" xfId="3333"/>
    <cellStyle name="Normal 4 2 4 2 2" xfId="14545"/>
    <cellStyle name="Normal 4 2 4 3" xfId="11122"/>
    <cellStyle name="Normal 4 2 4 3 2" xfId="22333"/>
    <cellStyle name="Normal 4 2 4 4" xfId="12634"/>
    <cellStyle name="Normal 4 2 4_AGL" xfId="32922"/>
    <cellStyle name="Normal 4 2 5" xfId="1617"/>
    <cellStyle name="Normal 4 2 5 2" xfId="3615"/>
    <cellStyle name="Normal 4 2 5 2 2" xfId="14826"/>
    <cellStyle name="Normal 4 2 5 3" xfId="11298"/>
    <cellStyle name="Normal 4 2 5 3 2" xfId="22509"/>
    <cellStyle name="Normal 4 2 5 4" xfId="12905"/>
    <cellStyle name="Normal 4 2 5_AGL" xfId="32923"/>
    <cellStyle name="Normal 4 2 6" xfId="2938"/>
    <cellStyle name="Normal 4 2 6 2" xfId="14150"/>
    <cellStyle name="Normal 4 2 7" xfId="10793"/>
    <cellStyle name="Normal 4 2 7 2" xfId="22004"/>
    <cellStyle name="Normal 4 2 8" xfId="12252"/>
    <cellStyle name="Normal 4 2 9" xfId="31965"/>
    <cellStyle name="Normal 4 2_AGL" xfId="32924"/>
    <cellStyle name="Normal 4 3" xfId="939"/>
    <cellStyle name="Normal 4 4" xfId="960"/>
    <cellStyle name="Normal 4 4 2" xfId="1304"/>
    <cellStyle name="Normal 4 4 2 2" xfId="3302"/>
    <cellStyle name="Normal 4 4 2 2 2" xfId="14514"/>
    <cellStyle name="Normal 4 4 2 3" xfId="11097"/>
    <cellStyle name="Normal 4 4 2 3 2" xfId="22308"/>
    <cellStyle name="Normal 4 4 2 4" xfId="12605"/>
    <cellStyle name="Normal 4 4 2_AGL" xfId="32925"/>
    <cellStyle name="Normal 4 4 3" xfId="1337"/>
    <cellStyle name="Normal 4 4 3 2" xfId="3335"/>
    <cellStyle name="Normal 4 4 3 2 2" xfId="14547"/>
    <cellStyle name="Normal 4 4 3 3" xfId="11124"/>
    <cellStyle name="Normal 4 4 3 3 2" xfId="22335"/>
    <cellStyle name="Normal 4 4 3 4" xfId="12636"/>
    <cellStyle name="Normal 4 4 3_AGL" xfId="32926"/>
    <cellStyle name="Normal 4 4 4" xfId="2958"/>
    <cellStyle name="Normal 4 4 4 2" xfId="14170"/>
    <cellStyle name="Normal 4 4 5" xfId="10800"/>
    <cellStyle name="Normal 4 4 5 2" xfId="22011"/>
    <cellStyle name="Normal 4 4 6" xfId="12268"/>
    <cellStyle name="Normal 4 4_AGL" xfId="32927"/>
    <cellStyle name="Normal 4 5" xfId="975"/>
    <cellStyle name="Normal 4 5 2" xfId="1305"/>
    <cellStyle name="Normal 4 5 2 2" xfId="3303"/>
    <cellStyle name="Normal 4 5 2 2 2" xfId="14515"/>
    <cellStyle name="Normal 4 5 2 3" xfId="11098"/>
    <cellStyle name="Normal 4 5 2 3 2" xfId="22309"/>
    <cellStyle name="Normal 4 5 2 4" xfId="12606"/>
    <cellStyle name="Normal 4 5 2_AGL" xfId="32928"/>
    <cellStyle name="Normal 4 5 3" xfId="1338"/>
    <cellStyle name="Normal 4 5 3 2" xfId="3336"/>
    <cellStyle name="Normal 4 5 3 2 2" xfId="14548"/>
    <cellStyle name="Normal 4 5 3 3" xfId="11125"/>
    <cellStyle name="Normal 4 5 3 3 2" xfId="22336"/>
    <cellStyle name="Normal 4 5 3 4" xfId="12637"/>
    <cellStyle name="Normal 4 5 3_AGL" xfId="32929"/>
    <cellStyle name="Normal 4 5 4" xfId="2973"/>
    <cellStyle name="Normal 4 5 4 2" xfId="14185"/>
    <cellStyle name="Normal 4 5 5" xfId="10810"/>
    <cellStyle name="Normal 4 5 5 2" xfId="22021"/>
    <cellStyle name="Normal 4 5 6" xfId="12283"/>
    <cellStyle name="Normal 4 5_AGL" xfId="32930"/>
    <cellStyle name="Normal 4 6" xfId="1301"/>
    <cellStyle name="Normal 4 6 2" xfId="1546"/>
    <cellStyle name="Normal 4 6 2 2" xfId="3544"/>
    <cellStyle name="Normal 4 6 2 2 2" xfId="14755"/>
    <cellStyle name="Normal 4 6 2 3" xfId="11228"/>
    <cellStyle name="Normal 4 6 2 3 2" xfId="22439"/>
    <cellStyle name="Normal 4 6 2 4" xfId="12834"/>
    <cellStyle name="Normal 4 6 2_AGL" xfId="32931"/>
    <cellStyle name="Normal 4 6 3" xfId="32932"/>
    <cellStyle name="Normal 4 6 4" xfId="33266"/>
    <cellStyle name="Normal 4 6_AGL" xfId="32933"/>
    <cellStyle name="Normal 4 7" xfId="1547"/>
    <cellStyle name="Normal 4 7 2" xfId="3545"/>
    <cellStyle name="Normal 4 7 2 2" xfId="14756"/>
    <cellStyle name="Normal 4 7 3" xfId="11229"/>
    <cellStyle name="Normal 4 7 3 2" xfId="22440"/>
    <cellStyle name="Normal 4 7 4" xfId="12835"/>
    <cellStyle name="Normal 4 7_AGL" xfId="32934"/>
    <cellStyle name="Normal 4 8" xfId="1548"/>
    <cellStyle name="Normal 4 8 2" xfId="3546"/>
    <cellStyle name="Normal 4 8 2 2" xfId="14757"/>
    <cellStyle name="Normal 4 8 3" xfId="11230"/>
    <cellStyle name="Normal 4 8 3 2" xfId="22441"/>
    <cellStyle name="Normal 4 8 4" xfId="12836"/>
    <cellStyle name="Normal 4 8_AGL" xfId="32935"/>
    <cellStyle name="Normal 4 9" xfId="1584"/>
    <cellStyle name="Normal 4 9 2" xfId="3582"/>
    <cellStyle name="Normal 4 9 2 2" xfId="14793"/>
    <cellStyle name="Normal 4 9 3" xfId="11265"/>
    <cellStyle name="Normal 4 9 3 2" xfId="22476"/>
    <cellStyle name="Normal 4 9 4" xfId="12872"/>
    <cellStyle name="Normal 4 9_AGL" xfId="32936"/>
    <cellStyle name="Normal 4_AGL" xfId="32937"/>
    <cellStyle name="Normal 40" xfId="31972"/>
    <cellStyle name="Normal 41" xfId="31973"/>
    <cellStyle name="Normal 42" xfId="32248"/>
    <cellStyle name="Normal 43" xfId="32260"/>
    <cellStyle name="Normal 44" xfId="33025"/>
    <cellStyle name="Normal 45" xfId="33345"/>
    <cellStyle name="Normal 5" xfId="832"/>
    <cellStyle name="Normal 5 2" xfId="941"/>
    <cellStyle name="Normal 5 2 2" xfId="32938"/>
    <cellStyle name="Normal 5 2 3" xfId="33267"/>
    <cellStyle name="Normal 5 2_AGL" xfId="32939"/>
    <cellStyle name="Normal 5 3" xfId="1117"/>
    <cellStyle name="Normal 5 4" xfId="1306"/>
    <cellStyle name="Normal 5 4 2" xfId="32940"/>
    <cellStyle name="Normal 5 4 3" xfId="33268"/>
    <cellStyle name="Normal 5 4_AGL" xfId="32941"/>
    <cellStyle name="Normal 5 5" xfId="32249"/>
    <cellStyle name="Normal 5 6" xfId="32261"/>
    <cellStyle name="Normal 5_AGL" xfId="32942"/>
    <cellStyle name="Normal 6" xfId="846"/>
    <cellStyle name="Normal 6 2" xfId="942"/>
    <cellStyle name="Normal 6 3" xfId="979"/>
    <cellStyle name="Normal 6 3 2" xfId="2977"/>
    <cellStyle name="Normal 6 4" xfId="1307"/>
    <cellStyle name="Normal 6 4 2" xfId="32943"/>
    <cellStyle name="Normal 6 4 3" xfId="33269"/>
    <cellStyle name="Normal 6 4_AGL" xfId="32944"/>
    <cellStyle name="Normal 6 5" xfId="31961"/>
    <cellStyle name="Normal 6 6" xfId="33270"/>
    <cellStyle name="Normal 6_AGL" xfId="32945"/>
    <cellStyle name="Normal 7" xfId="860"/>
    <cellStyle name="Normal 7 2" xfId="1308"/>
    <cellStyle name="Normal 7 2 2" xfId="3306"/>
    <cellStyle name="Normal 7 2 2 2" xfId="14518"/>
    <cellStyle name="Normal 7 2 3" xfId="11099"/>
    <cellStyle name="Normal 7 2 3 2" xfId="22310"/>
    <cellStyle name="Normal 7 2 4" xfId="12608"/>
    <cellStyle name="Normal 7 2_AGL" xfId="32946"/>
    <cellStyle name="Normal 7 3" xfId="1339"/>
    <cellStyle name="Normal 7 3 2" xfId="3337"/>
    <cellStyle name="Normal 7 3 2 2" xfId="14549"/>
    <cellStyle name="Normal 7 3 3" xfId="11126"/>
    <cellStyle name="Normal 7 3 3 2" xfId="22337"/>
    <cellStyle name="Normal 7 3 4" xfId="12638"/>
    <cellStyle name="Normal 7 3_AGL" xfId="32947"/>
    <cellStyle name="Normal 7 4" xfId="2859"/>
    <cellStyle name="Normal 7 4 2" xfId="14071"/>
    <cellStyle name="Normal 7 5" xfId="10748"/>
    <cellStyle name="Normal 7 5 2" xfId="21959"/>
    <cellStyle name="Normal 7 6" xfId="12177"/>
    <cellStyle name="Normal 7 7" xfId="32252"/>
    <cellStyle name="Normal 7 8" xfId="32264"/>
    <cellStyle name="Normal 7_AGL" xfId="32948"/>
    <cellStyle name="Normal 8" xfId="904"/>
    <cellStyle name="Normal 8 2" xfId="1309"/>
    <cellStyle name="Normal 8 2 2" xfId="3307"/>
    <cellStyle name="Normal 8 2 2 2" xfId="14519"/>
    <cellStyle name="Normal 8 2 3" xfId="11100"/>
    <cellStyle name="Normal 8 2 3 2" xfId="22311"/>
    <cellStyle name="Normal 8 2 4" xfId="12609"/>
    <cellStyle name="Normal 8 2_AGL" xfId="32949"/>
    <cellStyle name="Normal 8 3" xfId="1340"/>
    <cellStyle name="Normal 8 3 2" xfId="3338"/>
    <cellStyle name="Normal 8 3 2 2" xfId="14550"/>
    <cellStyle name="Normal 8 3 3" xfId="11127"/>
    <cellStyle name="Normal 8 3 3 2" xfId="22338"/>
    <cellStyle name="Normal 8 3 4" xfId="12639"/>
    <cellStyle name="Normal 8 3_AGL" xfId="32950"/>
    <cellStyle name="Normal 8 4" xfId="1401"/>
    <cellStyle name="Normal 8 4 2" xfId="3399"/>
    <cellStyle name="Normal 8 4 2 2" xfId="14611"/>
    <cellStyle name="Normal 8 4 3" xfId="11149"/>
    <cellStyle name="Normal 8 4 3 2" xfId="22360"/>
    <cellStyle name="Normal 8 4 4" xfId="12694"/>
    <cellStyle name="Normal 8 4_AGL" xfId="32951"/>
    <cellStyle name="Normal 8 5" xfId="1431"/>
    <cellStyle name="Normal 8 5 2" xfId="1507"/>
    <cellStyle name="Normal 8 5 2 2" xfId="3505"/>
    <cellStyle name="Normal 8 5 2 2 2" xfId="14716"/>
    <cellStyle name="Normal 8 5 2 3" xfId="11192"/>
    <cellStyle name="Normal 8 5 2 3 2" xfId="22403"/>
    <cellStyle name="Normal 8 5 2 4" xfId="12796"/>
    <cellStyle name="Normal 8 5 2_AGL" xfId="32952"/>
    <cellStyle name="Normal 8 5 3" xfId="1526"/>
    <cellStyle name="Normal 8 5 3 2" xfId="3524"/>
    <cellStyle name="Normal 8 5 3 2 2" xfId="14735"/>
    <cellStyle name="Normal 8 5 3 3" xfId="11211"/>
    <cellStyle name="Normal 8 5 3 3 2" xfId="22422"/>
    <cellStyle name="Normal 8 5 3 4" xfId="12815"/>
    <cellStyle name="Normal 8 5 3_AGL" xfId="32953"/>
    <cellStyle name="Normal 8 5 4" xfId="3429"/>
    <cellStyle name="Normal 8 5 4 2" xfId="14641"/>
    <cellStyle name="Normal 8 5 5" xfId="11171"/>
    <cellStyle name="Normal 8 5 5 2" xfId="22382"/>
    <cellStyle name="Normal 8 5 6" xfId="12724"/>
    <cellStyle name="Normal 8 5_AGL" xfId="32954"/>
    <cellStyle name="Normal 8 6" xfId="1658"/>
    <cellStyle name="Normal 8 6 2" xfId="33346"/>
    <cellStyle name="Normal 8 7" xfId="2903"/>
    <cellStyle name="Normal 8 7 2" xfId="14115"/>
    <cellStyle name="Normal 8 8" xfId="10790"/>
    <cellStyle name="Normal 8 8 2" xfId="22001"/>
    <cellStyle name="Normal 8 9" xfId="12221"/>
    <cellStyle name="Normal 8_AGL" xfId="32955"/>
    <cellStyle name="Normal 9" xfId="955"/>
    <cellStyle name="Normal 9 10" xfId="12263"/>
    <cellStyle name="Normal 9 2" xfId="1310"/>
    <cellStyle name="Normal 9 2 2" xfId="3308"/>
    <cellStyle name="Normal 9 2 2 2" xfId="14520"/>
    <cellStyle name="Normal 9 2 3" xfId="11101"/>
    <cellStyle name="Normal 9 2 3 2" xfId="22312"/>
    <cellStyle name="Normal 9 2 4" xfId="12610"/>
    <cellStyle name="Normal 9 2_AGL" xfId="32956"/>
    <cellStyle name="Normal 9 3" xfId="1341"/>
    <cellStyle name="Normal 9 3 2" xfId="3339"/>
    <cellStyle name="Normal 9 3 2 2" xfId="14551"/>
    <cellStyle name="Normal 9 3 3" xfId="11128"/>
    <cellStyle name="Normal 9 3 3 2" xfId="22339"/>
    <cellStyle name="Normal 9 3 4" xfId="12640"/>
    <cellStyle name="Normal 9 3_AGL" xfId="32957"/>
    <cellStyle name="Normal 9 4" xfId="1399"/>
    <cellStyle name="Normal 9 4 2" xfId="3397"/>
    <cellStyle name="Normal 9 4 2 2" xfId="14609"/>
    <cellStyle name="Normal 9 4 3" xfId="11147"/>
    <cellStyle name="Normal 9 4 3 2" xfId="22358"/>
    <cellStyle name="Normal 9 4 4" xfId="12692"/>
    <cellStyle name="Normal 9 4_AGL" xfId="32958"/>
    <cellStyle name="Normal 9 5" xfId="1430"/>
    <cellStyle name="Normal 9 5 2" xfId="1525"/>
    <cellStyle name="Normal 9 5 2 2" xfId="3523"/>
    <cellStyle name="Normal 9 5 2 2 2" xfId="14734"/>
    <cellStyle name="Normal 9 5 2 3" xfId="11210"/>
    <cellStyle name="Normal 9 5 2 3 2" xfId="22421"/>
    <cellStyle name="Normal 9 5 2 4" xfId="12814"/>
    <cellStyle name="Normal 9 5 2_AGL" xfId="32959"/>
    <cellStyle name="Normal 9 5 3" xfId="3428"/>
    <cellStyle name="Normal 9 5 3 2" xfId="14640"/>
    <cellStyle name="Normal 9 5 4" xfId="11170"/>
    <cellStyle name="Normal 9 5 4 2" xfId="22381"/>
    <cellStyle name="Normal 9 5 5" xfId="12723"/>
    <cellStyle name="Normal 9 5_AGL" xfId="32960"/>
    <cellStyle name="Normal 9 6" xfId="1440"/>
    <cellStyle name="Normal 9 6 2" xfId="3438"/>
    <cellStyle name="Normal 9 6 2 2" xfId="14650"/>
    <cellStyle name="Normal 9 6 3" xfId="11177"/>
    <cellStyle name="Normal 9 6 3 2" xfId="22388"/>
    <cellStyle name="Normal 9 6 4" xfId="12733"/>
    <cellStyle name="Normal 9 6_AGL" xfId="32961"/>
    <cellStyle name="Normal 9 7" xfId="1515"/>
    <cellStyle name="Normal 9 7 2" xfId="3513"/>
    <cellStyle name="Normal 9 7 2 2" xfId="14724"/>
    <cellStyle name="Normal 9 7 3" xfId="11200"/>
    <cellStyle name="Normal 9 7 3 2" xfId="22411"/>
    <cellStyle name="Normal 9 7 4" xfId="12804"/>
    <cellStyle name="Normal 9 7_AGL" xfId="32962"/>
    <cellStyle name="Normal 9 8" xfId="2953"/>
    <cellStyle name="Normal 9 8 2" xfId="14165"/>
    <cellStyle name="Normal 9 9" xfId="10798"/>
    <cellStyle name="Normal 9 9 2" xfId="22009"/>
    <cellStyle name="Normal 9_AGL" xfId="32963"/>
    <cellStyle name="Normal GHG-Shade" xfId="943"/>
    <cellStyle name="normálne_CRFReport-template" xfId="944"/>
    <cellStyle name="Note 10" xfId="1635"/>
    <cellStyle name="Note 10 2" xfId="3633"/>
    <cellStyle name="Note 10 2 2" xfId="14844"/>
    <cellStyle name="Note 10 2_Sheet10" xfId="33271"/>
    <cellStyle name="Note 10 3" xfId="11316"/>
    <cellStyle name="Note 10 3 2" xfId="22527"/>
    <cellStyle name="Note 10 4" xfId="12923"/>
    <cellStyle name="Note 10_AGL" xfId="32964"/>
    <cellStyle name="Note 11" xfId="31966"/>
    <cellStyle name="Note 2" xfId="829"/>
    <cellStyle name="Note 2 2" xfId="958"/>
    <cellStyle name="Note 2 2 2" xfId="32965"/>
    <cellStyle name="Note 2 2 2 2" xfId="33272"/>
    <cellStyle name="Note 2 2 2_Sheet10" xfId="33273"/>
    <cellStyle name="Note 2 2 3" xfId="33274"/>
    <cellStyle name="Note 2 2_AGL" xfId="32966"/>
    <cellStyle name="Note 2 3" xfId="1119"/>
    <cellStyle name="Note 2 3 2" xfId="32967"/>
    <cellStyle name="Note 2 3 2 2" xfId="33275"/>
    <cellStyle name="Note 2 3 2_Sheet10" xfId="33276"/>
    <cellStyle name="Note 2 3 3" xfId="33277"/>
    <cellStyle name="Note 2 3_AGL" xfId="32968"/>
    <cellStyle name="Note 2 4" xfId="1311"/>
    <cellStyle name="Note 2 4 2" xfId="32969"/>
    <cellStyle name="Note 2 4 2 2" xfId="33278"/>
    <cellStyle name="Note 2 4 2_Sheet10" xfId="33279"/>
    <cellStyle name="Note 2 4 3" xfId="33280"/>
    <cellStyle name="Note 2 4_AGL" xfId="32970"/>
    <cellStyle name="Note 2 5" xfId="32971"/>
    <cellStyle name="Note 2 5 2" xfId="33281"/>
    <cellStyle name="Note 2 5_Sheet10" xfId="33282"/>
    <cellStyle name="Note 2 6" xfId="33283"/>
    <cellStyle name="Note 2_AGL" xfId="32972"/>
    <cellStyle name="Note 3" xfId="833"/>
    <cellStyle name="Note 3 2" xfId="1312"/>
    <cellStyle name="Note 3 2 2" xfId="32973"/>
    <cellStyle name="Note 3 2 2 2" xfId="33284"/>
    <cellStyle name="Note 3 2 2_Sheet10" xfId="33285"/>
    <cellStyle name="Note 3 2 3" xfId="33286"/>
    <cellStyle name="Note 3 2_AGL" xfId="32974"/>
    <cellStyle name="Note 3 3" xfId="32975"/>
    <cellStyle name="Note 3 3 2" xfId="33287"/>
    <cellStyle name="Note 3 3_Sheet10" xfId="33288"/>
    <cellStyle name="Note 3 4" xfId="33289"/>
    <cellStyle name="Note 3_AGL" xfId="32976"/>
    <cellStyle name="Note 4" xfId="847"/>
    <cellStyle name="Note 4 2" xfId="1313"/>
    <cellStyle name="Note 4 2 2" xfId="32977"/>
    <cellStyle name="Note 4 2 2 2" xfId="33290"/>
    <cellStyle name="Note 4 2 2_Sheet10" xfId="33291"/>
    <cellStyle name="Note 4 2 3" xfId="33292"/>
    <cellStyle name="Note 4 2_AGL" xfId="32978"/>
    <cellStyle name="Note 4 3" xfId="32979"/>
    <cellStyle name="Note 4 3 2" xfId="33293"/>
    <cellStyle name="Note 4 3_Sheet10" xfId="33294"/>
    <cellStyle name="Note 4 4" xfId="33295"/>
    <cellStyle name="Note 4_AGL" xfId="32980"/>
    <cellStyle name="Note 5" xfId="945"/>
    <cellStyle name="Note 5 2" xfId="1314"/>
    <cellStyle name="Note 5 2 2" xfId="3312"/>
    <cellStyle name="Note 5 2 2 2" xfId="14524"/>
    <cellStyle name="Note 5 2 2_Sheet10" xfId="33296"/>
    <cellStyle name="Note 5 2 3" xfId="11102"/>
    <cellStyle name="Note 5 2 3 2" xfId="22313"/>
    <cellStyle name="Note 5 2 4" xfId="12614"/>
    <cellStyle name="Note 5 2_AGL" xfId="32981"/>
    <cellStyle name="Note 5 3" xfId="1342"/>
    <cellStyle name="Note 5 3 2" xfId="3340"/>
    <cellStyle name="Note 5 3 2 2" xfId="14552"/>
    <cellStyle name="Note 5 3 2_Sheet10" xfId="33297"/>
    <cellStyle name="Note 5 3 3" xfId="11129"/>
    <cellStyle name="Note 5 3 3 2" xfId="22340"/>
    <cellStyle name="Note 5 3 4" xfId="12641"/>
    <cellStyle name="Note 5 3_AGL" xfId="32982"/>
    <cellStyle name="Note 5 4" xfId="1402"/>
    <cellStyle name="Note 5 4 2" xfId="3400"/>
    <cellStyle name="Note 5 4 2 2" xfId="14612"/>
    <cellStyle name="Note 5 4 2_Sheet10" xfId="33298"/>
    <cellStyle name="Note 5 4 3" xfId="11150"/>
    <cellStyle name="Note 5 4 3 2" xfId="22361"/>
    <cellStyle name="Note 5 4 4" xfId="12695"/>
    <cellStyle name="Note 5 4_AGL" xfId="32983"/>
    <cellStyle name="Note 5 5" xfId="1433"/>
    <cellStyle name="Note 5 5 2" xfId="1516"/>
    <cellStyle name="Note 5 5 2 2" xfId="3514"/>
    <cellStyle name="Note 5 5 2 2 2" xfId="14725"/>
    <cellStyle name="Note 5 5 2 2_Sheet10" xfId="33299"/>
    <cellStyle name="Note 5 5 2 3" xfId="11201"/>
    <cellStyle name="Note 5 5 2 3 2" xfId="22412"/>
    <cellStyle name="Note 5 5 2 4" xfId="12805"/>
    <cellStyle name="Note 5 5 2_AGL" xfId="32984"/>
    <cellStyle name="Note 5 5 3" xfId="1527"/>
    <cellStyle name="Note 5 5 3 2" xfId="3525"/>
    <cellStyle name="Note 5 5 3 2 2" xfId="14736"/>
    <cellStyle name="Note 5 5 3 2_Sheet10" xfId="33300"/>
    <cellStyle name="Note 5 5 3 3" xfId="11212"/>
    <cellStyle name="Note 5 5 3 3 2" xfId="22423"/>
    <cellStyle name="Note 5 5 3 4" xfId="12816"/>
    <cellStyle name="Note 5 5 3_AGL" xfId="32985"/>
    <cellStyle name="Note 5 5 4" xfId="3431"/>
    <cellStyle name="Note 5 5 4 2" xfId="14643"/>
    <cellStyle name="Note 5 5 4_Sheet10" xfId="33301"/>
    <cellStyle name="Note 5 5 5" xfId="11173"/>
    <cellStyle name="Note 5 5 5 2" xfId="22384"/>
    <cellStyle name="Note 5 5 6" xfId="12726"/>
    <cellStyle name="Note 5 5_AGL" xfId="32986"/>
    <cellStyle name="Note 5 6" xfId="2943"/>
    <cellStyle name="Note 5 6 2" xfId="14155"/>
    <cellStyle name="Note 5 6_Sheet10" xfId="33302"/>
    <cellStyle name="Note 5 7" xfId="10794"/>
    <cellStyle name="Note 5 7 2" xfId="22005"/>
    <cellStyle name="Note 5 8" xfId="12256"/>
    <cellStyle name="Note 5_AGL" xfId="32987"/>
    <cellStyle name="Note 6" xfId="976"/>
    <cellStyle name="Note 6 2" xfId="1315"/>
    <cellStyle name="Note 6 2 2" xfId="3313"/>
    <cellStyle name="Note 6 2 2 2" xfId="14525"/>
    <cellStyle name="Note 6 2 2_Sheet10" xfId="33303"/>
    <cellStyle name="Note 6 2 3" xfId="11103"/>
    <cellStyle name="Note 6 2 3 2" xfId="22314"/>
    <cellStyle name="Note 6 2 4" xfId="12615"/>
    <cellStyle name="Note 6 2_AGL" xfId="32988"/>
    <cellStyle name="Note 6 3" xfId="1343"/>
    <cellStyle name="Note 6 3 2" xfId="3341"/>
    <cellStyle name="Note 6 3 2 2" xfId="14553"/>
    <cellStyle name="Note 6 3 2_Sheet10" xfId="33304"/>
    <cellStyle name="Note 6 3 3" xfId="11130"/>
    <cellStyle name="Note 6 3 3 2" xfId="22341"/>
    <cellStyle name="Note 6 3 4" xfId="12642"/>
    <cellStyle name="Note 6 3_AGL" xfId="32989"/>
    <cellStyle name="Note 6 4" xfId="1512"/>
    <cellStyle name="Note 6 4 2" xfId="3510"/>
    <cellStyle name="Note 6 4 2 2" xfId="14721"/>
    <cellStyle name="Note 6 4 2_Sheet10" xfId="33305"/>
    <cellStyle name="Note 6 4 3" xfId="11197"/>
    <cellStyle name="Note 6 4 3 2" xfId="22408"/>
    <cellStyle name="Note 6 4 4" xfId="12801"/>
    <cellStyle name="Note 6 4_AGL" xfId="32990"/>
    <cellStyle name="Note 6 5" xfId="2974"/>
    <cellStyle name="Note 6 5 2" xfId="14186"/>
    <cellStyle name="Note 6 5_Sheet10" xfId="33306"/>
    <cellStyle name="Note 6 6" xfId="10811"/>
    <cellStyle name="Note 6 6 2" xfId="22022"/>
    <cellStyle name="Note 6 7" xfId="12284"/>
    <cellStyle name="Note 6_AGL" xfId="32991"/>
    <cellStyle name="Note 7" xfId="1393"/>
    <cellStyle name="Note 7 2" xfId="1518"/>
    <cellStyle name="Note 7 2 2" xfId="3516"/>
    <cellStyle name="Note 7 2 2 2" xfId="14727"/>
    <cellStyle name="Note 7 2 2_Sheet10" xfId="33307"/>
    <cellStyle name="Note 7 2 3" xfId="11203"/>
    <cellStyle name="Note 7 2 3 2" xfId="22414"/>
    <cellStyle name="Note 7 2 4" xfId="12807"/>
    <cellStyle name="Note 7 2_AGL" xfId="32992"/>
    <cellStyle name="Note 7 3" xfId="3391"/>
    <cellStyle name="Note 7 3 2" xfId="14603"/>
    <cellStyle name="Note 7 3_Sheet10" xfId="33308"/>
    <cellStyle name="Note 7 4" xfId="11146"/>
    <cellStyle name="Note 7 4 2" xfId="22357"/>
    <cellStyle name="Note 7 5" xfId="12689"/>
    <cellStyle name="Note 7_AGL" xfId="32993"/>
    <cellStyle name="Note 8" xfId="1416"/>
    <cellStyle name="Note 8 10" xfId="12709"/>
    <cellStyle name="Note 8 2" xfId="1446"/>
    <cellStyle name="Note 8 2 2" xfId="3444"/>
    <cellStyle name="Note 8 2 2 2" xfId="14656"/>
    <cellStyle name="Note 8 2 2_Sheet10" xfId="33309"/>
    <cellStyle name="Note 8 2 3" xfId="11183"/>
    <cellStyle name="Note 8 2 3 2" xfId="22394"/>
    <cellStyle name="Note 8 2 4" xfId="12739"/>
    <cellStyle name="Note 8 2_AGL" xfId="32994"/>
    <cellStyle name="Note 8 3" xfId="1456"/>
    <cellStyle name="Note 8 3 2" xfId="3454"/>
    <cellStyle name="Note 8 3 2 2" xfId="14665"/>
    <cellStyle name="Note 8 3 2_Sheet10" xfId="33310"/>
    <cellStyle name="Note 8 3 3" xfId="11187"/>
    <cellStyle name="Note 8 3 3 2" xfId="22398"/>
    <cellStyle name="Note 8 3 4" xfId="12748"/>
    <cellStyle name="Note 8 3_AGL" xfId="32995"/>
    <cellStyle name="Note 8 4" xfId="1561"/>
    <cellStyle name="Note 8 4 2" xfId="3559"/>
    <cellStyle name="Note 8 4 2 2" xfId="14770"/>
    <cellStyle name="Note 8 4 2_Sheet10" xfId="33311"/>
    <cellStyle name="Note 8 4 3" xfId="11243"/>
    <cellStyle name="Note 8 4 3 2" xfId="22454"/>
    <cellStyle name="Note 8 4 4" xfId="12849"/>
    <cellStyle name="Note 8 4_AGL" xfId="32996"/>
    <cellStyle name="Note 8 5" xfId="1572"/>
    <cellStyle name="Note 8 5 2" xfId="3570"/>
    <cellStyle name="Note 8 5 2 2" xfId="14781"/>
    <cellStyle name="Note 8 5 2_Sheet10" xfId="33312"/>
    <cellStyle name="Note 8 5 3" xfId="11253"/>
    <cellStyle name="Note 8 5 3 2" xfId="22464"/>
    <cellStyle name="Note 8 5 4" xfId="12860"/>
    <cellStyle name="Note 8 5_AGL" xfId="32997"/>
    <cellStyle name="Note 8 6" xfId="1591"/>
    <cellStyle name="Note 8 6 2" xfId="3589"/>
    <cellStyle name="Note 8 6 2 2" xfId="14800"/>
    <cellStyle name="Note 8 6 2_Sheet10" xfId="33313"/>
    <cellStyle name="Note 8 6 3" xfId="11272"/>
    <cellStyle name="Note 8 6 3 2" xfId="22483"/>
    <cellStyle name="Note 8 6 4" xfId="12879"/>
    <cellStyle name="Note 8 6_AGL" xfId="32998"/>
    <cellStyle name="Note 8 7" xfId="1609"/>
    <cellStyle name="Note 8 7 2" xfId="3607"/>
    <cellStyle name="Note 8 7 2 2" xfId="14818"/>
    <cellStyle name="Note 8 7 2_Sheet10" xfId="33314"/>
    <cellStyle name="Note 8 7 3" xfId="11290"/>
    <cellStyle name="Note 8 7 3 2" xfId="22501"/>
    <cellStyle name="Note 8 7 4" xfId="12897"/>
    <cellStyle name="Note 8 7_AGL" xfId="32999"/>
    <cellStyle name="Note 8 8" xfId="3414"/>
    <cellStyle name="Note 8 8 2" xfId="14626"/>
    <cellStyle name="Note 8 8_Sheet10" xfId="33315"/>
    <cellStyle name="Note 8 9" xfId="11157"/>
    <cellStyle name="Note 8 9 2" xfId="22368"/>
    <cellStyle name="Note 8_AGL" xfId="33000"/>
    <cellStyle name="Note 9" xfId="1619"/>
    <cellStyle name="Note 9 2" xfId="3617"/>
    <cellStyle name="Note 9 2 2" xfId="14828"/>
    <cellStyle name="Note 9 2_Sheet10" xfId="33316"/>
    <cellStyle name="Note 9 3" xfId="11300"/>
    <cellStyle name="Note 9 3 2" xfId="22511"/>
    <cellStyle name="Note 9 4" xfId="12907"/>
    <cellStyle name="Note 9_AGL" xfId="33001"/>
    <cellStyle name="ofwhich" xfId="4"/>
    <cellStyle name="ofwhich 2" xfId="1659"/>
    <cellStyle name="ofwhich 2 2" xfId="33347"/>
    <cellStyle name="ofwhich 3" xfId="33002"/>
    <cellStyle name="ofwhich 4" xfId="33317"/>
    <cellStyle name="ofwhich_AGL" xfId="33003"/>
    <cellStyle name="Output" xfId="800" builtinId="21" customBuiltin="1"/>
    <cellStyle name="Output 2" xfId="1394"/>
    <cellStyle name="Output 2 2" xfId="1532"/>
    <cellStyle name="Output 2 2 2" xfId="33004"/>
    <cellStyle name="Output 2 2 2 2" xfId="33318"/>
    <cellStyle name="Output 2 2 2_Sheet10" xfId="33319"/>
    <cellStyle name="Output 2 2 3" xfId="33320"/>
    <cellStyle name="Output 2 2_AGL" xfId="33005"/>
    <cellStyle name="Output 2 3" xfId="33006"/>
    <cellStyle name="Output 2 3 2" xfId="33321"/>
    <cellStyle name="Output 2 3_Sheet10" xfId="33322"/>
    <cellStyle name="Output 2 4" xfId="33323"/>
    <cellStyle name="Output 2_AGL" xfId="33007"/>
    <cellStyle name="Output 3" xfId="1500"/>
    <cellStyle name="Output 3 2" xfId="33008"/>
    <cellStyle name="Output 3 2 2" xfId="33324"/>
    <cellStyle name="Output 3 2_Sheet10" xfId="33325"/>
    <cellStyle name="Output 3 3" xfId="33326"/>
    <cellStyle name="Output 3_AGL" xfId="33009"/>
    <cellStyle name="Output 4" xfId="33010"/>
    <cellStyle name="Output 4 2" xfId="33327"/>
    <cellStyle name="Output 4_Sheet10" xfId="33328"/>
    <cellStyle name="Output 5" xfId="33329"/>
    <cellStyle name="Percent" xfId="1" builtinId="5" customBuiltin="1"/>
    <cellStyle name="Percent 10" xfId="1417"/>
    <cellStyle name="Percent 10 2" xfId="1549"/>
    <cellStyle name="Percent 10 2 2" xfId="3547"/>
    <cellStyle name="Percent 10 2 2 2" xfId="14758"/>
    <cellStyle name="Percent 10 2 3" xfId="11231"/>
    <cellStyle name="Percent 10 2 3 2" xfId="22442"/>
    <cellStyle name="Percent 10 2 4" xfId="12837"/>
    <cellStyle name="Percent 10 3" xfId="3415"/>
    <cellStyle name="Percent 10 3 2" xfId="14627"/>
    <cellStyle name="Percent 10 4" xfId="11158"/>
    <cellStyle name="Percent 10 4 2" xfId="22369"/>
    <cellStyle name="Percent 10 5" xfId="12710"/>
    <cellStyle name="Percent 11" xfId="1418"/>
    <cellStyle name="Percent 11 2" xfId="1550"/>
    <cellStyle name="Percent 11 2 2" xfId="3548"/>
    <cellStyle name="Percent 11 2 2 2" xfId="14759"/>
    <cellStyle name="Percent 11 2 3" xfId="11232"/>
    <cellStyle name="Percent 11 2 3 2" xfId="22443"/>
    <cellStyle name="Percent 11 2 4" xfId="12838"/>
    <cellStyle name="Percent 11 3" xfId="3416"/>
    <cellStyle name="Percent 11 3 2" xfId="14628"/>
    <cellStyle name="Percent 11 4" xfId="11159"/>
    <cellStyle name="Percent 11 4 2" xfId="22370"/>
    <cellStyle name="Percent 11 5" xfId="12711"/>
    <cellStyle name="Percent 12" xfId="1501"/>
    <cellStyle name="Percent 12 2" xfId="1551"/>
    <cellStyle name="Percent 12 2 2" xfId="3549"/>
    <cellStyle name="Percent 12 2 2 2" xfId="14760"/>
    <cellStyle name="Percent 12 2 3" xfId="11233"/>
    <cellStyle name="Percent 12 2 3 2" xfId="22444"/>
    <cellStyle name="Percent 12 2 4" xfId="12839"/>
    <cellStyle name="Percent 12 3" xfId="1567"/>
    <cellStyle name="Percent 12 3 2" xfId="3565"/>
    <cellStyle name="Percent 12 3 2 2" xfId="14776"/>
    <cellStyle name="Percent 12 3 3" xfId="11248"/>
    <cellStyle name="Percent 12 3 3 2" xfId="22459"/>
    <cellStyle name="Percent 12 3 4" xfId="12855"/>
    <cellStyle name="Percent 12 4" xfId="1598"/>
    <cellStyle name="Percent 12 4 2" xfId="3596"/>
    <cellStyle name="Percent 12 4 2 2" xfId="14807"/>
    <cellStyle name="Percent 12 4 3" xfId="11279"/>
    <cellStyle name="Percent 12 4 3 2" xfId="22490"/>
    <cellStyle name="Percent 12 4 4" xfId="12886"/>
    <cellStyle name="Percent 12 5" xfId="1604"/>
    <cellStyle name="Percent 12 5 2" xfId="3602"/>
    <cellStyle name="Percent 12 5 2 2" xfId="14813"/>
    <cellStyle name="Percent 12 5 3" xfId="11285"/>
    <cellStyle name="Percent 12 5 3 2" xfId="22496"/>
    <cellStyle name="Percent 12 5 4" xfId="12892"/>
    <cellStyle name="Percent 12 6" xfId="33011"/>
    <cellStyle name="Percent 12 7" xfId="33330"/>
    <cellStyle name="Percent 13" xfId="1534"/>
    <cellStyle name="Percent 13 2" xfId="1565"/>
    <cellStyle name="Percent 13 2 2" xfId="3563"/>
    <cellStyle name="Percent 13 2 2 2" xfId="14774"/>
    <cellStyle name="Percent 13 2 3" xfId="11246"/>
    <cellStyle name="Percent 13 2 3 2" xfId="22457"/>
    <cellStyle name="Percent 13 2 4" xfId="12853"/>
    <cellStyle name="Percent 13 3" xfId="1596"/>
    <cellStyle name="Percent 13 3 2" xfId="3594"/>
    <cellStyle name="Percent 13 3 2 2" xfId="14805"/>
    <cellStyle name="Percent 13 3 3" xfId="11277"/>
    <cellStyle name="Percent 13 3 3 2" xfId="22488"/>
    <cellStyle name="Percent 13 3 4" xfId="12884"/>
    <cellStyle name="Percent 13 4" xfId="1600"/>
    <cellStyle name="Percent 13 4 2" xfId="3598"/>
    <cellStyle name="Percent 13 4 2 2" xfId="14809"/>
    <cellStyle name="Percent 13 4 3" xfId="11281"/>
    <cellStyle name="Percent 13 4 3 2" xfId="22492"/>
    <cellStyle name="Percent 13 4 4" xfId="12888"/>
    <cellStyle name="Percent 13 5" xfId="3532"/>
    <cellStyle name="Percent 13 5 2" xfId="14743"/>
    <cellStyle name="Percent 13 6" xfId="11216"/>
    <cellStyle name="Percent 13 6 2" xfId="22427"/>
    <cellStyle name="Percent 13 7" xfId="12822"/>
    <cellStyle name="Percent 14" xfId="1552"/>
    <cellStyle name="Percent 14 2" xfId="3550"/>
    <cellStyle name="Percent 14 2 2" xfId="14761"/>
    <cellStyle name="Percent 14 3" xfId="11234"/>
    <cellStyle name="Percent 14 3 2" xfId="22445"/>
    <cellStyle name="Percent 14 4" xfId="12840"/>
    <cellStyle name="Percent 15" xfId="1585"/>
    <cellStyle name="Percent 15 2" xfId="3583"/>
    <cellStyle name="Percent 15 2 2" xfId="14794"/>
    <cellStyle name="Percent 15 3" xfId="11266"/>
    <cellStyle name="Percent 15 3 2" xfId="22477"/>
    <cellStyle name="Percent 15 4" xfId="12873"/>
    <cellStyle name="Percent 16" xfId="1586"/>
    <cellStyle name="Percent 16 2" xfId="3584"/>
    <cellStyle name="Percent 16 2 2" xfId="14795"/>
    <cellStyle name="Percent 16 3" xfId="11267"/>
    <cellStyle name="Percent 16 3 2" xfId="22478"/>
    <cellStyle name="Percent 16 4" xfId="12874"/>
    <cellStyle name="Percent 17" xfId="1587"/>
    <cellStyle name="Percent 17 2" xfId="3585"/>
    <cellStyle name="Percent 17 2 2" xfId="14796"/>
    <cellStyle name="Percent 17 3" xfId="11268"/>
    <cellStyle name="Percent 17 3 2" xfId="22479"/>
    <cellStyle name="Percent 17 4" xfId="12875"/>
    <cellStyle name="Percent 18" xfId="1612"/>
    <cellStyle name="Percent 18 2" xfId="3610"/>
    <cellStyle name="Percent 18 2 2" xfId="14821"/>
    <cellStyle name="Percent 18 3" xfId="11293"/>
    <cellStyle name="Percent 18 3 2" xfId="22504"/>
    <cellStyle name="Percent 18 4" xfId="12900"/>
    <cellStyle name="Percent 19" xfId="1620"/>
    <cellStyle name="Percent 19 2" xfId="3618"/>
    <cellStyle name="Percent 19 2 2" xfId="14829"/>
    <cellStyle name="Percent 19 3" xfId="11301"/>
    <cellStyle name="Percent 19 3 2" xfId="22512"/>
    <cellStyle name="Percent 19 4" xfId="12908"/>
    <cellStyle name="Percent 2" xfId="7"/>
    <cellStyle name="Percent 2 2" xfId="948"/>
    <cellStyle name="Percent 2 2 10" xfId="1553"/>
    <cellStyle name="Percent 2 2 10 2" xfId="3551"/>
    <cellStyle name="Percent 2 2 10 2 2" xfId="14762"/>
    <cellStyle name="Percent 2 2 10 3" xfId="11235"/>
    <cellStyle name="Percent 2 2 10 3 2" xfId="22446"/>
    <cellStyle name="Percent 2 2 10 4" xfId="12841"/>
    <cellStyle name="Percent 2 2 11" xfId="31812"/>
    <cellStyle name="Percent 2 2 2" xfId="949"/>
    <cellStyle name="Percent 2 2 2 10" xfId="12259"/>
    <cellStyle name="Percent 2 2 2 11" xfId="31968"/>
    <cellStyle name="Percent 2 2 2 2" xfId="964"/>
    <cellStyle name="Percent 2 2 2 2 2" xfId="1317"/>
    <cellStyle name="Percent 2 2 2 2 2 2" xfId="3315"/>
    <cellStyle name="Percent 2 2 2 2 2 2 2" xfId="14527"/>
    <cellStyle name="Percent 2 2 2 2 2 3" xfId="11105"/>
    <cellStyle name="Percent 2 2 2 2 2 3 2" xfId="22316"/>
    <cellStyle name="Percent 2 2 2 2 2 4" xfId="12617"/>
    <cellStyle name="Percent 2 2 2 2 3" xfId="1345"/>
    <cellStyle name="Percent 2 2 2 2 3 2" xfId="3343"/>
    <cellStyle name="Percent 2 2 2 2 3 2 2" xfId="14555"/>
    <cellStyle name="Percent 2 2 2 2 3 3" xfId="11132"/>
    <cellStyle name="Percent 2 2 2 2 3 3 2" xfId="22343"/>
    <cellStyle name="Percent 2 2 2 2 3 4" xfId="12644"/>
    <cellStyle name="Percent 2 2 2 2 4" xfId="2962"/>
    <cellStyle name="Percent 2 2 2 2 4 2" xfId="14174"/>
    <cellStyle name="Percent 2 2 2 2 5" xfId="10804"/>
    <cellStyle name="Percent 2 2 2 2 5 2" xfId="22015"/>
    <cellStyle name="Percent 2 2 2 2 6" xfId="12272"/>
    <cellStyle name="Percent 2 2 2 3" xfId="1316"/>
    <cellStyle name="Percent 2 2 2 3 2" xfId="3314"/>
    <cellStyle name="Percent 2 2 2 3 2 2" xfId="14526"/>
    <cellStyle name="Percent 2 2 2 3 3" xfId="11104"/>
    <cellStyle name="Percent 2 2 2 3 3 2" xfId="22315"/>
    <cellStyle name="Percent 2 2 2 3 4" xfId="12616"/>
    <cellStyle name="Percent 2 2 2 4" xfId="1344"/>
    <cellStyle name="Percent 2 2 2 4 2" xfId="3342"/>
    <cellStyle name="Percent 2 2 2 4 2 2" xfId="14554"/>
    <cellStyle name="Percent 2 2 2 4 3" xfId="11131"/>
    <cellStyle name="Percent 2 2 2 4 3 2" xfId="22342"/>
    <cellStyle name="Percent 2 2 2 4 4" xfId="12643"/>
    <cellStyle name="Percent 2 2 2 5" xfId="1441"/>
    <cellStyle name="Percent 2 2 2 5 2" xfId="3439"/>
    <cellStyle name="Percent 2 2 2 5 2 2" xfId="14651"/>
    <cellStyle name="Percent 2 2 2 5 3" xfId="11178"/>
    <cellStyle name="Percent 2 2 2 5 3 2" xfId="22389"/>
    <cellStyle name="Percent 2 2 2 5 4" xfId="12734"/>
    <cellStyle name="Percent 2 2 2 6" xfId="1520"/>
    <cellStyle name="Percent 2 2 2 6 2" xfId="3518"/>
    <cellStyle name="Percent 2 2 2 6 2 2" xfId="14729"/>
    <cellStyle name="Percent 2 2 2 6 3" xfId="11205"/>
    <cellStyle name="Percent 2 2 2 6 3 2" xfId="22416"/>
    <cellStyle name="Percent 2 2 2 6 4" xfId="12809"/>
    <cellStyle name="Percent 2 2 2 7" xfId="1623"/>
    <cellStyle name="Percent 2 2 2 7 2" xfId="3621"/>
    <cellStyle name="Percent 2 2 2 7 2 2" xfId="14832"/>
    <cellStyle name="Percent 2 2 2 7 3" xfId="11304"/>
    <cellStyle name="Percent 2 2 2 7 3 2" xfId="22515"/>
    <cellStyle name="Percent 2 2 2 7 4" xfId="12911"/>
    <cellStyle name="Percent 2 2 2 8" xfId="2947"/>
    <cellStyle name="Percent 2 2 2 8 2" xfId="14159"/>
    <cellStyle name="Percent 2 2 2 9" xfId="10796"/>
    <cellStyle name="Percent 2 2 2 9 2" xfId="22007"/>
    <cellStyle name="Percent 2 2 3" xfId="950"/>
    <cellStyle name="Percent 2 2 3 2" xfId="965"/>
    <cellStyle name="Percent 2 2 3 2 2" xfId="1319"/>
    <cellStyle name="Percent 2 2 3 2 2 2" xfId="3317"/>
    <cellStyle name="Percent 2 2 3 2 2 2 2" xfId="14529"/>
    <cellStyle name="Percent 2 2 3 2 2 3" xfId="11107"/>
    <cellStyle name="Percent 2 2 3 2 2 3 2" xfId="22318"/>
    <cellStyle name="Percent 2 2 3 2 2 4" xfId="12619"/>
    <cellStyle name="Percent 2 2 3 2 3" xfId="1347"/>
    <cellStyle name="Percent 2 2 3 2 3 2" xfId="3345"/>
    <cellStyle name="Percent 2 2 3 2 3 2 2" xfId="14557"/>
    <cellStyle name="Percent 2 2 3 2 3 3" xfId="11134"/>
    <cellStyle name="Percent 2 2 3 2 3 3 2" xfId="22345"/>
    <cellStyle name="Percent 2 2 3 2 3 4" xfId="12646"/>
    <cellStyle name="Percent 2 2 3 2 4" xfId="2963"/>
    <cellStyle name="Percent 2 2 3 2 4 2" xfId="14175"/>
    <cellStyle name="Percent 2 2 3 2 5" xfId="10805"/>
    <cellStyle name="Percent 2 2 3 2 5 2" xfId="22016"/>
    <cellStyle name="Percent 2 2 3 2 6" xfId="12273"/>
    <cellStyle name="Percent 2 2 3 3" xfId="1318"/>
    <cellStyle name="Percent 2 2 3 3 2" xfId="3316"/>
    <cellStyle name="Percent 2 2 3 3 2 2" xfId="14528"/>
    <cellStyle name="Percent 2 2 3 3 3" xfId="11106"/>
    <cellStyle name="Percent 2 2 3 3 3 2" xfId="22317"/>
    <cellStyle name="Percent 2 2 3 3 4" xfId="12618"/>
    <cellStyle name="Percent 2 2 3 4" xfId="1346"/>
    <cellStyle name="Percent 2 2 3 4 2" xfId="3344"/>
    <cellStyle name="Percent 2 2 3 4 2 2" xfId="14556"/>
    <cellStyle name="Percent 2 2 3 4 3" xfId="11133"/>
    <cellStyle name="Percent 2 2 3 4 3 2" xfId="22344"/>
    <cellStyle name="Percent 2 2 3 4 4" xfId="12645"/>
    <cellStyle name="Percent 2 2 3 5" xfId="1624"/>
    <cellStyle name="Percent 2 2 3 5 2" xfId="3622"/>
    <cellStyle name="Percent 2 2 3 5 2 2" xfId="14833"/>
    <cellStyle name="Percent 2 2 3 5 3" xfId="11305"/>
    <cellStyle name="Percent 2 2 3 5 3 2" xfId="22516"/>
    <cellStyle name="Percent 2 2 3 5 4" xfId="12912"/>
    <cellStyle name="Percent 2 2 3 6" xfId="2948"/>
    <cellStyle name="Percent 2 2 3 6 2" xfId="14160"/>
    <cellStyle name="Percent 2 2 3 7" xfId="10797"/>
    <cellStyle name="Percent 2 2 3 7 2" xfId="22008"/>
    <cellStyle name="Percent 2 2 3 8" xfId="12260"/>
    <cellStyle name="Percent 2 2 3 9" xfId="31969"/>
    <cellStyle name="Percent 2 2 4" xfId="961"/>
    <cellStyle name="Percent 2 2 4 2" xfId="1320"/>
    <cellStyle name="Percent 2 2 4 2 2" xfId="3318"/>
    <cellStyle name="Percent 2 2 4 2 2 2" xfId="14530"/>
    <cellStyle name="Percent 2 2 4 2 3" xfId="11108"/>
    <cellStyle name="Percent 2 2 4 2 3 2" xfId="22319"/>
    <cellStyle name="Percent 2 2 4 2 4" xfId="12620"/>
    <cellStyle name="Percent 2 2 4 3" xfId="1348"/>
    <cellStyle name="Percent 2 2 4 3 2" xfId="3346"/>
    <cellStyle name="Percent 2 2 4 3 2 2" xfId="14558"/>
    <cellStyle name="Percent 2 2 4 3 3" xfId="11135"/>
    <cellStyle name="Percent 2 2 4 3 3 2" xfId="22346"/>
    <cellStyle name="Percent 2 2 4 3 4" xfId="12647"/>
    <cellStyle name="Percent 2 2 4 4" xfId="2959"/>
    <cellStyle name="Percent 2 2 4 4 2" xfId="14171"/>
    <cellStyle name="Percent 2 2 4 5" xfId="10801"/>
    <cellStyle name="Percent 2 2 4 5 2" xfId="22012"/>
    <cellStyle name="Percent 2 2 4 6" xfId="12269"/>
    <cellStyle name="Percent 2 2 5" xfId="977"/>
    <cellStyle name="Percent 2 2 5 2" xfId="1321"/>
    <cellStyle name="Percent 2 2 5 2 2" xfId="3319"/>
    <cellStyle name="Percent 2 2 5 2 2 2" xfId="14531"/>
    <cellStyle name="Percent 2 2 5 2 3" xfId="11109"/>
    <cellStyle name="Percent 2 2 5 2 3 2" xfId="22320"/>
    <cellStyle name="Percent 2 2 5 2 4" xfId="12621"/>
    <cellStyle name="Percent 2 2 5 3" xfId="1349"/>
    <cellStyle name="Percent 2 2 5 3 2" xfId="3347"/>
    <cellStyle name="Percent 2 2 5 3 2 2" xfId="14559"/>
    <cellStyle name="Percent 2 2 5 3 3" xfId="11136"/>
    <cellStyle name="Percent 2 2 5 3 3 2" xfId="22347"/>
    <cellStyle name="Percent 2 2 5 3 4" xfId="12648"/>
    <cellStyle name="Percent 2 2 5 4" xfId="2975"/>
    <cellStyle name="Percent 2 2 5 4 2" xfId="14187"/>
    <cellStyle name="Percent 2 2 5 5" xfId="10812"/>
    <cellStyle name="Percent 2 2 5 5 2" xfId="22023"/>
    <cellStyle name="Percent 2 2 5 6" xfId="12285"/>
    <cellStyle name="Percent 2 2 6" xfId="1116"/>
    <cellStyle name="Percent 2 2 6 2" xfId="1554"/>
    <cellStyle name="Percent 2 2 6 2 2" xfId="3552"/>
    <cellStyle name="Percent 2 2 6 2 2 2" xfId="14763"/>
    <cellStyle name="Percent 2 2 6 2 3" xfId="11236"/>
    <cellStyle name="Percent 2 2 6 2 3 2" xfId="22447"/>
    <cellStyle name="Percent 2 2 6 2 4" xfId="12842"/>
    <cellStyle name="Percent 2 2 6 3" xfId="3114"/>
    <cellStyle name="Percent 2 2 6 3 2" xfId="14326"/>
    <cellStyle name="Percent 2 2 6 4" xfId="10940"/>
    <cellStyle name="Percent 2 2 6 4 2" xfId="22151"/>
    <cellStyle name="Percent 2 2 6 5" xfId="12422"/>
    <cellStyle name="Percent 2 2 7" xfId="1419"/>
    <cellStyle name="Percent 2 2 7 2" xfId="1555"/>
    <cellStyle name="Percent 2 2 7 2 2" xfId="3553"/>
    <cellStyle name="Percent 2 2 7 2 2 2" xfId="14764"/>
    <cellStyle name="Percent 2 2 7 2 3" xfId="11237"/>
    <cellStyle name="Percent 2 2 7 2 3 2" xfId="22448"/>
    <cellStyle name="Percent 2 2 7 2 4" xfId="12843"/>
    <cellStyle name="Percent 2 2 7 3" xfId="3417"/>
    <cellStyle name="Percent 2 2 7 3 2" xfId="14629"/>
    <cellStyle name="Percent 2 2 7 4" xfId="11160"/>
    <cellStyle name="Percent 2 2 7 4 2" xfId="22371"/>
    <cellStyle name="Percent 2 2 7 5" xfId="12712"/>
    <cellStyle name="Percent 2 2 8" xfId="1420"/>
    <cellStyle name="Percent 2 2 8 2" xfId="1556"/>
    <cellStyle name="Percent 2 2 8 2 2" xfId="3554"/>
    <cellStyle name="Percent 2 2 8 2 2 2" xfId="14765"/>
    <cellStyle name="Percent 2 2 8 2 3" xfId="11238"/>
    <cellStyle name="Percent 2 2 8 2 3 2" xfId="22449"/>
    <cellStyle name="Percent 2 2 8 2 4" xfId="12844"/>
    <cellStyle name="Percent 2 2 8 3" xfId="3418"/>
    <cellStyle name="Percent 2 2 8 3 2" xfId="14630"/>
    <cellStyle name="Percent 2 2 8 4" xfId="11161"/>
    <cellStyle name="Percent 2 2 8 4 2" xfId="22372"/>
    <cellStyle name="Percent 2 2 8 5" xfId="12713"/>
    <cellStyle name="Percent 2 2 9" xfId="1421"/>
    <cellStyle name="Percent 2 2 9 2" xfId="1557"/>
    <cellStyle name="Percent 2 2 9 2 2" xfId="3555"/>
    <cellStyle name="Percent 2 2 9 2 2 2" xfId="14766"/>
    <cellStyle name="Percent 2 2 9 2 3" xfId="11239"/>
    <cellStyle name="Percent 2 2 9 2 3 2" xfId="22450"/>
    <cellStyle name="Percent 2 2 9 2 4" xfId="12845"/>
    <cellStyle name="Percent 2 2 9 3" xfId="3419"/>
    <cellStyle name="Percent 2 2 9 3 2" xfId="14631"/>
    <cellStyle name="Percent 2 2 9 4" xfId="11162"/>
    <cellStyle name="Percent 2 2 9 4 2" xfId="22373"/>
    <cellStyle name="Percent 2 2 9 5" xfId="12714"/>
    <cellStyle name="Percent 2 3" xfId="947"/>
    <cellStyle name="Percent 2 4" xfId="1661"/>
    <cellStyle name="Percent 2 5" xfId="33012"/>
    <cellStyle name="Percent 2 6" xfId="33331"/>
    <cellStyle name="Percent 2_Sheet1" xfId="33353"/>
    <cellStyle name="Percent 20" xfId="1641"/>
    <cellStyle name="Percent 20 2" xfId="3639"/>
    <cellStyle name="Percent 20 2 2" xfId="14850"/>
    <cellStyle name="Percent 20 3" xfId="11322"/>
    <cellStyle name="Percent 20 3 2" xfId="22533"/>
    <cellStyle name="Percent 20 4" xfId="12929"/>
    <cellStyle name="Percent 21" xfId="1648"/>
    <cellStyle name="Percent 21 2" xfId="3646"/>
    <cellStyle name="Percent 21 2 2" xfId="14857"/>
    <cellStyle name="Percent 21 3" xfId="11327"/>
    <cellStyle name="Percent 21 3 2" xfId="22538"/>
    <cellStyle name="Percent 21 4" xfId="12935"/>
    <cellStyle name="Percent 22" xfId="1657"/>
    <cellStyle name="Percent 23" xfId="1996"/>
    <cellStyle name="Percent 23 2" xfId="3994"/>
    <cellStyle name="Percent 23 2 2" xfId="15205"/>
    <cellStyle name="Percent 23 3" xfId="11335"/>
    <cellStyle name="Percent 23 3 2" xfId="22546"/>
    <cellStyle name="Percent 23 4" xfId="13208"/>
    <cellStyle name="Percent 24" xfId="32251"/>
    <cellStyle name="Percent 25" xfId="32263"/>
    <cellStyle name="Percent 26" xfId="33026"/>
    <cellStyle name="Percent 3" xfId="903"/>
    <cellStyle name="Percent 3 2" xfId="1323"/>
    <cellStyle name="Percent 3 2 2" xfId="1643"/>
    <cellStyle name="Percent 3 3" xfId="1322"/>
    <cellStyle name="Percent 3 3 2" xfId="3320"/>
    <cellStyle name="Percent 3 3 2 2" xfId="14532"/>
    <cellStyle name="Percent 3 3 3" xfId="11110"/>
    <cellStyle name="Percent 3 3 3 2" xfId="22321"/>
    <cellStyle name="Percent 3 3 4" xfId="12622"/>
    <cellStyle name="Percent 3 4" xfId="1350"/>
    <cellStyle name="Percent 3 4 2" xfId="3348"/>
    <cellStyle name="Percent 3 4 2 2" xfId="14560"/>
    <cellStyle name="Percent 3 4 3" xfId="11137"/>
    <cellStyle name="Percent 3 4 3 2" xfId="22348"/>
    <cellStyle name="Percent 3 4 4" xfId="12649"/>
    <cellStyle name="Percent 3 5" xfId="1403"/>
    <cellStyle name="Percent 3 5 2" xfId="3401"/>
    <cellStyle name="Percent 3 5 2 2" xfId="14613"/>
    <cellStyle name="Percent 3 5 3" xfId="11151"/>
    <cellStyle name="Percent 3 5 3 2" xfId="22362"/>
    <cellStyle name="Percent 3 5 4" xfId="12696"/>
    <cellStyle name="Percent 3 6" xfId="1432"/>
    <cellStyle name="Percent 3 6 2" xfId="1508"/>
    <cellStyle name="Percent 3 6 2 2" xfId="3506"/>
    <cellStyle name="Percent 3 6 2 2 2" xfId="14717"/>
    <cellStyle name="Percent 3 6 2 3" xfId="11193"/>
    <cellStyle name="Percent 3 6 2 3 2" xfId="22404"/>
    <cellStyle name="Percent 3 6 2 4" xfId="12797"/>
    <cellStyle name="Percent 3 6 3" xfId="1528"/>
    <cellStyle name="Percent 3 6 3 2" xfId="3526"/>
    <cellStyle name="Percent 3 6 3 2 2" xfId="14737"/>
    <cellStyle name="Percent 3 6 3 3" xfId="11213"/>
    <cellStyle name="Percent 3 6 3 3 2" xfId="22424"/>
    <cellStyle name="Percent 3 6 3 4" xfId="12817"/>
    <cellStyle name="Percent 3 6 4" xfId="3430"/>
    <cellStyle name="Percent 3 6 4 2" xfId="14642"/>
    <cellStyle name="Percent 3 6 5" xfId="11172"/>
    <cellStyle name="Percent 3 6 5 2" xfId="22383"/>
    <cellStyle name="Percent 3 6 6" xfId="12725"/>
    <cellStyle name="Percent 3 7" xfId="1642"/>
    <cellStyle name="Percent 4" xfId="951"/>
    <cellStyle name="Percent 4 2" xfId="980"/>
    <cellStyle name="Percent 4 3" xfId="33013"/>
    <cellStyle name="Percent 4 4" xfId="33332"/>
    <cellStyle name="Percent 5" xfId="946"/>
    <cellStyle name="Percent 5 2" xfId="1324"/>
    <cellStyle name="Percent 5 2 2" xfId="3322"/>
    <cellStyle name="Percent 5 2 2 2" xfId="14534"/>
    <cellStyle name="Percent 5 2 3" xfId="11111"/>
    <cellStyle name="Percent 5 2 3 2" xfId="22322"/>
    <cellStyle name="Percent 5 2 4" xfId="12623"/>
    <cellStyle name="Percent 5 3" xfId="1351"/>
    <cellStyle name="Percent 5 3 2" xfId="3349"/>
    <cellStyle name="Percent 5 3 2 2" xfId="14561"/>
    <cellStyle name="Percent 5 3 3" xfId="11138"/>
    <cellStyle name="Percent 5 3 3 2" xfId="22349"/>
    <cellStyle name="Percent 5 3 4" xfId="12650"/>
    <cellStyle name="Percent 5 4" xfId="1511"/>
    <cellStyle name="Percent 5 4 2" xfId="3509"/>
    <cellStyle name="Percent 5 4 2 2" xfId="14720"/>
    <cellStyle name="Percent 5 4 3" xfId="11196"/>
    <cellStyle name="Percent 5 4 3 2" xfId="22407"/>
    <cellStyle name="Percent 5 4 4" xfId="12800"/>
    <cellStyle name="Percent 5 5" xfId="2944"/>
    <cellStyle name="Percent 5 5 2" xfId="14156"/>
    <cellStyle name="Percent 5 6" xfId="10795"/>
    <cellStyle name="Percent 5 6 2" xfId="22006"/>
    <cellStyle name="Percent 5 7" xfId="12257"/>
    <cellStyle name="Percent 6" xfId="962"/>
    <cellStyle name="Percent 6 2" xfId="1325"/>
    <cellStyle name="Percent 6 2 2" xfId="3323"/>
    <cellStyle name="Percent 6 2 2 2" xfId="14535"/>
    <cellStyle name="Percent 6 2 3" xfId="11112"/>
    <cellStyle name="Percent 6 2 3 2" xfId="22323"/>
    <cellStyle name="Percent 6 2 4" xfId="12624"/>
    <cellStyle name="Percent 6 3" xfId="1352"/>
    <cellStyle name="Percent 6 3 2" xfId="3350"/>
    <cellStyle name="Percent 6 3 2 2" xfId="14562"/>
    <cellStyle name="Percent 6 3 3" xfId="11139"/>
    <cellStyle name="Percent 6 3 3 2" xfId="22350"/>
    <cellStyle name="Percent 6 3 4" xfId="12651"/>
    <cellStyle name="Percent 6 4" xfId="1425"/>
    <cellStyle name="Percent 6 4 2" xfId="3423"/>
    <cellStyle name="Percent 6 4 2 2" xfId="14635"/>
    <cellStyle name="Percent 6 4 3" xfId="11166"/>
    <cellStyle name="Percent 6 4 3 2" xfId="22377"/>
    <cellStyle name="Percent 6 4 4" xfId="12718"/>
    <cellStyle name="Percent 6 5" xfId="1521"/>
    <cellStyle name="Percent 6 5 2" xfId="3519"/>
    <cellStyle name="Percent 6 5 2 2" xfId="14730"/>
    <cellStyle name="Percent 6 5 3" xfId="11206"/>
    <cellStyle name="Percent 6 5 3 2" xfId="22417"/>
    <cellStyle name="Percent 6 5 4" xfId="12810"/>
    <cellStyle name="Percent 6 6" xfId="2960"/>
    <cellStyle name="Percent 6 6 2" xfId="14172"/>
    <cellStyle name="Percent 6 7" xfId="10802"/>
    <cellStyle name="Percent 6 7 2" xfId="22013"/>
    <cellStyle name="Percent 6 8" xfId="12270"/>
    <cellStyle name="Percent 7" xfId="968"/>
    <cellStyle name="Percent 7 2" xfId="1326"/>
    <cellStyle name="Percent 7 2 2" xfId="3324"/>
    <cellStyle name="Percent 7 2 2 2" xfId="14536"/>
    <cellStyle name="Percent 7 2 3" xfId="11113"/>
    <cellStyle name="Percent 7 2 3 2" xfId="22324"/>
    <cellStyle name="Percent 7 2 4" xfId="12625"/>
    <cellStyle name="Percent 7 3" xfId="1353"/>
    <cellStyle name="Percent 7 3 2" xfId="3351"/>
    <cellStyle name="Percent 7 3 2 2" xfId="14563"/>
    <cellStyle name="Percent 7 3 3" xfId="11140"/>
    <cellStyle name="Percent 7 3 3 2" xfId="22351"/>
    <cellStyle name="Percent 7 3 4" xfId="12652"/>
    <cellStyle name="Percent 7 4" xfId="1423"/>
    <cellStyle name="Percent 7 4 2" xfId="3421"/>
    <cellStyle name="Percent 7 4 2 2" xfId="14633"/>
    <cellStyle name="Percent 7 4 3" xfId="11164"/>
    <cellStyle name="Percent 7 4 3 2" xfId="22375"/>
    <cellStyle name="Percent 7 4 4" xfId="12716"/>
    <cellStyle name="Percent 7 5" xfId="1519"/>
    <cellStyle name="Percent 7 5 2" xfId="3517"/>
    <cellStyle name="Percent 7 5 2 2" xfId="14728"/>
    <cellStyle name="Percent 7 5 3" xfId="11204"/>
    <cellStyle name="Percent 7 5 3 2" xfId="22415"/>
    <cellStyle name="Percent 7 5 4" xfId="12808"/>
    <cellStyle name="Percent 7 6" xfId="2966"/>
    <cellStyle name="Percent 7 6 2" xfId="14178"/>
    <cellStyle name="Percent 7 7" xfId="10807"/>
    <cellStyle name="Percent 7 7 2" xfId="22018"/>
    <cellStyle name="Percent 7 8" xfId="12276"/>
    <cellStyle name="Percent 8" xfId="1328"/>
    <cellStyle name="Percent 8 2" xfId="1438"/>
    <cellStyle name="Percent 8 3" xfId="3326"/>
    <cellStyle name="Percent 8 3 2" xfId="14538"/>
    <cellStyle name="Percent 8 4" xfId="11115"/>
    <cellStyle name="Percent 8 4 2" xfId="22326"/>
    <cellStyle name="Percent 8 5" xfId="12627"/>
    <cellStyle name="Percent 9" xfId="1355"/>
    <cellStyle name="Percent 9 10" xfId="11142"/>
    <cellStyle name="Percent 9 10 2" xfId="22353"/>
    <cellStyle name="Percent 9 11" xfId="12654"/>
    <cellStyle name="Percent 9 2" xfId="1435"/>
    <cellStyle name="Percent 9 2 2" xfId="3433"/>
    <cellStyle name="Percent 9 2 2 2" xfId="14645"/>
    <cellStyle name="Percent 9 2 3" xfId="11175"/>
    <cellStyle name="Percent 9 2 3 2" xfId="22386"/>
    <cellStyle name="Percent 9 2 4" xfId="12728"/>
    <cellStyle name="Percent 9 3" xfId="1445"/>
    <cellStyle name="Percent 9 3 2" xfId="3443"/>
    <cellStyle name="Percent 9 3 2 2" xfId="14655"/>
    <cellStyle name="Percent 9 3 3" xfId="11182"/>
    <cellStyle name="Percent 9 3 3 2" xfId="22393"/>
    <cellStyle name="Percent 9 3 4" xfId="12738"/>
    <cellStyle name="Percent 9 4" xfId="1455"/>
    <cellStyle name="Percent 9 4 2" xfId="3453"/>
    <cellStyle name="Percent 9 4 2 2" xfId="14664"/>
    <cellStyle name="Percent 9 4 3" xfId="11186"/>
    <cellStyle name="Percent 9 4 3 2" xfId="22397"/>
    <cellStyle name="Percent 9 4 4" xfId="12747"/>
    <cellStyle name="Percent 9 5" xfId="1560"/>
    <cellStyle name="Percent 9 5 2" xfId="3558"/>
    <cellStyle name="Percent 9 5 2 2" xfId="14769"/>
    <cellStyle name="Percent 9 5 3" xfId="11242"/>
    <cellStyle name="Percent 9 5 3 2" xfId="22453"/>
    <cellStyle name="Percent 9 5 4" xfId="12848"/>
    <cellStyle name="Percent 9 6" xfId="1570"/>
    <cellStyle name="Percent 9 6 2" xfId="3568"/>
    <cellStyle name="Percent 9 6 2 2" xfId="14779"/>
    <cellStyle name="Percent 9 6 3" xfId="11251"/>
    <cellStyle name="Percent 9 6 3 2" xfId="22462"/>
    <cellStyle name="Percent 9 6 4" xfId="12858"/>
    <cellStyle name="Percent 9 7" xfId="1590"/>
    <cellStyle name="Percent 9 7 2" xfId="3588"/>
    <cellStyle name="Percent 9 7 2 2" xfId="14799"/>
    <cellStyle name="Percent 9 7 3" xfId="11271"/>
    <cellStyle name="Percent 9 7 3 2" xfId="22482"/>
    <cellStyle name="Percent 9 7 4" xfId="12878"/>
    <cellStyle name="Percent 9 8" xfId="1607"/>
    <cellStyle name="Percent 9 8 2" xfId="3605"/>
    <cellStyle name="Percent 9 8 2 2" xfId="14816"/>
    <cellStyle name="Percent 9 8 3" xfId="11288"/>
    <cellStyle name="Percent 9 8 3 2" xfId="22499"/>
    <cellStyle name="Percent 9 8 4" xfId="12895"/>
    <cellStyle name="Percent 9 9" xfId="3353"/>
    <cellStyle name="Percent 9 9 2" xfId="14565"/>
    <cellStyle name="Result" xfId="952"/>
    <cellStyle name="Result 2" xfId="32259"/>
    <cellStyle name="Result 3" xfId="33333"/>
    <cellStyle name="Result_AGL" xfId="33014"/>
    <cellStyle name="Result2" xfId="953"/>
    <cellStyle name="Result2 2" xfId="33015"/>
    <cellStyle name="Result2 3" xfId="33334"/>
    <cellStyle name="Result2_AGL" xfId="33016"/>
    <cellStyle name="Standard_Tables  Draft Report" xfId="1395"/>
    <cellStyle name="Style 1" xfId="1396"/>
    <cellStyle name="Style 1 2" xfId="33017"/>
    <cellStyle name="Style 1 3" xfId="33335"/>
    <cellStyle name="Style 1_AGL" xfId="33018"/>
    <cellStyle name="Table_HeaderRow" xfId="5"/>
    <cellStyle name="Title" xfId="793" builtinId="15" customBuiltin="1"/>
    <cellStyle name="Title 2" xfId="1994"/>
    <cellStyle name="Total" xfId="806" builtinId="25" customBuiltin="1"/>
    <cellStyle name="Total 2" xfId="1502"/>
    <cellStyle name="Total 2 2" xfId="33019"/>
    <cellStyle name="Total 2 2 2" xfId="33336"/>
    <cellStyle name="Total 2 2_Sheet10" xfId="33337"/>
    <cellStyle name="Total 2 3" xfId="33338"/>
    <cellStyle name="Total 2_AGL" xfId="33020"/>
    <cellStyle name="Total 3" xfId="33021"/>
    <cellStyle name="Total 3 2" xfId="33339"/>
    <cellStyle name="Total 3_Sheet10" xfId="33340"/>
    <cellStyle name="Total 4" xfId="33341"/>
    <cellStyle name="Update" xfId="1397"/>
    <cellStyle name="Warning Text" xfId="804" builtinId="11" customBuiltin="1"/>
    <cellStyle name="Warning Text 2" xfId="1503"/>
    <cellStyle name="Warning Text 2 2" xfId="33022"/>
    <cellStyle name="Warning Text 2 3" xfId="33342"/>
    <cellStyle name="Warning Text 2_AGL" xfId="33023"/>
    <cellStyle name="Warning Text 3" xfId="33024"/>
    <cellStyle name="Warning Text 4" xfId="33343"/>
    <cellStyle name="Обычный_2++" xfId="954"/>
    <cellStyle name="標準 2" xfId="33354"/>
    <cellStyle name="標準_Sheet1 2" xfId="33355"/>
  </cellStyles>
  <dxfs count="232">
    <dxf>
      <numFmt numFmtId="175" formatCode="#,##0.0_);\(#,##0.0\);&quot;-&quot;_);@"/>
      <fill>
        <patternFill patternType="solid">
          <fgColor indexed="64"/>
          <bgColor theme="7" tint="0.79998168889431442"/>
        </patternFill>
      </fill>
    </dxf>
    <dxf>
      <numFmt numFmtId="175" formatCode="#,##0.0_);\(#,##0.0\);&quot;-&quot;_);@"/>
      <fill>
        <patternFill patternType="solid">
          <fgColor indexed="64"/>
          <bgColor theme="7" tint="0.79998168889431442"/>
        </patternFill>
      </fill>
    </dxf>
    <dxf>
      <numFmt numFmtId="175" formatCode="#,##0.0_);\(#,##0.0\);&quot;-&quot;_);@"/>
      <fill>
        <patternFill patternType="solid">
          <fgColor indexed="64"/>
          <bgColor theme="7" tint="0.79998168889431442"/>
        </patternFill>
      </fill>
    </dxf>
    <dxf>
      <numFmt numFmtId="175" formatCode="#,##0.0_);\(#,##0.0\);&quot;-&quot;_);@"/>
      <fill>
        <patternFill patternType="solid">
          <fgColor indexed="64"/>
          <bgColor theme="7" tint="0.79998168889431442"/>
        </patternFill>
      </fill>
    </dxf>
    <dxf>
      <numFmt numFmtId="175" formatCode="#,##0.0_);\(#,##0.0\);&quot;-&quot;_);@"/>
      <fill>
        <patternFill patternType="solid">
          <fgColor indexed="64"/>
          <bgColor theme="7" tint="0.79998168889431442"/>
        </patternFill>
      </fill>
    </dxf>
    <dxf>
      <numFmt numFmtId="175" formatCode="#,##0.0_);\(#,##0.0\);&quot;-&quot;_);@"/>
      <fill>
        <patternFill patternType="solid">
          <fgColor indexed="64"/>
          <bgColor theme="7" tint="0.79998168889431442"/>
        </patternFill>
      </fill>
    </dxf>
    <dxf>
      <numFmt numFmtId="175" formatCode="#,##0.0_);\(#,##0.0\);&quot;-&quot;_);@"/>
      <fill>
        <patternFill patternType="solid">
          <fgColor indexed="64"/>
          <bgColor theme="7" tint="0.79998168889431442"/>
        </patternFill>
      </fill>
    </dxf>
    <dxf>
      <numFmt numFmtId="175" formatCode="#,##0.0_);\(#,##0.0\);&quot;-&quot;_);@"/>
      <fill>
        <patternFill patternType="solid">
          <fgColor indexed="64"/>
          <bgColor theme="7" tint="0.79998168889431442"/>
        </patternFill>
      </fill>
    </dxf>
    <dxf>
      <numFmt numFmtId="175" formatCode="#,##0.0_);\(#,##0.0\);&quot;-&quot;_);@"/>
      <fill>
        <patternFill patternType="solid">
          <fgColor indexed="64"/>
          <bgColor theme="7" tint="0.79998168889431442"/>
        </patternFill>
      </fill>
    </dxf>
    <dxf>
      <numFmt numFmtId="175" formatCode="#,##0.0_);\(#,##0.0\);&quot;-&quot;_);@"/>
      <fill>
        <patternFill patternType="solid">
          <fgColor indexed="64"/>
          <bgColor theme="7" tint="0.79998168889431442"/>
        </patternFill>
      </fill>
    </dxf>
    <dxf>
      <fill>
        <patternFill patternType="solid">
          <fgColor indexed="64"/>
          <bgColor theme="7" tint="0.79998168889431442"/>
        </patternFill>
      </fill>
    </dxf>
    <dxf>
      <numFmt numFmtId="0" formatCode="General"/>
      <fill>
        <patternFill patternType="solid">
          <fgColor indexed="64"/>
          <bgColor theme="7" tint="0.79998168889431442"/>
        </patternFill>
      </fill>
      <alignment textRotation="0" wrapText="1" justifyLastLine="0" shrinkToFit="0" readingOrder="0"/>
    </dxf>
    <dxf>
      <fill>
        <patternFill patternType="solid">
          <fgColor indexed="64"/>
          <bgColor theme="7" tint="0.79998168889431442"/>
        </patternFill>
      </fill>
    </dxf>
    <dxf>
      <border outline="0">
        <top style="thin">
          <color rgb="FFE6B8B7"/>
        </top>
      </border>
    </dxf>
    <dxf>
      <border outline="0">
        <right style="thin">
          <color rgb="FFE6B8B7"/>
        </right>
        <top style="thin">
          <color rgb="FFE6B8B7"/>
        </top>
      </border>
    </dxf>
    <dxf>
      <fill>
        <patternFill patternType="solid">
          <fgColor rgb="FF000000"/>
          <bgColor rgb="FFE4DFEC"/>
        </patternFill>
      </fill>
      <border diagonalUp="0" diagonalDown="0" outline="0"/>
    </dxf>
    <dxf>
      <border>
        <bottom style="thin">
          <color rgb="FFA6A6A6"/>
        </bottom>
        <vertical/>
        <horizontal/>
      </border>
    </dxf>
    <dxf>
      <font>
        <b/>
        <i val="0"/>
        <strike val="0"/>
        <condense val="0"/>
        <extend val="0"/>
        <outline val="0"/>
        <shadow val="0"/>
        <u val="none"/>
        <vertAlign val="baseline"/>
        <sz val="10"/>
        <color auto="1"/>
        <name val="Cambria"/>
        <scheme val="minor"/>
      </font>
      <fill>
        <patternFill patternType="solid">
          <fgColor indexed="64"/>
          <bgColor theme="7" tint="0.79998168889431442"/>
        </patternFill>
      </fill>
      <border diagonalUp="0" diagonalDown="0">
        <left style="thin">
          <color theme="5" tint="0.79998168889431442"/>
        </left>
        <right style="thin">
          <color theme="5" tint="0.79998168889431442"/>
        </right>
        <top/>
        <bottom/>
      </border>
    </dxf>
    <dxf>
      <numFmt numFmtId="175" formatCode="#,##0.0_);\(#,##0.0\);&quot;-&quot;_);@"/>
      <fill>
        <patternFill patternType="solid">
          <fgColor indexed="64"/>
          <bgColor theme="7" tint="0.79998168889431442"/>
        </patternFill>
      </fill>
      <border diagonalUp="0" diagonalDown="0">
        <left style="thin">
          <color theme="5" tint="0.79998168889431442"/>
        </left>
        <right/>
        <top style="thin">
          <color theme="5" tint="0.79998168889431442"/>
        </top>
        <bottom style="thin">
          <color theme="5" tint="0.79998168889431442"/>
        </bottom>
      </border>
    </dxf>
    <dxf>
      <numFmt numFmtId="175"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5"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5"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5"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5"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5"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5"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5"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175" formatCode="#,##0.0_);\(#,##0.0\);&quot;-&quot;_);@"/>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fill>
        <patternFill patternType="solid">
          <fgColor indexed="64"/>
          <bgColor theme="7" tint="0.79998168889431442"/>
        </patternFill>
      </fill>
      <border diagonalUp="0" diagonalDown="0">
        <left style="thin">
          <color theme="5" tint="0.79998168889431442"/>
        </left>
        <right style="thin">
          <color theme="5" tint="0.79998168889431442"/>
        </right>
        <top style="thin">
          <color theme="5" tint="0.79998168889431442"/>
        </top>
        <bottom style="thin">
          <color theme="5" tint="0.79998168889431442"/>
        </bottom>
      </border>
    </dxf>
    <dxf>
      <numFmt numFmtId="0" formatCode="General"/>
      <fill>
        <patternFill patternType="solid">
          <fgColor indexed="64"/>
          <bgColor theme="7" tint="0.79998168889431442"/>
        </patternFill>
      </fill>
      <alignment textRotation="0" wrapText="1" justifyLastLine="0" shrinkToFit="0" readingOrder="0"/>
      <border diagonalUp="0" diagonalDown="0">
        <left style="thin">
          <color theme="5" tint="0.79998168889431442"/>
        </left>
        <right style="thin">
          <color theme="5" tint="0.79998168889431442"/>
        </right>
        <top style="thin">
          <color theme="5" tint="0.79998168889431442"/>
        </top>
        <bottom style="thin">
          <color theme="5" tint="0.79998168889431442"/>
        </bottom>
      </border>
    </dxf>
    <dxf>
      <fill>
        <patternFill patternType="solid">
          <fgColor indexed="64"/>
          <bgColor theme="7" tint="0.79998168889431442"/>
        </patternFill>
      </fill>
      <border diagonalUp="0" diagonalDown="0">
        <left/>
        <right style="thin">
          <color theme="5" tint="0.79998168889431442"/>
        </right>
        <top style="thin">
          <color theme="5" tint="0.79998168889431442"/>
        </top>
        <bottom style="thin">
          <color theme="5" tint="0.79998168889431442"/>
        </bottom>
      </border>
    </dxf>
    <dxf>
      <border>
        <top style="thin">
          <color rgb="FFE6B8B7"/>
        </top>
        <vertical/>
        <horizontal/>
      </border>
    </dxf>
    <dxf>
      <fill>
        <patternFill patternType="solid">
          <fgColor rgb="FF000000"/>
          <bgColor rgb="FFE4DFEC"/>
        </patternFill>
      </fill>
      <border diagonalUp="0" diagonalDown="0" outline="0"/>
    </dxf>
    <dxf>
      <border>
        <bottom style="thin">
          <color rgb="FFA6A6A6"/>
        </bottom>
        <vertical/>
        <horizontal/>
      </border>
    </dxf>
    <dxf>
      <font>
        <strike val="0"/>
        <outline val="0"/>
        <shadow val="0"/>
        <u val="none"/>
        <vertAlign val="baseline"/>
        <sz val="10"/>
        <color auto="1"/>
        <name val="Cambria"/>
        <scheme val="minor"/>
      </font>
      <fill>
        <patternFill patternType="solid">
          <fgColor indexed="64"/>
          <bgColor theme="7" tint="0.79998168889431442"/>
        </patternFill>
      </fill>
      <border diagonalUp="0" diagonalDown="0">
        <left style="thin">
          <color theme="5" tint="0.79998168889431442"/>
        </left>
        <right style="thin">
          <color theme="5" tint="0.79998168889431442"/>
        </right>
        <top/>
        <bottom/>
      </border>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style="thin">
          <color auto="1"/>
        </top>
        <bottom style="thin">
          <color auto="1"/>
        </bottom>
      </border>
    </dxf>
    <dxf>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bottom/>
      </border>
    </dxf>
    <dxf>
      <numFmt numFmtId="0" formatCode="General"/>
      <fill>
        <patternFill patternType="solid">
          <fgColor indexed="64"/>
          <bgColor theme="3" tint="0.79998168889431442"/>
        </patternFill>
      </fill>
      <alignment horizontal="general" vertical="center" textRotation="0" wrapText="1" relativeIndent="0" justifyLastLine="0" shrinkToFit="0" readingOrder="0"/>
      <border diagonalUp="0" diagonalDown="0">
        <left/>
        <right/>
        <top style="thin">
          <color auto="1"/>
        </top>
        <bottom style="thin">
          <color auto="1"/>
        </bottom>
      </border>
    </dxf>
    <dxf>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bottom/>
      </border>
    </dxf>
    <dxf>
      <fill>
        <patternFill patternType="solid">
          <fgColor indexed="64"/>
          <bgColor theme="3" tint="0.79998168889431442"/>
        </patternFill>
      </fill>
      <alignment horizontal="general" vertical="center" textRotation="0" wrapText="0" relativeIndent="0" justifyLastLine="0" shrinkToFit="0" readingOrder="0"/>
      <border diagonalUp="0" diagonalDown="0" outline="0">
        <left/>
        <right/>
        <top style="thin">
          <color auto="1"/>
        </top>
        <bottom style="thin">
          <color auto="1"/>
        </bottom>
      </border>
    </dxf>
    <dxf>
      <fill>
        <patternFill patternType="solid">
          <fgColor rgb="FF000000"/>
          <bgColor rgb="FFC5D9F1"/>
        </patternFill>
      </fill>
    </dxf>
    <dxf>
      <border outline="0">
        <top style="thin">
          <color rgb="FF0D0D0D"/>
        </top>
        <bottom style="thin">
          <color auto="1"/>
        </bottom>
      </border>
    </dxf>
    <dxf>
      <font>
        <b val="0"/>
        <i val="0"/>
        <strike val="0"/>
        <condense val="0"/>
        <extend val="0"/>
        <outline val="0"/>
        <shadow val="0"/>
        <u val="none"/>
        <vertAlign val="baseline"/>
        <sz val="10"/>
        <color rgb="FF000000"/>
        <name val="Cambria"/>
        <scheme val="none"/>
      </font>
      <fill>
        <patternFill patternType="solid">
          <fgColor rgb="FF000000"/>
          <bgColor rgb="FFC5D9F1"/>
        </patternFill>
      </fill>
      <alignment horizontal="general" vertical="center" textRotation="0" wrapTex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3"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7"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5"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7"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5"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7"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5"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7"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5"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7"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5"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7"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5"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7"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5"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7"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5"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7"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libri"/>
        <scheme val="major"/>
      </font>
      <numFmt numFmtId="175" formatCode="#,##0.0_);\(#,##0.0\);&quot;-&quot;_);@"/>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7"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75" formatCode="#,##0.0_);\(#,##0.0\);&quot;-&quot;_);@"/>
      <fill>
        <patternFill patternType="solid">
          <fgColor indexed="64"/>
          <bgColor theme="7" tint="0.79998168889431442"/>
        </patternFill>
      </fill>
      <alignment horizontal="general" vertical="center" textRotation="0" wrapTex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1" indent="0" justifyLastLine="0" shrinkToFit="0" readingOrder="0"/>
      <border diagonalUp="0" diagonalDown="0" outline="0">
        <left/>
        <right/>
        <top/>
        <bottom/>
      </border>
    </dxf>
    <dxf>
      <numFmt numFmtId="0" formatCode="General"/>
      <fill>
        <patternFill patternType="solid">
          <fgColor indexed="64"/>
          <bgColor theme="7" tint="0.79998168889431442"/>
        </patternFill>
      </fill>
      <alignment horizontal="general" vertical="center" textRotation="0" wrapText="1" relativeIndent="0" justifyLastLine="0" shrinkToFit="0" readingOrder="0"/>
      <border diagonalUp="0" diagonalDown="0">
        <left/>
        <right/>
        <top style="thin">
          <color auto="1"/>
        </top>
        <bottom style="thin">
          <color auto="1"/>
        </bottom>
      </border>
    </dxf>
    <dxf>
      <fill>
        <patternFill patternType="solid">
          <fgColor indexed="64"/>
          <bgColor theme="7" tint="0.79998168889431442"/>
        </patternFill>
      </fill>
      <alignment horizontal="general" vertical="center" textRotation="0" wrapText="0" indent="0" justifyLastLine="0" shrinkToFit="0" readingOrder="0"/>
      <border diagonalUp="0" diagonalDown="0" outline="0">
        <left/>
        <right/>
        <top/>
        <bottom/>
      </border>
    </dxf>
    <dxf>
      <fill>
        <patternFill patternType="solid">
          <fgColor indexed="64"/>
          <bgColor theme="7" tint="0.79998168889431442"/>
        </patternFill>
      </fill>
      <alignment horizontal="general" vertical="center" textRotation="0" wrapText="0" relativeIndent="0" justifyLastLine="0" shrinkToFit="0" readingOrder="0"/>
      <border diagonalUp="0" diagonalDown="0">
        <left/>
        <right/>
        <top style="thin">
          <color auto="1"/>
        </top>
        <bottom style="thin">
          <color auto="1"/>
        </bottom>
      </border>
    </dxf>
    <dxf>
      <border outline="0">
        <top style="thin">
          <color rgb="FF0D0D0D"/>
        </top>
        <bottom style="thin">
          <color rgb="FF0D0D0D"/>
        </bottom>
      </border>
    </dxf>
    <dxf>
      <font>
        <b val="0"/>
        <i val="0"/>
        <strike val="0"/>
        <condense val="0"/>
        <extend val="0"/>
        <outline val="0"/>
        <shadow val="0"/>
        <u val="none"/>
        <vertAlign val="baseline"/>
        <sz val="10"/>
        <color rgb="FF000000"/>
        <name val="Cambria"/>
        <scheme val="none"/>
      </font>
      <fill>
        <patternFill patternType="solid">
          <fgColor rgb="FF000000"/>
          <bgColor rgb="FFE4DFEC"/>
        </patternFill>
      </fill>
      <alignment horizontal="general" vertical="center" textRotation="0" wrapText="0" relativeIndent="0" justifyLastLine="0" shrinkToFit="0" readingOrder="0"/>
    </dxf>
    <dxf>
      <border outline="0">
        <bottom style="thin">
          <color rgb="FFA6A6A6"/>
        </bottom>
      </border>
    </dxf>
    <dxf>
      <font>
        <b/>
        <i val="0"/>
        <strike val="0"/>
        <condense val="0"/>
        <extend val="0"/>
        <outline val="0"/>
        <shadow val="0"/>
        <u val="none"/>
        <vertAlign val="baseline"/>
        <sz val="10"/>
        <color theme="1"/>
        <name val="Calibri"/>
        <scheme val="major"/>
      </font>
      <fill>
        <patternFill patternType="solid">
          <fgColor indexed="64"/>
          <bgColor theme="7" tint="0.79998168889431442"/>
        </patternFill>
      </fill>
      <alignment horizontal="general"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numFmt numFmtId="171" formatCode="0.0"/>
      <fill>
        <patternFill patternType="solid">
          <fgColor indexed="64"/>
          <bgColor theme="6"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68" formatCode="#,##0.0"/>
      <fill>
        <patternFill patternType="solid">
          <fgColor indexed="64"/>
          <bgColor theme="6"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mbria"/>
        <scheme val="minor"/>
      </font>
      <numFmt numFmtId="171" formatCode="0.0"/>
      <fill>
        <patternFill patternType="solid">
          <fgColor indexed="64"/>
          <bgColor theme="6"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68" formatCode="#,##0.0"/>
      <fill>
        <patternFill patternType="solid">
          <fgColor indexed="64"/>
          <bgColor theme="6"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mbria"/>
        <scheme val="minor"/>
      </font>
      <numFmt numFmtId="171" formatCode="0.0"/>
      <fill>
        <patternFill patternType="solid">
          <fgColor indexed="64"/>
          <bgColor theme="6"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68" formatCode="#,##0.0"/>
      <fill>
        <patternFill patternType="solid">
          <fgColor indexed="64"/>
          <bgColor theme="6"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mbria"/>
        <scheme val="minor"/>
      </font>
      <numFmt numFmtId="171" formatCode="0.0"/>
      <fill>
        <patternFill patternType="solid">
          <fgColor indexed="64"/>
          <bgColor theme="6"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68" formatCode="#,##0.0"/>
      <fill>
        <patternFill patternType="solid">
          <fgColor indexed="64"/>
          <bgColor theme="6"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mbria"/>
        <scheme val="minor"/>
      </font>
      <numFmt numFmtId="171" formatCode="0.0"/>
      <fill>
        <patternFill patternType="solid">
          <fgColor indexed="64"/>
          <bgColor theme="6"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68" formatCode="#,##0.0"/>
      <fill>
        <patternFill patternType="solid">
          <fgColor indexed="64"/>
          <bgColor theme="6"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mbria"/>
        <scheme val="minor"/>
      </font>
      <numFmt numFmtId="171" formatCode="0.0"/>
      <fill>
        <patternFill patternType="solid">
          <fgColor indexed="64"/>
          <bgColor theme="6"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mbria"/>
        <scheme val="minor"/>
      </font>
      <numFmt numFmtId="171" formatCode="0.0"/>
      <fill>
        <patternFill patternType="solid">
          <fgColor indexed="64"/>
          <bgColor theme="6"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fill>
        <patternFill patternType="solid">
          <fgColor indexed="64"/>
          <bgColor theme="6"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mbria"/>
        <scheme val="minor"/>
      </font>
      <numFmt numFmtId="171" formatCode="0.0"/>
      <fill>
        <patternFill patternType="solid">
          <fgColor indexed="64"/>
          <bgColor theme="6"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68" formatCode="#,##0.0"/>
      <fill>
        <patternFill patternType="solid">
          <fgColor indexed="64"/>
          <bgColor theme="6"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mbria"/>
        <scheme val="minor"/>
      </font>
      <numFmt numFmtId="171" formatCode="0.0"/>
      <fill>
        <patternFill patternType="solid">
          <fgColor indexed="64"/>
          <bgColor theme="6" tint="0.79998168889431442"/>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0"/>
        <color theme="1"/>
        <name val="Cambria"/>
        <scheme val="minor"/>
      </font>
      <numFmt numFmtId="168" formatCode="#,##0.0"/>
      <fill>
        <patternFill patternType="solid">
          <fgColor indexed="64"/>
          <bgColor theme="6"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Cambria"/>
        <scheme val="minor"/>
      </font>
      <numFmt numFmtId="171" formatCode="0.0"/>
      <fill>
        <patternFill patternType="solid">
          <fgColor indexed="64"/>
          <bgColor theme="6" tint="0.79998168889431442"/>
        </patternFill>
      </fill>
      <alignment horizontal="general" vertical="center" textRotation="0" wrapText="0" 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justifyLastLine="0" shrinkToFit="0" readingOrder="0"/>
    </dxf>
    <dxf>
      <fill>
        <patternFill patternType="solid">
          <fgColor indexed="64"/>
          <bgColor theme="6" tint="0.79998168889431442"/>
        </patternFill>
      </fill>
      <alignment horizontal="general" vertical="center" textRotation="0" wrapText="0" 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1" 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1" indent="0" justifyLastLine="0" shrinkToFit="0" readingOrder="0"/>
      <border diagonalUp="0" diagonalDown="0">
        <left/>
        <right/>
        <top style="thin">
          <color auto="1"/>
        </top>
        <bottom style="thin">
          <color auto="1"/>
        </bottom>
      </border>
    </dxf>
    <dxf>
      <fill>
        <patternFill patternType="solid">
          <fgColor indexed="64"/>
          <bgColor theme="6" tint="0.79998168889431442"/>
        </patternFill>
      </fill>
      <alignment horizontal="general" vertical="center" textRotation="0" wrapText="0" indent="0" justifyLastLine="0" shrinkToFit="0" readingOrder="0"/>
      <border diagonalUp="0" diagonalDown="0" outline="0">
        <left/>
        <right/>
        <top/>
        <bottom/>
      </border>
    </dxf>
    <dxf>
      <fill>
        <patternFill patternType="solid">
          <fgColor indexed="64"/>
          <bgColor theme="6" tint="0.79998168889431442"/>
        </patternFill>
      </fill>
      <alignment horizontal="general" vertical="center" textRotation="0" wrapText="0" indent="0" justifyLastLine="0" shrinkToFit="0" readingOrder="0"/>
      <border diagonalUp="0" diagonalDown="0">
        <left/>
        <right/>
        <top style="thin">
          <color auto="1"/>
        </top>
        <bottom style="thin">
          <color auto="1"/>
        </bottom>
      </border>
    </dxf>
    <dxf>
      <fill>
        <patternFill patternType="solid">
          <fgColor rgb="FF000000"/>
          <bgColor rgb="FFEAF1DD"/>
        </patternFill>
      </fill>
      <alignment horizontal="general" vertical="center" textRotation="0" wrapText="0" indent="0" justifyLastLine="0" shrinkToFit="0" readingOrder="0"/>
    </dxf>
    <dxf>
      <font>
        <strike val="0"/>
        <outline val="0"/>
        <shadow val="0"/>
        <u val="none"/>
        <vertAlign val="baseline"/>
        <sz val="10"/>
        <color theme="1"/>
        <name val="Calibri"/>
        <scheme val="major"/>
      </font>
      <fill>
        <patternFill patternType="solid">
          <fgColor indexed="64"/>
          <bgColor theme="6"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2" formatCode="0.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fill>
        <patternFill patternType="none">
          <fgColor indexed="64"/>
          <bgColor indexed="65"/>
        </patternFill>
      </fill>
    </dxf>
    <dxf>
      <font>
        <b val="0"/>
        <i val="0"/>
        <strike val="0"/>
        <condense val="0"/>
        <extend val="0"/>
        <outline val="0"/>
        <shadow val="0"/>
        <u val="none"/>
        <vertAlign val="baseline"/>
        <sz val="10"/>
        <color rgb="FFFF00FF"/>
        <name val="Arial"/>
        <scheme val="none"/>
      </font>
      <numFmt numFmtId="2" formatCode="0.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2" formatCode="0.00"/>
      <fill>
        <patternFill patternType="none">
          <fgColor indexed="64"/>
          <bgColor indexed="65"/>
        </patternFill>
      </fill>
      <alignment horizontal="left" vertical="bottom" textRotation="0" wrapText="0" indent="0" justifyLastLine="0" shrinkToFit="0" readingOrder="0"/>
    </dxf>
    <dxf>
      <border outline="0">
        <bottom style="thin">
          <color auto="1"/>
        </bottom>
      </border>
    </dxf>
    <dxf>
      <font>
        <color rgb="FF00B0F0"/>
      </font>
      <fill>
        <patternFill patternType="none">
          <bgColor auto="1"/>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left style="thin">
          <color indexed="64"/>
        </left>
        <right style="thin">
          <color indexed="64"/>
        </right>
        <top style="thin">
          <color auto="1"/>
        </top>
        <bottom style="thin">
          <color indexed="64"/>
        </bottom>
      </border>
    </dxf>
    <dxf>
      <numFmt numFmtId="169" formatCode="0.000"/>
    </dxf>
    <dxf>
      <numFmt numFmtId="169" formatCode="0.000"/>
    </dxf>
    <dxf>
      <numFmt numFmtId="169" formatCode="0.000"/>
    </dxf>
    <dxf>
      <numFmt numFmtId="169" formatCode="0.000"/>
    </dxf>
    <dxf>
      <numFmt numFmtId="15" formatCode="0.00E+00"/>
      <alignment horizontal="general" vertical="center" textRotation="0" wrapText="0" indent="0" justifyLastLine="0" shrinkToFit="0" readingOrder="0"/>
    </dxf>
    <dxf>
      <font>
        <b val="0"/>
        <i val="0"/>
        <strike val="0"/>
        <condense val="0"/>
        <extend val="0"/>
        <outline val="0"/>
        <shadow val="0"/>
        <u val="none"/>
        <vertAlign val="baseline"/>
        <sz val="10"/>
        <color theme="1"/>
        <name val="Cambria"/>
        <scheme val="minor"/>
      </font>
      <numFmt numFmtId="15" formatCode="0.00E+00"/>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theme="1"/>
        <name val="Cambria"/>
        <scheme val="minor"/>
      </font>
      <fill>
        <patternFill patternType="solid">
          <fgColor theme="7" tint="0.79998168889431442"/>
          <bgColor theme="7" tint="0.79998168889431442"/>
        </patternFill>
      </fill>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color rgb="FF9C0006"/>
      </font>
      <fill>
        <patternFill>
          <bgColor rgb="FFFFC7CE"/>
        </patternFill>
      </fill>
    </dxf>
    <dxf>
      <alignment horizontal="left" vertical="center" textRotation="0" wrapText="0" relativeIndent="0" justifyLastLine="0" shrinkToFit="0" readingOrder="0"/>
    </dxf>
    <dxf>
      <alignment horizontal="left" vertical="center" textRotation="0" wrapText="0" relativeIndent="0" justifyLastLine="0" shrinkToFit="0" readingOrder="0"/>
    </dxf>
    <dxf>
      <alignment horizontal="left" vertical="center" textRotation="0" wrapText="0" relativeIndent="0" justifyLastLine="0" shrinkToFit="0" readingOrder="0"/>
    </dxf>
    <dxf>
      <alignment horizontal="left" vertical="center" textRotation="0" wrapText="0" relativeIndent="0" justifyLastLine="0" shrinkToFit="0" readingOrder="0"/>
    </dxf>
    <dxf>
      <alignment horizontal="left" vertical="center" textRotation="0" wrapText="0" relativeIndent="0" justifyLastLine="0" shrinkToFit="0" readingOrder="0"/>
    </dxf>
    <dxf>
      <font>
        <b val="0"/>
        <i val="0"/>
        <strike val="0"/>
        <condense val="0"/>
        <extend val="0"/>
        <outline val="0"/>
        <shadow val="0"/>
        <u val="none"/>
        <vertAlign val="baseline"/>
        <sz val="10"/>
        <color theme="1"/>
        <name val="Cambria"/>
        <scheme val="minor"/>
      </font>
      <fill>
        <patternFill patternType="solid">
          <fgColor theme="5" tint="0.59999389629810485"/>
          <bgColor theme="3" tint="0.79998168889431442"/>
        </patternFill>
      </fill>
      <alignment horizontal="left" vertical="center" textRotation="0" wrapText="1" relativeIndent="0" justifyLastLine="0" shrinkToFit="0" readingOrder="0"/>
    </dxf>
    <dxf>
      <fill>
        <patternFill patternType="solid">
          <fgColor theme="5" tint="0.59999389629810485"/>
          <bgColor theme="3" tint="0.79998168889431442"/>
        </patternFill>
      </fill>
      <alignment horizontal="general" vertical="center" textRotation="0" wrapText="0" relativeIndent="0" justifyLastLine="0" shrinkToFit="0" readingOrder="0"/>
      <border diagonalUp="0" diagonalDown="0">
        <left/>
        <right style="thin">
          <color theme="0"/>
        </right>
        <top/>
        <bottom/>
        <vertical/>
        <horizontal/>
      </border>
    </dxf>
    <dxf>
      <fill>
        <patternFill patternType="solid">
          <fgColor theme="5" tint="0.59999389629810485"/>
          <bgColor theme="3" tint="0.79998168889431442"/>
        </patternFill>
      </fill>
      <border diagonalUp="0" diagonalDown="0">
        <left/>
        <right style="thin">
          <color theme="0"/>
        </right>
        <top/>
        <bottom/>
        <vertical/>
        <horizontal/>
      </border>
    </dxf>
    <dxf>
      <border outline="0">
        <left style="thin">
          <color theme="0"/>
        </left>
        <bottom style="thin">
          <color theme="0"/>
        </bottom>
      </border>
    </dxf>
    <dxf>
      <border outline="0">
        <bottom style="thick">
          <color theme="0"/>
        </bottom>
      </border>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theme="1"/>
        <name val="Cambria"/>
        <scheme val="minor"/>
      </font>
      <alignment horizontal="left" vertical="center" textRotation="0" wrapText="1" relativeIndent="0" justifyLastLine="0" shrinkToFit="0" readingOrder="0"/>
    </dxf>
    <dxf>
      <font>
        <b val="0"/>
        <i val="0"/>
        <strike val="0"/>
        <condense val="0"/>
        <extend val="0"/>
        <outline val="0"/>
        <shadow val="0"/>
        <u val="none"/>
        <vertAlign val="baseline"/>
        <sz val="10"/>
        <color theme="1"/>
        <name val="Cambria"/>
        <scheme val="minor"/>
      </font>
      <alignment horizontal="general" vertical="center" textRotation="0" wrapText="0" indent="0" justifyLastLine="0" shrinkToFit="0" readingOrder="0"/>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i val="0"/>
        <strike val="0"/>
        <condense val="0"/>
        <extend val="0"/>
        <outline val="0"/>
        <shadow val="0"/>
        <u val="none"/>
        <vertAlign val="baseline"/>
        <sz val="10"/>
        <color theme="1"/>
        <name val="Cambria"/>
        <scheme val="minor"/>
      </font>
    </dxf>
    <dxf>
      <font>
        <b val="0"/>
        <strike val="0"/>
        <outline val="0"/>
        <shadow val="0"/>
        <u val="none"/>
        <vertAlign val="baseline"/>
        <sz val="11"/>
        <color theme="1"/>
        <name val="Calibri"/>
        <scheme val="major"/>
      </font>
      <alignment horizontal="general" vertical="center" textRotation="0" wrapText="0" relativeIndent="0" justifyLastLine="0" shrinkToFit="0" readingOrder="0"/>
    </dxf>
    <dxf>
      <alignment horizontal="general" vertical="center" textRotation="0" wrapText="0" indent="0" justifyLastLine="0" shrinkToFit="0" readingOrder="0"/>
    </dxf>
    <dxf>
      <numFmt numFmtId="0" formatCode="General"/>
      <alignment horizontal="general" vertical="center" textRotation="0" wrapText="0" relativeIndent="0" justifyLastLine="0" shrinkToFit="0" readingOrder="0"/>
    </dxf>
    <dxf>
      <numFmt numFmtId="0" formatCode="General"/>
      <alignment horizontal="general" vertical="center" textRotation="0" wrapText="0" relativeIndent="0" justifyLastLine="0" shrinkToFit="0" readingOrder="0"/>
    </dxf>
    <dxf>
      <alignment horizontal="general" vertical="center" textRotation="0" wrapText="0" indent="0" justifyLastLine="0" shrinkToFit="0" readingOrder="0"/>
    </dxf>
    <dxf>
      <alignment horizontal="left"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1"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1" indent="0" justifyLastLine="0" shrinkToFit="0" readingOrder="0"/>
    </dxf>
    <dxf>
      <font>
        <color rgb="FF9C0006"/>
      </font>
      <fill>
        <patternFill>
          <bgColor rgb="FFFFC7CE"/>
        </patternFill>
      </fill>
    </dxf>
    <dxf>
      <font>
        <color theme="0"/>
      </font>
      <fill>
        <patternFill>
          <bgColor rgb="FFC00000"/>
        </patternFill>
      </fill>
    </dxf>
    <dxf>
      <fill>
        <patternFill>
          <bgColor rgb="FFFFFF00"/>
        </patternFill>
      </fill>
    </dxf>
    <dxf>
      <fill>
        <patternFill>
          <bgColor rgb="FFFFC000"/>
        </patternFill>
      </fill>
    </dxf>
    <dxf>
      <fill>
        <patternFill>
          <bgColor rgb="FF92D050"/>
        </patternFill>
      </fill>
    </dxf>
    <dxf>
      <fill>
        <patternFill>
          <bgColor rgb="FFFFC000"/>
        </patternFill>
      </fill>
    </dxf>
    <dxf>
      <font>
        <color theme="0"/>
      </font>
      <fill>
        <patternFill>
          <bgColor rgb="FFC00000"/>
        </patternFill>
      </fill>
    </dxf>
    <dxf>
      <fill>
        <patternFill>
          <bgColor rgb="FFFFFF00"/>
        </patternFill>
      </fill>
    </dxf>
    <dxf>
      <fill>
        <patternFill>
          <bgColor rgb="FFFFC000"/>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fill>
        <patternFill>
          <bgColor rgb="FFC00000"/>
        </patternFill>
      </fill>
    </dxf>
    <dxf>
      <fill>
        <patternFill>
          <bgColor rgb="FFFFFF00"/>
        </patternFill>
      </fill>
    </dxf>
    <dxf>
      <fill>
        <patternFill>
          <bgColor rgb="FFFFC000"/>
        </patternFill>
      </fill>
    </dxf>
    <dxf>
      <fill>
        <patternFill>
          <bgColor rgb="FF92D050"/>
        </patternFill>
      </fill>
    </dxf>
    <dxf>
      <font>
        <color theme="0"/>
      </font>
      <fill>
        <patternFill>
          <bgColor rgb="FFC00000"/>
        </patternFill>
      </fill>
    </dxf>
    <dxf>
      <fill>
        <patternFill>
          <bgColor rgb="FFFFFF00"/>
        </patternFill>
      </fill>
    </dxf>
    <dxf>
      <fill>
        <patternFill>
          <bgColor rgb="FFFFC000"/>
        </patternFill>
      </fill>
    </dxf>
    <dxf>
      <fill>
        <patternFill>
          <bgColor rgb="FF92D050"/>
        </patternFill>
      </fill>
    </dxf>
    <dxf>
      <font>
        <color theme="0"/>
      </font>
      <fill>
        <patternFill>
          <bgColor rgb="FFC00000"/>
        </patternFill>
      </fill>
    </dxf>
    <dxf>
      <fill>
        <patternFill>
          <bgColor rgb="FFFFFF00"/>
        </patternFill>
      </fill>
    </dxf>
    <dxf>
      <fill>
        <patternFill>
          <bgColor rgb="FFFFC000"/>
        </patternFill>
      </fill>
    </dxf>
    <dxf>
      <fill>
        <patternFill>
          <bgColor rgb="FF92D050"/>
        </patternFill>
      </fill>
    </dxf>
    <dxf>
      <font>
        <color theme="0"/>
      </font>
      <fill>
        <patternFill>
          <bgColor rgb="FFC00000"/>
        </patternFill>
      </fill>
    </dxf>
    <dxf>
      <fill>
        <patternFill>
          <bgColor rgb="FFFFFF00"/>
        </patternFill>
      </fill>
    </dxf>
    <dxf>
      <fill>
        <patternFill>
          <bgColor rgb="FFFFC000"/>
        </patternFill>
      </fill>
    </dxf>
    <dxf>
      <fill>
        <patternFill>
          <bgColor rgb="FF92D050"/>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ill>
        <patternFill>
          <bgColor theme="4" tint="0.79998168889431442"/>
        </patternFill>
      </fill>
    </dxf>
    <dxf>
      <font>
        <b/>
        <i val="0"/>
      </font>
      <border>
        <top style="thin">
          <color auto="1"/>
        </top>
      </border>
    </dxf>
    <dxf>
      <font>
        <b/>
        <i val="0"/>
      </font>
      <fill>
        <patternFill patternType="none">
          <bgColor auto="1"/>
        </patternFill>
      </fill>
      <border>
        <bottom style="thin">
          <color theme="0" tint="-0.34998626667073579"/>
        </bottom>
      </border>
    </dxf>
    <dxf>
      <border>
        <top style="thin">
          <color theme="1" tint="4.9989318521683403E-2"/>
        </top>
        <bottom style="thin">
          <color theme="1" tint="4.9989318521683403E-2"/>
        </bottom>
      </border>
    </dxf>
  </dxfs>
  <tableStyles count="1" defaultTableStyle="TableStyleMedium2" defaultPivotStyle="PivotStyleLight16">
    <tableStyle name="EnergyCalcTables" pivot="0" count="4">
      <tableStyleElement type="wholeTable" dxfId="231"/>
      <tableStyleElement type="headerRow" dxfId="230"/>
      <tableStyleElement type="totalRow" dxfId="229"/>
      <tableStyleElement type="secondRowStripe" dxfId="228"/>
    </tableStyle>
  </tableStyles>
  <colors>
    <mruColors>
      <color rgb="FFFFCC99"/>
      <color rgb="FFFF9933"/>
      <color rgb="FFFFFF99"/>
      <color rgb="FF843AE6"/>
      <color rgb="FF00CC00"/>
      <color rgb="FFCCCCFF"/>
      <color rgb="FF66FF99"/>
      <color rgb="FF66FF66"/>
      <color rgb="FFFFFFFF"/>
      <color rgb="FFE9EFF7"/>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haredStrings" Target="sharedStrings.xml"/><Relationship Id="rId21"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theme" Target="theme/theme1.xml"/><Relationship Id="rId19" Type="http://schemas.openxmlformats.org/officeDocument/2006/relationships/styles" Target="style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a:pPr>
            <a:r>
              <a:rPr lang="en-GB"/>
              <a:t>Demand</a:t>
            </a:r>
          </a:p>
        </c:rich>
      </c:tx>
      <c:layout>
        <c:manualLayout>
          <c:xMode val="edge"/>
          <c:yMode val="edge"/>
          <c:x val="0.297526101555078"/>
          <c:y val="0.020382168331032"/>
        </c:manualLayout>
      </c:layout>
      <c:overlay val="0"/>
    </c:title>
    <c:autoTitleDeleted val="0"/>
    <c:plotArea>
      <c:layout>
        <c:manualLayout>
          <c:layoutTarget val="inner"/>
          <c:xMode val="edge"/>
          <c:yMode val="edge"/>
          <c:x val="0.126269476729738"/>
          <c:y val="0.123391816889359"/>
          <c:w val="0.602543223852047"/>
          <c:h val="0.781358640435945"/>
        </c:manualLayout>
      </c:layout>
      <c:areaChart>
        <c:grouping val="stacked"/>
        <c:varyColors val="0"/>
        <c:ser>
          <c:idx val="0"/>
          <c:order val="0"/>
          <c:tx>
            <c:strRef>
              <c:f>#REF!</c:f>
              <c:strCache>
                <c:ptCount val="1"/>
                <c:pt idx="0">
                  <c:v>#REF!</c:v>
                </c:pt>
              </c:strCache>
            </c:strRef>
          </c:tx>
          <c:cat>
            <c:multiLvlStrRef>
              <c:f>#REF!</c:f>
            </c:multiLvlStrRef>
          </c:cat>
          <c:val>
            <c:numRef>
              <c:f>#REF!</c:f>
              <c:numCache>
                <c:formatCode>General</c:formatCode>
                <c:ptCount val="1"/>
                <c:pt idx="0">
                  <c:v>1.0</c:v>
                </c:pt>
              </c:numCache>
            </c:numRef>
          </c:val>
        </c:ser>
        <c:ser>
          <c:idx val="1"/>
          <c:order val="1"/>
          <c:tx>
            <c:strRef>
              <c:f>#REF!</c:f>
              <c:strCache>
                <c:ptCount val="1"/>
                <c:pt idx="0">
                  <c:v>#REF!</c:v>
                </c:pt>
              </c:strCache>
            </c:strRef>
          </c:tx>
          <c:cat>
            <c:multiLvlStrRef>
              <c:f>#REF!</c:f>
            </c:multiLvlStrRef>
          </c:cat>
          <c:val>
            <c:numRef>
              <c:f>#REF!</c:f>
              <c:numCache>
                <c:formatCode>General</c:formatCode>
                <c:ptCount val="1"/>
                <c:pt idx="0">
                  <c:v>1.0</c:v>
                </c:pt>
              </c:numCache>
            </c:numRef>
          </c:val>
        </c:ser>
        <c:ser>
          <c:idx val="2"/>
          <c:order val="2"/>
          <c:tx>
            <c:strRef>
              <c:f>#REF!</c:f>
              <c:strCache>
                <c:ptCount val="1"/>
                <c:pt idx="0">
                  <c:v>#REF!</c:v>
                </c:pt>
              </c:strCache>
            </c:strRef>
          </c:tx>
          <c:cat>
            <c:multiLvlStrRef>
              <c:f>#REF!</c:f>
            </c:multiLvlStrRef>
          </c:cat>
          <c:val>
            <c:numRef>
              <c:f>#REF!</c:f>
              <c:numCache>
                <c:formatCode>General</c:formatCode>
                <c:ptCount val="1"/>
                <c:pt idx="0">
                  <c:v>1.0</c:v>
                </c:pt>
              </c:numCache>
            </c:numRef>
          </c:val>
        </c:ser>
        <c:ser>
          <c:idx val="3"/>
          <c:order val="3"/>
          <c:tx>
            <c:strRef>
              <c:f>#REF!</c:f>
              <c:strCache>
                <c:ptCount val="1"/>
                <c:pt idx="0">
                  <c:v>#REF!</c:v>
                </c:pt>
              </c:strCache>
            </c:strRef>
          </c:tx>
          <c:cat>
            <c:multiLvlStrRef>
              <c:f>#REF!</c:f>
            </c:multiLvlStrRef>
          </c:cat>
          <c:val>
            <c:numRef>
              <c:f>#REF!</c:f>
              <c:numCache>
                <c:formatCode>General</c:formatCode>
                <c:ptCount val="1"/>
                <c:pt idx="0">
                  <c:v>1.0</c:v>
                </c:pt>
              </c:numCache>
            </c:numRef>
          </c:val>
        </c:ser>
        <c:ser>
          <c:idx val="4"/>
          <c:order val="4"/>
          <c:tx>
            <c:strRef>
              <c:f>#REF!</c:f>
              <c:strCache>
                <c:ptCount val="1"/>
                <c:pt idx="0">
                  <c:v>#REF!</c:v>
                </c:pt>
              </c:strCache>
            </c:strRef>
          </c:tx>
          <c:cat>
            <c:multiLvlStrRef>
              <c:f>#REF!</c:f>
            </c:multiLvlStrRef>
          </c:cat>
          <c:val>
            <c:numRef>
              <c:f>#REF!</c:f>
              <c:numCache>
                <c:formatCode>General</c:formatCode>
                <c:ptCount val="1"/>
                <c:pt idx="0">
                  <c:v>1.0</c:v>
                </c:pt>
              </c:numCache>
            </c:numRef>
          </c:val>
        </c:ser>
        <c:ser>
          <c:idx val="5"/>
          <c:order val="5"/>
          <c:tx>
            <c:strRef>
              <c:f>#REF!</c:f>
              <c:strCache>
                <c:ptCount val="1"/>
                <c:pt idx="0">
                  <c:v>#REF!</c:v>
                </c:pt>
              </c:strCache>
            </c:strRef>
          </c:tx>
          <c:cat>
            <c:multiLvlStrRef>
              <c:f>#REF!</c:f>
            </c:multiLvlStrRef>
          </c:cat>
          <c:val>
            <c:numRef>
              <c:f>#REF!</c:f>
              <c:numCache>
                <c:formatCode>General</c:formatCode>
                <c:ptCount val="1"/>
                <c:pt idx="0">
                  <c:v>1.0</c:v>
                </c:pt>
              </c:numCache>
            </c:numRef>
          </c:val>
        </c:ser>
        <c:ser>
          <c:idx val="7"/>
          <c:order val="6"/>
          <c:tx>
            <c:strRef>
              <c:f>#REF!</c:f>
              <c:strCache>
                <c:ptCount val="1"/>
                <c:pt idx="0">
                  <c:v>#REF!</c:v>
                </c:pt>
              </c:strCache>
            </c:strRef>
          </c:tx>
          <c:spPr>
            <a:solidFill>
              <a:schemeClr val="bg1">
                <a:lumMod val="50000"/>
              </a:schemeClr>
            </a:solidFill>
          </c:spPr>
          <c:cat>
            <c:multiLvlStrRef>
              <c:f>#REF!</c:f>
            </c:multiLvlStrRef>
          </c:cat>
          <c:val>
            <c:numRef>
              <c:f>#REF!</c:f>
              <c:numCache>
                <c:formatCode>General</c:formatCode>
                <c:ptCount val="1"/>
                <c:pt idx="0">
                  <c:v>1.0</c:v>
                </c:pt>
              </c:numCache>
            </c:numRef>
          </c:val>
        </c:ser>
        <c:ser>
          <c:idx val="8"/>
          <c:order val="7"/>
          <c:tx>
            <c:strRef>
              <c:f>#REF!</c:f>
              <c:strCache>
                <c:ptCount val="1"/>
                <c:pt idx="0">
                  <c:v>#REF!</c:v>
                </c:pt>
              </c:strCache>
            </c:strRef>
          </c:tx>
          <c:spPr>
            <a:solidFill>
              <a:schemeClr val="accent6"/>
            </a:solidFill>
          </c:spPr>
          <c:cat>
            <c:multiLvlStrRef>
              <c:f>#REF!</c:f>
            </c:multiLvlStrRef>
          </c:cat>
          <c:val>
            <c:numRef>
              <c:f>#REF!</c:f>
              <c:numCache>
                <c:formatCode>General</c:formatCode>
                <c:ptCount val="1"/>
                <c:pt idx="0">
                  <c:v>1.0</c:v>
                </c:pt>
              </c:numCache>
            </c:numRef>
          </c:val>
        </c:ser>
        <c:ser>
          <c:idx val="9"/>
          <c:order val="8"/>
          <c:tx>
            <c:strRef>
              <c:f>#REF!</c:f>
              <c:strCache>
                <c:ptCount val="1"/>
                <c:pt idx="0">
                  <c:v>#REF!</c:v>
                </c:pt>
              </c:strCache>
            </c:strRef>
          </c:tx>
          <c:cat>
            <c:multiLvlStrRef>
              <c:f>#REF!</c:f>
            </c:multiLvlStrRef>
          </c:cat>
          <c:val>
            <c:numRef>
              <c:f>#REF!</c:f>
              <c:numCache>
                <c:formatCode>General</c:formatCode>
                <c:ptCount val="1"/>
                <c:pt idx="0">
                  <c:v>1.0</c:v>
                </c:pt>
              </c:numCache>
            </c:numRef>
          </c:val>
        </c:ser>
        <c:ser>
          <c:idx val="11"/>
          <c:order val="9"/>
          <c:tx>
            <c:strRef>
              <c:f>#REF!</c:f>
              <c:strCache>
                <c:ptCount val="1"/>
                <c:pt idx="0">
                  <c:v>#REF!</c:v>
                </c:pt>
              </c:strCache>
            </c:strRef>
          </c:tx>
          <c:spPr>
            <a:noFill/>
            <a:ln>
              <a:noFill/>
            </a:ln>
          </c:spPr>
          <c:val>
            <c:numRef>
              <c:f>#REF!</c:f>
              <c:numCache>
                <c:formatCode>General</c:formatCode>
                <c:ptCount val="1"/>
                <c:pt idx="0">
                  <c:v>1.0</c:v>
                </c:pt>
              </c:numCache>
            </c:numRef>
          </c:val>
        </c:ser>
        <c:dLbls>
          <c:showLegendKey val="0"/>
          <c:showVal val="0"/>
          <c:showCatName val="0"/>
          <c:showSerName val="0"/>
          <c:showPercent val="0"/>
          <c:showBubbleSize val="0"/>
        </c:dLbls>
        <c:axId val="-2078213896"/>
        <c:axId val="-2078139544"/>
      </c:areaChart>
      <c:catAx>
        <c:axId val="-2078213896"/>
        <c:scaling>
          <c:orientation val="minMax"/>
        </c:scaling>
        <c:delete val="0"/>
        <c:axPos val="b"/>
        <c:numFmt formatCode="General" sourceLinked="1"/>
        <c:majorTickMark val="out"/>
        <c:minorTickMark val="none"/>
        <c:tickLblPos val="nextTo"/>
        <c:txPr>
          <a:bodyPr/>
          <a:lstStyle/>
          <a:p>
            <a:pPr>
              <a:defRPr lang="en-US" sz="1200"/>
            </a:pPr>
            <a:endParaRPr lang="en-US"/>
          </a:p>
        </c:txPr>
        <c:crossAx val="-2078139544"/>
        <c:crosses val="autoZero"/>
        <c:auto val="1"/>
        <c:lblAlgn val="ctr"/>
        <c:lblOffset val="100"/>
        <c:noMultiLvlLbl val="0"/>
      </c:catAx>
      <c:valAx>
        <c:axId val="-2078139544"/>
        <c:scaling>
          <c:orientation val="minMax"/>
        </c:scaling>
        <c:delete val="0"/>
        <c:axPos val="l"/>
        <c:majorGridlines>
          <c:spPr>
            <a:ln>
              <a:solidFill>
                <a:schemeClr val="accent1">
                  <a:lumMod val="20000"/>
                  <a:lumOff val="80000"/>
                </a:schemeClr>
              </a:solidFill>
            </a:ln>
          </c:spPr>
        </c:majorGridlines>
        <c:title>
          <c:tx>
            <c:strRef>
              <c:f>#REF!</c:f>
              <c:strCache>
                <c:ptCount val="1"/>
                <c:pt idx="0">
                  <c:v>#REF!</c:v>
                </c:pt>
              </c:strCache>
            </c:strRef>
          </c:tx>
          <c:overlay val="0"/>
          <c:txPr>
            <a:bodyPr rot="-5400000" vert="horz"/>
            <a:lstStyle/>
            <a:p>
              <a:pPr>
                <a:defRPr lang="en-US" sz="1200"/>
              </a:pPr>
              <a:endParaRPr lang="en-US"/>
            </a:p>
          </c:txPr>
        </c:title>
        <c:numFmt formatCode="#,##0" sourceLinked="0"/>
        <c:majorTickMark val="out"/>
        <c:minorTickMark val="none"/>
        <c:tickLblPos val="nextTo"/>
        <c:spPr>
          <a:ln>
            <a:noFill/>
          </a:ln>
        </c:spPr>
        <c:txPr>
          <a:bodyPr/>
          <a:lstStyle/>
          <a:p>
            <a:pPr>
              <a:defRPr lang="en-US" sz="1200"/>
            </a:pPr>
            <a:endParaRPr lang="en-US"/>
          </a:p>
        </c:txPr>
        <c:crossAx val="-2078213896"/>
        <c:crosses val="autoZero"/>
        <c:crossBetween val="midCat"/>
      </c:valAx>
      <c:spPr>
        <a:noFill/>
      </c:spPr>
    </c:plotArea>
    <c:legend>
      <c:legendPos val="r"/>
      <c:legendEntry>
        <c:idx val="0"/>
        <c:delete val="1"/>
      </c:legendEntry>
      <c:layout>
        <c:manualLayout>
          <c:xMode val="edge"/>
          <c:yMode val="edge"/>
          <c:x val="0.767007860612423"/>
          <c:y val="0.0830073962088082"/>
          <c:w val="0.227245545737359"/>
          <c:h val="0.841593738337447"/>
        </c:manualLayout>
      </c:layout>
      <c:overlay val="0"/>
      <c:txPr>
        <a:bodyPr/>
        <a:lstStyle/>
        <a:p>
          <a:pPr>
            <a:defRPr lang="en-US" sz="1200"/>
          </a:pPr>
          <a:endParaRPr lang="en-US"/>
        </a:p>
      </c:txPr>
    </c:legend>
    <c:plotVisOnly val="1"/>
    <c:dispBlanksAs val="zero"/>
    <c:showDLblsOverMax val="0"/>
  </c:chart>
  <c:spPr>
    <a:noFill/>
    <a:ln>
      <a:noFill/>
    </a:ln>
  </c:spPr>
  <c:txPr>
    <a:bodyPr/>
    <a:lstStyle/>
    <a:p>
      <a:pPr>
        <a:defRPr>
          <a:latin typeface="+mj-lt"/>
        </a:defRPr>
      </a:pPr>
      <a:endParaRPr lang="en-US"/>
    </a:p>
  </c:txPr>
  <c:printSettings>
    <c:headerFooter/>
    <c:pageMargins b="0.750000000000017" l="0.700000000000003" r="0.700000000000003" t="0.750000000000017"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a:pPr>
            <a:r>
              <a:rPr lang="en-GB"/>
              <a:t>Primary supply</a:t>
            </a:r>
          </a:p>
        </c:rich>
      </c:tx>
      <c:layout>
        <c:manualLayout>
          <c:xMode val="edge"/>
          <c:yMode val="edge"/>
          <c:x val="0.283848836775702"/>
          <c:y val="0.0405513992795788"/>
        </c:manualLayout>
      </c:layout>
      <c:overlay val="0"/>
    </c:title>
    <c:autoTitleDeleted val="0"/>
    <c:plotArea>
      <c:layout>
        <c:manualLayout>
          <c:layoutTarget val="inner"/>
          <c:xMode val="edge"/>
          <c:yMode val="edge"/>
          <c:x val="0.115145103248964"/>
          <c:y val="0.142938648603397"/>
          <c:w val="0.615028124877673"/>
          <c:h val="0.746722937856858"/>
        </c:manualLayout>
      </c:layout>
      <c:areaChart>
        <c:grouping val="stacked"/>
        <c:varyColors val="0"/>
        <c:ser>
          <c:idx val="6"/>
          <c:order val="0"/>
          <c:tx>
            <c:strRef>
              <c:f>#REF!</c:f>
              <c:strCache>
                <c:ptCount val="1"/>
                <c:pt idx="0">
                  <c:v>#REF!</c:v>
                </c:pt>
              </c:strCache>
            </c:strRef>
          </c:tx>
          <c:spPr>
            <a:solidFill>
              <a:schemeClr val="accent1">
                <a:lumMod val="60000"/>
                <a:lumOff val="40000"/>
              </a:schemeClr>
            </a:solidFill>
            <a:effectLst/>
          </c:spPr>
          <c:cat>
            <c:multiLvlStrRef>
              <c:f>#REF!</c:f>
            </c:multiLvlStrRef>
          </c:cat>
          <c:val>
            <c:numRef>
              <c:f>#REF!</c:f>
              <c:numCache>
                <c:formatCode>General</c:formatCode>
                <c:ptCount val="1"/>
                <c:pt idx="0">
                  <c:v>1.0</c:v>
                </c:pt>
              </c:numCache>
            </c:numRef>
          </c:val>
        </c:ser>
        <c:ser>
          <c:idx val="7"/>
          <c:order val="1"/>
          <c:tx>
            <c:strRef>
              <c:f>#REF!</c:f>
              <c:strCache>
                <c:ptCount val="1"/>
                <c:pt idx="0">
                  <c:v>#REF!</c:v>
                </c:pt>
              </c:strCache>
            </c:strRef>
          </c:tx>
          <c:cat>
            <c:multiLvlStrRef>
              <c:f>#REF!</c:f>
            </c:multiLvlStrRef>
          </c:cat>
          <c:val>
            <c:numRef>
              <c:f>#REF!</c:f>
              <c:numCache>
                <c:formatCode>General</c:formatCode>
                <c:ptCount val="1"/>
                <c:pt idx="0">
                  <c:v>1.0</c:v>
                </c:pt>
              </c:numCache>
            </c:numRef>
          </c:val>
        </c:ser>
        <c:ser>
          <c:idx val="8"/>
          <c:order val="2"/>
          <c:tx>
            <c:strRef>
              <c:f>#REF!</c:f>
              <c:strCache>
                <c:ptCount val="1"/>
                <c:pt idx="0">
                  <c:v>#REF!</c:v>
                </c:pt>
              </c:strCache>
            </c:strRef>
          </c:tx>
          <c:cat>
            <c:multiLvlStrRef>
              <c:f>#REF!</c:f>
            </c:multiLvlStrRef>
          </c:cat>
          <c:val>
            <c:numRef>
              <c:f>#REF!</c:f>
              <c:numCache>
                <c:formatCode>General</c:formatCode>
                <c:ptCount val="1"/>
                <c:pt idx="0">
                  <c:v>1.0</c:v>
                </c:pt>
              </c:numCache>
            </c:numRef>
          </c:val>
        </c:ser>
        <c:ser>
          <c:idx val="9"/>
          <c:order val="3"/>
          <c:tx>
            <c:strRef>
              <c:f>#REF!</c:f>
              <c:strCache>
                <c:ptCount val="1"/>
                <c:pt idx="0">
                  <c:v>#REF!</c:v>
                </c:pt>
              </c:strCache>
            </c:strRef>
          </c:tx>
          <c:spPr>
            <a:solidFill>
              <a:schemeClr val="bg2">
                <a:lumMod val="25000"/>
              </a:schemeClr>
            </a:solidFill>
            <a:effectLst/>
          </c:spPr>
          <c:cat>
            <c:multiLvlStrRef>
              <c:f>#REF!</c:f>
            </c:multiLvlStrRef>
          </c:cat>
          <c:val>
            <c:numRef>
              <c:f>#REF!</c:f>
              <c:numCache>
                <c:formatCode>General</c:formatCode>
                <c:ptCount val="1"/>
                <c:pt idx="0">
                  <c:v>1.0</c:v>
                </c:pt>
              </c:numCache>
            </c:numRef>
          </c:val>
        </c:ser>
        <c:ser>
          <c:idx val="10"/>
          <c:order val="4"/>
          <c:tx>
            <c:strRef>
              <c:f>#REF!</c:f>
              <c:strCache>
                <c:ptCount val="1"/>
                <c:pt idx="0">
                  <c:v>#REF!</c:v>
                </c:pt>
              </c:strCache>
            </c:strRef>
          </c:tx>
          <c:spPr>
            <a:solidFill>
              <a:schemeClr val="bg2">
                <a:lumMod val="50000"/>
              </a:schemeClr>
            </a:solidFill>
          </c:spPr>
          <c:cat>
            <c:multiLvlStrRef>
              <c:f>#REF!</c:f>
            </c:multiLvlStrRef>
          </c:cat>
          <c:val>
            <c:numRef>
              <c:f>#REF!</c:f>
              <c:numCache>
                <c:formatCode>General</c:formatCode>
                <c:ptCount val="1"/>
                <c:pt idx="0">
                  <c:v>1.0</c:v>
                </c:pt>
              </c:numCache>
            </c:numRef>
          </c:val>
        </c:ser>
        <c:ser>
          <c:idx val="11"/>
          <c:order val="5"/>
          <c:tx>
            <c:strRef>
              <c:f>#REF!</c:f>
              <c:strCache>
                <c:ptCount val="1"/>
                <c:pt idx="0">
                  <c:v>#REF!</c:v>
                </c:pt>
              </c:strCache>
            </c:strRef>
          </c:tx>
          <c:spPr>
            <a:solidFill>
              <a:schemeClr val="bg2">
                <a:lumMod val="90000"/>
              </a:schemeClr>
            </a:solidFill>
          </c:spPr>
          <c:val>
            <c:numRef>
              <c:f>#REF!</c:f>
              <c:numCache>
                <c:formatCode>General</c:formatCode>
                <c:ptCount val="1"/>
                <c:pt idx="0">
                  <c:v>1.0</c:v>
                </c:pt>
              </c:numCache>
            </c:numRef>
          </c:val>
        </c:ser>
        <c:ser>
          <c:idx val="12"/>
          <c:order val="6"/>
          <c:tx>
            <c:strRef>
              <c:f>#REF!</c:f>
              <c:strCache>
                <c:ptCount val="1"/>
                <c:pt idx="0">
                  <c:v>#REF!</c:v>
                </c:pt>
              </c:strCache>
            </c:strRef>
          </c:tx>
          <c:spPr>
            <a:noFill/>
            <a:ln>
              <a:noFill/>
            </a:ln>
          </c:spPr>
          <c:val>
            <c:numRef>
              <c:f>#REF!</c:f>
              <c:numCache>
                <c:formatCode>General</c:formatCode>
                <c:ptCount val="1"/>
                <c:pt idx="0">
                  <c:v>1.0</c:v>
                </c:pt>
              </c:numCache>
            </c:numRef>
          </c:val>
        </c:ser>
        <c:dLbls>
          <c:showLegendKey val="0"/>
          <c:showVal val="0"/>
          <c:showCatName val="0"/>
          <c:showSerName val="0"/>
          <c:showPercent val="0"/>
          <c:showBubbleSize val="0"/>
        </c:dLbls>
        <c:axId val="-2078123256"/>
        <c:axId val="-2078132360"/>
      </c:areaChart>
      <c:catAx>
        <c:axId val="-2078123256"/>
        <c:scaling>
          <c:orientation val="minMax"/>
        </c:scaling>
        <c:delete val="0"/>
        <c:axPos val="b"/>
        <c:numFmt formatCode="General" sourceLinked="1"/>
        <c:majorTickMark val="out"/>
        <c:minorTickMark val="none"/>
        <c:tickLblPos val="nextTo"/>
        <c:txPr>
          <a:bodyPr/>
          <a:lstStyle/>
          <a:p>
            <a:pPr>
              <a:defRPr lang="en-US" sz="1200"/>
            </a:pPr>
            <a:endParaRPr lang="en-US"/>
          </a:p>
        </c:txPr>
        <c:crossAx val="-2078132360"/>
        <c:crosses val="autoZero"/>
        <c:auto val="1"/>
        <c:lblAlgn val="ctr"/>
        <c:lblOffset val="100"/>
        <c:noMultiLvlLbl val="0"/>
      </c:catAx>
      <c:valAx>
        <c:axId val="-2078132360"/>
        <c:scaling>
          <c:orientation val="minMax"/>
        </c:scaling>
        <c:delete val="0"/>
        <c:axPos val="l"/>
        <c:majorGridlines>
          <c:spPr>
            <a:ln>
              <a:solidFill>
                <a:schemeClr val="accent1">
                  <a:lumMod val="20000"/>
                  <a:lumOff val="80000"/>
                </a:schemeClr>
              </a:solidFill>
            </a:ln>
          </c:spPr>
        </c:majorGridlines>
        <c:title>
          <c:tx>
            <c:strRef>
              <c:f>#REF!</c:f>
              <c:strCache>
                <c:ptCount val="1"/>
                <c:pt idx="0">
                  <c:v>#REF!</c:v>
                </c:pt>
              </c:strCache>
            </c:strRef>
          </c:tx>
          <c:overlay val="0"/>
          <c:txPr>
            <a:bodyPr rot="-5400000" vert="horz"/>
            <a:lstStyle/>
            <a:p>
              <a:pPr>
                <a:defRPr lang="en-US" sz="1200"/>
              </a:pPr>
              <a:endParaRPr lang="en-US"/>
            </a:p>
          </c:txPr>
        </c:title>
        <c:numFmt formatCode="#,##0" sourceLinked="0"/>
        <c:majorTickMark val="out"/>
        <c:minorTickMark val="none"/>
        <c:tickLblPos val="nextTo"/>
        <c:spPr>
          <a:ln>
            <a:noFill/>
          </a:ln>
        </c:spPr>
        <c:txPr>
          <a:bodyPr/>
          <a:lstStyle/>
          <a:p>
            <a:pPr>
              <a:defRPr lang="en-US" sz="1200"/>
            </a:pPr>
            <a:endParaRPr lang="en-US"/>
          </a:p>
        </c:txPr>
        <c:crossAx val="-2078123256"/>
        <c:crosses val="autoZero"/>
        <c:crossBetween val="midCat"/>
      </c:valAx>
      <c:spPr>
        <a:noFill/>
      </c:spPr>
    </c:plotArea>
    <c:legend>
      <c:legendPos val="r"/>
      <c:legendEntry>
        <c:idx val="0"/>
        <c:delete val="1"/>
      </c:legendEntry>
      <c:legendEntry>
        <c:idx val="5"/>
        <c:delete val="1"/>
      </c:legendEntry>
      <c:layout>
        <c:manualLayout>
          <c:xMode val="edge"/>
          <c:yMode val="edge"/>
          <c:x val="0.748201202277096"/>
          <c:y val="0.102083910593886"/>
          <c:w val="0.251798797722952"/>
          <c:h val="0.771367876604916"/>
        </c:manualLayout>
      </c:layout>
      <c:overlay val="0"/>
      <c:txPr>
        <a:bodyPr/>
        <a:lstStyle/>
        <a:p>
          <a:pPr>
            <a:defRPr lang="en-US" sz="1200"/>
          </a:pPr>
          <a:endParaRPr lang="en-US"/>
        </a:p>
      </c:txPr>
    </c:legend>
    <c:plotVisOnly val="1"/>
    <c:dispBlanksAs val="zero"/>
    <c:showDLblsOverMax val="0"/>
  </c:chart>
  <c:spPr>
    <a:noFill/>
    <a:ln>
      <a:noFill/>
    </a:ln>
  </c:spPr>
  <c:txPr>
    <a:bodyPr/>
    <a:lstStyle/>
    <a:p>
      <a:pPr>
        <a:defRPr>
          <a:latin typeface="+mj-lt"/>
        </a:defRPr>
      </a:pPr>
      <a:endParaRPr lang="en-US"/>
    </a:p>
  </c:txPr>
  <c:printSettings>
    <c:headerFooter/>
    <c:pageMargins b="0.750000000000017" l="0.700000000000003" r="0.700000000000003" t="0.750000000000017"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a:pPr>
            <a:r>
              <a:rPr lang="en-GB"/>
              <a:t>Electricity generation</a:t>
            </a:r>
          </a:p>
        </c:rich>
      </c:tx>
      <c:layout>
        <c:manualLayout>
          <c:xMode val="edge"/>
          <c:yMode val="edge"/>
          <c:x val="0.190569031847236"/>
          <c:y val="0.0237598231827112"/>
        </c:manualLayout>
      </c:layout>
      <c:overlay val="0"/>
    </c:title>
    <c:autoTitleDeleted val="0"/>
    <c:plotArea>
      <c:layout>
        <c:manualLayout>
          <c:layoutTarget val="inner"/>
          <c:xMode val="edge"/>
          <c:yMode val="edge"/>
          <c:x val="0.118608349425654"/>
          <c:y val="0.142938648603397"/>
          <c:w val="0.639338575779898"/>
          <c:h val="0.746722937856858"/>
        </c:manualLayout>
      </c:layout>
      <c:areaChart>
        <c:grouping val="stacked"/>
        <c:varyColors val="0"/>
        <c:ser>
          <c:idx val="0"/>
          <c:order val="0"/>
          <c:tx>
            <c:strRef>
              <c:f>#REF!</c:f>
              <c:strCache>
                <c:ptCount val="1"/>
                <c:pt idx="0">
                  <c:v>#REF!</c:v>
                </c:pt>
              </c:strCache>
            </c:strRef>
          </c:tx>
          <c:cat>
            <c:multiLvlStrRef>
              <c:f>#REF!</c:f>
            </c:multiLvlStrRef>
          </c:cat>
          <c:val>
            <c:numRef>
              <c:f>#REF!</c:f>
              <c:numCache>
                <c:formatCode>General</c:formatCode>
                <c:ptCount val="1"/>
                <c:pt idx="0">
                  <c:v>1.0</c:v>
                </c:pt>
              </c:numCache>
            </c:numRef>
          </c:val>
        </c:ser>
        <c:ser>
          <c:idx val="1"/>
          <c:order val="1"/>
          <c:tx>
            <c:strRef>
              <c:f>#REF!</c:f>
              <c:strCache>
                <c:ptCount val="1"/>
                <c:pt idx="0">
                  <c:v>#REF!</c:v>
                </c:pt>
              </c:strCache>
            </c:strRef>
          </c:tx>
          <c:cat>
            <c:multiLvlStrRef>
              <c:f>#REF!</c:f>
            </c:multiLvlStrRef>
          </c:cat>
          <c:val>
            <c:numRef>
              <c:f>#REF!</c:f>
              <c:numCache>
                <c:formatCode>General</c:formatCode>
                <c:ptCount val="1"/>
                <c:pt idx="0">
                  <c:v>1.0</c:v>
                </c:pt>
              </c:numCache>
            </c:numRef>
          </c:val>
        </c:ser>
        <c:ser>
          <c:idx val="2"/>
          <c:order val="2"/>
          <c:tx>
            <c:strRef>
              <c:f>#REF!</c:f>
              <c:strCache>
                <c:ptCount val="1"/>
                <c:pt idx="0">
                  <c:v>#REF!</c:v>
                </c:pt>
              </c:strCache>
            </c:strRef>
          </c:tx>
          <c:cat>
            <c:multiLvlStrRef>
              <c:f>#REF!</c:f>
            </c:multiLvlStrRef>
          </c:cat>
          <c:val>
            <c:numRef>
              <c:f>#REF!</c:f>
              <c:numCache>
                <c:formatCode>General</c:formatCode>
                <c:ptCount val="1"/>
                <c:pt idx="0">
                  <c:v>1.0</c:v>
                </c:pt>
              </c:numCache>
            </c:numRef>
          </c:val>
        </c:ser>
        <c:dLbls>
          <c:showLegendKey val="0"/>
          <c:showVal val="0"/>
          <c:showCatName val="0"/>
          <c:showSerName val="0"/>
          <c:showPercent val="0"/>
          <c:showBubbleSize val="0"/>
        </c:dLbls>
        <c:axId val="-2077892328"/>
        <c:axId val="-2077900232"/>
      </c:areaChart>
      <c:lineChart>
        <c:grouping val="standard"/>
        <c:varyColors val="0"/>
        <c:ser>
          <c:idx val="3"/>
          <c:order val="3"/>
          <c:tx>
            <c:v>Demand</c:v>
          </c:tx>
          <c:spPr>
            <a:ln>
              <a:solidFill>
                <a:schemeClr val="tx1">
                  <a:alpha val="68000"/>
                </a:schemeClr>
              </a:solidFill>
            </a:ln>
          </c:spPr>
          <c:marker>
            <c:symbol val="none"/>
          </c:marker>
          <c:cat>
            <c:multiLvlStrRef>
              <c:f>#REF!</c:f>
            </c:multiLvlStrRef>
          </c:cat>
          <c:val>
            <c:numRef>
              <c:f>#REF!</c:f>
              <c:numCache>
                <c:formatCode>General</c:formatCode>
                <c:ptCount val="1"/>
                <c:pt idx="0">
                  <c:v>1.0</c:v>
                </c:pt>
              </c:numCache>
            </c:numRef>
          </c:val>
          <c:smooth val="0"/>
        </c:ser>
        <c:dLbls>
          <c:showLegendKey val="0"/>
          <c:showVal val="0"/>
          <c:showCatName val="0"/>
          <c:showSerName val="0"/>
          <c:showPercent val="0"/>
          <c:showBubbleSize val="0"/>
        </c:dLbls>
        <c:marker val="1"/>
        <c:smooth val="0"/>
        <c:axId val="-2077892328"/>
        <c:axId val="-2077900232"/>
      </c:lineChart>
      <c:catAx>
        <c:axId val="-2077892328"/>
        <c:scaling>
          <c:orientation val="minMax"/>
        </c:scaling>
        <c:delete val="0"/>
        <c:axPos val="b"/>
        <c:numFmt formatCode="General" sourceLinked="1"/>
        <c:majorTickMark val="out"/>
        <c:minorTickMark val="none"/>
        <c:tickLblPos val="nextTo"/>
        <c:txPr>
          <a:bodyPr/>
          <a:lstStyle/>
          <a:p>
            <a:pPr>
              <a:defRPr lang="en-US" sz="1200"/>
            </a:pPr>
            <a:endParaRPr lang="en-US"/>
          </a:p>
        </c:txPr>
        <c:crossAx val="-2077900232"/>
        <c:crosses val="autoZero"/>
        <c:auto val="1"/>
        <c:lblAlgn val="ctr"/>
        <c:lblOffset val="100"/>
        <c:noMultiLvlLbl val="0"/>
      </c:catAx>
      <c:valAx>
        <c:axId val="-2077900232"/>
        <c:scaling>
          <c:orientation val="minMax"/>
        </c:scaling>
        <c:delete val="0"/>
        <c:axPos val="l"/>
        <c:majorGridlines>
          <c:spPr>
            <a:ln>
              <a:solidFill>
                <a:schemeClr val="accent1">
                  <a:lumMod val="20000"/>
                  <a:lumOff val="80000"/>
                </a:schemeClr>
              </a:solidFill>
            </a:ln>
          </c:spPr>
        </c:majorGridlines>
        <c:title>
          <c:tx>
            <c:strRef>
              <c:f>#REF!</c:f>
              <c:strCache>
                <c:ptCount val="1"/>
                <c:pt idx="0">
                  <c:v>#REF!</c:v>
                </c:pt>
              </c:strCache>
            </c:strRef>
          </c:tx>
          <c:layout>
            <c:manualLayout>
              <c:xMode val="edge"/>
              <c:yMode val="edge"/>
              <c:x val="0.0"/>
              <c:y val="0.386545961002836"/>
            </c:manualLayout>
          </c:layout>
          <c:overlay val="0"/>
          <c:txPr>
            <a:bodyPr rot="-5400000" vert="horz"/>
            <a:lstStyle/>
            <a:p>
              <a:pPr>
                <a:defRPr lang="en-US" sz="1200"/>
              </a:pPr>
              <a:endParaRPr lang="en-US"/>
            </a:p>
          </c:txPr>
        </c:title>
        <c:numFmt formatCode="#,##0" sourceLinked="0"/>
        <c:majorTickMark val="out"/>
        <c:minorTickMark val="none"/>
        <c:tickLblPos val="nextTo"/>
        <c:spPr>
          <a:ln>
            <a:noFill/>
          </a:ln>
        </c:spPr>
        <c:txPr>
          <a:bodyPr/>
          <a:lstStyle/>
          <a:p>
            <a:pPr>
              <a:defRPr lang="en-US" sz="1200"/>
            </a:pPr>
            <a:endParaRPr lang="en-US"/>
          </a:p>
        </c:txPr>
        <c:crossAx val="-2077892328"/>
        <c:crosses val="autoZero"/>
        <c:crossBetween val="between"/>
      </c:valAx>
      <c:spPr>
        <a:noFill/>
        <a:ln w="25400">
          <a:noFill/>
        </a:ln>
        <a:effectLst/>
      </c:spPr>
    </c:plotArea>
    <c:legend>
      <c:legendPos val="r"/>
      <c:layout>
        <c:manualLayout>
          <c:xMode val="edge"/>
          <c:yMode val="edge"/>
          <c:x val="0.752158758661602"/>
          <c:y val="0.102083910593886"/>
          <c:w val="0.247841256185591"/>
          <c:h val="0.479912358137919"/>
        </c:manualLayout>
      </c:layout>
      <c:overlay val="0"/>
      <c:txPr>
        <a:bodyPr/>
        <a:lstStyle/>
        <a:p>
          <a:pPr>
            <a:defRPr lang="en-US" sz="1200"/>
          </a:pPr>
          <a:endParaRPr lang="en-US"/>
        </a:p>
      </c:txPr>
    </c:legend>
    <c:plotVisOnly val="1"/>
    <c:dispBlanksAs val="zero"/>
    <c:showDLblsOverMax val="0"/>
  </c:chart>
  <c:spPr>
    <a:noFill/>
    <a:ln>
      <a:noFill/>
    </a:ln>
  </c:spPr>
  <c:txPr>
    <a:bodyPr/>
    <a:lstStyle/>
    <a:p>
      <a:pPr>
        <a:defRPr>
          <a:latin typeface="+mj-lt"/>
        </a:defRPr>
      </a:pPr>
      <a:endParaRPr lang="en-US"/>
    </a:p>
  </c:txPr>
  <c:printSettings>
    <c:headerFooter/>
    <c:pageMargins b="0.750000000000017" l="0.700000000000003" r="0.700000000000003" t="0.750000000000017"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#REF!</c:f>
              <c:strCache>
                <c:ptCount val="1"/>
                <c:pt idx="0">
                  <c:v>#REF!</c:v>
                </c:pt>
              </c:strCache>
            </c:strRef>
          </c:tx>
          <c:cat>
            <c:multiLvlStrRef>
              <c:f>#REF!</c:f>
            </c:multiLvlStrRef>
          </c:cat>
          <c:val>
            <c:numRef>
              <c:f>#REF!</c:f>
              <c:numCache>
                <c:formatCode>General</c:formatCode>
                <c:ptCount val="1"/>
                <c:pt idx="0">
                  <c:v>1.0</c:v>
                </c:pt>
              </c:numCache>
            </c:numRef>
          </c:val>
        </c:ser>
        <c:ser>
          <c:idx val="1"/>
          <c:order val="1"/>
          <c:tx>
            <c:strRef>
              <c:f>#REF!</c:f>
              <c:strCache>
                <c:ptCount val="1"/>
                <c:pt idx="0">
                  <c:v>#REF!</c:v>
                </c:pt>
              </c:strCache>
            </c:strRef>
          </c:tx>
          <c:spPr>
            <a:ln w="25400">
              <a:noFill/>
            </a:ln>
          </c:spPr>
          <c:cat>
            <c:multiLvlStrRef>
              <c:f>#REF!</c:f>
            </c:multiLvlStrRef>
          </c:cat>
          <c:val>
            <c:numRef>
              <c:f>#REF!</c:f>
              <c:numCache>
                <c:formatCode>General</c:formatCode>
                <c:ptCount val="1"/>
                <c:pt idx="0">
                  <c:v>1.0</c:v>
                </c:pt>
              </c:numCache>
            </c:numRef>
          </c:val>
        </c:ser>
        <c:ser>
          <c:idx val="2"/>
          <c:order val="2"/>
          <c:tx>
            <c:strRef>
              <c:f>#REF!</c:f>
              <c:strCache>
                <c:ptCount val="1"/>
                <c:pt idx="0">
                  <c:v>#REF!</c:v>
                </c:pt>
              </c:strCache>
            </c:strRef>
          </c:tx>
          <c:spPr>
            <a:ln w="25400">
              <a:noFill/>
            </a:ln>
          </c:spPr>
          <c:cat>
            <c:multiLvlStrRef>
              <c:f>#REF!</c:f>
            </c:multiLvlStrRef>
          </c:cat>
          <c:val>
            <c:numRef>
              <c:f>#REF!</c:f>
              <c:numCache>
                <c:formatCode>General</c:formatCode>
                <c:ptCount val="1"/>
                <c:pt idx="0">
                  <c:v>1.0</c:v>
                </c:pt>
              </c:numCache>
            </c:numRef>
          </c:val>
        </c:ser>
        <c:ser>
          <c:idx val="3"/>
          <c:order val="3"/>
          <c:tx>
            <c:strRef>
              <c:f>#REF!</c:f>
              <c:strCache>
                <c:ptCount val="1"/>
                <c:pt idx="0">
                  <c:v>#REF!</c:v>
                </c:pt>
              </c:strCache>
            </c:strRef>
          </c:tx>
          <c:spPr>
            <a:ln w="25400">
              <a:noFill/>
            </a:ln>
          </c:spPr>
          <c:cat>
            <c:multiLvlStrRef>
              <c:f>#REF!</c:f>
            </c:multiLvlStrRef>
          </c:cat>
          <c:val>
            <c:numRef>
              <c:f>#REF!</c:f>
              <c:numCache>
                <c:formatCode>General</c:formatCode>
                <c:ptCount val="1"/>
                <c:pt idx="0">
                  <c:v>1.0</c:v>
                </c:pt>
              </c:numCache>
            </c:numRef>
          </c:val>
        </c:ser>
        <c:ser>
          <c:idx val="4"/>
          <c:order val="4"/>
          <c:tx>
            <c:strRef>
              <c:f>#REF!</c:f>
              <c:strCache>
                <c:ptCount val="1"/>
                <c:pt idx="0">
                  <c:v>#REF!</c:v>
                </c:pt>
              </c:strCache>
            </c:strRef>
          </c:tx>
          <c:spPr>
            <a:ln w="25400">
              <a:noFill/>
            </a:ln>
          </c:spPr>
          <c:cat>
            <c:multiLvlStrRef>
              <c:f>#REF!</c:f>
            </c:multiLvlStrRef>
          </c:cat>
          <c:val>
            <c:numRef>
              <c:f>#REF!</c:f>
              <c:numCache>
                <c:formatCode>General</c:formatCode>
                <c:ptCount val="1"/>
                <c:pt idx="0">
                  <c:v>1.0</c:v>
                </c:pt>
              </c:numCache>
            </c:numRef>
          </c:val>
        </c:ser>
        <c:ser>
          <c:idx val="5"/>
          <c:order val="5"/>
          <c:tx>
            <c:strRef>
              <c:f>#REF!</c:f>
              <c:strCache>
                <c:ptCount val="1"/>
                <c:pt idx="0">
                  <c:v>#REF!</c:v>
                </c:pt>
              </c:strCache>
            </c:strRef>
          </c:tx>
          <c:spPr>
            <a:ln w="25400">
              <a:noFill/>
            </a:ln>
          </c:spPr>
          <c:cat>
            <c:multiLvlStrRef>
              <c:f>#REF!</c:f>
            </c:multiLvlStrRef>
          </c:cat>
          <c:val>
            <c:numRef>
              <c:f>#REF!</c:f>
              <c:numCache>
                <c:formatCode>General</c:formatCode>
                <c:ptCount val="1"/>
                <c:pt idx="0">
                  <c:v>1.0</c:v>
                </c:pt>
              </c:numCache>
            </c:numRef>
          </c:val>
        </c:ser>
        <c:dLbls>
          <c:showLegendKey val="0"/>
          <c:showVal val="0"/>
          <c:showCatName val="0"/>
          <c:showSerName val="0"/>
          <c:showPercent val="0"/>
          <c:showBubbleSize val="0"/>
        </c:dLbls>
        <c:axId val="-2077662408"/>
        <c:axId val="-2077682680"/>
      </c:areaChart>
      <c:catAx>
        <c:axId val="-2077662408"/>
        <c:scaling>
          <c:orientation val="minMax"/>
        </c:scaling>
        <c:delete val="0"/>
        <c:axPos val="b"/>
        <c:numFmt formatCode="General" sourceLinked="1"/>
        <c:majorTickMark val="out"/>
        <c:minorTickMark val="none"/>
        <c:tickLblPos val="nextTo"/>
        <c:crossAx val="-2077682680"/>
        <c:crosses val="autoZero"/>
        <c:auto val="1"/>
        <c:lblAlgn val="ctr"/>
        <c:lblOffset val="100"/>
        <c:noMultiLvlLbl val="0"/>
      </c:catAx>
      <c:valAx>
        <c:axId val="-2077682680"/>
        <c:scaling>
          <c:orientation val="minMax"/>
        </c:scaling>
        <c:delete val="0"/>
        <c:axPos val="l"/>
        <c:majorGridlines/>
        <c:numFmt formatCode="General" sourceLinked="1"/>
        <c:majorTickMark val="out"/>
        <c:minorTickMark val="none"/>
        <c:tickLblPos val="nextTo"/>
        <c:crossAx val="-207766240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Energy use in the Commercial sector</a:t>
            </a:r>
          </a:p>
        </c:rich>
      </c:tx>
      <c:overlay val="0"/>
    </c:title>
    <c:autoTitleDeleted val="0"/>
    <c:plotArea>
      <c:layout/>
      <c:pieChart>
        <c:varyColors val="1"/>
        <c:ser>
          <c:idx val="0"/>
          <c:order val="0"/>
          <c:dLbls>
            <c:showLegendKey val="0"/>
            <c:showVal val="0"/>
            <c:showCatName val="1"/>
            <c:showSerName val="0"/>
            <c:showPercent val="1"/>
            <c:showBubbleSize val="0"/>
            <c:showLeaderLines val="1"/>
          </c:dLbls>
          <c:cat>
            <c:strRef>
              <c:f>COM.Tech!$C$5:$J$5</c:f>
              <c:strCache>
                <c:ptCount val="8"/>
                <c:pt idx="0">
                  <c:v>Coal</c:v>
                </c:pt>
                <c:pt idx="1">
                  <c:v>Diesel</c:v>
                </c:pt>
                <c:pt idx="2">
                  <c:v>Electricity</c:v>
                </c:pt>
                <c:pt idx="3">
                  <c:v>Gas</c:v>
                </c:pt>
                <c:pt idx="4">
                  <c:v>Gasoline</c:v>
                </c:pt>
                <c:pt idx="5">
                  <c:v>HFO</c:v>
                </c:pt>
                <c:pt idx="6">
                  <c:v>Paraffin</c:v>
                </c:pt>
                <c:pt idx="7">
                  <c:v>LPG</c:v>
                </c:pt>
              </c:strCache>
            </c:strRef>
          </c:cat>
          <c:val>
            <c:numRef>
              <c:f>COM.Tech!$C$7:$J$7</c:f>
              <c:numCache>
                <c:formatCode>#,##0.00</c:formatCode>
                <c:ptCount val="8"/>
                <c:pt idx="0">
                  <c:v>76.30200000000001</c:v>
                </c:pt>
                <c:pt idx="1">
                  <c:v>1.742</c:v>
                </c:pt>
                <c:pt idx="2">
                  <c:v>103.8</c:v>
                </c:pt>
                <c:pt idx="3">
                  <c:v>0.864</c:v>
                </c:pt>
                <c:pt idx="4">
                  <c:v>0.237</c:v>
                </c:pt>
                <c:pt idx="5">
                  <c:v>17.767</c:v>
                </c:pt>
                <c:pt idx="6">
                  <c:v>1.329</c:v>
                </c:pt>
                <c:pt idx="7">
                  <c:v>3.29</c:v>
                </c:pt>
              </c:numCache>
            </c:numRef>
          </c:val>
        </c:ser>
        <c:dLbls>
          <c:showLegendKey val="0"/>
          <c:showVal val="0"/>
          <c:showCatName val="1"/>
          <c:showSerName val="0"/>
          <c:showPercent val="1"/>
          <c:showBubbleSize val="0"/>
          <c:showLeaderLines val="1"/>
        </c:dLbls>
        <c:firstSliceAng val="0"/>
      </c:pieChart>
    </c:plotArea>
    <c:plotVisOnly val="1"/>
    <c:dispBlanksAs val="zero"/>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IND.Tech!$AT$79</c:f>
          <c:strCache>
            <c:ptCount val="1"/>
            <c:pt idx="0">
              <c:v>Boiler/Furnace systems: EE potential </c:v>
            </c:pt>
          </c:strCache>
        </c:strRef>
      </c:tx>
      <c:overlay val="0"/>
    </c:title>
    <c:autoTitleDeleted val="0"/>
    <c:plotArea>
      <c:layout/>
      <c:scatterChart>
        <c:scatterStyle val="lineMarker"/>
        <c:varyColors val="0"/>
        <c:ser>
          <c:idx val="0"/>
          <c:order val="0"/>
          <c:tx>
            <c:strRef>
              <c:f>IND.Tech!$AT$80</c:f>
              <c:strCache>
                <c:ptCount val="1"/>
                <c:pt idx="0">
                  <c:v>Standards-3</c:v>
                </c:pt>
              </c:strCache>
            </c:strRef>
          </c:tx>
          <c:xVal>
            <c:numRef>
              <c:f>IND.Tech!$AY$79:$BD$79</c:f>
              <c:numCache>
                <c:formatCode>General</c:formatCode>
                <c:ptCount val="6"/>
                <c:pt idx="0">
                  <c:v>2012.0</c:v>
                </c:pt>
                <c:pt idx="1">
                  <c:v>2016.0</c:v>
                </c:pt>
                <c:pt idx="2">
                  <c:v>2020.0</c:v>
                </c:pt>
                <c:pt idx="3">
                  <c:v>2024.0</c:v>
                </c:pt>
                <c:pt idx="4">
                  <c:v>2028.0</c:v>
                </c:pt>
                <c:pt idx="5">
                  <c:v>2032.0</c:v>
                </c:pt>
              </c:numCache>
            </c:numRef>
          </c:xVal>
          <c:yVal>
            <c:numRef>
              <c:f>IND.Tech!$AY$80:$BD$80</c:f>
              <c:numCache>
                <c:formatCode>0%</c:formatCode>
                <c:ptCount val="6"/>
                <c:pt idx="0">
                  <c:v>0.02</c:v>
                </c:pt>
                <c:pt idx="1">
                  <c:v>0.06</c:v>
                </c:pt>
                <c:pt idx="2">
                  <c:v>0.12</c:v>
                </c:pt>
                <c:pt idx="3">
                  <c:v>0.16</c:v>
                </c:pt>
                <c:pt idx="4">
                  <c:v>0.18</c:v>
                </c:pt>
                <c:pt idx="5">
                  <c:v>0.2</c:v>
                </c:pt>
              </c:numCache>
            </c:numRef>
          </c:yVal>
          <c:smooth val="0"/>
        </c:ser>
        <c:ser>
          <c:idx val="1"/>
          <c:order val="1"/>
          <c:tx>
            <c:strRef>
              <c:f>IND.Tech!$AT$81</c:f>
              <c:strCache>
                <c:ptCount val="1"/>
                <c:pt idx="0">
                  <c:v>Standards-2</c:v>
                </c:pt>
              </c:strCache>
            </c:strRef>
          </c:tx>
          <c:xVal>
            <c:numRef>
              <c:f>IND.Tech!$AY$79:$BD$79</c:f>
              <c:numCache>
                <c:formatCode>General</c:formatCode>
                <c:ptCount val="6"/>
                <c:pt idx="0">
                  <c:v>2012.0</c:v>
                </c:pt>
                <c:pt idx="1">
                  <c:v>2016.0</c:v>
                </c:pt>
                <c:pt idx="2">
                  <c:v>2020.0</c:v>
                </c:pt>
                <c:pt idx="3">
                  <c:v>2024.0</c:v>
                </c:pt>
                <c:pt idx="4">
                  <c:v>2028.0</c:v>
                </c:pt>
                <c:pt idx="5">
                  <c:v>2032.0</c:v>
                </c:pt>
              </c:numCache>
            </c:numRef>
          </c:xVal>
          <c:yVal>
            <c:numRef>
              <c:f>IND.Tech!$AY$81:$BD$81</c:f>
              <c:numCache>
                <c:formatCode>0%</c:formatCode>
                <c:ptCount val="6"/>
                <c:pt idx="0">
                  <c:v>0.02</c:v>
                </c:pt>
                <c:pt idx="1">
                  <c:v>0.05</c:v>
                </c:pt>
                <c:pt idx="2">
                  <c:v>0.07</c:v>
                </c:pt>
                <c:pt idx="3">
                  <c:v>0.1</c:v>
                </c:pt>
                <c:pt idx="4">
                  <c:v>0.12</c:v>
                </c:pt>
                <c:pt idx="5">
                  <c:v>0.16</c:v>
                </c:pt>
              </c:numCache>
            </c:numRef>
          </c:yVal>
          <c:smooth val="0"/>
        </c:ser>
        <c:ser>
          <c:idx val="2"/>
          <c:order val="2"/>
          <c:tx>
            <c:strRef>
              <c:f>IND.Tech!$AT$82</c:f>
              <c:strCache>
                <c:ptCount val="1"/>
                <c:pt idx="0">
                  <c:v>Standards</c:v>
                </c:pt>
              </c:strCache>
            </c:strRef>
          </c:tx>
          <c:xVal>
            <c:numRef>
              <c:f>IND.Tech!$AY$79:$BD$79</c:f>
              <c:numCache>
                <c:formatCode>General</c:formatCode>
                <c:ptCount val="6"/>
                <c:pt idx="0">
                  <c:v>2012.0</c:v>
                </c:pt>
                <c:pt idx="1">
                  <c:v>2016.0</c:v>
                </c:pt>
                <c:pt idx="2">
                  <c:v>2020.0</c:v>
                </c:pt>
                <c:pt idx="3">
                  <c:v>2024.0</c:v>
                </c:pt>
                <c:pt idx="4">
                  <c:v>2028.0</c:v>
                </c:pt>
                <c:pt idx="5">
                  <c:v>2032.0</c:v>
                </c:pt>
              </c:numCache>
            </c:numRef>
          </c:xVal>
          <c:yVal>
            <c:numRef>
              <c:f>IND.Tech!$AY$82:$BD$82</c:f>
              <c:numCache>
                <c:formatCode>0.0%;\ \(0.0%\);\ \-</c:formatCode>
                <c:ptCount val="6"/>
                <c:pt idx="0">
                  <c:v>0.01</c:v>
                </c:pt>
                <c:pt idx="1">
                  <c:v>0.02</c:v>
                </c:pt>
                <c:pt idx="2">
                  <c:v>0.03</c:v>
                </c:pt>
                <c:pt idx="3" formatCode="0%">
                  <c:v>0.04</c:v>
                </c:pt>
                <c:pt idx="4" formatCode="0%">
                  <c:v>0.05</c:v>
                </c:pt>
                <c:pt idx="5" formatCode="0%">
                  <c:v>0.05</c:v>
                </c:pt>
              </c:numCache>
            </c:numRef>
          </c:yVal>
          <c:smooth val="0"/>
        </c:ser>
        <c:ser>
          <c:idx val="3"/>
          <c:order val="3"/>
          <c:tx>
            <c:strRef>
              <c:f>IND.Tech!$AT$83</c:f>
              <c:strCache>
                <c:ptCount val="1"/>
                <c:pt idx="0">
                  <c:v>NEEA</c:v>
                </c:pt>
              </c:strCache>
            </c:strRef>
          </c:tx>
          <c:xVal>
            <c:numRef>
              <c:f>IND.Tech!$AY$79:$BD$79</c:f>
              <c:numCache>
                <c:formatCode>General</c:formatCode>
                <c:ptCount val="6"/>
                <c:pt idx="0">
                  <c:v>2012.0</c:v>
                </c:pt>
                <c:pt idx="1">
                  <c:v>2016.0</c:v>
                </c:pt>
                <c:pt idx="2">
                  <c:v>2020.0</c:v>
                </c:pt>
                <c:pt idx="3">
                  <c:v>2024.0</c:v>
                </c:pt>
                <c:pt idx="4">
                  <c:v>2028.0</c:v>
                </c:pt>
                <c:pt idx="5">
                  <c:v>2032.0</c:v>
                </c:pt>
              </c:numCache>
            </c:numRef>
          </c:xVal>
          <c:yVal>
            <c:numRef>
              <c:f>IND.Tech!$AY$83:$BD$83</c:f>
              <c:numCache>
                <c:formatCode>0.0%;\ \(0.0%\);\ \-</c:formatCode>
                <c:ptCount val="6"/>
                <c:pt idx="0">
                  <c:v>0.0</c:v>
                </c:pt>
                <c:pt idx="1">
                  <c:v>0.0</c:v>
                </c:pt>
                <c:pt idx="2">
                  <c:v>0.01</c:v>
                </c:pt>
                <c:pt idx="3" formatCode="0%">
                  <c:v>0.01</c:v>
                </c:pt>
                <c:pt idx="4" formatCode="0%">
                  <c:v>0.01</c:v>
                </c:pt>
                <c:pt idx="5" formatCode="0%">
                  <c:v>0.01</c:v>
                </c:pt>
              </c:numCache>
            </c:numRef>
          </c:yVal>
          <c:smooth val="0"/>
        </c:ser>
        <c:dLbls>
          <c:showLegendKey val="0"/>
          <c:showVal val="0"/>
          <c:showCatName val="0"/>
          <c:showSerName val="0"/>
          <c:showPercent val="0"/>
          <c:showBubbleSize val="0"/>
        </c:dLbls>
        <c:axId val="-2144156584"/>
        <c:axId val="-2144142584"/>
      </c:scatterChart>
      <c:valAx>
        <c:axId val="-2144156584"/>
        <c:scaling>
          <c:orientation val="minMax"/>
        </c:scaling>
        <c:delete val="0"/>
        <c:axPos val="b"/>
        <c:numFmt formatCode="General" sourceLinked="1"/>
        <c:majorTickMark val="out"/>
        <c:minorTickMark val="none"/>
        <c:tickLblPos val="nextTo"/>
        <c:crossAx val="-2144142584"/>
        <c:crosses val="autoZero"/>
        <c:crossBetween val="midCat"/>
      </c:valAx>
      <c:valAx>
        <c:axId val="-2144142584"/>
        <c:scaling>
          <c:orientation val="minMax"/>
        </c:scaling>
        <c:delete val="0"/>
        <c:axPos val="l"/>
        <c:majorGridlines/>
        <c:numFmt formatCode="0%" sourceLinked="1"/>
        <c:majorTickMark val="out"/>
        <c:minorTickMark val="none"/>
        <c:tickLblPos val="nextTo"/>
        <c:crossAx val="-2144156584"/>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IND.Tech!$BF$29</c:f>
          <c:strCache>
            <c:ptCount val="1"/>
            <c:pt idx="0">
              <c:v>EE savings scaling curve</c:v>
            </c:pt>
          </c:strCache>
        </c:strRef>
      </c:tx>
      <c:layout>
        <c:manualLayout>
          <c:xMode val="edge"/>
          <c:yMode val="edge"/>
          <c:x val="0.202152668416448"/>
          <c:y val="0.0277777777777778"/>
        </c:manualLayout>
      </c:layout>
      <c:overlay val="0"/>
    </c:title>
    <c:autoTitleDeleted val="0"/>
    <c:plotArea>
      <c:layout/>
      <c:lineChart>
        <c:grouping val="standard"/>
        <c:varyColors val="0"/>
        <c:ser>
          <c:idx val="1"/>
          <c:order val="0"/>
          <c:tx>
            <c:strRef>
              <c:f>IND.Tech!$BF$35</c:f>
              <c:strCache>
                <c:ptCount val="1"/>
                <c:pt idx="0">
                  <c:v>a</c:v>
                </c:pt>
              </c:strCache>
            </c:strRef>
          </c:tx>
          <c:marker>
            <c:symbol val="none"/>
          </c:marker>
          <c:cat>
            <c:numRef>
              <c:f>IND.Tech!$BH$41:$BP$41</c:f>
              <c:numCache>
                <c:formatCode>General</c:formatCode>
                <c:ptCount val="9"/>
                <c:pt idx="0">
                  <c:v>2010.0</c:v>
                </c:pt>
                <c:pt idx="1">
                  <c:v>2015.0</c:v>
                </c:pt>
                <c:pt idx="2">
                  <c:v>2020.0</c:v>
                </c:pt>
                <c:pt idx="3">
                  <c:v>2025.0</c:v>
                </c:pt>
                <c:pt idx="4">
                  <c:v>2030.0</c:v>
                </c:pt>
                <c:pt idx="5">
                  <c:v>2035.0</c:v>
                </c:pt>
                <c:pt idx="6">
                  <c:v>2040.0</c:v>
                </c:pt>
                <c:pt idx="7">
                  <c:v>2045.0</c:v>
                </c:pt>
                <c:pt idx="8">
                  <c:v>2050.0</c:v>
                </c:pt>
              </c:numCache>
            </c:numRef>
          </c:cat>
          <c:val>
            <c:numRef>
              <c:f>IND.Tech!$BG$35:$BP$35</c:f>
              <c:numCache>
                <c:formatCode>0.000%</c:formatCode>
                <c:ptCount val="10"/>
                <c:pt idx="0">
                  <c:v>0.0</c:v>
                </c:pt>
                <c:pt idx="1">
                  <c:v>0.0350007972361065</c:v>
                </c:pt>
                <c:pt idx="2">
                  <c:v>0.108023873601227</c:v>
                </c:pt>
                <c:pt idx="3">
                  <c:v>0.225400927754696</c:v>
                </c:pt>
                <c:pt idx="4">
                  <c:v>0.388559829313031</c:v>
                </c:pt>
                <c:pt idx="5">
                  <c:v>0.574863231813658</c:v>
                </c:pt>
                <c:pt idx="6">
                  <c:v>0.745295050116592</c:v>
                </c:pt>
                <c:pt idx="7">
                  <c:v>0.872358371062952</c:v>
                </c:pt>
                <c:pt idx="8">
                  <c:v>0.953375118374635</c:v>
                </c:pt>
                <c:pt idx="9">
                  <c:v>1.0</c:v>
                </c:pt>
              </c:numCache>
            </c:numRef>
          </c:val>
          <c:smooth val="0"/>
        </c:ser>
        <c:ser>
          <c:idx val="0"/>
          <c:order val="1"/>
          <c:tx>
            <c:strRef>
              <c:f>IND.Tech!$BF$37</c:f>
              <c:strCache>
                <c:ptCount val="1"/>
                <c:pt idx="0">
                  <c:v>b</c:v>
                </c:pt>
              </c:strCache>
            </c:strRef>
          </c:tx>
          <c:marker>
            <c:symbol val="none"/>
          </c:marker>
          <c:cat>
            <c:numRef>
              <c:f>IND.Tech!$BH$41:$BP$41</c:f>
              <c:numCache>
                <c:formatCode>General</c:formatCode>
                <c:ptCount val="9"/>
                <c:pt idx="0">
                  <c:v>2010.0</c:v>
                </c:pt>
                <c:pt idx="1">
                  <c:v>2015.0</c:v>
                </c:pt>
                <c:pt idx="2">
                  <c:v>2020.0</c:v>
                </c:pt>
                <c:pt idx="3">
                  <c:v>2025.0</c:v>
                </c:pt>
                <c:pt idx="4">
                  <c:v>2030.0</c:v>
                </c:pt>
                <c:pt idx="5">
                  <c:v>2035.0</c:v>
                </c:pt>
                <c:pt idx="6">
                  <c:v>2040.0</c:v>
                </c:pt>
                <c:pt idx="7">
                  <c:v>2045.0</c:v>
                </c:pt>
                <c:pt idx="8">
                  <c:v>2050.0</c:v>
                </c:pt>
              </c:numCache>
            </c:numRef>
          </c:cat>
          <c:val>
            <c:numRef>
              <c:f>IND.Tech!$BG$37:$BP$37</c:f>
              <c:numCache>
                <c:formatCode>0.000%</c:formatCode>
                <c:ptCount val="10"/>
                <c:pt idx="0">
                  <c:v>0.0</c:v>
                </c:pt>
                <c:pt idx="1">
                  <c:v>0.149726463627316</c:v>
                </c:pt>
                <c:pt idx="2">
                  <c:v>0.328719319225204</c:v>
                </c:pt>
                <c:pt idx="3">
                  <c:v>0.490590100233185</c:v>
                </c:pt>
                <c:pt idx="4">
                  <c:v>0.629883547692826</c:v>
                </c:pt>
                <c:pt idx="5">
                  <c:v>0.744716742125904</c:v>
                </c:pt>
                <c:pt idx="6">
                  <c:v>0.836084323981147</c:v>
                </c:pt>
                <c:pt idx="7">
                  <c:v>0.906750236749269</c:v>
                </c:pt>
                <c:pt idx="8">
                  <c:v>0.960216398022861</c:v>
                </c:pt>
                <c:pt idx="9">
                  <c:v>1.0</c:v>
                </c:pt>
              </c:numCache>
            </c:numRef>
          </c:val>
          <c:smooth val="0"/>
        </c:ser>
        <c:dLbls>
          <c:showLegendKey val="0"/>
          <c:showVal val="0"/>
          <c:showCatName val="0"/>
          <c:showSerName val="0"/>
          <c:showPercent val="0"/>
          <c:showBubbleSize val="0"/>
        </c:dLbls>
        <c:marker val="1"/>
        <c:smooth val="0"/>
        <c:axId val="-2143923688"/>
        <c:axId val="-2143913496"/>
      </c:lineChart>
      <c:catAx>
        <c:axId val="-2143923688"/>
        <c:scaling>
          <c:orientation val="minMax"/>
        </c:scaling>
        <c:delete val="0"/>
        <c:axPos val="b"/>
        <c:numFmt formatCode="General" sourceLinked="1"/>
        <c:majorTickMark val="out"/>
        <c:minorTickMark val="none"/>
        <c:tickLblPos val="nextTo"/>
        <c:crossAx val="-2143913496"/>
        <c:crosses val="autoZero"/>
        <c:auto val="1"/>
        <c:lblAlgn val="ctr"/>
        <c:lblOffset val="100"/>
        <c:noMultiLvlLbl val="0"/>
      </c:catAx>
      <c:valAx>
        <c:axId val="-2143913496"/>
        <c:scaling>
          <c:orientation val="minMax"/>
        </c:scaling>
        <c:delete val="0"/>
        <c:axPos val="l"/>
        <c:majorGridlines/>
        <c:numFmt formatCode="0.000%" sourceLinked="1"/>
        <c:majorTickMark val="out"/>
        <c:minorTickMark val="none"/>
        <c:tickLblPos val="nextTo"/>
        <c:crossAx val="-2143923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Electrical plant: EE potential: 2050</a:t>
            </a:r>
          </a:p>
        </c:rich>
      </c:tx>
      <c:layout>
        <c:manualLayout>
          <c:xMode val="edge"/>
          <c:yMode val="edge"/>
          <c:x val="0.202152668416448"/>
          <c:y val="0.0277777777777778"/>
        </c:manualLayout>
      </c:layout>
      <c:overlay val="0"/>
    </c:title>
    <c:autoTitleDeleted val="0"/>
    <c:plotArea>
      <c:layout/>
      <c:lineChart>
        <c:grouping val="standard"/>
        <c:varyColors val="0"/>
        <c:ser>
          <c:idx val="1"/>
          <c:order val="0"/>
          <c:tx>
            <c:strRef>
              <c:f>IND.Tech!$BF$76</c:f>
              <c:strCache>
                <c:ptCount val="1"/>
                <c:pt idx="0">
                  <c:v>1</c:v>
                </c:pt>
              </c:strCache>
            </c:strRef>
          </c:tx>
          <c:marker>
            <c:symbol val="none"/>
          </c:marker>
          <c:cat>
            <c:numRef>
              <c:f>IND.Tech!$BH$41:$BP$41</c:f>
              <c:numCache>
                <c:formatCode>General</c:formatCode>
                <c:ptCount val="9"/>
                <c:pt idx="0">
                  <c:v>2010.0</c:v>
                </c:pt>
                <c:pt idx="1">
                  <c:v>2015.0</c:v>
                </c:pt>
                <c:pt idx="2">
                  <c:v>2020.0</c:v>
                </c:pt>
                <c:pt idx="3">
                  <c:v>2025.0</c:v>
                </c:pt>
                <c:pt idx="4">
                  <c:v>2030.0</c:v>
                </c:pt>
                <c:pt idx="5">
                  <c:v>2035.0</c:v>
                </c:pt>
                <c:pt idx="6">
                  <c:v>2040.0</c:v>
                </c:pt>
                <c:pt idx="7">
                  <c:v>2045.0</c:v>
                </c:pt>
                <c:pt idx="8">
                  <c:v>2050.0</c:v>
                </c:pt>
              </c:numCache>
            </c:numRef>
          </c:cat>
          <c:val>
            <c:numRef>
              <c:f>IND.Tech!$BH$77:$BP$77</c:f>
              <c:numCache>
                <c:formatCode>0.00%;\ \(0.00%\);\ \-</c:formatCode>
                <c:ptCount val="9"/>
              </c:numCache>
            </c:numRef>
          </c:val>
          <c:smooth val="0"/>
        </c:ser>
        <c:ser>
          <c:idx val="3"/>
          <c:order val="1"/>
          <c:tx>
            <c:strRef>
              <c:f>IND.Tech!$BF$67</c:f>
              <c:strCache>
                <c:ptCount val="1"/>
                <c:pt idx="0">
                  <c:v>2</c:v>
                </c:pt>
              </c:strCache>
            </c:strRef>
          </c:tx>
          <c:marker>
            <c:symbol val="none"/>
          </c:marker>
          <c:cat>
            <c:numRef>
              <c:f>IND.Tech!$BH$41:$BP$41</c:f>
              <c:numCache>
                <c:formatCode>General</c:formatCode>
                <c:ptCount val="9"/>
                <c:pt idx="0">
                  <c:v>2010.0</c:v>
                </c:pt>
                <c:pt idx="1">
                  <c:v>2015.0</c:v>
                </c:pt>
                <c:pt idx="2">
                  <c:v>2020.0</c:v>
                </c:pt>
                <c:pt idx="3">
                  <c:v>2025.0</c:v>
                </c:pt>
                <c:pt idx="4">
                  <c:v>2030.0</c:v>
                </c:pt>
                <c:pt idx="5">
                  <c:v>2035.0</c:v>
                </c:pt>
                <c:pt idx="6">
                  <c:v>2040.0</c:v>
                </c:pt>
                <c:pt idx="7">
                  <c:v>2045.0</c:v>
                </c:pt>
                <c:pt idx="8">
                  <c:v>2050.0</c:v>
                </c:pt>
              </c:numCache>
            </c:numRef>
          </c:cat>
          <c:val>
            <c:numRef>
              <c:f>IND.Tech!$BH$68:$BP$68</c:f>
              <c:numCache>
                <c:formatCode>0.00%;\ \(0.00%\);\ \-</c:formatCode>
                <c:ptCount val="9"/>
              </c:numCache>
            </c:numRef>
          </c:val>
          <c:smooth val="0"/>
        </c:ser>
        <c:ser>
          <c:idx val="2"/>
          <c:order val="2"/>
          <c:tx>
            <c:strRef>
              <c:f>IND.Tech!$BF$58</c:f>
              <c:strCache>
                <c:ptCount val="1"/>
                <c:pt idx="0">
                  <c:v>3</c:v>
                </c:pt>
              </c:strCache>
            </c:strRef>
          </c:tx>
          <c:marker>
            <c:symbol val="none"/>
          </c:marker>
          <c:cat>
            <c:numRef>
              <c:f>IND.Tech!$BH$41:$BP$41</c:f>
              <c:numCache>
                <c:formatCode>General</c:formatCode>
                <c:ptCount val="9"/>
                <c:pt idx="0">
                  <c:v>2010.0</c:v>
                </c:pt>
                <c:pt idx="1">
                  <c:v>2015.0</c:v>
                </c:pt>
                <c:pt idx="2">
                  <c:v>2020.0</c:v>
                </c:pt>
                <c:pt idx="3">
                  <c:v>2025.0</c:v>
                </c:pt>
                <c:pt idx="4">
                  <c:v>2030.0</c:v>
                </c:pt>
                <c:pt idx="5">
                  <c:v>2035.0</c:v>
                </c:pt>
                <c:pt idx="6">
                  <c:v>2040.0</c:v>
                </c:pt>
                <c:pt idx="7">
                  <c:v>2045.0</c:v>
                </c:pt>
                <c:pt idx="8">
                  <c:v>2050.0</c:v>
                </c:pt>
              </c:numCache>
            </c:numRef>
          </c:cat>
          <c:val>
            <c:numRef>
              <c:f>IND.Tech!$BH$59:$BP$59</c:f>
              <c:numCache>
                <c:formatCode>0.00%;\ \(0.00%\);\ \-</c:formatCode>
                <c:ptCount val="9"/>
              </c:numCache>
            </c:numRef>
          </c:val>
          <c:smooth val="0"/>
        </c:ser>
        <c:ser>
          <c:idx val="0"/>
          <c:order val="3"/>
          <c:tx>
            <c:strRef>
              <c:f>IND.Tech!$BF$49</c:f>
              <c:strCache>
                <c:ptCount val="1"/>
                <c:pt idx="0">
                  <c:v>4</c:v>
                </c:pt>
              </c:strCache>
            </c:strRef>
          </c:tx>
          <c:marker>
            <c:symbol val="none"/>
          </c:marker>
          <c:cat>
            <c:numRef>
              <c:f>IND.Tech!$BH$41:$BP$41</c:f>
              <c:numCache>
                <c:formatCode>General</c:formatCode>
                <c:ptCount val="9"/>
                <c:pt idx="0">
                  <c:v>2010.0</c:v>
                </c:pt>
                <c:pt idx="1">
                  <c:v>2015.0</c:v>
                </c:pt>
                <c:pt idx="2">
                  <c:v>2020.0</c:v>
                </c:pt>
                <c:pt idx="3">
                  <c:v>2025.0</c:v>
                </c:pt>
                <c:pt idx="4">
                  <c:v>2030.0</c:v>
                </c:pt>
                <c:pt idx="5">
                  <c:v>2035.0</c:v>
                </c:pt>
                <c:pt idx="6">
                  <c:v>2040.0</c:v>
                </c:pt>
                <c:pt idx="7">
                  <c:v>2045.0</c:v>
                </c:pt>
                <c:pt idx="8">
                  <c:v>2050.0</c:v>
                </c:pt>
              </c:numCache>
            </c:numRef>
          </c:cat>
          <c:val>
            <c:numRef>
              <c:f>IND.Tech!$BH$50:$BP$50</c:f>
              <c:numCache>
                <c:formatCode>0.00%;\ \(0.00%\);\ \-</c:formatCode>
                <c:ptCount val="9"/>
              </c:numCache>
            </c:numRef>
          </c:val>
          <c:smooth val="0"/>
        </c:ser>
        <c:dLbls>
          <c:showLegendKey val="0"/>
          <c:showVal val="0"/>
          <c:showCatName val="0"/>
          <c:showSerName val="0"/>
          <c:showPercent val="0"/>
          <c:showBubbleSize val="0"/>
        </c:dLbls>
        <c:marker val="1"/>
        <c:smooth val="0"/>
        <c:axId val="2108986648"/>
        <c:axId val="2109004792"/>
      </c:lineChart>
      <c:catAx>
        <c:axId val="2108986648"/>
        <c:scaling>
          <c:orientation val="minMax"/>
        </c:scaling>
        <c:delete val="0"/>
        <c:axPos val="b"/>
        <c:numFmt formatCode="General" sourceLinked="1"/>
        <c:majorTickMark val="out"/>
        <c:minorTickMark val="none"/>
        <c:tickLblPos val="nextTo"/>
        <c:crossAx val="2109004792"/>
        <c:crosses val="autoZero"/>
        <c:auto val="1"/>
        <c:lblAlgn val="ctr"/>
        <c:lblOffset val="100"/>
        <c:noMultiLvlLbl val="0"/>
      </c:catAx>
      <c:valAx>
        <c:axId val="2109004792"/>
        <c:scaling>
          <c:orientation val="minMax"/>
        </c:scaling>
        <c:delete val="0"/>
        <c:axPos val="l"/>
        <c:majorGridlines/>
        <c:numFmt formatCode="0.00%;\ \(0.00%\);\ \-" sourceLinked="1"/>
        <c:majorTickMark val="out"/>
        <c:minorTickMark val="none"/>
        <c:tickLblPos val="nextTo"/>
        <c:crossAx val="21089866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baseline="0">
                <a:effectLst/>
              </a:rPr>
              <a:t>Boilers/furnaces</a:t>
            </a:r>
            <a:endParaRPr lang="en-ZA">
              <a:effectLst/>
            </a:endParaRPr>
          </a:p>
        </c:rich>
      </c:tx>
      <c:overlay val="0"/>
    </c:title>
    <c:autoTitleDeleted val="0"/>
    <c:plotArea>
      <c:layout/>
      <c:lineChart>
        <c:grouping val="standard"/>
        <c:varyColors val="0"/>
        <c:ser>
          <c:idx val="0"/>
          <c:order val="0"/>
          <c:tx>
            <c:strRef>
              <c:f>IND.Tech!$BF$83</c:f>
              <c:strCache>
                <c:ptCount val="1"/>
                <c:pt idx="0">
                  <c:v>1</c:v>
                </c:pt>
              </c:strCache>
            </c:strRef>
          </c:tx>
          <c:spPr>
            <a:ln>
              <a:solidFill>
                <a:srgbClr val="C00000"/>
              </a:solidFill>
            </a:ln>
          </c:spPr>
          <c:marker>
            <c:symbol val="none"/>
          </c:marker>
          <c:cat>
            <c:numRef>
              <c:f>IND.Tech!$BH$79:$BP$79</c:f>
              <c:numCache>
                <c:formatCode>General</c:formatCode>
                <c:ptCount val="9"/>
                <c:pt idx="0">
                  <c:v>2010.0</c:v>
                </c:pt>
                <c:pt idx="1">
                  <c:v>2015.0</c:v>
                </c:pt>
                <c:pt idx="2">
                  <c:v>2020.0</c:v>
                </c:pt>
                <c:pt idx="3">
                  <c:v>2025.0</c:v>
                </c:pt>
                <c:pt idx="4">
                  <c:v>2030.0</c:v>
                </c:pt>
                <c:pt idx="5">
                  <c:v>2035.0</c:v>
                </c:pt>
                <c:pt idx="6">
                  <c:v>2040.0</c:v>
                </c:pt>
                <c:pt idx="7">
                  <c:v>2045.0</c:v>
                </c:pt>
                <c:pt idx="8">
                  <c:v>2050.0</c:v>
                </c:pt>
              </c:numCache>
            </c:numRef>
          </c:cat>
          <c:val>
            <c:numRef>
              <c:f>IND.Tech!$BH$83:$BP$83</c:f>
              <c:numCache>
                <c:formatCode>0.00%;\ \(0.00%\);\ \-</c:formatCode>
                <c:ptCount val="9"/>
                <c:pt idx="0">
                  <c:v>0.000350007972361065</c:v>
                </c:pt>
                <c:pt idx="1">
                  <c:v>0.00108023873601227</c:v>
                </c:pt>
                <c:pt idx="2">
                  <c:v>0.00225400927754696</c:v>
                </c:pt>
                <c:pt idx="3">
                  <c:v>0.00388559829313031</c:v>
                </c:pt>
                <c:pt idx="4">
                  <c:v>0.00574863231813658</c:v>
                </c:pt>
                <c:pt idx="5">
                  <c:v>0.00745295050116592</c:v>
                </c:pt>
                <c:pt idx="6">
                  <c:v>0.00872358371062952</c:v>
                </c:pt>
                <c:pt idx="7">
                  <c:v>0.00953375118374635</c:v>
                </c:pt>
                <c:pt idx="8">
                  <c:v>0.01</c:v>
                </c:pt>
              </c:numCache>
            </c:numRef>
          </c:val>
          <c:smooth val="0"/>
        </c:ser>
        <c:ser>
          <c:idx val="3"/>
          <c:order val="1"/>
          <c:tx>
            <c:strRef>
              <c:f>IND.Tech!$BF$82</c:f>
              <c:strCache>
                <c:ptCount val="1"/>
                <c:pt idx="0">
                  <c:v>2</c:v>
                </c:pt>
              </c:strCache>
            </c:strRef>
          </c:tx>
          <c:marker>
            <c:symbol val="none"/>
          </c:marker>
          <c:cat>
            <c:numRef>
              <c:f>IND.Tech!$BH$79:$BP$79</c:f>
              <c:numCache>
                <c:formatCode>General</c:formatCode>
                <c:ptCount val="9"/>
                <c:pt idx="0">
                  <c:v>2010.0</c:v>
                </c:pt>
                <c:pt idx="1">
                  <c:v>2015.0</c:v>
                </c:pt>
                <c:pt idx="2">
                  <c:v>2020.0</c:v>
                </c:pt>
                <c:pt idx="3">
                  <c:v>2025.0</c:v>
                </c:pt>
                <c:pt idx="4">
                  <c:v>2030.0</c:v>
                </c:pt>
                <c:pt idx="5">
                  <c:v>2035.0</c:v>
                </c:pt>
                <c:pt idx="6">
                  <c:v>2040.0</c:v>
                </c:pt>
                <c:pt idx="7">
                  <c:v>2045.0</c:v>
                </c:pt>
                <c:pt idx="8">
                  <c:v>2050.0</c:v>
                </c:pt>
              </c:numCache>
            </c:numRef>
          </c:cat>
          <c:val>
            <c:numRef>
              <c:f>IND.Tech!$BH$82:$BP$82</c:f>
              <c:numCache>
                <c:formatCode>0.00%;\ \(0.00%\);\ \-</c:formatCode>
                <c:ptCount val="9"/>
                <c:pt idx="0">
                  <c:v>0.00525011958541598</c:v>
                </c:pt>
                <c:pt idx="1">
                  <c:v>0.016203581040184</c:v>
                </c:pt>
                <c:pt idx="2">
                  <c:v>0.0338101391632044</c:v>
                </c:pt>
                <c:pt idx="3">
                  <c:v>0.0582839743969547</c:v>
                </c:pt>
                <c:pt idx="4">
                  <c:v>0.0862294847720487</c:v>
                </c:pt>
                <c:pt idx="5">
                  <c:v>0.111794257517489</c:v>
                </c:pt>
                <c:pt idx="6">
                  <c:v>0.130853755659443</c:v>
                </c:pt>
                <c:pt idx="7">
                  <c:v>0.143006267756195</c:v>
                </c:pt>
                <c:pt idx="8">
                  <c:v>0.15</c:v>
                </c:pt>
              </c:numCache>
            </c:numRef>
          </c:val>
          <c:smooth val="0"/>
        </c:ser>
        <c:ser>
          <c:idx val="2"/>
          <c:order val="2"/>
          <c:tx>
            <c:strRef>
              <c:f>IND.Tech!$BF$81</c:f>
              <c:strCache>
                <c:ptCount val="1"/>
                <c:pt idx="0">
                  <c:v>3</c:v>
                </c:pt>
              </c:strCache>
            </c:strRef>
          </c:tx>
          <c:marker>
            <c:symbol val="none"/>
          </c:marker>
          <c:cat>
            <c:numRef>
              <c:f>IND.Tech!$BH$79:$BP$79</c:f>
              <c:numCache>
                <c:formatCode>General</c:formatCode>
                <c:ptCount val="9"/>
                <c:pt idx="0">
                  <c:v>2010.0</c:v>
                </c:pt>
                <c:pt idx="1">
                  <c:v>2015.0</c:v>
                </c:pt>
                <c:pt idx="2">
                  <c:v>2020.0</c:v>
                </c:pt>
                <c:pt idx="3">
                  <c:v>2025.0</c:v>
                </c:pt>
                <c:pt idx="4">
                  <c:v>2030.0</c:v>
                </c:pt>
                <c:pt idx="5">
                  <c:v>2035.0</c:v>
                </c:pt>
                <c:pt idx="6">
                  <c:v>2040.0</c:v>
                </c:pt>
                <c:pt idx="7">
                  <c:v>2045.0</c:v>
                </c:pt>
                <c:pt idx="8">
                  <c:v>2050.0</c:v>
                </c:pt>
              </c:numCache>
            </c:numRef>
          </c:cat>
          <c:val>
            <c:numRef>
              <c:f>IND.Tech!$BH$81:$BP$81</c:f>
              <c:numCache>
                <c:formatCode>0.00%;\ \(0.00%\);\ \-</c:formatCode>
                <c:ptCount val="9"/>
                <c:pt idx="0">
                  <c:v>0.010500239170832</c:v>
                </c:pt>
                <c:pt idx="1">
                  <c:v>0.032407162080368</c:v>
                </c:pt>
                <c:pt idx="2">
                  <c:v>0.0676202783264088</c:v>
                </c:pt>
                <c:pt idx="3">
                  <c:v>0.116567948793909</c:v>
                </c:pt>
                <c:pt idx="4">
                  <c:v>0.172458969544097</c:v>
                </c:pt>
                <c:pt idx="5">
                  <c:v>0.223588515034978</c:v>
                </c:pt>
                <c:pt idx="6">
                  <c:v>0.261707511318886</c:v>
                </c:pt>
                <c:pt idx="7">
                  <c:v>0.28601253551239</c:v>
                </c:pt>
                <c:pt idx="8">
                  <c:v>0.3</c:v>
                </c:pt>
              </c:numCache>
            </c:numRef>
          </c:val>
          <c:smooth val="0"/>
        </c:ser>
        <c:ser>
          <c:idx val="1"/>
          <c:order val="3"/>
          <c:tx>
            <c:strRef>
              <c:f>IND.Tech!$BF$80</c:f>
              <c:strCache>
                <c:ptCount val="1"/>
                <c:pt idx="0">
                  <c:v>4</c:v>
                </c:pt>
              </c:strCache>
            </c:strRef>
          </c:tx>
          <c:spPr>
            <a:ln>
              <a:solidFill>
                <a:schemeClr val="accent1"/>
              </a:solidFill>
            </a:ln>
          </c:spPr>
          <c:marker>
            <c:symbol val="none"/>
          </c:marker>
          <c:cat>
            <c:numRef>
              <c:f>IND.Tech!$BH$79:$BP$79</c:f>
              <c:numCache>
                <c:formatCode>General</c:formatCode>
                <c:ptCount val="9"/>
                <c:pt idx="0">
                  <c:v>2010.0</c:v>
                </c:pt>
                <c:pt idx="1">
                  <c:v>2015.0</c:v>
                </c:pt>
                <c:pt idx="2">
                  <c:v>2020.0</c:v>
                </c:pt>
                <c:pt idx="3">
                  <c:v>2025.0</c:v>
                </c:pt>
                <c:pt idx="4">
                  <c:v>2030.0</c:v>
                </c:pt>
                <c:pt idx="5">
                  <c:v>2035.0</c:v>
                </c:pt>
                <c:pt idx="6">
                  <c:v>2040.0</c:v>
                </c:pt>
                <c:pt idx="7">
                  <c:v>2045.0</c:v>
                </c:pt>
                <c:pt idx="8">
                  <c:v>2050.0</c:v>
                </c:pt>
              </c:numCache>
            </c:numRef>
          </c:cat>
          <c:val>
            <c:numRef>
              <c:f>IND.Tech!$BH$80:$BP$80</c:f>
              <c:numCache>
                <c:formatCode>0.00%;\ \(0.00%\);\ \-</c:formatCode>
                <c:ptCount val="9"/>
                <c:pt idx="0">
                  <c:v>0.0140003188944426</c:v>
                </c:pt>
                <c:pt idx="1">
                  <c:v>0.0432095494404907</c:v>
                </c:pt>
                <c:pt idx="2">
                  <c:v>0.0901603711018784</c:v>
                </c:pt>
                <c:pt idx="3">
                  <c:v>0.155423931725213</c:v>
                </c:pt>
                <c:pt idx="4">
                  <c:v>0.229945292725463</c:v>
                </c:pt>
                <c:pt idx="5">
                  <c:v>0.298118020046637</c:v>
                </c:pt>
                <c:pt idx="6">
                  <c:v>0.348943348425181</c:v>
                </c:pt>
                <c:pt idx="7">
                  <c:v>0.381350047349854</c:v>
                </c:pt>
                <c:pt idx="8">
                  <c:v>0.4</c:v>
                </c:pt>
              </c:numCache>
            </c:numRef>
          </c:val>
          <c:smooth val="0"/>
        </c:ser>
        <c:dLbls>
          <c:showLegendKey val="0"/>
          <c:showVal val="0"/>
          <c:showCatName val="0"/>
          <c:showSerName val="0"/>
          <c:showPercent val="0"/>
          <c:showBubbleSize val="0"/>
        </c:dLbls>
        <c:marker val="1"/>
        <c:smooth val="0"/>
        <c:axId val="2109130872"/>
        <c:axId val="2109150872"/>
      </c:lineChart>
      <c:catAx>
        <c:axId val="2109130872"/>
        <c:scaling>
          <c:orientation val="minMax"/>
        </c:scaling>
        <c:delete val="0"/>
        <c:axPos val="b"/>
        <c:numFmt formatCode="General" sourceLinked="1"/>
        <c:majorTickMark val="out"/>
        <c:minorTickMark val="none"/>
        <c:tickLblPos val="nextTo"/>
        <c:crossAx val="2109150872"/>
        <c:crosses val="autoZero"/>
        <c:auto val="1"/>
        <c:lblAlgn val="ctr"/>
        <c:lblOffset val="100"/>
        <c:noMultiLvlLbl val="0"/>
      </c:catAx>
      <c:valAx>
        <c:axId val="2109150872"/>
        <c:scaling>
          <c:orientation val="minMax"/>
        </c:scaling>
        <c:delete val="0"/>
        <c:axPos val="l"/>
        <c:majorGridlines/>
        <c:numFmt formatCode="0.00%;\ \(0.00%\);\ \-" sourceLinked="1"/>
        <c:majorTickMark val="out"/>
        <c:minorTickMark val="none"/>
        <c:tickLblPos val="nextTo"/>
        <c:crossAx val="21091308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IND.Tech!#REF!</c:f>
          <c:strCache>
            <c:ptCount val="1"/>
            <c:pt idx="0">
              <c:v>#REF!</c:v>
            </c:pt>
          </c:strCache>
        </c:strRef>
      </c:tx>
      <c:overlay val="0"/>
    </c:title>
    <c:autoTitleDeleted val="0"/>
    <c:plotArea>
      <c:layout/>
      <c:lineChart>
        <c:grouping val="standard"/>
        <c:varyColors val="0"/>
        <c:ser>
          <c:idx val="0"/>
          <c:order val="0"/>
          <c:tx>
            <c:strRef>
              <c:f>IND.Tech!$AT$49</c:f>
              <c:strCache>
                <c:ptCount val="1"/>
                <c:pt idx="0">
                  <c:v>Standards-3</c:v>
                </c:pt>
              </c:strCache>
            </c:strRef>
          </c:tx>
          <c:marker>
            <c:symbol val="none"/>
          </c:marker>
          <c:cat>
            <c:numRef>
              <c:f>IND.Tech!$AX$41:$BD$41</c:f>
              <c:numCache>
                <c:formatCode>General</c:formatCode>
                <c:ptCount val="7"/>
                <c:pt idx="0">
                  <c:v>2009.0</c:v>
                </c:pt>
                <c:pt idx="1">
                  <c:v>2012.0</c:v>
                </c:pt>
                <c:pt idx="2">
                  <c:v>2016.0</c:v>
                </c:pt>
                <c:pt idx="3">
                  <c:v>2020.0</c:v>
                </c:pt>
                <c:pt idx="4">
                  <c:v>2024.0</c:v>
                </c:pt>
                <c:pt idx="5">
                  <c:v>2028.0</c:v>
                </c:pt>
                <c:pt idx="6">
                  <c:v>2032.0</c:v>
                </c:pt>
              </c:numCache>
            </c:numRef>
          </c:cat>
          <c:val>
            <c:numRef>
              <c:f>IND.Tech!$AX$50:$BD$50</c:f>
              <c:numCache>
                <c:formatCode>0.0%;\ \(0.0%\);\ \-</c:formatCode>
                <c:ptCount val="7"/>
                <c:pt idx="0">
                  <c:v>0.0</c:v>
                </c:pt>
                <c:pt idx="1">
                  <c:v>0.0337737371859516</c:v>
                </c:pt>
                <c:pt idx="2">
                  <c:v>0.113016938923137</c:v>
                </c:pt>
                <c:pt idx="3">
                  <c:v>0.13861332246358</c:v>
                </c:pt>
                <c:pt idx="4">
                  <c:v>0.230724577002574</c:v>
                </c:pt>
                <c:pt idx="5">
                  <c:v>0.321758595009351</c:v>
                </c:pt>
                <c:pt idx="6">
                  <c:v>0.458168284886268</c:v>
                </c:pt>
              </c:numCache>
            </c:numRef>
          </c:val>
          <c:smooth val="0"/>
        </c:ser>
        <c:ser>
          <c:idx val="1"/>
          <c:order val="1"/>
          <c:tx>
            <c:strRef>
              <c:f>IND.Tech!$AT$58</c:f>
              <c:strCache>
                <c:ptCount val="1"/>
                <c:pt idx="0">
                  <c:v>Standards-2</c:v>
                </c:pt>
              </c:strCache>
            </c:strRef>
          </c:tx>
          <c:marker>
            <c:symbol val="none"/>
          </c:marker>
          <c:cat>
            <c:numRef>
              <c:f>IND.Tech!$AX$41:$BD$41</c:f>
              <c:numCache>
                <c:formatCode>General</c:formatCode>
                <c:ptCount val="7"/>
                <c:pt idx="0">
                  <c:v>2009.0</c:v>
                </c:pt>
                <c:pt idx="1">
                  <c:v>2012.0</c:v>
                </c:pt>
                <c:pt idx="2">
                  <c:v>2016.0</c:v>
                </c:pt>
                <c:pt idx="3">
                  <c:v>2020.0</c:v>
                </c:pt>
                <c:pt idx="4">
                  <c:v>2024.0</c:v>
                </c:pt>
                <c:pt idx="5">
                  <c:v>2028.0</c:v>
                </c:pt>
                <c:pt idx="6">
                  <c:v>2032.0</c:v>
                </c:pt>
              </c:numCache>
            </c:numRef>
          </c:cat>
          <c:val>
            <c:numRef>
              <c:f>IND.Tech!$AX$59:$BD$59</c:f>
              <c:numCache>
                <c:formatCode>0.0%;\ \(0.0%\);\ \-</c:formatCode>
                <c:ptCount val="7"/>
                <c:pt idx="0">
                  <c:v>0.0</c:v>
                </c:pt>
                <c:pt idx="1">
                  <c:v>0.036976810304838</c:v>
                </c:pt>
                <c:pt idx="2">
                  <c:v>0.0798891566248444</c:v>
                </c:pt>
                <c:pt idx="3">
                  <c:v>0.101114441132167</c:v>
                </c:pt>
                <c:pt idx="4">
                  <c:v>0.155600243194187</c:v>
                </c:pt>
                <c:pt idx="5">
                  <c:v>0.223565216466871</c:v>
                </c:pt>
                <c:pt idx="6">
                  <c:v>0.325749163336712</c:v>
                </c:pt>
              </c:numCache>
            </c:numRef>
          </c:val>
          <c:smooth val="0"/>
        </c:ser>
        <c:ser>
          <c:idx val="2"/>
          <c:order val="2"/>
          <c:tx>
            <c:strRef>
              <c:f>IND.Tech!$AT$67</c:f>
              <c:strCache>
                <c:ptCount val="1"/>
                <c:pt idx="0">
                  <c:v>Standards</c:v>
                </c:pt>
              </c:strCache>
            </c:strRef>
          </c:tx>
          <c:marker>
            <c:symbol val="none"/>
          </c:marker>
          <c:cat>
            <c:numRef>
              <c:f>IND.Tech!$AX$41:$BD$41</c:f>
              <c:numCache>
                <c:formatCode>General</c:formatCode>
                <c:ptCount val="7"/>
                <c:pt idx="0">
                  <c:v>2009.0</c:v>
                </c:pt>
                <c:pt idx="1">
                  <c:v>2012.0</c:v>
                </c:pt>
                <c:pt idx="2">
                  <c:v>2016.0</c:v>
                </c:pt>
                <c:pt idx="3">
                  <c:v>2020.0</c:v>
                </c:pt>
                <c:pt idx="4">
                  <c:v>2024.0</c:v>
                </c:pt>
                <c:pt idx="5">
                  <c:v>2028.0</c:v>
                </c:pt>
                <c:pt idx="6">
                  <c:v>2032.0</c:v>
                </c:pt>
              </c:numCache>
            </c:numRef>
          </c:cat>
          <c:val>
            <c:numRef>
              <c:f>IND.Tech!$AX$68:$BD$68</c:f>
              <c:numCache>
                <c:formatCode>0.0%;\ \(0.0%\);\ \-</c:formatCode>
                <c:ptCount val="7"/>
                <c:pt idx="0">
                  <c:v>0.0</c:v>
                </c:pt>
                <c:pt idx="1">
                  <c:v>0.0225629812698492</c:v>
                </c:pt>
                <c:pt idx="2">
                  <c:v>0.0583560981309543</c:v>
                </c:pt>
                <c:pt idx="3">
                  <c:v>0.0806605058604866</c:v>
                </c:pt>
                <c:pt idx="4">
                  <c:v>0.097654874236742</c:v>
                </c:pt>
                <c:pt idx="5">
                  <c:v>0.108834531549421</c:v>
                </c:pt>
                <c:pt idx="6">
                  <c:v>0.12036916695815</c:v>
                </c:pt>
              </c:numCache>
            </c:numRef>
          </c:val>
          <c:smooth val="0"/>
        </c:ser>
        <c:ser>
          <c:idx val="3"/>
          <c:order val="3"/>
          <c:tx>
            <c:strRef>
              <c:f>IND.Tech!$AT$69</c:f>
              <c:strCache>
                <c:ptCount val="1"/>
                <c:pt idx="0">
                  <c:v>NEEA</c:v>
                </c:pt>
              </c:strCache>
            </c:strRef>
          </c:tx>
          <c:marker>
            <c:symbol val="none"/>
          </c:marker>
          <c:cat>
            <c:numRef>
              <c:f>IND.Tech!$AX$41:$BD$41</c:f>
              <c:numCache>
                <c:formatCode>General</c:formatCode>
                <c:ptCount val="7"/>
                <c:pt idx="0">
                  <c:v>2009.0</c:v>
                </c:pt>
                <c:pt idx="1">
                  <c:v>2012.0</c:v>
                </c:pt>
                <c:pt idx="2">
                  <c:v>2016.0</c:v>
                </c:pt>
                <c:pt idx="3">
                  <c:v>2020.0</c:v>
                </c:pt>
                <c:pt idx="4">
                  <c:v>2024.0</c:v>
                </c:pt>
                <c:pt idx="5">
                  <c:v>2028.0</c:v>
                </c:pt>
                <c:pt idx="6">
                  <c:v>2032.0</c:v>
                </c:pt>
              </c:numCache>
            </c:numRef>
          </c:cat>
          <c:val>
            <c:numRef>
              <c:f>IND.Tech!$AX$77:$BD$77</c:f>
              <c:numCache>
                <c:formatCode>0.0%;\ \(0.0%\);\ \-</c:formatCode>
                <c:ptCount val="7"/>
                <c:pt idx="0">
                  <c:v>0.0</c:v>
                </c:pt>
                <c:pt idx="1">
                  <c:v>0.001</c:v>
                </c:pt>
                <c:pt idx="2">
                  <c:v>0.002</c:v>
                </c:pt>
                <c:pt idx="3">
                  <c:v>0.006</c:v>
                </c:pt>
                <c:pt idx="4">
                  <c:v>0.006</c:v>
                </c:pt>
                <c:pt idx="5">
                  <c:v>0.006</c:v>
                </c:pt>
                <c:pt idx="6">
                  <c:v>0.006</c:v>
                </c:pt>
              </c:numCache>
            </c:numRef>
          </c:val>
          <c:smooth val="0"/>
        </c:ser>
        <c:dLbls>
          <c:showLegendKey val="0"/>
          <c:showVal val="0"/>
          <c:showCatName val="0"/>
          <c:showSerName val="0"/>
          <c:showPercent val="0"/>
          <c:showBubbleSize val="0"/>
        </c:dLbls>
        <c:marker val="1"/>
        <c:smooth val="0"/>
        <c:axId val="2109244888"/>
        <c:axId val="2109263784"/>
      </c:lineChart>
      <c:catAx>
        <c:axId val="2109244888"/>
        <c:scaling>
          <c:orientation val="minMax"/>
        </c:scaling>
        <c:delete val="0"/>
        <c:axPos val="b"/>
        <c:numFmt formatCode="General" sourceLinked="1"/>
        <c:majorTickMark val="out"/>
        <c:minorTickMark val="none"/>
        <c:tickLblPos val="nextTo"/>
        <c:crossAx val="2109263784"/>
        <c:crosses val="autoZero"/>
        <c:auto val="1"/>
        <c:lblAlgn val="ctr"/>
        <c:lblOffset val="100"/>
        <c:noMultiLvlLbl val="0"/>
      </c:catAx>
      <c:valAx>
        <c:axId val="2109263784"/>
        <c:scaling>
          <c:orientation val="minMax"/>
        </c:scaling>
        <c:delete val="0"/>
        <c:axPos val="l"/>
        <c:majorGridlines/>
        <c:numFmt formatCode="0.0%;\ \(0.0%\);\ \-" sourceLinked="1"/>
        <c:majorTickMark val="out"/>
        <c:minorTickMark val="none"/>
        <c:tickLblPos val="nextTo"/>
        <c:crossAx val="21092448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xPr>
        <a:bodyPr/>
        <a:lstStyle/>
        <a:p>
          <a:pPr>
            <a:defRPr sz="1800" b="1" i="0" u="none" strike="noStrike" baseline="0">
              <a:solidFill>
                <a:srgbClr val="000000"/>
              </a:solidFill>
              <a:latin typeface="Calibri"/>
              <a:ea typeface="Calibri"/>
              <a:cs typeface="Calibri"/>
            </a:defRPr>
          </a:pPr>
          <a:endParaRPr lang="en-US"/>
        </a:p>
      </c:txPr>
    </c:title>
    <c:autoTitleDeleted val="0"/>
    <c:plotArea>
      <c:layout/>
      <c:scatterChart>
        <c:scatterStyle val="lineMarker"/>
        <c:varyColors val="0"/>
        <c:ser>
          <c:idx val="0"/>
          <c:order val="0"/>
          <c:tx>
            <c:strRef>
              <c:f>'HouseholdIncome - CGE'!$C$5</c:f>
              <c:strCache>
                <c:ptCount val="1"/>
                <c:pt idx="0">
                  <c:v>xALLHHD</c:v>
                </c:pt>
              </c:strCache>
            </c:strRef>
          </c:tx>
          <c:marker>
            <c:symbol val="none"/>
          </c:marker>
          <c:xVal>
            <c:numRef>
              <c:f>'HouseholdIncome - CGE'!$D$4:$AI$4</c:f>
              <c:numCache>
                <c:formatCode>General</c:formatCode>
                <c:ptCount val="32"/>
                <c:pt idx="0">
                  <c:v>2005.0</c:v>
                </c:pt>
                <c:pt idx="1">
                  <c:v>2006.0</c:v>
                </c:pt>
                <c:pt idx="2">
                  <c:v>2007.0</c:v>
                </c:pt>
                <c:pt idx="3">
                  <c:v>2008.0</c:v>
                </c:pt>
                <c:pt idx="4">
                  <c:v>2009.0</c:v>
                </c:pt>
                <c:pt idx="5">
                  <c:v>2010.0</c:v>
                </c:pt>
                <c:pt idx="6">
                  <c:v>2011.0</c:v>
                </c:pt>
                <c:pt idx="7">
                  <c:v>2012.0</c:v>
                </c:pt>
                <c:pt idx="8">
                  <c:v>2013.0</c:v>
                </c:pt>
                <c:pt idx="9">
                  <c:v>2014.0</c:v>
                </c:pt>
                <c:pt idx="10">
                  <c:v>2015.0</c:v>
                </c:pt>
                <c:pt idx="11">
                  <c:v>2016.0</c:v>
                </c:pt>
                <c:pt idx="12">
                  <c:v>2017.0</c:v>
                </c:pt>
                <c:pt idx="13">
                  <c:v>2018.0</c:v>
                </c:pt>
                <c:pt idx="14">
                  <c:v>2019.0</c:v>
                </c:pt>
                <c:pt idx="15">
                  <c:v>2020.0</c:v>
                </c:pt>
                <c:pt idx="16">
                  <c:v>2021.0</c:v>
                </c:pt>
                <c:pt idx="17">
                  <c:v>2022.0</c:v>
                </c:pt>
                <c:pt idx="18">
                  <c:v>2023.0</c:v>
                </c:pt>
                <c:pt idx="19">
                  <c:v>2024.0</c:v>
                </c:pt>
                <c:pt idx="20">
                  <c:v>2025.0</c:v>
                </c:pt>
                <c:pt idx="21">
                  <c:v>2026.0</c:v>
                </c:pt>
                <c:pt idx="22">
                  <c:v>2027.0</c:v>
                </c:pt>
                <c:pt idx="23">
                  <c:v>2028.0</c:v>
                </c:pt>
                <c:pt idx="24">
                  <c:v>2029.0</c:v>
                </c:pt>
                <c:pt idx="25">
                  <c:v>2030.0</c:v>
                </c:pt>
                <c:pt idx="26">
                  <c:v>2035.0</c:v>
                </c:pt>
                <c:pt idx="27">
                  <c:v>2040.0</c:v>
                </c:pt>
                <c:pt idx="28">
                  <c:v>2045.0</c:v>
                </c:pt>
                <c:pt idx="29">
                  <c:v>2050.0</c:v>
                </c:pt>
                <c:pt idx="30">
                  <c:v>2060.0</c:v>
                </c:pt>
                <c:pt idx="31">
                  <c:v>2070.0</c:v>
                </c:pt>
              </c:numCache>
            </c:numRef>
          </c:xVal>
          <c:yVal>
            <c:numRef>
              <c:f>'HouseholdIncome - CGE'!$D$5:$AI$5</c:f>
              <c:numCache>
                <c:formatCode>0.0</c:formatCode>
                <c:ptCount val="32"/>
                <c:pt idx="0">
                  <c:v>985.8915137803421</c:v>
                </c:pt>
                <c:pt idx="1">
                  <c:v>1026.00945708281</c:v>
                </c:pt>
                <c:pt idx="2">
                  <c:v>1070.30900420424</c:v>
                </c:pt>
                <c:pt idx="3">
                  <c:v>1114.29794228324</c:v>
                </c:pt>
                <c:pt idx="4">
                  <c:v>1161.32372426537</c:v>
                </c:pt>
                <c:pt idx="5">
                  <c:v>1206.8776005764</c:v>
                </c:pt>
                <c:pt idx="6">
                  <c:v>1257.38220566704</c:v>
                </c:pt>
                <c:pt idx="7">
                  <c:v>1310.48966229324</c:v>
                </c:pt>
                <c:pt idx="8">
                  <c:v>1367.53698548162</c:v>
                </c:pt>
                <c:pt idx="9">
                  <c:v>1421.01084575537</c:v>
                </c:pt>
                <c:pt idx="10">
                  <c:v>1479.72949012064</c:v>
                </c:pt>
                <c:pt idx="11">
                  <c:v>1540.32759276011</c:v>
                </c:pt>
                <c:pt idx="12">
                  <c:v>1604.63863239853</c:v>
                </c:pt>
                <c:pt idx="13">
                  <c:v>1672.87796948703</c:v>
                </c:pt>
                <c:pt idx="14">
                  <c:v>1745.5280938266</c:v>
                </c:pt>
                <c:pt idx="15">
                  <c:v>1818.80571465955</c:v>
                </c:pt>
                <c:pt idx="16">
                  <c:v>1892.61980412727</c:v>
                </c:pt>
                <c:pt idx="17">
                  <c:v>1963.24619805298</c:v>
                </c:pt>
                <c:pt idx="18">
                  <c:v>2034.02755367751</c:v>
                </c:pt>
                <c:pt idx="19">
                  <c:v>2113.58702295596</c:v>
                </c:pt>
                <c:pt idx="20">
                  <c:v>2199.66453799299</c:v>
                </c:pt>
                <c:pt idx="21">
                  <c:v>2287.61990881809</c:v>
                </c:pt>
                <c:pt idx="22">
                  <c:v>2377.19721124111</c:v>
                </c:pt>
                <c:pt idx="23">
                  <c:v>2472.52345053362</c:v>
                </c:pt>
                <c:pt idx="24">
                  <c:v>2573.00708156677</c:v>
                </c:pt>
                <c:pt idx="25">
                  <c:v>2679.22582127404</c:v>
                </c:pt>
                <c:pt idx="26">
                  <c:v>3149.245562987635</c:v>
                </c:pt>
                <c:pt idx="27">
                  <c:v>3633.02513258779</c:v>
                </c:pt>
                <c:pt idx="28">
                  <c:v>4115.684478780778</c:v>
                </c:pt>
                <c:pt idx="29">
                  <c:v>4596.796398986393</c:v>
                </c:pt>
                <c:pt idx="30">
                  <c:v>5557.624497641053</c:v>
                </c:pt>
                <c:pt idx="31">
                  <c:v>6517.78358401102</c:v>
                </c:pt>
              </c:numCache>
            </c:numRef>
          </c:yVal>
          <c:smooth val="0"/>
        </c:ser>
        <c:dLbls>
          <c:showLegendKey val="0"/>
          <c:showVal val="0"/>
          <c:showCatName val="0"/>
          <c:showSerName val="0"/>
          <c:showPercent val="0"/>
          <c:showBubbleSize val="0"/>
        </c:dLbls>
        <c:axId val="2121459080"/>
        <c:axId val="2121930584"/>
      </c:scatterChart>
      <c:valAx>
        <c:axId val="212145908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21930584"/>
        <c:crosses val="autoZero"/>
        <c:crossBetween val="midCat"/>
      </c:valAx>
      <c:valAx>
        <c:axId val="2121930584"/>
        <c:scaling>
          <c:orientation val="minMax"/>
        </c:scaling>
        <c:delete val="0"/>
        <c:axPos val="l"/>
        <c:majorGridlines/>
        <c:numFmt formatCode="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21459080"/>
        <c:crosses val="autoZero"/>
        <c:crossBetween val="midCat"/>
      </c:valAx>
    </c:plotArea>
    <c:legend>
      <c:legendPos val="r"/>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'HouseholdIncome - CGE'!$C$117</c:f>
              <c:strCache>
                <c:ptCount val="1"/>
                <c:pt idx="0">
                  <c:v>Low Income</c:v>
                </c:pt>
              </c:strCache>
            </c:strRef>
          </c:tx>
          <c:marker>
            <c:symbol val="none"/>
          </c:marker>
          <c:val>
            <c:numRef>
              <c:f>'HouseholdIncome - CGE'!$D$117:$AI$117</c:f>
              <c:numCache>
                <c:formatCode>0.00</c:formatCode>
                <c:ptCount val="32"/>
                <c:pt idx="0">
                  <c:v>6.228999999999998</c:v>
                </c:pt>
                <c:pt idx="1">
                  <c:v>6.46712660287561</c:v>
                </c:pt>
                <c:pt idx="2">
                  <c:v>6.52348578484118</c:v>
                </c:pt>
                <c:pt idx="3">
                  <c:v>5.263506567980031</c:v>
                </c:pt>
                <c:pt idx="4">
                  <c:v>5.310425845749514</c:v>
                </c:pt>
                <c:pt idx="5">
                  <c:v>5.359541464906031</c:v>
                </c:pt>
                <c:pt idx="6">
                  <c:v>5.408977483507903</c:v>
                </c:pt>
                <c:pt idx="7">
                  <c:v>5.457926524717879</c:v>
                </c:pt>
                <c:pt idx="8">
                  <c:v>4.129491505424834</c:v>
                </c:pt>
                <c:pt idx="9">
                  <c:v>4.164728880158713</c:v>
                </c:pt>
                <c:pt idx="10">
                  <c:v>4.199099533997483</c:v>
                </c:pt>
                <c:pt idx="11">
                  <c:v>2.821726715114022</c:v>
                </c:pt>
                <c:pt idx="12">
                  <c:v>2.843441909772383</c:v>
                </c:pt>
                <c:pt idx="13">
                  <c:v>2.864557179324615</c:v>
                </c:pt>
                <c:pt idx="14">
                  <c:v>2.885081984802781</c:v>
                </c:pt>
                <c:pt idx="15">
                  <c:v>2.905016007295689</c:v>
                </c:pt>
                <c:pt idx="16">
                  <c:v>1.462172527627621</c:v>
                </c:pt>
                <c:pt idx="17">
                  <c:v>1.471517422864091</c:v>
                </c:pt>
                <c:pt idx="18">
                  <c:v>1.480516671519082</c:v>
                </c:pt>
                <c:pt idx="19">
                  <c:v>1.489135352816947</c:v>
                </c:pt>
                <c:pt idx="20">
                  <c:v>1.497330652930009</c:v>
                </c:pt>
                <c:pt idx="21">
                  <c:v>1.505057764835634</c:v>
                </c:pt>
                <c:pt idx="22">
                  <c:v>1.512290404936323</c:v>
                </c:pt>
                <c:pt idx="23">
                  <c:v>1.51903853920686</c:v>
                </c:pt>
                <c:pt idx="24">
                  <c:v>1.525341127964673</c:v>
                </c:pt>
                <c:pt idx="25">
                  <c:v>1.531269128950231</c:v>
                </c:pt>
                <c:pt idx="26">
                  <c:v>0.0</c:v>
                </c:pt>
                <c:pt idx="27">
                  <c:v>0.0</c:v>
                </c:pt>
                <c:pt idx="28">
                  <c:v>0.0</c:v>
                </c:pt>
                <c:pt idx="29">
                  <c:v>0.0</c:v>
                </c:pt>
                <c:pt idx="30">
                  <c:v>0.0</c:v>
                </c:pt>
                <c:pt idx="31">
                  <c:v>0.0</c:v>
                </c:pt>
              </c:numCache>
            </c:numRef>
          </c:val>
          <c:smooth val="0"/>
        </c:ser>
        <c:ser>
          <c:idx val="1"/>
          <c:order val="1"/>
          <c:tx>
            <c:strRef>
              <c:f>'HouseholdIncome - CGE'!$C$118</c:f>
              <c:strCache>
                <c:ptCount val="1"/>
                <c:pt idx="0">
                  <c:v>Middle Income</c:v>
                </c:pt>
              </c:strCache>
            </c:strRef>
          </c:tx>
          <c:marker>
            <c:symbol val="none"/>
          </c:marker>
          <c:val>
            <c:numRef>
              <c:f>'HouseholdIncome - CGE'!$D$118:$AI$118</c:f>
              <c:numCache>
                <c:formatCode>0.00</c:formatCode>
                <c:ptCount val="32"/>
                <c:pt idx="0">
                  <c:v>3.7374</c:v>
                </c:pt>
                <c:pt idx="1">
                  <c:v>3.880275961725366</c:v>
                </c:pt>
                <c:pt idx="2">
                  <c:v>3.914091470904708</c:v>
                </c:pt>
                <c:pt idx="3">
                  <c:v>5.263506567980031</c:v>
                </c:pt>
                <c:pt idx="4">
                  <c:v>5.310425845749514</c:v>
                </c:pt>
                <c:pt idx="5">
                  <c:v>5.359541464906031</c:v>
                </c:pt>
                <c:pt idx="6">
                  <c:v>5.408977483507903</c:v>
                </c:pt>
                <c:pt idx="7">
                  <c:v>5.457926524717879</c:v>
                </c:pt>
                <c:pt idx="8">
                  <c:v>6.882485842374725</c:v>
                </c:pt>
                <c:pt idx="9">
                  <c:v>6.941214800264522</c:v>
                </c:pt>
                <c:pt idx="10">
                  <c:v>6.998499223329138</c:v>
                </c:pt>
                <c:pt idx="11">
                  <c:v>8.465180145342065</c:v>
                </c:pt>
                <c:pt idx="12">
                  <c:v>8.53032572931715</c:v>
                </c:pt>
                <c:pt idx="13">
                  <c:v>7.161392948311539</c:v>
                </c:pt>
                <c:pt idx="14">
                  <c:v>7.212704962006954</c:v>
                </c:pt>
                <c:pt idx="15">
                  <c:v>7.262540018239222</c:v>
                </c:pt>
                <c:pt idx="16">
                  <c:v>8.773035165765728</c:v>
                </c:pt>
                <c:pt idx="17">
                  <c:v>8.829104537184548</c:v>
                </c:pt>
                <c:pt idx="18">
                  <c:v>8.88310002911449</c:v>
                </c:pt>
                <c:pt idx="19">
                  <c:v>8.93481211690168</c:v>
                </c:pt>
                <c:pt idx="20">
                  <c:v>8.98398391758005</c:v>
                </c:pt>
                <c:pt idx="21">
                  <c:v>9.030346589013801</c:v>
                </c:pt>
                <c:pt idx="22">
                  <c:v>7.561452024681612</c:v>
                </c:pt>
                <c:pt idx="23">
                  <c:v>7.595192696034301</c:v>
                </c:pt>
                <c:pt idx="24">
                  <c:v>7.626705639823365</c:v>
                </c:pt>
                <c:pt idx="25">
                  <c:v>7.656345644751155</c:v>
                </c:pt>
                <c:pt idx="26">
                  <c:v>6.228580844388505</c:v>
                </c:pt>
                <c:pt idx="27">
                  <c:v>4.732612447195851</c:v>
                </c:pt>
                <c:pt idx="28">
                  <c:v>3.183015518552808</c:v>
                </c:pt>
                <c:pt idx="29">
                  <c:v>3.199478192708577</c:v>
                </c:pt>
                <c:pt idx="30">
                  <c:v>3.19948419886938</c:v>
                </c:pt>
                <c:pt idx="31">
                  <c:v>3.19948419886938</c:v>
                </c:pt>
              </c:numCache>
            </c:numRef>
          </c:val>
          <c:smooth val="0"/>
        </c:ser>
        <c:ser>
          <c:idx val="2"/>
          <c:order val="2"/>
          <c:tx>
            <c:strRef>
              <c:f>'HouseholdIncome - CGE'!$C$119</c:f>
              <c:strCache>
                <c:ptCount val="1"/>
                <c:pt idx="0">
                  <c:v>High Income</c:v>
                </c:pt>
              </c:strCache>
            </c:strRef>
          </c:tx>
          <c:marker>
            <c:symbol val="none"/>
          </c:marker>
          <c:val>
            <c:numRef>
              <c:f>'HouseholdIncome - CGE'!$D$119:$AI$119</c:f>
              <c:numCache>
                <c:formatCode>0.00</c:formatCode>
                <c:ptCount val="32"/>
                <c:pt idx="0">
                  <c:v>2.4916</c:v>
                </c:pt>
                <c:pt idx="1">
                  <c:v>1.940137980862683</c:v>
                </c:pt>
                <c:pt idx="2">
                  <c:v>1.957045735452354</c:v>
                </c:pt>
                <c:pt idx="3">
                  <c:v>1.973814962992512</c:v>
                </c:pt>
                <c:pt idx="4">
                  <c:v>1.991409692156068</c:v>
                </c:pt>
                <c:pt idx="5">
                  <c:v>2.009828049339762</c:v>
                </c:pt>
                <c:pt idx="6">
                  <c:v>2.028366556315463</c:v>
                </c:pt>
                <c:pt idx="7">
                  <c:v>2.046722446769205</c:v>
                </c:pt>
                <c:pt idx="8">
                  <c:v>2.064745752712417</c:v>
                </c:pt>
                <c:pt idx="9">
                  <c:v>2.082364440079356</c:v>
                </c:pt>
                <c:pt idx="10">
                  <c:v>2.099549766998741</c:v>
                </c:pt>
                <c:pt idx="11">
                  <c:v>2.116295036335516</c:v>
                </c:pt>
                <c:pt idx="12">
                  <c:v>2.132581432329287</c:v>
                </c:pt>
                <c:pt idx="13">
                  <c:v>3.580696474155769</c:v>
                </c:pt>
                <c:pt idx="14">
                  <c:v>3.606352481003477</c:v>
                </c:pt>
                <c:pt idx="15">
                  <c:v>3.631270009119611</c:v>
                </c:pt>
                <c:pt idx="16">
                  <c:v>3.655431319069053</c:v>
                </c:pt>
                <c:pt idx="17">
                  <c:v>3.678793557160228</c:v>
                </c:pt>
                <c:pt idx="18">
                  <c:v>3.701291678797704</c:v>
                </c:pt>
                <c:pt idx="19">
                  <c:v>3.722838382042366</c:v>
                </c:pt>
                <c:pt idx="20">
                  <c:v>3.743326632325021</c:v>
                </c:pt>
                <c:pt idx="21">
                  <c:v>3.762644412089084</c:v>
                </c:pt>
                <c:pt idx="22">
                  <c:v>5.293016417277129</c:v>
                </c:pt>
                <c:pt idx="23">
                  <c:v>5.316634887224011</c:v>
                </c:pt>
                <c:pt idx="24">
                  <c:v>5.338693947876355</c:v>
                </c:pt>
                <c:pt idx="25">
                  <c:v>5.359441951325809</c:v>
                </c:pt>
                <c:pt idx="26">
                  <c:v>8.564298661034194</c:v>
                </c:pt>
                <c:pt idx="27">
                  <c:v>10.25399363559101</c:v>
                </c:pt>
                <c:pt idx="28">
                  <c:v>11.93630819457303</c:v>
                </c:pt>
                <c:pt idx="29">
                  <c:v>11.99804322265716</c:v>
                </c:pt>
                <c:pt idx="30">
                  <c:v>11.99806574576018</c:v>
                </c:pt>
                <c:pt idx="31">
                  <c:v>11.99806574576018</c:v>
                </c:pt>
              </c:numCache>
            </c:numRef>
          </c:val>
          <c:smooth val="0"/>
        </c:ser>
        <c:dLbls>
          <c:showLegendKey val="0"/>
          <c:showVal val="0"/>
          <c:showCatName val="0"/>
          <c:showSerName val="0"/>
          <c:showPercent val="0"/>
          <c:showBubbleSize val="0"/>
        </c:dLbls>
        <c:marker val="1"/>
        <c:smooth val="0"/>
        <c:axId val="2122289368"/>
        <c:axId val="2122286328"/>
      </c:lineChart>
      <c:catAx>
        <c:axId val="21222893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22286328"/>
        <c:crosses val="autoZero"/>
        <c:auto val="1"/>
        <c:lblAlgn val="ctr"/>
        <c:lblOffset val="100"/>
        <c:noMultiLvlLbl val="0"/>
      </c:catAx>
      <c:valAx>
        <c:axId val="2122286328"/>
        <c:scaling>
          <c:orientation val="minMax"/>
        </c:scaling>
        <c:delete val="0"/>
        <c:axPos val="l"/>
        <c:majorGridlines/>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22289368"/>
        <c:crosses val="autoZero"/>
        <c:crossBetween val="between"/>
      </c:valAx>
    </c:plotArea>
    <c:legend>
      <c:legendPos val="r"/>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'HouseholdIncome - CGE'!$E$42:$AC$42</c:f>
              <c:numCache>
                <c:formatCode>#,##0.00</c:formatCode>
                <c:ptCount val="25"/>
                <c:pt idx="0">
                  <c:v>48.669047</c:v>
                </c:pt>
                <c:pt idx="1">
                  <c:v>49.093184</c:v>
                </c:pt>
                <c:pt idx="2">
                  <c:v>49.513846</c:v>
                </c:pt>
                <c:pt idx="3">
                  <c:v>49.955216</c:v>
                </c:pt>
                <c:pt idx="4">
                  <c:v>50.417247</c:v>
                </c:pt>
                <c:pt idx="5">
                  <c:v>50.882292</c:v>
                </c:pt>
                <c:pt idx="6">
                  <c:v>51.342756</c:v>
                </c:pt>
                <c:pt idx="7">
                  <c:v>51.794877</c:v>
                </c:pt>
                <c:pt idx="8">
                  <c:v>52.236848</c:v>
                </c:pt>
                <c:pt idx="9">
                  <c:v>52.667948</c:v>
                </c:pt>
                <c:pt idx="10">
                  <c:v>53.088009</c:v>
                </c:pt>
                <c:pt idx="11">
                  <c:v>53.496559</c:v>
                </c:pt>
                <c:pt idx="12">
                  <c:v>53.893822</c:v>
                </c:pt>
                <c:pt idx="13">
                  <c:v>54.279976</c:v>
                </c:pt>
                <c:pt idx="14">
                  <c:v>54.655015</c:v>
                </c:pt>
                <c:pt idx="15">
                  <c:v>55.018672</c:v>
                </c:pt>
                <c:pt idx="16">
                  <c:v>55.370302</c:v>
                </c:pt>
                <c:pt idx="17">
                  <c:v>55.708926</c:v>
                </c:pt>
                <c:pt idx="18">
                  <c:v>56.03323</c:v>
                </c:pt>
                <c:pt idx="19">
                  <c:v>56.341603</c:v>
                </c:pt>
                <c:pt idx="20">
                  <c:v>56.632359</c:v>
                </c:pt>
                <c:pt idx="21">
                  <c:v>56.904509</c:v>
                </c:pt>
                <c:pt idx="22">
                  <c:v>57.158428</c:v>
                </c:pt>
                <c:pt idx="23">
                  <c:v>57.395582</c:v>
                </c:pt>
                <c:pt idx="24">
                  <c:v>57.618641</c:v>
                </c:pt>
              </c:numCache>
            </c:numRef>
          </c:val>
          <c:smooth val="0"/>
        </c:ser>
        <c:dLbls>
          <c:showLegendKey val="0"/>
          <c:showVal val="0"/>
          <c:showCatName val="0"/>
          <c:showSerName val="0"/>
          <c:showPercent val="0"/>
          <c:showBubbleSize val="0"/>
        </c:dLbls>
        <c:marker val="1"/>
        <c:smooth val="0"/>
        <c:axId val="2122260344"/>
        <c:axId val="2122255880"/>
      </c:lineChart>
      <c:catAx>
        <c:axId val="2122260344"/>
        <c:scaling>
          <c:orientation val="minMax"/>
        </c:scaling>
        <c:delete val="0"/>
        <c:axPos val="b"/>
        <c:majorTickMark val="out"/>
        <c:minorTickMark val="none"/>
        <c:tickLblPos val="nextTo"/>
        <c:crossAx val="2122255880"/>
        <c:crosses val="autoZero"/>
        <c:auto val="1"/>
        <c:lblAlgn val="ctr"/>
        <c:lblOffset val="100"/>
        <c:noMultiLvlLbl val="0"/>
      </c:catAx>
      <c:valAx>
        <c:axId val="2122255880"/>
        <c:scaling>
          <c:orientation val="minMax"/>
        </c:scaling>
        <c:delete val="0"/>
        <c:axPos val="l"/>
        <c:majorGridlines/>
        <c:numFmt formatCode="#,##0.00" sourceLinked="1"/>
        <c:majorTickMark val="out"/>
        <c:minorTickMark val="none"/>
        <c:tickLblPos val="nextTo"/>
        <c:crossAx val="212226034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0905349794238684"/>
          <c:y val="0.0387811634349031"/>
          <c:w val="0.699588477366255"/>
          <c:h val="0.864265927977839"/>
        </c:manualLayout>
      </c:layout>
      <c:lineChart>
        <c:grouping val="standard"/>
        <c:varyColors val="0"/>
        <c:ser>
          <c:idx val="0"/>
          <c:order val="0"/>
          <c:marker>
            <c:symbol val="none"/>
          </c:marker>
          <c:val>
            <c:numRef>
              <c:f>HouseholdIncomeExo!$D$3:$J$3</c:f>
              <c:numCache>
                <c:formatCode>0%</c:formatCode>
                <c:ptCount val="7"/>
                <c:pt idx="0">
                  <c:v>0.46</c:v>
                </c:pt>
                <c:pt idx="1">
                  <c:v>0.47</c:v>
                </c:pt>
                <c:pt idx="2">
                  <c:v>0.3</c:v>
                </c:pt>
                <c:pt idx="3">
                  <c:v>0.15</c:v>
                </c:pt>
                <c:pt idx="4">
                  <c:v>0.0</c:v>
                </c:pt>
                <c:pt idx="5">
                  <c:v>0.0</c:v>
                </c:pt>
                <c:pt idx="6">
                  <c:v>0.0</c:v>
                </c:pt>
              </c:numCache>
            </c:numRef>
          </c:val>
          <c:smooth val="0"/>
        </c:ser>
        <c:ser>
          <c:idx val="1"/>
          <c:order val="1"/>
          <c:marker>
            <c:symbol val="none"/>
          </c:marker>
          <c:val>
            <c:numRef>
              <c:f>HouseholdIncomeExo!$D$4:$J$4</c:f>
              <c:numCache>
                <c:formatCode>0%</c:formatCode>
                <c:ptCount val="7"/>
                <c:pt idx="0">
                  <c:v>0.34</c:v>
                </c:pt>
                <c:pt idx="1">
                  <c:v>0.34</c:v>
                </c:pt>
                <c:pt idx="2">
                  <c:v>0.45</c:v>
                </c:pt>
                <c:pt idx="3">
                  <c:v>0.52</c:v>
                </c:pt>
                <c:pt idx="4">
                  <c:v>0.59</c:v>
                </c:pt>
                <c:pt idx="5">
                  <c:v>0.6</c:v>
                </c:pt>
                <c:pt idx="6">
                  <c:v>0.6</c:v>
                </c:pt>
              </c:numCache>
            </c:numRef>
          </c:val>
          <c:smooth val="0"/>
        </c:ser>
        <c:ser>
          <c:idx val="2"/>
          <c:order val="2"/>
          <c:marker>
            <c:symbol val="none"/>
          </c:marker>
          <c:val>
            <c:numRef>
              <c:f>HouseholdIncomeExo!$D$5:$J$5</c:f>
              <c:numCache>
                <c:formatCode>0%</c:formatCode>
                <c:ptCount val="7"/>
                <c:pt idx="0">
                  <c:v>0.2</c:v>
                </c:pt>
                <c:pt idx="1">
                  <c:v>0.19</c:v>
                </c:pt>
                <c:pt idx="2">
                  <c:v>0.25</c:v>
                </c:pt>
                <c:pt idx="3">
                  <c:v>0.33</c:v>
                </c:pt>
                <c:pt idx="4">
                  <c:v>0.41</c:v>
                </c:pt>
                <c:pt idx="5">
                  <c:v>0.4</c:v>
                </c:pt>
                <c:pt idx="6">
                  <c:v>0.4</c:v>
                </c:pt>
              </c:numCache>
            </c:numRef>
          </c:val>
          <c:smooth val="0"/>
        </c:ser>
        <c:dLbls>
          <c:showLegendKey val="0"/>
          <c:showVal val="0"/>
          <c:showCatName val="0"/>
          <c:showSerName val="0"/>
          <c:showPercent val="0"/>
          <c:showBubbleSize val="0"/>
        </c:dLbls>
        <c:marker val="1"/>
        <c:smooth val="0"/>
        <c:axId val="2122198232"/>
        <c:axId val="2122194760"/>
      </c:lineChart>
      <c:catAx>
        <c:axId val="21221982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22194760"/>
        <c:crosses val="autoZero"/>
        <c:auto val="1"/>
        <c:lblAlgn val="ctr"/>
        <c:lblOffset val="100"/>
        <c:noMultiLvlLbl val="0"/>
      </c:catAx>
      <c:valAx>
        <c:axId val="2122194760"/>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22198232"/>
        <c:crosses val="autoZero"/>
        <c:crossBetween val="between"/>
      </c:valAx>
    </c:plotArea>
    <c:legend>
      <c:legendPos val="r"/>
      <c:overlay val="0"/>
      <c:txPr>
        <a:bodyPr/>
        <a:lstStyle/>
        <a:p>
          <a:pPr>
            <a:defRPr sz="5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1.0" l="0.750000000000003" r="0.750000000000003" t="1.0"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val>
            <c:numRef>
              <c:f>Sheet1!$X$40:$X$65</c:f>
              <c:numCache>
                <c:formatCode>General</c:formatCode>
                <c:ptCount val="26"/>
                <c:pt idx="0">
                  <c:v>0.0309913109357789</c:v>
                </c:pt>
                <c:pt idx="1">
                  <c:v>0.0351124823806754</c:v>
                </c:pt>
                <c:pt idx="2">
                  <c:v>0.0389665049433265</c:v>
                </c:pt>
                <c:pt idx="3">
                  <c:v>0.0423204571478617</c:v>
                </c:pt>
                <c:pt idx="4">
                  <c:v>0.0449714765201019</c:v>
                </c:pt>
                <c:pt idx="5">
                  <c:v>0.0467779478941238</c:v>
                </c:pt>
                <c:pt idx="6">
                  <c:v>0.0476781704709002</c:v>
                </c:pt>
                <c:pt idx="7">
                  <c:v>0.0476920179038801</c:v>
                </c:pt>
                <c:pt idx="8">
                  <c:v>0.0469072331051957</c:v>
                </c:pt>
                <c:pt idx="9">
                  <c:v>0.0454565468655172</c:v>
                </c:pt>
                <c:pt idx="10">
                  <c:v>0.0434929971196954</c:v>
                </c:pt>
                <c:pt idx="11">
                  <c:v>0.0411690974719833</c:v>
                </c:pt>
                <c:pt idx="12">
                  <c:v>0.0386225664041446</c:v>
                </c:pt>
                <c:pt idx="13">
                  <c:v>0.0359687515758775</c:v>
                </c:pt>
                <c:pt idx="14">
                  <c:v>0.0332983847906082</c:v>
                </c:pt>
                <c:pt idx="15">
                  <c:v>0.0306788395815251</c:v>
                </c:pt>
                <c:pt idx="16">
                  <c:v>0.028157249706694</c:v>
                </c:pt>
                <c:pt idx="17">
                  <c:v>0.0257642948000879</c:v>
                </c:pt>
                <c:pt idx="18">
                  <c:v>0.0235179185588492</c:v>
                </c:pt>
                <c:pt idx="19">
                  <c:v>0.0214266041602557</c:v>
                </c:pt>
                <c:pt idx="20">
                  <c:v>0.0194920697906207</c:v>
                </c:pt>
                <c:pt idx="21">
                  <c:v>0.017711384181596</c:v>
                </c:pt>
                <c:pt idx="22">
                  <c:v>0.016078568610964</c:v>
                </c:pt>
                <c:pt idx="23">
                  <c:v>0.0145857752896133</c:v>
                </c:pt>
                <c:pt idx="24">
                  <c:v>0.013224132200965</c:v>
                </c:pt>
                <c:pt idx="25">
                  <c:v>0.0119843338585576</c:v>
                </c:pt>
              </c:numCache>
            </c:numRef>
          </c:val>
          <c:smooth val="0"/>
        </c:ser>
        <c:dLbls>
          <c:showLegendKey val="0"/>
          <c:showVal val="0"/>
          <c:showCatName val="0"/>
          <c:showSerName val="0"/>
          <c:showPercent val="0"/>
          <c:showBubbleSize val="0"/>
        </c:dLbls>
        <c:marker val="1"/>
        <c:smooth val="0"/>
        <c:axId val="2122162008"/>
        <c:axId val="2122158088"/>
      </c:lineChart>
      <c:catAx>
        <c:axId val="2122162008"/>
        <c:scaling>
          <c:orientation val="minMax"/>
        </c:scaling>
        <c:delete val="0"/>
        <c:axPos val="b"/>
        <c:majorTickMark val="out"/>
        <c:minorTickMark val="none"/>
        <c:tickLblPos val="nextTo"/>
        <c:crossAx val="2122158088"/>
        <c:crosses val="autoZero"/>
        <c:auto val="1"/>
        <c:lblAlgn val="ctr"/>
        <c:lblOffset val="100"/>
        <c:noMultiLvlLbl val="0"/>
      </c:catAx>
      <c:valAx>
        <c:axId val="2122158088"/>
        <c:scaling>
          <c:orientation val="minMax"/>
        </c:scaling>
        <c:delete val="0"/>
        <c:axPos val="l"/>
        <c:majorGridlines/>
        <c:numFmt formatCode="General" sourceLinked="1"/>
        <c:majorTickMark val="out"/>
        <c:minorTickMark val="none"/>
        <c:tickLblPos val="nextTo"/>
        <c:crossAx val="21221620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4" Type="http://schemas.openxmlformats.org/officeDocument/2006/relationships/chart" Target="../charts/chart4.xml"/><Relationship Id="rId1" Type="http://schemas.openxmlformats.org/officeDocument/2006/relationships/chart" Target="../charts/chart1.xml"/><Relationship Id="rId2"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chart" Target="../charts/chart6.xml"/><Relationship Id="rId5" Type="http://schemas.openxmlformats.org/officeDocument/2006/relationships/chart" Target="../charts/chart7.xml"/><Relationship Id="rId6" Type="http://schemas.openxmlformats.org/officeDocument/2006/relationships/chart" Target="../charts/chart8.xml"/><Relationship Id="rId7" Type="http://schemas.openxmlformats.org/officeDocument/2006/relationships/chart" Target="../charts/chart9.xml"/><Relationship Id="rId8" Type="http://schemas.openxmlformats.org/officeDocument/2006/relationships/chart" Target="../charts/chart10.xml"/><Relationship Id="rId9" Type="http://schemas.openxmlformats.org/officeDocument/2006/relationships/image" Target="../media/image4.png"/><Relationship Id="rId1" Type="http://schemas.openxmlformats.org/officeDocument/2006/relationships/image" Target="../media/image1.png"/><Relationship Id="rId2"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 Id="rId2" Type="http://schemas.openxmlformats.org/officeDocument/2006/relationships/chart" Target="../charts/chart12.xml"/><Relationship Id="rId3"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15</xdr:col>
      <xdr:colOff>293172</xdr:colOff>
      <xdr:row>25</xdr:row>
      <xdr:rowOff>158807</xdr:rowOff>
    </xdr:from>
    <xdr:to>
      <xdr:col>26</xdr:col>
      <xdr:colOff>95250</xdr:colOff>
      <xdr:row>42</xdr:row>
      <xdr:rowOff>95250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1428750</xdr:colOff>
      <xdr:row>4</xdr:row>
      <xdr:rowOff>217714</xdr:rowOff>
    </xdr:from>
    <xdr:to>
      <xdr:col>24</xdr:col>
      <xdr:colOff>1687286</xdr:colOff>
      <xdr:row>23</xdr:row>
      <xdr:rowOff>149678</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112059</xdr:colOff>
      <xdr:row>48</xdr:row>
      <xdr:rowOff>42022</xdr:rowOff>
    </xdr:from>
    <xdr:to>
      <xdr:col>24</xdr:col>
      <xdr:colOff>1414743</xdr:colOff>
      <xdr:row>68</xdr:row>
      <xdr:rowOff>42022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227719</xdr:colOff>
      <xdr:row>6</xdr:row>
      <xdr:rowOff>51788</xdr:rowOff>
    </xdr:from>
    <xdr:to>
      <xdr:col>36</xdr:col>
      <xdr:colOff>299357</xdr:colOff>
      <xdr:row>21</xdr:row>
      <xdr:rowOff>190500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1736914</xdr:colOff>
      <xdr:row>25</xdr:row>
      <xdr:rowOff>100853</xdr:rowOff>
    </xdr:from>
    <xdr:to>
      <xdr:col>12</xdr:col>
      <xdr:colOff>582707</xdr:colOff>
      <xdr:row>25</xdr:row>
      <xdr:rowOff>134471</xdr:rowOff>
    </xdr:to>
    <xdr:cxnSp macro="">
      <xdr:nvCxnSpPr>
        <xdr:cNvPr id="3" name="Curved Connector 2"/>
        <xdr:cNvCxnSpPr/>
      </xdr:nvCxnSpPr>
      <xdr:spPr>
        <a:xfrm rot="10800000" flipV="1">
          <a:off x="4258238" y="5143500"/>
          <a:ext cx="8931087" cy="33618"/>
        </a:xfrm>
        <a:prstGeom prst="curvedConnector3">
          <a:avLst>
            <a:gd name="adj1" fmla="val 50000"/>
          </a:avLst>
        </a:prstGeom>
        <a:ln w="28575">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13</xdr:col>
      <xdr:colOff>369793</xdr:colOff>
      <xdr:row>12</xdr:row>
      <xdr:rowOff>129988</xdr:rowOff>
    </xdr:from>
    <xdr:to>
      <xdr:col>22</xdr:col>
      <xdr:colOff>112059</xdr:colOff>
      <xdr:row>37</xdr:row>
      <xdr:rowOff>44822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279</xdr:row>
      <xdr:rowOff>29136</xdr:rowOff>
    </xdr:from>
    <xdr:ext cx="5904379" cy="3446350"/>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0483061"/>
          <a:ext cx="5904379" cy="3446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578225</xdr:colOff>
      <xdr:row>295</xdr:row>
      <xdr:rowOff>31173</xdr:rowOff>
    </xdr:from>
    <xdr:ext cx="5034076" cy="2197677"/>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40275" y="46341723"/>
          <a:ext cx="5034076" cy="219767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609600</xdr:colOff>
      <xdr:row>280</xdr:row>
      <xdr:rowOff>123826</xdr:rowOff>
    </xdr:from>
    <xdr:ext cx="5299998" cy="2209800"/>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743075" y="44005501"/>
          <a:ext cx="5299998" cy="2209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xdr:col>
      <xdr:colOff>13608</xdr:colOff>
      <xdr:row>257</xdr:row>
      <xdr:rowOff>13607</xdr:rowOff>
    </xdr:from>
    <xdr:to>
      <xdr:col>3</xdr:col>
      <xdr:colOff>0</xdr:colOff>
      <xdr:row>266</xdr:row>
      <xdr:rowOff>27214</xdr:rowOff>
    </xdr:to>
    <xdr:sp macro="" textlink="">
      <xdr:nvSpPr>
        <xdr:cNvPr id="8" name="TextBox 7"/>
        <xdr:cNvSpPr txBox="1"/>
      </xdr:nvSpPr>
      <xdr:spPr>
        <a:xfrm>
          <a:off x="1175658" y="41628332"/>
          <a:ext cx="567417" cy="14709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similar to non-CHP boiler mix</a:t>
          </a:r>
        </a:p>
        <a:p>
          <a:endParaRPr lang="en-ZA" sz="1100"/>
        </a:p>
      </xdr:txBody>
    </xdr:sp>
    <xdr:clientData/>
  </xdr:twoCellAnchor>
  <xdr:twoCellAnchor>
    <xdr:from>
      <xdr:col>52</xdr:col>
      <xdr:colOff>122464</xdr:colOff>
      <xdr:row>1</xdr:row>
      <xdr:rowOff>153761</xdr:rowOff>
    </xdr:from>
    <xdr:to>
      <xdr:col>60</xdr:col>
      <xdr:colOff>176892</xdr:colOff>
      <xdr:row>22</xdr:row>
      <xdr:rowOff>108856</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7868</xdr:colOff>
      <xdr:row>256</xdr:row>
      <xdr:rowOff>16979</xdr:rowOff>
    </xdr:from>
    <xdr:to>
      <xdr:col>37</xdr:col>
      <xdr:colOff>47601</xdr:colOff>
      <xdr:row>293</xdr:row>
      <xdr:rowOff>30061</xdr:rowOff>
    </xdr:to>
    <xdr:sp macro="" textlink="">
      <xdr:nvSpPr>
        <xdr:cNvPr id="11" name="TextBox 10"/>
        <xdr:cNvSpPr txBox="1"/>
      </xdr:nvSpPr>
      <xdr:spPr>
        <a:xfrm>
          <a:off x="19819868" y="46232279"/>
          <a:ext cx="9945733" cy="5061332"/>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a:solidFill>
                <a:schemeClr val="dk1"/>
              </a:solidFill>
              <a:effectLst/>
              <a:latin typeface="+mn-lt"/>
              <a:ea typeface="+mn-ea"/>
              <a:cs typeface="+mn-cs"/>
            </a:rPr>
            <a:t>CHP in SACC:</a:t>
          </a:r>
        </a:p>
        <a:p>
          <a:endParaRPr lang="en-ZA" sz="1100" b="1">
            <a:solidFill>
              <a:schemeClr val="dk1"/>
            </a:solidFill>
            <a:effectLst/>
            <a:latin typeface="+mn-lt"/>
            <a:ea typeface="+mn-ea"/>
            <a:cs typeface="+mn-cs"/>
          </a:endParaRPr>
        </a:p>
        <a:p>
          <a:r>
            <a:rPr lang="en-ZA" sz="1100" b="1">
              <a:solidFill>
                <a:schemeClr val="dk1"/>
              </a:solidFill>
              <a:effectLst/>
              <a:latin typeface="+mn-lt"/>
              <a:ea typeface="+mn-ea"/>
              <a:cs typeface="+mn-cs"/>
            </a:rPr>
            <a:t>A) Steam Turbine CHP</a:t>
          </a:r>
          <a:r>
            <a:rPr lang="en-ZA" sz="1100" b="1" baseline="0">
              <a:solidFill>
                <a:schemeClr val="dk1"/>
              </a:solidFill>
              <a:effectLst/>
              <a:latin typeface="+mn-lt"/>
              <a:ea typeface="+mn-ea"/>
              <a:cs typeface="+mn-cs"/>
            </a:rPr>
            <a:t> calculation =</a:t>
          </a:r>
          <a:endParaRPr lang="en-US">
            <a:effectLst/>
          </a:endParaRPr>
        </a:p>
        <a:p>
          <a:r>
            <a:rPr lang="en-ZA" sz="1100">
              <a:solidFill>
                <a:schemeClr val="dk1"/>
              </a:solidFill>
              <a:effectLst/>
              <a:latin typeface="+mn-lt"/>
              <a:ea typeface="+mn-ea"/>
              <a:cs typeface="+mn-cs"/>
            </a:rPr>
            <a:t>IF Power heat ratio &lt;=1 THEN (bottom cycle)</a:t>
          </a:r>
          <a:endParaRPr lang="en-US">
            <a:effectLst/>
          </a:endParaRPr>
        </a:p>
        <a:p>
          <a:r>
            <a:rPr lang="en-ZA" sz="1100">
              <a:solidFill>
                <a:schemeClr val="dk1"/>
              </a:solidFill>
              <a:effectLst/>
              <a:latin typeface="+mn-lt"/>
              <a:ea typeface="+mn-ea"/>
              <a:cs typeface="+mn-cs"/>
            </a:rPr>
            <a:t>	%Penetration of  new useful heat demand</a:t>
          </a:r>
          <a:r>
            <a:rPr lang="en-ZA" sz="1100" baseline="0">
              <a:solidFill>
                <a:schemeClr val="dk1"/>
              </a:solidFill>
              <a:effectLst/>
              <a:latin typeface="+mn-lt"/>
              <a:ea typeface="+mn-ea"/>
              <a:cs typeface="+mn-cs"/>
            </a:rPr>
            <a:t> </a:t>
          </a:r>
          <a:endParaRPr lang="en-US">
            <a:effectLst/>
          </a:endParaRPr>
        </a:p>
        <a:p>
          <a:r>
            <a:rPr lang="en-ZA" sz="1100" baseline="0">
              <a:solidFill>
                <a:schemeClr val="dk1"/>
              </a:solidFill>
              <a:effectLst/>
              <a:latin typeface="+mn-lt"/>
              <a:ea typeface="+mn-ea"/>
              <a:cs typeface="+mn-cs"/>
            </a:rPr>
            <a:t>	1) useful heat</a:t>
          </a:r>
          <a:endParaRPr lang="en-US">
            <a:effectLst/>
          </a:endParaRPr>
        </a:p>
        <a:p>
          <a:r>
            <a:rPr lang="en-ZA" sz="1100" baseline="0">
              <a:solidFill>
                <a:schemeClr val="dk1"/>
              </a:solidFill>
              <a:effectLst/>
              <a:latin typeface="+mn-lt"/>
              <a:ea typeface="+mn-ea"/>
              <a:cs typeface="+mn-cs"/>
            </a:rPr>
            <a:t>	2) then elec = useful heat * PowerHeatRatio</a:t>
          </a:r>
          <a:endParaRPr lang="en-US">
            <a:effectLst/>
          </a:endParaRPr>
        </a:p>
        <a:p>
          <a:pPr eaLnBrk="1" fontAlgn="auto" latinLnBrk="0" hangingPunct="1"/>
          <a:r>
            <a:rPr lang="en-ZA" sz="1100" baseline="0">
              <a:solidFill>
                <a:schemeClr val="dk1"/>
              </a:solidFill>
              <a:effectLst/>
              <a:latin typeface="+mn-lt"/>
              <a:ea typeface="+mn-ea"/>
              <a:cs typeface="+mn-cs"/>
            </a:rPr>
            <a:t>ELSE </a:t>
          </a:r>
          <a:r>
            <a:rPr lang="en-ZA" sz="1100">
              <a:solidFill>
                <a:schemeClr val="dk1"/>
              </a:solidFill>
              <a:effectLst/>
              <a:latin typeface="+mn-lt"/>
              <a:ea typeface="+mn-ea"/>
              <a:cs typeface="+mn-cs"/>
            </a:rPr>
            <a:t>(top cycle)</a:t>
          </a:r>
          <a:endParaRPr lang="en-US">
            <a:effectLst/>
          </a:endParaRPr>
        </a:p>
        <a:p>
          <a:pPr eaLnBrk="1" fontAlgn="auto" latinLnBrk="0" hangingPunct="1"/>
          <a:r>
            <a:rPr lang="en-ZA" sz="1100">
              <a:solidFill>
                <a:schemeClr val="dk1"/>
              </a:solidFill>
              <a:effectLst/>
              <a:latin typeface="+mn-lt"/>
              <a:ea typeface="+mn-ea"/>
              <a:cs typeface="+mn-cs"/>
            </a:rPr>
            <a:t>	%Penetration of  new electricity</a:t>
          </a:r>
          <a:r>
            <a:rPr lang="en-ZA" sz="1100" baseline="0">
              <a:solidFill>
                <a:schemeClr val="dk1"/>
              </a:solidFill>
              <a:effectLst/>
              <a:latin typeface="+mn-lt"/>
              <a:ea typeface="+mn-ea"/>
              <a:cs typeface="+mn-cs"/>
            </a:rPr>
            <a:t> </a:t>
          </a:r>
          <a:r>
            <a:rPr lang="en-ZA" sz="1100">
              <a:solidFill>
                <a:schemeClr val="dk1"/>
              </a:solidFill>
              <a:effectLst/>
              <a:latin typeface="+mn-lt"/>
              <a:ea typeface="+mn-ea"/>
              <a:cs typeface="+mn-cs"/>
            </a:rPr>
            <a:t>demand</a:t>
          </a:r>
          <a:r>
            <a:rPr lang="en-ZA" sz="1100" baseline="0">
              <a:solidFill>
                <a:schemeClr val="dk1"/>
              </a:solidFill>
              <a:effectLst/>
              <a:latin typeface="+mn-lt"/>
              <a:ea typeface="+mn-ea"/>
              <a:cs typeface="+mn-cs"/>
            </a:rPr>
            <a:t> </a:t>
          </a:r>
          <a:endParaRPr lang="en-US">
            <a:effectLst/>
          </a:endParaRPr>
        </a:p>
        <a:p>
          <a:r>
            <a:rPr lang="en-ZA" sz="1100" baseline="0">
              <a:solidFill>
                <a:schemeClr val="dk1"/>
              </a:solidFill>
              <a:effectLst/>
              <a:latin typeface="+mn-lt"/>
              <a:ea typeface="+mn-ea"/>
              <a:cs typeface="+mn-cs"/>
            </a:rPr>
            <a:t>	1) %share useful electricity</a:t>
          </a:r>
          <a:endParaRPr lang="en-US">
            <a:effectLst/>
          </a:endParaRPr>
        </a:p>
        <a:p>
          <a:r>
            <a:rPr lang="en-ZA" sz="1100" baseline="0">
              <a:solidFill>
                <a:schemeClr val="dk1"/>
              </a:solidFill>
              <a:effectLst/>
              <a:latin typeface="+mn-lt"/>
              <a:ea typeface="+mn-ea"/>
              <a:cs typeface="+mn-cs"/>
            </a:rPr>
            <a:t>	2) then heat = useful electricity/PowerHeatRatio * top-cycle_modifier</a:t>
          </a:r>
          <a:endParaRPr lang="en-US">
            <a:effectLst/>
          </a:endParaRPr>
        </a:p>
        <a:p>
          <a:pPr eaLnBrk="1" fontAlgn="auto" latinLnBrk="0" hangingPunct="1"/>
          <a:r>
            <a:rPr lang="en-ZA" sz="1100" i="1" baseline="0">
              <a:solidFill>
                <a:schemeClr val="dk1"/>
              </a:solidFill>
              <a:effectLst/>
              <a:latin typeface="+mn-lt"/>
              <a:ea typeface="+mn-ea"/>
              <a:cs typeface="+mn-cs"/>
            </a:rPr>
            <a:t>Conceptlually top-cycle process can also represent reciprocating enegines with the modifier used to  give  set the propoortion of useful heat  generated</a:t>
          </a:r>
          <a:endParaRPr lang="en-US">
            <a:effectLst/>
          </a:endParaRPr>
        </a:p>
        <a:p>
          <a:r>
            <a:rPr lang="en-ZA" sz="1100" baseline="0">
              <a:solidFill>
                <a:schemeClr val="dk1"/>
              </a:solidFill>
              <a:effectLst/>
              <a:latin typeface="+mn-lt"/>
              <a:ea typeface="+mn-ea"/>
              <a:cs typeface="+mn-cs"/>
            </a:rPr>
            <a:t> </a:t>
          </a:r>
          <a:endParaRPr lang="en-US">
            <a:effectLst/>
          </a:endParaRPr>
        </a:p>
        <a:p>
          <a:r>
            <a:rPr lang="en-ZA" sz="1100" baseline="0">
              <a:solidFill>
                <a:schemeClr val="dk1"/>
              </a:solidFill>
              <a:effectLst/>
              <a:latin typeface="+mn-lt"/>
              <a:ea typeface="+mn-ea"/>
              <a:cs typeface="+mn-cs"/>
            </a:rPr>
            <a:t>CHP useful heat/electricity demand:</a:t>
          </a:r>
          <a:endParaRPr lang="en-US">
            <a:effectLst/>
          </a:endParaRPr>
        </a:p>
        <a:p>
          <a:r>
            <a:rPr lang="en-ZA" sz="1100" baseline="0">
              <a:solidFill>
                <a:schemeClr val="dk1"/>
              </a:solidFill>
              <a:effectLst/>
              <a:latin typeface="+mn-lt"/>
              <a:ea typeface="+mn-ea"/>
              <a:cs typeface="+mn-cs"/>
            </a:rPr>
            <a:t>newUseful  =  yearX _growth - baseyear.</a:t>
          </a:r>
          <a:endParaRPr lang="en-US">
            <a:effectLst/>
          </a:endParaRPr>
        </a:p>
        <a:p>
          <a:r>
            <a:rPr lang="en-ZA" sz="1100">
              <a:solidFill>
                <a:schemeClr val="dk1"/>
              </a:solidFill>
              <a:effectLst/>
              <a:latin typeface="+mn-lt"/>
              <a:ea typeface="+mn-ea"/>
              <a:cs typeface="+mn-cs"/>
            </a:rPr>
            <a:t>if new_useful  &lt; 0 ( i.e decline in</a:t>
          </a:r>
          <a:r>
            <a:rPr lang="en-ZA" sz="1100" baseline="0">
              <a:solidFill>
                <a:schemeClr val="dk1"/>
              </a:solidFill>
              <a:effectLst/>
              <a:latin typeface="+mn-lt"/>
              <a:ea typeface="+mn-ea"/>
              <a:cs typeface="+mn-cs"/>
            </a:rPr>
            <a:t>  subsector demand)</a:t>
          </a:r>
          <a:endParaRPr lang="en-US">
            <a:effectLst/>
          </a:endParaRPr>
        </a:p>
        <a:p>
          <a:r>
            <a:rPr lang="en-ZA" sz="1100" baseline="0">
              <a:solidFill>
                <a:schemeClr val="dk1"/>
              </a:solidFill>
              <a:effectLst/>
              <a:latin typeface="+mn-lt"/>
              <a:ea typeface="+mn-ea"/>
              <a:cs typeface="+mn-cs"/>
            </a:rPr>
            <a:t>then newCHPdemand  = 0</a:t>
          </a:r>
          <a:endParaRPr lang="en-US">
            <a:effectLst/>
          </a:endParaRPr>
        </a:p>
        <a:p>
          <a:r>
            <a:rPr lang="en-ZA" sz="1100" baseline="0">
              <a:solidFill>
                <a:schemeClr val="dk1"/>
              </a:solidFill>
              <a:effectLst/>
              <a:latin typeface="+mn-lt"/>
              <a:ea typeface="+mn-ea"/>
              <a:cs typeface="+mn-cs"/>
            </a:rPr>
            <a:t>else newCHPdemand  = %share * newUseful </a:t>
          </a:r>
          <a:endParaRPr lang="en-US">
            <a:effectLst/>
          </a:endParaRPr>
        </a:p>
        <a:p>
          <a:r>
            <a:rPr lang="en-ZA" sz="1100" b="1" i="0" baseline="0">
              <a:solidFill>
                <a:schemeClr val="dk1"/>
              </a:solidFill>
              <a:effectLst/>
              <a:latin typeface="+mn-lt"/>
              <a:ea typeface="+mn-ea"/>
              <a:cs typeface="+mn-cs"/>
            </a:rPr>
            <a:t>excel :: newCHPdemand = MAX(%share * newUseful , 0)</a:t>
          </a:r>
          <a:endParaRPr lang="en-US">
            <a:effectLst/>
          </a:endParaRPr>
        </a:p>
        <a:p>
          <a:r>
            <a:rPr lang="en-ZA" sz="1100" u="sng" baseline="0">
              <a:solidFill>
                <a:schemeClr val="dk1"/>
              </a:solidFill>
              <a:effectLst/>
              <a:latin typeface="+mn-lt"/>
              <a:ea typeface="+mn-ea"/>
              <a:cs typeface="+mn-cs"/>
            </a:rPr>
            <a:t>total CHPdemand for useful heat:</a:t>
          </a:r>
          <a:endParaRPr lang="en-US">
            <a:effectLst/>
          </a:endParaRPr>
        </a:p>
        <a:p>
          <a:r>
            <a:rPr lang="en-ZA" sz="1100" baseline="0">
              <a:solidFill>
                <a:schemeClr val="dk1"/>
              </a:solidFill>
              <a:effectLst/>
              <a:latin typeface="+mn-lt"/>
              <a:ea typeface="+mn-ea"/>
              <a:cs typeface="+mn-cs"/>
            </a:rPr>
            <a:t>if  yearX _growth  &gt; CHPbaseyear 	</a:t>
          </a:r>
          <a:endParaRPr lang="en-US">
            <a:effectLst/>
          </a:endParaRPr>
        </a:p>
        <a:p>
          <a:r>
            <a:rPr lang="en-ZA" sz="1100" baseline="0">
              <a:solidFill>
                <a:schemeClr val="dk1"/>
              </a:solidFill>
              <a:effectLst/>
              <a:latin typeface="+mn-lt"/>
              <a:ea typeface="+mn-ea"/>
              <a:cs typeface="+mn-cs"/>
            </a:rPr>
            <a:t>	</a:t>
          </a:r>
          <a:endParaRPr lang="en-US">
            <a:effectLst/>
          </a:endParaRPr>
        </a:p>
        <a:p>
          <a:pPr eaLnBrk="1" fontAlgn="auto" latinLnBrk="0" hangingPunct="1"/>
          <a:r>
            <a:rPr lang="en-ZA" sz="1100" b="0" baseline="0">
              <a:solidFill>
                <a:schemeClr val="dk1"/>
              </a:solidFill>
              <a:effectLst/>
              <a:latin typeface="+mn-lt"/>
              <a:ea typeface="+mn-ea"/>
              <a:cs typeface="+mn-cs"/>
            </a:rPr>
            <a:t>then CHPdemand  =  CHPbaseyear + newCHPdemand   </a:t>
          </a:r>
          <a:endParaRPr lang="en-US">
            <a:effectLst/>
          </a:endParaRPr>
        </a:p>
        <a:p>
          <a:pPr eaLnBrk="1" fontAlgn="auto" latinLnBrk="0" hangingPunct="1"/>
          <a:r>
            <a:rPr lang="en-ZA" sz="1100" b="0" i="0" baseline="0">
              <a:solidFill>
                <a:schemeClr val="dk1"/>
              </a:solidFill>
              <a:effectLst/>
              <a:latin typeface="+mn-lt"/>
              <a:ea typeface="+mn-ea"/>
              <a:cs typeface="+mn-cs"/>
            </a:rPr>
            <a:t>	        = </a:t>
          </a:r>
          <a:r>
            <a:rPr lang="en-ZA" sz="1100" b="0" baseline="0">
              <a:solidFill>
                <a:schemeClr val="dk1"/>
              </a:solidFill>
              <a:effectLst/>
              <a:latin typeface="+mn-lt"/>
              <a:ea typeface="+mn-ea"/>
              <a:cs typeface="+mn-cs"/>
            </a:rPr>
            <a:t>CHPbaseyear + </a:t>
          </a:r>
          <a:r>
            <a:rPr lang="en-ZA" sz="1100" b="0" i="0" baseline="0">
              <a:solidFill>
                <a:schemeClr val="dk1"/>
              </a:solidFill>
              <a:effectLst/>
              <a:latin typeface="+mn-lt"/>
              <a:ea typeface="+mn-ea"/>
              <a:cs typeface="+mn-cs"/>
            </a:rPr>
            <a:t>%share * </a:t>
          </a:r>
          <a:r>
            <a:rPr lang="en-ZA" sz="1100" b="1" i="0" baseline="0">
              <a:solidFill>
                <a:schemeClr val="dk1"/>
              </a:solidFill>
              <a:effectLst/>
              <a:latin typeface="+mn-lt"/>
              <a:ea typeface="+mn-ea"/>
              <a:cs typeface="+mn-cs"/>
            </a:rPr>
            <a:t>MAX(newUseful, 0) </a:t>
          </a:r>
          <a:r>
            <a:rPr lang="en-ZA" sz="1100" b="0" i="0" baseline="0">
              <a:solidFill>
                <a:schemeClr val="dk1"/>
              </a:solidFill>
              <a:effectLst/>
              <a:latin typeface="+mn-lt"/>
              <a:ea typeface="+mn-ea"/>
              <a:cs typeface="+mn-cs"/>
            </a:rPr>
            <a:t>	</a:t>
          </a:r>
          <a:endParaRPr lang="en-US">
            <a:effectLst/>
          </a:endParaRPr>
        </a:p>
        <a:p>
          <a:pPr eaLnBrk="1" fontAlgn="auto" latinLnBrk="0" hangingPunct="1"/>
          <a:r>
            <a:rPr lang="en-ZA" sz="1100" b="0" i="0" baseline="0">
              <a:solidFill>
                <a:schemeClr val="dk1"/>
              </a:solidFill>
              <a:effectLst/>
              <a:latin typeface="+mn-lt"/>
              <a:ea typeface="+mn-ea"/>
              <a:cs typeface="+mn-cs"/>
            </a:rPr>
            <a:t>	</a:t>
          </a:r>
          <a:endParaRPr lang="en-US">
            <a:effectLst/>
          </a:endParaRPr>
        </a:p>
        <a:p>
          <a:pPr eaLnBrk="1" fontAlgn="auto" latinLnBrk="0" hangingPunct="1"/>
          <a:r>
            <a:rPr lang="en-ZA" sz="1100" b="0" baseline="0">
              <a:solidFill>
                <a:schemeClr val="dk1"/>
              </a:solidFill>
              <a:effectLst/>
              <a:latin typeface="+mn-lt"/>
              <a:ea typeface="+mn-ea"/>
              <a:cs typeface="+mn-cs"/>
            </a:rPr>
            <a:t>else CHPdemand  = newUseful  (demand less than baseyear)</a:t>
          </a:r>
          <a:endParaRPr lang="en-US">
            <a:effectLst/>
          </a:endParaRPr>
        </a:p>
        <a:p>
          <a:r>
            <a:rPr lang="en-ZA" sz="1100" i="1">
              <a:solidFill>
                <a:schemeClr val="dk1"/>
              </a:solidFill>
              <a:effectLst/>
              <a:latin typeface="+mn-lt"/>
              <a:ea typeface="+mn-ea"/>
              <a:cs typeface="+mn-cs"/>
            </a:rPr>
            <a:t>Implementation </a:t>
          </a:r>
          <a:r>
            <a:rPr lang="en-ZA" sz="1100" i="1" baseline="0">
              <a:solidFill>
                <a:schemeClr val="dk1"/>
              </a:solidFill>
              <a:effectLst/>
              <a:latin typeface="+mn-lt"/>
              <a:ea typeface="+mn-ea"/>
              <a:cs typeface="+mn-cs"/>
            </a:rPr>
            <a:t>accounts for a decline in a subsector  demand to zero (i.e. industry defunct)</a:t>
          </a:r>
          <a:endParaRPr lang="en-US">
            <a:effectLst/>
          </a:endParaRPr>
        </a:p>
        <a:p>
          <a:r>
            <a:rPr lang="en-ZA" sz="1100" b="1">
              <a:solidFill>
                <a:schemeClr val="dk1"/>
              </a:solidFill>
              <a:effectLst/>
              <a:latin typeface="+mn-lt"/>
              <a:ea typeface="+mn-ea"/>
              <a:cs typeface="+mn-cs"/>
            </a:rPr>
            <a:t>B) Waste</a:t>
          </a:r>
          <a:r>
            <a:rPr lang="en-ZA" sz="1100" b="1" baseline="0">
              <a:solidFill>
                <a:schemeClr val="dk1"/>
              </a:solidFill>
              <a:effectLst/>
              <a:latin typeface="+mn-lt"/>
              <a:ea typeface="+mn-ea"/>
              <a:cs typeface="+mn-cs"/>
            </a:rPr>
            <a:t> heat recovery </a:t>
          </a:r>
          <a:r>
            <a:rPr lang="en-ZA" sz="1100" b="1">
              <a:solidFill>
                <a:schemeClr val="dk1"/>
              </a:solidFill>
              <a:effectLst/>
              <a:latin typeface="+mn-lt"/>
              <a:ea typeface="+mn-ea"/>
              <a:cs typeface="+mn-cs"/>
            </a:rPr>
            <a:t>CHP</a:t>
          </a:r>
          <a:r>
            <a:rPr lang="en-ZA" sz="1100" b="1" baseline="0">
              <a:solidFill>
                <a:schemeClr val="dk1"/>
              </a:solidFill>
              <a:effectLst/>
              <a:latin typeface="+mn-lt"/>
              <a:ea typeface="+mn-ea"/>
              <a:cs typeface="+mn-cs"/>
            </a:rPr>
            <a:t> calculation = </a:t>
          </a:r>
          <a:endParaRPr lang="en-US">
            <a:effectLst/>
          </a:endParaRPr>
        </a:p>
        <a:p>
          <a:r>
            <a:rPr lang="en-ZA" sz="1100" b="0" i="1" baseline="0">
              <a:solidFill>
                <a:schemeClr val="dk1"/>
              </a:solidFill>
              <a:effectLst/>
              <a:latin typeface="+mn-lt"/>
              <a:ea typeface="+mn-ea"/>
              <a:cs typeface="+mn-cs"/>
            </a:rPr>
            <a:t> %sector_penetration *  fraction of   final-to-useful heat   that can be potentially used  for electiricity generation *  power conversion effiiciency</a:t>
          </a:r>
          <a:endParaRPr lang="en-US">
            <a:effectLst/>
          </a:endParaRPr>
        </a:p>
      </xdr:txBody>
    </xdr:sp>
    <xdr:clientData/>
  </xdr:twoCellAnchor>
  <xdr:twoCellAnchor>
    <xdr:from>
      <xdr:col>64</xdr:col>
      <xdr:colOff>40822</xdr:colOff>
      <xdr:row>1</xdr:row>
      <xdr:rowOff>28990</xdr:rowOff>
    </xdr:from>
    <xdr:to>
      <xdr:col>70</xdr:col>
      <xdr:colOff>220080</xdr:colOff>
      <xdr:row>16</xdr:row>
      <xdr:rowOff>136072</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64</xdr:col>
      <xdr:colOff>27213</xdr:colOff>
      <xdr:row>17</xdr:row>
      <xdr:rowOff>178668</xdr:rowOff>
    </xdr:from>
    <xdr:to>
      <xdr:col>85</xdr:col>
      <xdr:colOff>476249</xdr:colOff>
      <xdr:row>27</xdr:row>
      <xdr:rowOff>95252</xdr:rowOff>
    </xdr:to>
    <xdr:sp macro="" textlink="">
      <xdr:nvSpPr>
        <xdr:cNvPr id="13" name="TextBox 12"/>
        <xdr:cNvSpPr txBox="1"/>
      </xdr:nvSpPr>
      <xdr:spPr>
        <a:xfrm>
          <a:off x="46999070" y="3240275"/>
          <a:ext cx="12872358" cy="16310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Level 1 and 2 is adapted</a:t>
          </a:r>
          <a:r>
            <a:rPr lang="en-ZA" sz="1100" baseline="0"/>
            <a:t> from the ERC EE report such that the maximum achieved potential of 10% for level 2 (by the implementation of standards) is extrapolated to the the year 2050 rather than the year 2032 as suggested in the report. </a:t>
          </a:r>
        </a:p>
        <a:p>
          <a:endParaRPr lang="en-ZA" sz="1100" baseline="0"/>
        </a:p>
        <a:p>
          <a:r>
            <a:rPr lang="en-ZA" sz="1100" baseline="0"/>
            <a:t>Furthermore the ERC suggested potential improvement for boilers and furnaces is also adapted such that the maximum value as suggested by the LTMS report (20%) is implemented at level 4 and also extrapolated to the year 2050.</a:t>
          </a:r>
        </a:p>
        <a:p>
          <a:endParaRPr lang="en-ZA" sz="1100" baseline="0"/>
        </a:p>
        <a:p>
          <a:r>
            <a:rPr lang="en-ZA" sz="1100" b="1" baseline="0">
              <a:solidFill>
                <a:srgbClr val="FF0000"/>
              </a:solidFill>
            </a:rPr>
            <a:t>Note1:  </a:t>
          </a:r>
          <a:r>
            <a:rPr lang="en-ZA" sz="1100" baseline="0"/>
            <a:t>A point of confusion exists in the interpretation of the DEA suggested savings over the period. If the values represent the total savings then these are adjusted to factor the separate values for electrical plant and boilers and furnaces.</a:t>
          </a:r>
          <a:endParaRPr lang="en-ZA" sz="1100" baseline="0">
            <a:solidFill>
              <a:srgbClr val="FF0000"/>
            </a:solidFill>
          </a:endParaRPr>
        </a:p>
      </xdr:txBody>
    </xdr:sp>
    <xdr:clientData/>
  </xdr:twoCellAnchor>
  <xdr:twoCellAnchor>
    <xdr:from>
      <xdr:col>70</xdr:col>
      <xdr:colOff>477434</xdr:colOff>
      <xdr:row>1</xdr:row>
      <xdr:rowOff>20705</xdr:rowOff>
    </xdr:from>
    <xdr:to>
      <xdr:col>78</xdr:col>
      <xdr:colOff>476250</xdr:colOff>
      <xdr:row>16</xdr:row>
      <xdr:rowOff>95250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79</xdr:col>
      <xdr:colOff>348461</xdr:colOff>
      <xdr:row>0</xdr:row>
      <xdr:rowOff>154411</xdr:rowOff>
    </xdr:from>
    <xdr:to>
      <xdr:col>85</xdr:col>
      <xdr:colOff>266818</xdr:colOff>
      <xdr:row>15</xdr:row>
      <xdr:rowOff>165651</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45</xdr:col>
      <xdr:colOff>95251</xdr:colOff>
      <xdr:row>1</xdr:row>
      <xdr:rowOff>138793</xdr:rowOff>
    </xdr:from>
    <xdr:to>
      <xdr:col>51</xdr:col>
      <xdr:colOff>639536</xdr:colOff>
      <xdr:row>22</xdr:row>
      <xdr:rowOff>108856</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57150</xdr:colOff>
      <xdr:row>300</xdr:row>
      <xdr:rowOff>142875</xdr:rowOff>
    </xdr:from>
    <xdr:to>
      <xdr:col>2</xdr:col>
      <xdr:colOff>438149</xdr:colOff>
      <xdr:row>323</xdr:row>
      <xdr:rowOff>18936</xdr:rowOff>
    </xdr:to>
    <xdr:pic>
      <xdr:nvPicPr>
        <xdr:cNvPr id="18" name="Picture 17"/>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7150" y="53997225"/>
          <a:ext cx="5753099" cy="3600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266697</xdr:colOff>
      <xdr:row>16</xdr:row>
      <xdr:rowOff>84286</xdr:rowOff>
    </xdr:from>
    <xdr:to>
      <xdr:col>1</xdr:col>
      <xdr:colOff>228597</xdr:colOff>
      <xdr:row>28</xdr:row>
      <xdr:rowOff>27136</xdr:rowOff>
    </xdr:to>
    <xdr:sp macro="" textlink="">
      <xdr:nvSpPr>
        <xdr:cNvPr id="2" name="Left Brace 1"/>
        <xdr:cNvSpPr/>
      </xdr:nvSpPr>
      <xdr:spPr>
        <a:xfrm>
          <a:off x="266697" y="2837011"/>
          <a:ext cx="552450" cy="188595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rtlCol="0" anchor="ctr"/>
        <a:lstStyle/>
        <a:p>
          <a:pPr algn="ctr"/>
          <a:endParaRPr lang="en-GB" sz="1100"/>
        </a:p>
      </xdr:txBody>
    </xdr:sp>
    <xdr:clientData/>
  </xdr:twoCellAnchor>
  <xdr:oneCellAnchor>
    <xdr:from>
      <xdr:col>0</xdr:col>
      <xdr:colOff>27133</xdr:colOff>
      <xdr:row>14</xdr:row>
      <xdr:rowOff>190501</xdr:rowOff>
    </xdr:from>
    <xdr:ext cx="257699" cy="1778820"/>
    <xdr:sp macro="" textlink="">
      <xdr:nvSpPr>
        <xdr:cNvPr id="3" name="TextBox 2"/>
        <xdr:cNvSpPr txBox="1"/>
      </xdr:nvSpPr>
      <xdr:spPr>
        <a:xfrm rot="16200000">
          <a:off x="-733427" y="3351361"/>
          <a:ext cx="1778820" cy="257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GB" sz="1100"/>
            <a:t>(i) industry</a:t>
          </a:r>
          <a:r>
            <a:rPr lang="en-GB" sz="1100" baseline="0"/>
            <a:t> output growth</a:t>
          </a:r>
          <a:endParaRPr lang="en-GB" sz="1100"/>
        </a:p>
      </xdr:txBody>
    </xdr:sp>
    <xdr:clientData/>
  </xdr:oneCellAnchor>
  <xdr:twoCellAnchor>
    <xdr:from>
      <xdr:col>0</xdr:col>
      <xdr:colOff>249086</xdr:colOff>
      <xdr:row>29</xdr:row>
      <xdr:rowOff>101896</xdr:rowOff>
    </xdr:from>
    <xdr:to>
      <xdr:col>1</xdr:col>
      <xdr:colOff>210986</xdr:colOff>
      <xdr:row>88</xdr:row>
      <xdr:rowOff>36661</xdr:rowOff>
    </xdr:to>
    <xdr:sp macro="" textlink="">
      <xdr:nvSpPr>
        <xdr:cNvPr id="4" name="Left Brace 3"/>
        <xdr:cNvSpPr/>
      </xdr:nvSpPr>
      <xdr:spPr>
        <a:xfrm>
          <a:off x="249086" y="4959646"/>
          <a:ext cx="552450" cy="1143144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rtlCol="0" anchor="ctr"/>
        <a:lstStyle/>
        <a:p>
          <a:pPr algn="ctr"/>
          <a:endParaRPr lang="en-GB" sz="1100"/>
        </a:p>
      </xdr:txBody>
    </xdr:sp>
    <xdr:clientData/>
  </xdr:twoCellAnchor>
  <xdr:oneCellAnchor>
    <xdr:from>
      <xdr:col>0</xdr:col>
      <xdr:colOff>5</xdr:colOff>
      <xdr:row>72</xdr:row>
      <xdr:rowOff>38895</xdr:rowOff>
    </xdr:from>
    <xdr:ext cx="257699" cy="2255874"/>
    <xdr:sp macro="" textlink="">
      <xdr:nvSpPr>
        <xdr:cNvPr id="5" name="TextBox 4"/>
        <xdr:cNvSpPr txBox="1"/>
      </xdr:nvSpPr>
      <xdr:spPr>
        <a:xfrm rot="16200000">
          <a:off x="-999082" y="14720364"/>
          <a:ext cx="2255874" cy="257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GB" sz="1100"/>
            <a:t>(ii) Energy intensity and efficiency</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21</xdr:col>
      <xdr:colOff>752475</xdr:colOff>
      <xdr:row>11</xdr:row>
      <xdr:rowOff>9525</xdr:rowOff>
    </xdr:from>
    <xdr:to>
      <xdr:col>27</xdr:col>
      <xdr:colOff>695325</xdr:colOff>
      <xdr:row>25</xdr:row>
      <xdr:rowOff>85725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600075</xdr:colOff>
      <xdr:row>131</xdr:row>
      <xdr:rowOff>180975</xdr:rowOff>
    </xdr:from>
    <xdr:to>
      <xdr:col>27</xdr:col>
      <xdr:colOff>542925</xdr:colOff>
      <xdr:row>146</xdr:row>
      <xdr:rowOff>66675</xdr:rowOff>
    </xdr:to>
    <xdr:graphicFrame macro="">
      <xdr:nvGraphicFramePr>
        <xdr:cNvPr id="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157162</xdr:colOff>
      <xdr:row>28</xdr:row>
      <xdr:rowOff>61912</xdr:rowOff>
    </xdr:from>
    <xdr:to>
      <xdr:col>35</xdr:col>
      <xdr:colOff>300037</xdr:colOff>
      <xdr:row>43</xdr:row>
      <xdr:rowOff>90487</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247650</xdr:colOff>
      <xdr:row>2</xdr:row>
      <xdr:rowOff>123825</xdr:rowOff>
    </xdr:from>
    <xdr:to>
      <xdr:col>15</xdr:col>
      <xdr:colOff>561975</xdr:colOff>
      <xdr:row>19</xdr:row>
      <xdr:rowOff>161925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66675</xdr:colOff>
      <xdr:row>30</xdr:row>
      <xdr:rowOff>4762</xdr:rowOff>
    </xdr:from>
    <xdr:to>
      <xdr:col>17</xdr:col>
      <xdr:colOff>371475</xdr:colOff>
      <xdr:row>46</xdr:row>
      <xdr:rowOff>157162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2" name="Workstreams" displayName="Workstreams" ref="B6:C48" totalsRowShown="0" headerRowDxfId="194" dataDxfId="193">
  <autoFilter ref="B6:C48"/>
  <tableColumns count="2">
    <tableColumn id="1" name="Code" dataDxfId="192"/>
    <tableColumn id="2" name="Workstream" dataDxfId="191"/>
  </tableColumns>
  <tableStyleInfo name="TableStyleMedium9" showFirstColumn="0" showLastColumn="0" showRowStripes="1" showColumnStripes="0"/>
</table>
</file>

<file path=xl/tables/table2.xml><?xml version="1.0" encoding="utf-8"?>
<table xmlns="http://schemas.openxmlformats.org/spreadsheetml/2006/main" id="5" name="Modules" displayName="Modules" ref="F6:J72" totalsRowShown="0" headerRowDxfId="190" dataDxfId="189">
  <autoFilter ref="F6:J72"/>
  <sortState ref="J5:Q20">
    <sortCondition ref="J3:J19"/>
  </sortState>
  <tableColumns count="5">
    <tableColumn id="1" name="Code" dataDxfId="188"/>
    <tableColumn id="2" name="Module" dataDxfId="187"/>
    <tableColumn id="7" name="WS Code" dataDxfId="186">
      <calculatedColumnFormula>LEFT(Modules[Code], FIND(".", Modules[Code])-1)</calculatedColumnFormula>
    </tableColumn>
    <tableColumn id="6" name="Workstream" dataDxfId="185">
      <calculatedColumnFormula>INDEX(Workstreams[Workstream], MATCH(Modules[WS Code], Workstreams[Code], 0))</calculatedColumnFormula>
    </tableColumn>
    <tableColumn id="3" name="Comments" dataDxfId="184"/>
  </tableColumns>
  <tableStyleInfo name="TableStyleMedium9" showFirstColumn="0" showLastColumn="0" showRowStripes="1" showColumnStripes="0"/>
</table>
</file>

<file path=xl/tables/table3.xml><?xml version="1.0" encoding="utf-8"?>
<table xmlns="http://schemas.openxmlformats.org/spreadsheetml/2006/main" id="1" name="Vectors" displayName="Vectors" ref="M6:Q80" totalsRowShown="0" headerRowDxfId="183" dataDxfId="182">
  <autoFilter ref="M6:Q80"/>
  <tableColumns count="5">
    <tableColumn id="1" name="Category" dataDxfId="181"/>
    <tableColumn id="2" name="Subcategory" dataDxfId="180"/>
    <tableColumn id="3" name="Code" dataDxfId="179"/>
    <tableColumn id="4" name="Description" dataDxfId="178"/>
    <tableColumn id="5" name="Comment" dataDxfId="177"/>
  </tableColumns>
  <tableStyleInfo name="TableStyleMedium10" showFirstColumn="0" showLastColumn="0" showRowStripes="1" showColumnStripes="0"/>
</table>
</file>

<file path=xl/tables/table4.xml><?xml version="1.0" encoding="utf-8"?>
<table xmlns="http://schemas.openxmlformats.org/spreadsheetml/2006/main" id="31" name="IPCC" displayName="IPCC" ref="T6:V17" totalsRowShown="0" headerRowDxfId="176" dataDxfId="175">
  <autoFilter ref="T6:V17"/>
  <tableColumns count="3">
    <tableColumn id="1" name="Sector_code" dataDxfId="174"/>
    <tableColumn id="2" name="Sector_description" dataDxfId="173"/>
    <tableColumn id="3" name="Comment" dataDxfId="172"/>
  </tableColumns>
  <tableStyleInfo name="TableStyleMedium11" showFirstColumn="0" showLastColumn="0" showRowStripes="1" showColumnStripes="0"/>
</table>
</file>

<file path=xl/tables/table5.xml><?xml version="1.0" encoding="utf-8"?>
<table xmlns="http://schemas.openxmlformats.org/spreadsheetml/2006/main" id="32" name="GHG" displayName="GHG" ref="T22:V26" totalsRowShown="0" headerRowDxfId="171" dataDxfId="170">
  <autoFilter ref="T22:V26"/>
  <tableColumns count="3">
    <tableColumn id="1" name="GHG_code" dataDxfId="169"/>
    <tableColumn id="2" name="GHG_description" dataDxfId="168"/>
    <tableColumn id="3" name="Comment" dataDxfId="167"/>
  </tableColumns>
  <tableStyleInfo name="TableStyleMedium11" showFirstColumn="0" showLastColumn="0" showRowStripes="1" showColumnStripes="0"/>
</table>
</file>

<file path=xl/tables/table6.xml><?xml version="1.0" encoding="utf-8"?>
<table xmlns="http://schemas.openxmlformats.org/spreadsheetml/2006/main" id="96" name="CostVectors" displayName="CostVectors" ref="X6:Z17" totalsRowShown="0" headerRowBorderDxfId="166" tableBorderDxfId="165">
  <autoFilter ref="X6:Z17"/>
  <sortState ref="AS9:AU14">
    <sortCondition ref="AS4:AS10"/>
  </sortState>
  <tableColumns count="3">
    <tableColumn id="1" name="Code" dataDxfId="164"/>
    <tableColumn id="2" name="Description" dataDxfId="163"/>
    <tableColumn id="3" name="Comment" dataDxfId="162"/>
  </tableColumns>
  <tableStyleInfo name="EnergyCalcTables" showFirstColumn="0" showLastColumn="0" showRowStripes="1" showColumnStripes="0"/>
</table>
</file>

<file path=xl/tables/table7.xml><?xml version="1.0" encoding="utf-8"?>
<table xmlns="http://schemas.openxmlformats.org/spreadsheetml/2006/main" id="30" name="AirQualityVectors" displayName="AirQualityVectors" ref="X21:Z25" totalsRowShown="0" headerRowDxfId="161" dataDxfId="160">
  <autoFilter ref="X21:Z25"/>
  <tableColumns count="3">
    <tableColumn id="1" name="Code" dataDxfId="159"/>
    <tableColumn id="2" name="Description" dataDxfId="158"/>
    <tableColumn id="3" name="Comments" dataDxfId="157"/>
  </tableColumns>
  <tableStyleInfo name="TableStyleMedium9" showFirstColumn="0" showLastColumn="0" showRowStripes="1" showColumnStripes="0"/>
</table>
</file>

<file path=xl/tables/table8.xml><?xml version="1.0" encoding="utf-8"?>
<table xmlns="http://schemas.openxmlformats.org/spreadsheetml/2006/main" id="263" name="EF" displayName="EF" ref="B75:I133" totalsRowShown="0" headerRowDxfId="155" dataDxfId="154">
  <autoFilter ref="B75:I133"/>
  <tableColumns count="8">
    <tableColumn id="1" name="UK Vector" dataDxfId="153"/>
    <tableColumn id="6" name="Description" dataDxfId="152"/>
    <tableColumn id="2" name="SATIM Code" dataDxfId="151"/>
    <tableColumn id="8" name="SATIM description" dataDxfId="150"/>
    <tableColumn id="3" name="CO2" dataDxfId="149"/>
    <tableColumn id="4" name="CH4" dataDxfId="148"/>
    <tableColumn id="7" name="N2O" dataDxfId="147"/>
    <tableColumn id="5" name="CO2e" dataDxfId="146">
      <calculatedColumnFormula>SUM(EF[[#This Row],[SATIM Code]:[N2O]])</calculatedColumnFormula>
    </tableColumn>
  </tableColumns>
  <tableStyleInfo name="TableStyleMedium12" showFirstColumn="0" showLastColumn="0" showRowStripes="1" showColumnStripes="0"/>
</table>
</file>

<file path=xl/tables/table9.xml><?xml version="1.0" encoding="utf-8"?>
<table xmlns="http://schemas.openxmlformats.org/spreadsheetml/2006/main" id="264" name="Constants.BM_AQ_Emis265" displayName="Constants.BM_AQ_Emis265" ref="E45:I48" totalsRowShown="0">
  <autoFilter ref="E45:I48"/>
  <tableColumns count="5">
    <tableColumn id="1" name="Fueltype"/>
    <tableColumn id="2" name="PM10" dataDxfId="145"/>
    <tableColumn id="3" name="NOX" dataDxfId="144"/>
    <tableColumn id="4" name="SO2" dataDxfId="143"/>
    <tableColumn id="5" name="NMVOC" dataDxfId="142"/>
  </tableColumns>
  <tableStyleInfo name="TableStyleMedium9" showFirstColumn="0" showLastColumn="0" showRowStripes="1" showColumnStripes="0"/>
</table>
</file>

<file path=xl/tables/table10.xml><?xml version="1.0" encoding="utf-8"?>
<table xmlns="http://schemas.openxmlformats.org/spreadsheetml/2006/main" id="25" name="Table25" displayName="Table25" ref="B55:L61" totalsRowShown="0" tableBorderDxfId="141" dataCellStyle="Normal 16 2">
  <autoFilter ref="B55:L61"/>
  <tableColumns count="11">
    <tableColumn id="1" name="Transport" dataDxfId="140" dataCellStyle="Normal 16 2"/>
    <tableColumn id="2" name="Column1" dataDxfId="139" dataCellStyle="Normal 16 2"/>
    <tableColumn id="3" name="Gasoline" dataDxfId="138" dataCellStyle="Normal 16 2"/>
    <tableColumn id="4" name="Diesel" dataDxfId="137" dataCellStyle="Normal 16 2"/>
    <tableColumn id="5" name="Electricity" dataDxfId="136" dataCellStyle="Normal 16 2"/>
    <tableColumn id="6" name="Gas" dataDxfId="135" dataCellStyle="Normal 16 2"/>
    <tableColumn id="7" name="Gasoline2" dataDxfId="134" dataCellStyle="Normal 16 2"/>
    <tableColumn id="8" name="HFO" dataDxfId="133" dataCellStyle="Normal 16 2"/>
    <tableColumn id="9" name="Jet Fuel" dataDxfId="132" dataCellStyle="Normal 16 2"/>
    <tableColumn id="10" name=" LPG" dataDxfId="131" dataCellStyle="Normal 16 2"/>
    <tableColumn id="11" name="Hydrogen" dataDxfId="130" dataCellStyle="Normal 16 2"/>
  </tableColumns>
  <tableStyleInfo name="TableStyleMedium2" showFirstColumn="0" showLastColumn="0" showRowStripes="1" showColumnStripes="0"/>
</table>
</file>

<file path=xl/tables/table11.xml><?xml version="1.0" encoding="utf-8"?>
<table xmlns="http://schemas.openxmlformats.org/spreadsheetml/2006/main" id="45" name="IND_EndUse" displayName="IND_EndUse" ref="A29:B42" totalsRowShown="0" headerRowBorderDxfId="128">
  <autoFilter ref="A29:B42"/>
  <tableColumns count="2">
    <tableColumn id="1" name="Demand_Name" dataDxfId="127" dataCellStyle="Normal 13"/>
    <tableColumn id="2" name="Demand_Code" dataDxfId="126" dataCellStyle="Normal 13"/>
  </tableColumns>
  <tableStyleInfo name="TableStyleMedium2" showFirstColumn="0" showLastColumn="0" showRowStripes="1" showColumnStripes="0"/>
</table>
</file>

<file path=xl/tables/table12.xml><?xml version="1.0" encoding="utf-8"?>
<table xmlns="http://schemas.openxmlformats.org/spreadsheetml/2006/main" id="46" name="IND_Sectors" displayName="IND_Sectors" ref="A9:B17" totalsRowShown="0">
  <autoFilter ref="A9:B17"/>
  <tableColumns count="2">
    <tableColumn id="1" name="Sector_Name" dataDxfId="125" dataCellStyle="Normal 13"/>
    <tableColumn id="2" name="Sector_Code" dataDxfId="124" dataCellStyle="Normal 13"/>
  </tableColumns>
  <tableStyleInfo name="TableStyleMedium2" showFirstColumn="0" showLastColumn="0" showRowStripes="1" showColumnStripes="0"/>
</table>
</file>

<file path=xl/tables/table13.xml><?xml version="1.0" encoding="utf-8"?>
<table xmlns="http://schemas.openxmlformats.org/spreadsheetml/2006/main" id="47" name="IND.a.Outputs" displayName="IND.a.Outputs" ref="C1795:O1804" totalsRowCount="1" headerRowDxfId="123" dataDxfId="122">
  <autoFilter ref="C1795:O1803"/>
  <tableColumns count="13">
    <tableColumn id="1" name="Vector" totalsRowLabel="Total" dataDxfId="121" totalsRowDxfId="120"/>
    <tableColumn id="2" name="Name" dataDxfId="119" totalsRowDxfId="118"/>
    <tableColumn id="3" name="Notes" dataDxfId="117" totalsRowDxfId="116"/>
    <tableColumn id="4" name="2006" totalsRowFunction="sum" dataDxfId="115" totalsRowDxfId="114" dataCellStyle="Comma [0] 2">
      <calculatedColumnFormula>INDEX(#REF!, MATCH(IND.a.Outputs[Vector],#REF!, 0))</calculatedColumnFormula>
    </tableColumn>
    <tableColumn id="5" name="2010" totalsRowFunction="sum" dataDxfId="113" totalsRowDxfId="112" dataCellStyle="Comma [0] 2"/>
    <tableColumn id="6" name="2015" totalsRowFunction="sum" dataDxfId="111" totalsRowDxfId="110" dataCellStyle="Comma [0] 2"/>
    <tableColumn id="7" name="2020" totalsRowFunction="sum" dataDxfId="109" totalsRowDxfId="108" dataCellStyle="Comma [0] 2"/>
    <tableColumn id="8" name="2025" totalsRowFunction="sum" dataDxfId="107" totalsRowDxfId="106" dataCellStyle="Comma [0] 2"/>
    <tableColumn id="9" name="2030" totalsRowFunction="sum" dataDxfId="105" totalsRowDxfId="104" dataCellStyle="Comma [0] 2"/>
    <tableColumn id="10" name="2035" totalsRowFunction="sum" dataDxfId="103" totalsRowDxfId="102" dataCellStyle="Comma [0] 2"/>
    <tableColumn id="11" name="2040" totalsRowFunction="sum" dataDxfId="101" totalsRowDxfId="100" dataCellStyle="Comma [0] 2"/>
    <tableColumn id="12" name="2045" totalsRowFunction="sum" dataDxfId="99" totalsRowDxfId="98" dataCellStyle="Comma [0] 2"/>
    <tableColumn id="13" name="2050" totalsRowFunction="sum" dataDxfId="97" totalsRowDxfId="96" dataCellStyle="Comma [0] 2"/>
  </tableColumns>
  <tableStyleInfo name="EnergyCalcTables" showFirstColumn="0" showLastColumn="0" showRowStripes="1" showColumnStripes="0"/>
</table>
</file>

<file path=xl/tables/table14.xml><?xml version="1.0" encoding="utf-8"?>
<table xmlns="http://schemas.openxmlformats.org/spreadsheetml/2006/main" id="55" name="IND.a.Emissions" displayName="IND.a.Emissions" ref="C1811:O1820" totalsRowCount="1" headerRowDxfId="95" dataDxfId="93" headerRowBorderDxfId="94" tableBorderDxfId="92" dataCellStyle="Comma">
  <autoFilter ref="C1811:O1819"/>
  <tableColumns count="13">
    <tableColumn id="1" name="GHG" totalsRowLabel="Total" dataDxfId="91" totalsRowDxfId="90"/>
    <tableColumn id="2" name="IPCC Sector" dataDxfId="89" totalsRowDxfId="88"/>
    <tableColumn id="3" name="Notes" dataDxfId="87" totalsRowDxfId="86"/>
    <tableColumn id="4" name="2006" totalsRowFunction="sum" dataDxfId="85" totalsRowDxfId="84" dataCellStyle="Comma"/>
    <tableColumn id="5" name="2010" totalsRowFunction="sum" dataDxfId="83" totalsRowDxfId="82" dataCellStyle="Comma"/>
    <tableColumn id="6" name="2015" totalsRowFunction="sum" dataDxfId="81" totalsRowDxfId="80" dataCellStyle="Comma"/>
    <tableColumn id="7" name="2020" totalsRowFunction="sum" dataDxfId="79" totalsRowDxfId="78" dataCellStyle="Comma"/>
    <tableColumn id="8" name="2025" totalsRowFunction="sum" dataDxfId="77" totalsRowDxfId="76" dataCellStyle="Comma"/>
    <tableColumn id="9" name="2030" totalsRowFunction="sum" dataDxfId="75" totalsRowDxfId="74" dataCellStyle="Comma"/>
    <tableColumn id="10" name="2035" totalsRowFunction="sum" dataDxfId="73" totalsRowDxfId="72" dataCellStyle="Comma"/>
    <tableColumn id="11" name="2040" totalsRowFunction="sum" dataDxfId="71" totalsRowDxfId="70" dataCellStyle="Comma"/>
    <tableColumn id="12" name="2045" totalsRowFunction="sum" dataDxfId="69" totalsRowDxfId="68" dataCellStyle="Comma"/>
    <tableColumn id="13" name="2050" totalsRowFunction="sum" dataDxfId="67" totalsRowDxfId="66" dataCellStyle="Comma"/>
  </tableColumns>
  <tableStyleInfo name="EnergyCalcTables" showFirstColumn="0" showLastColumn="0" showRowStripes="1" showColumnStripes="0"/>
</table>
</file>

<file path=xl/tables/table15.xml><?xml version="1.0" encoding="utf-8"?>
<table xmlns="http://schemas.openxmlformats.org/spreadsheetml/2006/main" id="56" name="XI.a.info255223" displayName="XI.a.info255223" ref="C1843:O1845" totalsRowShown="0" headerRowDxfId="65" dataDxfId="63" totalsRowDxfId="61" headerRowBorderDxfId="64" tableBorderDxfId="62" dataCellStyle="Comma">
  <autoFilter ref="C1843:O1845"/>
  <tableColumns count="13">
    <tableColumn id="1" name="Vector" dataDxfId="60" totalsRowDxfId="59"/>
    <tableColumn id="2" name="Information type" dataDxfId="58" totalsRowDxfId="57"/>
    <tableColumn id="3" name="Notes" dataDxfId="56" totalsRowDxfId="55"/>
    <tableColumn id="4" name="2006" dataDxfId="54" totalsRowDxfId="53" dataCellStyle="Comma"/>
    <tableColumn id="5" name="2010" dataDxfId="52" totalsRowDxfId="51" dataCellStyle="Comma"/>
    <tableColumn id="6" name="2015" dataDxfId="50" totalsRowDxfId="49" dataCellStyle="Comma"/>
    <tableColumn id="7" name="2020" dataDxfId="48" totalsRowDxfId="47" dataCellStyle="Comma"/>
    <tableColumn id="8" name="2025" dataDxfId="46" totalsRowDxfId="45" dataCellStyle="Comma"/>
    <tableColumn id="9" name="2030" dataDxfId="44" totalsRowDxfId="43" dataCellStyle="Comma"/>
    <tableColumn id="10" name="2035" dataDxfId="42" totalsRowDxfId="41" dataCellStyle="Comma"/>
    <tableColumn id="11" name="2040" dataDxfId="40" totalsRowDxfId="39" dataCellStyle="Comma"/>
    <tableColumn id="12" name="2045" dataDxfId="38" totalsRowDxfId="37" dataCellStyle="Comma"/>
    <tableColumn id="13" name="2050" dataDxfId="36" totalsRowDxfId="35" dataCellStyle="Comma"/>
  </tableColumns>
  <tableStyleInfo name="EnergyCalcTables" showFirstColumn="0" showLastColumn="0" showRowStripes="1" showColumnStripes="0"/>
</table>
</file>

<file path=xl/tables/table16.xml><?xml version="1.0" encoding="utf-8"?>
<table xmlns="http://schemas.openxmlformats.org/spreadsheetml/2006/main" id="58" name="XI.a.Combustion.AQ257243" displayName="XI.a.Combustion.AQ257243" ref="C1824:O1828" totalsRowShown="0" headerRowDxfId="34" dataDxfId="32" headerRowBorderDxfId="33" totalsRowBorderDxfId="31">
  <autoFilter ref="C1824:O1828"/>
  <tableColumns count="13">
    <tableColumn id="1" name="Vector" dataDxfId="30"/>
    <tableColumn id="2" name="Name" dataDxfId="29"/>
    <tableColumn id="3" name="IPCC Sector" dataDxfId="28"/>
    <tableColumn id="4" name="2006" dataDxfId="27">
      <calculatedColumnFormula>F1714</calculatedColumnFormula>
    </tableColumn>
    <tableColumn id="5" name="2010" dataDxfId="26">
      <calculatedColumnFormula>G1714</calculatedColumnFormula>
    </tableColumn>
    <tableColumn id="6" name="2015" dataDxfId="25">
      <calculatedColumnFormula>H1714</calculatedColumnFormula>
    </tableColumn>
    <tableColumn id="7" name="2020" dataDxfId="24">
      <calculatedColumnFormula>I1714</calculatedColumnFormula>
    </tableColumn>
    <tableColumn id="8" name="2025" dataDxfId="23">
      <calculatedColumnFormula>J1714</calculatedColumnFormula>
    </tableColumn>
    <tableColumn id="9" name="2030" dataDxfId="22">
      <calculatedColumnFormula>K1714</calculatedColumnFormula>
    </tableColumn>
    <tableColumn id="10" name="2035" dataDxfId="21">
      <calculatedColumnFormula>L1714</calculatedColumnFormula>
    </tableColumn>
    <tableColumn id="11" name="2040" dataDxfId="20">
      <calculatedColumnFormula>M1714</calculatedColumnFormula>
    </tableColumn>
    <tableColumn id="12" name="2045" dataDxfId="19">
      <calculatedColumnFormula>N1714</calculatedColumnFormula>
    </tableColumn>
    <tableColumn id="13" name="2050" dataDxfId="18">
      <calculatedColumnFormula>O1714</calculatedColumnFormula>
    </tableColumn>
  </tableColumns>
  <tableStyleInfo name="TableStyleMedium9" showFirstColumn="0" showLastColumn="0" showRowStripes="1" showColumnStripes="0"/>
</table>
</file>

<file path=xl/tables/table17.xml><?xml version="1.0" encoding="utf-8"?>
<table xmlns="http://schemas.openxmlformats.org/spreadsheetml/2006/main" id="64" name="XI.a.Process.AQ258244" displayName="XI.a.Process.AQ258244" ref="C1832:O1836" totalsRowShown="0" headerRowDxfId="17" dataDxfId="15" headerRowBorderDxfId="16" tableBorderDxfId="14" totalsRowBorderDxfId="13">
  <autoFilter ref="C1832:O1836"/>
  <tableColumns count="13">
    <tableColumn id="1" name="Vector" dataDxfId="12"/>
    <tableColumn id="2" name="Name" dataDxfId="11"/>
    <tableColumn id="3" name="IPCC Sector" dataDxfId="10"/>
    <tableColumn id="4" name="2006" dataDxfId="9"/>
    <tableColumn id="5" name="2010" dataDxfId="8"/>
    <tableColumn id="6" name="2015" dataDxfId="7"/>
    <tableColumn id="7" name="2020" dataDxfId="6"/>
    <tableColumn id="8" name="2025" dataDxfId="5"/>
    <tableColumn id="9" name="2030" dataDxfId="4"/>
    <tableColumn id="10" name="2035" dataDxfId="3"/>
    <tableColumn id="11" name="2040" dataDxfId="2"/>
    <tableColumn id="12" name="2045" dataDxfId="1"/>
    <tableColumn id="13" name="2050"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
      <a:majorFont>
        <a:latin typeface="Calibri"/>
        <a:ea typeface=""/>
        <a:cs typeface=""/>
        <a:font script="Jpan" typeface="HGｺﾞｼｯｸM"/>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majorFont>
      <a:minorFont>
        <a:latin typeface="Cambria"/>
        <a:ea typeface=""/>
        <a:cs typeface=""/>
        <a:font script="Jpan" typeface="HG明朝B"/>
        <a:font script="Hang" typeface="맑은 고딕"/>
        <a:font script="Hans" typeface="黑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4" Type="http://schemas.openxmlformats.org/officeDocument/2006/relationships/table" Target="../tables/table4.xml"/><Relationship Id="rId5" Type="http://schemas.openxmlformats.org/officeDocument/2006/relationships/table" Target="../tables/table5.xml"/><Relationship Id="rId6" Type="http://schemas.openxmlformats.org/officeDocument/2006/relationships/table" Target="../tables/table6.xml"/><Relationship Id="rId7" Type="http://schemas.openxmlformats.org/officeDocument/2006/relationships/table" Target="../tables/table7.xml"/><Relationship Id="rId1" Type="http://schemas.openxmlformats.org/officeDocument/2006/relationships/table" Target="../tables/table1.xml"/><Relationship Id="rId2"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8.xml"/><Relationship Id="rId4" Type="http://schemas.openxmlformats.org/officeDocument/2006/relationships/table" Target="../tables/table9.xml"/><Relationship Id="rId5" Type="http://schemas.openxmlformats.org/officeDocument/2006/relationships/table" Target="../tables/table10.xml"/><Relationship Id="rId6" Type="http://schemas.openxmlformats.org/officeDocument/2006/relationships/comments" Target="../comments4.xml"/><Relationship Id="rId1" Type="http://schemas.openxmlformats.org/officeDocument/2006/relationships/drawing" Target="../drawings/drawing2.xml"/><Relationship Id="rId2"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1.xml"/><Relationship Id="rId4" Type="http://schemas.openxmlformats.org/officeDocument/2006/relationships/table" Target="../tables/table12.xml"/><Relationship Id="rId5" Type="http://schemas.openxmlformats.org/officeDocument/2006/relationships/comments" Target="../comments5.xml"/><Relationship Id="rId1" Type="http://schemas.openxmlformats.org/officeDocument/2006/relationships/drawing" Target="../drawings/drawing4.xml"/><Relationship Id="rId2"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3.xml"/><Relationship Id="rId4" Type="http://schemas.openxmlformats.org/officeDocument/2006/relationships/table" Target="../tables/table14.xml"/><Relationship Id="rId5" Type="http://schemas.openxmlformats.org/officeDocument/2006/relationships/table" Target="../tables/table15.xml"/><Relationship Id="rId6" Type="http://schemas.openxmlformats.org/officeDocument/2006/relationships/table" Target="../tables/table16.xml"/><Relationship Id="rId7" Type="http://schemas.openxmlformats.org/officeDocument/2006/relationships/table" Target="../tables/table17.xml"/><Relationship Id="rId8" Type="http://schemas.openxmlformats.org/officeDocument/2006/relationships/comments" Target="../comments6.xml"/><Relationship Id="rId1" Type="http://schemas.openxmlformats.org/officeDocument/2006/relationships/drawing" Target="../drawings/drawing5.xml"/><Relationship Id="rId2"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hyperlink" Target="http://www.gautrain.co.za/about/services/look-feel/look-and-feel/" TargetMode="External"/><Relationship Id="rId4" Type="http://schemas.openxmlformats.org/officeDocument/2006/relationships/hyperlink" Target="http://www.metrorail.co.za/National_Facts.html" TargetMode="External"/><Relationship Id="rId5" Type="http://schemas.openxmlformats.org/officeDocument/2006/relationships/hyperlink" Target="http://www.fueleconomy.gov/feg/download.shtml" TargetMode="External"/><Relationship Id="rId1" Type="http://schemas.openxmlformats.org/officeDocument/2006/relationships/hyperlink" Target="http://www.enatis.com/index.php/statistics/13-live-vehicle-population" TargetMode="External"/><Relationship Id="rId2" Type="http://schemas.openxmlformats.org/officeDocument/2006/relationships/hyperlink" Target="http://www.statssa.gov.za/community_new/content.asp"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rgb="FFFF0000"/>
    <pageSetUpPr autoPageBreaks="0"/>
  </sheetPr>
  <dimension ref="A1:BC93"/>
  <sheetViews>
    <sheetView topLeftCell="A46" zoomScale="70" zoomScaleNormal="70" zoomScalePageLayoutView="70" workbookViewId="0">
      <pane xSplit="43540" topLeftCell="BI1"/>
      <selection activeCell="C29" sqref="C29"/>
      <selection pane="topRight" activeCell="BI13" sqref="BI13"/>
    </sheetView>
    <sheetView workbookViewId="1"/>
  </sheetViews>
  <sheetFormatPr baseColWidth="10" defaultColWidth="8.83203125" defaultRowHeight="13" x14ac:dyDescent="0"/>
  <cols>
    <col min="1" max="1" width="20.1640625" style="170" customWidth="1"/>
    <col min="2" max="2" width="26.33203125" style="170" customWidth="1"/>
    <col min="3" max="3" width="9" customWidth="1"/>
    <col min="4" max="4" width="51.1640625" customWidth="1"/>
    <col min="5" max="5" width="5.1640625" style="103" customWidth="1"/>
    <col min="6" max="6" width="4" style="101" customWidth="1"/>
    <col min="7" max="7" width="1.1640625" customWidth="1"/>
    <col min="8" max="8" width="43.83203125" style="37" customWidth="1"/>
    <col min="9" max="9" width="33.83203125" style="37" customWidth="1"/>
    <col min="10" max="10" width="22.6640625" style="37" customWidth="1"/>
    <col min="11" max="11" width="45.33203125" style="37" customWidth="1"/>
    <col min="12" max="12" width="1.1640625" style="397" hidden="1" customWidth="1"/>
    <col min="13" max="13" width="21.5" style="37" customWidth="1"/>
    <col min="14" max="14" width="25.5" customWidth="1"/>
    <col min="15" max="15" width="40.33203125" customWidth="1"/>
    <col min="16" max="23" width="9.5" customWidth="1"/>
    <col min="24" max="24" width="21" customWidth="1"/>
    <col min="25" max="25" width="29.1640625" customWidth="1"/>
    <col min="26" max="26" width="0.83203125" style="304" customWidth="1"/>
    <col min="27" max="27" width="6.83203125" style="304" customWidth="1"/>
    <col min="28" max="37" width="9.5" customWidth="1"/>
    <col min="38" max="38" width="0.83203125" style="152" customWidth="1"/>
    <col min="39" max="39" width="2.1640625" style="152" customWidth="1"/>
    <col min="40" max="40" width="7.83203125" customWidth="1"/>
    <col min="41" max="44" width="9.5" customWidth="1"/>
    <col min="45" max="45" width="9.6640625" bestFit="1" customWidth="1"/>
    <col min="46" max="48" width="9.6640625" customWidth="1"/>
    <col min="49" max="50" width="2.6640625" customWidth="1"/>
    <col min="51" max="51" width="21" style="397" customWidth="1"/>
    <col min="52" max="52" width="28.5" style="301" customWidth="1"/>
    <col min="53" max="53" width="13.6640625" style="301" customWidth="1"/>
    <col min="54" max="54" width="18.1640625" style="301" customWidth="1"/>
    <col min="55" max="55" width="43" style="301" customWidth="1"/>
  </cols>
  <sheetData>
    <row r="1" spans="1:55" ht="31.5" customHeight="1">
      <c r="A1" s="404" t="s">
        <v>2585</v>
      </c>
      <c r="C1" s="262"/>
      <c r="E1" s="262"/>
      <c r="J1" s="404"/>
      <c r="M1" s="404"/>
      <c r="N1" s="37"/>
      <c r="O1" s="63"/>
      <c r="Q1" s="263"/>
    </row>
    <row r="2" spans="1:55" ht="32.25" customHeight="1">
      <c r="A2" s="216" t="s">
        <v>396</v>
      </c>
      <c r="B2" s="216"/>
      <c r="C2" s="216"/>
      <c r="D2" s="215"/>
      <c r="E2" s="215"/>
      <c r="F2" s="215"/>
      <c r="G2" s="113"/>
      <c r="H2" s="217" t="s">
        <v>708</v>
      </c>
      <c r="I2" s="217"/>
      <c r="J2" s="217"/>
      <c r="K2" s="217"/>
      <c r="L2" s="343"/>
      <c r="M2" s="261" t="s">
        <v>509</v>
      </c>
      <c r="N2" s="113"/>
      <c r="O2" s="217" t="s">
        <v>448</v>
      </c>
      <c r="P2" s="218"/>
      <c r="Q2" s="218"/>
      <c r="R2" s="218"/>
      <c r="S2" s="218"/>
      <c r="T2" s="218"/>
      <c r="U2" s="218"/>
      <c r="V2" s="218"/>
      <c r="W2" s="218"/>
      <c r="X2" s="218"/>
      <c r="Y2" s="218"/>
      <c r="AA2" s="218"/>
      <c r="AB2" s="218"/>
      <c r="AC2" s="218"/>
      <c r="AD2" s="218"/>
      <c r="AE2" s="218"/>
      <c r="AF2" s="306" t="s">
        <v>276</v>
      </c>
      <c r="AG2" s="218"/>
      <c r="AH2" s="218"/>
      <c r="AI2" s="218"/>
      <c r="AJ2" s="218"/>
      <c r="AK2" s="218"/>
      <c r="AM2" s="1752" t="s">
        <v>559</v>
      </c>
      <c r="AN2" s="1752"/>
      <c r="AO2" s="1752"/>
      <c r="AP2" s="1752"/>
      <c r="AQ2" s="1752"/>
      <c r="AR2" s="1752"/>
      <c r="AS2" s="1752"/>
      <c r="AT2" s="1752"/>
      <c r="AU2" s="1752"/>
      <c r="AV2" s="1752"/>
      <c r="AW2" s="1752"/>
      <c r="AZ2" s="217" t="s">
        <v>560</v>
      </c>
      <c r="BA2" s="217"/>
      <c r="BB2" s="217"/>
      <c r="BC2" s="217"/>
    </row>
    <row r="3" spans="1:55" s="152" customFormat="1" ht="20.25" customHeight="1" thickBot="1">
      <c r="A3" s="405"/>
      <c r="B3" s="405"/>
    </row>
    <row r="4" spans="1:55" s="410" customFormat="1" ht="105.75" customHeight="1">
      <c r="A4" s="408" t="s">
        <v>2582</v>
      </c>
      <c r="B4" s="408"/>
      <c r="C4" s="409"/>
      <c r="D4" s="409"/>
      <c r="E4" s="400" t="s">
        <v>707</v>
      </c>
      <c r="F4" s="399" t="s">
        <v>706</v>
      </c>
      <c r="H4" s="411" t="s">
        <v>515</v>
      </c>
      <c r="I4" s="411" t="s">
        <v>516</v>
      </c>
      <c r="J4" s="411" t="s">
        <v>517</v>
      </c>
      <c r="K4" s="411" t="s">
        <v>544</v>
      </c>
      <c r="M4" s="501"/>
      <c r="O4" s="413"/>
      <c r="P4" s="413"/>
      <c r="Q4" s="413"/>
      <c r="R4" s="413"/>
      <c r="S4" s="413"/>
      <c r="T4" s="413"/>
      <c r="U4" s="413"/>
      <c r="V4" s="413"/>
      <c r="W4" s="413"/>
      <c r="X4" s="413"/>
      <c r="Y4" s="413"/>
      <c r="AA4" s="413"/>
      <c r="AB4" s="413"/>
      <c r="AC4" s="413"/>
      <c r="AD4" s="413"/>
      <c r="AE4" s="413"/>
      <c r="AF4" s="413"/>
      <c r="AG4" s="413"/>
      <c r="AH4" s="413"/>
      <c r="AI4" s="413"/>
      <c r="AJ4" s="413"/>
      <c r="AK4" s="413"/>
      <c r="AL4" s="414"/>
      <c r="AM4" s="228"/>
      <c r="AN4" s="228"/>
      <c r="AO4" s="413"/>
      <c r="AP4" s="413"/>
      <c r="AQ4" s="413"/>
      <c r="AR4" s="413"/>
      <c r="AS4" s="413"/>
      <c r="AT4" s="413"/>
      <c r="AU4" s="413"/>
      <c r="AV4" s="413"/>
      <c r="AW4" s="413"/>
      <c r="AZ4" s="412" t="s">
        <v>515</v>
      </c>
      <c r="BA4" s="411" t="s">
        <v>516</v>
      </c>
      <c r="BB4" s="411" t="s">
        <v>517</v>
      </c>
      <c r="BC4" s="411" t="s">
        <v>544</v>
      </c>
    </row>
    <row r="5" spans="1:55" s="398" customFormat="1" ht="21" customHeight="1">
      <c r="A5" s="1744" t="s">
        <v>2583</v>
      </c>
      <c r="C5" s="102"/>
      <c r="D5" s="102" t="s">
        <v>2262</v>
      </c>
      <c r="E5" s="504">
        <v>1</v>
      </c>
      <c r="F5" s="401">
        <v>1</v>
      </c>
      <c r="P5" s="413"/>
      <c r="Q5" s="413"/>
      <c r="R5" s="413"/>
      <c r="S5" s="413"/>
      <c r="T5" s="413"/>
      <c r="U5" s="413"/>
      <c r="V5" s="413"/>
      <c r="W5" s="413"/>
      <c r="X5" s="413"/>
      <c r="Y5" s="413"/>
      <c r="Z5" s="410"/>
      <c r="AA5" s="413"/>
      <c r="AB5" s="413"/>
      <c r="AC5" s="413"/>
      <c r="AD5" s="413"/>
      <c r="AE5" s="413"/>
      <c r="AF5" s="413"/>
      <c r="AG5" s="413"/>
      <c r="AH5" s="413"/>
      <c r="AI5" s="413"/>
      <c r="AJ5" s="413"/>
      <c r="AK5" s="413"/>
      <c r="AL5" s="414"/>
      <c r="AM5" s="228"/>
      <c r="AN5" s="228"/>
      <c r="AO5" s="413"/>
      <c r="AP5" s="228"/>
      <c r="AQ5" s="228"/>
      <c r="AR5" s="228"/>
      <c r="AS5" s="228"/>
      <c r="AT5" s="228"/>
      <c r="AU5" s="228"/>
      <c r="AV5" s="228"/>
    </row>
    <row r="6" spans="1:55" s="398" customFormat="1" ht="21" customHeight="1">
      <c r="A6" s="1744"/>
      <c r="C6" s="226"/>
      <c r="D6" s="226" t="s">
        <v>2263</v>
      </c>
      <c r="E6" s="504">
        <v>1</v>
      </c>
      <c r="F6" s="401">
        <v>1</v>
      </c>
      <c r="P6" s="413"/>
      <c r="Q6" s="413"/>
      <c r="R6" s="413"/>
      <c r="S6" s="413"/>
      <c r="T6" s="413"/>
      <c r="U6" s="413"/>
      <c r="V6" s="413"/>
      <c r="W6" s="413"/>
      <c r="X6" s="413"/>
      <c r="Y6" s="413"/>
      <c r="Z6" s="410"/>
      <c r="AA6" s="413"/>
      <c r="AB6" s="413"/>
      <c r="AC6" s="413"/>
      <c r="AD6" s="413"/>
      <c r="AE6" s="413"/>
      <c r="AF6" s="413"/>
      <c r="AG6" s="413"/>
      <c r="AH6" s="413"/>
      <c r="AI6" s="413"/>
      <c r="AJ6" s="413"/>
      <c r="AK6" s="413"/>
      <c r="AL6" s="414"/>
      <c r="AM6" s="228"/>
      <c r="AN6" s="228"/>
      <c r="AO6" s="413"/>
      <c r="AP6" s="228"/>
      <c r="AQ6" s="228"/>
      <c r="AR6" s="228"/>
      <c r="AS6" s="228"/>
      <c r="AT6" s="228"/>
      <c r="AU6" s="228"/>
      <c r="AV6" s="228"/>
    </row>
    <row r="7" spans="1:55" s="410" customFormat="1" ht="21" customHeight="1">
      <c r="A7" s="408" t="s">
        <v>55</v>
      </c>
      <c r="B7" s="408"/>
      <c r="C7" s="409"/>
      <c r="D7" s="409"/>
      <c r="E7" s="504"/>
      <c r="F7" s="401"/>
      <c r="H7" s="411"/>
      <c r="I7" s="411"/>
      <c r="J7" s="411"/>
      <c r="K7" s="411"/>
      <c r="M7" s="501"/>
      <c r="O7" s="413"/>
      <c r="P7" s="413"/>
      <c r="Q7" s="413"/>
      <c r="R7" s="413"/>
      <c r="S7" s="413"/>
      <c r="T7" s="413"/>
      <c r="U7" s="413"/>
      <c r="V7" s="413"/>
      <c r="W7" s="413"/>
      <c r="X7" s="413"/>
      <c r="Y7" s="413"/>
      <c r="AA7" s="413"/>
      <c r="AB7" s="413"/>
      <c r="AC7" s="413"/>
      <c r="AD7" s="413"/>
      <c r="AE7" s="413"/>
      <c r="AF7" s="413"/>
      <c r="AG7" s="413"/>
      <c r="AH7" s="413"/>
      <c r="AI7" s="413"/>
      <c r="AJ7" s="413"/>
      <c r="AK7" s="413"/>
      <c r="AL7" s="414"/>
      <c r="AM7" s="228"/>
      <c r="AN7" s="228"/>
      <c r="AO7" s="228"/>
      <c r="AP7" s="228"/>
      <c r="AQ7" s="228"/>
      <c r="AR7" s="228"/>
      <c r="AS7" s="228"/>
      <c r="AT7" s="228"/>
      <c r="AU7" s="228"/>
      <c r="AV7" s="228"/>
      <c r="AW7" s="228"/>
      <c r="AZ7" s="398"/>
      <c r="BA7" s="398"/>
      <c r="BB7" s="398"/>
      <c r="BC7" s="398"/>
    </row>
    <row r="8" spans="1:55" s="37" customFormat="1" ht="23">
      <c r="A8" s="1744" t="s">
        <v>380</v>
      </c>
      <c r="B8" s="1745" t="s">
        <v>1885</v>
      </c>
      <c r="C8" s="102" t="s">
        <v>1962</v>
      </c>
      <c r="D8" s="102" t="s">
        <v>172</v>
      </c>
      <c r="E8" s="504">
        <v>1</v>
      </c>
      <c r="F8" s="401">
        <v>4</v>
      </c>
      <c r="G8"/>
      <c r="H8" s="398" t="s">
        <v>2629</v>
      </c>
      <c r="I8" s="398" t="s">
        <v>2630</v>
      </c>
      <c r="J8" s="398" t="s">
        <v>2631</v>
      </c>
      <c r="K8" s="398" t="s">
        <v>2632</v>
      </c>
      <c r="L8" s="397"/>
      <c r="M8" s="499"/>
      <c r="N8"/>
      <c r="O8" s="207"/>
      <c r="P8" s="207"/>
      <c r="Q8" s="207"/>
      <c r="R8" s="207"/>
      <c r="S8" s="207"/>
      <c r="T8" s="207"/>
      <c r="U8" s="207"/>
      <c r="V8" s="207"/>
      <c r="W8" s="207"/>
      <c r="X8" s="208"/>
      <c r="Y8" s="208"/>
      <c r="Z8" s="304"/>
      <c r="AA8" s="208"/>
      <c r="AB8" s="208"/>
      <c r="AC8" s="208"/>
      <c r="AD8" s="208"/>
      <c r="AE8" s="208"/>
      <c r="AF8" s="208"/>
      <c r="AG8" s="208"/>
      <c r="AH8" s="208"/>
      <c r="AI8" s="208"/>
      <c r="AJ8" s="208"/>
      <c r="AK8" s="208"/>
      <c r="AL8" s="152"/>
      <c r="AM8" s="228"/>
      <c r="AN8" s="228"/>
      <c r="AO8" s="228"/>
      <c r="AP8" s="228"/>
      <c r="AQ8" s="228"/>
      <c r="AR8" s="228"/>
      <c r="AS8" s="228"/>
      <c r="AT8" s="228"/>
      <c r="AU8" s="228"/>
      <c r="AV8" s="228"/>
      <c r="AW8" s="228"/>
      <c r="AY8" s="397"/>
      <c r="AZ8" s="398"/>
      <c r="BA8" s="398"/>
      <c r="BB8" s="398"/>
      <c r="BC8" s="398"/>
    </row>
    <row r="9" spans="1:55" s="264" customFormat="1" ht="23">
      <c r="A9" s="1744"/>
      <c r="B9" s="1745"/>
      <c r="C9" s="102" t="s">
        <v>1967</v>
      </c>
      <c r="D9" s="102" t="s">
        <v>1886</v>
      </c>
      <c r="E9" s="504">
        <v>1</v>
      </c>
      <c r="F9" s="401">
        <v>4</v>
      </c>
      <c r="G9" s="410"/>
      <c r="H9" s="398" t="s">
        <v>2629</v>
      </c>
      <c r="I9" s="398" t="s">
        <v>2630</v>
      </c>
      <c r="J9" s="398" t="s">
        <v>2631</v>
      </c>
      <c r="K9" s="398" t="s">
        <v>2632</v>
      </c>
      <c r="L9" s="397"/>
      <c r="M9" s="499"/>
      <c r="N9" s="267"/>
      <c r="O9" s="207"/>
      <c r="P9" s="207"/>
      <c r="Q9" s="207"/>
      <c r="R9" s="207"/>
      <c r="S9" s="207"/>
      <c r="T9" s="207"/>
      <c r="U9" s="207"/>
      <c r="V9" s="207"/>
      <c r="W9" s="207"/>
      <c r="X9" s="208"/>
      <c r="Y9" s="208"/>
      <c r="Z9" s="304"/>
      <c r="AA9" s="208"/>
      <c r="AB9" s="208"/>
      <c r="AC9" s="208"/>
      <c r="AD9" s="208"/>
      <c r="AE9" s="208"/>
      <c r="AF9" s="208"/>
      <c r="AG9" s="208"/>
      <c r="AH9" s="208"/>
      <c r="AI9" s="208"/>
      <c r="AJ9" s="208"/>
      <c r="AK9" s="208"/>
      <c r="AL9" s="152"/>
      <c r="AM9" s="228"/>
      <c r="AN9" s="228"/>
      <c r="AO9" s="228"/>
      <c r="AP9" s="228"/>
      <c r="AQ9" s="228"/>
      <c r="AR9" s="228"/>
      <c r="AS9" s="228"/>
      <c r="AT9" s="228"/>
      <c r="AU9" s="228"/>
      <c r="AV9" s="228"/>
      <c r="AW9" s="228"/>
      <c r="AY9" s="397"/>
      <c r="AZ9" s="398"/>
      <c r="BA9" s="398"/>
      <c r="BB9" s="398"/>
      <c r="BC9" s="398"/>
    </row>
    <row r="10" spans="1:55" s="267" customFormat="1" ht="23">
      <c r="A10" s="1744"/>
      <c r="B10" s="1745"/>
      <c r="C10" s="233" t="s">
        <v>1968</v>
      </c>
      <c r="D10" s="233" t="s">
        <v>171</v>
      </c>
      <c r="E10" s="504">
        <v>1</v>
      </c>
      <c r="F10" s="402">
        <v>4</v>
      </c>
      <c r="G10"/>
      <c r="H10" s="398" t="s">
        <v>2629</v>
      </c>
      <c r="I10" s="398" t="s">
        <v>2630</v>
      </c>
      <c r="J10" s="398" t="s">
        <v>2631</v>
      </c>
      <c r="K10" s="398" t="s">
        <v>2632</v>
      </c>
      <c r="L10" s="397"/>
      <c r="M10" s="499"/>
      <c r="N10"/>
      <c r="O10" s="207"/>
      <c r="P10" s="207"/>
      <c r="Q10" s="207"/>
      <c r="R10" s="207"/>
      <c r="S10" s="207"/>
      <c r="T10" s="207"/>
      <c r="U10" s="207"/>
      <c r="V10" s="207"/>
      <c r="W10" s="207"/>
      <c r="X10" s="208"/>
      <c r="Y10" s="208"/>
      <c r="Z10" s="304"/>
      <c r="AA10" s="208"/>
      <c r="AB10" s="208"/>
      <c r="AC10" s="208"/>
      <c r="AD10" s="208"/>
      <c r="AE10" s="208"/>
      <c r="AF10" s="208"/>
      <c r="AG10" s="208"/>
      <c r="AH10" s="208"/>
      <c r="AI10" s="208"/>
      <c r="AJ10" s="208"/>
      <c r="AK10" s="208"/>
      <c r="AL10" s="152"/>
      <c r="AM10" s="228"/>
      <c r="AN10" s="228"/>
      <c r="AO10" s="228"/>
      <c r="AP10" s="228"/>
      <c r="AQ10" s="228"/>
      <c r="AR10" s="228"/>
      <c r="AS10" s="228"/>
      <c r="AT10" s="228"/>
      <c r="AU10" s="228"/>
      <c r="AV10" s="228"/>
      <c r="AW10" s="228"/>
      <c r="AY10" s="397"/>
      <c r="AZ10" s="398"/>
      <c r="BA10" s="398"/>
      <c r="BB10" s="398"/>
      <c r="BC10" s="398"/>
    </row>
    <row r="11" spans="1:55" s="48" customFormat="1" ht="23">
      <c r="A11" s="1744"/>
      <c r="B11" s="1745"/>
      <c r="C11" s="232"/>
      <c r="D11" s="233"/>
      <c r="E11" s="504"/>
      <c r="F11" s="402"/>
      <c r="G11" s="265"/>
      <c r="H11" s="398" t="s">
        <v>2629</v>
      </c>
      <c r="I11" s="398" t="s">
        <v>2630</v>
      </c>
      <c r="J11" s="398" t="s">
        <v>2631</v>
      </c>
      <c r="K11" s="398" t="s">
        <v>2632</v>
      </c>
      <c r="L11" s="397"/>
      <c r="M11" s="499"/>
      <c r="N11" s="265"/>
      <c r="O11" s="207"/>
      <c r="P11" s="207"/>
      <c r="Q11" s="207"/>
      <c r="R11" s="207"/>
      <c r="S11" s="207"/>
      <c r="T11" s="207"/>
      <c r="U11" s="207"/>
      <c r="V11" s="207"/>
      <c r="W11" s="207"/>
      <c r="X11" s="208"/>
      <c r="Y11" s="208"/>
      <c r="Z11" s="304"/>
      <c r="AA11" s="208"/>
      <c r="AB11" s="208"/>
      <c r="AC11" s="208"/>
      <c r="AD11" s="208"/>
      <c r="AE11" s="208"/>
      <c r="AF11" s="208"/>
      <c r="AG11" s="208"/>
      <c r="AH11" s="208"/>
      <c r="AI11" s="208"/>
      <c r="AJ11" s="208"/>
      <c r="AK11" s="208"/>
      <c r="AL11" s="152"/>
      <c r="AM11" s="228"/>
      <c r="AN11" s="228"/>
      <c r="AO11" s="228"/>
      <c r="AP11" s="228"/>
      <c r="AQ11" s="228"/>
      <c r="AR11" s="228"/>
      <c r="AS11" s="228"/>
      <c r="AT11" s="228"/>
      <c r="AU11" s="228"/>
      <c r="AV11" s="228"/>
      <c r="AW11" s="228"/>
      <c r="AZ11" s="398"/>
    </row>
    <row r="12" spans="1:55" s="48" customFormat="1" ht="23">
      <c r="A12" s="1744"/>
      <c r="B12" s="1745"/>
      <c r="C12" s="102"/>
      <c r="D12" s="102"/>
      <c r="E12" s="504"/>
      <c r="F12" s="401"/>
      <c r="G12" s="37"/>
      <c r="H12" s="398" t="s">
        <v>2629</v>
      </c>
      <c r="I12" s="398" t="s">
        <v>2630</v>
      </c>
      <c r="J12" s="398" t="s">
        <v>2631</v>
      </c>
      <c r="K12" s="398" t="s">
        <v>2632</v>
      </c>
      <c r="L12" s="397"/>
      <c r="M12" s="499"/>
      <c r="N12" s="37"/>
      <c r="O12" s="207"/>
      <c r="P12" s="207"/>
      <c r="Q12" s="207"/>
      <c r="R12" s="207"/>
      <c r="S12" s="207"/>
      <c r="T12" s="207"/>
      <c r="U12" s="207"/>
      <c r="V12" s="207"/>
      <c r="W12" s="207"/>
      <c r="X12" s="208"/>
      <c r="Y12" s="208"/>
      <c r="Z12" s="304"/>
      <c r="AA12" s="208"/>
      <c r="AB12" s="208"/>
      <c r="AC12" s="208"/>
      <c r="AD12" s="208"/>
      <c r="AE12" s="208"/>
      <c r="AF12" s="208"/>
      <c r="AG12" s="208"/>
      <c r="AH12" s="208"/>
      <c r="AI12" s="208"/>
      <c r="AJ12" s="208"/>
      <c r="AK12" s="208"/>
      <c r="AL12" s="152"/>
      <c r="AM12" s="228"/>
      <c r="AN12" s="228"/>
      <c r="AO12" s="228"/>
      <c r="AP12" s="228"/>
      <c r="AQ12" s="228"/>
      <c r="AR12" s="228"/>
      <c r="AS12" s="228"/>
      <c r="AT12" s="228"/>
      <c r="AU12" s="228"/>
      <c r="AV12" s="228"/>
      <c r="AW12" s="228"/>
      <c r="AZ12" s="398"/>
    </row>
    <row r="13" spans="1:55" s="48" customFormat="1" ht="23">
      <c r="A13" s="1744"/>
      <c r="B13" s="1745"/>
      <c r="C13" s="102" t="s">
        <v>1964</v>
      </c>
      <c r="D13" s="102" t="s">
        <v>274</v>
      </c>
      <c r="E13" s="504">
        <v>1</v>
      </c>
      <c r="F13" s="401">
        <v>4</v>
      </c>
      <c r="G13"/>
      <c r="H13" s="398" t="s">
        <v>2629</v>
      </c>
      <c r="I13" s="398" t="s">
        <v>2630</v>
      </c>
      <c r="J13" s="398" t="s">
        <v>2631</v>
      </c>
      <c r="K13" s="398" t="s">
        <v>2632</v>
      </c>
      <c r="L13" s="397"/>
      <c r="M13" s="499"/>
      <c r="N13"/>
      <c r="O13" s="207"/>
      <c r="P13" s="207"/>
      <c r="Q13" s="207"/>
      <c r="R13" s="207"/>
      <c r="S13" s="207"/>
      <c r="T13" s="207"/>
      <c r="U13" s="207"/>
      <c r="V13" s="207"/>
      <c r="W13" s="207"/>
      <c r="X13" s="208"/>
      <c r="Y13" s="208"/>
      <c r="Z13" s="304"/>
      <c r="AA13" s="208"/>
      <c r="AB13" s="208"/>
      <c r="AC13" s="208"/>
      <c r="AD13" s="208"/>
      <c r="AE13" s="208"/>
      <c r="AF13" s="208"/>
      <c r="AG13" s="208"/>
      <c r="AH13" s="208"/>
      <c r="AI13" s="208"/>
      <c r="AJ13" s="208"/>
      <c r="AK13" s="208"/>
      <c r="AL13" s="152"/>
      <c r="AM13" s="228"/>
      <c r="AN13" s="228"/>
      <c r="AO13" s="228"/>
      <c r="AP13" s="228"/>
      <c r="AQ13" s="228"/>
      <c r="AR13" s="228"/>
      <c r="AS13" s="228"/>
      <c r="AT13" s="228"/>
      <c r="AU13" s="228"/>
      <c r="AV13" s="228"/>
      <c r="AW13" s="228"/>
      <c r="AZ13" s="398"/>
    </row>
    <row r="14" spans="1:55" s="48" customFormat="1" ht="23">
      <c r="A14" s="1744"/>
      <c r="B14" s="1745"/>
      <c r="C14" s="395" t="s">
        <v>1972</v>
      </c>
      <c r="D14" s="102" t="s">
        <v>2268</v>
      </c>
      <c r="E14" s="504">
        <v>1</v>
      </c>
      <c r="F14" s="401">
        <v>4</v>
      </c>
      <c r="G14"/>
      <c r="H14" s="398" t="s">
        <v>2629</v>
      </c>
      <c r="I14" s="398" t="s">
        <v>2630</v>
      </c>
      <c r="J14" s="398" t="s">
        <v>2631</v>
      </c>
      <c r="K14" s="398" t="s">
        <v>2632</v>
      </c>
      <c r="L14" s="397"/>
      <c r="M14" s="499"/>
      <c r="N14"/>
      <c r="O14" s="207"/>
      <c r="P14" s="207"/>
      <c r="Q14" s="207"/>
      <c r="R14" s="207"/>
      <c r="S14" s="207"/>
      <c r="T14" s="207"/>
      <c r="U14" s="207"/>
      <c r="V14" s="207"/>
      <c r="W14" s="207"/>
      <c r="X14" s="208"/>
      <c r="Y14" s="208"/>
      <c r="Z14" s="304"/>
      <c r="AA14" s="208"/>
      <c r="AB14" s="208"/>
      <c r="AC14" s="208"/>
      <c r="AD14" s="208"/>
      <c r="AE14" s="208"/>
      <c r="AF14" s="208"/>
      <c r="AG14" s="208"/>
      <c r="AH14" s="208"/>
      <c r="AI14" s="208"/>
      <c r="AJ14" s="208"/>
      <c r="AK14" s="208"/>
      <c r="AL14" s="152"/>
      <c r="AM14" s="228"/>
      <c r="AN14" s="228"/>
      <c r="AO14" s="228"/>
      <c r="AP14" s="228"/>
      <c r="AQ14" s="228"/>
      <c r="AR14" s="228"/>
      <c r="AS14" s="228"/>
      <c r="AT14" s="228"/>
      <c r="AU14" s="228"/>
      <c r="AV14" s="228"/>
      <c r="AW14" s="228"/>
      <c r="AZ14" s="398"/>
    </row>
    <row r="15" spans="1:55" s="48" customFormat="1" ht="23">
      <c r="A15" s="1744"/>
      <c r="B15" s="1745"/>
      <c r="C15" s="395"/>
      <c r="D15" s="102"/>
      <c r="E15" s="504"/>
      <c r="F15" s="401"/>
      <c r="G15" s="394"/>
      <c r="H15" s="398" t="s">
        <v>2629</v>
      </c>
      <c r="I15" s="398" t="s">
        <v>2630</v>
      </c>
      <c r="J15" s="398" t="s">
        <v>2631</v>
      </c>
      <c r="K15" s="398" t="s">
        <v>2632</v>
      </c>
      <c r="L15" s="397"/>
      <c r="M15" s="499"/>
      <c r="N15" s="394"/>
      <c r="O15" s="207"/>
      <c r="P15" s="207"/>
      <c r="Q15" s="207"/>
      <c r="R15" s="207"/>
      <c r="S15" s="207"/>
      <c r="T15" s="207"/>
      <c r="U15" s="207"/>
      <c r="V15" s="207"/>
      <c r="W15" s="207"/>
      <c r="X15" s="208"/>
      <c r="Y15" s="208"/>
      <c r="Z15" s="394"/>
      <c r="AA15" s="208"/>
      <c r="AB15" s="208"/>
      <c r="AC15" s="208"/>
      <c r="AD15" s="208"/>
      <c r="AE15" s="208"/>
      <c r="AF15" s="208"/>
      <c r="AG15" s="208"/>
      <c r="AH15" s="208"/>
      <c r="AI15" s="208"/>
      <c r="AJ15" s="208"/>
      <c r="AK15" s="208"/>
      <c r="AL15" s="152"/>
      <c r="AM15" s="228"/>
      <c r="AN15" s="228"/>
      <c r="AO15" s="228"/>
      <c r="AP15" s="228"/>
      <c r="AQ15" s="228"/>
      <c r="AR15" s="228"/>
      <c r="AS15" s="228"/>
      <c r="AT15" s="228"/>
      <c r="AU15" s="228"/>
      <c r="AV15" s="228"/>
      <c r="AW15" s="228"/>
      <c r="AZ15" s="398"/>
    </row>
    <row r="16" spans="1:55" s="48" customFormat="1" ht="23">
      <c r="A16" s="1744"/>
      <c r="B16" s="1745"/>
      <c r="C16" s="396" t="s">
        <v>1966</v>
      </c>
      <c r="D16" s="102" t="s">
        <v>1367</v>
      </c>
      <c r="E16" s="504">
        <v>1</v>
      </c>
      <c r="F16" s="401">
        <v>4</v>
      </c>
      <c r="G16" s="394"/>
      <c r="H16" s="398" t="s">
        <v>2629</v>
      </c>
      <c r="I16" s="398" t="s">
        <v>2630</v>
      </c>
      <c r="J16" s="398" t="s">
        <v>2631</v>
      </c>
      <c r="K16" s="398" t="s">
        <v>2632</v>
      </c>
      <c r="L16" s="397"/>
      <c r="M16" s="499"/>
      <c r="N16" s="394"/>
      <c r="O16" s="207"/>
      <c r="P16" s="207"/>
      <c r="Q16" s="207"/>
      <c r="R16" s="207"/>
      <c r="S16" s="207"/>
      <c r="T16" s="207"/>
      <c r="U16" s="207"/>
      <c r="V16" s="207"/>
      <c r="W16" s="207"/>
      <c r="X16" s="208"/>
      <c r="Y16" s="208"/>
      <c r="Z16" s="394"/>
      <c r="AA16" s="208"/>
      <c r="AB16" s="208"/>
      <c r="AC16" s="208"/>
      <c r="AD16" s="208"/>
      <c r="AE16" s="208"/>
      <c r="AF16" s="208"/>
      <c r="AG16" s="208"/>
      <c r="AH16" s="208"/>
      <c r="AI16" s="208"/>
      <c r="AJ16" s="208"/>
      <c r="AK16" s="208"/>
      <c r="AL16" s="152"/>
      <c r="AM16" s="228"/>
      <c r="AN16" s="228"/>
      <c r="AO16" s="228"/>
      <c r="AP16" s="228"/>
      <c r="AQ16" s="228"/>
      <c r="AR16" s="228"/>
      <c r="AS16" s="228"/>
      <c r="AT16" s="228"/>
      <c r="AU16" s="228"/>
      <c r="AV16" s="228"/>
      <c r="AW16" s="228"/>
      <c r="AZ16" s="398"/>
    </row>
    <row r="17" spans="1:55" ht="23">
      <c r="A17" s="1744"/>
      <c r="B17" s="1745"/>
      <c r="C17" s="102"/>
      <c r="D17" s="102"/>
      <c r="E17" s="504"/>
      <c r="F17" s="401"/>
      <c r="G17" s="264"/>
      <c r="H17" s="398" t="s">
        <v>2629</v>
      </c>
      <c r="I17" s="398" t="s">
        <v>2630</v>
      </c>
      <c r="J17" s="398" t="s">
        <v>2631</v>
      </c>
      <c r="K17" s="398" t="s">
        <v>2632</v>
      </c>
      <c r="M17" s="499"/>
      <c r="N17" s="48"/>
      <c r="O17" s="207"/>
      <c r="P17" s="207"/>
      <c r="Q17" s="207"/>
      <c r="R17" s="207"/>
      <c r="S17" s="207"/>
      <c r="T17" s="207"/>
      <c r="U17" s="207"/>
      <c r="V17" s="207"/>
      <c r="W17" s="207"/>
      <c r="X17" s="208"/>
      <c r="Y17" s="208"/>
      <c r="AA17" s="208"/>
      <c r="AB17" s="208"/>
      <c r="AC17" s="208"/>
      <c r="AD17" s="208"/>
      <c r="AE17" s="208"/>
      <c r="AF17" s="208"/>
      <c r="AG17" s="208"/>
      <c r="AH17" s="208"/>
      <c r="AI17" s="208"/>
      <c r="AJ17" s="208"/>
      <c r="AK17" s="208"/>
      <c r="AM17" s="228"/>
      <c r="AN17" s="228"/>
      <c r="AO17" s="228"/>
      <c r="AP17" s="228"/>
      <c r="AQ17" s="228"/>
      <c r="AR17" s="228"/>
      <c r="AS17" s="228"/>
      <c r="AT17" s="228"/>
      <c r="AU17" s="228"/>
      <c r="AV17" s="228"/>
      <c r="AW17" s="228"/>
      <c r="AZ17" s="398"/>
      <c r="BA17" s="48"/>
      <c r="BB17" s="48"/>
      <c r="BC17" s="48"/>
    </row>
    <row r="18" spans="1:55" s="48" customFormat="1" ht="23">
      <c r="A18" s="1744"/>
      <c r="B18" s="1745"/>
      <c r="C18" s="102" t="s">
        <v>1973</v>
      </c>
      <c r="D18" s="102" t="s">
        <v>1369</v>
      </c>
      <c r="E18" s="504">
        <v>1</v>
      </c>
      <c r="F18" s="401">
        <v>4</v>
      </c>
      <c r="G18"/>
      <c r="H18" s="398" t="s">
        <v>2629</v>
      </c>
      <c r="I18" s="398" t="s">
        <v>2630</v>
      </c>
      <c r="J18" s="398" t="s">
        <v>2631</v>
      </c>
      <c r="K18" s="398" t="s">
        <v>2632</v>
      </c>
      <c r="L18" s="397"/>
      <c r="M18" s="499"/>
      <c r="N18"/>
      <c r="O18" s="207"/>
      <c r="P18" s="207"/>
      <c r="Q18" s="207"/>
      <c r="R18" s="207"/>
      <c r="S18" s="207"/>
      <c r="T18" s="207"/>
      <c r="U18" s="207"/>
      <c r="V18" s="207"/>
      <c r="W18" s="207"/>
      <c r="X18" s="208"/>
      <c r="Y18" s="208"/>
      <c r="Z18" s="304"/>
      <c r="AA18" s="208"/>
      <c r="AB18" s="208"/>
      <c r="AC18" s="208"/>
      <c r="AD18" s="208"/>
      <c r="AE18" s="208"/>
      <c r="AF18" s="208"/>
      <c r="AG18" s="208"/>
      <c r="AH18" s="208"/>
      <c r="AI18" s="208"/>
      <c r="AJ18" s="208"/>
      <c r="AK18" s="208"/>
      <c r="AL18" s="152"/>
      <c r="AM18" s="228"/>
      <c r="AN18" s="228"/>
      <c r="AO18" s="228"/>
      <c r="AP18" s="228"/>
      <c r="AQ18" s="228"/>
      <c r="AR18" s="228"/>
      <c r="AS18" s="228"/>
      <c r="AT18" s="228"/>
      <c r="AU18" s="228"/>
      <c r="AV18" s="228"/>
      <c r="AW18" s="228"/>
      <c r="AZ18" s="398"/>
    </row>
    <row r="19" spans="1:55" s="48" customFormat="1" ht="15.75" customHeight="1">
      <c r="A19" s="1744"/>
      <c r="B19" s="1745"/>
      <c r="C19" s="102"/>
      <c r="D19" s="102"/>
      <c r="E19" s="504"/>
      <c r="F19" s="401">
        <v>4</v>
      </c>
      <c r="G19" s="37"/>
      <c r="H19" s="398" t="s">
        <v>2629</v>
      </c>
      <c r="I19" s="398" t="s">
        <v>2630</v>
      </c>
      <c r="J19" s="398" t="s">
        <v>2631</v>
      </c>
      <c r="K19" s="398" t="s">
        <v>2632</v>
      </c>
      <c r="L19" s="397"/>
      <c r="M19" s="499"/>
      <c r="N19" s="37"/>
      <c r="O19" s="207"/>
      <c r="P19" s="207"/>
      <c r="Q19" s="207"/>
      <c r="R19" s="207"/>
      <c r="S19" s="207"/>
      <c r="T19" s="207"/>
      <c r="U19" s="207"/>
      <c r="V19" s="207"/>
      <c r="W19" s="207"/>
      <c r="X19" s="208"/>
      <c r="Y19" s="208"/>
      <c r="Z19" s="304"/>
      <c r="AA19" s="208"/>
      <c r="AB19" s="208"/>
      <c r="AC19" s="208"/>
      <c r="AD19" s="208"/>
      <c r="AE19" s="208"/>
      <c r="AF19" s="208"/>
      <c r="AG19" s="208"/>
      <c r="AH19" s="208"/>
      <c r="AI19" s="208"/>
      <c r="AJ19" s="208"/>
      <c r="AK19" s="208"/>
      <c r="AL19" s="152"/>
      <c r="AM19" s="228"/>
      <c r="AN19" s="228"/>
      <c r="AO19" s="228"/>
      <c r="AP19" s="228"/>
      <c r="AQ19" s="228"/>
      <c r="AR19" s="228"/>
      <c r="AS19" s="228"/>
      <c r="AT19" s="228"/>
      <c r="AU19" s="228"/>
      <c r="AV19" s="228"/>
      <c r="AW19" s="228"/>
      <c r="AZ19" s="398"/>
    </row>
    <row r="20" spans="1:55" s="48" customFormat="1" ht="15.75" customHeight="1">
      <c r="A20" s="1744"/>
      <c r="B20" s="1745"/>
      <c r="C20" s="102"/>
      <c r="D20" s="102"/>
      <c r="E20" s="504">
        <v>1</v>
      </c>
      <c r="F20" s="401">
        <v>4</v>
      </c>
      <c r="G20"/>
      <c r="H20" s="398" t="s">
        <v>2629</v>
      </c>
      <c r="I20" s="398" t="s">
        <v>2630</v>
      </c>
      <c r="J20" s="398" t="s">
        <v>2631</v>
      </c>
      <c r="K20" s="398" t="s">
        <v>2632</v>
      </c>
      <c r="L20" s="397"/>
      <c r="M20" s="499"/>
      <c r="N20"/>
      <c r="O20" s="207"/>
      <c r="P20" s="207"/>
      <c r="Q20" s="207"/>
      <c r="R20" s="207"/>
      <c r="S20" s="207"/>
      <c r="T20" s="207"/>
      <c r="U20" s="207"/>
      <c r="V20" s="207"/>
      <c r="W20" s="207"/>
      <c r="X20" s="208"/>
      <c r="Y20" s="208"/>
      <c r="Z20" s="304"/>
      <c r="AA20" s="208"/>
      <c r="AB20" s="208"/>
      <c r="AC20" s="208"/>
      <c r="AD20" s="208"/>
      <c r="AE20" s="208"/>
      <c r="AF20" s="208"/>
      <c r="AG20" s="208"/>
      <c r="AH20" s="208"/>
      <c r="AI20" s="208"/>
      <c r="AJ20" s="208"/>
      <c r="AK20" s="208"/>
      <c r="AL20" s="152"/>
      <c r="AM20" s="228"/>
      <c r="AN20" s="228"/>
      <c r="AO20" s="228"/>
      <c r="AP20" s="228"/>
      <c r="AQ20" s="228"/>
      <c r="AR20" s="228"/>
      <c r="AS20" s="228"/>
      <c r="AT20" s="228"/>
      <c r="AU20" s="228"/>
      <c r="AV20" s="228"/>
      <c r="AW20" s="228"/>
      <c r="AZ20" s="398"/>
    </row>
    <row r="21" spans="1:55" s="48" customFormat="1" ht="23">
      <c r="A21" s="1744"/>
      <c r="B21" s="1745"/>
      <c r="C21" s="102" t="s">
        <v>1965</v>
      </c>
      <c r="D21" s="102" t="s">
        <v>561</v>
      </c>
      <c r="E21" s="504">
        <v>1</v>
      </c>
      <c r="F21" s="401">
        <v>4</v>
      </c>
      <c r="G21"/>
      <c r="H21" s="398" t="s">
        <v>2629</v>
      </c>
      <c r="I21" s="398" t="s">
        <v>2630</v>
      </c>
      <c r="J21" s="398" t="s">
        <v>2631</v>
      </c>
      <c r="K21" s="398" t="s">
        <v>2632</v>
      </c>
      <c r="L21" s="397"/>
      <c r="M21" s="499"/>
      <c r="N21"/>
      <c r="O21" s="207"/>
      <c r="P21" s="207"/>
      <c r="Q21" s="207"/>
      <c r="R21" s="207"/>
      <c r="S21" s="207"/>
      <c r="T21" s="207"/>
      <c r="U21" s="207"/>
      <c r="V21" s="207"/>
      <c r="W21" s="207"/>
      <c r="X21" s="208"/>
      <c r="Y21" s="208"/>
      <c r="Z21" s="304"/>
      <c r="AA21" s="208"/>
      <c r="AB21" s="208"/>
      <c r="AC21" s="208"/>
      <c r="AD21" s="208"/>
      <c r="AE21" s="208"/>
      <c r="AF21" s="208"/>
      <c r="AG21" s="208"/>
      <c r="AH21" s="208"/>
      <c r="AI21" s="208"/>
      <c r="AJ21" s="208"/>
      <c r="AK21" s="208"/>
      <c r="AL21" s="152"/>
      <c r="AM21" s="228"/>
      <c r="AN21" s="228"/>
      <c r="AO21" s="228"/>
      <c r="AP21" s="228"/>
      <c r="AQ21" s="228"/>
      <c r="AR21" s="228"/>
      <c r="AS21" s="228"/>
      <c r="AT21" s="228"/>
      <c r="AU21" s="228"/>
      <c r="AV21" s="228"/>
      <c r="AW21" s="228"/>
      <c r="AZ21" s="398"/>
    </row>
    <row r="22" spans="1:55" s="48" customFormat="1" ht="23">
      <c r="A22" s="1744"/>
      <c r="B22" s="1745"/>
      <c r="C22" s="102"/>
      <c r="D22" s="102"/>
      <c r="E22" s="504"/>
      <c r="F22" s="401"/>
      <c r="G22" s="37"/>
      <c r="H22" s="398" t="s">
        <v>2629</v>
      </c>
      <c r="I22" s="398" t="s">
        <v>2630</v>
      </c>
      <c r="J22" s="398" t="s">
        <v>2631</v>
      </c>
      <c r="K22" s="398" t="s">
        <v>2632</v>
      </c>
      <c r="L22" s="397"/>
      <c r="M22" s="499"/>
      <c r="N22" s="37"/>
      <c r="O22" s="207"/>
      <c r="P22" s="207"/>
      <c r="Q22" s="207"/>
      <c r="R22" s="207"/>
      <c r="S22" s="207"/>
      <c r="T22" s="207"/>
      <c r="U22" s="207"/>
      <c r="V22" s="207"/>
      <c r="W22" s="207"/>
      <c r="X22" s="208"/>
      <c r="Y22" s="208"/>
      <c r="Z22" s="304"/>
      <c r="AA22" s="208"/>
      <c r="AB22" s="208"/>
      <c r="AC22" s="208"/>
      <c r="AD22" s="208"/>
      <c r="AE22" s="208"/>
      <c r="AF22" s="208"/>
      <c r="AG22" s="208"/>
      <c r="AH22" s="208"/>
      <c r="AI22" s="208"/>
      <c r="AJ22" s="208"/>
      <c r="AK22" s="208"/>
      <c r="AL22" s="152"/>
      <c r="AM22" s="228"/>
      <c r="AN22" s="228"/>
      <c r="AO22" s="228"/>
      <c r="AP22" s="228"/>
      <c r="AQ22" s="228"/>
      <c r="AR22" s="228"/>
      <c r="AS22" s="228"/>
      <c r="AT22" s="228"/>
      <c r="AU22" s="228"/>
      <c r="AV22" s="228"/>
      <c r="AW22" s="228"/>
      <c r="AZ22" s="398"/>
    </row>
    <row r="23" spans="1:55" s="48" customFormat="1" ht="23">
      <c r="A23" s="1744"/>
      <c r="B23" s="13" t="s">
        <v>557</v>
      </c>
      <c r="C23" s="102"/>
      <c r="D23" s="102"/>
      <c r="E23" s="504">
        <v>1</v>
      </c>
      <c r="F23" s="401">
        <v>4</v>
      </c>
      <c r="G23"/>
      <c r="H23" s="398" t="s">
        <v>2629</v>
      </c>
      <c r="I23" s="398" t="s">
        <v>2630</v>
      </c>
      <c r="J23" s="398" t="s">
        <v>2631</v>
      </c>
      <c r="K23" s="398" t="s">
        <v>2632</v>
      </c>
      <c r="L23" s="397"/>
      <c r="M23" s="499"/>
      <c r="N23"/>
      <c r="O23" s="207"/>
      <c r="P23" s="207"/>
      <c r="Q23" s="207"/>
      <c r="R23" s="207"/>
      <c r="S23" s="207"/>
      <c r="T23" s="207"/>
      <c r="U23" s="207"/>
      <c r="V23" s="207"/>
      <c r="W23" s="207"/>
      <c r="X23" s="208"/>
      <c r="Y23" s="208"/>
      <c r="Z23" s="304"/>
      <c r="AA23" s="208"/>
      <c r="AB23" s="208"/>
      <c r="AC23" s="208"/>
      <c r="AD23" s="208"/>
      <c r="AE23" s="208"/>
      <c r="AF23" s="208"/>
      <c r="AG23" s="208"/>
      <c r="AH23" s="208"/>
      <c r="AI23" s="208"/>
      <c r="AJ23" s="208"/>
      <c r="AK23" s="208"/>
      <c r="AL23" s="152"/>
      <c r="AM23" s="228"/>
      <c r="AN23" s="228"/>
      <c r="AO23" s="228"/>
      <c r="AP23" s="228"/>
      <c r="AQ23" s="228"/>
      <c r="AR23" s="228"/>
      <c r="AS23" s="228"/>
      <c r="AT23" s="228"/>
      <c r="AU23" s="228"/>
      <c r="AV23" s="228"/>
      <c r="AW23" s="228"/>
      <c r="AZ23" s="398"/>
    </row>
    <row r="24" spans="1:55" s="48" customFormat="1" ht="23">
      <c r="A24" s="1744" t="s">
        <v>1957</v>
      </c>
      <c r="B24" s="1745" t="s">
        <v>1957</v>
      </c>
      <c r="C24" s="102" t="s">
        <v>1956</v>
      </c>
      <c r="D24" s="102" t="s">
        <v>2336</v>
      </c>
      <c r="E24" s="504">
        <v>1</v>
      </c>
      <c r="F24" s="401"/>
      <c r="G24"/>
      <c r="H24" s="398" t="s">
        <v>2629</v>
      </c>
      <c r="I24" s="398" t="s">
        <v>2630</v>
      </c>
      <c r="J24" s="398" t="s">
        <v>2631</v>
      </c>
      <c r="K24" s="398" t="s">
        <v>2632</v>
      </c>
      <c r="L24" s="397"/>
      <c r="M24" s="499"/>
      <c r="N24"/>
      <c r="O24" s="207"/>
      <c r="P24" s="207"/>
      <c r="Q24" s="207"/>
      <c r="R24" s="207"/>
      <c r="S24" s="207"/>
      <c r="T24" s="207"/>
      <c r="U24" s="207"/>
      <c r="V24" s="207"/>
      <c r="W24" s="207"/>
      <c r="X24" s="208"/>
      <c r="Y24" s="208"/>
      <c r="Z24" s="304"/>
      <c r="AA24" s="208"/>
      <c r="AB24" s="208"/>
      <c r="AC24" s="208"/>
      <c r="AD24" s="208"/>
      <c r="AE24" s="208"/>
      <c r="AF24" s="208"/>
      <c r="AG24" s="208"/>
      <c r="AH24" s="208"/>
      <c r="AI24" s="208"/>
      <c r="AJ24" s="208"/>
      <c r="AK24" s="208"/>
      <c r="AL24" s="152"/>
      <c r="AM24" s="228"/>
      <c r="AN24" s="228"/>
      <c r="AO24" s="228"/>
      <c r="AP24" s="228"/>
      <c r="AQ24" s="228"/>
      <c r="AR24" s="228"/>
      <c r="AS24" s="228"/>
      <c r="AT24" s="228"/>
      <c r="AU24" s="228"/>
      <c r="AV24" s="228"/>
      <c r="AW24" s="228"/>
      <c r="AZ24" s="398"/>
    </row>
    <row r="25" spans="1:55" s="48" customFormat="1" ht="23">
      <c r="A25" s="1744"/>
      <c r="B25" s="1745"/>
      <c r="C25" s="233"/>
      <c r="D25" s="233" t="s">
        <v>519</v>
      </c>
      <c r="E25" s="504">
        <v>1</v>
      </c>
      <c r="F25" s="402">
        <v>4</v>
      </c>
      <c r="G25" s="268"/>
      <c r="H25" s="398" t="s">
        <v>2629</v>
      </c>
      <c r="I25" s="398" t="s">
        <v>2630</v>
      </c>
      <c r="J25" s="398" t="s">
        <v>2631</v>
      </c>
      <c r="K25" s="398" t="s">
        <v>2632</v>
      </c>
      <c r="L25" s="397"/>
      <c r="M25" s="499"/>
      <c r="N25" s="268"/>
      <c r="O25" s="207"/>
      <c r="P25" s="207"/>
      <c r="Q25" s="207"/>
      <c r="R25" s="207"/>
      <c r="S25" s="207"/>
      <c r="T25" s="207"/>
      <c r="U25" s="207"/>
      <c r="V25" s="207"/>
      <c r="W25" s="207"/>
      <c r="X25" s="208"/>
      <c r="Y25" s="208"/>
      <c r="Z25" s="304"/>
      <c r="AA25" s="208"/>
      <c r="AB25" s="208"/>
      <c r="AC25" s="208"/>
      <c r="AD25" s="208"/>
      <c r="AE25" s="208"/>
      <c r="AF25" s="208"/>
      <c r="AG25" s="208"/>
      <c r="AH25" s="208"/>
      <c r="AI25" s="208"/>
      <c r="AJ25" s="208"/>
      <c r="AK25" s="208"/>
      <c r="AL25" s="152"/>
      <c r="AM25" s="228"/>
      <c r="AN25" s="228"/>
      <c r="AO25" s="228"/>
      <c r="AP25" s="228"/>
      <c r="AQ25" s="228"/>
      <c r="AR25" s="228"/>
      <c r="AS25" s="228"/>
      <c r="AT25" s="228"/>
      <c r="AU25" s="228"/>
      <c r="AV25" s="228"/>
      <c r="AW25" s="228"/>
      <c r="AZ25" s="398"/>
      <c r="BA25" s="50"/>
      <c r="BB25" s="50"/>
    </row>
    <row r="26" spans="1:55" s="48" customFormat="1" ht="23">
      <c r="A26" s="1744"/>
      <c r="B26" s="1745"/>
      <c r="C26" s="233"/>
      <c r="D26" s="233" t="s">
        <v>1958</v>
      </c>
      <c r="E26" s="504">
        <v>1</v>
      </c>
      <c r="F26" s="402">
        <v>3</v>
      </c>
      <c r="G26" s="268"/>
      <c r="H26" s="398" t="s">
        <v>2629</v>
      </c>
      <c r="I26" s="398" t="s">
        <v>2630</v>
      </c>
      <c r="J26" s="398" t="s">
        <v>2631</v>
      </c>
      <c r="K26" s="398" t="s">
        <v>2632</v>
      </c>
      <c r="L26" s="397"/>
      <c r="M26" s="499"/>
      <c r="N26" s="268"/>
      <c r="O26" s="207"/>
      <c r="P26" s="207"/>
      <c r="Q26" s="207"/>
      <c r="R26" s="207"/>
      <c r="S26" s="207"/>
      <c r="T26" s="207"/>
      <c r="U26" s="207"/>
      <c r="V26" s="207"/>
      <c r="W26" s="207"/>
      <c r="X26" s="208"/>
      <c r="Y26" s="208"/>
      <c r="Z26" s="304"/>
      <c r="AA26" s="208"/>
      <c r="AB26" s="208"/>
      <c r="AC26" s="208"/>
      <c r="AD26" s="208"/>
      <c r="AE26" s="208"/>
      <c r="AF26" s="208"/>
      <c r="AG26" s="208"/>
      <c r="AH26" s="208"/>
      <c r="AI26" s="208"/>
      <c r="AJ26" s="208"/>
      <c r="AK26" s="208"/>
      <c r="AL26" s="152"/>
      <c r="AM26" s="228"/>
      <c r="AN26" s="228"/>
      <c r="AO26" s="228"/>
      <c r="AP26" s="228"/>
      <c r="AQ26" s="228"/>
      <c r="AR26" s="228"/>
      <c r="AS26" s="228"/>
      <c r="AT26" s="228"/>
      <c r="AU26" s="228"/>
      <c r="AV26" s="228"/>
      <c r="AW26" s="228"/>
      <c r="AZ26" s="398"/>
      <c r="BA26" s="50"/>
      <c r="BB26" s="50"/>
    </row>
    <row r="27" spans="1:55" s="48" customFormat="1" ht="23">
      <c r="A27" s="1744"/>
      <c r="B27" s="1745"/>
      <c r="C27" s="102" t="s">
        <v>2458</v>
      </c>
      <c r="D27" s="102" t="s">
        <v>2459</v>
      </c>
      <c r="E27" s="504">
        <v>1</v>
      </c>
      <c r="F27" s="487"/>
      <c r="G27"/>
      <c r="H27" s="398" t="s">
        <v>2629</v>
      </c>
      <c r="I27" s="398" t="s">
        <v>2630</v>
      </c>
      <c r="J27" s="398" t="s">
        <v>2631</v>
      </c>
      <c r="K27" s="398" t="s">
        <v>2632</v>
      </c>
      <c r="L27" s="397"/>
      <c r="M27" s="499"/>
      <c r="N27"/>
      <c r="O27" s="207"/>
      <c r="P27" s="207"/>
      <c r="Q27" s="207"/>
      <c r="R27" s="207"/>
      <c r="S27" s="207"/>
      <c r="T27" s="207"/>
      <c r="U27" s="207"/>
      <c r="V27" s="207"/>
      <c r="W27" s="207"/>
      <c r="X27" s="208"/>
      <c r="Y27" s="208"/>
      <c r="Z27" s="304"/>
      <c r="AA27" s="208"/>
      <c r="AB27" s="208"/>
      <c r="AC27" s="208"/>
      <c r="AD27" s="208"/>
      <c r="AE27" s="208"/>
      <c r="AF27" s="208"/>
      <c r="AG27" s="208"/>
      <c r="AH27" s="208"/>
      <c r="AI27" s="208"/>
      <c r="AJ27" s="208"/>
      <c r="AK27" s="208"/>
      <c r="AL27" s="152"/>
      <c r="AM27" s="228"/>
      <c r="AN27" s="228"/>
      <c r="AO27" s="228"/>
      <c r="AP27" s="228"/>
      <c r="AQ27" s="228"/>
      <c r="AR27" s="228"/>
      <c r="AS27" s="228"/>
      <c r="AT27" s="228"/>
      <c r="AU27" s="228"/>
      <c r="AV27" s="228"/>
      <c r="AW27" s="228"/>
      <c r="AZ27" s="398"/>
    </row>
    <row r="28" spans="1:55" s="48" customFormat="1" ht="15">
      <c r="A28" s="1744"/>
      <c r="B28" s="1745"/>
      <c r="C28" s="102" t="s">
        <v>1896</v>
      </c>
      <c r="D28" s="102" t="s">
        <v>2581</v>
      </c>
      <c r="E28" s="504">
        <v>1</v>
      </c>
      <c r="F28" s="401">
        <v>4</v>
      </c>
      <c r="G28"/>
      <c r="H28" s="398" t="s">
        <v>2629</v>
      </c>
      <c r="I28" s="398" t="s">
        <v>2630</v>
      </c>
      <c r="J28" s="398" t="s">
        <v>2631</v>
      </c>
      <c r="K28" s="398" t="s">
        <v>2632</v>
      </c>
      <c r="L28" s="397"/>
      <c r="M28" s="499"/>
      <c r="N28"/>
      <c r="O28" s="207"/>
      <c r="P28" s="207"/>
      <c r="Q28" s="207"/>
      <c r="R28" s="207"/>
      <c r="S28" s="207"/>
      <c r="T28" s="207"/>
      <c r="U28" s="207"/>
      <c r="V28" s="207"/>
      <c r="W28" s="207"/>
      <c r="X28" s="208"/>
      <c r="Y28" s="208"/>
      <c r="Z28" s="304"/>
      <c r="AA28" s="208"/>
      <c r="AB28" s="208"/>
      <c r="AC28" s="208"/>
      <c r="AD28" s="208"/>
      <c r="AE28" s="208"/>
      <c r="AF28" s="208"/>
      <c r="AG28" s="208"/>
      <c r="AH28" s="208"/>
      <c r="AI28" s="208"/>
      <c r="AJ28" s="208"/>
      <c r="AK28" s="208"/>
      <c r="AL28" s="152"/>
      <c r="AM28" s="225"/>
      <c r="AN28" s="212"/>
      <c r="AO28" s="211"/>
      <c r="AP28" s="208"/>
      <c r="AQ28" s="208"/>
      <c r="AR28" s="208"/>
      <c r="AS28" s="210"/>
      <c r="AT28" s="210"/>
      <c r="AU28" s="210"/>
      <c r="AV28" s="210"/>
      <c r="AW28" s="208"/>
      <c r="AZ28" s="398"/>
    </row>
    <row r="29" spans="1:55" s="48" customFormat="1" ht="15">
      <c r="A29" s="1744" t="s">
        <v>2624</v>
      </c>
      <c r="B29" s="1742" t="s">
        <v>2626</v>
      </c>
      <c r="C29" s="226" t="s">
        <v>1898</v>
      </c>
      <c r="D29" s="226" t="s">
        <v>2625</v>
      </c>
      <c r="E29" s="504">
        <v>1</v>
      </c>
      <c r="F29" s="401">
        <v>2</v>
      </c>
      <c r="G29" s="1456"/>
      <c r="H29" s="398" t="s">
        <v>2629</v>
      </c>
      <c r="I29" s="398" t="s">
        <v>2630</v>
      </c>
      <c r="J29" s="398" t="s">
        <v>2631</v>
      </c>
      <c r="K29" s="398" t="s">
        <v>2632</v>
      </c>
      <c r="L29" s="1456"/>
      <c r="M29" s="499"/>
      <c r="N29" s="1456"/>
      <c r="O29" s="207"/>
      <c r="P29" s="207"/>
      <c r="Q29" s="207"/>
      <c r="R29" s="207"/>
      <c r="S29" s="207"/>
      <c r="T29" s="207"/>
      <c r="U29" s="207"/>
      <c r="V29" s="207"/>
      <c r="W29" s="207"/>
      <c r="X29" s="208"/>
      <c r="Y29" s="208"/>
      <c r="Z29" s="1456"/>
      <c r="AA29" s="208"/>
      <c r="AB29" s="208"/>
      <c r="AC29" s="208"/>
      <c r="AD29" s="208"/>
      <c r="AE29" s="208"/>
      <c r="AF29" s="208"/>
      <c r="AG29" s="208"/>
      <c r="AH29" s="208"/>
      <c r="AI29" s="208"/>
      <c r="AJ29" s="208"/>
      <c r="AK29" s="208"/>
      <c r="AL29" s="1259"/>
      <c r="AM29" s="225"/>
      <c r="AN29" s="212"/>
      <c r="AO29" s="211"/>
      <c r="AP29" s="208"/>
      <c r="AQ29" s="208"/>
      <c r="AR29" s="208"/>
      <c r="AS29" s="210"/>
      <c r="AT29" s="210"/>
      <c r="AU29" s="210"/>
      <c r="AV29" s="210"/>
      <c r="AW29" s="208"/>
      <c r="AZ29" s="398"/>
    </row>
    <row r="30" spans="1:55" s="48" customFormat="1" ht="15">
      <c r="A30" s="1754"/>
      <c r="B30" s="48" t="s">
        <v>2627</v>
      </c>
      <c r="C30" s="226" t="s">
        <v>1898</v>
      </c>
      <c r="D30" s="226" t="s">
        <v>2628</v>
      </c>
      <c r="E30" s="504">
        <v>1</v>
      </c>
      <c r="F30" s="401">
        <v>2</v>
      </c>
      <c r="G30" s="1456"/>
      <c r="H30" s="398" t="s">
        <v>2629</v>
      </c>
      <c r="I30" s="398" t="s">
        <v>2630</v>
      </c>
      <c r="J30" s="398" t="s">
        <v>2631</v>
      </c>
      <c r="K30" s="398" t="s">
        <v>2632</v>
      </c>
      <c r="L30" s="1456"/>
      <c r="M30" s="499"/>
      <c r="N30" s="1456"/>
      <c r="O30" s="207"/>
      <c r="P30" s="207"/>
      <c r="Q30" s="207"/>
      <c r="R30" s="207"/>
      <c r="S30" s="207"/>
      <c r="T30" s="207"/>
      <c r="U30" s="207"/>
      <c r="V30" s="207"/>
      <c r="W30" s="207"/>
      <c r="X30" s="208"/>
      <c r="Y30" s="208"/>
      <c r="Z30" s="1456"/>
      <c r="AA30" s="208"/>
      <c r="AB30" s="208"/>
      <c r="AC30" s="208"/>
      <c r="AD30" s="208"/>
      <c r="AE30" s="208"/>
      <c r="AF30" s="208"/>
      <c r="AG30" s="208"/>
      <c r="AH30" s="208"/>
      <c r="AI30" s="208"/>
      <c r="AJ30" s="208"/>
      <c r="AK30" s="208"/>
      <c r="AL30" s="1259"/>
      <c r="AM30" s="225"/>
      <c r="AN30" s="212"/>
      <c r="AO30" s="211"/>
      <c r="AP30" s="208"/>
      <c r="AQ30" s="208"/>
      <c r="AR30" s="208"/>
      <c r="AS30" s="210"/>
      <c r="AT30" s="210"/>
      <c r="AU30" s="210"/>
      <c r="AV30" s="210"/>
      <c r="AW30" s="208"/>
      <c r="AZ30" s="398"/>
    </row>
    <row r="31" spans="1:55" s="48" customFormat="1" ht="15">
      <c r="A31" s="1751" t="s">
        <v>1893</v>
      </c>
      <c r="B31" s="1693" t="s">
        <v>754</v>
      </c>
      <c r="C31" s="226" t="s">
        <v>1896</v>
      </c>
      <c r="D31" s="226" t="e">
        <f>#REF!</f>
        <v>#REF!</v>
      </c>
      <c r="E31" s="504">
        <v>1</v>
      </c>
      <c r="F31" s="401">
        <v>4</v>
      </c>
      <c r="G31" s="1456"/>
      <c r="H31" s="398" t="s">
        <v>2629</v>
      </c>
      <c r="I31" s="398" t="s">
        <v>2630</v>
      </c>
      <c r="J31" s="398" t="s">
        <v>2631</v>
      </c>
      <c r="K31" s="398" t="s">
        <v>2632</v>
      </c>
      <c r="L31" s="1456"/>
      <c r="M31" s="499"/>
      <c r="N31" s="1456"/>
      <c r="O31" s="207"/>
      <c r="P31" s="207"/>
      <c r="Q31" s="207"/>
      <c r="R31" s="207"/>
      <c r="S31" s="207"/>
      <c r="T31" s="207"/>
      <c r="U31" s="207"/>
      <c r="V31" s="207"/>
      <c r="W31" s="207"/>
      <c r="X31" s="208"/>
      <c r="Y31" s="208"/>
      <c r="Z31" s="1456"/>
      <c r="AA31" s="208"/>
      <c r="AB31" s="208"/>
      <c r="AC31" s="208"/>
      <c r="AD31" s="208"/>
      <c r="AE31" s="208"/>
      <c r="AF31" s="208"/>
      <c r="AG31" s="208"/>
      <c r="AH31" s="208"/>
      <c r="AI31" s="208"/>
      <c r="AJ31" s="208"/>
      <c r="AK31" s="208"/>
      <c r="AL31" s="1259"/>
      <c r="AM31" s="198"/>
      <c r="AN31" s="212"/>
      <c r="AO31" s="211"/>
      <c r="AP31" s="208"/>
      <c r="AQ31" s="208"/>
      <c r="AR31" s="208"/>
      <c r="AS31" s="210"/>
      <c r="AT31" s="210"/>
      <c r="AU31" s="210"/>
      <c r="AV31" s="210"/>
      <c r="AW31" s="208"/>
      <c r="AZ31" s="398"/>
    </row>
    <row r="32" spans="1:55" s="48" customFormat="1" ht="15.75" customHeight="1">
      <c r="A32" s="1751"/>
      <c r="B32" s="1745" t="e">
        <f>#REF!</f>
        <v>#REF!</v>
      </c>
      <c r="C32" s="226" t="s">
        <v>1899</v>
      </c>
      <c r="D32" s="226" t="e">
        <f>#REF!</f>
        <v>#REF!</v>
      </c>
      <c r="E32" s="504">
        <v>1</v>
      </c>
      <c r="F32" s="401">
        <v>4</v>
      </c>
      <c r="G32" s="1256"/>
      <c r="H32" s="398" t="s">
        <v>2629</v>
      </c>
      <c r="I32" s="398" t="s">
        <v>2630</v>
      </c>
      <c r="J32" s="398" t="s">
        <v>2631</v>
      </c>
      <c r="K32" s="398" t="s">
        <v>2632</v>
      </c>
      <c r="L32" s="1256"/>
      <c r="M32" s="499"/>
      <c r="N32" s="1256"/>
      <c r="O32" s="207"/>
      <c r="P32" s="207"/>
      <c r="Q32" s="207"/>
      <c r="R32" s="207"/>
      <c r="S32" s="207"/>
      <c r="T32" s="207"/>
      <c r="U32" s="207"/>
      <c r="V32" s="207"/>
      <c r="W32" s="207"/>
      <c r="X32" s="208"/>
      <c r="Y32" s="208"/>
      <c r="Z32" s="1256"/>
      <c r="AA32" s="208"/>
      <c r="AB32" s="208"/>
      <c r="AC32" s="208"/>
      <c r="AD32" s="208"/>
      <c r="AE32" s="208"/>
      <c r="AF32" s="208"/>
      <c r="AG32" s="208"/>
      <c r="AH32" s="208"/>
      <c r="AI32" s="208"/>
      <c r="AJ32" s="208"/>
      <c r="AK32" s="208"/>
      <c r="AL32" s="1259"/>
      <c r="AM32" s="198"/>
      <c r="AN32" s="212"/>
      <c r="AO32" s="211"/>
      <c r="AP32" s="208"/>
      <c r="AQ32" s="208"/>
      <c r="AR32" s="208"/>
      <c r="AS32" s="210"/>
      <c r="AT32" s="210"/>
      <c r="AU32" s="210"/>
      <c r="AV32" s="210"/>
      <c r="AW32" s="208"/>
      <c r="AZ32" s="398"/>
    </row>
    <row r="33" spans="1:55" s="48" customFormat="1" ht="15">
      <c r="A33" s="1751"/>
      <c r="B33" s="1745"/>
      <c r="C33" s="226" t="s">
        <v>1899</v>
      </c>
      <c r="D33" s="226" t="e">
        <f>#REF!</f>
        <v>#REF!</v>
      </c>
      <c r="E33" s="504">
        <v>1</v>
      </c>
      <c r="F33" s="401">
        <v>2</v>
      </c>
      <c r="G33" s="1256"/>
      <c r="H33" s="398" t="s">
        <v>2629</v>
      </c>
      <c r="I33" s="398" t="s">
        <v>2630</v>
      </c>
      <c r="J33" s="398" t="s">
        <v>2631</v>
      </c>
      <c r="K33" s="398" t="s">
        <v>2632</v>
      </c>
      <c r="L33" s="1256"/>
      <c r="M33" s="499"/>
      <c r="N33" s="1256"/>
      <c r="O33" s="207"/>
      <c r="P33" s="207"/>
      <c r="Q33" s="207"/>
      <c r="R33" s="207"/>
      <c r="S33" s="207"/>
      <c r="T33" s="207"/>
      <c r="U33" s="207"/>
      <c r="V33" s="207"/>
      <c r="W33" s="207"/>
      <c r="X33" s="208"/>
      <c r="Y33" s="208"/>
      <c r="Z33" s="1256"/>
      <c r="AA33" s="208"/>
      <c r="AB33" s="208"/>
      <c r="AC33" s="208"/>
      <c r="AD33" s="208"/>
      <c r="AE33" s="208"/>
      <c r="AF33" s="208"/>
      <c r="AG33" s="208"/>
      <c r="AH33" s="208"/>
      <c r="AI33" s="208"/>
      <c r="AJ33" s="208"/>
      <c r="AK33" s="208"/>
      <c r="AL33" s="1259"/>
      <c r="AM33" s="198"/>
      <c r="AN33" s="212"/>
      <c r="AO33" s="211"/>
      <c r="AP33" s="208"/>
      <c r="AQ33" s="208"/>
      <c r="AR33" s="208"/>
      <c r="AS33" s="210"/>
      <c r="AT33" s="210"/>
      <c r="AU33" s="210"/>
      <c r="AV33" s="210"/>
      <c r="AW33" s="208"/>
      <c r="AZ33" s="398"/>
    </row>
    <row r="34" spans="1:55" s="48" customFormat="1" ht="15">
      <c r="A34" s="1751"/>
      <c r="B34" s="1255" t="e">
        <f>#REF!</f>
        <v>#REF!</v>
      </c>
      <c r="C34" s="226" t="s">
        <v>1900</v>
      </c>
      <c r="D34" s="226" t="e">
        <f>#REF!</f>
        <v>#REF!</v>
      </c>
      <c r="E34" s="504">
        <v>1</v>
      </c>
      <c r="F34" s="401">
        <v>2</v>
      </c>
      <c r="G34" s="1256"/>
      <c r="H34" s="398" t="s">
        <v>2629</v>
      </c>
      <c r="I34" s="398" t="s">
        <v>2630</v>
      </c>
      <c r="J34" s="398" t="s">
        <v>2631</v>
      </c>
      <c r="K34" s="398" t="s">
        <v>2632</v>
      </c>
      <c r="L34" s="1256"/>
      <c r="M34" s="499"/>
      <c r="N34" s="1256"/>
      <c r="O34" s="207"/>
      <c r="P34" s="207"/>
      <c r="Q34" s="207"/>
      <c r="R34" s="207"/>
      <c r="S34" s="207"/>
      <c r="T34" s="207"/>
      <c r="U34" s="207"/>
      <c r="V34" s="207"/>
      <c r="W34" s="207"/>
      <c r="X34" s="208"/>
      <c r="Y34" s="208"/>
      <c r="Z34" s="1256"/>
      <c r="AA34" s="208"/>
      <c r="AB34" s="208"/>
      <c r="AC34" s="208"/>
      <c r="AD34" s="208"/>
      <c r="AE34" s="208"/>
      <c r="AF34" s="208"/>
      <c r="AG34" s="208"/>
      <c r="AH34" s="208"/>
      <c r="AI34" s="208"/>
      <c r="AJ34" s="208"/>
      <c r="AK34" s="208"/>
      <c r="AL34" s="1259"/>
      <c r="AM34" s="198"/>
      <c r="AN34" s="212"/>
      <c r="AO34" s="211"/>
      <c r="AP34" s="208"/>
      <c r="AQ34" s="208"/>
      <c r="AR34" s="208"/>
      <c r="AS34" s="210"/>
      <c r="AT34" s="210"/>
      <c r="AU34" s="210"/>
      <c r="AV34" s="210"/>
      <c r="AW34" s="208"/>
      <c r="AZ34" s="398"/>
    </row>
    <row r="35" spans="1:55" s="48" customFormat="1" ht="15">
      <c r="A35" s="1751"/>
      <c r="B35" s="1255" t="e">
        <f>#REF!</f>
        <v>#REF!</v>
      </c>
      <c r="C35" s="226" t="s">
        <v>1901</v>
      </c>
      <c r="D35" s="226" t="e">
        <f>#REF!</f>
        <v>#REF!</v>
      </c>
      <c r="E35" s="504">
        <v>1</v>
      </c>
      <c r="F35" s="401">
        <v>3</v>
      </c>
      <c r="G35" s="1256"/>
      <c r="H35" s="398" t="s">
        <v>2629</v>
      </c>
      <c r="I35" s="398" t="s">
        <v>2630</v>
      </c>
      <c r="J35" s="398" t="s">
        <v>2631</v>
      </c>
      <c r="K35" s="398" t="s">
        <v>2632</v>
      </c>
      <c r="L35" s="1256"/>
      <c r="M35" s="499"/>
      <c r="N35" s="1256"/>
      <c r="O35" s="207"/>
      <c r="P35" s="207"/>
      <c r="Q35" s="207"/>
      <c r="R35" s="207"/>
      <c r="S35" s="207"/>
      <c r="T35" s="207"/>
      <c r="U35" s="207"/>
      <c r="V35" s="207"/>
      <c r="W35" s="207"/>
      <c r="X35" s="208"/>
      <c r="Y35" s="208"/>
      <c r="Z35" s="1256"/>
      <c r="AA35" s="208"/>
      <c r="AB35" s="208"/>
      <c r="AC35" s="208"/>
      <c r="AD35" s="208"/>
      <c r="AE35" s="208"/>
      <c r="AF35" s="208"/>
      <c r="AG35" s="208"/>
      <c r="AH35" s="208"/>
      <c r="AI35" s="208"/>
      <c r="AJ35" s="208"/>
      <c r="AK35" s="208"/>
      <c r="AL35" s="1259"/>
      <c r="AM35" s="198"/>
      <c r="AN35" s="212"/>
      <c r="AO35" s="211"/>
      <c r="AP35" s="208"/>
      <c r="AQ35" s="208"/>
      <c r="AR35" s="208"/>
      <c r="AS35" s="210"/>
      <c r="AT35" s="210"/>
      <c r="AU35" s="210"/>
      <c r="AV35" s="210"/>
      <c r="AW35" s="208"/>
      <c r="AZ35" s="398"/>
    </row>
    <row r="36" spans="1:55" s="48" customFormat="1" ht="23">
      <c r="A36" s="291" t="s">
        <v>56</v>
      </c>
      <c r="B36" s="291"/>
      <c r="C36" s="291"/>
      <c r="D36" s="291"/>
      <c r="E36" s="504"/>
      <c r="F36" s="403"/>
      <c r="G36" s="291"/>
      <c r="H36" s="297"/>
      <c r="I36" s="297"/>
      <c r="J36" s="297"/>
      <c r="K36" s="297"/>
      <c r="L36" s="291"/>
      <c r="M36" s="502"/>
      <c r="O36" s="207"/>
      <c r="P36" s="207"/>
      <c r="Q36" s="207"/>
      <c r="R36" s="207"/>
      <c r="S36" s="207"/>
      <c r="T36" s="207"/>
      <c r="U36" s="207"/>
      <c r="V36" s="207"/>
      <c r="W36" s="207"/>
      <c r="X36" s="208"/>
      <c r="Y36" s="208"/>
      <c r="Z36" s="304"/>
      <c r="AA36" s="208"/>
      <c r="AB36" s="260"/>
      <c r="AC36" s="208"/>
      <c r="AD36" s="208"/>
      <c r="AE36" s="208"/>
      <c r="AF36" s="208"/>
      <c r="AG36" s="208"/>
      <c r="AH36" s="208"/>
      <c r="AI36" s="208"/>
      <c r="AJ36" s="208"/>
      <c r="AK36" s="207"/>
      <c r="AL36" s="152"/>
      <c r="AM36" s="309"/>
      <c r="AN36" s="212"/>
      <c r="AO36" s="211"/>
      <c r="AP36" s="208"/>
      <c r="AQ36" s="208"/>
      <c r="AR36" s="208"/>
      <c r="AS36" s="210"/>
      <c r="AT36" s="210"/>
      <c r="AU36" s="210"/>
      <c r="AV36" s="210"/>
      <c r="AW36" s="208"/>
      <c r="AZ36" s="398"/>
      <c r="BC36" s="301"/>
    </row>
    <row r="37" spans="1:55" s="48" customFormat="1" ht="87.75" customHeight="1">
      <c r="A37" s="1743" t="s">
        <v>116</v>
      </c>
      <c r="B37" s="1753" t="s">
        <v>1954</v>
      </c>
      <c r="C37" s="102" t="s">
        <v>1891</v>
      </c>
      <c r="D37" s="211" t="s">
        <v>2587</v>
      </c>
      <c r="E37" s="504">
        <v>1</v>
      </c>
      <c r="F37" s="402">
        <v>4</v>
      </c>
      <c r="G37" s="37"/>
      <c r="H37" s="398" t="s">
        <v>2588</v>
      </c>
      <c r="I37" s="398" t="s">
        <v>2586</v>
      </c>
      <c r="J37" s="398" t="s">
        <v>2589</v>
      </c>
      <c r="K37" s="398" t="s">
        <v>2590</v>
      </c>
      <c r="L37" s="397"/>
      <c r="M37" s="499"/>
      <c r="N37"/>
      <c r="O37" s="207"/>
      <c r="P37" s="207"/>
      <c r="Q37" s="207"/>
      <c r="R37" s="207"/>
      <c r="S37" s="207"/>
      <c r="T37" s="207"/>
      <c r="U37" s="207"/>
      <c r="V37" s="207"/>
      <c r="W37" s="207"/>
      <c r="X37" s="209"/>
      <c r="Y37" s="209"/>
      <c r="Z37" s="304"/>
      <c r="AA37" s="208"/>
      <c r="AB37" s="208"/>
      <c r="AC37" s="209"/>
      <c r="AD37" s="209"/>
      <c r="AE37" s="209"/>
      <c r="AF37" s="209"/>
      <c r="AG37" s="209"/>
      <c r="AH37" s="209"/>
      <c r="AI37" s="209"/>
      <c r="AJ37" s="209"/>
      <c r="AK37" s="207"/>
      <c r="AL37" s="152"/>
      <c r="AM37" s="226"/>
      <c r="AN37" s="212"/>
      <c r="AO37" s="211"/>
      <c r="AP37" s="208"/>
      <c r="AQ37" s="208"/>
      <c r="AR37" s="208"/>
      <c r="AS37" s="210"/>
      <c r="AT37" s="210"/>
      <c r="AU37" s="210"/>
      <c r="AV37" s="210"/>
      <c r="AW37" s="208"/>
      <c r="AZ37" s="398"/>
    </row>
    <row r="38" spans="1:55" s="48" customFormat="1" ht="52">
      <c r="A38" s="1743"/>
      <c r="B38" s="1753"/>
      <c r="C38" s="233"/>
      <c r="D38" s="102" t="s">
        <v>2278</v>
      </c>
      <c r="E38" s="504">
        <v>1</v>
      </c>
      <c r="F38" s="402">
        <v>4</v>
      </c>
      <c r="G38" s="37"/>
      <c r="H38" s="398" t="s">
        <v>2591</v>
      </c>
      <c r="I38" s="1714" t="s">
        <v>2592</v>
      </c>
      <c r="J38" s="398" t="s">
        <v>2593</v>
      </c>
      <c r="K38" s="398" t="s">
        <v>2594</v>
      </c>
      <c r="L38" s="397"/>
      <c r="M38" s="499"/>
      <c r="N38"/>
      <c r="O38" s="207"/>
      <c r="P38" s="207"/>
      <c r="Q38" s="207"/>
      <c r="R38" s="207"/>
      <c r="S38" s="207"/>
      <c r="T38" s="207"/>
      <c r="U38" s="207"/>
      <c r="V38" s="207"/>
      <c r="W38" s="207"/>
      <c r="X38" s="209"/>
      <c r="Y38" s="209"/>
      <c r="Z38" s="304"/>
      <c r="AA38" s="208"/>
      <c r="AB38" s="208"/>
      <c r="AC38" s="209"/>
      <c r="AD38" s="209"/>
      <c r="AE38" s="209"/>
      <c r="AF38" s="209"/>
      <c r="AG38" s="209"/>
      <c r="AH38" s="209"/>
      <c r="AI38" s="209"/>
      <c r="AJ38" s="209"/>
      <c r="AK38" s="207"/>
      <c r="AL38" s="152"/>
      <c r="AM38" s="226"/>
      <c r="AN38" s="212"/>
      <c r="AO38" s="211"/>
      <c r="AP38" s="208"/>
      <c r="AQ38" s="208"/>
      <c r="AR38" s="208"/>
      <c r="AS38" s="210"/>
      <c r="AT38" s="210"/>
      <c r="AU38" s="210"/>
      <c r="AV38" s="210"/>
      <c r="AW38" s="208"/>
      <c r="AZ38" s="398"/>
    </row>
    <row r="39" spans="1:55" s="48" customFormat="1" ht="52">
      <c r="A39" s="1743"/>
      <c r="B39" s="1753"/>
      <c r="C39" s="233"/>
      <c r="D39" s="102" t="s">
        <v>2596</v>
      </c>
      <c r="E39" s="504">
        <v>1</v>
      </c>
      <c r="F39" s="402">
        <v>4</v>
      </c>
      <c r="G39" s="393"/>
      <c r="H39" s="398" t="s">
        <v>2595</v>
      </c>
      <c r="I39" s="398" t="s">
        <v>2597</v>
      </c>
      <c r="J39" s="398" t="s">
        <v>2598</v>
      </c>
      <c r="K39" s="398" t="s">
        <v>2599</v>
      </c>
      <c r="L39" s="397"/>
      <c r="M39" s="499"/>
      <c r="N39" s="393"/>
      <c r="O39" s="207"/>
      <c r="P39" s="207"/>
      <c r="Q39" s="207"/>
      <c r="R39" s="207"/>
      <c r="S39" s="207"/>
      <c r="T39" s="207"/>
      <c r="U39" s="207"/>
      <c r="V39" s="207"/>
      <c r="W39" s="207"/>
      <c r="X39" s="209"/>
      <c r="Y39" s="209"/>
      <c r="Z39" s="393"/>
      <c r="AA39" s="208"/>
      <c r="AB39" s="208"/>
      <c r="AC39" s="209"/>
      <c r="AD39" s="209"/>
      <c r="AE39" s="209"/>
      <c r="AF39" s="209"/>
      <c r="AG39" s="209"/>
      <c r="AH39" s="209"/>
      <c r="AI39" s="209"/>
      <c r="AJ39" s="209"/>
      <c r="AK39" s="207"/>
      <c r="AL39" s="152"/>
      <c r="AM39" s="226"/>
      <c r="AN39" s="212"/>
      <c r="AO39" s="211"/>
      <c r="AP39" s="208"/>
      <c r="AQ39" s="208"/>
      <c r="AR39" s="208"/>
      <c r="AS39" s="210"/>
      <c r="AT39" s="210"/>
      <c r="AU39" s="210"/>
      <c r="AV39" s="210"/>
      <c r="AW39" s="208"/>
      <c r="AZ39" s="398"/>
    </row>
    <row r="40" spans="1:55" s="48" customFormat="1" ht="65">
      <c r="A40" s="1743"/>
      <c r="B40" s="1753"/>
      <c r="C40" s="233"/>
      <c r="D40" s="233" t="s">
        <v>1856</v>
      </c>
      <c r="E40" s="504">
        <v>1</v>
      </c>
      <c r="F40" s="401">
        <v>4</v>
      </c>
      <c r="G40"/>
      <c r="H40" s="398" t="s">
        <v>2600</v>
      </c>
      <c r="I40" s="398" t="s">
        <v>2601</v>
      </c>
      <c r="J40" s="398" t="s">
        <v>2602</v>
      </c>
      <c r="K40" s="398" t="s">
        <v>2603</v>
      </c>
      <c r="L40" s="397"/>
      <c r="M40" s="499"/>
      <c r="N40" s="37"/>
      <c r="O40" s="207"/>
      <c r="P40" s="207"/>
      <c r="Q40" s="207"/>
      <c r="R40" s="207"/>
      <c r="S40" s="207"/>
      <c r="T40" s="207"/>
      <c r="U40" s="207"/>
      <c r="V40" s="207"/>
      <c r="W40" s="207"/>
      <c r="X40" s="209"/>
      <c r="Y40" s="209"/>
      <c r="Z40" s="304"/>
      <c r="AA40" s="209"/>
      <c r="AB40" s="228"/>
      <c r="AC40" s="208"/>
      <c r="AD40" s="208"/>
      <c r="AE40" s="208"/>
      <c r="AF40" s="208"/>
      <c r="AG40" s="208"/>
      <c r="AH40" s="208"/>
      <c r="AI40" s="208"/>
      <c r="AJ40" s="208"/>
      <c r="AK40" s="207"/>
      <c r="AL40" s="152"/>
      <c r="AM40" s="310"/>
      <c r="AN40" s="212"/>
      <c r="AO40" s="211"/>
      <c r="AP40" s="208"/>
      <c r="AQ40" s="208"/>
      <c r="AR40" s="208"/>
      <c r="AS40" s="210"/>
      <c r="AT40" s="210"/>
      <c r="AU40" s="210"/>
      <c r="AV40" s="210"/>
      <c r="AW40" s="208"/>
      <c r="AZ40" s="398"/>
    </row>
    <row r="41" spans="1:55" s="48" customFormat="1" ht="52">
      <c r="A41" s="1743"/>
      <c r="B41" s="1753"/>
      <c r="C41" s="233"/>
      <c r="D41" s="233" t="s">
        <v>1883</v>
      </c>
      <c r="E41" s="504">
        <v>1</v>
      </c>
      <c r="F41" s="401">
        <v>2</v>
      </c>
      <c r="G41" s="1061"/>
      <c r="H41" s="398" t="s">
        <v>2604</v>
      </c>
      <c r="I41" s="398" t="s">
        <v>2605</v>
      </c>
      <c r="J41" s="398" t="s">
        <v>2606</v>
      </c>
      <c r="K41" s="398" t="s">
        <v>2606</v>
      </c>
      <c r="L41" s="1061"/>
      <c r="M41" s="499"/>
      <c r="N41" s="1061"/>
      <c r="O41" s="207"/>
      <c r="P41" s="207"/>
      <c r="Q41" s="207"/>
      <c r="R41" s="207"/>
      <c r="S41" s="207"/>
      <c r="T41" s="207"/>
      <c r="U41" s="207"/>
      <c r="V41" s="207"/>
      <c r="W41" s="207"/>
      <c r="X41" s="209"/>
      <c r="Y41" s="209"/>
      <c r="Z41" s="1061"/>
      <c r="AA41" s="209"/>
      <c r="AB41" s="228"/>
      <c r="AC41" s="208"/>
      <c r="AD41" s="208"/>
      <c r="AE41" s="208"/>
      <c r="AF41" s="208"/>
      <c r="AG41" s="208"/>
      <c r="AH41" s="208"/>
      <c r="AI41" s="208"/>
      <c r="AJ41" s="208"/>
      <c r="AK41" s="207"/>
      <c r="AL41" s="152"/>
      <c r="AM41" s="310"/>
      <c r="AN41" s="212"/>
      <c r="AO41" s="211"/>
      <c r="AP41" s="208"/>
      <c r="AQ41" s="208"/>
      <c r="AR41" s="208"/>
      <c r="AS41" s="210"/>
      <c r="AT41" s="210"/>
      <c r="AU41" s="210"/>
      <c r="AV41" s="210"/>
      <c r="AW41" s="208"/>
      <c r="AZ41" s="398"/>
    </row>
    <row r="42" spans="1:55" s="48" customFormat="1" ht="52">
      <c r="A42" s="1743"/>
      <c r="B42" s="1753" t="s">
        <v>1955</v>
      </c>
      <c r="C42" s="102" t="s">
        <v>1892</v>
      </c>
      <c r="D42" s="102" t="s">
        <v>1902</v>
      </c>
      <c r="E42" s="504">
        <v>1</v>
      </c>
      <c r="F42" s="401">
        <v>4</v>
      </c>
      <c r="G42" s="1061"/>
      <c r="H42" s="398" t="s">
        <v>2607</v>
      </c>
      <c r="I42" s="398" t="s">
        <v>2608</v>
      </c>
      <c r="J42" s="398" t="s">
        <v>2609</v>
      </c>
      <c r="K42" s="398" t="s">
        <v>2610</v>
      </c>
      <c r="L42" s="1061"/>
      <c r="M42" s="499"/>
      <c r="N42" s="1061"/>
      <c r="O42" s="207"/>
      <c r="P42" s="207"/>
      <c r="Q42" s="207"/>
      <c r="R42" s="207"/>
      <c r="S42" s="207"/>
      <c r="T42" s="207"/>
      <c r="U42" s="207"/>
      <c r="V42" s="207"/>
      <c r="W42" s="207"/>
      <c r="X42" s="209"/>
      <c r="Y42" s="209"/>
      <c r="Z42" s="1061"/>
      <c r="AA42" s="209"/>
      <c r="AB42" s="228"/>
      <c r="AC42" s="208"/>
      <c r="AD42" s="208"/>
      <c r="AE42" s="208"/>
      <c r="AF42" s="208"/>
      <c r="AG42" s="208"/>
      <c r="AH42" s="208"/>
      <c r="AI42" s="208"/>
      <c r="AJ42" s="208"/>
      <c r="AK42" s="207"/>
      <c r="AL42" s="152"/>
      <c r="AM42" s="310"/>
      <c r="AN42" s="214"/>
      <c r="AO42" s="211"/>
      <c r="AP42" s="211"/>
      <c r="AQ42" s="210"/>
      <c r="AR42" s="211"/>
      <c r="AS42" s="220"/>
      <c r="AT42" s="220"/>
      <c r="AU42" s="220"/>
      <c r="AV42" s="220"/>
      <c r="AW42" s="208"/>
      <c r="AY42" s="219"/>
      <c r="AZ42" s="552"/>
      <c r="BA42" s="219"/>
    </row>
    <row r="43" spans="1:55" s="48" customFormat="1" ht="25.5" customHeight="1">
      <c r="A43" s="1743"/>
      <c r="B43" s="1753"/>
      <c r="C43" s="102"/>
      <c r="D43" s="1715" t="s">
        <v>1856</v>
      </c>
      <c r="E43" s="1716">
        <v>1</v>
      </c>
      <c r="F43" s="1717">
        <v>2</v>
      </c>
      <c r="G43" s="234"/>
      <c r="H43" s="398" t="s">
        <v>2629</v>
      </c>
      <c r="I43" s="398" t="s">
        <v>2630</v>
      </c>
      <c r="J43" s="398" t="s">
        <v>2631</v>
      </c>
      <c r="K43" s="398" t="s">
        <v>2632</v>
      </c>
      <c r="L43" s="1061"/>
      <c r="M43" s="499"/>
      <c r="N43" s="1061"/>
      <c r="O43" s="207"/>
      <c r="P43" s="207"/>
      <c r="Q43" s="207"/>
      <c r="R43" s="207"/>
      <c r="S43" s="207"/>
      <c r="T43" s="207"/>
      <c r="U43" s="207"/>
      <c r="V43" s="207"/>
      <c r="W43" s="207"/>
      <c r="X43" s="209"/>
      <c r="Y43" s="209"/>
      <c r="Z43" s="1061"/>
      <c r="AA43" s="209"/>
      <c r="AB43" s="228"/>
      <c r="AC43" s="208"/>
      <c r="AD43" s="208"/>
      <c r="AE43" s="208"/>
      <c r="AF43" s="208"/>
      <c r="AG43" s="208"/>
      <c r="AH43" s="208"/>
      <c r="AI43" s="208"/>
      <c r="AJ43" s="208"/>
      <c r="AK43" s="207"/>
      <c r="AL43" s="152"/>
      <c r="AM43" s="310"/>
      <c r="AN43" s="214"/>
      <c r="AO43" s="211"/>
      <c r="AP43" s="211"/>
      <c r="AQ43" s="210"/>
      <c r="AR43" s="211"/>
      <c r="AS43" s="220"/>
      <c r="AT43" s="220"/>
      <c r="AU43" s="220"/>
      <c r="AV43" s="220"/>
      <c r="AW43" s="208"/>
      <c r="AY43" s="219"/>
      <c r="AZ43" s="552"/>
      <c r="BA43" s="219"/>
    </row>
    <row r="44" spans="1:55" s="48" customFormat="1" ht="23">
      <c r="A44" s="1743"/>
      <c r="B44" s="1753"/>
      <c r="C44" s="102"/>
      <c r="D44" s="102"/>
      <c r="E44" s="504"/>
      <c r="F44" s="401"/>
      <c r="G44"/>
      <c r="H44" s="398" t="s">
        <v>2629</v>
      </c>
      <c r="I44" s="398" t="s">
        <v>2630</v>
      </c>
      <c r="J44" s="398" t="s">
        <v>2631</v>
      </c>
      <c r="K44" s="398" t="s">
        <v>2632</v>
      </c>
      <c r="L44" s="397"/>
      <c r="M44" s="499"/>
      <c r="N44" s="37"/>
      <c r="O44" s="207"/>
      <c r="P44" s="207"/>
      <c r="Q44" s="207"/>
      <c r="R44" s="207"/>
      <c r="S44" s="207"/>
      <c r="T44" s="207"/>
      <c r="U44" s="207"/>
      <c r="V44" s="207"/>
      <c r="W44" s="207"/>
      <c r="X44" s="209"/>
      <c r="Y44" s="209"/>
      <c r="Z44" s="304"/>
      <c r="AA44" s="307"/>
      <c r="AB44" s="228"/>
      <c r="AC44" s="208"/>
      <c r="AD44" s="208"/>
      <c r="AE44" s="208"/>
      <c r="AF44" s="208"/>
      <c r="AG44" s="208"/>
      <c r="AH44" s="208"/>
      <c r="AI44" s="208"/>
      <c r="AJ44" s="208"/>
      <c r="AK44" s="207"/>
      <c r="AL44" s="152"/>
      <c r="AM44" s="311"/>
      <c r="AN44" s="311"/>
      <c r="AO44" s="313"/>
      <c r="AP44" s="206"/>
      <c r="AQ44" s="206"/>
      <c r="AR44" s="206"/>
      <c r="AS44" s="314"/>
      <c r="AT44" s="314"/>
      <c r="AU44" s="314"/>
      <c r="AV44" s="314"/>
      <c r="AW44" s="208"/>
      <c r="AY44" s="219"/>
      <c r="AZ44" s="1697"/>
      <c r="BA44" s="219"/>
    </row>
    <row r="45" spans="1:55" s="85" customFormat="1" ht="23">
      <c r="A45" s="1743"/>
      <c r="B45" s="1753"/>
      <c r="C45" s="102"/>
      <c r="D45" s="102"/>
      <c r="E45" s="504"/>
      <c r="F45" s="401"/>
      <c r="G45"/>
      <c r="H45" s="398" t="s">
        <v>2629</v>
      </c>
      <c r="I45" s="398" t="s">
        <v>2630</v>
      </c>
      <c r="J45" s="398" t="s">
        <v>2631</v>
      </c>
      <c r="K45" s="398" t="s">
        <v>2632</v>
      </c>
      <c r="L45" s="397"/>
      <c r="M45" s="499"/>
      <c r="N45"/>
      <c r="O45" s="207"/>
      <c r="P45" s="207"/>
      <c r="Q45" s="207"/>
      <c r="R45" s="207"/>
      <c r="S45" s="207"/>
      <c r="T45" s="207"/>
      <c r="U45" s="207"/>
      <c r="V45" s="207"/>
      <c r="W45" s="207"/>
      <c r="X45" s="208"/>
      <c r="Y45" s="208"/>
      <c r="Z45" s="304"/>
      <c r="AA45" s="271"/>
      <c r="AB45" s="228"/>
      <c r="AC45" s="208"/>
      <c r="AD45" s="208"/>
      <c r="AE45" s="208"/>
      <c r="AF45" s="208"/>
      <c r="AG45" s="208"/>
      <c r="AH45" s="208"/>
      <c r="AI45" s="208"/>
      <c r="AJ45" s="208"/>
      <c r="AK45" s="207"/>
      <c r="AL45" s="152"/>
      <c r="AM45" s="225"/>
      <c r="AN45" s="225"/>
      <c r="AO45" s="226"/>
      <c r="AP45" s="199"/>
      <c r="AQ45" s="199"/>
      <c r="AR45" s="199"/>
      <c r="AS45" s="227"/>
      <c r="AT45" s="227"/>
      <c r="AU45" s="227"/>
      <c r="AV45" s="227"/>
      <c r="AW45" s="208"/>
      <c r="AY45" s="1695"/>
      <c r="AZ45" s="552"/>
      <c r="BA45" s="1696"/>
      <c r="BB45" s="249"/>
      <c r="BC45" s="249"/>
    </row>
    <row r="46" spans="1:55" s="85" customFormat="1" ht="23">
      <c r="A46" s="1748" t="s">
        <v>265</v>
      </c>
      <c r="B46" s="1597" t="s">
        <v>855</v>
      </c>
      <c r="C46" s="102"/>
      <c r="D46" s="102" t="s">
        <v>855</v>
      </c>
      <c r="E46" s="504">
        <v>1</v>
      </c>
      <c r="F46" s="401">
        <v>4</v>
      </c>
      <c r="G46" s="507"/>
      <c r="H46" s="398" t="s">
        <v>2629</v>
      </c>
      <c r="I46" s="398" t="s">
        <v>2630</v>
      </c>
      <c r="J46" s="398" t="s">
        <v>2631</v>
      </c>
      <c r="K46" s="398" t="s">
        <v>2632</v>
      </c>
      <c r="L46" s="507"/>
      <c r="M46" s="499"/>
      <c r="N46" s="507"/>
      <c r="O46" s="207"/>
      <c r="P46" s="207"/>
      <c r="Q46" s="207"/>
      <c r="R46" s="207"/>
      <c r="S46" s="207"/>
      <c r="T46" s="207"/>
      <c r="U46" s="207"/>
      <c r="V46" s="207"/>
      <c r="W46" s="207"/>
      <c r="X46" s="208"/>
      <c r="Y46" s="208"/>
      <c r="Z46" s="507"/>
      <c r="AA46" s="271"/>
      <c r="AB46" s="228"/>
      <c r="AC46" s="208"/>
      <c r="AD46" s="208"/>
      <c r="AE46" s="208"/>
      <c r="AF46" s="208"/>
      <c r="AG46" s="208"/>
      <c r="AH46" s="208"/>
      <c r="AI46" s="208"/>
      <c r="AJ46" s="208"/>
      <c r="AK46" s="207"/>
      <c r="AL46" s="152"/>
      <c r="AM46" s="225"/>
      <c r="AN46" s="225"/>
      <c r="AO46" s="226"/>
      <c r="AP46" s="199"/>
      <c r="AQ46" s="199"/>
      <c r="AR46" s="199"/>
      <c r="AS46" s="227"/>
      <c r="AT46" s="227"/>
      <c r="AU46" s="227"/>
      <c r="AV46" s="227"/>
      <c r="AW46" s="208"/>
      <c r="AY46" s="1695"/>
      <c r="AZ46" s="552"/>
      <c r="BA46" s="1696"/>
      <c r="BB46" s="249"/>
      <c r="BC46" s="249"/>
    </row>
    <row r="47" spans="1:55" s="85" customFormat="1" ht="23">
      <c r="A47" s="1749"/>
      <c r="B47" s="1746" t="s">
        <v>853</v>
      </c>
      <c r="C47" s="102"/>
      <c r="D47" s="102"/>
      <c r="E47" s="504"/>
      <c r="F47" s="401"/>
      <c r="G47"/>
      <c r="H47" s="398" t="s">
        <v>2629</v>
      </c>
      <c r="I47" s="398" t="s">
        <v>2630</v>
      </c>
      <c r="J47" s="398" t="s">
        <v>2631</v>
      </c>
      <c r="K47" s="398" t="s">
        <v>2632</v>
      </c>
      <c r="L47" s="397"/>
      <c r="M47" s="499"/>
      <c r="N47"/>
      <c r="O47" s="207"/>
      <c r="P47" s="207"/>
      <c r="Q47" s="207"/>
      <c r="R47" s="207"/>
      <c r="S47" s="207"/>
      <c r="T47" s="207"/>
      <c r="U47" s="207"/>
      <c r="V47" s="207"/>
      <c r="W47" s="207"/>
      <c r="X47" s="208"/>
      <c r="Y47" s="208"/>
      <c r="Z47" s="304"/>
      <c r="AA47" s="225"/>
      <c r="AB47" s="228"/>
      <c r="AC47" s="208"/>
      <c r="AD47" s="208"/>
      <c r="AE47" s="208"/>
      <c r="AF47" s="208"/>
      <c r="AG47" s="208"/>
      <c r="AH47" s="208"/>
      <c r="AI47" s="208"/>
      <c r="AJ47" s="208"/>
      <c r="AK47" s="207"/>
      <c r="AL47" s="152"/>
      <c r="AM47" s="225"/>
      <c r="AN47" s="225"/>
      <c r="AO47" s="226"/>
      <c r="AP47" s="199"/>
      <c r="AQ47" s="199"/>
      <c r="AR47" s="199"/>
      <c r="AS47" s="227"/>
      <c r="AT47" s="227"/>
      <c r="AU47" s="227"/>
      <c r="AV47" s="227"/>
      <c r="AW47" s="208"/>
      <c r="AY47" s="1695"/>
      <c r="AZ47" s="552"/>
      <c r="BA47" s="219"/>
      <c r="BB47" s="48"/>
      <c r="BC47" s="301"/>
    </row>
    <row r="48" spans="1:55" s="85" customFormat="1" ht="23">
      <c r="A48" s="1749"/>
      <c r="B48" s="1746"/>
      <c r="C48" s="102"/>
      <c r="D48" s="102"/>
      <c r="E48" s="504"/>
      <c r="F48" s="401"/>
      <c r="G48" s="38"/>
      <c r="H48" s="398" t="s">
        <v>2629</v>
      </c>
      <c r="I48" s="398" t="s">
        <v>2630</v>
      </c>
      <c r="J48" s="398" t="s">
        <v>2631</v>
      </c>
      <c r="K48" s="398" t="s">
        <v>2632</v>
      </c>
      <c r="L48" s="38"/>
      <c r="M48" s="503"/>
      <c r="N48"/>
      <c r="O48" s="207"/>
      <c r="P48" s="207"/>
      <c r="Q48" s="207"/>
      <c r="R48" s="207"/>
      <c r="S48" s="207"/>
      <c r="T48" s="207"/>
      <c r="U48" s="207"/>
      <c r="V48" s="207"/>
      <c r="W48" s="207"/>
      <c r="X48" s="208"/>
      <c r="Y48" s="208"/>
      <c r="Z48" s="304"/>
      <c r="AA48" s="225"/>
      <c r="AB48" s="228"/>
      <c r="AC48" s="208"/>
      <c r="AD48" s="208"/>
      <c r="AE48" s="208"/>
      <c r="AF48" s="208"/>
      <c r="AG48" s="208"/>
      <c r="AH48" s="208"/>
      <c r="AI48" s="208"/>
      <c r="AJ48" s="208"/>
      <c r="AK48" s="207"/>
      <c r="AL48" s="152"/>
      <c r="AM48" s="225"/>
      <c r="AN48" s="225"/>
      <c r="AO48" s="226"/>
      <c r="AP48" s="199"/>
      <c r="AQ48" s="199"/>
      <c r="AR48" s="199"/>
      <c r="AS48" s="227"/>
      <c r="AT48" s="227"/>
      <c r="AU48" s="227"/>
      <c r="AV48" s="227"/>
      <c r="AW48" s="208"/>
      <c r="AY48" s="1695"/>
      <c r="AZ48" s="552"/>
      <c r="BA48" s="219"/>
      <c r="BB48" s="48"/>
      <c r="BC48" s="48"/>
    </row>
    <row r="49" spans="1:55" s="85" customFormat="1" ht="23">
      <c r="A49" s="1749"/>
      <c r="B49" s="1746"/>
      <c r="C49" s="102"/>
      <c r="D49" s="102"/>
      <c r="E49" s="504">
        <v>1</v>
      </c>
      <c r="F49" s="401">
        <v>4</v>
      </c>
      <c r="G49" s="38"/>
      <c r="H49" s="398" t="s">
        <v>2629</v>
      </c>
      <c r="I49" s="398" t="s">
        <v>2630</v>
      </c>
      <c r="J49" s="398" t="s">
        <v>2631</v>
      </c>
      <c r="K49" s="398" t="s">
        <v>2632</v>
      </c>
      <c r="L49" s="38"/>
      <c r="M49" s="503"/>
      <c r="N49"/>
      <c r="O49" s="207"/>
      <c r="P49" s="207"/>
      <c r="Q49" s="207"/>
      <c r="R49" s="207"/>
      <c r="S49" s="207"/>
      <c r="T49" s="207"/>
      <c r="U49" s="207"/>
      <c r="V49" s="207"/>
      <c r="W49" s="207"/>
      <c r="X49" s="208"/>
      <c r="Y49" s="208"/>
      <c r="Z49" s="304"/>
      <c r="AA49" s="225"/>
      <c r="AB49" s="228"/>
      <c r="AC49" s="208"/>
      <c r="AD49" s="208"/>
      <c r="AE49" s="208"/>
      <c r="AF49" s="208"/>
      <c r="AG49" s="208"/>
      <c r="AH49" s="208"/>
      <c r="AI49" s="208"/>
      <c r="AJ49" s="208"/>
      <c r="AK49" s="207"/>
      <c r="AL49" s="152"/>
      <c r="AM49" s="225"/>
      <c r="AN49" s="225"/>
      <c r="AO49" s="226"/>
      <c r="AP49" s="199"/>
      <c r="AQ49" s="199"/>
      <c r="AR49" s="199"/>
      <c r="AS49" s="227"/>
      <c r="AT49" s="227"/>
      <c r="AU49" s="227"/>
      <c r="AV49" s="227"/>
      <c r="AW49" s="208"/>
      <c r="AZ49" s="398"/>
      <c r="BA49" s="48"/>
      <c r="BB49" s="48"/>
      <c r="BC49" s="48"/>
    </row>
    <row r="50" spans="1:55" s="85" customFormat="1" ht="23">
      <c r="A50" s="1749"/>
      <c r="B50" s="1746"/>
      <c r="C50" s="102" t="s">
        <v>854</v>
      </c>
      <c r="D50" s="233" t="s">
        <v>1445</v>
      </c>
      <c r="E50" s="504">
        <v>1</v>
      </c>
      <c r="F50" s="401">
        <v>4</v>
      </c>
      <c r="G50" s="38"/>
      <c r="H50" s="398" t="s">
        <v>2629</v>
      </c>
      <c r="I50" s="398" t="s">
        <v>2630</v>
      </c>
      <c r="J50" s="398" t="s">
        <v>2631</v>
      </c>
      <c r="K50" s="398" t="s">
        <v>2632</v>
      </c>
      <c r="L50" s="38"/>
      <c r="M50" s="503"/>
      <c r="N50" s="37"/>
      <c r="O50" s="207"/>
      <c r="P50" s="207"/>
      <c r="Q50" s="207"/>
      <c r="R50" s="207"/>
      <c r="S50" s="207"/>
      <c r="T50" s="207"/>
      <c r="U50" s="207"/>
      <c r="V50" s="207"/>
      <c r="W50" s="207"/>
      <c r="X50" s="208"/>
      <c r="Y50" s="208"/>
      <c r="Z50" s="304"/>
      <c r="AA50" s="225"/>
      <c r="AB50" s="228"/>
      <c r="AC50" s="208"/>
      <c r="AD50" s="208"/>
      <c r="AE50" s="208"/>
      <c r="AF50" s="208"/>
      <c r="AG50" s="208"/>
      <c r="AH50" s="208"/>
      <c r="AI50" s="208"/>
      <c r="AJ50" s="208"/>
      <c r="AK50" s="207"/>
      <c r="AL50" s="152"/>
      <c r="AM50" s="225"/>
      <c r="AN50" s="225"/>
      <c r="AO50" s="226"/>
      <c r="AP50" s="199"/>
      <c r="AQ50" s="199"/>
      <c r="AR50" s="199"/>
      <c r="AS50" s="227"/>
      <c r="AT50" s="227"/>
      <c r="AU50" s="227"/>
      <c r="AV50" s="227"/>
      <c r="AW50" s="208"/>
      <c r="AZ50" s="398"/>
      <c r="BA50" s="48"/>
      <c r="BB50" s="48"/>
      <c r="BC50" s="48"/>
    </row>
    <row r="51" spans="1:55" s="85" customFormat="1" ht="23">
      <c r="A51" s="1749"/>
      <c r="B51" s="1746"/>
      <c r="C51" s="232"/>
      <c r="D51" s="233" t="s">
        <v>1446</v>
      </c>
      <c r="E51" s="504">
        <v>1</v>
      </c>
      <c r="F51" s="402">
        <v>4</v>
      </c>
      <c r="G51" s="38"/>
      <c r="H51" s="398" t="s">
        <v>2629</v>
      </c>
      <c r="I51" s="398" t="s">
        <v>2630</v>
      </c>
      <c r="J51" s="398" t="s">
        <v>2631</v>
      </c>
      <c r="K51" s="398" t="s">
        <v>2632</v>
      </c>
      <c r="L51" s="38"/>
      <c r="M51" s="503"/>
      <c r="N51"/>
      <c r="O51" s="207"/>
      <c r="P51" s="207"/>
      <c r="Q51" s="207"/>
      <c r="R51" s="207"/>
      <c r="S51" s="207"/>
      <c r="T51" s="207"/>
      <c r="U51" s="207"/>
      <c r="V51" s="207"/>
      <c r="W51" s="207"/>
      <c r="X51" s="208"/>
      <c r="Y51" s="208"/>
      <c r="Z51" s="304"/>
      <c r="AA51" s="225"/>
      <c r="AB51" s="228"/>
      <c r="AC51" s="208"/>
      <c r="AD51" s="208"/>
      <c r="AE51" s="208"/>
      <c r="AF51" s="208"/>
      <c r="AG51" s="208"/>
      <c r="AH51" s="208"/>
      <c r="AI51" s="208"/>
      <c r="AJ51" s="208"/>
      <c r="AK51" s="207"/>
      <c r="AL51" s="152"/>
      <c r="AM51" s="205"/>
      <c r="AN51" s="209"/>
      <c r="AO51" s="209"/>
      <c r="AP51" s="209"/>
      <c r="AQ51" s="209"/>
      <c r="AR51" s="209"/>
      <c r="AS51" s="209"/>
      <c r="AT51" s="209"/>
      <c r="AU51" s="209"/>
      <c r="AV51" s="209"/>
      <c r="AW51" s="208"/>
      <c r="AZ51" s="398"/>
      <c r="BA51" s="48"/>
      <c r="BB51" s="222"/>
      <c r="BC51" s="48"/>
    </row>
    <row r="52" spans="1:55" s="85" customFormat="1" ht="23">
      <c r="A52" s="1749"/>
      <c r="B52" s="1747"/>
      <c r="C52" s="232"/>
      <c r="D52" s="233" t="s">
        <v>1840</v>
      </c>
      <c r="E52" s="504">
        <v>1</v>
      </c>
      <c r="F52" s="402">
        <v>4</v>
      </c>
      <c r="G52" s="38"/>
      <c r="H52" s="398" t="s">
        <v>2629</v>
      </c>
      <c r="I52" s="398" t="s">
        <v>2630</v>
      </c>
      <c r="J52" s="398" t="s">
        <v>2631</v>
      </c>
      <c r="K52" s="398" t="s">
        <v>2632</v>
      </c>
      <c r="L52" s="38"/>
      <c r="M52" s="503"/>
      <c r="N52" s="530"/>
      <c r="O52" s="207"/>
      <c r="P52" s="207"/>
      <c r="Q52" s="207"/>
      <c r="R52" s="207"/>
      <c r="S52" s="207"/>
      <c r="T52" s="207"/>
      <c r="U52" s="207"/>
      <c r="V52" s="207"/>
      <c r="W52" s="207"/>
      <c r="X52" s="208"/>
      <c r="Y52" s="208"/>
      <c r="Z52" s="530"/>
      <c r="AA52" s="225"/>
      <c r="AB52" s="228"/>
      <c r="AC52" s="208"/>
      <c r="AD52" s="208"/>
      <c r="AE52" s="208"/>
      <c r="AF52" s="208"/>
      <c r="AG52" s="208"/>
      <c r="AH52" s="208"/>
      <c r="AI52" s="208"/>
      <c r="AJ52" s="208"/>
      <c r="AK52" s="207"/>
      <c r="AL52" s="152"/>
      <c r="AM52" s="205"/>
      <c r="AN52" s="209"/>
      <c r="AO52" s="209"/>
      <c r="AP52" s="209"/>
      <c r="AQ52" s="209"/>
      <c r="AR52" s="209"/>
      <c r="AS52" s="209"/>
      <c r="AT52" s="209"/>
      <c r="AU52" s="209"/>
      <c r="AV52" s="209"/>
      <c r="AW52" s="208"/>
      <c r="AZ52" s="398"/>
      <c r="BA52" s="48"/>
      <c r="BB52" s="222"/>
      <c r="BC52" s="48"/>
    </row>
    <row r="53" spans="1:55" s="85" customFormat="1" ht="23">
      <c r="A53" s="1749"/>
      <c r="B53" s="1747"/>
      <c r="C53" s="232"/>
      <c r="D53" s="233"/>
      <c r="E53" s="504">
        <v>1</v>
      </c>
      <c r="F53" s="402">
        <v>4</v>
      </c>
      <c r="G53" s="38"/>
      <c r="H53" s="398" t="s">
        <v>2629</v>
      </c>
      <c r="I53" s="398" t="s">
        <v>2630</v>
      </c>
      <c r="J53" s="398" t="s">
        <v>2631</v>
      </c>
      <c r="K53" s="398" t="s">
        <v>2632</v>
      </c>
      <c r="L53" s="38"/>
      <c r="M53" s="503"/>
      <c r="N53" s="530"/>
      <c r="O53" s="207"/>
      <c r="P53" s="207"/>
      <c r="Q53" s="207"/>
      <c r="R53" s="207"/>
      <c r="S53" s="207"/>
      <c r="T53" s="207"/>
      <c r="U53" s="207"/>
      <c r="V53" s="207"/>
      <c r="W53" s="207"/>
      <c r="X53" s="208"/>
      <c r="Y53" s="208"/>
      <c r="Z53" s="530"/>
      <c r="AA53" s="225"/>
      <c r="AB53" s="228"/>
      <c r="AC53" s="208"/>
      <c r="AD53" s="208"/>
      <c r="AE53" s="208"/>
      <c r="AF53" s="208"/>
      <c r="AG53" s="208"/>
      <c r="AH53" s="208"/>
      <c r="AI53" s="208"/>
      <c r="AJ53" s="208"/>
      <c r="AK53" s="207"/>
      <c r="AL53" s="152"/>
      <c r="AM53" s="205"/>
      <c r="AN53" s="209"/>
      <c r="AO53" s="209"/>
      <c r="AP53" s="209"/>
      <c r="AQ53" s="209"/>
      <c r="AR53" s="209"/>
      <c r="AS53" s="209"/>
      <c r="AT53" s="209"/>
      <c r="AU53" s="209"/>
      <c r="AV53" s="209"/>
      <c r="AW53" s="208"/>
      <c r="AZ53" s="398"/>
      <c r="BA53" s="48"/>
      <c r="BB53" s="222"/>
      <c r="BC53" s="48"/>
    </row>
    <row r="54" spans="1:55" s="85" customFormat="1" ht="23">
      <c r="A54" s="1749"/>
      <c r="B54" s="1597"/>
      <c r="C54" s="232"/>
      <c r="D54" s="233"/>
      <c r="E54" s="504"/>
      <c r="F54" s="402"/>
      <c r="G54" s="38"/>
      <c r="H54" s="398" t="s">
        <v>2629</v>
      </c>
      <c r="I54" s="398" t="s">
        <v>2630</v>
      </c>
      <c r="J54" s="398" t="s">
        <v>2631</v>
      </c>
      <c r="K54" s="398" t="s">
        <v>2632</v>
      </c>
      <c r="L54" s="38"/>
      <c r="M54" s="503"/>
      <c r="N54" s="530"/>
      <c r="O54" s="207"/>
      <c r="P54" s="207"/>
      <c r="Q54" s="207"/>
      <c r="R54" s="207"/>
      <c r="S54" s="207"/>
      <c r="T54" s="207"/>
      <c r="U54" s="207"/>
      <c r="V54" s="207"/>
      <c r="W54" s="207"/>
      <c r="X54" s="208"/>
      <c r="Y54" s="208"/>
      <c r="Z54" s="530"/>
      <c r="AA54" s="225"/>
      <c r="AB54" s="228"/>
      <c r="AC54" s="208"/>
      <c r="AD54" s="208"/>
      <c r="AE54" s="208"/>
      <c r="AF54" s="208"/>
      <c r="AG54" s="208"/>
      <c r="AH54" s="208"/>
      <c r="AI54" s="208"/>
      <c r="AJ54" s="208"/>
      <c r="AK54" s="207"/>
      <c r="AL54" s="152"/>
      <c r="AM54" s="205"/>
      <c r="AN54" s="209"/>
      <c r="AO54" s="209"/>
      <c r="AP54" s="209"/>
      <c r="AQ54" s="209"/>
      <c r="AR54" s="209"/>
      <c r="AS54" s="209"/>
      <c r="AT54" s="209"/>
      <c r="AU54" s="209"/>
      <c r="AV54" s="209"/>
      <c r="AW54" s="208"/>
      <c r="AZ54" s="398"/>
      <c r="BA54" s="48"/>
      <c r="BB54" s="222"/>
      <c r="BC54" s="48"/>
    </row>
    <row r="55" spans="1:55" s="85" customFormat="1" ht="23">
      <c r="A55" s="1749"/>
      <c r="B55" s="1746"/>
      <c r="C55" s="232"/>
      <c r="D55" s="233"/>
      <c r="E55" s="504"/>
      <c r="F55" s="401"/>
      <c r="G55"/>
      <c r="H55" s="398" t="s">
        <v>2629</v>
      </c>
      <c r="I55" s="398" t="s">
        <v>2630</v>
      </c>
      <c r="J55" s="398" t="s">
        <v>2631</v>
      </c>
      <c r="K55" s="398" t="s">
        <v>2632</v>
      </c>
      <c r="L55" s="397"/>
      <c r="M55" s="499"/>
      <c r="N55"/>
      <c r="O55" s="207"/>
      <c r="P55" s="207"/>
      <c r="Q55" s="207"/>
      <c r="R55" s="207"/>
      <c r="S55" s="207"/>
      <c r="T55" s="207"/>
      <c r="U55" s="207"/>
      <c r="V55" s="207"/>
      <c r="W55" s="207"/>
      <c r="X55" s="208"/>
      <c r="Y55" s="208"/>
      <c r="Z55" s="304"/>
      <c r="AA55" s="225"/>
      <c r="AB55" s="228"/>
      <c r="AC55" s="208"/>
      <c r="AD55" s="208"/>
      <c r="AE55" s="208"/>
      <c r="AF55" s="208"/>
      <c r="AG55" s="208"/>
      <c r="AH55" s="208"/>
      <c r="AI55" s="208"/>
      <c r="AJ55" s="208"/>
      <c r="AK55" s="207"/>
      <c r="AL55" s="152"/>
      <c r="AM55" s="310"/>
      <c r="AN55" s="214"/>
      <c r="AO55" s="211"/>
      <c r="AP55" s="211"/>
      <c r="AQ55" s="210"/>
      <c r="AR55" s="211"/>
      <c r="AS55" s="220"/>
      <c r="AT55" s="220"/>
      <c r="AU55" s="220"/>
      <c r="AV55" s="220"/>
      <c r="AW55" s="209"/>
      <c r="AZ55" s="398"/>
    </row>
    <row r="56" spans="1:55" s="48" customFormat="1" ht="23">
      <c r="A56" s="1749"/>
      <c r="B56" s="1746"/>
      <c r="C56" s="233"/>
      <c r="D56" s="233"/>
      <c r="E56" s="504"/>
      <c r="F56" s="402"/>
      <c r="G56" s="37"/>
      <c r="H56" s="398" t="s">
        <v>2629</v>
      </c>
      <c r="I56" s="398" t="s">
        <v>2630</v>
      </c>
      <c r="J56" s="398" t="s">
        <v>2631</v>
      </c>
      <c r="K56" s="398" t="s">
        <v>2632</v>
      </c>
      <c r="L56" s="397"/>
      <c r="M56" s="499"/>
      <c r="N56" s="37"/>
      <c r="O56" s="207"/>
      <c r="P56" s="207"/>
      <c r="Q56" s="207"/>
      <c r="R56" s="207"/>
      <c r="S56" s="207"/>
      <c r="T56" s="207"/>
      <c r="U56" s="207"/>
      <c r="V56" s="207"/>
      <c r="W56" s="207"/>
      <c r="X56" s="208"/>
      <c r="Y56" s="208"/>
      <c r="Z56" s="304"/>
      <c r="AA56" s="225"/>
      <c r="AB56" s="228"/>
      <c r="AC56" s="208"/>
      <c r="AD56" s="208"/>
      <c r="AE56" s="208"/>
      <c r="AF56" s="208"/>
      <c r="AG56" s="208"/>
      <c r="AH56" s="208"/>
      <c r="AI56" s="208"/>
      <c r="AJ56" s="208"/>
      <c r="AK56" s="207"/>
      <c r="AL56" s="152"/>
      <c r="AM56" s="311"/>
      <c r="AN56" s="311"/>
      <c r="AO56" s="313"/>
      <c r="AP56" s="205"/>
      <c r="AQ56" s="315"/>
      <c r="AR56" s="313"/>
      <c r="AS56" s="314"/>
      <c r="AT56" s="314"/>
      <c r="AU56" s="314"/>
      <c r="AV56" s="314"/>
      <c r="AW56" s="208"/>
      <c r="AZ56" s="398"/>
    </row>
    <row r="57" spans="1:55" s="48" customFormat="1" ht="23">
      <c r="A57" s="1750"/>
      <c r="B57" s="1746"/>
      <c r="C57" s="233"/>
      <c r="D57" s="233"/>
      <c r="E57" s="504"/>
      <c r="F57" s="402"/>
      <c r="G57" s="37"/>
      <c r="H57" s="398" t="s">
        <v>2629</v>
      </c>
      <c r="I57" s="398" t="s">
        <v>2630</v>
      </c>
      <c r="J57" s="398" t="s">
        <v>2631</v>
      </c>
      <c r="K57" s="398" t="s">
        <v>2632</v>
      </c>
      <c r="L57" s="397"/>
      <c r="M57" s="499"/>
      <c r="N57" s="37"/>
      <c r="O57" s="208"/>
      <c r="P57" s="208"/>
      <c r="Q57" s="208"/>
      <c r="R57" s="208"/>
      <c r="S57" s="208"/>
      <c r="T57" s="208"/>
      <c r="U57" s="210"/>
      <c r="V57" s="211"/>
      <c r="W57" s="211"/>
      <c r="X57" s="208"/>
      <c r="Y57" s="208"/>
      <c r="Z57" s="304"/>
      <c r="AA57" s="225"/>
      <c r="AB57" s="228"/>
      <c r="AC57" s="208"/>
      <c r="AD57" s="208"/>
      <c r="AE57" s="208"/>
      <c r="AF57" s="208"/>
      <c r="AG57" s="208"/>
      <c r="AH57" s="208"/>
      <c r="AI57" s="208"/>
      <c r="AJ57" s="208"/>
      <c r="AK57" s="207"/>
      <c r="AL57" s="152"/>
      <c r="AM57" s="225"/>
      <c r="AN57" s="225"/>
      <c r="AO57" s="226"/>
      <c r="AP57" s="198"/>
      <c r="AQ57" s="254"/>
      <c r="AR57" s="226"/>
      <c r="AS57" s="227"/>
      <c r="AT57" s="227"/>
      <c r="AU57" s="227"/>
      <c r="AV57" s="227"/>
      <c r="AW57" s="208"/>
      <c r="AZ57" s="398"/>
    </row>
    <row r="58" spans="1:55" s="48" customFormat="1" ht="23">
      <c r="A58" s="1743" t="s">
        <v>2495</v>
      </c>
      <c r="B58" s="1746" t="s">
        <v>32</v>
      </c>
      <c r="C58" s="102" t="s">
        <v>1352</v>
      </c>
      <c r="D58" s="233" t="str">
        <f>IND.a!D9</f>
        <v>Energy efficiency of plant</v>
      </c>
      <c r="E58" s="504">
        <v>1</v>
      </c>
      <c r="F58" s="402">
        <v>4</v>
      </c>
      <c r="G58" s="37"/>
      <c r="H58" s="398" t="s">
        <v>2629</v>
      </c>
      <c r="I58" s="398" t="s">
        <v>2630</v>
      </c>
      <c r="J58" s="398" t="s">
        <v>2631</v>
      </c>
      <c r="K58" s="398" t="s">
        <v>2632</v>
      </c>
      <c r="L58" s="397"/>
      <c r="M58" s="499"/>
      <c r="O58" s="208"/>
      <c r="P58" s="208"/>
      <c r="Q58" s="208"/>
      <c r="R58" s="208"/>
      <c r="S58" s="208"/>
      <c r="T58" s="208"/>
      <c r="U58" s="210"/>
      <c r="V58" s="211"/>
      <c r="W58" s="211"/>
      <c r="X58" s="208"/>
      <c r="Y58" s="208"/>
      <c r="Z58" s="304"/>
      <c r="AA58" s="225"/>
      <c r="AB58" s="228"/>
      <c r="AC58" s="208"/>
      <c r="AD58" s="208"/>
      <c r="AE58" s="208"/>
      <c r="AF58" s="208"/>
      <c r="AG58" s="208"/>
      <c r="AH58" s="208"/>
      <c r="AI58" s="208"/>
      <c r="AJ58" s="208"/>
      <c r="AK58" s="208"/>
      <c r="AL58" s="152"/>
      <c r="AM58" s="225"/>
      <c r="AN58" s="225"/>
      <c r="AO58" s="226"/>
      <c r="AP58" s="198"/>
      <c r="AQ58" s="254"/>
      <c r="AR58" s="226"/>
      <c r="AS58" s="227"/>
      <c r="AT58" s="227"/>
      <c r="AU58" s="227"/>
      <c r="AV58" s="227"/>
      <c r="AW58" s="209"/>
      <c r="AZ58" s="398"/>
    </row>
    <row r="59" spans="1:55" s="48" customFormat="1" ht="23">
      <c r="A59" s="1743"/>
      <c r="B59" s="1746"/>
      <c r="C59" s="233"/>
      <c r="D59" s="233" t="str">
        <f>IND.a!D10</f>
        <v>Industrial boiler/furnace fuel migration to gas and/or waste</v>
      </c>
      <c r="E59" s="504">
        <v>1</v>
      </c>
      <c r="F59" s="402">
        <v>4</v>
      </c>
      <c r="G59" s="1256"/>
      <c r="H59" s="398" t="s">
        <v>2629</v>
      </c>
      <c r="I59" s="398" t="s">
        <v>2630</v>
      </c>
      <c r="J59" s="398" t="s">
        <v>2631</v>
      </c>
      <c r="K59" s="398" t="s">
        <v>2632</v>
      </c>
      <c r="L59" s="1256"/>
      <c r="M59" s="499"/>
      <c r="O59" s="208"/>
      <c r="P59" s="208"/>
      <c r="Q59" s="208"/>
      <c r="R59" s="208"/>
      <c r="S59" s="208"/>
      <c r="T59" s="208"/>
      <c r="U59" s="210"/>
      <c r="V59" s="211"/>
      <c r="W59" s="211"/>
      <c r="X59" s="208"/>
      <c r="Y59" s="208"/>
      <c r="Z59" s="1256"/>
      <c r="AA59" s="225"/>
      <c r="AB59" s="228"/>
      <c r="AC59" s="208"/>
      <c r="AD59" s="208"/>
      <c r="AE59" s="208"/>
      <c r="AF59" s="208"/>
      <c r="AG59" s="208"/>
      <c r="AH59" s="208"/>
      <c r="AI59" s="208"/>
      <c r="AJ59" s="208"/>
      <c r="AK59" s="208"/>
      <c r="AL59" s="1259"/>
      <c r="AM59" s="225"/>
      <c r="AN59" s="225"/>
      <c r="AO59" s="226"/>
      <c r="AP59" s="198"/>
      <c r="AQ59" s="254"/>
      <c r="AR59" s="226"/>
      <c r="AS59" s="227"/>
      <c r="AT59" s="227"/>
      <c r="AU59" s="227"/>
      <c r="AV59" s="227"/>
      <c r="AW59" s="209"/>
      <c r="AZ59" s="398"/>
    </row>
    <row r="60" spans="1:55" s="48" customFormat="1" ht="23">
      <c r="A60" s="1743"/>
      <c r="B60" s="1746"/>
      <c r="C60" s="233"/>
      <c r="D60" s="233" t="str">
        <f>IND.a!D11</f>
        <v>CHP share of demand above base year</v>
      </c>
      <c r="E60" s="504">
        <v>1</v>
      </c>
      <c r="F60" s="402">
        <v>4</v>
      </c>
      <c r="G60" s="37"/>
      <c r="H60" s="398" t="s">
        <v>2629</v>
      </c>
      <c r="I60" s="398" t="s">
        <v>2630</v>
      </c>
      <c r="J60" s="398" t="s">
        <v>2631</v>
      </c>
      <c r="K60" s="398" t="s">
        <v>2632</v>
      </c>
      <c r="L60" s="397"/>
      <c r="M60" s="499"/>
      <c r="O60" s="208"/>
      <c r="P60" s="208"/>
      <c r="Q60" s="208"/>
      <c r="R60" s="208"/>
      <c r="S60" s="208"/>
      <c r="T60" s="208"/>
      <c r="U60" s="210"/>
      <c r="V60" s="211"/>
      <c r="W60" s="211"/>
      <c r="X60" s="208"/>
      <c r="Y60" s="208"/>
      <c r="Z60" s="304"/>
      <c r="AA60" s="225"/>
      <c r="AB60" s="228"/>
      <c r="AC60" s="208"/>
      <c r="AD60" s="208"/>
      <c r="AE60" s="208"/>
      <c r="AF60" s="208"/>
      <c r="AG60" s="208"/>
      <c r="AH60" s="208"/>
      <c r="AI60" s="208"/>
      <c r="AJ60" s="208"/>
      <c r="AK60" s="208"/>
      <c r="AL60" s="152"/>
      <c r="AM60" s="198"/>
      <c r="AN60" s="208"/>
      <c r="AO60" s="208"/>
      <c r="AP60" s="208"/>
      <c r="AQ60" s="208"/>
      <c r="AR60" s="208"/>
      <c r="AS60" s="208"/>
      <c r="AT60" s="208"/>
      <c r="AU60" s="208"/>
      <c r="AV60" s="208"/>
      <c r="AW60" s="209"/>
      <c r="AZ60" s="398"/>
    </row>
    <row r="61" spans="1:55" s="48" customFormat="1" ht="23">
      <c r="A61" s="1743"/>
      <c r="B61" s="1746" t="s">
        <v>867</v>
      </c>
      <c r="C61" s="102"/>
      <c r="D61" s="102" t="s">
        <v>1887</v>
      </c>
      <c r="E61" s="504">
        <v>1</v>
      </c>
      <c r="F61" s="401">
        <v>4</v>
      </c>
      <c r="G61"/>
      <c r="H61" s="398" t="s">
        <v>2629</v>
      </c>
      <c r="I61" s="398" t="s">
        <v>2630</v>
      </c>
      <c r="J61" s="398" t="s">
        <v>2631</v>
      </c>
      <c r="K61" s="398" t="s">
        <v>2632</v>
      </c>
      <c r="L61" s="397"/>
      <c r="M61" s="499"/>
      <c r="O61" s="208"/>
      <c r="P61" s="208"/>
      <c r="Q61" s="208"/>
      <c r="R61" s="208"/>
      <c r="S61" s="208"/>
      <c r="T61" s="208"/>
      <c r="U61" s="210"/>
      <c r="V61" s="211"/>
      <c r="W61" s="211"/>
      <c r="X61" s="208"/>
      <c r="Y61" s="208"/>
      <c r="Z61" s="304"/>
      <c r="AA61" s="198"/>
      <c r="AB61" s="228"/>
      <c r="AC61" s="208"/>
      <c r="AD61" s="208"/>
      <c r="AE61" s="208"/>
      <c r="AF61" s="208"/>
      <c r="AG61" s="208"/>
      <c r="AH61" s="208"/>
      <c r="AI61" s="208"/>
      <c r="AJ61" s="208"/>
      <c r="AK61" s="208"/>
      <c r="AL61" s="152"/>
      <c r="AM61" s="310"/>
      <c r="AN61" s="214"/>
      <c r="AO61" s="211"/>
      <c r="AP61" s="211"/>
      <c r="AQ61" s="210"/>
      <c r="AR61" s="211"/>
      <c r="AS61" s="220"/>
      <c r="AT61" s="220"/>
      <c r="AU61" s="220"/>
      <c r="AV61" s="220"/>
      <c r="AW61" s="208"/>
      <c r="AZ61" s="398"/>
      <c r="BC61" s="301"/>
    </row>
    <row r="62" spans="1:55" s="48" customFormat="1" ht="23">
      <c r="A62" s="1743"/>
      <c r="B62" s="1746"/>
      <c r="C62" s="232"/>
      <c r="D62" s="233" t="s">
        <v>1888</v>
      </c>
      <c r="E62" s="504">
        <v>1</v>
      </c>
      <c r="F62" s="402">
        <v>4</v>
      </c>
      <c r="G62" s="37"/>
      <c r="H62" s="398" t="s">
        <v>2629</v>
      </c>
      <c r="I62" s="398" t="s">
        <v>2630</v>
      </c>
      <c r="J62" s="398" t="s">
        <v>2631</v>
      </c>
      <c r="K62" s="398" t="s">
        <v>2632</v>
      </c>
      <c r="L62" s="397"/>
      <c r="M62" s="499"/>
      <c r="O62" s="208"/>
      <c r="P62" s="208"/>
      <c r="Q62" s="208"/>
      <c r="R62" s="208"/>
      <c r="S62" s="208"/>
      <c r="T62" s="208"/>
      <c r="U62" s="210"/>
      <c r="V62" s="211"/>
      <c r="W62" s="211"/>
      <c r="X62" s="208"/>
      <c r="Y62" s="208"/>
      <c r="Z62" s="304"/>
      <c r="AA62" s="198"/>
      <c r="AB62" s="228"/>
      <c r="AC62" s="208"/>
      <c r="AD62" s="208"/>
      <c r="AE62" s="208"/>
      <c r="AF62" s="208"/>
      <c r="AG62" s="208"/>
      <c r="AH62" s="208"/>
      <c r="AI62" s="208"/>
      <c r="AJ62" s="208"/>
      <c r="AK62" s="208"/>
      <c r="AL62" s="152"/>
      <c r="AM62" s="311"/>
      <c r="AN62" s="311"/>
      <c r="AO62" s="313"/>
      <c r="AP62" s="205"/>
      <c r="AQ62" s="205"/>
      <c r="AR62" s="205"/>
      <c r="AS62" s="314"/>
      <c r="AT62" s="314"/>
      <c r="AU62" s="314"/>
      <c r="AV62" s="314"/>
      <c r="AW62" s="208"/>
      <c r="AZ62" s="398"/>
    </row>
    <row r="63" spans="1:55" s="48" customFormat="1" ht="15">
      <c r="A63" s="1743"/>
      <c r="B63" s="1746"/>
      <c r="C63" s="232"/>
      <c r="D63" s="233" t="s">
        <v>1889</v>
      </c>
      <c r="E63" s="504">
        <v>1</v>
      </c>
      <c r="F63" s="402" t="s">
        <v>410</v>
      </c>
      <c r="G63" s="37"/>
      <c r="H63" s="398" t="s">
        <v>2629</v>
      </c>
      <c r="I63" s="398" t="s">
        <v>2630</v>
      </c>
      <c r="J63" s="398" t="s">
        <v>2631</v>
      </c>
      <c r="K63" s="398" t="s">
        <v>2632</v>
      </c>
      <c r="L63" s="397"/>
      <c r="M63" s="499"/>
      <c r="O63" s="208"/>
      <c r="P63" s="208"/>
      <c r="Q63" s="208"/>
      <c r="R63" s="208"/>
      <c r="S63" s="208"/>
      <c r="T63" s="208"/>
      <c r="U63" s="210"/>
      <c r="V63" s="211"/>
      <c r="W63" s="211"/>
      <c r="X63" s="208"/>
      <c r="Y63" s="208"/>
      <c r="Z63" s="304"/>
      <c r="AA63" s="308"/>
      <c r="AB63" s="259"/>
      <c r="AC63" s="208"/>
      <c r="AD63" s="208"/>
      <c r="AE63" s="208"/>
      <c r="AF63" s="208"/>
      <c r="AG63" s="208"/>
      <c r="AH63" s="208"/>
      <c r="AI63" s="208"/>
      <c r="AJ63" s="208"/>
      <c r="AK63" s="208"/>
      <c r="AL63" s="152"/>
      <c r="AM63" s="225"/>
      <c r="AN63" s="225"/>
      <c r="AO63" s="226"/>
      <c r="AP63" s="198"/>
      <c r="AQ63" s="198"/>
      <c r="AR63" s="198"/>
      <c r="AS63" s="227"/>
      <c r="AT63" s="227"/>
      <c r="AU63" s="227"/>
      <c r="AV63" s="227"/>
      <c r="AW63" s="208"/>
      <c r="AZ63" s="398"/>
    </row>
    <row r="64" spans="1:55" s="48" customFormat="1" ht="15">
      <c r="A64" s="1743"/>
      <c r="B64" s="1746"/>
      <c r="C64" s="232"/>
      <c r="D64" s="233" t="s">
        <v>1890</v>
      </c>
      <c r="E64" s="504">
        <v>1</v>
      </c>
      <c r="F64" s="402" t="s">
        <v>410</v>
      </c>
      <c r="G64" s="37"/>
      <c r="H64" s="398" t="s">
        <v>2629</v>
      </c>
      <c r="I64" s="398" t="s">
        <v>2630</v>
      </c>
      <c r="J64" s="398" t="s">
        <v>2631</v>
      </c>
      <c r="K64" s="398" t="s">
        <v>2632</v>
      </c>
      <c r="L64" s="397"/>
      <c r="M64" s="499"/>
      <c r="O64" s="208"/>
      <c r="P64" s="208"/>
      <c r="Q64" s="208"/>
      <c r="R64" s="208"/>
      <c r="S64" s="208"/>
      <c r="T64" s="208"/>
      <c r="U64" s="210"/>
      <c r="V64" s="211"/>
      <c r="W64" s="211"/>
      <c r="X64" s="208"/>
      <c r="Y64" s="208"/>
      <c r="Z64" s="304"/>
      <c r="AA64" s="308"/>
      <c r="AB64" s="259"/>
      <c r="AC64" s="208"/>
      <c r="AD64" s="208"/>
      <c r="AE64" s="208"/>
      <c r="AF64" s="208"/>
      <c r="AG64" s="208"/>
      <c r="AH64" s="208"/>
      <c r="AI64" s="208"/>
      <c r="AJ64" s="208"/>
      <c r="AK64" s="208"/>
      <c r="AL64" s="152"/>
      <c r="AM64" s="225"/>
      <c r="AN64" s="225"/>
      <c r="AO64" s="226"/>
      <c r="AP64" s="198"/>
      <c r="AQ64" s="198"/>
      <c r="AR64" s="198"/>
      <c r="AS64" s="227"/>
      <c r="AT64" s="227"/>
      <c r="AU64" s="227"/>
      <c r="AV64" s="227"/>
      <c r="AW64" s="208"/>
      <c r="AZ64" s="398"/>
      <c r="BB64" s="222"/>
    </row>
    <row r="65" spans="1:55" s="48" customFormat="1" ht="23">
      <c r="A65" s="406" t="s">
        <v>558</v>
      </c>
      <c r="B65" s="407"/>
      <c r="C65" s="291"/>
      <c r="D65" s="291"/>
      <c r="E65" s="504"/>
      <c r="F65" s="403"/>
      <c r="G65" s="291"/>
      <c r="H65" s="297"/>
      <c r="I65" s="297"/>
      <c r="J65" s="297"/>
      <c r="K65" s="297"/>
      <c r="L65" s="291"/>
      <c r="M65" s="502"/>
      <c r="O65" s="208"/>
      <c r="P65" s="208"/>
      <c r="Q65" s="208"/>
      <c r="R65" s="208"/>
      <c r="S65" s="208"/>
      <c r="T65" s="208"/>
      <c r="U65" s="210"/>
      <c r="V65" s="211"/>
      <c r="W65" s="211"/>
      <c r="X65" s="208"/>
      <c r="Y65" s="208"/>
      <c r="Z65" s="305"/>
      <c r="AA65" s="208"/>
      <c r="AB65" s="208"/>
      <c r="AC65" s="208"/>
      <c r="AD65" s="208"/>
      <c r="AE65" s="208"/>
      <c r="AF65" s="208"/>
      <c r="AG65" s="208"/>
      <c r="AH65" s="210"/>
      <c r="AI65" s="208"/>
      <c r="AJ65" s="208"/>
      <c r="AK65" s="208"/>
      <c r="AL65" s="152"/>
      <c r="AM65" s="213"/>
      <c r="AN65" s="213"/>
      <c r="AO65" s="208"/>
      <c r="AP65" s="208"/>
      <c r="AQ65" s="208"/>
      <c r="AR65" s="208"/>
      <c r="AS65" s="208"/>
      <c r="AT65" s="208"/>
      <c r="AU65" s="208"/>
      <c r="AV65" s="208"/>
      <c r="AW65" s="208"/>
      <c r="AZ65" s="398"/>
    </row>
    <row r="66" spans="1:55" s="48" customFormat="1" ht="23">
      <c r="A66" s="1694"/>
      <c r="B66" s="1694"/>
      <c r="C66" s="1694"/>
      <c r="D66" s="1694"/>
      <c r="E66" s="1694"/>
      <c r="F66" s="1694"/>
      <c r="G66" s="1694"/>
      <c r="H66" s="1694"/>
      <c r="I66" s="552"/>
      <c r="J66" s="552"/>
      <c r="K66" s="552"/>
      <c r="L66" s="397"/>
      <c r="M66" s="499"/>
      <c r="N66" s="37"/>
      <c r="O66" s="208"/>
      <c r="P66" s="208"/>
      <c r="Q66" s="208"/>
      <c r="R66" s="208"/>
      <c r="S66" s="208"/>
      <c r="T66" s="208"/>
      <c r="U66" s="210"/>
      <c r="V66" s="211"/>
      <c r="W66" s="211"/>
      <c r="X66" s="208"/>
      <c r="Y66" s="208"/>
      <c r="Z66" s="305"/>
      <c r="AA66" s="208"/>
      <c r="AB66" s="208"/>
      <c r="AC66" s="208"/>
      <c r="AD66" s="208"/>
      <c r="AE66" s="208"/>
      <c r="AF66" s="208"/>
      <c r="AG66" s="208"/>
      <c r="AH66" s="210"/>
      <c r="AI66" s="208"/>
      <c r="AJ66" s="208"/>
      <c r="AK66" s="208"/>
      <c r="AL66" s="152"/>
      <c r="AM66" s="213"/>
      <c r="AN66" s="213"/>
      <c r="AO66" s="208"/>
      <c r="AP66" s="208"/>
      <c r="AQ66" s="208"/>
      <c r="AR66" s="208"/>
      <c r="AS66" s="208"/>
      <c r="AT66" s="208"/>
      <c r="AU66" s="208"/>
      <c r="AV66" s="208"/>
      <c r="AW66" s="208"/>
      <c r="AZ66" s="398"/>
    </row>
    <row r="67" spans="1:55" s="48" customFormat="1" ht="25.5" customHeight="1">
      <c r="A67" s="1694"/>
      <c r="B67" s="1694"/>
      <c r="C67" s="1694"/>
      <c r="D67" s="1694"/>
      <c r="E67" s="1694"/>
      <c r="F67" s="1694"/>
      <c r="G67" s="1694"/>
      <c r="H67" s="1694"/>
      <c r="I67" s="552"/>
      <c r="J67" s="552"/>
      <c r="K67" s="552"/>
      <c r="L67" s="397"/>
      <c r="M67" s="499"/>
      <c r="N67"/>
      <c r="O67" s="208"/>
      <c r="P67" s="208"/>
      <c r="Q67" s="208"/>
      <c r="R67" s="208"/>
      <c r="S67" s="208"/>
      <c r="T67" s="208"/>
      <c r="U67" s="210"/>
      <c r="V67" s="211"/>
      <c r="W67" s="211"/>
      <c r="X67" s="208"/>
      <c r="Y67" s="208"/>
      <c r="Z67" s="305"/>
      <c r="AA67" s="208"/>
      <c r="AB67" s="208"/>
      <c r="AC67" s="208"/>
      <c r="AD67" s="208"/>
      <c r="AE67" s="208"/>
      <c r="AF67" s="208"/>
      <c r="AG67" s="208"/>
      <c r="AH67" s="210"/>
      <c r="AI67" s="208"/>
      <c r="AJ67" s="208"/>
      <c r="AK67" s="208"/>
      <c r="AL67" s="152"/>
      <c r="AM67" s="213"/>
      <c r="AN67" s="213"/>
      <c r="AO67" s="208"/>
      <c r="AP67" s="208"/>
      <c r="AQ67" s="208"/>
      <c r="AR67" s="208"/>
      <c r="AS67" s="208"/>
      <c r="AT67" s="208"/>
      <c r="AU67" s="208"/>
      <c r="AV67" s="208"/>
      <c r="AW67" s="208"/>
      <c r="AZ67" s="398"/>
    </row>
    <row r="68" spans="1:55" s="48" customFormat="1" ht="23">
      <c r="A68" s="1694"/>
      <c r="B68" s="1694"/>
      <c r="C68" s="1694"/>
      <c r="D68" s="1694"/>
      <c r="E68" s="1694"/>
      <c r="F68" s="1694"/>
      <c r="G68" s="1694"/>
      <c r="H68" s="1694"/>
      <c r="I68" s="552"/>
      <c r="J68" s="552"/>
      <c r="K68" s="552"/>
      <c r="L68" s="397"/>
      <c r="M68" s="499"/>
      <c r="N68"/>
      <c r="O68" s="208"/>
      <c r="P68" s="208"/>
      <c r="Q68" s="208"/>
      <c r="R68" s="208"/>
      <c r="S68" s="208"/>
      <c r="T68" s="208"/>
      <c r="U68" s="210"/>
      <c r="V68" s="211"/>
      <c r="W68" s="211"/>
      <c r="X68" s="208"/>
      <c r="Y68" s="208"/>
      <c r="Z68" s="424"/>
      <c r="AA68" s="208"/>
      <c r="AB68" s="208"/>
      <c r="AC68" s="208"/>
      <c r="AD68" s="208"/>
      <c r="AE68" s="208"/>
      <c r="AF68" s="208"/>
      <c r="AG68" s="208"/>
      <c r="AH68" s="210"/>
      <c r="AI68" s="208"/>
      <c r="AJ68" s="208"/>
      <c r="AK68" s="208"/>
      <c r="AL68" s="152"/>
      <c r="AM68" s="213"/>
      <c r="AN68" s="213"/>
      <c r="AO68" s="208"/>
      <c r="AP68" s="208"/>
      <c r="AQ68" s="208"/>
      <c r="AR68" s="208"/>
      <c r="AS68" s="208"/>
      <c r="AT68" s="208"/>
      <c r="AU68" s="208"/>
      <c r="AV68" s="208"/>
      <c r="AW68" s="208"/>
      <c r="AZ68" s="398"/>
      <c r="BA68" s="301"/>
      <c r="BB68" s="301"/>
      <c r="BC68" s="301"/>
    </row>
    <row r="69" spans="1:55" s="48" customFormat="1" ht="25.5" customHeight="1">
      <c r="A69" s="1694"/>
      <c r="B69" s="1694"/>
      <c r="C69" s="1694"/>
      <c r="D69" s="1694"/>
      <c r="E69" s="1694"/>
      <c r="F69" s="1694"/>
      <c r="G69" s="1694"/>
      <c r="H69" s="1694"/>
      <c r="I69" s="552"/>
      <c r="J69" s="552"/>
      <c r="K69" s="552"/>
      <c r="L69" s="1256"/>
      <c r="M69" s="499"/>
      <c r="N69" s="1256"/>
      <c r="O69" s="208"/>
      <c r="P69" s="208"/>
      <c r="Q69" s="208"/>
      <c r="R69" s="208"/>
      <c r="S69" s="208"/>
      <c r="T69" s="208"/>
      <c r="U69" s="210"/>
      <c r="V69" s="211"/>
      <c r="W69" s="211"/>
      <c r="X69" s="208"/>
      <c r="Y69" s="208"/>
      <c r="Z69" s="1256"/>
      <c r="AA69" s="208"/>
      <c r="AB69" s="208"/>
      <c r="AC69" s="208"/>
      <c r="AD69" s="208"/>
      <c r="AE69" s="208"/>
      <c r="AF69" s="208"/>
      <c r="AG69" s="208"/>
      <c r="AH69" s="210"/>
      <c r="AI69" s="208"/>
      <c r="AJ69" s="208"/>
      <c r="AK69" s="208"/>
      <c r="AL69" s="1259"/>
      <c r="AM69" s="213"/>
      <c r="AN69" s="213"/>
      <c r="AO69" s="208"/>
      <c r="AP69" s="208"/>
      <c r="AQ69" s="208"/>
      <c r="AR69" s="208"/>
      <c r="AS69" s="208"/>
      <c r="AT69" s="208"/>
      <c r="AU69" s="208"/>
      <c r="AV69" s="208"/>
      <c r="AW69" s="208"/>
      <c r="AZ69" s="398"/>
    </row>
    <row r="70" spans="1:55">
      <c r="AZ70" s="398"/>
    </row>
    <row r="71" spans="1:55" s="48" customFormat="1" ht="20.25" customHeight="1">
      <c r="A71" s="404" t="s">
        <v>565</v>
      </c>
      <c r="B71" s="170"/>
      <c r="C71" s="25"/>
      <c r="D71" s="25"/>
      <c r="E71" s="505"/>
      <c r="F71" s="74"/>
      <c r="G71"/>
      <c r="L71" s="397"/>
      <c r="M71" s="500" t="s">
        <v>755</v>
      </c>
      <c r="N71"/>
      <c r="O71" s="37"/>
      <c r="P71"/>
      <c r="Q71" s="51"/>
      <c r="R71" s="51"/>
      <c r="S71" s="203"/>
      <c r="T71" s="51"/>
      <c r="U71" s="51"/>
      <c r="V71" s="51"/>
      <c r="W71" s="51"/>
      <c r="X71" s="51"/>
      <c r="Y71" s="219"/>
      <c r="Z71" s="304"/>
      <c r="AA71" s="304"/>
      <c r="AB71" s="219"/>
      <c r="AC71" s="219"/>
      <c r="AD71" s="219"/>
      <c r="AE71" s="219"/>
      <c r="AF71" s="219"/>
      <c r="AG71" s="219"/>
      <c r="AH71" s="219"/>
      <c r="AI71" s="219"/>
      <c r="AJ71" s="219"/>
      <c r="AK71" s="219"/>
      <c r="AL71" s="152"/>
      <c r="AM71" s="152"/>
      <c r="AW71" s="219"/>
      <c r="AX71" s="219"/>
      <c r="AY71" s="219"/>
      <c r="AZ71" s="398"/>
    </row>
    <row r="72" spans="1:55" s="48" customFormat="1" ht="20.25" customHeight="1">
      <c r="A72" s="170"/>
      <c r="B72" s="382"/>
      <c r="C72" s="33"/>
      <c r="D72" s="25"/>
      <c r="E72" s="506"/>
      <c r="F72" s="44"/>
      <c r="G72"/>
      <c r="L72" s="165"/>
      <c r="M72" s="453">
        <v>75</v>
      </c>
      <c r="N72"/>
      <c r="O72" s="37"/>
      <c r="P72"/>
      <c r="Q72" s="51"/>
      <c r="R72" s="51"/>
      <c r="S72" s="203"/>
      <c r="T72" s="51"/>
      <c r="U72" s="51"/>
      <c r="V72" s="51"/>
      <c r="W72" s="51"/>
      <c r="X72" s="51"/>
      <c r="Z72" s="304"/>
      <c r="AA72" s="304"/>
      <c r="AL72" s="152"/>
      <c r="AM72" s="152"/>
      <c r="AN72" s="219"/>
      <c r="AO72" s="219"/>
      <c r="AP72" s="219"/>
      <c r="AQ72" s="219"/>
      <c r="AR72" s="219"/>
      <c r="AS72" s="219"/>
      <c r="AT72" s="219"/>
      <c r="AU72" s="219"/>
      <c r="AV72" s="219"/>
      <c r="AW72" s="219"/>
      <c r="AX72" s="219"/>
      <c r="AY72" s="219"/>
      <c r="AZ72" s="398"/>
    </row>
    <row r="73" spans="1:55" s="48" customFormat="1" ht="12" customHeight="1">
      <c r="A73" s="170"/>
      <c r="B73" s="382"/>
      <c r="C73" s="33"/>
      <c r="D73" s="33"/>
      <c r="E73" s="506"/>
      <c r="F73" s="74"/>
      <c r="G73"/>
      <c r="H73" s="37"/>
      <c r="I73" s="37"/>
      <c r="J73" s="37"/>
      <c r="K73" s="398"/>
      <c r="L73" s="165"/>
      <c r="M73" s="453">
        <v>10</v>
      </c>
      <c r="N73"/>
      <c r="O73"/>
      <c r="P73"/>
      <c r="Q73" s="51"/>
      <c r="R73" s="51"/>
      <c r="S73" s="203"/>
      <c r="T73" s="51"/>
      <c r="U73" s="51"/>
      <c r="V73" s="51"/>
      <c r="W73" s="51"/>
      <c r="X73" s="51"/>
      <c r="Z73" s="304"/>
      <c r="AA73" s="304"/>
      <c r="AB73" s="219"/>
      <c r="AC73" s="219"/>
      <c r="AD73" s="219"/>
      <c r="AE73" s="219"/>
      <c r="AF73" s="219"/>
      <c r="AG73" s="219"/>
      <c r="AH73" s="219"/>
      <c r="AI73" s="219"/>
      <c r="AJ73" s="219"/>
      <c r="AK73" s="219"/>
      <c r="AL73" s="152"/>
      <c r="AM73" s="152"/>
      <c r="AN73" s="219"/>
      <c r="AO73" s="219"/>
      <c r="AP73" s="219"/>
      <c r="AQ73" s="219"/>
      <c r="AR73" s="219"/>
      <c r="AS73" s="219"/>
      <c r="AT73" s="219"/>
      <c r="AU73" s="219"/>
      <c r="AV73" s="219"/>
      <c r="AW73" s="219"/>
      <c r="AZ73" s="398"/>
      <c r="BA73" s="301"/>
      <c r="BB73" s="301"/>
      <c r="BC73" s="301"/>
    </row>
    <row r="74" spans="1:55" s="48" customFormat="1" ht="21" customHeight="1">
      <c r="A74" s="170"/>
      <c r="B74" s="170"/>
      <c r="D74" s="33"/>
      <c r="E74" s="103"/>
      <c r="F74" s="74"/>
      <c r="G74" s="290"/>
      <c r="H74" s="290"/>
      <c r="I74" s="290"/>
      <c r="J74" s="290"/>
      <c r="K74" s="290"/>
      <c r="L74" s="397"/>
      <c r="M74" s="290"/>
      <c r="N74" s="290"/>
      <c r="Z74" s="304"/>
      <c r="AA74" s="304"/>
      <c r="AB74" s="219"/>
      <c r="AC74" s="219"/>
      <c r="AD74" s="219"/>
      <c r="AE74" s="219"/>
      <c r="AF74" s="219"/>
      <c r="AG74" s="219"/>
      <c r="AH74" s="219"/>
      <c r="AI74" s="219"/>
      <c r="AJ74" s="219"/>
      <c r="AK74" s="219"/>
      <c r="AL74" s="152"/>
      <c r="AM74" s="152"/>
      <c r="AN74" s="219"/>
      <c r="AO74" s="219"/>
      <c r="AP74" s="219"/>
      <c r="AQ74" s="219"/>
      <c r="AR74" s="219"/>
      <c r="AS74" s="219"/>
      <c r="AT74" s="219"/>
      <c r="AU74" s="219"/>
      <c r="AV74" s="219"/>
      <c r="AZ74" s="398"/>
      <c r="BA74" s="301"/>
      <c r="BB74" s="301"/>
      <c r="BC74" s="301"/>
    </row>
    <row r="75" spans="1:55" s="48" customFormat="1" ht="20.25" customHeight="1">
      <c r="A75" s="170"/>
      <c r="B75" s="170"/>
      <c r="E75" s="103"/>
      <c r="F75" s="74"/>
      <c r="G75" s="290"/>
      <c r="H75" s="290"/>
      <c r="I75" s="290"/>
      <c r="J75" s="290"/>
      <c r="K75" s="290"/>
      <c r="L75" s="397"/>
      <c r="M75" s="290"/>
      <c r="N75" s="290"/>
      <c r="Z75" s="304"/>
      <c r="AA75" s="304"/>
      <c r="AC75" s="219"/>
      <c r="AD75" s="219"/>
      <c r="AE75" s="219"/>
      <c r="AF75" s="219"/>
      <c r="AG75" s="219"/>
      <c r="AH75" s="219"/>
      <c r="AI75" s="219"/>
      <c r="AJ75" s="219"/>
      <c r="AK75" s="219"/>
      <c r="AL75" s="152"/>
      <c r="AM75" s="152"/>
      <c r="AZ75" s="398"/>
      <c r="BA75" s="301"/>
      <c r="BB75" s="301"/>
      <c r="BC75" s="301"/>
    </row>
    <row r="76" spans="1:55" s="48" customFormat="1" ht="20.25" customHeight="1">
      <c r="A76" s="170"/>
      <c r="B76" s="170"/>
      <c r="E76" s="103"/>
      <c r="F76" s="74"/>
      <c r="G76" s="290"/>
      <c r="H76" s="290"/>
      <c r="I76" s="290"/>
      <c r="J76" s="290"/>
      <c r="K76" s="290"/>
      <c r="L76" s="397"/>
      <c r="M76" s="290"/>
      <c r="N76" s="290"/>
      <c r="Z76" s="304"/>
      <c r="AA76" s="304"/>
      <c r="AL76" s="152"/>
      <c r="AM76" s="152"/>
      <c r="AN76" s="219"/>
      <c r="AO76" s="219"/>
      <c r="AX76" s="219"/>
      <c r="AY76" s="219"/>
      <c r="AZ76" s="398"/>
      <c r="BA76" s="301"/>
      <c r="BB76" s="301"/>
      <c r="BC76" s="301"/>
    </row>
    <row r="77" spans="1:55" s="48" customFormat="1" ht="20.25" customHeight="1">
      <c r="A77" s="170"/>
      <c r="B77" s="170"/>
      <c r="E77" s="103"/>
      <c r="F77" s="74"/>
      <c r="G77" s="290"/>
      <c r="H77" s="290"/>
      <c r="I77" s="290"/>
      <c r="J77" s="290"/>
      <c r="K77" s="290"/>
      <c r="L77" s="397"/>
      <c r="M77" s="290"/>
      <c r="N77" s="290"/>
      <c r="Z77" s="304"/>
      <c r="AA77" s="304"/>
      <c r="AL77" s="152"/>
      <c r="AM77" s="152"/>
      <c r="AN77" s="219"/>
      <c r="AO77" s="219"/>
      <c r="AX77" s="219"/>
      <c r="AY77" s="219"/>
      <c r="AZ77" s="398"/>
      <c r="BA77" s="301"/>
      <c r="BB77" s="301"/>
      <c r="BC77" s="301"/>
    </row>
    <row r="78" spans="1:55" s="48" customFormat="1">
      <c r="A78" s="303"/>
      <c r="B78" s="170"/>
      <c r="F78" s="74"/>
      <c r="Z78" s="304"/>
      <c r="AA78" s="304"/>
      <c r="AL78" s="152"/>
      <c r="AM78" s="152"/>
      <c r="AO78" s="219"/>
      <c r="AX78" s="219"/>
      <c r="AY78" s="219"/>
      <c r="AZ78" s="398"/>
    </row>
    <row r="79" spans="1:55" s="48" customFormat="1">
      <c r="A79" s="303"/>
      <c r="B79" s="303"/>
      <c r="F79" s="74"/>
      <c r="Z79" s="304"/>
      <c r="AA79" s="304"/>
      <c r="AL79" s="152"/>
      <c r="AM79" s="152"/>
      <c r="AZ79" s="398"/>
    </row>
    <row r="80" spans="1:55" s="48" customFormat="1">
      <c r="A80" s="303"/>
      <c r="B80" s="170"/>
      <c r="F80" s="74"/>
      <c r="Z80" s="304"/>
      <c r="AA80" s="304"/>
      <c r="AL80" s="152"/>
      <c r="AM80" s="152"/>
      <c r="AZ80" s="398"/>
    </row>
    <row r="81" spans="1:55" s="48" customFormat="1">
      <c r="A81" s="170"/>
      <c r="B81" s="170"/>
      <c r="F81" s="74"/>
      <c r="Z81" s="304"/>
      <c r="AA81" s="304"/>
      <c r="AL81" s="152"/>
      <c r="AM81" s="152"/>
      <c r="AZ81" s="398"/>
    </row>
    <row r="82" spans="1:55" s="48" customFormat="1">
      <c r="A82" s="170"/>
      <c r="B82" s="303"/>
      <c r="F82" s="74"/>
      <c r="Z82" s="304"/>
      <c r="AA82" s="304"/>
      <c r="AL82" s="152"/>
      <c r="AM82" s="152"/>
      <c r="AZ82" s="398"/>
    </row>
    <row r="83" spans="1:55" s="48" customFormat="1">
      <c r="A83" s="303"/>
      <c r="B83" s="303"/>
      <c r="C83"/>
      <c r="D83"/>
      <c r="E83" s="103"/>
      <c r="F83" s="101"/>
      <c r="G83"/>
      <c r="H83" s="37"/>
      <c r="I83" s="37"/>
      <c r="J83" s="37"/>
      <c r="K83" s="37"/>
      <c r="L83" s="397"/>
      <c r="M83" s="37"/>
      <c r="N83"/>
      <c r="O83"/>
      <c r="P83"/>
      <c r="Q83"/>
      <c r="R83"/>
      <c r="S83"/>
      <c r="T83"/>
      <c r="U83"/>
      <c r="V83"/>
      <c r="W83"/>
      <c r="X83"/>
      <c r="Y83"/>
      <c r="Z83" s="304"/>
      <c r="AA83" s="304"/>
      <c r="AL83" s="152"/>
      <c r="AM83" s="152"/>
      <c r="AZ83" s="398"/>
      <c r="BA83" s="301"/>
      <c r="BB83" s="301"/>
      <c r="BC83" s="301"/>
    </row>
    <row r="84" spans="1:55" s="48" customFormat="1">
      <c r="A84" s="303"/>
      <c r="B84" s="303"/>
      <c r="C84"/>
      <c r="D84"/>
      <c r="E84" s="103"/>
      <c r="F84" s="101"/>
      <c r="G84"/>
      <c r="H84" s="37"/>
      <c r="I84" s="37"/>
      <c r="J84" s="37"/>
      <c r="K84" s="37"/>
      <c r="L84" s="397"/>
      <c r="M84" s="37"/>
      <c r="N84"/>
      <c r="O84"/>
      <c r="P84"/>
      <c r="Q84"/>
      <c r="R84"/>
      <c r="S84"/>
      <c r="T84"/>
      <c r="U84"/>
      <c r="V84"/>
      <c r="W84"/>
      <c r="X84"/>
      <c r="Y84"/>
      <c r="Z84" s="304"/>
      <c r="AA84" s="304"/>
      <c r="AL84" s="152"/>
      <c r="AM84" s="152"/>
      <c r="AZ84" s="398"/>
      <c r="BA84" s="301"/>
      <c r="BB84" s="301"/>
      <c r="BC84" s="301"/>
    </row>
    <row r="85" spans="1:55" s="48" customFormat="1">
      <c r="A85" s="303"/>
      <c r="B85" s="170"/>
      <c r="C85"/>
      <c r="D85"/>
      <c r="E85" s="103"/>
      <c r="F85" s="101"/>
      <c r="G85"/>
      <c r="H85" s="37"/>
      <c r="I85" s="37"/>
      <c r="J85" s="37"/>
      <c r="K85" s="37"/>
      <c r="L85" s="397"/>
      <c r="M85" s="37"/>
      <c r="N85"/>
      <c r="O85"/>
      <c r="P85"/>
      <c r="Q85"/>
      <c r="R85"/>
      <c r="S85"/>
      <c r="T85"/>
      <c r="U85"/>
      <c r="V85"/>
      <c r="W85"/>
      <c r="X85"/>
      <c r="Y85"/>
      <c r="Z85" s="304"/>
      <c r="AA85" s="304"/>
      <c r="AL85" s="152"/>
      <c r="AM85" s="152"/>
      <c r="AZ85" s="398"/>
      <c r="BA85" s="301"/>
      <c r="BB85" s="301"/>
      <c r="BC85" s="301"/>
    </row>
    <row r="86" spans="1:55" s="48" customFormat="1">
      <c r="A86" s="170"/>
      <c r="B86" s="170"/>
      <c r="C86"/>
      <c r="D86"/>
      <c r="E86" s="103"/>
      <c r="F86" s="101"/>
      <c r="G86"/>
      <c r="H86" s="37"/>
      <c r="I86" s="37"/>
      <c r="J86" s="37"/>
      <c r="K86" s="37"/>
      <c r="L86" s="397"/>
      <c r="M86" s="37"/>
      <c r="N86"/>
      <c r="O86"/>
      <c r="P86"/>
      <c r="Q86"/>
      <c r="R86"/>
      <c r="S86"/>
      <c r="T86"/>
      <c r="U86"/>
      <c r="V86"/>
      <c r="W86"/>
      <c r="X86"/>
      <c r="Y86"/>
      <c r="Z86" s="304"/>
      <c r="AA86" s="304"/>
      <c r="AB86"/>
      <c r="AC86"/>
      <c r="AD86"/>
      <c r="AE86"/>
      <c r="AF86"/>
      <c r="AG86"/>
      <c r="AH86"/>
      <c r="AI86"/>
      <c r="AJ86"/>
      <c r="AK86"/>
      <c r="AL86" s="152"/>
      <c r="AM86" s="152"/>
      <c r="AZ86" s="398"/>
      <c r="BA86" s="301"/>
      <c r="BB86" s="301"/>
      <c r="BC86" s="301"/>
    </row>
    <row r="87" spans="1:55" s="48" customFormat="1">
      <c r="A87" s="170"/>
      <c r="B87" s="170"/>
      <c r="C87"/>
      <c r="D87"/>
      <c r="E87" s="103"/>
      <c r="F87" s="101"/>
      <c r="G87"/>
      <c r="H87" s="37"/>
      <c r="I87" s="37"/>
      <c r="J87" s="37"/>
      <c r="K87" s="37"/>
      <c r="L87" s="397"/>
      <c r="M87" s="37"/>
      <c r="N87"/>
      <c r="O87"/>
      <c r="P87"/>
      <c r="Q87"/>
      <c r="R87"/>
      <c r="S87"/>
      <c r="T87"/>
      <c r="U87"/>
      <c r="V87"/>
      <c r="W87"/>
      <c r="X87"/>
      <c r="Y87"/>
      <c r="Z87" s="304"/>
      <c r="AA87" s="304"/>
      <c r="AB87"/>
      <c r="AC87"/>
      <c r="AD87"/>
      <c r="AE87"/>
      <c r="AF87"/>
      <c r="AG87"/>
      <c r="AH87"/>
      <c r="AI87"/>
      <c r="AJ87"/>
      <c r="AK87"/>
      <c r="AL87" s="152"/>
      <c r="AM87" s="152"/>
      <c r="AZ87" s="398"/>
      <c r="BA87" s="301"/>
      <c r="BB87" s="301"/>
      <c r="BC87" s="301"/>
    </row>
    <row r="88" spans="1:55">
      <c r="AN88" s="48"/>
      <c r="AO88" s="48"/>
      <c r="AP88" s="48"/>
      <c r="AQ88" s="48"/>
      <c r="AR88" s="48"/>
      <c r="AS88" s="48"/>
      <c r="AT88" s="48"/>
      <c r="AU88" s="48"/>
      <c r="AV88" s="48"/>
      <c r="AZ88" s="398"/>
    </row>
    <row r="89" spans="1:55">
      <c r="AZ89" s="398"/>
    </row>
    <row r="90" spans="1:55">
      <c r="AZ90" s="398"/>
    </row>
    <row r="91" spans="1:55">
      <c r="AZ91" s="398"/>
    </row>
    <row r="92" spans="1:55">
      <c r="AZ92" s="398"/>
    </row>
    <row r="93" spans="1:55">
      <c r="AZ93" s="398"/>
    </row>
  </sheetData>
  <sheetProtection formatColumns="0" insertColumns="0" deleteColumns="0"/>
  <mergeCells count="18">
    <mergeCell ref="A5:A6"/>
    <mergeCell ref="A31:A35"/>
    <mergeCell ref="AM2:AW2"/>
    <mergeCell ref="B42:B45"/>
    <mergeCell ref="B37:B41"/>
    <mergeCell ref="A29:A30"/>
    <mergeCell ref="A58:A64"/>
    <mergeCell ref="A8:A23"/>
    <mergeCell ref="B8:B22"/>
    <mergeCell ref="B55:B57"/>
    <mergeCell ref="B58:B60"/>
    <mergeCell ref="B61:B64"/>
    <mergeCell ref="B24:B28"/>
    <mergeCell ref="A24:A28"/>
    <mergeCell ref="B47:B53"/>
    <mergeCell ref="A46:A57"/>
    <mergeCell ref="B32:B33"/>
    <mergeCell ref="A37:A45"/>
  </mergeCells>
  <conditionalFormatting sqref="H11 H45:H46 H57:H59 H27:H30 H63:H64 H50:H52 H54">
    <cfRule type="expression" dxfId="227" priority="329">
      <formula>$E11=1</formula>
    </cfRule>
  </conditionalFormatting>
  <conditionalFormatting sqref="I11 I45:I46 I57:I59 I27:I30 I63:I64 I50:I52 I54">
    <cfRule type="expression" dxfId="226" priority="337">
      <formula>$E11=2</formula>
    </cfRule>
  </conditionalFormatting>
  <conditionalFormatting sqref="J11 J45:J46 J57:J59 J63:J64 J27:J30 J50:J52 J54">
    <cfRule type="expression" dxfId="225" priority="345">
      <formula>$E11=3</formula>
    </cfRule>
  </conditionalFormatting>
  <conditionalFormatting sqref="K45:K46 K57:K59 K63:K64 K27:K30 K11 K50:K52 K54">
    <cfRule type="expression" dxfId="224" priority="353">
      <formula>$E11=4</formula>
    </cfRule>
  </conditionalFormatting>
  <conditionalFormatting sqref="H8:H35">
    <cfRule type="expression" dxfId="223" priority="277" stopIfTrue="1">
      <formula>$E8&gt;=1</formula>
    </cfRule>
  </conditionalFormatting>
  <conditionalFormatting sqref="AZ7:BC7 I66:J69 AZ8:AZ93 H8:J35">
    <cfRule type="expression" dxfId="222" priority="37" stopIfTrue="1">
      <formula>$E7&gt;=3</formula>
    </cfRule>
  </conditionalFormatting>
  <conditionalFormatting sqref="AZ7:BC7 I66:I69 AZ8:AZ93 H8:I35">
    <cfRule type="expression" dxfId="221" priority="38" stopIfTrue="1">
      <formula>$E7&gt;=2</formula>
    </cfRule>
  </conditionalFormatting>
  <conditionalFormatting sqref="AZ7:BC7 I66:K69 AZ8:AZ93 H8:K35">
    <cfRule type="expression" dxfId="220" priority="36" stopIfTrue="1">
      <formula>$E7&gt;=4</formula>
    </cfRule>
  </conditionalFormatting>
  <conditionalFormatting sqref="H25">
    <cfRule type="expression" dxfId="219" priority="35" stopIfTrue="1">
      <formula>$E25&gt;=1</formula>
    </cfRule>
  </conditionalFormatting>
  <conditionalFormatting sqref="H25:J25">
    <cfRule type="expression" dxfId="218" priority="33" stopIfTrue="1">
      <formula>$E25&gt;=3</formula>
    </cfRule>
  </conditionalFormatting>
  <conditionalFormatting sqref="H25:I25">
    <cfRule type="expression" dxfId="217" priority="34" stopIfTrue="1">
      <formula>$E25&gt;=2</formula>
    </cfRule>
  </conditionalFormatting>
  <conditionalFormatting sqref="H25:K25">
    <cfRule type="expression" dxfId="216" priority="32" stopIfTrue="1">
      <formula>$E25&gt;=4</formula>
    </cfRule>
  </conditionalFormatting>
  <conditionalFormatting sqref="H60">
    <cfRule type="expression" dxfId="215" priority="31" stopIfTrue="1">
      <formula>$E60&gt;=1</formula>
    </cfRule>
  </conditionalFormatting>
  <conditionalFormatting sqref="H60:J60">
    <cfRule type="expression" dxfId="214" priority="29" stopIfTrue="1">
      <formula>$E60&gt;=3</formula>
    </cfRule>
  </conditionalFormatting>
  <conditionalFormatting sqref="H60:I60">
    <cfRule type="expression" dxfId="213" priority="30" stopIfTrue="1">
      <formula>$E60&gt;=2</formula>
    </cfRule>
  </conditionalFormatting>
  <conditionalFormatting sqref="H60:K60">
    <cfRule type="expression" dxfId="212" priority="28" stopIfTrue="1">
      <formula>$E60&gt;=4</formula>
    </cfRule>
  </conditionalFormatting>
  <conditionalFormatting sqref="H10 H12:H23 H26 H37:H44 H48:H49 H56 H62">
    <cfRule type="expression" dxfId="211" priority="27" stopIfTrue="1">
      <formula>$E10&gt;=1</formula>
    </cfRule>
  </conditionalFormatting>
  <conditionalFormatting sqref="H10:J10 H12:J23 H26:J26 H37:J37 H48:J49 H56:J56 H62:J62 H39:J44 H38 J38">
    <cfRule type="expression" dxfId="210" priority="25" stopIfTrue="1">
      <formula>$E10&gt;=3</formula>
    </cfRule>
  </conditionalFormatting>
  <conditionalFormatting sqref="H10:I10 H12:I23 H26:I26 H37:I37 H48:I49 H56:I56 H62:I62 H39:I44 H38">
    <cfRule type="expression" dxfId="209" priority="26" stopIfTrue="1">
      <formula>$E10&gt;=2</formula>
    </cfRule>
  </conditionalFormatting>
  <conditionalFormatting sqref="H10:K10 H12:K23 H26:K26 H37:K37 H48:K49 H56:K56 H62:K62 K73 H38 J38:K38 H39:K44">
    <cfRule type="expression" dxfId="208" priority="24" stopIfTrue="1">
      <formula>$E10&gt;=4</formula>
    </cfRule>
  </conditionalFormatting>
  <conditionalFormatting sqref="H53">
    <cfRule type="expression" dxfId="207" priority="355">
      <formula>$F52=1</formula>
    </cfRule>
  </conditionalFormatting>
  <conditionalFormatting sqref="I53">
    <cfRule type="expression" dxfId="206" priority="357">
      <formula>$F52=2</formula>
    </cfRule>
  </conditionalFormatting>
  <conditionalFormatting sqref="J53">
    <cfRule type="expression" dxfId="205" priority="359">
      <formula>$F52=3</formula>
    </cfRule>
  </conditionalFormatting>
  <conditionalFormatting sqref="K53">
    <cfRule type="expression" dxfId="204" priority="361">
      <formula>$F52=4</formula>
    </cfRule>
  </conditionalFormatting>
  <conditionalFormatting sqref="BA8:BC10 F5:O6 AW5:XFD6 B5:B6">
    <cfRule type="expression" dxfId="203" priority="7" stopIfTrue="1">
      <formula>$E5&gt;=3</formula>
    </cfRule>
  </conditionalFormatting>
  <conditionalFormatting sqref="BA8:BC10 F5:O6 AW5:XFD6 B5:B6">
    <cfRule type="expression" dxfId="202" priority="8" stopIfTrue="1">
      <formula>$E5&gt;=2</formula>
    </cfRule>
  </conditionalFormatting>
  <conditionalFormatting sqref="BA8:BC10 F5:O6 AW5:XFD6 B5:B6">
    <cfRule type="expression" dxfId="201" priority="6" stopIfTrue="1">
      <formula>$E5&gt;=4</formula>
    </cfRule>
  </conditionalFormatting>
  <conditionalFormatting sqref="K41">
    <cfRule type="expression" dxfId="200" priority="5" stopIfTrue="1">
      <formula>$E41&gt;=3</formula>
    </cfRule>
  </conditionalFormatting>
  <conditionalFormatting sqref="H43:H64">
    <cfRule type="expression" dxfId="199" priority="4" stopIfTrue="1">
      <formula>$E43&gt;=1</formula>
    </cfRule>
  </conditionalFormatting>
  <conditionalFormatting sqref="H43:J64">
    <cfRule type="expression" dxfId="198" priority="3" stopIfTrue="1">
      <formula>$E43&gt;=3</formula>
    </cfRule>
  </conditionalFormatting>
  <conditionalFormatting sqref="H43:I64">
    <cfRule type="expression" dxfId="197" priority="2" stopIfTrue="1">
      <formula>$E43&gt;=2</formula>
    </cfRule>
  </conditionalFormatting>
  <conditionalFormatting sqref="H43:K64">
    <cfRule type="expression" dxfId="196" priority="1" stopIfTrue="1">
      <formula>$E43&gt;=4</formula>
    </cfRule>
  </conditionalFormatting>
  <dataValidations count="4">
    <dataValidation type="whole" allowBlank="1" showInputMessage="1" showErrorMessage="1" sqref="E32:E33 E58:E60">
      <formula1>1</formula1>
      <formula2>4</formula2>
    </dataValidation>
    <dataValidation type="whole" allowBlank="1" showInputMessage="1" showErrorMessage="1" sqref="E34 F33">
      <formula1>1</formula1>
      <formula2>2</formula2>
    </dataValidation>
    <dataValidation type="whole" allowBlank="1" showInputMessage="1" showErrorMessage="1" sqref="E35">
      <formula1>1</formula1>
      <formula2>3</formula2>
    </dataValidation>
    <dataValidation type="whole" allowBlank="1" showInputMessage="1" showErrorMessage="1" sqref="E31">
      <formula1>1</formula1>
      <formula2>F31</formula2>
    </dataValidation>
  </dataValidations>
  <pageMargins left="0.7" right="0.7" top="0.75" bottom="0.75" header="0.3" footer="0.3"/>
  <pageSetup paperSize="9" orientation="portrait"/>
  <drawing r:id="rId1"/>
  <extLst>
    <ext xmlns:mx="http://schemas.microsoft.com/office/mac/excel/2008/main" uri="{64002731-A6B0-56B0-2670-7721B7C09600}">
      <mx:PLV Mode="0" OnePage="0" WScale="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pageSetUpPr autoPageBreaks="0"/>
  </sheetPr>
  <dimension ref="A3:G9"/>
  <sheetViews>
    <sheetView workbookViewId="0">
      <selection activeCell="E14" sqref="E14"/>
    </sheetView>
    <sheetView workbookViewId="1"/>
  </sheetViews>
  <sheetFormatPr baseColWidth="10" defaultColWidth="8.83203125" defaultRowHeight="13" x14ac:dyDescent="0"/>
  <cols>
    <col min="1" max="1" width="3.6640625" customWidth="1"/>
    <col min="2" max="2" width="24.33203125" bestFit="1" customWidth="1"/>
    <col min="3" max="3" width="20.33203125" customWidth="1"/>
    <col min="4" max="4" width="4.33203125" customWidth="1"/>
    <col min="5" max="5" width="12.33203125" bestFit="1" customWidth="1"/>
    <col min="6" max="6" width="10.1640625" bestFit="1" customWidth="1"/>
  </cols>
  <sheetData>
    <row r="3" spans="1:7" s="48" customFormat="1" ht="20">
      <c r="A3" s="55"/>
      <c r="B3" s="51" t="s">
        <v>204</v>
      </c>
      <c r="C3" s="56" t="s">
        <v>66</v>
      </c>
      <c r="E3" s="48" t="s">
        <v>238</v>
      </c>
      <c r="F3" s="64">
        <f>1/Unit.J</f>
        <v>999999999999999.88</v>
      </c>
      <c r="G3" s="48" t="s">
        <v>64</v>
      </c>
    </row>
    <row r="5" spans="1:7" ht="20">
      <c r="A5" s="54"/>
      <c r="B5" s="51" t="s">
        <v>205</v>
      </c>
      <c r="C5" s="56" t="s">
        <v>209</v>
      </c>
      <c r="E5" s="48" t="s">
        <v>238</v>
      </c>
      <c r="F5" s="64">
        <f>1/Unit.W</f>
        <v>999999999.99999988</v>
      </c>
      <c r="G5" s="48" t="s">
        <v>208</v>
      </c>
    </row>
    <row r="7" spans="1:7" ht="20">
      <c r="A7" s="54"/>
      <c r="B7" s="51" t="s">
        <v>469</v>
      </c>
      <c r="C7" s="56" t="s">
        <v>461</v>
      </c>
      <c r="D7" s="37"/>
      <c r="E7" s="48" t="s">
        <v>238</v>
      </c>
      <c r="F7" s="64">
        <f>1/Unit.m2</f>
        <v>1000000</v>
      </c>
      <c r="G7" s="48" t="s">
        <v>464</v>
      </c>
    </row>
    <row r="9" spans="1:7" s="316" customFormat="1" ht="15">
      <c r="B9" s="51" t="s">
        <v>601</v>
      </c>
      <c r="C9" s="56" t="s">
        <v>730</v>
      </c>
      <c r="E9" s="48" t="s">
        <v>238</v>
      </c>
      <c r="F9" s="64">
        <f>1/GBP</f>
        <v>0.64683053040103489</v>
      </c>
      <c r="G9" s="48" t="s">
        <v>583</v>
      </c>
    </row>
  </sheetData>
  <dataValidations count="4">
    <dataValidation type="list" allowBlank="1" showInputMessage="1" showErrorMessage="1" sqref="C3">
      <formula1>Conversions.Energy.Units</formula1>
    </dataValidation>
    <dataValidation type="list" allowBlank="1" showInputMessage="1" showErrorMessage="1" sqref="C5">
      <formula1>Conversions.Power.Units</formula1>
    </dataValidation>
    <dataValidation type="list" allowBlank="1" showInputMessage="1" showErrorMessage="1" sqref="C7">
      <formula1>Conversions.Area.Units</formula1>
    </dataValidation>
    <dataValidation type="list" allowBlank="1" showInputMessage="1" showErrorMessage="1" sqref="C9">
      <formula1>Conversions.Money.Units</formula1>
    </dataValidation>
  </dataValidations>
  <pageMargins left="0.7" right="0.7" top="0.75" bottom="0.75" header="0.3" footer="0.3"/>
  <pageSetup paperSize="9" orientation="portrait"/>
  <extLst>
    <ext xmlns:mx="http://schemas.microsoft.com/office/mac/excel/2008/main" uri="{64002731-A6B0-56B0-2670-7721B7C09600}">
      <mx:PLV Mode="0" OnePage="0" WScale="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pageSetUpPr autoPageBreaks="0"/>
  </sheetPr>
  <dimension ref="A1:Z92"/>
  <sheetViews>
    <sheetView topLeftCell="K1" zoomScale="85" zoomScaleNormal="85" zoomScalePageLayoutView="85" workbookViewId="0">
      <selection activeCell="P70" sqref="P70"/>
    </sheetView>
    <sheetView workbookViewId="1"/>
  </sheetViews>
  <sheetFormatPr baseColWidth="10" defaultColWidth="8.83203125" defaultRowHeight="15" x14ac:dyDescent="0"/>
  <cols>
    <col min="1" max="1" width="1" customWidth="1"/>
    <col min="2" max="2" width="8.5" customWidth="1"/>
    <col min="3" max="3" width="41.6640625" customWidth="1"/>
    <col min="4" max="4" width="5.6640625" customWidth="1"/>
    <col min="5" max="5" width="1" style="37" customWidth="1"/>
    <col min="6" max="6" width="15.1640625" style="37" customWidth="1"/>
    <col min="7" max="7" width="32" style="37" bestFit="1" customWidth="1"/>
    <col min="8" max="8" width="10.5" style="37" bestFit="1" customWidth="1"/>
    <col min="9" max="9" width="32" style="37" customWidth="1"/>
    <col min="10" max="10" width="43.5" style="37" customWidth="1"/>
    <col min="11" max="11" width="5.6640625" customWidth="1"/>
    <col min="12" max="12" width="1" style="3" customWidth="1"/>
    <col min="13" max="13" width="16.1640625" style="3" bestFit="1" customWidth="1"/>
    <col min="14" max="14" width="24.33203125" style="8" customWidth="1"/>
    <col min="15" max="15" width="9.5" style="2" bestFit="1" customWidth="1"/>
    <col min="16" max="16" width="29.5" style="3" bestFit="1" customWidth="1"/>
    <col min="17" max="17" width="38.1640625" style="13" customWidth="1"/>
    <col min="19" max="19" width="1" customWidth="1"/>
    <col min="20" max="20" width="14.5" customWidth="1"/>
    <col min="21" max="21" width="35.6640625" bestFit="1" customWidth="1"/>
    <col min="22" max="22" width="61" bestFit="1" customWidth="1"/>
    <col min="24" max="24" width="9" customWidth="1"/>
    <col min="25" max="25" width="26.83203125" bestFit="1" customWidth="1"/>
    <col min="26" max="26" width="13.5" customWidth="1"/>
  </cols>
  <sheetData>
    <row r="1" spans="1:26" s="416" customFormat="1">
      <c r="B1" s="416" t="s">
        <v>709</v>
      </c>
      <c r="L1" s="3"/>
      <c r="M1" s="3"/>
      <c r="N1" s="8"/>
      <c r="O1" s="2"/>
      <c r="P1" s="3"/>
      <c r="Q1" s="415"/>
      <c r="S1" s="3"/>
      <c r="T1"/>
      <c r="U1"/>
      <c r="V1"/>
      <c r="W1"/>
    </row>
    <row r="2" spans="1:26" s="416" customFormat="1">
      <c r="B2" s="416" t="s">
        <v>710</v>
      </c>
      <c r="L2" s="3"/>
      <c r="M2" s="3"/>
      <c r="N2" s="8"/>
      <c r="O2" s="2"/>
      <c r="P2" s="3"/>
      <c r="Q2" s="415"/>
      <c r="S2" s="3"/>
    </row>
    <row r="3" spans="1:26" s="37" customFormat="1">
      <c r="A3" s="3"/>
      <c r="E3" s="3"/>
      <c r="L3" s="3"/>
      <c r="M3" s="3"/>
      <c r="N3" s="8"/>
      <c r="O3" s="2"/>
      <c r="P3" s="3"/>
      <c r="Q3" s="13"/>
      <c r="S3" s="3"/>
    </row>
    <row r="4" spans="1:26" ht="17">
      <c r="A4" s="3"/>
      <c r="B4" s="4" t="s">
        <v>195</v>
      </c>
      <c r="E4" s="3"/>
      <c r="F4" s="4" t="s">
        <v>243</v>
      </c>
      <c r="G4" s="4"/>
      <c r="H4" s="4"/>
      <c r="I4" s="4"/>
      <c r="L4" s="51"/>
      <c r="M4" s="4" t="s">
        <v>16</v>
      </c>
      <c r="N4" s="9"/>
      <c r="O4" s="5"/>
      <c r="P4" s="5"/>
      <c r="Q4" s="12"/>
      <c r="S4" s="63"/>
      <c r="T4" s="70" t="s">
        <v>343</v>
      </c>
      <c r="X4" s="70" t="s">
        <v>579</v>
      </c>
      <c r="Y4" s="316"/>
      <c r="Z4" s="316"/>
    </row>
    <row r="5" spans="1:26">
      <c r="A5" s="3"/>
      <c r="E5" s="3"/>
      <c r="L5" s="51"/>
      <c r="M5" s="6"/>
      <c r="N5" s="9"/>
      <c r="O5" s="5"/>
      <c r="P5" s="5"/>
      <c r="Q5" s="12"/>
      <c r="S5" s="51"/>
      <c r="X5" s="316"/>
      <c r="Y5" s="316"/>
      <c r="Z5" s="316"/>
    </row>
    <row r="6" spans="1:26" ht="18" thickBot="1">
      <c r="A6" s="62"/>
      <c r="B6" s="21" t="s">
        <v>63</v>
      </c>
      <c r="C6" s="21" t="s">
        <v>196</v>
      </c>
      <c r="E6" s="62"/>
      <c r="F6" s="91" t="s">
        <v>63</v>
      </c>
      <c r="G6" s="91" t="s">
        <v>245</v>
      </c>
      <c r="H6" s="91" t="s">
        <v>246</v>
      </c>
      <c r="I6" s="91" t="s">
        <v>196</v>
      </c>
      <c r="J6" s="91" t="s">
        <v>197</v>
      </c>
      <c r="L6" s="63"/>
      <c r="M6" s="10" t="s">
        <v>61</v>
      </c>
      <c r="N6" s="10" t="s">
        <v>62</v>
      </c>
      <c r="O6" s="10" t="s">
        <v>63</v>
      </c>
      <c r="P6" s="10" t="s">
        <v>59</v>
      </c>
      <c r="Q6" s="20" t="s">
        <v>60</v>
      </c>
      <c r="S6" s="51"/>
      <c r="T6" s="48" t="s">
        <v>341</v>
      </c>
      <c r="U6" s="48" t="s">
        <v>342</v>
      </c>
      <c r="V6" s="48" t="s">
        <v>60</v>
      </c>
      <c r="X6" s="317" t="s">
        <v>63</v>
      </c>
      <c r="Y6" s="317" t="s">
        <v>59</v>
      </c>
      <c r="Z6" s="318" t="s">
        <v>60</v>
      </c>
    </row>
    <row r="7" spans="1:26" s="50" customFormat="1" ht="16" thickTop="1">
      <c r="A7" s="98"/>
      <c r="B7" s="50" t="s">
        <v>1969</v>
      </c>
      <c r="C7" s="50" t="s">
        <v>168</v>
      </c>
      <c r="E7" s="11"/>
      <c r="F7" s="50" t="s">
        <v>1967</v>
      </c>
      <c r="G7" s="48" t="s">
        <v>564</v>
      </c>
      <c r="H7" s="66" t="s">
        <v>1969</v>
      </c>
      <c r="I7" s="66" t="s">
        <v>1970</v>
      </c>
      <c r="J7" s="48" t="s">
        <v>1368</v>
      </c>
      <c r="L7" s="11"/>
      <c r="M7" s="17" t="s">
        <v>21</v>
      </c>
      <c r="N7" s="17" t="s">
        <v>44</v>
      </c>
      <c r="O7" s="19" t="s">
        <v>25</v>
      </c>
      <c r="P7" s="17" t="s">
        <v>18</v>
      </c>
      <c r="Q7" s="18"/>
      <c r="S7" s="51"/>
      <c r="T7" s="105" t="s">
        <v>358</v>
      </c>
      <c r="U7" s="48" t="s">
        <v>337</v>
      </c>
      <c r="V7" s="48" t="s">
        <v>404</v>
      </c>
      <c r="W7"/>
      <c r="X7" s="376"/>
      <c r="Y7" s="376"/>
      <c r="Z7" s="377"/>
    </row>
    <row r="8" spans="1:26" s="50" customFormat="1">
      <c r="A8" s="98"/>
      <c r="B8" s="50" t="s">
        <v>1962</v>
      </c>
      <c r="C8" s="50" t="s">
        <v>169</v>
      </c>
      <c r="E8" s="11"/>
      <c r="F8" s="50" t="s">
        <v>1968</v>
      </c>
      <c r="G8" s="48" t="s">
        <v>171</v>
      </c>
      <c r="H8" s="66" t="s">
        <v>1969</v>
      </c>
      <c r="I8" s="66" t="s">
        <v>1970</v>
      </c>
      <c r="J8" s="48"/>
      <c r="L8" s="11"/>
      <c r="M8" s="17" t="s">
        <v>21</v>
      </c>
      <c r="N8" s="17" t="s">
        <v>44</v>
      </c>
      <c r="O8" s="19" t="s">
        <v>26</v>
      </c>
      <c r="P8" s="17" t="s">
        <v>19</v>
      </c>
      <c r="Q8" s="18"/>
      <c r="S8" s="51"/>
      <c r="T8" s="105" t="s">
        <v>357</v>
      </c>
      <c r="U8" s="48" t="s">
        <v>359</v>
      </c>
      <c r="V8" s="48"/>
      <c r="W8" s="37"/>
      <c r="X8" s="376"/>
      <c r="Y8" s="376"/>
      <c r="Z8" s="377"/>
    </row>
    <row r="9" spans="1:26" s="50" customFormat="1">
      <c r="A9" s="98"/>
      <c r="B9" s="50" t="s">
        <v>1963</v>
      </c>
      <c r="C9" s="50" t="s">
        <v>170</v>
      </c>
      <c r="E9" s="11"/>
      <c r="F9" s="67" t="s">
        <v>1962</v>
      </c>
      <c r="G9" s="25" t="s">
        <v>437</v>
      </c>
      <c r="H9" s="68" t="s">
        <v>1962</v>
      </c>
      <c r="I9" s="68" t="str">
        <f>INDEX(Workstreams[Workstream], MATCH(Modules[WS Code], Workstreams[Code], 0))</f>
        <v>Nuclear power generation</v>
      </c>
      <c r="J9" s="48"/>
      <c r="L9" s="11"/>
      <c r="M9" s="17" t="s">
        <v>21</v>
      </c>
      <c r="N9" s="19" t="s">
        <v>22</v>
      </c>
      <c r="O9" s="19" t="s">
        <v>47</v>
      </c>
      <c r="P9" s="17" t="s">
        <v>22</v>
      </c>
      <c r="Q9" s="18"/>
      <c r="S9" s="51"/>
      <c r="T9" s="48">
        <v>2</v>
      </c>
      <c r="U9" s="48" t="s">
        <v>338</v>
      </c>
      <c r="V9" s="48"/>
      <c r="W9"/>
      <c r="X9" s="319" t="s">
        <v>573</v>
      </c>
      <c r="Y9" s="320" t="s">
        <v>574</v>
      </c>
      <c r="Z9" s="321"/>
    </row>
    <row r="10" spans="1:26" s="50" customFormat="1">
      <c r="A10" s="98"/>
      <c r="B10" s="50" t="s">
        <v>2002</v>
      </c>
      <c r="C10" s="50" t="s">
        <v>436</v>
      </c>
      <c r="E10" s="11"/>
      <c r="F10" s="67" t="s">
        <v>1964</v>
      </c>
      <c r="G10" s="25" t="s">
        <v>274</v>
      </c>
      <c r="H10" s="68" t="s">
        <v>1963</v>
      </c>
      <c r="I10" s="68" t="str">
        <f>INDEX(Workstreams[Workstream], MATCH(Modules[WS Code], Workstreams[Code], 0))</f>
        <v>National renewable power generation</v>
      </c>
      <c r="J10" s="25"/>
      <c r="L10" s="11"/>
      <c r="M10" s="14" t="s">
        <v>56</v>
      </c>
      <c r="N10" s="19" t="s">
        <v>20</v>
      </c>
      <c r="O10" s="19" t="s">
        <v>27</v>
      </c>
      <c r="P10" s="48" t="s">
        <v>329</v>
      </c>
      <c r="Q10" s="18"/>
      <c r="S10" s="51"/>
      <c r="T10" s="48">
        <v>3</v>
      </c>
      <c r="U10" s="48" t="s">
        <v>339</v>
      </c>
      <c r="V10" s="48" t="s">
        <v>377</v>
      </c>
      <c r="W10"/>
      <c r="X10" s="319" t="s">
        <v>742</v>
      </c>
      <c r="Y10" s="320" t="s">
        <v>743</v>
      </c>
      <c r="Z10" s="321"/>
    </row>
    <row r="11" spans="1:26" s="50" customFormat="1">
      <c r="A11" s="98"/>
      <c r="B11" s="50" t="s">
        <v>1403</v>
      </c>
      <c r="C11" s="50" t="s">
        <v>507</v>
      </c>
      <c r="E11" s="11"/>
      <c r="F11" s="67" t="s">
        <v>1965</v>
      </c>
      <c r="G11" s="25" t="s">
        <v>561</v>
      </c>
      <c r="H11" s="68" t="s">
        <v>1963</v>
      </c>
      <c r="I11" s="68" t="str">
        <f>INDEX(Workstreams[Workstream], MATCH(Modules[WS Code], Workstreams[Code], 0))</f>
        <v>National renewable power generation</v>
      </c>
      <c r="J11" s="25"/>
      <c r="L11" s="11"/>
      <c r="M11" s="14" t="s">
        <v>56</v>
      </c>
      <c r="N11" s="19" t="s">
        <v>20</v>
      </c>
      <c r="O11" s="19" t="s">
        <v>28</v>
      </c>
      <c r="P11" s="48" t="s">
        <v>330</v>
      </c>
      <c r="Q11" s="18"/>
      <c r="S11" s="51"/>
      <c r="T11" s="48">
        <v>4</v>
      </c>
      <c r="U11" s="48" t="s">
        <v>107</v>
      </c>
      <c r="V11" s="48" t="s">
        <v>405</v>
      </c>
      <c r="W11"/>
      <c r="X11" s="319" t="s">
        <v>567</v>
      </c>
      <c r="Y11" s="320" t="s">
        <v>568</v>
      </c>
      <c r="Z11" s="321"/>
    </row>
    <row r="12" spans="1:26" s="50" customFormat="1">
      <c r="A12" s="98"/>
      <c r="B12" s="50" t="s">
        <v>1956</v>
      </c>
      <c r="C12" s="50" t="s">
        <v>1957</v>
      </c>
      <c r="E12" s="11"/>
      <c r="F12" s="67" t="s">
        <v>1966</v>
      </c>
      <c r="G12" s="25" t="s">
        <v>1367</v>
      </c>
      <c r="H12" s="68" t="s">
        <v>1963</v>
      </c>
      <c r="I12" s="68" t="str">
        <f>INDEX(Workstreams[Workstream], MATCH(Modules[WS Code], Workstreams[Code], 0))</f>
        <v>National renewable power generation</v>
      </c>
      <c r="J12" s="25"/>
      <c r="L12" s="11"/>
      <c r="M12" s="14" t="s">
        <v>56</v>
      </c>
      <c r="N12" s="19" t="s">
        <v>20</v>
      </c>
      <c r="O12" s="19" t="s">
        <v>29</v>
      </c>
      <c r="P12" s="48" t="s">
        <v>303</v>
      </c>
      <c r="Q12" s="18"/>
      <c r="S12" s="51"/>
      <c r="T12" s="48">
        <v>5</v>
      </c>
      <c r="U12" s="48" t="s">
        <v>340</v>
      </c>
      <c r="V12" s="48"/>
      <c r="W12"/>
      <c r="X12" s="319" t="s">
        <v>575</v>
      </c>
      <c r="Y12" s="320" t="s">
        <v>576</v>
      </c>
      <c r="Z12" s="321"/>
    </row>
    <row r="13" spans="1:26" s="50" customFormat="1">
      <c r="A13" s="98"/>
      <c r="B13" s="50" t="s">
        <v>1976</v>
      </c>
      <c r="C13" s="50" t="s">
        <v>315</v>
      </c>
      <c r="E13" s="11"/>
      <c r="F13" s="67" t="s">
        <v>1973</v>
      </c>
      <c r="G13" s="25" t="s">
        <v>1369</v>
      </c>
      <c r="H13" s="68" t="s">
        <v>1963</v>
      </c>
      <c r="I13" s="68" t="str">
        <f>INDEX(Workstreams[Workstream], MATCH(Modules[WS Code], Workstreams[Code], 0))</f>
        <v>National renewable power generation</v>
      </c>
      <c r="J13" s="25" t="s">
        <v>261</v>
      </c>
      <c r="L13" s="11"/>
      <c r="M13" s="14" t="s">
        <v>56</v>
      </c>
      <c r="N13" s="19" t="s">
        <v>20</v>
      </c>
      <c r="O13" s="19" t="s">
        <v>30</v>
      </c>
      <c r="P13" s="48" t="s">
        <v>106</v>
      </c>
      <c r="Q13" s="18"/>
      <c r="S13" s="3"/>
      <c r="T13" s="48">
        <v>6</v>
      </c>
      <c r="U13" s="48" t="s">
        <v>41</v>
      </c>
      <c r="V13" s="48"/>
      <c r="W13"/>
      <c r="X13" s="319" t="s">
        <v>744</v>
      </c>
      <c r="Y13" s="320" t="s">
        <v>747</v>
      </c>
      <c r="Z13" s="321"/>
    </row>
    <row r="14" spans="1:26" s="50" customFormat="1">
      <c r="A14" s="98"/>
      <c r="B14" s="50" t="s">
        <v>1971</v>
      </c>
      <c r="C14" s="50" t="s">
        <v>200</v>
      </c>
      <c r="E14" s="11"/>
      <c r="F14" s="67" t="s">
        <v>1972</v>
      </c>
      <c r="G14" s="25" t="s">
        <v>1974</v>
      </c>
      <c r="H14" s="68" t="s">
        <v>1963</v>
      </c>
      <c r="I14" s="68" t="str">
        <f>INDEX(Workstreams[Workstream], MATCH(Modules[WS Code], Workstreams[Code], 0))</f>
        <v>National renewable power generation</v>
      </c>
      <c r="J14" s="25"/>
      <c r="L14" s="11"/>
      <c r="M14" s="14" t="s">
        <v>56</v>
      </c>
      <c r="N14" s="37" t="s">
        <v>20</v>
      </c>
      <c r="O14" s="37" t="s">
        <v>308</v>
      </c>
      <c r="P14" s="48" t="s">
        <v>302</v>
      </c>
      <c r="Q14" s="18"/>
      <c r="S14" s="3"/>
      <c r="T14" s="48">
        <v>7</v>
      </c>
      <c r="U14" s="48" t="s">
        <v>97</v>
      </c>
      <c r="V14" s="48"/>
      <c r="W14"/>
      <c r="X14" s="319" t="s">
        <v>569</v>
      </c>
      <c r="Y14" s="320" t="s">
        <v>570</v>
      </c>
      <c r="Z14" s="321"/>
    </row>
    <row r="15" spans="1:26" s="50" customFormat="1">
      <c r="A15" s="98"/>
      <c r="B15" s="50" t="s">
        <v>767</v>
      </c>
      <c r="C15" s="50" t="s">
        <v>532</v>
      </c>
      <c r="E15" s="11"/>
      <c r="F15" s="67" t="s">
        <v>1977</v>
      </c>
      <c r="G15" s="48" t="s">
        <v>1979</v>
      </c>
      <c r="H15" s="68" t="s">
        <v>1976</v>
      </c>
      <c r="I15" s="68" t="s">
        <v>1978</v>
      </c>
      <c r="J15" s="25"/>
      <c r="L15" s="11"/>
      <c r="M15" s="14" t="s">
        <v>56</v>
      </c>
      <c r="N15" s="37" t="s">
        <v>20</v>
      </c>
      <c r="O15" s="37" t="s">
        <v>309</v>
      </c>
      <c r="P15" s="48" t="s">
        <v>310</v>
      </c>
      <c r="Q15" s="18"/>
      <c r="S15" s="3"/>
      <c r="T15" s="45" t="s">
        <v>344</v>
      </c>
      <c r="U15" s="25" t="s">
        <v>447</v>
      </c>
      <c r="V15" s="25" t="s">
        <v>406</v>
      </c>
      <c r="W15"/>
      <c r="X15" s="319" t="s">
        <v>577</v>
      </c>
      <c r="Y15" s="320" t="s">
        <v>578</v>
      </c>
      <c r="Z15" s="321"/>
    </row>
    <row r="16" spans="1:26" s="50" customFormat="1">
      <c r="A16" s="98"/>
      <c r="B16" s="50" t="s">
        <v>839</v>
      </c>
      <c r="C16" s="50" t="s">
        <v>40</v>
      </c>
      <c r="E16" s="11"/>
      <c r="F16" s="67" t="s">
        <v>1984</v>
      </c>
      <c r="G16" s="25" t="s">
        <v>1985</v>
      </c>
      <c r="H16" s="68" t="s">
        <v>1976</v>
      </c>
      <c r="I16" s="68" t="s">
        <v>1978</v>
      </c>
      <c r="J16" s="25"/>
      <c r="L16" s="11"/>
      <c r="M16" s="14" t="s">
        <v>56</v>
      </c>
      <c r="N16" s="19" t="s">
        <v>32</v>
      </c>
      <c r="O16" s="19" t="s">
        <v>12</v>
      </c>
      <c r="P16" s="48" t="s">
        <v>32</v>
      </c>
      <c r="Q16" s="21" t="s">
        <v>494</v>
      </c>
      <c r="S16" s="37"/>
      <c r="T16" s="45" t="s">
        <v>345</v>
      </c>
      <c r="U16" s="25" t="s">
        <v>453</v>
      </c>
      <c r="V16" s="25" t="s">
        <v>434</v>
      </c>
      <c r="W16"/>
      <c r="X16" s="319" t="s">
        <v>745</v>
      </c>
      <c r="Y16" s="320" t="s">
        <v>746</v>
      </c>
      <c r="Z16" s="321"/>
    </row>
    <row r="17" spans="1:26" s="50" customFormat="1">
      <c r="A17" s="98"/>
      <c r="B17" s="50" t="s">
        <v>891</v>
      </c>
      <c r="C17" s="50" t="s">
        <v>32</v>
      </c>
      <c r="E17" s="11"/>
      <c r="F17" s="67" t="s">
        <v>2001</v>
      </c>
      <c r="G17" s="25" t="s">
        <v>255</v>
      </c>
      <c r="H17" s="68" t="s">
        <v>1976</v>
      </c>
      <c r="I17" s="68" t="s">
        <v>1978</v>
      </c>
      <c r="J17" s="25"/>
      <c r="L17" s="11"/>
      <c r="M17" s="48" t="s">
        <v>56</v>
      </c>
      <c r="N17" s="19" t="s">
        <v>32</v>
      </c>
      <c r="O17" s="564" t="s">
        <v>892</v>
      </c>
      <c r="P17" s="48" t="s">
        <v>893</v>
      </c>
      <c r="Q17" s="563"/>
      <c r="S17"/>
      <c r="T17" s="45" t="s">
        <v>365</v>
      </c>
      <c r="U17" s="25" t="s">
        <v>452</v>
      </c>
      <c r="V17" s="25" t="s">
        <v>451</v>
      </c>
      <c r="W17"/>
      <c r="X17" s="319" t="s">
        <v>571</v>
      </c>
      <c r="Y17" s="320" t="s">
        <v>572</v>
      </c>
      <c r="Z17" s="321"/>
    </row>
    <row r="18" spans="1:26" s="50" customFormat="1">
      <c r="A18" s="98"/>
      <c r="B18" s="50" t="s">
        <v>1956</v>
      </c>
      <c r="C18" s="50" t="s">
        <v>508</v>
      </c>
      <c r="E18" s="11"/>
      <c r="F18" s="67" t="s">
        <v>823</v>
      </c>
      <c r="G18" s="25" t="s">
        <v>864</v>
      </c>
      <c r="H18" s="68" t="str">
        <f>LEFT(Modules[Code], FIND(".", Modules[Code])-1)</f>
        <v>RES</v>
      </c>
      <c r="I18" s="68" t="str">
        <f>INDEX(Workstreams[Workstream], MATCH(Modules[WS Code], Workstreams[Code], 0))</f>
        <v>Residential</v>
      </c>
      <c r="J18" s="25"/>
      <c r="L18" s="11"/>
      <c r="M18" s="48" t="s">
        <v>56</v>
      </c>
      <c r="N18" s="19" t="s">
        <v>32</v>
      </c>
      <c r="O18" s="564" t="s">
        <v>894</v>
      </c>
      <c r="P18" s="48" t="s">
        <v>895</v>
      </c>
      <c r="Q18" s="563"/>
      <c r="S18"/>
      <c r="T18" s="37"/>
      <c r="U18" s="37"/>
      <c r="V18" s="37"/>
      <c r="W18" s="37"/>
    </row>
    <row r="19" spans="1:26" s="50" customFormat="1" ht="26">
      <c r="A19" s="98"/>
      <c r="B19" s="50" t="s">
        <v>876</v>
      </c>
      <c r="C19" s="50" t="s">
        <v>116</v>
      </c>
      <c r="E19" s="11"/>
      <c r="F19" s="50" t="s">
        <v>821</v>
      </c>
      <c r="G19" s="48" t="s">
        <v>820</v>
      </c>
      <c r="H19" s="66" t="s">
        <v>767</v>
      </c>
      <c r="I19" s="66" t="s">
        <v>93</v>
      </c>
      <c r="J19" s="25"/>
      <c r="L19" s="11"/>
      <c r="M19" s="14" t="s">
        <v>56</v>
      </c>
      <c r="N19" s="37" t="s">
        <v>863</v>
      </c>
      <c r="O19" s="19" t="s">
        <v>828</v>
      </c>
      <c r="P19" s="48" t="s">
        <v>93</v>
      </c>
      <c r="Q19" s="21" t="s">
        <v>440</v>
      </c>
      <c r="S19"/>
      <c r="T19"/>
      <c r="U19"/>
      <c r="V19"/>
      <c r="W19"/>
      <c r="X19" s="448" t="s">
        <v>741</v>
      </c>
    </row>
    <row r="20" spans="1:26" s="50" customFormat="1">
      <c r="A20" s="98"/>
      <c r="B20" s="50" t="s">
        <v>199</v>
      </c>
      <c r="C20" s="50" t="s">
        <v>511</v>
      </c>
      <c r="E20" s="11"/>
      <c r="F20" s="50" t="s">
        <v>825</v>
      </c>
      <c r="G20" s="48" t="s">
        <v>831</v>
      </c>
      <c r="H20" s="66" t="s">
        <v>767</v>
      </c>
      <c r="I20" s="66" t="s">
        <v>832</v>
      </c>
      <c r="J20" s="25"/>
      <c r="L20" s="11"/>
      <c r="M20" s="48" t="s">
        <v>56</v>
      </c>
      <c r="N20" s="557" t="s">
        <v>863</v>
      </c>
      <c r="O20" s="19" t="s">
        <v>43</v>
      </c>
      <c r="P20" s="527" t="s">
        <v>96</v>
      </c>
      <c r="Q20" s="529"/>
      <c r="S20" s="51"/>
      <c r="T20" s="70" t="s">
        <v>346</v>
      </c>
      <c r="U20"/>
      <c r="V20"/>
      <c r="W20"/>
    </row>
    <row r="21" spans="1:26">
      <c r="A21" s="3"/>
      <c r="B21" s="50" t="s">
        <v>198</v>
      </c>
      <c r="C21" s="50" t="s">
        <v>164</v>
      </c>
      <c r="E21" s="11"/>
      <c r="F21" s="50" t="s">
        <v>827</v>
      </c>
      <c r="G21" s="48" t="s">
        <v>850</v>
      </c>
      <c r="H21" s="66" t="s">
        <v>767</v>
      </c>
      <c r="I21" s="66" t="s">
        <v>851</v>
      </c>
      <c r="J21" s="25"/>
      <c r="L21" s="11"/>
      <c r="M21" s="48" t="s">
        <v>56</v>
      </c>
      <c r="N21" s="557" t="s">
        <v>863</v>
      </c>
      <c r="O21" s="19" t="s">
        <v>5</v>
      </c>
      <c r="P21" s="17" t="s">
        <v>780</v>
      </c>
      <c r="Q21" s="529"/>
      <c r="S21" s="51"/>
      <c r="X21" s="50" t="s">
        <v>63</v>
      </c>
      <c r="Y21" s="50" t="s">
        <v>59</v>
      </c>
      <c r="Z21" s="50" t="s">
        <v>197</v>
      </c>
    </row>
    <row r="22" spans="1:26">
      <c r="B22" s="67" t="s">
        <v>1897</v>
      </c>
      <c r="C22" s="67" t="s">
        <v>311</v>
      </c>
      <c r="E22" s="11"/>
      <c r="F22" s="67" t="s">
        <v>822</v>
      </c>
      <c r="G22" s="25" t="s">
        <v>845</v>
      </c>
      <c r="H22" s="68" t="s">
        <v>767</v>
      </c>
      <c r="I22" s="68" t="s">
        <v>829</v>
      </c>
      <c r="J22" s="25"/>
      <c r="L22" s="11"/>
      <c r="M22" s="48" t="s">
        <v>56</v>
      </c>
      <c r="N22" s="557" t="s">
        <v>863</v>
      </c>
      <c r="O22" s="19" t="s">
        <v>846</v>
      </c>
      <c r="P22" s="527" t="s">
        <v>781</v>
      </c>
      <c r="Q22" s="529"/>
      <c r="S22" s="51"/>
      <c r="T22" s="48" t="s">
        <v>347</v>
      </c>
      <c r="U22" s="48" t="s">
        <v>348</v>
      </c>
      <c r="V22" s="48" t="s">
        <v>60</v>
      </c>
      <c r="X22" s="50" t="s">
        <v>713</v>
      </c>
      <c r="Y22" s="50" t="s">
        <v>717</v>
      </c>
      <c r="Z22" s="50"/>
    </row>
    <row r="23" spans="1:26">
      <c r="B23" s="67" t="s">
        <v>325</v>
      </c>
      <c r="C23" s="67" t="s">
        <v>103</v>
      </c>
      <c r="E23" s="11"/>
      <c r="F23" s="67" t="s">
        <v>824</v>
      </c>
      <c r="G23" s="25" t="s">
        <v>830</v>
      </c>
      <c r="H23" s="68" t="s">
        <v>767</v>
      </c>
      <c r="I23" s="68" t="s">
        <v>781</v>
      </c>
      <c r="J23" s="25"/>
      <c r="L23" s="11"/>
      <c r="M23" s="48" t="s">
        <v>56</v>
      </c>
      <c r="N23" s="557" t="s">
        <v>863</v>
      </c>
      <c r="O23" s="19" t="s">
        <v>847</v>
      </c>
      <c r="P23" s="527" t="s">
        <v>832</v>
      </c>
      <c r="Q23" s="529"/>
      <c r="S23" s="51"/>
      <c r="T23" s="48" t="s">
        <v>349</v>
      </c>
      <c r="U23" s="48" t="s">
        <v>353</v>
      </c>
      <c r="V23" s="48"/>
      <c r="X23" s="50" t="s">
        <v>714</v>
      </c>
      <c r="Y23" s="50" t="s">
        <v>719</v>
      </c>
      <c r="Z23" s="50"/>
    </row>
    <row r="24" spans="1:26">
      <c r="B24" s="67" t="s">
        <v>554</v>
      </c>
      <c r="C24" s="67" t="s">
        <v>896</v>
      </c>
      <c r="E24" s="11"/>
      <c r="F24" s="67" t="s">
        <v>826</v>
      </c>
      <c r="G24" s="25" t="s">
        <v>833</v>
      </c>
      <c r="H24" s="68" t="s">
        <v>767</v>
      </c>
      <c r="I24" s="68" t="s">
        <v>834</v>
      </c>
      <c r="J24" s="25"/>
      <c r="L24" s="11"/>
      <c r="M24" s="48" t="s">
        <v>56</v>
      </c>
      <c r="N24" s="557" t="s">
        <v>863</v>
      </c>
      <c r="O24" s="19" t="s">
        <v>835</v>
      </c>
      <c r="P24" s="527" t="s">
        <v>848</v>
      </c>
      <c r="Q24" s="529"/>
      <c r="S24" s="51"/>
      <c r="T24" s="48" t="s">
        <v>350</v>
      </c>
      <c r="U24" s="48" t="s">
        <v>354</v>
      </c>
      <c r="V24" s="48"/>
      <c r="X24" s="50" t="s">
        <v>715</v>
      </c>
      <c r="Y24" s="50" t="s">
        <v>720</v>
      </c>
      <c r="Z24" s="50"/>
    </row>
    <row r="25" spans="1:26" ht="13">
      <c r="B25" s="67" t="s">
        <v>390</v>
      </c>
      <c r="C25" s="67" t="s">
        <v>271</v>
      </c>
      <c r="E25" s="11"/>
      <c r="F25" s="67" t="s">
        <v>865</v>
      </c>
      <c r="G25" s="25" t="s">
        <v>867</v>
      </c>
      <c r="H25" s="68" t="s">
        <v>839</v>
      </c>
      <c r="I25" s="68" t="s">
        <v>866</v>
      </c>
      <c r="J25" s="25"/>
      <c r="L25" s="11"/>
      <c r="M25" s="48" t="s">
        <v>56</v>
      </c>
      <c r="N25" s="557" t="s">
        <v>863</v>
      </c>
      <c r="O25" s="19" t="s">
        <v>849</v>
      </c>
      <c r="P25" s="527" t="s">
        <v>851</v>
      </c>
      <c r="Q25" s="529"/>
      <c r="T25" s="48" t="s">
        <v>351</v>
      </c>
      <c r="U25" s="48" t="s">
        <v>355</v>
      </c>
      <c r="V25" s="48"/>
      <c r="X25" s="50" t="s">
        <v>716</v>
      </c>
      <c r="Y25" s="50" t="s">
        <v>718</v>
      </c>
    </row>
    <row r="26" spans="1:26" ht="13">
      <c r="B26" s="67" t="s">
        <v>681</v>
      </c>
      <c r="C26" s="68" t="s">
        <v>734</v>
      </c>
      <c r="E26" s="11"/>
      <c r="F26" s="67" t="s">
        <v>1891</v>
      </c>
      <c r="G26" s="25" t="s">
        <v>1442</v>
      </c>
      <c r="H26" s="68" t="s">
        <v>876</v>
      </c>
      <c r="I26" s="68" t="str">
        <f>INDEX(Workstreams[Workstream], MATCH(Modules[WS Code], Workstreams[Code], 0))</f>
        <v>Transport</v>
      </c>
      <c r="J26" s="25"/>
      <c r="L26" s="11"/>
      <c r="M26" s="527" t="s">
        <v>56</v>
      </c>
      <c r="N26" s="557" t="s">
        <v>863</v>
      </c>
      <c r="O26" s="528" t="s">
        <v>852</v>
      </c>
      <c r="P26" s="17" t="s">
        <v>438</v>
      </c>
      <c r="Q26" s="529"/>
      <c r="T26" s="48" t="s">
        <v>352</v>
      </c>
      <c r="U26" s="48" t="s">
        <v>356</v>
      </c>
      <c r="V26" s="48"/>
      <c r="X26" s="50"/>
      <c r="Y26" s="50"/>
    </row>
    <row r="27" spans="1:26" ht="13">
      <c r="B27" s="67" t="s">
        <v>2458</v>
      </c>
      <c r="C27" s="1626" t="s">
        <v>41</v>
      </c>
      <c r="E27" s="11"/>
      <c r="F27" s="67" t="s">
        <v>1892</v>
      </c>
      <c r="G27" s="25" t="s">
        <v>398</v>
      </c>
      <c r="H27" s="68" t="s">
        <v>876</v>
      </c>
      <c r="I27" s="68" t="str">
        <f>INDEX(Workstreams[Workstream], MATCH(Modules[WS Code], Workstreams[Code], 0))</f>
        <v>Transport</v>
      </c>
      <c r="J27" s="25"/>
      <c r="L27" s="11"/>
      <c r="M27" s="527"/>
      <c r="N27" s="551"/>
      <c r="O27" s="19"/>
      <c r="P27" s="17"/>
      <c r="Q27" s="18"/>
    </row>
    <row r="28" spans="1:26" ht="13">
      <c r="B28" s="50" t="s">
        <v>870</v>
      </c>
      <c r="C28" s="50" t="s">
        <v>2428</v>
      </c>
      <c r="E28" s="11"/>
      <c r="F28" s="50" t="s">
        <v>1352</v>
      </c>
      <c r="G28" s="48" t="s">
        <v>32</v>
      </c>
      <c r="H28" s="66" t="s">
        <v>891</v>
      </c>
      <c r="I28" s="66" t="str">
        <f>INDEX(Workstreams[Workstream], MATCH(Modules[WS Code], Workstreams[Code], 0))</f>
        <v>Industry</v>
      </c>
      <c r="J28" s="25"/>
      <c r="L28" s="11"/>
      <c r="M28" s="527"/>
      <c r="N28" s="551"/>
      <c r="O28" s="19"/>
      <c r="P28" s="17"/>
      <c r="Q28" s="18"/>
      <c r="T28" s="37"/>
    </row>
    <row r="29" spans="1:26" ht="13">
      <c r="B29" s="50" t="s">
        <v>399</v>
      </c>
      <c r="C29" s="50" t="s">
        <v>2446</v>
      </c>
      <c r="E29" s="11"/>
      <c r="F29" s="67" t="s">
        <v>1971</v>
      </c>
      <c r="G29" s="25" t="s">
        <v>530</v>
      </c>
      <c r="H29" s="68" t="s">
        <v>1971</v>
      </c>
      <c r="I29" s="68" t="str">
        <f>INDEX(Workstreams[Workstream], MATCH(Modules[WS Code], Workstreams[Code], 0))</f>
        <v>H2 Production</v>
      </c>
      <c r="J29" s="25"/>
      <c r="L29" s="11"/>
      <c r="M29" s="14" t="s">
        <v>56</v>
      </c>
      <c r="N29" s="19" t="s">
        <v>23</v>
      </c>
      <c r="O29" s="19" t="s">
        <v>31</v>
      </c>
      <c r="P29" s="48" t="s">
        <v>511</v>
      </c>
      <c r="Q29" s="21" t="s">
        <v>514</v>
      </c>
    </row>
    <row r="30" spans="1:26" ht="26">
      <c r="B30" s="50" t="s">
        <v>871</v>
      </c>
      <c r="C30" s="50" t="s">
        <v>2447</v>
      </c>
      <c r="E30" s="11"/>
      <c r="F30" s="67" t="s">
        <v>1956</v>
      </c>
      <c r="G30" s="25" t="s">
        <v>508</v>
      </c>
      <c r="H30" s="68" t="s">
        <v>1956</v>
      </c>
      <c r="I30" s="68" t="str">
        <f>INDEX(Workstreams[Workstream], MATCH(Modules[WS Code], Workstreams[Code], 0))</f>
        <v>Agriculture and Land use</v>
      </c>
      <c r="J30" s="25"/>
      <c r="L30" s="11"/>
      <c r="M30" s="14" t="s">
        <v>247</v>
      </c>
      <c r="N30" s="17" t="s">
        <v>0</v>
      </c>
      <c r="O30" s="17" t="s">
        <v>6</v>
      </c>
      <c r="P30" s="48" t="s">
        <v>381</v>
      </c>
      <c r="Q30" s="21" t="s">
        <v>163</v>
      </c>
      <c r="S30" s="37"/>
      <c r="T30" s="37"/>
    </row>
    <row r="31" spans="1:26" ht="13">
      <c r="B31" s="50" t="s">
        <v>400</v>
      </c>
      <c r="C31" s="50" t="s">
        <v>2448</v>
      </c>
      <c r="E31" s="11"/>
      <c r="F31" s="67" t="s">
        <v>1896</v>
      </c>
      <c r="G31" s="25" t="s">
        <v>1862</v>
      </c>
      <c r="H31" s="68" t="s">
        <v>1403</v>
      </c>
      <c r="I31" s="68" t="str">
        <f>INDEX(Workstreams[Workstream], MATCH(Modules[WS Code], Workstreams[Code], 0))</f>
        <v>Bioenergy</v>
      </c>
      <c r="J31" s="25"/>
      <c r="L31" s="11"/>
      <c r="M31" s="14" t="s">
        <v>247</v>
      </c>
      <c r="N31" s="48" t="s">
        <v>39</v>
      </c>
      <c r="O31" s="17" t="s">
        <v>24</v>
      </c>
      <c r="P31" s="17" t="s">
        <v>14</v>
      </c>
      <c r="Q31" s="18"/>
      <c r="S31" s="37"/>
    </row>
    <row r="32" spans="1:26" ht="13">
      <c r="B32" s="50" t="s">
        <v>872</v>
      </c>
      <c r="C32" s="50" t="s">
        <v>2429</v>
      </c>
      <c r="E32" s="11"/>
      <c r="F32" s="67" t="s">
        <v>1898</v>
      </c>
      <c r="G32" s="25" t="s">
        <v>1837</v>
      </c>
      <c r="H32" s="68" t="str">
        <f>LEFT(Modules[Code], FIND(".", Modules[Code])-1)</f>
        <v>FOS</v>
      </c>
      <c r="I32" s="68" t="str">
        <f>INDEX(Workstreams[Workstream], MATCH(Modules[WS Code], Workstreams[Code], 0))</f>
        <v>Fossil fuel production</v>
      </c>
      <c r="J32" s="48"/>
      <c r="L32" s="11"/>
      <c r="M32" s="14" t="s">
        <v>247</v>
      </c>
      <c r="N32" s="14" t="s">
        <v>39</v>
      </c>
      <c r="O32" s="17" t="s">
        <v>7</v>
      </c>
      <c r="P32" s="17" t="s">
        <v>1</v>
      </c>
      <c r="Q32" s="18"/>
      <c r="S32" s="37"/>
      <c r="T32" s="37"/>
      <c r="U32" s="37"/>
      <c r="V32" s="37"/>
      <c r="W32" s="37"/>
    </row>
    <row r="33" spans="2:23" ht="13">
      <c r="B33" s="50" t="s">
        <v>873</v>
      </c>
      <c r="C33" s="50" t="s">
        <v>2449</v>
      </c>
      <c r="E33" s="11"/>
      <c r="F33" s="67" t="s">
        <v>1901</v>
      </c>
      <c r="G33" s="25" t="s">
        <v>1895</v>
      </c>
      <c r="H33" s="68" t="str">
        <f>LEFT(Modules[Code], FIND(".", Modules[Code])-1)</f>
        <v>FOS</v>
      </c>
      <c r="I33" s="68" t="str">
        <f>INDEX(Workstreams[Workstream], MATCH(Modules[WS Code], Workstreams[Code], 0))</f>
        <v>Fossil fuel production</v>
      </c>
      <c r="J33" s="48"/>
      <c r="L33" s="11"/>
      <c r="M33" s="14" t="s">
        <v>247</v>
      </c>
      <c r="N33" s="14" t="s">
        <v>39</v>
      </c>
      <c r="O33" s="17" t="s">
        <v>8</v>
      </c>
      <c r="P33" s="17" t="s">
        <v>54</v>
      </c>
      <c r="Q33" s="18"/>
      <c r="T33" s="37"/>
      <c r="U33" s="37"/>
      <c r="V33" s="37"/>
      <c r="W33" s="37"/>
    </row>
    <row r="34" spans="2:23" ht="13">
      <c r="B34" s="50" t="s">
        <v>874</v>
      </c>
      <c r="C34" s="50" t="s">
        <v>2450</v>
      </c>
      <c r="E34" s="11"/>
      <c r="F34" s="67" t="s">
        <v>1899</v>
      </c>
      <c r="G34" s="25" t="s">
        <v>1447</v>
      </c>
      <c r="H34" s="68" t="str">
        <f>LEFT(Modules[Code], FIND(".", Modules[Code])-1)</f>
        <v>FOS</v>
      </c>
      <c r="I34" s="68" t="str">
        <f>INDEX(Workstreams[Workstream], MATCH(Modules[WS Code], Workstreams[Code], 0))</f>
        <v>Fossil fuel production</v>
      </c>
      <c r="J34" s="48"/>
      <c r="L34" s="11"/>
      <c r="M34" s="48" t="s">
        <v>247</v>
      </c>
      <c r="N34" s="48" t="s">
        <v>39</v>
      </c>
      <c r="O34" s="17" t="s">
        <v>9</v>
      </c>
      <c r="P34" s="17" t="s">
        <v>2</v>
      </c>
      <c r="Q34" s="18"/>
      <c r="T34" s="37"/>
      <c r="U34" s="37"/>
      <c r="V34" s="37"/>
      <c r="W34" s="37"/>
    </row>
    <row r="35" spans="2:23" ht="13">
      <c r="B35" s="50" t="s">
        <v>401</v>
      </c>
      <c r="C35" s="50" t="s">
        <v>2430</v>
      </c>
      <c r="E35" s="11"/>
      <c r="F35" s="67" t="s">
        <v>1900</v>
      </c>
      <c r="G35" s="25" t="s">
        <v>1448</v>
      </c>
      <c r="H35" s="68" t="str">
        <f>LEFT(Modules[Code], FIND(".", Modules[Code])-1)</f>
        <v>FOS</v>
      </c>
      <c r="I35" s="68" t="str">
        <f>INDEX(Workstreams[Workstream], MATCH(Modules[WS Code], Workstreams[Code], 0))</f>
        <v>Fossil fuel production</v>
      </c>
      <c r="J35" s="48"/>
      <c r="L35" s="11"/>
      <c r="M35" s="48" t="s">
        <v>247</v>
      </c>
      <c r="N35" s="48" t="s">
        <v>39</v>
      </c>
      <c r="O35" s="48" t="s">
        <v>10</v>
      </c>
      <c r="P35" s="17" t="s">
        <v>3</v>
      </c>
      <c r="Q35" s="18"/>
      <c r="T35" s="37"/>
      <c r="U35" s="37"/>
      <c r="V35" s="37"/>
    </row>
    <row r="36" spans="2:23" ht="13">
      <c r="B36" s="50" t="s">
        <v>402</v>
      </c>
      <c r="C36" s="50" t="s">
        <v>2431</v>
      </c>
      <c r="E36" s="11"/>
      <c r="F36" s="50" t="s">
        <v>2458</v>
      </c>
      <c r="G36" s="48" t="s">
        <v>41</v>
      </c>
      <c r="H36" s="66" t="s">
        <v>2458</v>
      </c>
      <c r="I36" s="66" t="s">
        <v>41</v>
      </c>
      <c r="J36" s="25"/>
      <c r="L36" s="11"/>
      <c r="M36" s="48" t="s">
        <v>247</v>
      </c>
      <c r="N36" s="48" t="s">
        <v>39</v>
      </c>
      <c r="O36" s="48" t="s">
        <v>11</v>
      </c>
      <c r="P36" s="17" t="s">
        <v>17</v>
      </c>
      <c r="Q36" s="18"/>
      <c r="T36" s="37"/>
      <c r="U36" s="37"/>
      <c r="V36" s="37"/>
      <c r="W36" s="37"/>
    </row>
    <row r="37" spans="2:23" ht="13">
      <c r="B37" s="50" t="s">
        <v>403</v>
      </c>
      <c r="C37" s="50" t="s">
        <v>2432</v>
      </c>
      <c r="E37" s="11"/>
      <c r="F37" s="50"/>
      <c r="G37" s="48"/>
      <c r="H37" s="66"/>
      <c r="I37" s="66"/>
      <c r="J37" s="25"/>
      <c r="L37" s="11"/>
      <c r="M37" s="48" t="s">
        <v>247</v>
      </c>
      <c r="N37" s="48" t="s">
        <v>39</v>
      </c>
      <c r="O37" s="48" t="s">
        <v>84</v>
      </c>
      <c r="P37" s="48" t="s">
        <v>499</v>
      </c>
      <c r="Q37" s="21" t="s">
        <v>160</v>
      </c>
      <c r="T37" s="37"/>
      <c r="U37" s="37"/>
      <c r="V37" s="37"/>
      <c r="W37" s="37"/>
    </row>
    <row r="38" spans="2:23" ht="13">
      <c r="B38" s="50" t="s">
        <v>470</v>
      </c>
      <c r="C38" s="50" t="s">
        <v>2433</v>
      </c>
      <c r="E38" s="7"/>
      <c r="F38" s="50"/>
      <c r="G38" s="48"/>
      <c r="H38" s="66"/>
      <c r="I38" s="66"/>
      <c r="J38" s="25"/>
      <c r="L38" s="7"/>
      <c r="M38" s="14" t="s">
        <v>247</v>
      </c>
      <c r="N38" s="14" t="s">
        <v>39</v>
      </c>
      <c r="O38" s="48" t="s">
        <v>332</v>
      </c>
      <c r="P38" s="48" t="s">
        <v>107</v>
      </c>
      <c r="Q38" s="21" t="s">
        <v>333</v>
      </c>
      <c r="T38" s="37"/>
      <c r="U38" s="37"/>
      <c r="V38" s="37"/>
    </row>
    <row r="39" spans="2:23" ht="13">
      <c r="B39" s="50" t="s">
        <v>869</v>
      </c>
      <c r="C39" s="50" t="s">
        <v>2434</v>
      </c>
      <c r="E39" s="7"/>
      <c r="F39" s="50"/>
      <c r="G39" s="48"/>
      <c r="H39" s="66"/>
      <c r="I39" s="66"/>
      <c r="J39" s="25"/>
      <c r="L39" s="7"/>
      <c r="M39" s="14" t="s">
        <v>247</v>
      </c>
      <c r="N39" s="17" t="s">
        <v>41</v>
      </c>
      <c r="O39" s="17" t="s">
        <v>42</v>
      </c>
      <c r="P39" s="48" t="s">
        <v>41</v>
      </c>
      <c r="Q39" s="21" t="s">
        <v>414</v>
      </c>
    </row>
    <row r="40" spans="2:23" ht="13">
      <c r="B40" s="50" t="s">
        <v>879</v>
      </c>
      <c r="C40" s="50" t="s">
        <v>1822</v>
      </c>
      <c r="E40" s="7"/>
      <c r="F40" s="50"/>
      <c r="G40" s="48"/>
      <c r="H40" s="66"/>
      <c r="I40" s="66"/>
      <c r="J40" s="25"/>
      <c r="L40" s="7"/>
      <c r="M40" s="14" t="s">
        <v>247</v>
      </c>
      <c r="N40" s="37" t="s">
        <v>36</v>
      </c>
      <c r="O40" s="19" t="s">
        <v>45</v>
      </c>
      <c r="P40" s="48" t="s">
        <v>1860</v>
      </c>
      <c r="Q40" s="21" t="s">
        <v>1861</v>
      </c>
    </row>
    <row r="41" spans="2:23" ht="13">
      <c r="B41" s="50" t="s">
        <v>2436</v>
      </c>
      <c r="C41" s="50" t="s">
        <v>2271</v>
      </c>
      <c r="E41" s="7"/>
      <c r="F41" s="50"/>
      <c r="G41" s="48"/>
      <c r="H41" s="66"/>
      <c r="I41" s="66"/>
      <c r="J41" s="25"/>
      <c r="L41" s="7"/>
      <c r="M41" s="14" t="s">
        <v>247</v>
      </c>
      <c r="N41" s="19" t="s">
        <v>36</v>
      </c>
      <c r="O41" s="19" t="s">
        <v>46</v>
      </c>
      <c r="P41" s="48" t="s">
        <v>540</v>
      </c>
      <c r="Q41" s="18"/>
    </row>
    <row r="42" spans="2:23" ht="13">
      <c r="B42" s="50" t="s">
        <v>909</v>
      </c>
      <c r="C42" s="50" t="s">
        <v>898</v>
      </c>
      <c r="E42" s="7"/>
      <c r="F42" s="50"/>
      <c r="G42" s="48"/>
      <c r="H42" s="66"/>
      <c r="I42" s="66"/>
      <c r="J42" s="25"/>
      <c r="L42" s="7"/>
      <c r="M42" s="14" t="s">
        <v>247</v>
      </c>
      <c r="N42" s="37" t="s">
        <v>36</v>
      </c>
      <c r="O42" s="37" t="s">
        <v>259</v>
      </c>
      <c r="P42" s="48" t="s">
        <v>541</v>
      </c>
      <c r="Q42" s="21" t="s">
        <v>497</v>
      </c>
    </row>
    <row r="43" spans="2:23" ht="13">
      <c r="B43" s="50" t="s">
        <v>886</v>
      </c>
      <c r="C43" s="50" t="s">
        <v>175</v>
      </c>
      <c r="E43" s="7"/>
      <c r="F43" s="67"/>
      <c r="G43" s="25"/>
      <c r="H43" s="68"/>
      <c r="I43" s="68"/>
      <c r="J43" s="25"/>
      <c r="L43" s="7"/>
      <c r="M43" s="14" t="s">
        <v>247</v>
      </c>
      <c r="N43" s="37" t="s">
        <v>36</v>
      </c>
      <c r="O43" s="37" t="s">
        <v>316</v>
      </c>
      <c r="P43" s="48" t="s">
        <v>542</v>
      </c>
      <c r="Q43" s="18"/>
    </row>
    <row r="44" spans="2:23" ht="13">
      <c r="B44" s="50" t="s">
        <v>884</v>
      </c>
      <c r="C44" s="50" t="s">
        <v>2435</v>
      </c>
      <c r="E44" s="7"/>
      <c r="F44" s="50"/>
      <c r="G44" s="48"/>
      <c r="H44" s="66"/>
      <c r="I44" s="66"/>
      <c r="J44" s="25"/>
      <c r="L44" s="7"/>
      <c r="M44" s="48" t="s">
        <v>247</v>
      </c>
      <c r="N44" s="37" t="s">
        <v>36</v>
      </c>
      <c r="O44" s="37" t="s">
        <v>317</v>
      </c>
      <c r="P44" s="48" t="s">
        <v>543</v>
      </c>
      <c r="Q44" s="21" t="s">
        <v>442</v>
      </c>
    </row>
    <row r="45" spans="2:23" ht="13">
      <c r="B45" s="50" t="s">
        <v>1370</v>
      </c>
      <c r="C45" s="50" t="s">
        <v>2276</v>
      </c>
      <c r="E45" s="7"/>
      <c r="F45" s="50"/>
      <c r="G45" s="48"/>
      <c r="H45" s="66"/>
      <c r="I45" s="66"/>
      <c r="J45" s="25"/>
      <c r="L45" s="7"/>
      <c r="M45" s="48" t="s">
        <v>247</v>
      </c>
      <c r="N45" s="37" t="s">
        <v>36</v>
      </c>
      <c r="O45" s="37" t="s">
        <v>318</v>
      </c>
      <c r="P45" s="48" t="s">
        <v>539</v>
      </c>
      <c r="Q45" s="18"/>
    </row>
    <row r="46" spans="2:23" ht="13">
      <c r="B46" s="50" t="s">
        <v>878</v>
      </c>
      <c r="C46" s="50" t="s">
        <v>2455</v>
      </c>
      <c r="E46" s="7"/>
      <c r="F46" s="50"/>
      <c r="G46" s="48"/>
      <c r="H46" s="66"/>
      <c r="I46" s="66"/>
      <c r="J46" s="25"/>
      <c r="L46" s="7"/>
      <c r="M46" s="14" t="s">
        <v>247</v>
      </c>
      <c r="N46" s="37" t="s">
        <v>319</v>
      </c>
      <c r="O46" s="37" t="s">
        <v>320</v>
      </c>
      <c r="P46" s="48" t="s">
        <v>323</v>
      </c>
      <c r="Q46" s="21"/>
    </row>
    <row r="47" spans="2:23" ht="13">
      <c r="B47" s="50" t="s">
        <v>2273</v>
      </c>
      <c r="C47" t="s">
        <v>2456</v>
      </c>
      <c r="E47" s="7"/>
      <c r="F47" s="50"/>
      <c r="G47" s="48"/>
      <c r="H47" s="66"/>
      <c r="I47" s="66"/>
      <c r="J47" s="25"/>
      <c r="L47" s="7"/>
      <c r="M47" s="14" t="s">
        <v>247</v>
      </c>
      <c r="N47" s="37" t="s">
        <v>319</v>
      </c>
      <c r="O47" s="37" t="s">
        <v>321</v>
      </c>
      <c r="P47" s="48" t="s">
        <v>324</v>
      </c>
      <c r="Q47" s="21"/>
    </row>
    <row r="48" spans="2:23" ht="13">
      <c r="B48" s="50" t="s">
        <v>2272</v>
      </c>
      <c r="C48" t="s">
        <v>2456</v>
      </c>
      <c r="E48" s="7"/>
      <c r="F48" s="50"/>
      <c r="G48" s="48"/>
      <c r="H48" s="66"/>
      <c r="I48" s="66"/>
      <c r="J48" s="25"/>
      <c r="L48" s="7"/>
      <c r="M48" s="14" t="s">
        <v>247</v>
      </c>
      <c r="N48" s="37" t="s">
        <v>319</v>
      </c>
      <c r="O48" s="37" t="s">
        <v>322</v>
      </c>
      <c r="P48" s="48" t="s">
        <v>331</v>
      </c>
      <c r="Q48" s="21"/>
    </row>
    <row r="49" spans="2:17" ht="15" customHeight="1">
      <c r="B49" s="50"/>
      <c r="C49" s="50"/>
      <c r="E49" s="7"/>
      <c r="F49" s="50"/>
      <c r="G49" s="48"/>
      <c r="H49" s="66"/>
      <c r="I49" s="66"/>
      <c r="J49" s="25"/>
      <c r="L49" s="7"/>
      <c r="M49" s="14" t="s">
        <v>58</v>
      </c>
      <c r="N49" s="48" t="s">
        <v>248</v>
      </c>
      <c r="O49" s="17" t="s">
        <v>50</v>
      </c>
      <c r="P49" s="48" t="s">
        <v>498</v>
      </c>
      <c r="Q49" s="21" t="s">
        <v>441</v>
      </c>
    </row>
    <row r="50" spans="2:17" ht="17.25" customHeight="1">
      <c r="B50" s="50"/>
      <c r="C50" s="50"/>
      <c r="E50" s="7"/>
      <c r="F50" s="50"/>
      <c r="G50" s="48"/>
      <c r="H50" s="66"/>
      <c r="I50" s="66"/>
      <c r="J50" s="25"/>
      <c r="L50" s="7"/>
      <c r="M50" s="48" t="s">
        <v>58</v>
      </c>
      <c r="N50" s="48" t="s">
        <v>248</v>
      </c>
      <c r="O50" s="17" t="s">
        <v>51</v>
      </c>
      <c r="P50" s="48" t="s">
        <v>407</v>
      </c>
      <c r="Q50" s="21" t="s">
        <v>441</v>
      </c>
    </row>
    <row r="51" spans="2:17" ht="16.5" customHeight="1">
      <c r="B51" s="50"/>
      <c r="C51" s="50"/>
      <c r="E51" s="7"/>
      <c r="F51" s="50"/>
      <c r="G51" s="48"/>
      <c r="H51" s="66"/>
      <c r="I51" s="66"/>
      <c r="J51" s="25"/>
      <c r="L51" s="7"/>
      <c r="M51" s="48" t="s">
        <v>58</v>
      </c>
      <c r="N51" s="48" t="s">
        <v>248</v>
      </c>
      <c r="O51" s="17" t="s">
        <v>52</v>
      </c>
      <c r="P51" s="48" t="s">
        <v>121</v>
      </c>
      <c r="Q51" s="21" t="s">
        <v>441</v>
      </c>
    </row>
    <row r="52" spans="2:17" ht="13">
      <c r="B52" s="50"/>
      <c r="E52" s="7"/>
      <c r="F52" s="67"/>
      <c r="G52" s="25"/>
      <c r="H52" s="68"/>
      <c r="I52" s="68"/>
      <c r="J52" s="25"/>
      <c r="L52" s="7"/>
      <c r="M52" s="48" t="s">
        <v>58</v>
      </c>
      <c r="N52" s="48" t="s">
        <v>4</v>
      </c>
      <c r="O52" s="17" t="s">
        <v>33</v>
      </c>
      <c r="P52" s="17" t="s">
        <v>53</v>
      </c>
      <c r="Q52" s="48"/>
    </row>
    <row r="53" spans="2:17" ht="13">
      <c r="B53" s="50"/>
      <c r="C53" s="50"/>
      <c r="E53" s="7"/>
      <c r="F53" s="67"/>
      <c r="G53" s="25"/>
      <c r="H53" s="68"/>
      <c r="I53" s="68"/>
      <c r="J53" s="25"/>
      <c r="L53" s="7"/>
      <c r="M53" s="48" t="s">
        <v>58</v>
      </c>
      <c r="N53" s="48" t="s">
        <v>4</v>
      </c>
      <c r="O53" s="17" t="s">
        <v>34</v>
      </c>
      <c r="P53" s="48" t="s">
        <v>157</v>
      </c>
      <c r="Q53" s="18"/>
    </row>
    <row r="54" spans="2:17" ht="13">
      <c r="E54" s="7"/>
      <c r="F54" s="67" t="s">
        <v>299</v>
      </c>
      <c r="G54" s="25" t="s">
        <v>300</v>
      </c>
      <c r="H54" s="68" t="str">
        <f>LEFT(Modules[Code], FIND(".", Modules[Code])-1)</f>
        <v>X</v>
      </c>
      <c r="I54" s="68" t="e">
        <f>INDEX(Workstreams[Workstream], MATCH(Modules[WS Code], Workstreams[Code], 0))</f>
        <v>#N/A</v>
      </c>
      <c r="J54" s="25"/>
      <c r="L54" s="7"/>
      <c r="M54" s="48" t="s">
        <v>58</v>
      </c>
      <c r="N54" s="48" t="s">
        <v>118</v>
      </c>
      <c r="O54" s="48" t="s">
        <v>35</v>
      </c>
      <c r="P54" s="17" t="s">
        <v>48</v>
      </c>
      <c r="Q54" s="21" t="s">
        <v>158</v>
      </c>
    </row>
    <row r="55" spans="2:17" ht="13">
      <c r="E55" s="7"/>
      <c r="F55" s="67" t="s">
        <v>275</v>
      </c>
      <c r="G55" s="25" t="s">
        <v>166</v>
      </c>
      <c r="H55" s="68" t="str">
        <f>LEFT(Modules[Code], FIND(".", Modules[Code])-1)</f>
        <v>XI</v>
      </c>
      <c r="I55" s="68"/>
      <c r="J55" s="25"/>
      <c r="L55" s="7"/>
      <c r="M55" s="48" t="s">
        <v>58</v>
      </c>
      <c r="N55" s="48" t="s">
        <v>118</v>
      </c>
      <c r="O55" s="48" t="s">
        <v>37</v>
      </c>
      <c r="P55" s="17" t="s">
        <v>49</v>
      </c>
      <c r="Q55" s="21" t="s">
        <v>159</v>
      </c>
    </row>
    <row r="56" spans="2:17" ht="13">
      <c r="E56" s="7"/>
      <c r="F56" s="67" t="s">
        <v>277</v>
      </c>
      <c r="G56" s="25" t="s">
        <v>397</v>
      </c>
      <c r="H56" s="68" t="str">
        <f>LEFT(Modules[Code], FIND(".", Modules[Code])-1)</f>
        <v>XII</v>
      </c>
      <c r="I56" s="68"/>
      <c r="J56" s="25"/>
      <c r="L56" s="7"/>
      <c r="M56" s="48" t="s">
        <v>58</v>
      </c>
      <c r="N56" s="48" t="s">
        <v>118</v>
      </c>
      <c r="O56" s="48" t="s">
        <v>38</v>
      </c>
      <c r="P56" s="48" t="s">
        <v>178</v>
      </c>
      <c r="Q56" s="21" t="s">
        <v>117</v>
      </c>
    </row>
    <row r="57" spans="2:17" ht="13">
      <c r="E57" s="7"/>
      <c r="F57" s="67" t="s">
        <v>289</v>
      </c>
      <c r="G57" s="25" t="s">
        <v>398</v>
      </c>
      <c r="H57" s="68" t="str">
        <f>LEFT(Modules[Code], FIND(".", Modules[Code])-1)</f>
        <v>XII</v>
      </c>
      <c r="I57" s="68"/>
      <c r="J57" s="25"/>
      <c r="L57" s="11"/>
      <c r="M57" s="48" t="s">
        <v>58</v>
      </c>
      <c r="N57" s="48" t="s">
        <v>118</v>
      </c>
      <c r="O57" s="48" t="s">
        <v>87</v>
      </c>
      <c r="P57" s="48" t="s">
        <v>119</v>
      </c>
      <c r="Q57" s="21"/>
    </row>
    <row r="58" spans="2:17" ht="26">
      <c r="E58" s="7"/>
      <c r="F58" s="67" t="s">
        <v>290</v>
      </c>
      <c r="G58" s="25" t="s">
        <v>302</v>
      </c>
      <c r="H58" s="68" t="str">
        <f>LEFT(Modules[Code], FIND(".", Modules[Code])-1)</f>
        <v>XII</v>
      </c>
      <c r="I58" s="68"/>
      <c r="J58" s="25"/>
      <c r="L58" s="11"/>
      <c r="M58" s="48" t="s">
        <v>58</v>
      </c>
      <c r="N58" s="48" t="s">
        <v>15</v>
      </c>
      <c r="O58" s="48" t="s">
        <v>249</v>
      </c>
      <c r="P58" s="48" t="s">
        <v>272</v>
      </c>
      <c r="Q58" s="21" t="s">
        <v>177</v>
      </c>
    </row>
    <row r="59" spans="2:17" ht="13">
      <c r="F59" s="67" t="s">
        <v>301</v>
      </c>
      <c r="G59" s="25" t="s">
        <v>512</v>
      </c>
      <c r="H59" s="68" t="str">
        <f>LEFT(Modules[Code], FIND(".", Modules[Code])-1)</f>
        <v>XII</v>
      </c>
      <c r="I59" s="68"/>
      <c r="J59" s="25"/>
      <c r="L59" s="11"/>
      <c r="M59" s="48" t="s">
        <v>58</v>
      </c>
      <c r="N59" s="48" t="s">
        <v>85</v>
      </c>
      <c r="O59" s="48" t="s">
        <v>250</v>
      </c>
      <c r="P59" s="48" t="s">
        <v>536</v>
      </c>
      <c r="Q59" s="21" t="s">
        <v>292</v>
      </c>
    </row>
    <row r="60" spans="2:17" ht="39">
      <c r="F60" s="67" t="s">
        <v>304</v>
      </c>
      <c r="G60" s="25" t="s">
        <v>310</v>
      </c>
      <c r="H60" s="68" t="str">
        <f>LEFT(Modules[Code], FIND(".", Modules[Code])-1)</f>
        <v>XII</v>
      </c>
      <c r="I60" s="68"/>
      <c r="J60" s="25"/>
      <c r="L60" s="11"/>
      <c r="M60" s="48" t="s">
        <v>58</v>
      </c>
      <c r="N60" s="48" t="s">
        <v>85</v>
      </c>
      <c r="O60" s="48" t="s">
        <v>251</v>
      </c>
      <c r="P60" s="48" t="s">
        <v>537</v>
      </c>
      <c r="Q60" s="21" t="s">
        <v>446</v>
      </c>
    </row>
    <row r="61" spans="2:17" ht="26">
      <c r="F61" s="67" t="s">
        <v>305</v>
      </c>
      <c r="G61" s="25" t="s">
        <v>513</v>
      </c>
      <c r="H61" s="68" t="str">
        <f>LEFT(Modules[Code], FIND(".", Modules[Code])-1)</f>
        <v>XII</v>
      </c>
      <c r="I61" s="68"/>
      <c r="J61" s="25"/>
      <c r="L61" s="11"/>
      <c r="M61" s="48" t="s">
        <v>58</v>
      </c>
      <c r="N61" s="48" t="s">
        <v>86</v>
      </c>
      <c r="O61" s="48" t="s">
        <v>295</v>
      </c>
      <c r="P61" s="48" t="s">
        <v>538</v>
      </c>
      <c r="Q61" s="21" t="s">
        <v>294</v>
      </c>
    </row>
    <row r="62" spans="2:17" ht="13">
      <c r="F62" s="67" t="s">
        <v>296</v>
      </c>
      <c r="G62" s="25" t="s">
        <v>511</v>
      </c>
      <c r="H62" s="68" t="str">
        <f>LEFT(Modules[Code], FIND(".", Modules[Code])-1)</f>
        <v>XIII</v>
      </c>
      <c r="I62" s="68"/>
      <c r="J62" s="25"/>
      <c r="L62" s="11"/>
      <c r="M62" s="250" t="s">
        <v>58</v>
      </c>
      <c r="N62" s="35" t="s">
        <v>518</v>
      </c>
      <c r="O62" s="250" t="s">
        <v>504</v>
      </c>
      <c r="P62" s="251" t="s">
        <v>100</v>
      </c>
      <c r="Q62" s="252" t="s">
        <v>505</v>
      </c>
    </row>
    <row r="63" spans="2:17" ht="13">
      <c r="F63" s="67" t="s">
        <v>306</v>
      </c>
      <c r="G63" s="25" t="s">
        <v>164</v>
      </c>
      <c r="H63" s="68" t="str">
        <f>LEFT(Modules[Code], FIND(".", Modules[Code])-1)</f>
        <v>XIV</v>
      </c>
      <c r="I63" s="68" t="str">
        <f>INDEX(Workstreams[Workstream], MATCH(Modules[WS Code], Workstreams[Code], 0))</f>
        <v>Geosequestration</v>
      </c>
      <c r="J63" s="25"/>
      <c r="L63" s="11"/>
      <c r="M63" s="166" t="s">
        <v>58</v>
      </c>
      <c r="N63" s="483" t="s">
        <v>439</v>
      </c>
      <c r="O63" s="35" t="s">
        <v>388</v>
      </c>
      <c r="P63" s="25" t="s">
        <v>387</v>
      </c>
      <c r="Q63" s="167" t="s">
        <v>389</v>
      </c>
    </row>
    <row r="64" spans="2:17" ht="13">
      <c r="F64" s="67" t="s">
        <v>326</v>
      </c>
      <c r="G64" s="25" t="s">
        <v>328</v>
      </c>
      <c r="H64" s="68" t="str">
        <f>LEFT(Modules[Code], FIND(".", Modules[Code])-1)</f>
        <v>XVI</v>
      </c>
      <c r="I64" s="68" t="str">
        <f>INDEX(Workstreams[Workstream], MATCH(Modules[WS Code], Workstreams[Code], 0))</f>
        <v>Transfers</v>
      </c>
      <c r="J64" s="25" t="s">
        <v>379</v>
      </c>
      <c r="L64" s="11"/>
      <c r="M64" s="166" t="s">
        <v>58</v>
      </c>
      <c r="N64" s="48" t="s">
        <v>86</v>
      </c>
      <c r="O64" s="48" t="s">
        <v>415</v>
      </c>
      <c r="P64" s="17" t="s">
        <v>86</v>
      </c>
      <c r="Q64" s="174"/>
    </row>
    <row r="65" spans="6:21" ht="13">
      <c r="F65" s="67" t="s">
        <v>327</v>
      </c>
      <c r="G65" s="25" t="s">
        <v>496</v>
      </c>
      <c r="H65" s="68" t="str">
        <f>LEFT(Modules[Code], FIND(".", Modules[Code])-1)</f>
        <v>XVI</v>
      </c>
      <c r="I65" s="68" t="str">
        <f>INDEX(Workstreams[Workstream], MATCH(Modules[WS Code], Workstreams[Code], 0))</f>
        <v>Transfers</v>
      </c>
      <c r="J65" s="25"/>
      <c r="L65" s="11"/>
      <c r="M65" s="166" t="s">
        <v>58</v>
      </c>
      <c r="N65" s="35" t="s">
        <v>518</v>
      </c>
      <c r="O65" s="35" t="s">
        <v>445</v>
      </c>
      <c r="P65" s="25" t="s">
        <v>500</v>
      </c>
      <c r="Q65" s="167" t="s">
        <v>502</v>
      </c>
    </row>
    <row r="66" spans="6:21" ht="13">
      <c r="F66" s="67" t="s">
        <v>392</v>
      </c>
      <c r="G66" s="25" t="s">
        <v>391</v>
      </c>
      <c r="H66" s="68" t="str">
        <f>LEFT(Modules[Code], FIND(".", Modules[Code])-1)</f>
        <v>XVII</v>
      </c>
      <c r="I66" s="68" t="str">
        <f>INDEX(Workstreams[Workstream], MATCH(Modules[WS Code], Workstreams[Code], 0))</f>
        <v>District heating</v>
      </c>
      <c r="J66" s="25" t="s">
        <v>393</v>
      </c>
      <c r="L66" s="11"/>
      <c r="M66" s="250" t="s">
        <v>58</v>
      </c>
      <c r="N66" s="35" t="s">
        <v>518</v>
      </c>
      <c r="O66" s="250" t="s">
        <v>501</v>
      </c>
      <c r="P66" s="25" t="s">
        <v>506</v>
      </c>
      <c r="Q66" s="167" t="s">
        <v>503</v>
      </c>
      <c r="T66" s="902" t="s">
        <v>415</v>
      </c>
      <c r="U66" s="902" t="s">
        <v>293</v>
      </c>
    </row>
    <row r="67" spans="6:21" ht="13">
      <c r="F67" s="67" t="s">
        <v>733</v>
      </c>
      <c r="G67" s="25" t="s">
        <v>734</v>
      </c>
      <c r="H67" s="68" t="s">
        <v>681</v>
      </c>
      <c r="I67" s="68" t="s">
        <v>734</v>
      </c>
      <c r="J67" s="25"/>
      <c r="L67" s="11"/>
      <c r="M67" s="250" t="s">
        <v>58</v>
      </c>
      <c r="N67" s="483" t="s">
        <v>518</v>
      </c>
      <c r="O67" s="483" t="s">
        <v>504</v>
      </c>
      <c r="P67" s="902" t="s">
        <v>506</v>
      </c>
      <c r="Q67" s="1059"/>
      <c r="T67" s="902" t="s">
        <v>445</v>
      </c>
      <c r="U67" s="902" t="s">
        <v>500</v>
      </c>
    </row>
    <row r="68" spans="6:21" ht="13">
      <c r="F68" s="50"/>
      <c r="G68" s="48"/>
      <c r="H68" s="66"/>
      <c r="I68" s="66"/>
      <c r="J68" s="25"/>
      <c r="L68" s="11"/>
      <c r="M68" s="250" t="s">
        <v>58</v>
      </c>
      <c r="N68" s="565" t="s">
        <v>41</v>
      </c>
      <c r="O68" s="565" t="s">
        <v>897</v>
      </c>
      <c r="P68" s="840" t="s">
        <v>1359</v>
      </c>
      <c r="Q68" s="841"/>
      <c r="T68" s="902" t="s">
        <v>501</v>
      </c>
      <c r="U68" s="902" t="s">
        <v>506</v>
      </c>
    </row>
    <row r="69" spans="6:21" ht="13">
      <c r="F69" s="50"/>
      <c r="G69" s="48"/>
      <c r="H69" s="66"/>
      <c r="I69" s="66"/>
      <c r="J69" s="48"/>
      <c r="L69" s="11"/>
      <c r="M69" s="282" t="s">
        <v>521</v>
      </c>
      <c r="N69" s="35" t="s">
        <v>545</v>
      </c>
      <c r="O69" s="282" t="s">
        <v>523</v>
      </c>
      <c r="P69" s="25" t="s">
        <v>546</v>
      </c>
      <c r="Q69" s="284"/>
      <c r="T69" s="902" t="s">
        <v>504</v>
      </c>
      <c r="U69" s="902" t="s">
        <v>100</v>
      </c>
    </row>
    <row r="70" spans="6:21" ht="13">
      <c r="F70" s="50"/>
      <c r="G70" s="48"/>
      <c r="H70" s="66"/>
      <c r="I70" s="66"/>
      <c r="J70" s="48"/>
      <c r="L70" s="11"/>
      <c r="M70" s="282" t="s">
        <v>521</v>
      </c>
      <c r="N70" s="35" t="s">
        <v>545</v>
      </c>
      <c r="O70" s="298" t="s">
        <v>531</v>
      </c>
      <c r="P70" s="299" t="s">
        <v>547</v>
      </c>
      <c r="Q70" s="300"/>
      <c r="T70" s="902" t="s">
        <v>897</v>
      </c>
      <c r="U70" s="902" t="s">
        <v>553</v>
      </c>
    </row>
    <row r="71" spans="6:21" ht="13">
      <c r="F71" s="50"/>
      <c r="G71" s="48"/>
      <c r="H71" s="66"/>
      <c r="I71" s="66"/>
      <c r="J71" s="48"/>
      <c r="L71" s="2"/>
      <c r="M71" s="298" t="s">
        <v>521</v>
      </c>
      <c r="N71" s="298" t="s">
        <v>545</v>
      </c>
      <c r="O71" s="298" t="s">
        <v>548</v>
      </c>
      <c r="P71" s="299" t="s">
        <v>549</v>
      </c>
      <c r="Q71" s="300"/>
    </row>
    <row r="72" spans="6:21" ht="13">
      <c r="F72" s="50"/>
      <c r="G72" s="48"/>
      <c r="H72" s="66"/>
      <c r="I72" s="66"/>
      <c r="J72" s="48"/>
      <c r="L72" s="2"/>
      <c r="M72" s="298" t="s">
        <v>521</v>
      </c>
      <c r="N72" s="35" t="s">
        <v>551</v>
      </c>
      <c r="O72" s="35" t="s">
        <v>550</v>
      </c>
      <c r="P72" s="25" t="s">
        <v>552</v>
      </c>
      <c r="Q72" s="174"/>
    </row>
    <row r="73" spans="6:21" ht="13">
      <c r="F73" s="67"/>
      <c r="G73" s="25"/>
      <c r="H73" s="68"/>
      <c r="I73" s="68"/>
      <c r="J73" s="25"/>
      <c r="L73" s="2"/>
      <c r="M73" s="282" t="s">
        <v>521</v>
      </c>
      <c r="N73" s="282" t="s">
        <v>524</v>
      </c>
      <c r="O73" s="282" t="s">
        <v>528</v>
      </c>
      <c r="P73" s="283" t="s">
        <v>527</v>
      </c>
      <c r="Q73" s="284"/>
    </row>
    <row r="74" spans="6:21" ht="13">
      <c r="L74" s="2"/>
      <c r="M74" s="35" t="s">
        <v>521</v>
      </c>
      <c r="N74" s="35" t="s">
        <v>524</v>
      </c>
      <c r="O74" s="35" t="s">
        <v>642</v>
      </c>
      <c r="P74" s="25" t="s">
        <v>254</v>
      </c>
      <c r="Q74" s="174"/>
    </row>
    <row r="75" spans="6:21" ht="13">
      <c r="L75" s="2"/>
      <c r="M75" s="282" t="s">
        <v>521</v>
      </c>
      <c r="N75" s="35" t="s">
        <v>524</v>
      </c>
      <c r="O75" s="282" t="s">
        <v>529</v>
      </c>
      <c r="P75" s="283" t="s">
        <v>525</v>
      </c>
      <c r="Q75" s="284"/>
    </row>
    <row r="76" spans="6:21" ht="13">
      <c r="L76" s="2"/>
      <c r="M76" s="389" t="s">
        <v>521</v>
      </c>
      <c r="N76" s="389" t="s">
        <v>21</v>
      </c>
      <c r="O76" s="389" t="s">
        <v>690</v>
      </c>
      <c r="P76" s="390" t="s">
        <v>691</v>
      </c>
      <c r="Q76" s="391" t="s">
        <v>692</v>
      </c>
    </row>
    <row r="77" spans="6:21" ht="13">
      <c r="L77" s="2"/>
      <c r="M77" s="35" t="s">
        <v>521</v>
      </c>
      <c r="N77" s="35" t="s">
        <v>21</v>
      </c>
      <c r="O77" s="35" t="s">
        <v>643</v>
      </c>
      <c r="P77" s="25" t="s">
        <v>644</v>
      </c>
      <c r="Q77" s="167" t="s">
        <v>647</v>
      </c>
    </row>
    <row r="78" spans="6:21" ht="13">
      <c r="L78" s="2"/>
      <c r="M78" s="35" t="s">
        <v>521</v>
      </c>
      <c r="N78" s="35" t="s">
        <v>21</v>
      </c>
      <c r="O78" s="35" t="s">
        <v>645</v>
      </c>
      <c r="P78" s="25" t="s">
        <v>646</v>
      </c>
      <c r="Q78" s="167" t="s">
        <v>647</v>
      </c>
    </row>
    <row r="79" spans="6:21" ht="13">
      <c r="L79" s="2"/>
      <c r="M79" s="35" t="s">
        <v>521</v>
      </c>
      <c r="N79" s="35" t="s">
        <v>21</v>
      </c>
      <c r="O79" s="35" t="s">
        <v>648</v>
      </c>
      <c r="P79" s="25" t="s">
        <v>649</v>
      </c>
      <c r="Q79" s="167" t="s">
        <v>647</v>
      </c>
    </row>
    <row r="80" spans="6:21" ht="13">
      <c r="L80" s="2"/>
      <c r="M80" s="35" t="s">
        <v>521</v>
      </c>
      <c r="N80" s="35" t="s">
        <v>21</v>
      </c>
      <c r="O80" s="35" t="s">
        <v>652</v>
      </c>
      <c r="P80" s="25" t="s">
        <v>653</v>
      </c>
      <c r="Q80" s="167" t="s">
        <v>647</v>
      </c>
    </row>
    <row r="81" spans="13:17">
      <c r="M81" s="2"/>
      <c r="P81" s="2"/>
      <c r="Q81" s="12"/>
    </row>
    <row r="82" spans="13:17">
      <c r="M82" s="2"/>
      <c r="P82" s="2"/>
      <c r="Q82" s="12"/>
    </row>
    <row r="83" spans="13:17">
      <c r="M83" s="2"/>
      <c r="P83" s="2"/>
      <c r="Q83" s="12"/>
    </row>
    <row r="84" spans="13:17">
      <c r="M84" s="2"/>
      <c r="P84" s="2"/>
      <c r="Q84" s="12"/>
    </row>
    <row r="85" spans="13:17">
      <c r="M85" s="2"/>
      <c r="P85" s="2"/>
      <c r="Q85" s="12"/>
    </row>
    <row r="86" spans="13:17">
      <c r="M86" s="2"/>
      <c r="P86" s="2"/>
      <c r="Q86" s="12"/>
    </row>
    <row r="87" spans="13:17">
      <c r="M87" s="2"/>
      <c r="P87" s="2"/>
      <c r="Q87" s="12"/>
    </row>
    <row r="88" spans="13:17">
      <c r="M88" s="2"/>
      <c r="P88" s="2"/>
      <c r="Q88" s="12"/>
    </row>
    <row r="89" spans="13:17">
      <c r="M89" s="2"/>
      <c r="P89" s="2"/>
      <c r="Q89" s="12"/>
    </row>
    <row r="90" spans="13:17">
      <c r="M90" s="2"/>
      <c r="P90" s="2"/>
      <c r="Q90" s="12"/>
    </row>
    <row r="91" spans="13:17">
      <c r="M91" s="2"/>
      <c r="P91" s="2"/>
      <c r="Q91" s="12"/>
    </row>
    <row r="92" spans="13:17">
      <c r="M92" s="2"/>
      <c r="P92" s="2"/>
      <c r="Q92" s="12"/>
    </row>
  </sheetData>
  <conditionalFormatting sqref="T66:T70">
    <cfRule type="duplicateValues" dxfId="195" priority="1"/>
  </conditionalFormatting>
  <pageMargins left="0.7" right="0.7" top="0.75" bottom="0.75" header="0.3" footer="0.3"/>
  <pageSetup paperSize="9" orientation="landscape" horizontalDpi="300" verticalDpi="300"/>
  <tableParts count="7">
    <tablePart r:id="rId1"/>
    <tablePart r:id="rId2"/>
    <tablePart r:id="rId3"/>
    <tablePart r:id="rId4"/>
    <tablePart r:id="rId5"/>
    <tablePart r:id="rId6"/>
    <tablePart r:id="rId7"/>
  </tableParts>
  <extLst>
    <ext xmlns:mx="http://schemas.microsoft.com/office/mac/excel/2008/main" uri="{64002731-A6B0-56B0-2670-7721B7C09600}">
      <mx:PLV Mode="0" OnePage="0" WScale="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enableFormatConditionsCalculation="0">
    <tabColor theme="9" tint="-0.249977111117893"/>
  </sheetPr>
  <dimension ref="A1:FV4304"/>
  <sheetViews>
    <sheetView zoomScale="85" zoomScaleNormal="85" zoomScalePageLayoutView="85" workbookViewId="0">
      <pane xSplit="6" ySplit="5" topLeftCell="G6" activePane="bottomRight" state="frozen"/>
      <selection activeCell="K21" sqref="K21"/>
      <selection pane="topRight" activeCell="K21" sqref="K21"/>
      <selection pane="bottomLeft" activeCell="K21" sqref="K21"/>
      <selection pane="bottomRight" activeCell="C4" sqref="C4"/>
    </sheetView>
    <sheetView workbookViewId="1">
      <selection activeCell="E12" sqref="E12"/>
    </sheetView>
  </sheetViews>
  <sheetFormatPr baseColWidth="10" defaultColWidth="8.83203125" defaultRowHeight="13" x14ac:dyDescent="0"/>
  <cols>
    <col min="1" max="1" width="27.33203125" style="1504" customWidth="1"/>
    <col min="2" max="2" width="33.5" style="1504" customWidth="1"/>
    <col min="3" max="6" width="12.6640625" style="1504" customWidth="1"/>
    <col min="7" max="7" width="8.5" style="1519" customWidth="1"/>
    <col min="8" max="8" width="8.5" style="1525" customWidth="1"/>
    <col min="9" max="35" width="8.5" style="1509" customWidth="1"/>
    <col min="36" max="36" width="8.33203125" style="1502" customWidth="1"/>
    <col min="37" max="38" width="6.5" style="1157" customWidth="1"/>
    <col min="39" max="39" width="8" style="1157" customWidth="1"/>
    <col min="40" max="40" width="6.6640625" style="1157" customWidth="1"/>
    <col min="41" max="54" width="6.5" style="1157" customWidth="1"/>
    <col min="55" max="63" width="6.33203125" style="1157" customWidth="1"/>
    <col min="64" max="153" width="8.83203125" style="1157"/>
    <col min="154" max="154" width="10.5" style="1157" bestFit="1" customWidth="1"/>
    <col min="155" max="155" width="16" style="1157" bestFit="1" customWidth="1"/>
    <col min="156" max="158" width="10.5" style="1157" bestFit="1" customWidth="1"/>
    <col min="159" max="159" width="16.5" style="1157" bestFit="1" customWidth="1"/>
    <col min="160" max="160" width="23.1640625" style="1157" bestFit="1" customWidth="1"/>
    <col min="161" max="161" width="22.6640625" style="1157" bestFit="1" customWidth="1"/>
    <col min="162" max="162" width="14.1640625" style="1157" bestFit="1" customWidth="1"/>
    <col min="163" max="163" width="11" style="1157" bestFit="1" customWidth="1"/>
    <col min="164" max="164" width="11.83203125" style="1157" bestFit="1" customWidth="1"/>
    <col min="165" max="273" width="8.83203125" style="1157"/>
    <col min="274" max="274" width="11.83203125" style="1157" customWidth="1"/>
    <col min="275" max="275" width="34.6640625" style="1157" customWidth="1"/>
    <col min="276" max="276" width="8.83203125" style="1157"/>
    <col min="277" max="301" width="6.5" style="1157" customWidth="1"/>
    <col min="302" max="312" width="6.33203125" style="1157" customWidth="1"/>
    <col min="313" max="529" width="8.83203125" style="1157"/>
    <col min="530" max="530" width="11.83203125" style="1157" customWidth="1"/>
    <col min="531" max="531" width="34.6640625" style="1157" customWidth="1"/>
    <col min="532" max="532" width="8.83203125" style="1157"/>
    <col min="533" max="557" width="6.5" style="1157" customWidth="1"/>
    <col min="558" max="568" width="6.33203125" style="1157" customWidth="1"/>
    <col min="569" max="785" width="8.83203125" style="1157"/>
    <col min="786" max="786" width="11.83203125" style="1157" customWidth="1"/>
    <col min="787" max="787" width="34.6640625" style="1157" customWidth="1"/>
    <col min="788" max="788" width="8.83203125" style="1157"/>
    <col min="789" max="813" width="6.5" style="1157" customWidth="1"/>
    <col min="814" max="824" width="6.33203125" style="1157" customWidth="1"/>
    <col min="825" max="1041" width="8.83203125" style="1157"/>
    <col min="1042" max="1042" width="11.83203125" style="1157" customWidth="1"/>
    <col min="1043" max="1043" width="34.6640625" style="1157" customWidth="1"/>
    <col min="1044" max="1044" width="8.83203125" style="1157"/>
    <col min="1045" max="1069" width="6.5" style="1157" customWidth="1"/>
    <col min="1070" max="1080" width="6.33203125" style="1157" customWidth="1"/>
    <col min="1081" max="1297" width="8.83203125" style="1157"/>
    <col min="1298" max="1298" width="11.83203125" style="1157" customWidth="1"/>
    <col min="1299" max="1299" width="34.6640625" style="1157" customWidth="1"/>
    <col min="1300" max="1300" width="8.83203125" style="1157"/>
    <col min="1301" max="1325" width="6.5" style="1157" customWidth="1"/>
    <col min="1326" max="1336" width="6.33203125" style="1157" customWidth="1"/>
    <col min="1337" max="1553" width="8.83203125" style="1157"/>
    <col min="1554" max="1554" width="11.83203125" style="1157" customWidth="1"/>
    <col min="1555" max="1555" width="34.6640625" style="1157" customWidth="1"/>
    <col min="1556" max="1556" width="8.83203125" style="1157"/>
    <col min="1557" max="1581" width="6.5" style="1157" customWidth="1"/>
    <col min="1582" max="1592" width="6.33203125" style="1157" customWidth="1"/>
    <col min="1593" max="1809" width="8.83203125" style="1157"/>
    <col min="1810" max="1810" width="11.83203125" style="1157" customWidth="1"/>
    <col min="1811" max="1811" width="34.6640625" style="1157" customWidth="1"/>
    <col min="1812" max="1812" width="8.83203125" style="1157"/>
    <col min="1813" max="1837" width="6.5" style="1157" customWidth="1"/>
    <col min="1838" max="1848" width="6.33203125" style="1157" customWidth="1"/>
    <col min="1849" max="2065" width="8.83203125" style="1157"/>
    <col min="2066" max="2066" width="11.83203125" style="1157" customWidth="1"/>
    <col min="2067" max="2067" width="34.6640625" style="1157" customWidth="1"/>
    <col min="2068" max="2068" width="8.83203125" style="1157"/>
    <col min="2069" max="2093" width="6.5" style="1157" customWidth="1"/>
    <col min="2094" max="2104" width="6.33203125" style="1157" customWidth="1"/>
    <col min="2105" max="2321" width="8.83203125" style="1157"/>
    <col min="2322" max="2322" width="11.83203125" style="1157" customWidth="1"/>
    <col min="2323" max="2323" width="34.6640625" style="1157" customWidth="1"/>
    <col min="2324" max="2324" width="8.83203125" style="1157"/>
    <col min="2325" max="2349" width="6.5" style="1157" customWidth="1"/>
    <col min="2350" max="2360" width="6.33203125" style="1157" customWidth="1"/>
    <col min="2361" max="2577" width="8.83203125" style="1157"/>
    <col min="2578" max="2578" width="11.83203125" style="1157" customWidth="1"/>
    <col min="2579" max="2579" width="34.6640625" style="1157" customWidth="1"/>
    <col min="2580" max="2580" width="8.83203125" style="1157"/>
    <col min="2581" max="2605" width="6.5" style="1157" customWidth="1"/>
    <col min="2606" max="2616" width="6.33203125" style="1157" customWidth="1"/>
    <col min="2617" max="2833" width="8.83203125" style="1157"/>
    <col min="2834" max="2834" width="11.83203125" style="1157" customWidth="1"/>
    <col min="2835" max="2835" width="34.6640625" style="1157" customWidth="1"/>
    <col min="2836" max="2836" width="8.83203125" style="1157"/>
    <col min="2837" max="2861" width="6.5" style="1157" customWidth="1"/>
    <col min="2862" max="2872" width="6.33203125" style="1157" customWidth="1"/>
    <col min="2873" max="3089" width="8.83203125" style="1157"/>
    <col min="3090" max="3090" width="11.83203125" style="1157" customWidth="1"/>
    <col min="3091" max="3091" width="34.6640625" style="1157" customWidth="1"/>
    <col min="3092" max="3092" width="8.83203125" style="1157"/>
    <col min="3093" max="3117" width="6.5" style="1157" customWidth="1"/>
    <col min="3118" max="3128" width="6.33203125" style="1157" customWidth="1"/>
    <col min="3129" max="3345" width="8.83203125" style="1157"/>
    <col min="3346" max="3346" width="11.83203125" style="1157" customWidth="1"/>
    <col min="3347" max="3347" width="34.6640625" style="1157" customWidth="1"/>
    <col min="3348" max="3348" width="8.83203125" style="1157"/>
    <col min="3349" max="3373" width="6.5" style="1157" customWidth="1"/>
    <col min="3374" max="3384" width="6.33203125" style="1157" customWidth="1"/>
    <col min="3385" max="3601" width="8.83203125" style="1157"/>
    <col min="3602" max="3602" width="11.83203125" style="1157" customWidth="1"/>
    <col min="3603" max="3603" width="34.6640625" style="1157" customWidth="1"/>
    <col min="3604" max="3604" width="8.83203125" style="1157"/>
    <col min="3605" max="3629" width="6.5" style="1157" customWidth="1"/>
    <col min="3630" max="3640" width="6.33203125" style="1157" customWidth="1"/>
    <col min="3641" max="3857" width="8.83203125" style="1157"/>
    <col min="3858" max="3858" width="11.83203125" style="1157" customWidth="1"/>
    <col min="3859" max="3859" width="34.6640625" style="1157" customWidth="1"/>
    <col min="3860" max="3860" width="8.83203125" style="1157"/>
    <col min="3861" max="3885" width="6.5" style="1157" customWidth="1"/>
    <col min="3886" max="3896" width="6.33203125" style="1157" customWidth="1"/>
    <col min="3897" max="4113" width="8.83203125" style="1157"/>
    <col min="4114" max="4114" width="11.83203125" style="1157" customWidth="1"/>
    <col min="4115" max="4115" width="34.6640625" style="1157" customWidth="1"/>
    <col min="4116" max="4116" width="8.83203125" style="1157"/>
    <col min="4117" max="4141" width="6.5" style="1157" customWidth="1"/>
    <col min="4142" max="4152" width="6.33203125" style="1157" customWidth="1"/>
    <col min="4153" max="4369" width="8.83203125" style="1157"/>
    <col min="4370" max="4370" width="11.83203125" style="1157" customWidth="1"/>
    <col min="4371" max="4371" width="34.6640625" style="1157" customWidth="1"/>
    <col min="4372" max="4372" width="8.83203125" style="1157"/>
    <col min="4373" max="4397" width="6.5" style="1157" customWidth="1"/>
    <col min="4398" max="4408" width="6.33203125" style="1157" customWidth="1"/>
    <col min="4409" max="4625" width="8.83203125" style="1157"/>
    <col min="4626" max="4626" width="11.83203125" style="1157" customWidth="1"/>
    <col min="4627" max="4627" width="34.6640625" style="1157" customWidth="1"/>
    <col min="4628" max="4628" width="8.83203125" style="1157"/>
    <col min="4629" max="4653" width="6.5" style="1157" customWidth="1"/>
    <col min="4654" max="4664" width="6.33203125" style="1157" customWidth="1"/>
    <col min="4665" max="4881" width="8.83203125" style="1157"/>
    <col min="4882" max="4882" width="11.83203125" style="1157" customWidth="1"/>
    <col min="4883" max="4883" width="34.6640625" style="1157" customWidth="1"/>
    <col min="4884" max="4884" width="8.83203125" style="1157"/>
    <col min="4885" max="4909" width="6.5" style="1157" customWidth="1"/>
    <col min="4910" max="4920" width="6.33203125" style="1157" customWidth="1"/>
    <col min="4921" max="5137" width="8.83203125" style="1157"/>
    <col min="5138" max="5138" width="11.83203125" style="1157" customWidth="1"/>
    <col min="5139" max="5139" width="34.6640625" style="1157" customWidth="1"/>
    <col min="5140" max="5140" width="8.83203125" style="1157"/>
    <col min="5141" max="5165" width="6.5" style="1157" customWidth="1"/>
    <col min="5166" max="5176" width="6.33203125" style="1157" customWidth="1"/>
    <col min="5177" max="5393" width="8.83203125" style="1157"/>
    <col min="5394" max="5394" width="11.83203125" style="1157" customWidth="1"/>
    <col min="5395" max="5395" width="34.6640625" style="1157" customWidth="1"/>
    <col min="5396" max="5396" width="8.83203125" style="1157"/>
    <col min="5397" max="5421" width="6.5" style="1157" customWidth="1"/>
    <col min="5422" max="5432" width="6.33203125" style="1157" customWidth="1"/>
    <col min="5433" max="5649" width="8.83203125" style="1157"/>
    <col min="5650" max="5650" width="11.83203125" style="1157" customWidth="1"/>
    <col min="5651" max="5651" width="34.6640625" style="1157" customWidth="1"/>
    <col min="5652" max="5652" width="8.83203125" style="1157"/>
    <col min="5653" max="5677" width="6.5" style="1157" customWidth="1"/>
    <col min="5678" max="5688" width="6.33203125" style="1157" customWidth="1"/>
    <col min="5689" max="5905" width="8.83203125" style="1157"/>
    <col min="5906" max="5906" width="11.83203125" style="1157" customWidth="1"/>
    <col min="5907" max="5907" width="34.6640625" style="1157" customWidth="1"/>
    <col min="5908" max="5908" width="8.83203125" style="1157"/>
    <col min="5909" max="5933" width="6.5" style="1157" customWidth="1"/>
    <col min="5934" max="5944" width="6.33203125" style="1157" customWidth="1"/>
    <col min="5945" max="6161" width="8.83203125" style="1157"/>
    <col min="6162" max="6162" width="11.83203125" style="1157" customWidth="1"/>
    <col min="6163" max="6163" width="34.6640625" style="1157" customWidth="1"/>
    <col min="6164" max="6164" width="8.83203125" style="1157"/>
    <col min="6165" max="6189" width="6.5" style="1157" customWidth="1"/>
    <col min="6190" max="6200" width="6.33203125" style="1157" customWidth="1"/>
    <col min="6201" max="6417" width="8.83203125" style="1157"/>
    <col min="6418" max="6418" width="11.83203125" style="1157" customWidth="1"/>
    <col min="6419" max="6419" width="34.6640625" style="1157" customWidth="1"/>
    <col min="6420" max="6420" width="8.83203125" style="1157"/>
    <col min="6421" max="6445" width="6.5" style="1157" customWidth="1"/>
    <col min="6446" max="6456" width="6.33203125" style="1157" customWidth="1"/>
    <col min="6457" max="6673" width="8.83203125" style="1157"/>
    <col min="6674" max="6674" width="11.83203125" style="1157" customWidth="1"/>
    <col min="6675" max="6675" width="34.6640625" style="1157" customWidth="1"/>
    <col min="6676" max="6676" width="8.83203125" style="1157"/>
    <col min="6677" max="6701" width="6.5" style="1157" customWidth="1"/>
    <col min="6702" max="6712" width="6.33203125" style="1157" customWidth="1"/>
    <col min="6713" max="6929" width="8.83203125" style="1157"/>
    <col min="6930" max="6930" width="11.83203125" style="1157" customWidth="1"/>
    <col min="6931" max="6931" width="34.6640625" style="1157" customWidth="1"/>
    <col min="6932" max="6932" width="8.83203125" style="1157"/>
    <col min="6933" max="6957" width="6.5" style="1157" customWidth="1"/>
    <col min="6958" max="6968" width="6.33203125" style="1157" customWidth="1"/>
    <col min="6969" max="7185" width="8.83203125" style="1157"/>
    <col min="7186" max="7186" width="11.83203125" style="1157" customWidth="1"/>
    <col min="7187" max="7187" width="34.6640625" style="1157" customWidth="1"/>
    <col min="7188" max="7188" width="8.83203125" style="1157"/>
    <col min="7189" max="7213" width="6.5" style="1157" customWidth="1"/>
    <col min="7214" max="7224" width="6.33203125" style="1157" customWidth="1"/>
    <col min="7225" max="7441" width="8.83203125" style="1157"/>
    <col min="7442" max="7442" width="11.83203125" style="1157" customWidth="1"/>
    <col min="7443" max="7443" width="34.6640625" style="1157" customWidth="1"/>
    <col min="7444" max="7444" width="8.83203125" style="1157"/>
    <col min="7445" max="7469" width="6.5" style="1157" customWidth="1"/>
    <col min="7470" max="7480" width="6.33203125" style="1157" customWidth="1"/>
    <col min="7481" max="7697" width="8.83203125" style="1157"/>
    <col min="7698" max="7698" width="11.83203125" style="1157" customWidth="1"/>
    <col min="7699" max="7699" width="34.6640625" style="1157" customWidth="1"/>
    <col min="7700" max="7700" width="8.83203125" style="1157"/>
    <col min="7701" max="7725" width="6.5" style="1157" customWidth="1"/>
    <col min="7726" max="7736" width="6.33203125" style="1157" customWidth="1"/>
    <col min="7737" max="7953" width="8.83203125" style="1157"/>
    <col min="7954" max="7954" width="11.83203125" style="1157" customWidth="1"/>
    <col min="7955" max="7955" width="34.6640625" style="1157" customWidth="1"/>
    <col min="7956" max="7956" width="8.83203125" style="1157"/>
    <col min="7957" max="7981" width="6.5" style="1157" customWidth="1"/>
    <col min="7982" max="7992" width="6.33203125" style="1157" customWidth="1"/>
    <col min="7993" max="8209" width="8.83203125" style="1157"/>
    <col min="8210" max="8210" width="11.83203125" style="1157" customWidth="1"/>
    <col min="8211" max="8211" width="34.6640625" style="1157" customWidth="1"/>
    <col min="8212" max="8212" width="8.83203125" style="1157"/>
    <col min="8213" max="8237" width="6.5" style="1157" customWidth="1"/>
    <col min="8238" max="8248" width="6.33203125" style="1157" customWidth="1"/>
    <col min="8249" max="8465" width="8.83203125" style="1157"/>
    <col min="8466" max="8466" width="11.83203125" style="1157" customWidth="1"/>
    <col min="8467" max="8467" width="34.6640625" style="1157" customWidth="1"/>
    <col min="8468" max="8468" width="8.83203125" style="1157"/>
    <col min="8469" max="8493" width="6.5" style="1157" customWidth="1"/>
    <col min="8494" max="8504" width="6.33203125" style="1157" customWidth="1"/>
    <col min="8505" max="8721" width="8.83203125" style="1157"/>
    <col min="8722" max="8722" width="11.83203125" style="1157" customWidth="1"/>
    <col min="8723" max="8723" width="34.6640625" style="1157" customWidth="1"/>
    <col min="8724" max="8724" width="8.83203125" style="1157"/>
    <col min="8725" max="8749" width="6.5" style="1157" customWidth="1"/>
    <col min="8750" max="8760" width="6.33203125" style="1157" customWidth="1"/>
    <col min="8761" max="8977" width="8.83203125" style="1157"/>
    <col min="8978" max="8978" width="11.83203125" style="1157" customWidth="1"/>
    <col min="8979" max="8979" width="34.6640625" style="1157" customWidth="1"/>
    <col min="8980" max="8980" width="8.83203125" style="1157"/>
    <col min="8981" max="9005" width="6.5" style="1157" customWidth="1"/>
    <col min="9006" max="9016" width="6.33203125" style="1157" customWidth="1"/>
    <col min="9017" max="9233" width="8.83203125" style="1157"/>
    <col min="9234" max="9234" width="11.83203125" style="1157" customWidth="1"/>
    <col min="9235" max="9235" width="34.6640625" style="1157" customWidth="1"/>
    <col min="9236" max="9236" width="8.83203125" style="1157"/>
    <col min="9237" max="9261" width="6.5" style="1157" customWidth="1"/>
    <col min="9262" max="9272" width="6.33203125" style="1157" customWidth="1"/>
    <col min="9273" max="9489" width="8.83203125" style="1157"/>
    <col min="9490" max="9490" width="11.83203125" style="1157" customWidth="1"/>
    <col min="9491" max="9491" width="34.6640625" style="1157" customWidth="1"/>
    <col min="9492" max="9492" width="8.83203125" style="1157"/>
    <col min="9493" max="9517" width="6.5" style="1157" customWidth="1"/>
    <col min="9518" max="9528" width="6.33203125" style="1157" customWidth="1"/>
    <col min="9529" max="9745" width="8.83203125" style="1157"/>
    <col min="9746" max="9746" width="11.83203125" style="1157" customWidth="1"/>
    <col min="9747" max="9747" width="34.6640625" style="1157" customWidth="1"/>
    <col min="9748" max="9748" width="8.83203125" style="1157"/>
    <col min="9749" max="9773" width="6.5" style="1157" customWidth="1"/>
    <col min="9774" max="9784" width="6.33203125" style="1157" customWidth="1"/>
    <col min="9785" max="10001" width="8.83203125" style="1157"/>
    <col min="10002" max="10002" width="11.83203125" style="1157" customWidth="1"/>
    <col min="10003" max="10003" width="34.6640625" style="1157" customWidth="1"/>
    <col min="10004" max="10004" width="8.83203125" style="1157"/>
    <col min="10005" max="10029" width="6.5" style="1157" customWidth="1"/>
    <col min="10030" max="10040" width="6.33203125" style="1157" customWidth="1"/>
    <col min="10041" max="10257" width="8.83203125" style="1157"/>
    <col min="10258" max="10258" width="11.83203125" style="1157" customWidth="1"/>
    <col min="10259" max="10259" width="34.6640625" style="1157" customWidth="1"/>
    <col min="10260" max="10260" width="8.83203125" style="1157"/>
    <col min="10261" max="10285" width="6.5" style="1157" customWidth="1"/>
    <col min="10286" max="10296" width="6.33203125" style="1157" customWidth="1"/>
    <col min="10297" max="10513" width="8.83203125" style="1157"/>
    <col min="10514" max="10514" width="11.83203125" style="1157" customWidth="1"/>
    <col min="10515" max="10515" width="34.6640625" style="1157" customWidth="1"/>
    <col min="10516" max="10516" width="8.83203125" style="1157"/>
    <col min="10517" max="10541" width="6.5" style="1157" customWidth="1"/>
    <col min="10542" max="10552" width="6.33203125" style="1157" customWidth="1"/>
    <col min="10553" max="10769" width="8.83203125" style="1157"/>
    <col min="10770" max="10770" width="11.83203125" style="1157" customWidth="1"/>
    <col min="10771" max="10771" width="34.6640625" style="1157" customWidth="1"/>
    <col min="10772" max="10772" width="8.83203125" style="1157"/>
    <col min="10773" max="10797" width="6.5" style="1157" customWidth="1"/>
    <col min="10798" max="10808" width="6.33203125" style="1157" customWidth="1"/>
    <col min="10809" max="11025" width="8.83203125" style="1157"/>
    <col min="11026" max="11026" width="11.83203125" style="1157" customWidth="1"/>
    <col min="11027" max="11027" width="34.6640625" style="1157" customWidth="1"/>
    <col min="11028" max="11028" width="8.83203125" style="1157"/>
    <col min="11029" max="11053" width="6.5" style="1157" customWidth="1"/>
    <col min="11054" max="11064" width="6.33203125" style="1157" customWidth="1"/>
    <col min="11065" max="11281" width="8.83203125" style="1157"/>
    <col min="11282" max="11282" width="11.83203125" style="1157" customWidth="1"/>
    <col min="11283" max="11283" width="34.6640625" style="1157" customWidth="1"/>
    <col min="11284" max="11284" width="8.83203125" style="1157"/>
    <col min="11285" max="11309" width="6.5" style="1157" customWidth="1"/>
    <col min="11310" max="11320" width="6.33203125" style="1157" customWidth="1"/>
    <col min="11321" max="11537" width="8.83203125" style="1157"/>
    <col min="11538" max="11538" width="11.83203125" style="1157" customWidth="1"/>
    <col min="11539" max="11539" width="34.6640625" style="1157" customWidth="1"/>
    <col min="11540" max="11540" width="8.83203125" style="1157"/>
    <col min="11541" max="11565" width="6.5" style="1157" customWidth="1"/>
    <col min="11566" max="11576" width="6.33203125" style="1157" customWidth="1"/>
    <col min="11577" max="11793" width="8.83203125" style="1157"/>
    <col min="11794" max="11794" width="11.83203125" style="1157" customWidth="1"/>
    <col min="11795" max="11795" width="34.6640625" style="1157" customWidth="1"/>
    <col min="11796" max="11796" width="8.83203125" style="1157"/>
    <col min="11797" max="11821" width="6.5" style="1157" customWidth="1"/>
    <col min="11822" max="11832" width="6.33203125" style="1157" customWidth="1"/>
    <col min="11833" max="12049" width="8.83203125" style="1157"/>
    <col min="12050" max="12050" width="11.83203125" style="1157" customWidth="1"/>
    <col min="12051" max="12051" width="34.6640625" style="1157" customWidth="1"/>
    <col min="12052" max="12052" width="8.83203125" style="1157"/>
    <col min="12053" max="12077" width="6.5" style="1157" customWidth="1"/>
    <col min="12078" max="12088" width="6.33203125" style="1157" customWidth="1"/>
    <col min="12089" max="12305" width="8.83203125" style="1157"/>
    <col min="12306" max="12306" width="11.83203125" style="1157" customWidth="1"/>
    <col min="12307" max="12307" width="34.6640625" style="1157" customWidth="1"/>
    <col min="12308" max="12308" width="8.83203125" style="1157"/>
    <col min="12309" max="12333" width="6.5" style="1157" customWidth="1"/>
    <col min="12334" max="12344" width="6.33203125" style="1157" customWidth="1"/>
    <col min="12345" max="12561" width="8.83203125" style="1157"/>
    <col min="12562" max="12562" width="11.83203125" style="1157" customWidth="1"/>
    <col min="12563" max="12563" width="34.6640625" style="1157" customWidth="1"/>
    <col min="12564" max="12564" width="8.83203125" style="1157"/>
    <col min="12565" max="12589" width="6.5" style="1157" customWidth="1"/>
    <col min="12590" max="12600" width="6.33203125" style="1157" customWidth="1"/>
    <col min="12601" max="12817" width="8.83203125" style="1157"/>
    <col min="12818" max="12818" width="11.83203125" style="1157" customWidth="1"/>
    <col min="12819" max="12819" width="34.6640625" style="1157" customWidth="1"/>
    <col min="12820" max="12820" width="8.83203125" style="1157"/>
    <col min="12821" max="12845" width="6.5" style="1157" customWidth="1"/>
    <col min="12846" max="12856" width="6.33203125" style="1157" customWidth="1"/>
    <col min="12857" max="13073" width="8.83203125" style="1157"/>
    <col min="13074" max="13074" width="11.83203125" style="1157" customWidth="1"/>
    <col min="13075" max="13075" width="34.6640625" style="1157" customWidth="1"/>
    <col min="13076" max="13076" width="8.83203125" style="1157"/>
    <col min="13077" max="13101" width="6.5" style="1157" customWidth="1"/>
    <col min="13102" max="13112" width="6.33203125" style="1157" customWidth="1"/>
    <col min="13113" max="13329" width="8.83203125" style="1157"/>
    <col min="13330" max="13330" width="11.83203125" style="1157" customWidth="1"/>
    <col min="13331" max="13331" width="34.6640625" style="1157" customWidth="1"/>
    <col min="13332" max="13332" width="8.83203125" style="1157"/>
    <col min="13333" max="13357" width="6.5" style="1157" customWidth="1"/>
    <col min="13358" max="13368" width="6.33203125" style="1157" customWidth="1"/>
    <col min="13369" max="13585" width="8.83203125" style="1157"/>
    <col min="13586" max="13586" width="11.83203125" style="1157" customWidth="1"/>
    <col min="13587" max="13587" width="34.6640625" style="1157" customWidth="1"/>
    <col min="13588" max="13588" width="8.83203125" style="1157"/>
    <col min="13589" max="13613" width="6.5" style="1157" customWidth="1"/>
    <col min="13614" max="13624" width="6.33203125" style="1157" customWidth="1"/>
    <col min="13625" max="13841" width="8.83203125" style="1157"/>
    <col min="13842" max="13842" width="11.83203125" style="1157" customWidth="1"/>
    <col min="13843" max="13843" width="34.6640625" style="1157" customWidth="1"/>
    <col min="13844" max="13844" width="8.83203125" style="1157"/>
    <col min="13845" max="13869" width="6.5" style="1157" customWidth="1"/>
    <col min="13870" max="13880" width="6.33203125" style="1157" customWidth="1"/>
    <col min="13881" max="14097" width="8.83203125" style="1157"/>
    <col min="14098" max="14098" width="11.83203125" style="1157" customWidth="1"/>
    <col min="14099" max="14099" width="34.6640625" style="1157" customWidth="1"/>
    <col min="14100" max="14100" width="8.83203125" style="1157"/>
    <col min="14101" max="14125" width="6.5" style="1157" customWidth="1"/>
    <col min="14126" max="14136" width="6.33203125" style="1157" customWidth="1"/>
    <col min="14137" max="14353" width="8.83203125" style="1157"/>
    <col min="14354" max="14354" width="11.83203125" style="1157" customWidth="1"/>
    <col min="14355" max="14355" width="34.6640625" style="1157" customWidth="1"/>
    <col min="14356" max="14356" width="8.83203125" style="1157"/>
    <col min="14357" max="14381" width="6.5" style="1157" customWidth="1"/>
    <col min="14382" max="14392" width="6.33203125" style="1157" customWidth="1"/>
    <col min="14393" max="14609" width="8.83203125" style="1157"/>
    <col min="14610" max="14610" width="11.83203125" style="1157" customWidth="1"/>
    <col min="14611" max="14611" width="34.6640625" style="1157" customWidth="1"/>
    <col min="14612" max="14612" width="8.83203125" style="1157"/>
    <col min="14613" max="14637" width="6.5" style="1157" customWidth="1"/>
    <col min="14638" max="14648" width="6.33203125" style="1157" customWidth="1"/>
    <col min="14649" max="14865" width="8.83203125" style="1157"/>
    <col min="14866" max="14866" width="11.83203125" style="1157" customWidth="1"/>
    <col min="14867" max="14867" width="34.6640625" style="1157" customWidth="1"/>
    <col min="14868" max="14868" width="8.83203125" style="1157"/>
    <col min="14869" max="14893" width="6.5" style="1157" customWidth="1"/>
    <col min="14894" max="14904" width="6.33203125" style="1157" customWidth="1"/>
    <col min="14905" max="15121" width="8.83203125" style="1157"/>
    <col min="15122" max="15122" width="11.83203125" style="1157" customWidth="1"/>
    <col min="15123" max="15123" width="34.6640625" style="1157" customWidth="1"/>
    <col min="15124" max="15124" width="8.83203125" style="1157"/>
    <col min="15125" max="15149" width="6.5" style="1157" customWidth="1"/>
    <col min="15150" max="15160" width="6.33203125" style="1157" customWidth="1"/>
    <col min="15161" max="15377" width="8.83203125" style="1157"/>
    <col min="15378" max="15378" width="11.83203125" style="1157" customWidth="1"/>
    <col min="15379" max="15379" width="34.6640625" style="1157" customWidth="1"/>
    <col min="15380" max="15380" width="8.83203125" style="1157"/>
    <col min="15381" max="15405" width="6.5" style="1157" customWidth="1"/>
    <col min="15406" max="15416" width="6.33203125" style="1157" customWidth="1"/>
    <col min="15417" max="15633" width="8.83203125" style="1157"/>
    <col min="15634" max="15634" width="11.83203125" style="1157" customWidth="1"/>
    <col min="15635" max="15635" width="34.6640625" style="1157" customWidth="1"/>
    <col min="15636" max="15636" width="8.83203125" style="1157"/>
    <col min="15637" max="15661" width="6.5" style="1157" customWidth="1"/>
    <col min="15662" max="15672" width="6.33203125" style="1157" customWidth="1"/>
    <col min="15673" max="15889" width="8.83203125" style="1157"/>
    <col min="15890" max="15890" width="11.83203125" style="1157" customWidth="1"/>
    <col min="15891" max="15891" width="34.6640625" style="1157" customWidth="1"/>
    <col min="15892" max="15892" width="8.83203125" style="1157"/>
    <col min="15893" max="15917" width="6.5" style="1157" customWidth="1"/>
    <col min="15918" max="15928" width="6.33203125" style="1157" customWidth="1"/>
    <col min="15929" max="16145" width="8.83203125" style="1157"/>
    <col min="16146" max="16146" width="11.83203125" style="1157" customWidth="1"/>
    <col min="16147" max="16147" width="34.6640625" style="1157" customWidth="1"/>
    <col min="16148" max="16148" width="8.83203125" style="1157"/>
    <col min="16149" max="16173" width="6.5" style="1157" customWidth="1"/>
    <col min="16174" max="16184" width="6.33203125" style="1157" customWidth="1"/>
    <col min="16185" max="16384" width="8.83203125" style="1157"/>
  </cols>
  <sheetData>
    <row r="1" spans="1:178" s="1550" customFormat="1" ht="18">
      <c r="M1" s="1551"/>
      <c r="N1" s="1551"/>
      <c r="O1" s="1551"/>
      <c r="P1" s="1551"/>
      <c r="Q1" s="1551"/>
      <c r="R1" s="1551"/>
      <c r="S1" s="1551"/>
      <c r="T1" s="1551"/>
      <c r="U1" s="1551"/>
      <c r="V1" s="1551"/>
      <c r="W1" s="1551"/>
      <c r="X1" s="1551"/>
      <c r="Y1" s="1551"/>
      <c r="Z1" s="1551"/>
      <c r="AA1" s="1551"/>
      <c r="AB1" s="1551"/>
      <c r="AC1" s="1551"/>
      <c r="AD1" s="1551"/>
      <c r="AE1" s="1551"/>
      <c r="AF1" s="1551"/>
      <c r="AG1" s="1551"/>
      <c r="AH1" s="1551"/>
      <c r="AI1" s="1551"/>
      <c r="AJ1" s="1566" t="s">
        <v>1300</v>
      </c>
      <c r="ER1" s="1551"/>
      <c r="ES1" s="1551"/>
      <c r="ET1" s="1551"/>
      <c r="EU1" s="1551"/>
      <c r="EV1" s="1551"/>
      <c r="EW1" s="1551"/>
      <c r="EX1" s="1551"/>
      <c r="EY1" s="1551"/>
      <c r="EZ1" s="1551"/>
      <c r="FA1" s="1551"/>
      <c r="FB1" s="1551"/>
      <c r="FC1" s="1551"/>
      <c r="FD1" s="1551"/>
      <c r="FE1" s="1551"/>
      <c r="FF1" s="1551"/>
      <c r="FG1" s="1551"/>
      <c r="FH1" s="1551"/>
      <c r="FI1" s="1551"/>
      <c r="FJ1" s="1551"/>
      <c r="FK1" s="1551"/>
      <c r="FL1" s="1551"/>
      <c r="FM1" s="1551"/>
      <c r="FN1" s="1551"/>
      <c r="FO1" s="1551"/>
      <c r="FP1" s="1551"/>
      <c r="FQ1" s="1551"/>
      <c r="FR1" s="1551"/>
      <c r="FS1" s="1551"/>
      <c r="FT1" s="1551"/>
      <c r="FU1" s="1551"/>
      <c r="FV1" s="1551"/>
    </row>
    <row r="2" spans="1:178" s="1550" customFormat="1" ht="14" thickBot="1">
      <c r="A2" s="1551"/>
      <c r="B2" s="839" t="s">
        <v>266</v>
      </c>
      <c r="C2" s="92" t="s">
        <v>394</v>
      </c>
      <c r="D2" s="1551"/>
      <c r="E2" s="1563"/>
      <c r="F2" s="1551"/>
      <c r="G2" s="1552" t="s">
        <v>1019</v>
      </c>
      <c r="H2" s="1552"/>
      <c r="I2" s="1552"/>
      <c r="J2" s="1552"/>
      <c r="K2" s="1552"/>
      <c r="L2" s="1552"/>
      <c r="M2" s="1552"/>
      <c r="N2" s="1552"/>
      <c r="O2" s="1552"/>
      <c r="P2" s="1552"/>
      <c r="Q2" s="1552"/>
      <c r="R2" s="1552"/>
      <c r="S2" s="1552"/>
      <c r="T2" s="1552"/>
      <c r="U2" s="1552"/>
      <c r="V2" s="1552"/>
      <c r="W2" s="1552"/>
      <c r="X2" s="1552"/>
      <c r="Y2" s="1552"/>
      <c r="Z2" s="1552"/>
      <c r="AA2" s="1552"/>
      <c r="AB2" s="1552"/>
      <c r="AC2" s="1552"/>
      <c r="AD2" s="1552"/>
      <c r="AE2" s="1552"/>
      <c r="AF2" s="1552"/>
      <c r="AG2" s="1552"/>
      <c r="AH2" s="1552"/>
      <c r="AI2" s="1552"/>
      <c r="AJ2" s="1553">
        <v>1</v>
      </c>
      <c r="AK2" s="1554">
        <v>1</v>
      </c>
      <c r="AL2" s="1554">
        <v>1</v>
      </c>
      <c r="AM2" s="1554">
        <v>1</v>
      </c>
      <c r="AN2" s="1554">
        <v>1</v>
      </c>
      <c r="AO2" s="1554">
        <v>1</v>
      </c>
      <c r="AP2" s="1554">
        <v>1</v>
      </c>
      <c r="AQ2" s="1554">
        <v>1</v>
      </c>
      <c r="AR2" s="1554">
        <v>1</v>
      </c>
      <c r="AS2" s="1554">
        <v>1</v>
      </c>
      <c r="AT2" s="1554">
        <v>1</v>
      </c>
      <c r="AU2" s="1554">
        <v>1</v>
      </c>
      <c r="AV2" s="1554">
        <v>1</v>
      </c>
      <c r="AW2" s="1554">
        <v>1</v>
      </c>
      <c r="AX2" s="1554">
        <v>1</v>
      </c>
      <c r="AY2" s="1554">
        <v>1</v>
      </c>
      <c r="AZ2" s="1554">
        <v>1</v>
      </c>
      <c r="BA2" s="1554">
        <v>1</v>
      </c>
      <c r="BB2" s="1554">
        <v>1</v>
      </c>
      <c r="BC2" s="1554">
        <v>1</v>
      </c>
      <c r="BD2" s="1554">
        <v>1</v>
      </c>
      <c r="BE2" s="1554">
        <v>1</v>
      </c>
      <c r="BF2" s="1554">
        <v>1</v>
      </c>
      <c r="BG2" s="1554">
        <v>1</v>
      </c>
      <c r="BH2" s="1554">
        <v>1</v>
      </c>
      <c r="BI2" s="1554">
        <v>1</v>
      </c>
      <c r="BJ2" s="1554">
        <v>1</v>
      </c>
      <c r="BK2" s="1554">
        <v>1</v>
      </c>
      <c r="BL2" s="1554">
        <v>2</v>
      </c>
      <c r="BM2" s="1554">
        <v>2</v>
      </c>
      <c r="BN2" s="1554">
        <v>2</v>
      </c>
      <c r="BO2" s="1554">
        <v>2</v>
      </c>
      <c r="BP2" s="1554">
        <v>2</v>
      </c>
      <c r="BQ2" s="1554">
        <v>2</v>
      </c>
      <c r="BR2" s="1554">
        <v>2</v>
      </c>
      <c r="BS2" s="1554">
        <v>2</v>
      </c>
      <c r="BT2" s="1554">
        <v>2</v>
      </c>
      <c r="BU2" s="1554">
        <v>2</v>
      </c>
      <c r="BV2" s="1554">
        <v>2</v>
      </c>
      <c r="BW2" s="1554">
        <v>2</v>
      </c>
      <c r="BX2" s="1554">
        <v>2</v>
      </c>
      <c r="BY2" s="1554">
        <v>2</v>
      </c>
      <c r="BZ2" s="1554">
        <v>2</v>
      </c>
      <c r="CA2" s="1554">
        <v>2</v>
      </c>
      <c r="CB2" s="1554">
        <v>2</v>
      </c>
      <c r="CC2" s="1554">
        <v>2</v>
      </c>
      <c r="CD2" s="1554">
        <v>2</v>
      </c>
      <c r="CE2" s="1554">
        <v>2</v>
      </c>
      <c r="CF2" s="1554">
        <v>2</v>
      </c>
      <c r="CG2" s="1554">
        <v>2</v>
      </c>
      <c r="CH2" s="1554">
        <v>2</v>
      </c>
      <c r="CI2" s="1554">
        <v>2</v>
      </c>
      <c r="CJ2" s="1554">
        <v>2</v>
      </c>
      <c r="CK2" s="1554">
        <v>2</v>
      </c>
      <c r="CL2" s="1554">
        <v>2</v>
      </c>
      <c r="CM2" s="1554">
        <v>2</v>
      </c>
      <c r="CN2" s="1554">
        <v>3</v>
      </c>
      <c r="CO2" s="1554">
        <v>3</v>
      </c>
      <c r="CP2" s="1554">
        <v>3</v>
      </c>
      <c r="CQ2" s="1554">
        <v>3</v>
      </c>
      <c r="CR2" s="1554">
        <v>3</v>
      </c>
      <c r="CS2" s="1554">
        <v>3</v>
      </c>
      <c r="CT2" s="1554">
        <v>3</v>
      </c>
      <c r="CU2" s="1554">
        <v>3</v>
      </c>
      <c r="CV2" s="1554">
        <v>3</v>
      </c>
      <c r="CW2" s="1554">
        <v>3</v>
      </c>
      <c r="CX2" s="1554">
        <v>3</v>
      </c>
      <c r="CY2" s="1554">
        <v>3</v>
      </c>
      <c r="CZ2" s="1554">
        <v>3</v>
      </c>
      <c r="DA2" s="1554">
        <v>3</v>
      </c>
      <c r="DB2" s="1554">
        <v>3</v>
      </c>
      <c r="DC2" s="1554">
        <v>3</v>
      </c>
      <c r="DD2" s="1554">
        <v>3</v>
      </c>
      <c r="DE2" s="1554">
        <v>3</v>
      </c>
      <c r="DF2" s="1554">
        <v>3</v>
      </c>
      <c r="DG2" s="1554">
        <v>3</v>
      </c>
      <c r="DH2" s="1554">
        <v>3</v>
      </c>
      <c r="DI2" s="1554">
        <v>3</v>
      </c>
      <c r="DJ2" s="1554">
        <v>3</v>
      </c>
      <c r="DK2" s="1554">
        <v>3</v>
      </c>
      <c r="DL2" s="1554">
        <v>3</v>
      </c>
      <c r="DM2" s="1554">
        <v>3</v>
      </c>
      <c r="DN2" s="1554">
        <v>3</v>
      </c>
      <c r="DO2" s="1554">
        <v>3</v>
      </c>
      <c r="DP2" s="1554">
        <v>4</v>
      </c>
      <c r="DQ2" s="1554">
        <v>4</v>
      </c>
      <c r="DR2" s="1554">
        <v>4</v>
      </c>
      <c r="DS2" s="1554">
        <v>4</v>
      </c>
      <c r="DT2" s="1554">
        <v>4</v>
      </c>
      <c r="DU2" s="1554">
        <v>4</v>
      </c>
      <c r="DV2" s="1554">
        <v>4</v>
      </c>
      <c r="DW2" s="1554">
        <v>4</v>
      </c>
      <c r="DX2" s="1554">
        <v>4</v>
      </c>
      <c r="DY2" s="1554">
        <v>4</v>
      </c>
      <c r="DZ2" s="1554">
        <v>4</v>
      </c>
      <c r="EA2" s="1554">
        <v>4</v>
      </c>
      <c r="EB2" s="1554">
        <v>4</v>
      </c>
      <c r="EC2" s="1554">
        <v>4</v>
      </c>
      <c r="ED2" s="1554">
        <v>4</v>
      </c>
      <c r="EE2" s="1554">
        <v>4</v>
      </c>
      <c r="EF2" s="1554">
        <v>4</v>
      </c>
      <c r="EG2" s="1554">
        <v>4</v>
      </c>
      <c r="EH2" s="1554">
        <v>4</v>
      </c>
      <c r="EI2" s="1554">
        <v>4</v>
      </c>
      <c r="EJ2" s="1554">
        <v>4</v>
      </c>
      <c r="EK2" s="1554">
        <v>4</v>
      </c>
      <c r="EL2" s="1554">
        <v>4</v>
      </c>
      <c r="EM2" s="1554">
        <v>4</v>
      </c>
      <c r="EN2" s="1554">
        <v>4</v>
      </c>
      <c r="EO2" s="1554">
        <v>4</v>
      </c>
      <c r="EP2" s="1554">
        <v>4</v>
      </c>
      <c r="EQ2" s="1554">
        <v>4</v>
      </c>
      <c r="ER2" s="1551"/>
      <c r="ES2" s="1551"/>
      <c r="ET2" s="1551"/>
      <c r="EU2" s="1551"/>
      <c r="EV2" s="1551"/>
      <c r="EW2" s="1551"/>
      <c r="EX2" s="1551"/>
      <c r="EY2" s="1551"/>
      <c r="EZ2" s="1551"/>
      <c r="FA2" s="1551"/>
      <c r="FB2" s="1551"/>
      <c r="FC2" s="1551"/>
      <c r="FD2" s="1551"/>
      <c r="FE2" s="1551"/>
      <c r="FF2" s="1551"/>
      <c r="FG2" s="1551"/>
      <c r="FH2" s="1551"/>
      <c r="FI2" s="1551"/>
      <c r="FJ2" s="1551"/>
      <c r="FK2" s="1551"/>
      <c r="FL2" s="1551"/>
      <c r="FM2" s="1551"/>
      <c r="FN2" s="1551"/>
      <c r="FO2" s="1551"/>
      <c r="FP2" s="1551"/>
      <c r="FQ2" s="1551"/>
      <c r="FR2" s="1551"/>
      <c r="FS2" s="1551"/>
      <c r="FT2" s="1551"/>
      <c r="FU2" s="1551"/>
      <c r="FV2" s="1551"/>
    </row>
    <row r="3" spans="1:178" s="1550" customFormat="1" ht="19" thickBot="1">
      <c r="A3" s="1551"/>
      <c r="B3" s="639" t="s">
        <v>2262</v>
      </c>
      <c r="C3" s="96">
        <v>1</v>
      </c>
      <c r="F3" s="1551"/>
      <c r="G3" s="1562">
        <v>2006</v>
      </c>
      <c r="H3" s="1555">
        <v>2007</v>
      </c>
      <c r="I3" s="1556">
        <v>2008</v>
      </c>
      <c r="J3" s="1556">
        <v>2009</v>
      </c>
      <c r="K3" s="1556">
        <v>2010</v>
      </c>
      <c r="L3" s="1556">
        <v>2011</v>
      </c>
      <c r="M3" s="1556">
        <v>2012</v>
      </c>
      <c r="N3" s="1556">
        <v>2013</v>
      </c>
      <c r="O3" s="1556">
        <v>2014</v>
      </c>
      <c r="P3" s="1556">
        <v>2015</v>
      </c>
      <c r="Q3" s="1556">
        <v>2016</v>
      </c>
      <c r="R3" s="1556">
        <v>2017</v>
      </c>
      <c r="S3" s="1556">
        <v>2018</v>
      </c>
      <c r="T3" s="1556">
        <v>2019</v>
      </c>
      <c r="U3" s="1556">
        <v>2020</v>
      </c>
      <c r="V3" s="1556">
        <v>2021</v>
      </c>
      <c r="W3" s="1556">
        <v>2022</v>
      </c>
      <c r="X3" s="1556">
        <v>2023</v>
      </c>
      <c r="Y3" s="1556">
        <v>2024</v>
      </c>
      <c r="Z3" s="1556">
        <v>2025</v>
      </c>
      <c r="AA3" s="1556">
        <v>2026</v>
      </c>
      <c r="AB3" s="1556">
        <v>2027</v>
      </c>
      <c r="AC3" s="1556">
        <v>2028</v>
      </c>
      <c r="AD3" s="1556">
        <v>2029</v>
      </c>
      <c r="AE3" s="1556">
        <v>2030</v>
      </c>
      <c r="AF3" s="1556">
        <v>2035</v>
      </c>
      <c r="AG3" s="1556">
        <v>2040</v>
      </c>
      <c r="AH3" s="1556">
        <v>2045</v>
      </c>
      <c r="AI3" s="1556">
        <v>2050</v>
      </c>
      <c r="AJ3" s="1553">
        <v>2007</v>
      </c>
      <c r="AK3" s="1554">
        <v>2008</v>
      </c>
      <c r="AL3" s="1554">
        <v>2009</v>
      </c>
      <c r="AM3" s="1554">
        <v>2010</v>
      </c>
      <c r="AN3" s="1554">
        <v>2011</v>
      </c>
      <c r="AO3" s="1554">
        <v>2012</v>
      </c>
      <c r="AP3" s="1554">
        <v>2013</v>
      </c>
      <c r="AQ3" s="1554">
        <v>2014</v>
      </c>
      <c r="AR3" s="1554">
        <v>2015</v>
      </c>
      <c r="AS3" s="1554">
        <v>2016</v>
      </c>
      <c r="AT3" s="1554">
        <v>2017</v>
      </c>
      <c r="AU3" s="1554">
        <v>2018</v>
      </c>
      <c r="AV3" s="1554">
        <v>2019</v>
      </c>
      <c r="AW3" s="1554">
        <v>2020</v>
      </c>
      <c r="AX3" s="1554">
        <v>2021</v>
      </c>
      <c r="AY3" s="1554">
        <v>2022</v>
      </c>
      <c r="AZ3" s="1554">
        <v>2023</v>
      </c>
      <c r="BA3" s="1554">
        <v>2024</v>
      </c>
      <c r="BB3" s="1554">
        <v>2025</v>
      </c>
      <c r="BC3" s="1554">
        <v>2026</v>
      </c>
      <c r="BD3" s="1554">
        <v>2027</v>
      </c>
      <c r="BE3" s="1554">
        <v>2028</v>
      </c>
      <c r="BF3" s="1554">
        <v>2029</v>
      </c>
      <c r="BG3" s="1554">
        <v>2030</v>
      </c>
      <c r="BH3" s="1554">
        <v>2035</v>
      </c>
      <c r="BI3" s="1554">
        <v>2040</v>
      </c>
      <c r="BJ3" s="1554">
        <v>2045</v>
      </c>
      <c r="BK3" s="1554">
        <v>2050</v>
      </c>
      <c r="BL3" s="1554">
        <v>2007</v>
      </c>
      <c r="BM3" s="1554">
        <v>2008</v>
      </c>
      <c r="BN3" s="1554">
        <v>2009</v>
      </c>
      <c r="BO3" s="1554">
        <v>2010</v>
      </c>
      <c r="BP3" s="1554">
        <v>2011</v>
      </c>
      <c r="BQ3" s="1554">
        <v>2012</v>
      </c>
      <c r="BR3" s="1554">
        <v>2013</v>
      </c>
      <c r="BS3" s="1554">
        <v>2014</v>
      </c>
      <c r="BT3" s="1554">
        <v>2015</v>
      </c>
      <c r="BU3" s="1554">
        <v>2016</v>
      </c>
      <c r="BV3" s="1554">
        <v>2017</v>
      </c>
      <c r="BW3" s="1554">
        <v>2018</v>
      </c>
      <c r="BX3" s="1554">
        <v>2019</v>
      </c>
      <c r="BY3" s="1554">
        <v>2020</v>
      </c>
      <c r="BZ3" s="1554">
        <v>2021</v>
      </c>
      <c r="CA3" s="1554">
        <v>2022</v>
      </c>
      <c r="CB3" s="1554">
        <v>2023</v>
      </c>
      <c r="CC3" s="1554">
        <v>2024</v>
      </c>
      <c r="CD3" s="1554">
        <v>2025</v>
      </c>
      <c r="CE3" s="1554">
        <v>2026</v>
      </c>
      <c r="CF3" s="1554">
        <v>2027</v>
      </c>
      <c r="CG3" s="1554">
        <v>2028</v>
      </c>
      <c r="CH3" s="1554">
        <v>2029</v>
      </c>
      <c r="CI3" s="1554">
        <v>2030</v>
      </c>
      <c r="CJ3" s="1554">
        <v>2035</v>
      </c>
      <c r="CK3" s="1554">
        <v>2040</v>
      </c>
      <c r="CL3" s="1554">
        <v>2045</v>
      </c>
      <c r="CM3" s="1554">
        <v>2050</v>
      </c>
      <c r="CN3" s="1554">
        <v>2007</v>
      </c>
      <c r="CO3" s="1554">
        <v>2008</v>
      </c>
      <c r="CP3" s="1554">
        <v>2009</v>
      </c>
      <c r="CQ3" s="1554">
        <v>2010</v>
      </c>
      <c r="CR3" s="1554">
        <v>2011</v>
      </c>
      <c r="CS3" s="1554">
        <v>2012</v>
      </c>
      <c r="CT3" s="1554">
        <v>2013</v>
      </c>
      <c r="CU3" s="1554">
        <v>2014</v>
      </c>
      <c r="CV3" s="1554">
        <v>2015</v>
      </c>
      <c r="CW3" s="1554">
        <v>2016</v>
      </c>
      <c r="CX3" s="1554">
        <v>2017</v>
      </c>
      <c r="CY3" s="1554">
        <v>2018</v>
      </c>
      <c r="CZ3" s="1554">
        <v>2019</v>
      </c>
      <c r="DA3" s="1554">
        <v>2020</v>
      </c>
      <c r="DB3" s="1554">
        <v>2021</v>
      </c>
      <c r="DC3" s="1554">
        <v>2022</v>
      </c>
      <c r="DD3" s="1554">
        <v>2023</v>
      </c>
      <c r="DE3" s="1554">
        <v>2024</v>
      </c>
      <c r="DF3" s="1554">
        <v>2025</v>
      </c>
      <c r="DG3" s="1554">
        <v>2026</v>
      </c>
      <c r="DH3" s="1554">
        <v>2027</v>
      </c>
      <c r="DI3" s="1554">
        <v>2028</v>
      </c>
      <c r="DJ3" s="1554">
        <v>2029</v>
      </c>
      <c r="DK3" s="1554">
        <v>2030</v>
      </c>
      <c r="DL3" s="1554">
        <v>2035</v>
      </c>
      <c r="DM3" s="1554">
        <v>2040</v>
      </c>
      <c r="DN3" s="1554">
        <v>2045</v>
      </c>
      <c r="DO3" s="1554">
        <v>2050</v>
      </c>
      <c r="DP3" s="1554">
        <v>2007</v>
      </c>
      <c r="DQ3" s="1554">
        <v>2008</v>
      </c>
      <c r="DR3" s="1554">
        <v>2009</v>
      </c>
      <c r="DS3" s="1554">
        <v>2010</v>
      </c>
      <c r="DT3" s="1554">
        <v>2011</v>
      </c>
      <c r="DU3" s="1554">
        <v>2012</v>
      </c>
      <c r="DV3" s="1554">
        <v>2013</v>
      </c>
      <c r="DW3" s="1554">
        <v>2014</v>
      </c>
      <c r="DX3" s="1554">
        <v>2015</v>
      </c>
      <c r="DY3" s="1554">
        <v>2016</v>
      </c>
      <c r="DZ3" s="1554">
        <v>2017</v>
      </c>
      <c r="EA3" s="1554">
        <v>2018</v>
      </c>
      <c r="EB3" s="1554">
        <v>2019</v>
      </c>
      <c r="EC3" s="1554">
        <v>2020</v>
      </c>
      <c r="ED3" s="1554">
        <v>2021</v>
      </c>
      <c r="EE3" s="1554">
        <v>2022</v>
      </c>
      <c r="EF3" s="1554">
        <v>2023</v>
      </c>
      <c r="EG3" s="1554">
        <v>2024</v>
      </c>
      <c r="EH3" s="1554">
        <v>2025</v>
      </c>
      <c r="EI3" s="1554">
        <v>2026</v>
      </c>
      <c r="EJ3" s="1554">
        <v>2027</v>
      </c>
      <c r="EK3" s="1554">
        <v>2028</v>
      </c>
      <c r="EL3" s="1554">
        <v>2029</v>
      </c>
      <c r="EM3" s="1554">
        <v>2030</v>
      </c>
      <c r="EN3" s="1554">
        <v>2035</v>
      </c>
      <c r="EO3" s="1554">
        <v>2040</v>
      </c>
      <c r="EP3" s="1554">
        <v>2045</v>
      </c>
      <c r="EQ3" s="1554">
        <v>2050</v>
      </c>
      <c r="ER3" s="1551"/>
      <c r="ES3" s="1551"/>
      <c r="ET3" s="1551"/>
      <c r="EU3" s="1551"/>
      <c r="EV3" s="1551"/>
      <c r="EW3" s="1551"/>
      <c r="EX3" s="1551"/>
      <c r="EY3" s="1551"/>
      <c r="EZ3" s="1551"/>
      <c r="FA3" s="1551"/>
      <c r="FB3" s="1551"/>
      <c r="FC3" s="1551"/>
      <c r="FD3" s="1551"/>
      <c r="FE3" s="1551"/>
      <c r="FF3" s="1551"/>
      <c r="FG3" s="1551"/>
      <c r="FH3" s="1551"/>
      <c r="FI3" s="1551"/>
      <c r="FJ3" s="1551"/>
      <c r="FK3" s="1551"/>
      <c r="FL3" s="1551"/>
      <c r="FM3" s="1551"/>
      <c r="FN3" s="1551"/>
      <c r="FO3" s="1551"/>
      <c r="FP3" s="1551"/>
      <c r="FQ3" s="1551"/>
      <c r="FR3" s="1551"/>
      <c r="FS3" s="1551"/>
      <c r="FT3" s="1551"/>
      <c r="FU3" s="1551"/>
      <c r="FV3" s="1551"/>
    </row>
    <row r="4" spans="1:178" s="1550" customFormat="1">
      <c r="A4" s="1551"/>
      <c r="B4" s="1565" t="s">
        <v>2263</v>
      </c>
      <c r="C4" s="1549">
        <v>1</v>
      </c>
      <c r="D4" s="1551"/>
      <c r="E4" s="1564"/>
      <c r="F4" s="1551"/>
      <c r="G4" s="1552"/>
      <c r="H4" s="1551"/>
      <c r="I4" s="1551"/>
      <c r="J4" s="1552"/>
      <c r="K4" s="1552"/>
      <c r="L4" s="1552"/>
      <c r="M4" s="1552"/>
      <c r="N4" s="1552"/>
      <c r="O4" s="1552"/>
      <c r="P4" s="1552"/>
      <c r="Q4" s="1552"/>
      <c r="R4" s="1552"/>
      <c r="S4" s="1552"/>
      <c r="T4" s="1552"/>
      <c r="U4" s="1552"/>
      <c r="V4" s="1552"/>
      <c r="W4" s="1552"/>
      <c r="X4" s="1552"/>
      <c r="Y4" s="1552"/>
      <c r="Z4" s="1552"/>
      <c r="AA4" s="1552"/>
      <c r="AB4" s="1552"/>
      <c r="AC4" s="1552"/>
      <c r="AD4" s="1552"/>
      <c r="AE4" s="1552"/>
      <c r="AF4" s="1552"/>
      <c r="AG4" s="1552"/>
      <c r="AH4" s="1552"/>
      <c r="AI4" s="1552"/>
      <c r="AJ4" s="1557"/>
      <c r="AK4" s="1552"/>
      <c r="AL4" s="1552"/>
      <c r="AM4" s="1552"/>
      <c r="AN4" s="1552"/>
      <c r="AO4" s="1552" t="e">
        <v>#REF!</v>
      </c>
      <c r="AP4" s="1552"/>
      <c r="AQ4" s="1552"/>
      <c r="AR4" s="1552"/>
      <c r="AS4" s="1552"/>
      <c r="AT4" s="1552"/>
      <c r="AU4" s="1552"/>
      <c r="AV4" s="1552"/>
      <c r="AW4" s="1552"/>
      <c r="AX4" s="1552"/>
      <c r="AY4" s="1552"/>
      <c r="AZ4" s="1552"/>
      <c r="BA4" s="1552"/>
      <c r="BB4" s="1552"/>
      <c r="BC4" s="1552"/>
      <c r="BD4" s="1552"/>
      <c r="BE4" s="1552"/>
      <c r="BF4" s="1552"/>
      <c r="BG4" s="1552"/>
      <c r="BH4" s="1552"/>
      <c r="BI4" s="1552"/>
      <c r="BJ4" s="1552"/>
      <c r="BK4" s="1552"/>
      <c r="BL4" s="1552"/>
      <c r="BM4" s="1552"/>
      <c r="BN4" s="1552"/>
      <c r="BO4" s="1552"/>
      <c r="BP4" s="1552"/>
      <c r="BQ4" s="1552"/>
      <c r="BR4" s="1552"/>
      <c r="BS4" s="1552"/>
      <c r="BT4" s="1552"/>
      <c r="BU4" s="1552"/>
      <c r="BV4" s="1552"/>
      <c r="BW4" s="1552"/>
      <c r="BX4" s="1552"/>
      <c r="BY4" s="1552"/>
      <c r="BZ4" s="1552"/>
      <c r="CA4" s="1552"/>
      <c r="CB4" s="1552"/>
      <c r="CC4" s="1552"/>
      <c r="CD4" s="1552"/>
      <c r="CE4" s="1552"/>
      <c r="CF4" s="1552"/>
      <c r="CG4" s="1552"/>
      <c r="CH4" s="1552"/>
      <c r="CI4" s="1552"/>
      <c r="CJ4" s="1552"/>
      <c r="CK4" s="1552"/>
      <c r="CL4" s="1552"/>
      <c r="CM4" s="1552"/>
      <c r="CN4" s="1552"/>
      <c r="CO4" s="1552"/>
      <c r="CP4" s="1552"/>
      <c r="CQ4" s="1552"/>
      <c r="CR4" s="1552"/>
      <c r="CS4" s="1552"/>
      <c r="CT4" s="1552"/>
      <c r="CU4" s="1552"/>
      <c r="CV4" s="1552"/>
      <c r="CW4" s="1552"/>
      <c r="CX4" s="1552"/>
      <c r="CY4" s="1552"/>
      <c r="CZ4" s="1552"/>
      <c r="DA4" s="1552"/>
      <c r="DB4" s="1552"/>
      <c r="DC4" s="1552"/>
      <c r="DD4" s="1552"/>
      <c r="DE4" s="1552"/>
      <c r="DF4" s="1552"/>
      <c r="DG4" s="1552"/>
      <c r="DH4" s="1552"/>
      <c r="DI4" s="1552"/>
      <c r="DJ4" s="1552"/>
      <c r="DK4" s="1552"/>
      <c r="DL4" s="1552"/>
      <c r="DM4" s="1552"/>
      <c r="DN4" s="1552"/>
      <c r="DO4" s="1552"/>
      <c r="DP4" s="1552"/>
      <c r="DQ4" s="1552"/>
      <c r="DR4" s="1552"/>
      <c r="DS4" s="1552"/>
      <c r="DT4" s="1552"/>
      <c r="DU4" s="1552"/>
      <c r="DV4" s="1552"/>
      <c r="DW4" s="1552"/>
      <c r="DX4" s="1552"/>
      <c r="DY4" s="1552"/>
      <c r="DZ4" s="1552"/>
      <c r="EA4" s="1552"/>
      <c r="EB4" s="1552"/>
      <c r="EC4" s="1552"/>
      <c r="ED4" s="1552"/>
      <c r="EE4" s="1552"/>
      <c r="EF4" s="1552"/>
      <c r="EG4" s="1552"/>
      <c r="EH4" s="1552"/>
      <c r="EI4" s="1552"/>
      <c r="EJ4" s="1552"/>
      <c r="EK4" s="1552"/>
      <c r="EL4" s="1552"/>
      <c r="EM4" s="1552"/>
      <c r="EN4" s="1552"/>
      <c r="EO4" s="1552"/>
      <c r="EP4" s="1552"/>
      <c r="EQ4" s="1552"/>
      <c r="ER4" s="1552"/>
      <c r="ES4" s="1551"/>
      <c r="ET4" s="1551"/>
      <c r="EU4" s="1551"/>
      <c r="EV4" s="1551"/>
      <c r="EW4" s="1551"/>
      <c r="EX4" s="1551"/>
      <c r="EY4" s="1551"/>
      <c r="EZ4" s="1551"/>
      <c r="FA4" s="1551"/>
      <c r="FB4" s="1551"/>
      <c r="FC4" s="1551"/>
      <c r="FD4" s="1551"/>
      <c r="FE4" s="1551"/>
      <c r="FF4" s="1551"/>
      <c r="FG4" s="1551"/>
      <c r="FH4" s="1551"/>
      <c r="FI4" s="1551"/>
      <c r="FJ4" s="1551"/>
      <c r="FK4" s="1551"/>
      <c r="FL4" s="1551"/>
      <c r="FM4" s="1551"/>
      <c r="FN4" s="1551"/>
      <c r="FO4" s="1551"/>
      <c r="FP4" s="1551"/>
      <c r="FQ4" s="1551"/>
      <c r="FR4" s="1551"/>
      <c r="FS4" s="1551"/>
      <c r="FT4" s="1551"/>
      <c r="FU4" s="1551"/>
      <c r="FV4" s="1551"/>
    </row>
    <row r="5" spans="1:178" s="1550" customFormat="1" ht="19" thickBot="1">
      <c r="A5" s="1558" t="s">
        <v>819</v>
      </c>
      <c r="B5" s="1558"/>
      <c r="C5" s="1558"/>
      <c r="D5" s="1558"/>
      <c r="E5" s="1558"/>
      <c r="F5" s="1558"/>
      <c r="G5" s="1559">
        <v>48.669046999999999</v>
      </c>
      <c r="H5" s="1558">
        <v>49.093184000000001</v>
      </c>
      <c r="I5" s="1558">
        <v>49.513846000000001</v>
      </c>
      <c r="J5" s="1558">
        <v>49.955216</v>
      </c>
      <c r="K5" s="1558">
        <v>50.417247000000003</v>
      </c>
      <c r="L5" s="1558">
        <v>50.882292</v>
      </c>
      <c r="M5" s="1558">
        <v>51.342756000000001</v>
      </c>
      <c r="N5" s="1558">
        <v>51.794877</v>
      </c>
      <c r="O5" s="1558">
        <v>52.236848000000002</v>
      </c>
      <c r="P5" s="1558">
        <v>52.667948000000003</v>
      </c>
      <c r="Q5" s="1558">
        <v>53.088009</v>
      </c>
      <c r="R5" s="1558">
        <v>53.496558999999998</v>
      </c>
      <c r="S5" s="1558">
        <v>53.893822</v>
      </c>
      <c r="T5" s="1558">
        <v>54.279975999999998</v>
      </c>
      <c r="U5" s="1558">
        <v>54.655014999999999</v>
      </c>
      <c r="V5" s="1558">
        <v>55.018672000000002</v>
      </c>
      <c r="W5" s="1558">
        <v>55.370302000000002</v>
      </c>
      <c r="X5" s="1558">
        <v>55.708925999999998</v>
      </c>
      <c r="Y5" s="1558">
        <v>56.033230000000003</v>
      </c>
      <c r="Z5" s="1558">
        <v>56.341602999999999</v>
      </c>
      <c r="AA5" s="1558">
        <v>56.632359000000001</v>
      </c>
      <c r="AB5" s="1558">
        <v>56.904508999999997</v>
      </c>
      <c r="AC5" s="1558">
        <v>57.158428000000001</v>
      </c>
      <c r="AD5" s="1558">
        <v>57.395581999999997</v>
      </c>
      <c r="AE5" s="1558">
        <v>57.618640999999997</v>
      </c>
      <c r="AF5" s="1558">
        <v>58.592306999999998</v>
      </c>
      <c r="AG5" s="1558">
        <v>59.359628000000001</v>
      </c>
      <c r="AH5" s="1558">
        <v>59.885302000000003</v>
      </c>
      <c r="AI5" s="1558">
        <v>60.195031</v>
      </c>
      <c r="AJ5" s="1560">
        <v>49.093184000000001</v>
      </c>
      <c r="AK5" s="1561">
        <v>49.513846000000001</v>
      </c>
      <c r="AL5" s="1561">
        <v>49.955216</v>
      </c>
      <c r="AM5" s="1561">
        <v>50.417247000000003</v>
      </c>
      <c r="AN5" s="1561">
        <v>50.882292</v>
      </c>
      <c r="AO5" s="1561">
        <v>51.342756000000001</v>
      </c>
      <c r="AP5" s="1561">
        <v>51.794877</v>
      </c>
      <c r="AQ5" s="1561">
        <v>52.236848000000002</v>
      </c>
      <c r="AR5" s="1561">
        <v>52.667948000000003</v>
      </c>
      <c r="AS5" s="1561">
        <v>53.088009</v>
      </c>
      <c r="AT5" s="1561">
        <v>53.496558999999998</v>
      </c>
      <c r="AU5" s="1561">
        <v>53.893822</v>
      </c>
      <c r="AV5" s="1561">
        <v>54.279975999999998</v>
      </c>
      <c r="AW5" s="1561">
        <v>54.655014999999999</v>
      </c>
      <c r="AX5" s="1561">
        <v>55.018672000000002</v>
      </c>
      <c r="AY5" s="1561">
        <v>55.370302000000002</v>
      </c>
      <c r="AZ5" s="1561">
        <v>55.708925999999998</v>
      </c>
      <c r="BA5" s="1561">
        <v>56.033230000000003</v>
      </c>
      <c r="BB5" s="1561">
        <v>56.341602999999999</v>
      </c>
      <c r="BC5" s="1561">
        <v>56.632359000000001</v>
      </c>
      <c r="BD5" s="1561">
        <v>56.904508999999997</v>
      </c>
      <c r="BE5" s="1561">
        <v>57.158428000000001</v>
      </c>
      <c r="BF5" s="1561">
        <v>57.395581999999997</v>
      </c>
      <c r="BG5" s="1561">
        <v>57.618640999999997</v>
      </c>
      <c r="BH5" s="1561">
        <v>58.592306999999998</v>
      </c>
      <c r="BI5" s="1561">
        <v>59.359628000000001</v>
      </c>
      <c r="BJ5" s="1561">
        <v>59.885302000000003</v>
      </c>
      <c r="BK5" s="1561">
        <v>60.195031</v>
      </c>
    </row>
    <row r="6" spans="1:178" ht="14" thickTop="1">
      <c r="H6" s="1505"/>
      <c r="I6" s="1505"/>
      <c r="J6" s="1505"/>
      <c r="K6" s="1505"/>
      <c r="L6" s="1505"/>
      <c r="M6" s="1505"/>
      <c r="N6" s="1505"/>
      <c r="O6" s="1505"/>
      <c r="P6" s="1505"/>
      <c r="Q6" s="1505"/>
      <c r="R6" s="1505"/>
      <c r="S6" s="1505"/>
      <c r="T6" s="1505"/>
      <c r="U6" s="1505"/>
      <c r="V6" s="1505"/>
      <c r="W6" s="1505"/>
      <c r="X6" s="1505"/>
      <c r="Y6" s="1505"/>
      <c r="Z6" s="1505"/>
      <c r="AA6" s="1505"/>
      <c r="AB6" s="1505"/>
      <c r="AC6" s="1505"/>
      <c r="AD6" s="1505"/>
      <c r="AE6" s="1505"/>
      <c r="AF6" s="1505"/>
      <c r="AG6" s="1505"/>
      <c r="AH6" s="1505"/>
      <c r="AI6" s="1505"/>
      <c r="AJ6" s="1503"/>
      <c r="AK6" s="1368"/>
      <c r="AL6" s="1368"/>
      <c r="AM6" s="1534"/>
      <c r="AN6" s="1534"/>
      <c r="AO6" s="1368"/>
      <c r="AP6" s="1368"/>
      <c r="AQ6" s="1368"/>
      <c r="AR6" s="1368"/>
      <c r="AS6" s="1368"/>
      <c r="AT6" s="1368"/>
      <c r="AU6" s="1368"/>
      <c r="AV6" s="1368"/>
      <c r="AW6" s="1368"/>
      <c r="AX6" s="1368"/>
      <c r="AY6" s="1368"/>
      <c r="AZ6" s="1368"/>
      <c r="BA6" s="1368"/>
      <c r="BB6" s="1368"/>
      <c r="BC6" s="1368"/>
      <c r="BD6" s="1368"/>
      <c r="BE6" s="1368"/>
      <c r="BF6" s="1368"/>
      <c r="BG6" s="1368"/>
      <c r="BH6" s="1368"/>
      <c r="BI6" s="1368"/>
      <c r="BJ6" s="1368"/>
      <c r="BK6" s="1368"/>
    </row>
    <row r="7" spans="1:178" ht="14" thickBot="1">
      <c r="A7" s="1511" t="s">
        <v>2252</v>
      </c>
      <c r="B7" s="1511"/>
      <c r="C7" s="1511"/>
      <c r="D7" s="1511"/>
      <c r="E7" s="1511"/>
      <c r="F7" s="1511"/>
      <c r="G7" s="1517"/>
      <c r="H7" s="1511"/>
      <c r="I7" s="1511"/>
      <c r="J7" s="1511"/>
      <c r="K7" s="1511"/>
      <c r="L7" s="1511"/>
      <c r="M7" s="1511"/>
      <c r="N7" s="1511"/>
      <c r="O7" s="1511"/>
      <c r="P7" s="1511"/>
      <c r="Q7" s="1511"/>
      <c r="R7" s="1511"/>
      <c r="S7" s="1511"/>
      <c r="T7" s="1511"/>
      <c r="U7" s="1511"/>
      <c r="V7" s="1511"/>
      <c r="W7" s="1511"/>
      <c r="X7" s="1511"/>
      <c r="Y7" s="1511"/>
      <c r="Z7" s="1511"/>
      <c r="AA7" s="1511"/>
      <c r="AB7" s="1511"/>
      <c r="AC7" s="1511"/>
      <c r="AD7" s="1511"/>
      <c r="AE7" s="1511"/>
      <c r="AF7" s="1511"/>
      <c r="AG7" s="1511"/>
      <c r="AH7" s="1511"/>
      <c r="AI7" s="1511"/>
      <c r="AJ7" s="1535"/>
      <c r="AK7" s="1536"/>
      <c r="AL7" s="1536"/>
      <c r="AM7" s="1536"/>
      <c r="AN7" s="1536"/>
      <c r="AO7" s="1536"/>
      <c r="AP7" s="1536"/>
      <c r="AQ7" s="1536"/>
      <c r="AR7" s="1536"/>
      <c r="AS7" s="1536"/>
      <c r="AT7" s="1536"/>
      <c r="AU7" s="1536"/>
      <c r="AV7" s="1536"/>
      <c r="AW7" s="1536"/>
      <c r="AX7" s="1536"/>
      <c r="AY7" s="1536"/>
      <c r="AZ7" s="1536"/>
      <c r="BA7" s="1536"/>
      <c r="BB7" s="1536"/>
      <c r="BC7" s="1536"/>
      <c r="BD7" s="1536"/>
      <c r="BE7" s="1536"/>
      <c r="BF7" s="1536"/>
      <c r="BG7" s="1536"/>
      <c r="BH7" s="1536"/>
      <c r="BI7" s="1536"/>
      <c r="BJ7" s="1536"/>
      <c r="BK7" s="1536"/>
    </row>
    <row r="8" spans="1:178">
      <c r="A8" s="1504" t="s">
        <v>1881</v>
      </c>
      <c r="B8" s="1542" t="s">
        <v>107</v>
      </c>
      <c r="G8" s="1541">
        <v>3.8858000000000059E-2</v>
      </c>
      <c r="H8" s="1543">
        <v>3.7636999999999921E-2</v>
      </c>
      <c r="I8" s="1543">
        <v>3.639799999999993E-2</v>
      </c>
      <c r="J8" s="1543">
        <v>3.5408000000000106E-2</v>
      </c>
      <c r="K8" s="1543">
        <v>3.4764999999999935E-2</v>
      </c>
      <c r="L8" s="1543">
        <v>3.4545000000000048E-2</v>
      </c>
      <c r="M8" s="1543">
        <v>3.3949999999999925E-2</v>
      </c>
      <c r="N8" s="1543">
        <v>3.3770999999999995E-2</v>
      </c>
      <c r="O8" s="1543">
        <v>3.3857000000000026E-2</v>
      </c>
      <c r="P8" s="1543">
        <v>3.4648000000000012E-2</v>
      </c>
      <c r="Q8" s="1543">
        <v>3.4616999999999898E-2</v>
      </c>
      <c r="R8" s="1543">
        <v>3.5309999999999953E-2</v>
      </c>
      <c r="S8" s="1543">
        <v>3.5724000000000089E-2</v>
      </c>
      <c r="T8" s="1543">
        <v>3.6183000000000076E-2</v>
      </c>
      <c r="U8" s="1543">
        <v>3.6164000000000085E-2</v>
      </c>
      <c r="V8" s="1543">
        <v>3.5708999999999991E-2</v>
      </c>
      <c r="W8" s="1543">
        <v>3.5022000000000109E-2</v>
      </c>
      <c r="X8" s="1543">
        <v>3.5382000000000025E-2</v>
      </c>
      <c r="Y8" s="1543">
        <v>3.608100000000003E-2</v>
      </c>
      <c r="Z8" s="1543">
        <v>3.6680000000000046E-2</v>
      </c>
      <c r="AA8" s="1543">
        <v>3.6693000000000087E-2</v>
      </c>
      <c r="AB8" s="1543">
        <v>3.6259999999999959E-2</v>
      </c>
      <c r="AC8" s="1543">
        <v>3.7131999999999943E-2</v>
      </c>
      <c r="AD8" s="1543">
        <v>3.8869000000000042E-2</v>
      </c>
      <c r="AE8" s="1543">
        <v>4.0159000000000056E-2</v>
      </c>
      <c r="AF8" s="1543">
        <v>4.1067879295892756E-2</v>
      </c>
      <c r="AG8" s="1543">
        <v>3.7509304274937177E-2</v>
      </c>
      <c r="AH8" s="1543">
        <v>3.2700419111483699E-2</v>
      </c>
      <c r="AI8" s="1543">
        <v>2.9815088013411605E-2</v>
      </c>
      <c r="AJ8" s="1539">
        <v>3.7636999999999921E-2</v>
      </c>
      <c r="AK8" s="1540">
        <v>3.639799999999993E-2</v>
      </c>
      <c r="AL8" s="1540">
        <v>3.5408000000000106E-2</v>
      </c>
      <c r="AM8" s="1540">
        <v>3.4764999999999935E-2</v>
      </c>
      <c r="AN8" s="1540">
        <v>3.4545000000000048E-2</v>
      </c>
      <c r="AO8" s="1540">
        <v>3.3949999999999925E-2</v>
      </c>
      <c r="AP8" s="1540">
        <v>3.3770999999999995E-2</v>
      </c>
      <c r="AQ8" s="1540">
        <v>3.3857000000000026E-2</v>
      </c>
      <c r="AR8" s="1540">
        <v>3.4648000000000012E-2</v>
      </c>
      <c r="AS8" s="1540">
        <v>3.4616999999999898E-2</v>
      </c>
      <c r="AT8" s="1540">
        <v>3.5309999999999953E-2</v>
      </c>
      <c r="AU8" s="1540">
        <v>3.5724000000000089E-2</v>
      </c>
      <c r="AV8" s="1540">
        <v>3.6183000000000076E-2</v>
      </c>
      <c r="AW8" s="1540">
        <v>3.6164000000000085E-2</v>
      </c>
      <c r="AX8" s="1540">
        <v>3.5708999999999991E-2</v>
      </c>
      <c r="AY8" s="1540">
        <v>3.5022000000000109E-2</v>
      </c>
      <c r="AZ8" s="1540">
        <v>3.5382000000000025E-2</v>
      </c>
      <c r="BA8" s="1540">
        <v>3.608100000000003E-2</v>
      </c>
      <c r="BB8" s="1540">
        <v>3.6680000000000046E-2</v>
      </c>
      <c r="BC8" s="1540">
        <v>3.6693000000000087E-2</v>
      </c>
      <c r="BD8" s="1540">
        <v>3.6259999999999959E-2</v>
      </c>
      <c r="BE8" s="1540">
        <v>3.7131999999999943E-2</v>
      </c>
      <c r="BF8" s="1540">
        <v>3.8869000000000042E-2</v>
      </c>
      <c r="BG8" s="1540">
        <v>4.0159000000000056E-2</v>
      </c>
      <c r="BH8" s="1540">
        <v>4.1067879295892756E-2</v>
      </c>
      <c r="BI8" s="1540">
        <v>3.7509304274937177E-2</v>
      </c>
      <c r="BJ8" s="1540">
        <v>3.2700419111483699E-2</v>
      </c>
      <c r="BK8" s="1540">
        <v>2.9815088013411605E-2</v>
      </c>
    </row>
    <row r="9" spans="1:178">
      <c r="A9" s="1504" t="s">
        <v>1015</v>
      </c>
      <c r="B9" s="1542" t="s">
        <v>2254</v>
      </c>
      <c r="G9" s="1541">
        <v>4.2742000000000058E-2</v>
      </c>
      <c r="H9" s="1543">
        <v>4.2566000000000104E-2</v>
      </c>
      <c r="I9" s="1543">
        <v>4.1436999999999946E-2</v>
      </c>
      <c r="J9" s="1543">
        <v>4.075899999999999E-2</v>
      </c>
      <c r="K9" s="1543">
        <v>3.9789000000000074E-2</v>
      </c>
      <c r="L9" s="1543">
        <v>3.9760999999999935E-2</v>
      </c>
      <c r="M9" s="1543">
        <v>3.9226999999999901E-2</v>
      </c>
      <c r="N9" s="1543">
        <v>3.9508000000000099E-2</v>
      </c>
      <c r="O9" s="1543">
        <v>3.9077999999999946E-2</v>
      </c>
      <c r="P9" s="1543">
        <v>4.0219000000000005E-2</v>
      </c>
      <c r="Q9" s="1543">
        <v>4.030099999999992E-2</v>
      </c>
      <c r="R9" s="1543">
        <v>4.1285999999999934E-2</v>
      </c>
      <c r="S9" s="1543">
        <v>4.1973000000000038E-2</v>
      </c>
      <c r="T9" s="1543">
        <v>4.2823999999999973E-2</v>
      </c>
      <c r="U9" s="1543">
        <v>4.2728000000000099E-2</v>
      </c>
      <c r="V9" s="1543">
        <v>4.2083000000000093E-2</v>
      </c>
      <c r="W9" s="1543">
        <v>4.0793000000000079E-2</v>
      </c>
      <c r="X9" s="1543">
        <v>4.0686E-2</v>
      </c>
      <c r="Y9" s="1543">
        <v>4.1881999999999975E-2</v>
      </c>
      <c r="Z9" s="1543">
        <v>4.2991000000000001E-2</v>
      </c>
      <c r="AA9" s="1543">
        <v>4.3026999999999926E-2</v>
      </c>
      <c r="AB9" s="1543">
        <v>4.2551999999999923E-2</v>
      </c>
      <c r="AC9" s="1543">
        <v>4.3876000000000026E-2</v>
      </c>
      <c r="AD9" s="1543">
        <v>4.5757000000000048E-2</v>
      </c>
      <c r="AE9" s="1543">
        <v>4.7090000000000076E-2</v>
      </c>
      <c r="AF9" s="1543">
        <v>4.8155741827326133E-2</v>
      </c>
      <c r="AG9" s="1543">
        <v>4.39829960483775E-2</v>
      </c>
      <c r="AH9" s="1543">
        <v>3.8344150401149621E-2</v>
      </c>
      <c r="AI9" s="1543">
        <v>3.4960843012812888E-2</v>
      </c>
      <c r="AJ9" s="1539">
        <v>4.2566000000000104E-2</v>
      </c>
      <c r="AK9" s="1540">
        <v>4.1436999999999946E-2</v>
      </c>
      <c r="AL9" s="1540">
        <v>4.075899999999999E-2</v>
      </c>
      <c r="AM9" s="1540">
        <v>3.9789000000000074E-2</v>
      </c>
      <c r="AN9" s="1540">
        <v>3.9760999999999935E-2</v>
      </c>
      <c r="AO9" s="1540">
        <v>3.9226999999999901E-2</v>
      </c>
      <c r="AP9" s="1540">
        <v>3.9508000000000099E-2</v>
      </c>
      <c r="AQ9" s="1540">
        <v>3.9077999999999946E-2</v>
      </c>
      <c r="AR9" s="1540">
        <v>4.0219000000000005E-2</v>
      </c>
      <c r="AS9" s="1540">
        <v>4.030099999999992E-2</v>
      </c>
      <c r="AT9" s="1540">
        <v>4.1285999999999934E-2</v>
      </c>
      <c r="AU9" s="1540">
        <v>4.1973000000000038E-2</v>
      </c>
      <c r="AV9" s="1540">
        <v>4.2823999999999973E-2</v>
      </c>
      <c r="AW9" s="1540">
        <v>4.2728000000000099E-2</v>
      </c>
      <c r="AX9" s="1540">
        <v>4.2083000000000093E-2</v>
      </c>
      <c r="AY9" s="1540">
        <v>4.0793000000000079E-2</v>
      </c>
      <c r="AZ9" s="1540">
        <v>4.0686E-2</v>
      </c>
      <c r="BA9" s="1540">
        <v>4.1881999999999975E-2</v>
      </c>
      <c r="BB9" s="1540">
        <v>4.2991000000000001E-2</v>
      </c>
      <c r="BC9" s="1540">
        <v>4.3026999999999926E-2</v>
      </c>
      <c r="BD9" s="1540">
        <v>4.2551999999999923E-2</v>
      </c>
      <c r="BE9" s="1540">
        <v>4.3876000000000026E-2</v>
      </c>
      <c r="BF9" s="1540">
        <v>4.5757000000000048E-2</v>
      </c>
      <c r="BG9" s="1540">
        <v>4.7090000000000076E-2</v>
      </c>
      <c r="BH9" s="1540">
        <v>4.8155741827326133E-2</v>
      </c>
      <c r="BI9" s="1540">
        <v>4.39829960483775E-2</v>
      </c>
      <c r="BJ9" s="1540">
        <v>3.8344150401149621E-2</v>
      </c>
      <c r="BK9" s="1540">
        <v>3.4960843012812888E-2</v>
      </c>
    </row>
    <row r="10" spans="1:178">
      <c r="A10" s="1504" t="s">
        <v>1013</v>
      </c>
      <c r="B10" s="1542" t="s">
        <v>2255</v>
      </c>
      <c r="G10" s="1541">
        <v>3.7897999999999987E-2</v>
      </c>
      <c r="H10" s="1543">
        <v>3.8329999999999975E-2</v>
      </c>
      <c r="I10" s="1543">
        <v>3.7198000000000064E-2</v>
      </c>
      <c r="J10" s="1543">
        <v>3.7700000000000067E-2</v>
      </c>
      <c r="K10" s="1543">
        <v>3.6240999999999968E-2</v>
      </c>
      <c r="L10" s="1543">
        <v>3.7517000000000023E-2</v>
      </c>
      <c r="M10" s="1543">
        <v>3.7757000000000041E-2</v>
      </c>
      <c r="N10" s="1543">
        <v>3.8729000000000013E-2</v>
      </c>
      <c r="O10" s="1543">
        <v>3.6885999999999974E-2</v>
      </c>
      <c r="P10" s="1543">
        <v>3.8318000000000074E-2</v>
      </c>
      <c r="Q10" s="1543">
        <v>3.8280000000000092E-2</v>
      </c>
      <c r="R10" s="1543">
        <v>3.8983999999999908E-2</v>
      </c>
      <c r="S10" s="1543">
        <v>3.9589000000000096E-2</v>
      </c>
      <c r="T10" s="1543">
        <v>4.0324999999999944E-2</v>
      </c>
      <c r="U10" s="1543">
        <v>3.9760999999999935E-2</v>
      </c>
      <c r="V10" s="1543">
        <v>3.9182999999999968E-2</v>
      </c>
      <c r="W10" s="1543">
        <v>3.7597000000000103E-2</v>
      </c>
      <c r="X10" s="1543">
        <v>3.6960000000000104E-2</v>
      </c>
      <c r="Y10" s="1543">
        <v>3.8880999999999943E-2</v>
      </c>
      <c r="Z10" s="1543">
        <v>4.0078999999999976E-2</v>
      </c>
      <c r="AA10" s="1543">
        <v>3.9830000000000032E-2</v>
      </c>
      <c r="AB10" s="1543">
        <v>3.9555000000000007E-2</v>
      </c>
      <c r="AC10" s="1543">
        <v>4.0456000000000047E-2</v>
      </c>
      <c r="AD10" s="1543">
        <v>4.0885999999999978E-2</v>
      </c>
      <c r="AE10" s="1543">
        <v>4.1253999999999902E-2</v>
      </c>
      <c r="AF10" s="1543">
        <v>4.2187661357921097E-2</v>
      </c>
      <c r="AG10" s="1543">
        <v>3.8532056041192572E-2</v>
      </c>
      <c r="AH10" s="1543">
        <v>3.3592048856424299E-2</v>
      </c>
      <c r="AI10" s="1543">
        <v>3.0628044545563327E-2</v>
      </c>
      <c r="AJ10" s="1539">
        <v>3.8329999999999975E-2</v>
      </c>
      <c r="AK10" s="1540">
        <v>3.7198000000000064E-2</v>
      </c>
      <c r="AL10" s="1540">
        <v>3.7700000000000067E-2</v>
      </c>
      <c r="AM10" s="1540">
        <v>3.6240999999999968E-2</v>
      </c>
      <c r="AN10" s="1540">
        <v>3.7517000000000023E-2</v>
      </c>
      <c r="AO10" s="1540">
        <v>3.7757000000000041E-2</v>
      </c>
      <c r="AP10" s="1540">
        <v>3.8729000000000013E-2</v>
      </c>
      <c r="AQ10" s="1540">
        <v>3.6885999999999974E-2</v>
      </c>
      <c r="AR10" s="1540">
        <v>3.8318000000000074E-2</v>
      </c>
      <c r="AS10" s="1540">
        <v>3.8280000000000092E-2</v>
      </c>
      <c r="AT10" s="1540">
        <v>3.8983999999999908E-2</v>
      </c>
      <c r="AU10" s="1540">
        <v>3.9589000000000096E-2</v>
      </c>
      <c r="AV10" s="1540">
        <v>4.0324999999999944E-2</v>
      </c>
      <c r="AW10" s="1540">
        <v>3.9760999999999935E-2</v>
      </c>
      <c r="AX10" s="1540">
        <v>3.9182999999999968E-2</v>
      </c>
      <c r="AY10" s="1540">
        <v>3.7597000000000103E-2</v>
      </c>
      <c r="AZ10" s="1540">
        <v>3.6960000000000104E-2</v>
      </c>
      <c r="BA10" s="1540">
        <v>3.8880999999999943E-2</v>
      </c>
      <c r="BB10" s="1540">
        <v>4.0078999999999976E-2</v>
      </c>
      <c r="BC10" s="1540">
        <v>3.9830000000000032E-2</v>
      </c>
      <c r="BD10" s="1540">
        <v>3.9555000000000007E-2</v>
      </c>
      <c r="BE10" s="1540">
        <v>4.0456000000000047E-2</v>
      </c>
      <c r="BF10" s="1540">
        <v>4.0885999999999978E-2</v>
      </c>
      <c r="BG10" s="1540">
        <v>4.1253999999999902E-2</v>
      </c>
      <c r="BH10" s="1540">
        <v>4.2187661357921097E-2</v>
      </c>
      <c r="BI10" s="1540">
        <v>3.8532056041192572E-2</v>
      </c>
      <c r="BJ10" s="1540">
        <v>3.3592048856424299E-2</v>
      </c>
      <c r="BK10" s="1540">
        <v>3.0628044545563327E-2</v>
      </c>
    </row>
    <row r="11" spans="1:178">
      <c r="A11" s="1504" t="s">
        <v>1011</v>
      </c>
      <c r="B11" s="1542" t="s">
        <v>2256</v>
      </c>
      <c r="G11" s="1541">
        <v>3.3849000000000018E-2</v>
      </c>
      <c r="H11" s="1543">
        <v>3.5082000000000058E-2</v>
      </c>
      <c r="I11" s="1543">
        <v>3.2969999999999944E-2</v>
      </c>
      <c r="J11" s="1543">
        <v>3.47360000000001E-2</v>
      </c>
      <c r="K11" s="1543">
        <v>3.1652999999999931E-2</v>
      </c>
      <c r="L11" s="1543">
        <v>3.4914000000000112E-2</v>
      </c>
      <c r="M11" s="1543">
        <v>3.675000000000006E-2</v>
      </c>
      <c r="N11" s="1543">
        <v>3.9746999999999977E-2</v>
      </c>
      <c r="O11" s="1543">
        <v>3.5082000000000058E-2</v>
      </c>
      <c r="P11" s="1543">
        <v>3.6875999999999909E-2</v>
      </c>
      <c r="Q11" s="1543">
        <v>3.6720000000000086E-2</v>
      </c>
      <c r="R11" s="1543">
        <v>3.7530000000000063E-2</v>
      </c>
      <c r="S11" s="1543">
        <v>3.8632E-2</v>
      </c>
      <c r="T11" s="1543">
        <v>4.0078000000000058E-2</v>
      </c>
      <c r="U11" s="1543">
        <v>3.8677000000000072E-2</v>
      </c>
      <c r="V11" s="1543">
        <v>3.7311000000000094E-2</v>
      </c>
      <c r="W11" s="1543">
        <v>3.326399999999996E-2</v>
      </c>
      <c r="X11" s="1543">
        <v>3.040200000000004E-2</v>
      </c>
      <c r="Y11" s="1543">
        <v>3.4280000000000088E-2</v>
      </c>
      <c r="Z11" s="1543">
        <v>3.6847000000000074E-2</v>
      </c>
      <c r="AA11" s="1543">
        <v>3.6367000000000038E-2</v>
      </c>
      <c r="AB11" s="1543">
        <v>3.6016999999999966E-2</v>
      </c>
      <c r="AC11" s="1543">
        <v>3.7004000000000037E-2</v>
      </c>
      <c r="AD11" s="1543">
        <v>3.6116000000000037E-2</v>
      </c>
      <c r="AE11" s="1543">
        <v>3.5787000000000013E-2</v>
      </c>
      <c r="AF11" s="1543">
        <v>3.6596932103939647E-2</v>
      </c>
      <c r="AG11" s="1543">
        <v>3.342576936893786E-2</v>
      </c>
      <c r="AH11" s="1543">
        <v>2.9140414321638136E-2</v>
      </c>
      <c r="AI11" s="1543">
        <v>2.6569201293258297E-2</v>
      </c>
      <c r="AJ11" s="1539">
        <v>3.5082000000000058E-2</v>
      </c>
      <c r="AK11" s="1540">
        <v>3.2969999999999944E-2</v>
      </c>
      <c r="AL11" s="1540">
        <v>3.47360000000001E-2</v>
      </c>
      <c r="AM11" s="1540">
        <v>3.1652999999999931E-2</v>
      </c>
      <c r="AN11" s="1540">
        <v>3.4914000000000112E-2</v>
      </c>
      <c r="AO11" s="1540">
        <v>3.675000000000006E-2</v>
      </c>
      <c r="AP11" s="1540">
        <v>3.9746999999999977E-2</v>
      </c>
      <c r="AQ11" s="1540">
        <v>3.5082000000000058E-2</v>
      </c>
      <c r="AR11" s="1540">
        <v>3.6875999999999909E-2</v>
      </c>
      <c r="AS11" s="1540">
        <v>3.6720000000000086E-2</v>
      </c>
      <c r="AT11" s="1540">
        <v>3.7530000000000063E-2</v>
      </c>
      <c r="AU11" s="1540">
        <v>3.8632E-2</v>
      </c>
      <c r="AV11" s="1540">
        <v>4.0078000000000058E-2</v>
      </c>
      <c r="AW11" s="1540">
        <v>3.8677000000000072E-2</v>
      </c>
      <c r="AX11" s="1540">
        <v>3.7311000000000094E-2</v>
      </c>
      <c r="AY11" s="1540">
        <v>3.326399999999996E-2</v>
      </c>
      <c r="AZ11" s="1540">
        <v>3.040200000000004E-2</v>
      </c>
      <c r="BA11" s="1540">
        <v>3.4280000000000088E-2</v>
      </c>
      <c r="BB11" s="1540">
        <v>3.6847000000000074E-2</v>
      </c>
      <c r="BC11" s="1540">
        <v>3.6367000000000038E-2</v>
      </c>
      <c r="BD11" s="1540">
        <v>3.6016999999999966E-2</v>
      </c>
      <c r="BE11" s="1540">
        <v>3.7004000000000037E-2</v>
      </c>
      <c r="BF11" s="1540">
        <v>3.6116000000000037E-2</v>
      </c>
      <c r="BG11" s="1540">
        <v>3.5787000000000013E-2</v>
      </c>
      <c r="BH11" s="1540">
        <v>3.6596932103939647E-2</v>
      </c>
      <c r="BI11" s="1540">
        <v>3.342576936893786E-2</v>
      </c>
      <c r="BJ11" s="1540">
        <v>2.9140414321638136E-2</v>
      </c>
      <c r="BK11" s="1540">
        <v>2.6569201293258297E-2</v>
      </c>
    </row>
    <row r="12" spans="1:178">
      <c r="A12" s="1504" t="s">
        <v>1009</v>
      </c>
      <c r="B12" s="1542" t="s">
        <v>2257</v>
      </c>
      <c r="G12" s="1541">
        <v>4.3257000000000101E-2</v>
      </c>
      <c r="H12" s="1543">
        <v>4.0375999999999967E-2</v>
      </c>
      <c r="I12" s="1543">
        <v>3.7543000000000104E-2</v>
      </c>
      <c r="J12" s="1543">
        <v>3.7328000000000028E-2</v>
      </c>
      <c r="K12" s="1543">
        <v>3.5099999999999909E-2</v>
      </c>
      <c r="L12" s="1543">
        <v>3.6642999999999981E-2</v>
      </c>
      <c r="M12" s="1543">
        <v>3.9325999999999972E-2</v>
      </c>
      <c r="N12" s="1543">
        <v>4.3681000000000081E-2</v>
      </c>
      <c r="O12" s="1543">
        <v>4.1595999999999966E-2</v>
      </c>
      <c r="P12" s="1543">
        <v>4.2232000000000047E-2</v>
      </c>
      <c r="Q12" s="1543">
        <v>4.2324999999999946E-2</v>
      </c>
      <c r="R12" s="1543">
        <v>4.3641999999999959E-2</v>
      </c>
      <c r="S12" s="1543">
        <v>4.5233000000000079E-2</v>
      </c>
      <c r="T12" s="1543">
        <v>4.7608000000000095E-2</v>
      </c>
      <c r="U12" s="1543">
        <v>4.7034999999999938E-2</v>
      </c>
      <c r="V12" s="1543">
        <v>4.5120999999999967E-2</v>
      </c>
      <c r="W12" s="1543">
        <v>3.9819000000000049E-2</v>
      </c>
      <c r="X12" s="1543">
        <v>3.4618999999999955E-2</v>
      </c>
      <c r="Y12" s="1543">
        <v>3.6845000000000017E-2</v>
      </c>
      <c r="Z12" s="1543">
        <v>4.06200000000001E-2</v>
      </c>
      <c r="AA12" s="1543">
        <v>4.1263999999999967E-2</v>
      </c>
      <c r="AB12" s="1543">
        <v>4.100400000000004E-2</v>
      </c>
      <c r="AC12" s="1543">
        <v>4.2710999999999943E-2</v>
      </c>
      <c r="AD12" s="1543">
        <v>4.1843999999999992E-2</v>
      </c>
      <c r="AE12" s="1543">
        <v>3.9684000000000053E-2</v>
      </c>
      <c r="AF12" s="1543">
        <v>4.0582129086337008E-2</v>
      </c>
      <c r="AG12" s="1543">
        <v>3.706564483295418E-2</v>
      </c>
      <c r="AH12" s="1543">
        <v>3.2313639085139539E-2</v>
      </c>
      <c r="AI12" s="1543">
        <v>2.9462435636450755E-2</v>
      </c>
      <c r="AJ12" s="1539">
        <v>4.0375999999999967E-2</v>
      </c>
      <c r="AK12" s="1540">
        <v>3.7543000000000104E-2</v>
      </c>
      <c r="AL12" s="1540">
        <v>3.7328000000000028E-2</v>
      </c>
      <c r="AM12" s="1540">
        <v>3.5099999999999909E-2</v>
      </c>
      <c r="AN12" s="1540">
        <v>3.6642999999999981E-2</v>
      </c>
      <c r="AO12" s="1540">
        <v>3.9325999999999972E-2</v>
      </c>
      <c r="AP12" s="1540">
        <v>4.3681000000000081E-2</v>
      </c>
      <c r="AQ12" s="1540">
        <v>4.1595999999999966E-2</v>
      </c>
      <c r="AR12" s="1540">
        <v>4.2232000000000047E-2</v>
      </c>
      <c r="AS12" s="1540">
        <v>4.2324999999999946E-2</v>
      </c>
      <c r="AT12" s="1540">
        <v>4.3641999999999959E-2</v>
      </c>
      <c r="AU12" s="1540">
        <v>4.5233000000000079E-2</v>
      </c>
      <c r="AV12" s="1540">
        <v>4.7608000000000095E-2</v>
      </c>
      <c r="AW12" s="1540">
        <v>4.7034999999999938E-2</v>
      </c>
      <c r="AX12" s="1540">
        <v>4.5120999999999967E-2</v>
      </c>
      <c r="AY12" s="1540">
        <v>3.9819000000000049E-2</v>
      </c>
      <c r="AZ12" s="1540">
        <v>3.4618999999999955E-2</v>
      </c>
      <c r="BA12" s="1540">
        <v>3.6845000000000017E-2</v>
      </c>
      <c r="BB12" s="1540">
        <v>4.06200000000001E-2</v>
      </c>
      <c r="BC12" s="1540">
        <v>4.1263999999999967E-2</v>
      </c>
      <c r="BD12" s="1540">
        <v>4.100400000000004E-2</v>
      </c>
      <c r="BE12" s="1540">
        <v>4.2710999999999943E-2</v>
      </c>
      <c r="BF12" s="1540">
        <v>4.1843999999999992E-2</v>
      </c>
      <c r="BG12" s="1540">
        <v>3.9684000000000053E-2</v>
      </c>
      <c r="BH12" s="1540">
        <v>4.0582129086337008E-2</v>
      </c>
      <c r="BI12" s="1540">
        <v>3.706564483295418E-2</v>
      </c>
      <c r="BJ12" s="1540">
        <v>3.2313639085139539E-2</v>
      </c>
      <c r="BK12" s="1540">
        <v>2.9462435636450755E-2</v>
      </c>
    </row>
    <row r="13" spans="1:178">
      <c r="A13" s="1504" t="s">
        <v>1007</v>
      </c>
      <c r="B13" s="1542" t="s">
        <v>2258</v>
      </c>
      <c r="G13" s="1541">
        <v>4.3695000000000039E-2</v>
      </c>
      <c r="H13" s="1543">
        <v>4.2548999999999948E-2</v>
      </c>
      <c r="I13" s="1543">
        <v>4.2473999999999901E-2</v>
      </c>
      <c r="J13" s="1543">
        <v>4.0799999999999947E-2</v>
      </c>
      <c r="K13" s="1543">
        <v>4.1698000000000013E-2</v>
      </c>
      <c r="L13" s="1543">
        <v>4.0116999999999958E-2</v>
      </c>
      <c r="M13" s="1543">
        <v>3.8691999999999949E-2</v>
      </c>
      <c r="N13" s="1543">
        <v>3.7514999999999965E-2</v>
      </c>
      <c r="O13" s="1543">
        <v>4.0375999999999967E-2</v>
      </c>
      <c r="P13" s="1543">
        <v>4.0500999999999898E-2</v>
      </c>
      <c r="Q13" s="1543">
        <v>4.0372000000000074E-2</v>
      </c>
      <c r="R13" s="1543">
        <v>4.088399999999992E-2</v>
      </c>
      <c r="S13" s="1543">
        <v>4.0880000000000027E-2</v>
      </c>
      <c r="T13" s="1543">
        <v>4.085200000000011E-2</v>
      </c>
      <c r="U13" s="1543">
        <v>4.1484000000000076E-2</v>
      </c>
      <c r="V13" s="1543">
        <v>4.1398000000000046E-2</v>
      </c>
      <c r="W13" s="1543">
        <v>4.2113000000000067E-2</v>
      </c>
      <c r="X13" s="1543">
        <v>4.3476999999999988E-2</v>
      </c>
      <c r="Y13" s="1543">
        <v>4.2532000000000014E-2</v>
      </c>
      <c r="Z13" s="1543">
        <v>4.2283999999999988E-2</v>
      </c>
      <c r="AA13" s="1543">
        <v>4.2648999999999937E-2</v>
      </c>
      <c r="AB13" s="1543">
        <v>4.2392999999999903E-2</v>
      </c>
      <c r="AC13" s="1543">
        <v>4.3206000000000078E-2</v>
      </c>
      <c r="AD13" s="1543">
        <v>4.563600000000001E-2</v>
      </c>
      <c r="AE13" s="1543">
        <v>4.7061000000000019E-2</v>
      </c>
      <c r="AF13" s="1543">
        <v>4.8126085498742664E-2</v>
      </c>
      <c r="AG13" s="1543">
        <v>4.395590947191954E-2</v>
      </c>
      <c r="AH13" s="1543">
        <v>3.832053646269909E-2</v>
      </c>
      <c r="AI13" s="1543">
        <v>3.4939312657166814E-2</v>
      </c>
      <c r="AJ13" s="1539">
        <v>4.2548999999999948E-2</v>
      </c>
      <c r="AK13" s="1540">
        <v>4.2473999999999901E-2</v>
      </c>
      <c r="AL13" s="1540">
        <v>4.0799999999999947E-2</v>
      </c>
      <c r="AM13" s="1540">
        <v>4.1698000000000013E-2</v>
      </c>
      <c r="AN13" s="1540">
        <v>4.0116999999999958E-2</v>
      </c>
      <c r="AO13" s="1540">
        <v>3.8691999999999949E-2</v>
      </c>
      <c r="AP13" s="1540">
        <v>3.7514999999999965E-2</v>
      </c>
      <c r="AQ13" s="1540">
        <v>4.0375999999999967E-2</v>
      </c>
      <c r="AR13" s="1540">
        <v>4.0500999999999898E-2</v>
      </c>
      <c r="AS13" s="1540">
        <v>4.0372000000000074E-2</v>
      </c>
      <c r="AT13" s="1540">
        <v>4.088399999999992E-2</v>
      </c>
      <c r="AU13" s="1540">
        <v>4.0880000000000027E-2</v>
      </c>
      <c r="AV13" s="1540">
        <v>4.085200000000011E-2</v>
      </c>
      <c r="AW13" s="1540">
        <v>4.1484000000000076E-2</v>
      </c>
      <c r="AX13" s="1540">
        <v>4.1398000000000046E-2</v>
      </c>
      <c r="AY13" s="1540">
        <v>4.2113000000000067E-2</v>
      </c>
      <c r="AZ13" s="1540">
        <v>4.3476999999999988E-2</v>
      </c>
      <c r="BA13" s="1540">
        <v>4.2532000000000014E-2</v>
      </c>
      <c r="BB13" s="1540">
        <v>4.2283999999999988E-2</v>
      </c>
      <c r="BC13" s="1540">
        <v>4.2648999999999937E-2</v>
      </c>
      <c r="BD13" s="1540">
        <v>4.2392999999999903E-2</v>
      </c>
      <c r="BE13" s="1540">
        <v>4.3206000000000078E-2</v>
      </c>
      <c r="BF13" s="1540">
        <v>4.563600000000001E-2</v>
      </c>
      <c r="BG13" s="1540">
        <v>4.7061000000000019E-2</v>
      </c>
      <c r="BH13" s="1540">
        <v>4.8126085498742664E-2</v>
      </c>
      <c r="BI13" s="1540">
        <v>4.395590947191954E-2</v>
      </c>
      <c r="BJ13" s="1540">
        <v>3.832053646269909E-2</v>
      </c>
      <c r="BK13" s="1540">
        <v>3.4939312657166814E-2</v>
      </c>
    </row>
    <row r="14" spans="1:178">
      <c r="A14" s="1504" t="s">
        <v>1005</v>
      </c>
      <c r="B14" s="1542" t="s">
        <v>2259</v>
      </c>
      <c r="G14" s="1541">
        <v>3.7420999999999927E-2</v>
      </c>
      <c r="H14" s="1543">
        <v>3.6975999999999898E-2</v>
      </c>
      <c r="I14" s="1543">
        <v>3.5873000000000044E-2</v>
      </c>
      <c r="J14" s="1543">
        <v>3.5190999999999972E-2</v>
      </c>
      <c r="K14" s="1543">
        <v>3.4523000000000081E-2</v>
      </c>
      <c r="L14" s="1543">
        <v>3.4675000000000011E-2</v>
      </c>
      <c r="M14" s="1543">
        <v>3.3970999999999973E-2</v>
      </c>
      <c r="N14" s="1543">
        <v>3.3633999999999942E-2</v>
      </c>
      <c r="O14" s="1543">
        <v>3.3611999999999975E-2</v>
      </c>
      <c r="P14" s="1543">
        <v>3.4755000000000091E-2</v>
      </c>
      <c r="Q14" s="1543">
        <v>3.4721000000000002E-2</v>
      </c>
      <c r="R14" s="1543">
        <v>3.5514999999999963E-2</v>
      </c>
      <c r="S14" s="1543">
        <v>3.5956000000000099E-2</v>
      </c>
      <c r="T14" s="1543">
        <v>3.6375999999999964E-2</v>
      </c>
      <c r="U14" s="1543">
        <v>3.6267000000000049E-2</v>
      </c>
      <c r="V14" s="1543">
        <v>3.5711000000000048E-2</v>
      </c>
      <c r="W14" s="1543">
        <v>3.4955000000000069E-2</v>
      </c>
      <c r="X14" s="1543">
        <v>3.5560999999999954E-2</v>
      </c>
      <c r="Y14" s="1543">
        <v>3.6404000000000103E-2</v>
      </c>
      <c r="Z14" s="1543">
        <v>3.6920999999999982E-2</v>
      </c>
      <c r="AA14" s="1543">
        <v>3.68170000000001E-2</v>
      </c>
      <c r="AB14" s="1543">
        <v>3.6251999999999951E-2</v>
      </c>
      <c r="AC14" s="1543">
        <v>3.7198999999999982E-2</v>
      </c>
      <c r="AD14" s="1543">
        <v>3.9327000000000112E-2</v>
      </c>
      <c r="AE14" s="1543">
        <v>4.0974999999999984E-2</v>
      </c>
      <c r="AF14" s="1543">
        <v>4.1902347024308437E-2</v>
      </c>
      <c r="AG14" s="1543">
        <v>3.8271464495270004E-2</v>
      </c>
      <c r="AH14" s="1543">
        <v>3.3364866483055908E-2</v>
      </c>
      <c r="AI14" s="1543">
        <v>3.042090767572744E-2</v>
      </c>
      <c r="AJ14" s="1539">
        <v>3.6975999999999898E-2</v>
      </c>
      <c r="AK14" s="1540">
        <v>3.5873000000000044E-2</v>
      </c>
      <c r="AL14" s="1540">
        <v>3.5190999999999972E-2</v>
      </c>
      <c r="AM14" s="1540">
        <v>3.4523000000000081E-2</v>
      </c>
      <c r="AN14" s="1540">
        <v>3.4675000000000011E-2</v>
      </c>
      <c r="AO14" s="1540">
        <v>3.3970999999999973E-2</v>
      </c>
      <c r="AP14" s="1540">
        <v>3.3633999999999942E-2</v>
      </c>
      <c r="AQ14" s="1540">
        <v>3.3611999999999975E-2</v>
      </c>
      <c r="AR14" s="1540">
        <v>3.4755000000000091E-2</v>
      </c>
      <c r="AS14" s="1540">
        <v>3.4721000000000002E-2</v>
      </c>
      <c r="AT14" s="1540">
        <v>3.5514999999999963E-2</v>
      </c>
      <c r="AU14" s="1540">
        <v>3.5956000000000099E-2</v>
      </c>
      <c r="AV14" s="1540">
        <v>3.6375999999999964E-2</v>
      </c>
      <c r="AW14" s="1540">
        <v>3.6267000000000049E-2</v>
      </c>
      <c r="AX14" s="1540">
        <v>3.5711000000000048E-2</v>
      </c>
      <c r="AY14" s="1540">
        <v>3.4955000000000069E-2</v>
      </c>
      <c r="AZ14" s="1540">
        <v>3.5560999999999954E-2</v>
      </c>
      <c r="BA14" s="1540">
        <v>3.6404000000000103E-2</v>
      </c>
      <c r="BB14" s="1540">
        <v>3.6920999999999982E-2</v>
      </c>
      <c r="BC14" s="1540">
        <v>3.68170000000001E-2</v>
      </c>
      <c r="BD14" s="1540">
        <v>3.6251999999999951E-2</v>
      </c>
      <c r="BE14" s="1540">
        <v>3.7198999999999982E-2</v>
      </c>
      <c r="BF14" s="1540">
        <v>3.9327000000000112E-2</v>
      </c>
      <c r="BG14" s="1540">
        <v>4.0974999999999984E-2</v>
      </c>
      <c r="BH14" s="1540">
        <v>4.1902347024308437E-2</v>
      </c>
      <c r="BI14" s="1540">
        <v>3.8271464495270004E-2</v>
      </c>
      <c r="BJ14" s="1540">
        <v>3.3364866483055908E-2</v>
      </c>
      <c r="BK14" s="1540">
        <v>3.042090767572744E-2</v>
      </c>
    </row>
    <row r="15" spans="1:178">
      <c r="A15" s="1504" t="s">
        <v>1003</v>
      </c>
      <c r="B15" s="1542" t="s">
        <v>2260</v>
      </c>
      <c r="G15" s="1541">
        <v>4.0189999999999948E-2</v>
      </c>
      <c r="H15" s="1543">
        <v>3.9814000000000016E-2</v>
      </c>
      <c r="I15" s="1543">
        <v>3.8834999999999953E-2</v>
      </c>
      <c r="J15" s="1543">
        <v>3.8224000000000036E-2</v>
      </c>
      <c r="K15" s="1543">
        <v>3.7452000000000041E-2</v>
      </c>
      <c r="L15" s="1543">
        <v>3.7511000000000072E-2</v>
      </c>
      <c r="M15" s="1543">
        <v>3.7085999999999952E-2</v>
      </c>
      <c r="N15" s="1543">
        <v>3.7218999999999891E-2</v>
      </c>
      <c r="O15" s="1543">
        <v>3.6961000000000022E-2</v>
      </c>
      <c r="P15" s="1543">
        <v>3.782299999999994E-2</v>
      </c>
      <c r="Q15" s="1543">
        <v>3.7673000000000068E-2</v>
      </c>
      <c r="R15" s="1543">
        <v>3.8308999999999926E-2</v>
      </c>
      <c r="S15" s="1543">
        <v>3.8669000000000064E-2</v>
      </c>
      <c r="T15" s="1543">
        <v>3.9109999999999978E-2</v>
      </c>
      <c r="U15" s="1543">
        <v>3.8880000000000026E-2</v>
      </c>
      <c r="V15" s="1543">
        <v>3.8245000000000084E-2</v>
      </c>
      <c r="W15" s="1543">
        <v>3.7223999999999924E-2</v>
      </c>
      <c r="X15" s="1543">
        <v>3.7180999999999909E-2</v>
      </c>
      <c r="Y15" s="1543">
        <v>3.797600000000001E-2</v>
      </c>
      <c r="Z15" s="1543">
        <v>3.8621000000000016E-2</v>
      </c>
      <c r="AA15" s="1543">
        <v>3.8491000000000053E-2</v>
      </c>
      <c r="AB15" s="1543">
        <v>3.79830000000001E-2</v>
      </c>
      <c r="AC15" s="1543">
        <v>3.8820000000000077E-2</v>
      </c>
      <c r="AD15" s="1543">
        <v>4.0205000000000046E-2</v>
      </c>
      <c r="AE15" s="1543">
        <v>4.1149000000000102E-2</v>
      </c>
      <c r="AF15" s="1543">
        <v>4.2080284995808979E-2</v>
      </c>
      <c r="AG15" s="1543">
        <v>3.8433983954017571E-2</v>
      </c>
      <c r="AH15" s="1543">
        <v>3.3506550113758915E-2</v>
      </c>
      <c r="AI15" s="1543">
        <v>3.0550089809603713E-2</v>
      </c>
      <c r="AJ15" s="1539">
        <v>3.9814000000000016E-2</v>
      </c>
      <c r="AK15" s="1540">
        <v>3.8834999999999953E-2</v>
      </c>
      <c r="AL15" s="1540">
        <v>3.8224000000000036E-2</v>
      </c>
      <c r="AM15" s="1540">
        <v>3.7452000000000041E-2</v>
      </c>
      <c r="AN15" s="1540">
        <v>3.7511000000000072E-2</v>
      </c>
      <c r="AO15" s="1540">
        <v>3.7085999999999952E-2</v>
      </c>
      <c r="AP15" s="1540">
        <v>3.7218999999999891E-2</v>
      </c>
      <c r="AQ15" s="1540">
        <v>3.6961000000000022E-2</v>
      </c>
      <c r="AR15" s="1540">
        <v>3.782299999999994E-2</v>
      </c>
      <c r="AS15" s="1540">
        <v>3.7673000000000068E-2</v>
      </c>
      <c r="AT15" s="1540">
        <v>3.8308999999999926E-2</v>
      </c>
      <c r="AU15" s="1540">
        <v>3.8669000000000064E-2</v>
      </c>
      <c r="AV15" s="1540">
        <v>3.9109999999999978E-2</v>
      </c>
      <c r="AW15" s="1540">
        <v>3.8880000000000026E-2</v>
      </c>
      <c r="AX15" s="1540">
        <v>3.8245000000000084E-2</v>
      </c>
      <c r="AY15" s="1540">
        <v>3.7223999999999924E-2</v>
      </c>
      <c r="AZ15" s="1540">
        <v>3.7180999999999909E-2</v>
      </c>
      <c r="BA15" s="1540">
        <v>3.797600000000001E-2</v>
      </c>
      <c r="BB15" s="1540">
        <v>3.8621000000000016E-2</v>
      </c>
      <c r="BC15" s="1540">
        <v>3.8491000000000053E-2</v>
      </c>
      <c r="BD15" s="1540">
        <v>3.79830000000001E-2</v>
      </c>
      <c r="BE15" s="1540">
        <v>3.8820000000000077E-2</v>
      </c>
      <c r="BF15" s="1540">
        <v>4.0205000000000046E-2</v>
      </c>
      <c r="BG15" s="1540">
        <v>4.1149000000000102E-2</v>
      </c>
      <c r="BH15" s="1540">
        <v>4.2080284995808979E-2</v>
      </c>
      <c r="BI15" s="1540">
        <v>3.8433983954017571E-2</v>
      </c>
      <c r="BJ15" s="1540">
        <v>3.3506550113758915E-2</v>
      </c>
      <c r="BK15" s="1540">
        <v>3.0550089809603713E-2</v>
      </c>
    </row>
    <row r="16" spans="1:178">
      <c r="A16" s="1504" t="s">
        <v>1001</v>
      </c>
      <c r="B16" s="1542" t="s">
        <v>2261</v>
      </c>
      <c r="G16" s="1541">
        <v>4.1145662670662553E-2</v>
      </c>
      <c r="H16" s="1543">
        <v>4.0065457608892352E-2</v>
      </c>
      <c r="I16" s="1543">
        <v>4.0616385627562757E-2</v>
      </c>
      <c r="J16" s="1543">
        <v>3.8720380086031625E-2</v>
      </c>
      <c r="K16" s="1543">
        <v>4.0117618162910595E-2</v>
      </c>
      <c r="L16" s="1543">
        <v>3.7996216084575263E-2</v>
      </c>
      <c r="M16" s="1543">
        <v>3.6725568767535188E-2</v>
      </c>
      <c r="N16" s="1543">
        <v>3.549688757589009E-2</v>
      </c>
      <c r="O16" s="1543">
        <v>3.8969039247501502E-2</v>
      </c>
      <c r="P16" s="1543">
        <v>3.854059978874913E-2</v>
      </c>
      <c r="Q16" s="1543">
        <v>3.8545681791064101E-2</v>
      </c>
      <c r="R16" s="1543">
        <v>3.9011891789269004E-2</v>
      </c>
      <c r="S16" s="1543">
        <v>3.8970771887373301E-2</v>
      </c>
      <c r="T16" s="1543">
        <v>3.8908599490274476E-2</v>
      </c>
      <c r="U16" s="1543">
        <v>3.9743290699222111E-2</v>
      </c>
      <c r="V16" s="1543">
        <v>3.972888191892876E-2</v>
      </c>
      <c r="W16" s="1543">
        <v>4.0750891609579121E-2</v>
      </c>
      <c r="X16" s="1543">
        <v>4.2176832758930916E-2</v>
      </c>
      <c r="Y16" s="1543">
        <v>4.085220422598046E-2</v>
      </c>
      <c r="Z16" s="1543">
        <v>4.0606456202243901E-2</v>
      </c>
      <c r="AA16" s="1543">
        <v>4.114777110270218E-2</v>
      </c>
      <c r="AB16" s="1543">
        <v>4.093875061074792E-2</v>
      </c>
      <c r="AC16" s="1543">
        <v>4.1684597463502948E-2</v>
      </c>
      <c r="AD16" s="1543">
        <v>4.4215698754368926E-2</v>
      </c>
      <c r="AE16" s="1543">
        <v>4.5701043312505574E-2</v>
      </c>
      <c r="AF16" s="1543">
        <v>4.6735350244138121E-2</v>
      </c>
      <c r="AG16" s="1543">
        <v>4.2685682892772525E-2</v>
      </c>
      <c r="AH16" s="1543">
        <v>3.721315944498118E-2</v>
      </c>
      <c r="AI16" s="1543">
        <v>3.3929645376306369E-2</v>
      </c>
      <c r="AJ16" s="1539">
        <v>4.0065457608892352E-2</v>
      </c>
      <c r="AK16" s="1540">
        <v>4.0616385627562757E-2</v>
      </c>
      <c r="AL16" s="1540">
        <v>3.8720380086031625E-2</v>
      </c>
      <c r="AM16" s="1540">
        <v>4.0117618162910595E-2</v>
      </c>
      <c r="AN16" s="1540">
        <v>3.7996216084575263E-2</v>
      </c>
      <c r="AO16" s="1540">
        <v>3.6725568767535188E-2</v>
      </c>
      <c r="AP16" s="1540">
        <v>3.549688757589009E-2</v>
      </c>
      <c r="AQ16" s="1540">
        <v>3.8969039247501502E-2</v>
      </c>
      <c r="AR16" s="1540">
        <v>3.854059978874913E-2</v>
      </c>
      <c r="AS16" s="1540">
        <v>3.8545681791064101E-2</v>
      </c>
      <c r="AT16" s="1540">
        <v>3.9011891789269004E-2</v>
      </c>
      <c r="AU16" s="1540">
        <v>3.8970771887373301E-2</v>
      </c>
      <c r="AV16" s="1540">
        <v>3.8908599490274476E-2</v>
      </c>
      <c r="AW16" s="1540">
        <v>3.9743290699222111E-2</v>
      </c>
      <c r="AX16" s="1540">
        <v>3.972888191892876E-2</v>
      </c>
      <c r="AY16" s="1540">
        <v>4.0750891609579121E-2</v>
      </c>
      <c r="AZ16" s="1540">
        <v>4.2176832758930916E-2</v>
      </c>
      <c r="BA16" s="1540">
        <v>4.085220422598046E-2</v>
      </c>
      <c r="BB16" s="1540">
        <v>4.0606456202243901E-2</v>
      </c>
      <c r="BC16" s="1540">
        <v>4.114777110270218E-2</v>
      </c>
      <c r="BD16" s="1540">
        <v>4.093875061074792E-2</v>
      </c>
      <c r="BE16" s="1540">
        <v>4.1684597463502948E-2</v>
      </c>
      <c r="BF16" s="1540">
        <v>4.4215698754368926E-2</v>
      </c>
      <c r="BG16" s="1540">
        <v>4.5701043312505574E-2</v>
      </c>
      <c r="BH16" s="1540">
        <v>4.6735350244138121E-2</v>
      </c>
      <c r="BI16" s="1540">
        <v>4.2685682892772525E-2</v>
      </c>
      <c r="BJ16" s="1540">
        <v>3.721315944498118E-2</v>
      </c>
      <c r="BK16" s="1540">
        <v>3.3929645376306369E-2</v>
      </c>
    </row>
    <row r="17" spans="1:63">
      <c r="A17" s="1504" t="s">
        <v>839</v>
      </c>
      <c r="B17" s="1542" t="s">
        <v>40</v>
      </c>
      <c r="G17" s="1541">
        <v>3.9264290302891913E-2</v>
      </c>
      <c r="H17" s="1543">
        <v>3.9929506396418013E-2</v>
      </c>
      <c r="I17" s="1543">
        <v>3.953365760008265E-2</v>
      </c>
      <c r="J17" s="1543">
        <v>3.9203783320716612E-2</v>
      </c>
      <c r="K17" s="1543">
        <v>3.8639679116231784E-2</v>
      </c>
      <c r="L17" s="1543">
        <v>3.8730072196341503E-2</v>
      </c>
      <c r="M17" s="1543">
        <v>3.8430648482962626E-2</v>
      </c>
      <c r="N17" s="1543">
        <v>3.8527601398592237E-2</v>
      </c>
      <c r="O17" s="1543">
        <v>3.8189739561655944E-2</v>
      </c>
      <c r="P17" s="1543">
        <v>3.8761520187245546E-2</v>
      </c>
      <c r="Q17" s="1543">
        <v>3.8570320982398432E-2</v>
      </c>
      <c r="R17" s="1543">
        <v>3.9044446999334292E-2</v>
      </c>
      <c r="S17" s="1543">
        <v>3.9309259076235614E-2</v>
      </c>
      <c r="T17" s="1543">
        <v>3.9650660258868875E-2</v>
      </c>
      <c r="U17" s="1543">
        <v>3.9391172551544562E-2</v>
      </c>
      <c r="V17" s="1543">
        <v>3.8749720359373629E-2</v>
      </c>
      <c r="W17" s="1543">
        <v>3.7731394176159894E-2</v>
      </c>
      <c r="X17" s="1543">
        <v>3.7599756496961678E-2</v>
      </c>
      <c r="Y17" s="1543">
        <v>3.8232698379883301E-2</v>
      </c>
      <c r="Z17" s="1543">
        <v>3.8792080222059377E-2</v>
      </c>
      <c r="AA17" s="1543">
        <v>3.8679561250686723E-2</v>
      </c>
      <c r="AB17" s="1543">
        <v>3.8201847049765369E-2</v>
      </c>
      <c r="AC17" s="1543">
        <v>3.8872760138529694E-2</v>
      </c>
      <c r="AD17" s="1543">
        <v>4.0054325261738466E-2</v>
      </c>
      <c r="AE17" s="1543">
        <v>4.0833630539170107E-2</v>
      </c>
      <c r="AF17" s="1543">
        <v>4.1757778086997079E-2</v>
      </c>
      <c r="AG17" s="1543">
        <v>3.8139422608732702E-2</v>
      </c>
      <c r="AH17" s="1543">
        <v>3.3249753043510563E-2</v>
      </c>
      <c r="AI17" s="1543">
        <v>3.0315951304377274E-2</v>
      </c>
      <c r="AJ17" s="1539">
        <v>3.9929506396418013E-2</v>
      </c>
      <c r="AK17" s="1540">
        <v>3.953365760008265E-2</v>
      </c>
      <c r="AL17" s="1540">
        <v>3.9203783320716612E-2</v>
      </c>
      <c r="AM17" s="1540">
        <v>3.8639679116231784E-2</v>
      </c>
      <c r="AN17" s="1540">
        <v>3.8730072196341503E-2</v>
      </c>
      <c r="AO17" s="1540">
        <v>3.8430648482962626E-2</v>
      </c>
      <c r="AP17" s="1540">
        <v>3.8527601398592237E-2</v>
      </c>
      <c r="AQ17" s="1540">
        <v>3.8189739561655944E-2</v>
      </c>
      <c r="AR17" s="1540">
        <v>3.8761520187245546E-2</v>
      </c>
      <c r="AS17" s="1540">
        <v>3.8570320982398432E-2</v>
      </c>
      <c r="AT17" s="1540">
        <v>3.9044446999334292E-2</v>
      </c>
      <c r="AU17" s="1540">
        <v>3.9309259076235614E-2</v>
      </c>
      <c r="AV17" s="1540">
        <v>3.9650660258868875E-2</v>
      </c>
      <c r="AW17" s="1540">
        <v>3.9391172551544562E-2</v>
      </c>
      <c r="AX17" s="1540">
        <v>3.8749720359373629E-2</v>
      </c>
      <c r="AY17" s="1540">
        <v>3.7731394176159894E-2</v>
      </c>
      <c r="AZ17" s="1540">
        <v>3.7599756496961678E-2</v>
      </c>
      <c r="BA17" s="1540">
        <v>3.8232698379883301E-2</v>
      </c>
      <c r="BB17" s="1540">
        <v>3.8792080222059377E-2</v>
      </c>
      <c r="BC17" s="1540">
        <v>3.8679561250686723E-2</v>
      </c>
      <c r="BD17" s="1540">
        <v>3.8201847049765369E-2</v>
      </c>
      <c r="BE17" s="1540">
        <v>3.8872760138529694E-2</v>
      </c>
      <c r="BF17" s="1540">
        <v>4.0054325261738466E-2</v>
      </c>
      <c r="BG17" s="1540">
        <v>4.0833630539170107E-2</v>
      </c>
      <c r="BH17" s="1540">
        <v>4.1757778086997079E-2</v>
      </c>
      <c r="BI17" s="1540">
        <v>3.8139422608732702E-2</v>
      </c>
      <c r="BJ17" s="1540">
        <v>3.3249753043510563E-2</v>
      </c>
      <c r="BK17" s="1540">
        <v>3.0315951304377274E-2</v>
      </c>
    </row>
    <row r="18" spans="1:63">
      <c r="A18" s="1504" t="s">
        <v>1882</v>
      </c>
      <c r="B18" s="1542" t="s">
        <v>116</v>
      </c>
      <c r="G18" s="1541">
        <v>4.2197999999999958E-2</v>
      </c>
      <c r="H18" s="1543">
        <v>4.2831000000000063E-2</v>
      </c>
      <c r="I18" s="1543">
        <v>4.2397000000000018E-2</v>
      </c>
      <c r="J18" s="1543">
        <v>4.1544000000000025E-2</v>
      </c>
      <c r="K18" s="1543">
        <v>4.1074999999999973E-2</v>
      </c>
      <c r="L18" s="1543">
        <v>4.0642000000000067E-2</v>
      </c>
      <c r="M18" s="1543">
        <v>3.979099999999991E-2</v>
      </c>
      <c r="N18" s="1543">
        <v>3.940699999999997E-2</v>
      </c>
      <c r="O18" s="1543">
        <v>3.9703999999999962E-2</v>
      </c>
      <c r="P18" s="1543">
        <v>4.0408999999999917E-2</v>
      </c>
      <c r="Q18" s="1543">
        <v>4.0224999999999955E-2</v>
      </c>
      <c r="R18" s="1543">
        <v>4.0871000000000102E-2</v>
      </c>
      <c r="S18" s="1543">
        <v>4.1155000000000053E-2</v>
      </c>
      <c r="T18" s="1543">
        <v>4.1487000000000052E-2</v>
      </c>
      <c r="U18" s="1543">
        <v>4.138099999999989E-2</v>
      </c>
      <c r="V18" s="1543">
        <v>4.0712000000000081E-2</v>
      </c>
      <c r="W18" s="1543">
        <v>3.9895999999999932E-2</v>
      </c>
      <c r="X18" s="1543">
        <v>4.0221000000000062E-2</v>
      </c>
      <c r="Y18" s="1543">
        <v>4.0628000000000108E-2</v>
      </c>
      <c r="Z18" s="1543">
        <v>4.1066000000000047E-2</v>
      </c>
      <c r="AA18" s="1543">
        <v>4.0996000000000032E-2</v>
      </c>
      <c r="AB18" s="1543">
        <v>4.0392999999999901E-2</v>
      </c>
      <c r="AC18" s="1543">
        <v>4.1268000000000082E-2</v>
      </c>
      <c r="AD18" s="1543">
        <v>4.321100000000011E-2</v>
      </c>
      <c r="AE18" s="1543">
        <v>4.4526000000000066E-2</v>
      </c>
      <c r="AF18" s="1543">
        <v>4.5261999999999997E-2</v>
      </c>
      <c r="AG18" s="1543">
        <v>4.095E-2</v>
      </c>
      <c r="AH18" s="1543">
        <v>3.5360000000000003E-2</v>
      </c>
      <c r="AI18" s="1543">
        <v>3.193E-2</v>
      </c>
      <c r="AJ18" s="1539">
        <v>4.2831000000000063E-2</v>
      </c>
      <c r="AK18" s="1540">
        <v>4.2397000000000018E-2</v>
      </c>
      <c r="AL18" s="1540">
        <v>4.1544000000000025E-2</v>
      </c>
      <c r="AM18" s="1540">
        <v>4.1074999999999973E-2</v>
      </c>
      <c r="AN18" s="1540">
        <v>4.0642000000000067E-2</v>
      </c>
      <c r="AO18" s="1540">
        <v>3.979099999999991E-2</v>
      </c>
      <c r="AP18" s="1540">
        <v>3.940699999999997E-2</v>
      </c>
      <c r="AQ18" s="1540">
        <v>3.9703999999999962E-2</v>
      </c>
      <c r="AR18" s="1540">
        <v>4.0408999999999917E-2</v>
      </c>
      <c r="AS18" s="1540">
        <v>4.0224999999999955E-2</v>
      </c>
      <c r="AT18" s="1540">
        <v>4.0871000000000102E-2</v>
      </c>
      <c r="AU18" s="1540">
        <v>4.1155000000000053E-2</v>
      </c>
      <c r="AV18" s="1540">
        <v>4.1487000000000052E-2</v>
      </c>
      <c r="AW18" s="1540">
        <v>4.138099999999989E-2</v>
      </c>
      <c r="AX18" s="1540">
        <v>4.0712000000000081E-2</v>
      </c>
      <c r="AY18" s="1540">
        <v>3.9895999999999932E-2</v>
      </c>
      <c r="AZ18" s="1540">
        <v>4.0221000000000062E-2</v>
      </c>
      <c r="BA18" s="1540">
        <v>4.0628000000000108E-2</v>
      </c>
      <c r="BB18" s="1540">
        <v>4.1066000000000047E-2</v>
      </c>
      <c r="BC18" s="1540">
        <v>4.0996000000000032E-2</v>
      </c>
      <c r="BD18" s="1540">
        <v>4.0392999999999901E-2</v>
      </c>
      <c r="BE18" s="1540">
        <v>4.1268000000000082E-2</v>
      </c>
      <c r="BF18" s="1540">
        <v>4.321100000000011E-2</v>
      </c>
      <c r="BG18" s="1540">
        <v>4.4526000000000066E-2</v>
      </c>
      <c r="BH18" s="1540">
        <v>4.5261999999999997E-2</v>
      </c>
      <c r="BI18" s="1540">
        <v>4.095E-2</v>
      </c>
      <c r="BJ18" s="1540">
        <v>3.5360000000000003E-2</v>
      </c>
      <c r="BK18" s="1540">
        <v>3.193E-2</v>
      </c>
    </row>
    <row r="19" spans="1:63">
      <c r="H19" s="1505"/>
      <c r="I19" s="1505"/>
      <c r="J19" s="1505"/>
      <c r="K19" s="1505"/>
      <c r="L19" s="1505"/>
      <c r="M19" s="1505"/>
      <c r="N19" s="1505"/>
      <c r="O19" s="1505"/>
      <c r="P19" s="1505"/>
      <c r="Q19" s="1505"/>
      <c r="R19" s="1505"/>
      <c r="S19" s="1505"/>
      <c r="T19" s="1505"/>
      <c r="U19" s="1505"/>
      <c r="V19" s="1505"/>
      <c r="W19" s="1505"/>
      <c r="X19" s="1505"/>
      <c r="Y19" s="1505"/>
      <c r="Z19" s="1505"/>
      <c r="AA19" s="1505"/>
      <c r="AB19" s="1505"/>
      <c r="AC19" s="1505"/>
      <c r="AD19" s="1505"/>
      <c r="AE19" s="1505"/>
      <c r="AF19" s="1505"/>
      <c r="AG19" s="1505"/>
      <c r="AH19" s="1505"/>
      <c r="AI19" s="1505"/>
      <c r="AJ19" s="1503"/>
      <c r="AK19" s="1368"/>
      <c r="AL19" s="1368"/>
      <c r="AM19" s="1534"/>
      <c r="AN19" s="1534"/>
      <c r="AO19" s="1368"/>
      <c r="AP19" s="1368"/>
      <c r="AQ19" s="1368"/>
      <c r="AR19" s="1368"/>
      <c r="AS19" s="1368"/>
      <c r="AT19" s="1368"/>
      <c r="AU19" s="1368"/>
      <c r="AV19" s="1368"/>
      <c r="AW19" s="1368"/>
      <c r="AX19" s="1368"/>
      <c r="AY19" s="1368"/>
      <c r="AZ19" s="1368"/>
      <c r="BA19" s="1368"/>
      <c r="BB19" s="1368"/>
      <c r="BC19" s="1368"/>
      <c r="BD19" s="1368"/>
      <c r="BE19" s="1368"/>
      <c r="BF19" s="1368"/>
      <c r="BG19" s="1368"/>
      <c r="BH19" s="1368"/>
      <c r="BI19" s="1368"/>
      <c r="BJ19" s="1368"/>
      <c r="BK19" s="1368"/>
    </row>
    <row r="20" spans="1:63" ht="14" thickBot="1">
      <c r="A20" s="1511" t="s">
        <v>532</v>
      </c>
      <c r="B20" s="1511"/>
      <c r="C20" s="1511"/>
      <c r="D20" s="1511"/>
      <c r="E20" s="1511"/>
      <c r="F20" s="1511"/>
      <c r="G20" s="1517"/>
      <c r="H20" s="1511"/>
      <c r="I20" s="1511"/>
      <c r="J20" s="1511"/>
      <c r="K20" s="1511"/>
      <c r="L20" s="1511"/>
      <c r="M20" s="1511"/>
      <c r="N20" s="1511"/>
      <c r="O20" s="1511"/>
      <c r="P20" s="1511"/>
      <c r="Q20" s="1511"/>
      <c r="R20" s="1511"/>
      <c r="S20" s="1511"/>
      <c r="T20" s="1511"/>
      <c r="U20" s="1511"/>
      <c r="V20" s="1511"/>
      <c r="W20" s="1511"/>
      <c r="X20" s="1511"/>
      <c r="Y20" s="1511"/>
      <c r="Z20" s="1511"/>
      <c r="AA20" s="1511"/>
      <c r="AB20" s="1511"/>
      <c r="AC20" s="1511"/>
      <c r="AD20" s="1511"/>
      <c r="AE20" s="1511"/>
      <c r="AF20" s="1511"/>
      <c r="AG20" s="1511"/>
      <c r="AH20" s="1511"/>
      <c r="AI20" s="1511"/>
      <c r="AJ20" s="1535"/>
      <c r="AK20" s="1536"/>
      <c r="AL20" s="1536"/>
      <c r="AM20" s="1536"/>
      <c r="AN20" s="1536"/>
      <c r="AO20" s="1536"/>
      <c r="AP20" s="1536"/>
      <c r="AQ20" s="1536"/>
      <c r="AR20" s="1536"/>
      <c r="AS20" s="1536"/>
      <c r="AT20" s="1536"/>
      <c r="AU20" s="1536"/>
      <c r="AV20" s="1536"/>
      <c r="AW20" s="1536"/>
      <c r="AX20" s="1536"/>
      <c r="AY20" s="1536"/>
      <c r="AZ20" s="1536"/>
      <c r="BA20" s="1536"/>
      <c r="BB20" s="1536"/>
      <c r="BC20" s="1536"/>
      <c r="BD20" s="1536"/>
      <c r="BE20" s="1536"/>
      <c r="BF20" s="1536"/>
      <c r="BG20" s="1536"/>
      <c r="BH20" s="1536"/>
      <c r="BI20" s="1536"/>
      <c r="BJ20" s="1536"/>
      <c r="BK20" s="1536"/>
    </row>
    <row r="21" spans="1:63">
      <c r="A21" s="1510" t="s">
        <v>2139</v>
      </c>
      <c r="B21" s="1509"/>
      <c r="C21" s="1509"/>
      <c r="D21" s="1509"/>
      <c r="E21" s="1509"/>
      <c r="F21" s="1509"/>
      <c r="H21" s="1505"/>
      <c r="I21" s="1505"/>
      <c r="J21" s="1505"/>
      <c r="K21" s="1505"/>
      <c r="L21" s="1505"/>
      <c r="M21" s="1505"/>
      <c r="N21" s="1505"/>
      <c r="O21" s="1505"/>
      <c r="P21" s="1505"/>
      <c r="Q21" s="1505"/>
      <c r="R21" s="1505"/>
      <c r="S21" s="1505"/>
      <c r="T21" s="1505"/>
      <c r="U21" s="1505"/>
      <c r="V21" s="1505"/>
      <c r="W21" s="1505"/>
      <c r="X21" s="1505"/>
      <c r="Y21" s="1505"/>
      <c r="Z21" s="1505"/>
      <c r="AA21" s="1505"/>
      <c r="AB21" s="1505"/>
      <c r="AC21" s="1505"/>
      <c r="AD21" s="1505"/>
      <c r="AE21" s="1505"/>
      <c r="AF21" s="1505"/>
      <c r="AG21" s="1505"/>
      <c r="AH21" s="1505"/>
      <c r="AI21" s="1505"/>
      <c r="AJ21" s="1503"/>
      <c r="AK21" s="1251"/>
      <c r="AL21" s="1251"/>
      <c r="AM21" s="1251"/>
      <c r="AN21" s="1251"/>
      <c r="AO21" s="1251"/>
      <c r="AP21" s="1251"/>
      <c r="AQ21" s="1251"/>
      <c r="AR21" s="1251"/>
      <c r="AS21" s="1251"/>
      <c r="AT21" s="1251"/>
      <c r="AU21" s="1251"/>
      <c r="AV21" s="1251"/>
      <c r="AW21" s="1251"/>
      <c r="AX21" s="1251"/>
      <c r="AY21" s="1251"/>
      <c r="AZ21" s="1251"/>
      <c r="BA21" s="1251"/>
      <c r="BB21" s="1251"/>
      <c r="BC21" s="1251"/>
      <c r="BD21" s="1251"/>
      <c r="BE21" s="1251"/>
      <c r="BF21" s="1251"/>
      <c r="BG21" s="1251"/>
      <c r="BH21" s="1251"/>
      <c r="BI21" s="1251"/>
      <c r="BJ21" s="1251"/>
      <c r="BK21" s="1251"/>
    </row>
    <row r="22" spans="1:63">
      <c r="A22" s="1504" t="s">
        <v>2006</v>
      </c>
      <c r="B22" s="1509"/>
      <c r="C22" s="1509"/>
      <c r="D22" s="1509"/>
      <c r="E22" s="1509"/>
      <c r="F22" s="1509"/>
      <c r="G22" s="1520">
        <v>0.50003199863472492</v>
      </c>
      <c r="H22" s="1544">
        <v>0.48494973561340815</v>
      </c>
      <c r="I22" s="1544">
        <v>0.46986747259209138</v>
      </c>
      <c r="J22" s="1544">
        <v>0.45478520957077462</v>
      </c>
      <c r="K22" s="1544">
        <v>0.43970294654945785</v>
      </c>
      <c r="L22" s="1544">
        <v>0.42462068352814109</v>
      </c>
      <c r="M22" s="1544">
        <v>0.40953842050682432</v>
      </c>
      <c r="N22" s="1544">
        <v>0.39445615748550755</v>
      </c>
      <c r="O22" s="1544">
        <v>0.37937389446419079</v>
      </c>
      <c r="P22" s="1544">
        <v>0.36429163144287402</v>
      </c>
      <c r="Q22" s="1544">
        <v>0.34920936842155725</v>
      </c>
      <c r="R22" s="1544">
        <v>0.33412710540024049</v>
      </c>
      <c r="S22" s="1544">
        <v>0.31904484237892372</v>
      </c>
      <c r="T22" s="1544">
        <v>0.30396257935760695</v>
      </c>
      <c r="U22" s="1544">
        <v>0.28888031633629019</v>
      </c>
      <c r="V22" s="1544">
        <v>0.27379805331497342</v>
      </c>
      <c r="W22" s="1544">
        <v>0.25871579029365666</v>
      </c>
      <c r="X22" s="1544">
        <v>0.24363352727233986</v>
      </c>
      <c r="Y22" s="1544">
        <v>0.22855126425102307</v>
      </c>
      <c r="Z22" s="1544">
        <v>0.21346900122970627</v>
      </c>
      <c r="AA22" s="1544">
        <v>0.19838673820838948</v>
      </c>
      <c r="AB22" s="1544">
        <v>0.18330447518707269</v>
      </c>
      <c r="AC22" s="1544">
        <v>0.16822221216575589</v>
      </c>
      <c r="AD22" s="1544">
        <v>0.1531399491444391</v>
      </c>
      <c r="AE22" s="1544">
        <v>0.13805768612312191</v>
      </c>
      <c r="AF22" s="1544">
        <v>0.1068816414553474</v>
      </c>
      <c r="AG22" s="1544">
        <v>7.5705596787572868E-2</v>
      </c>
      <c r="AH22" s="1544">
        <v>3.7852798393786434E-2</v>
      </c>
      <c r="AI22" s="1544">
        <v>0</v>
      </c>
      <c r="AJ22" s="1527">
        <v>0.48494973561340815</v>
      </c>
      <c r="AK22" s="1528">
        <v>0.46986747259209138</v>
      </c>
      <c r="AL22" s="1528">
        <v>0.45478520957077462</v>
      </c>
      <c r="AM22" s="1528">
        <v>0.43970294654945785</v>
      </c>
      <c r="AN22" s="1528">
        <v>0.42462068352814109</v>
      </c>
      <c r="AO22" s="1528">
        <v>0.40953842050682432</v>
      </c>
      <c r="AP22" s="1528">
        <v>0.39445615748550755</v>
      </c>
      <c r="AQ22" s="1528">
        <v>0.37937389446419079</v>
      </c>
      <c r="AR22" s="1528">
        <v>0.36429163144287402</v>
      </c>
      <c r="AS22" s="1528">
        <v>0.34920936842155725</v>
      </c>
      <c r="AT22" s="1528">
        <v>0.33412710540024049</v>
      </c>
      <c r="AU22" s="1528">
        <v>0.31904484237892372</v>
      </c>
      <c r="AV22" s="1528">
        <v>0.30396257935760695</v>
      </c>
      <c r="AW22" s="1528">
        <v>0.28888031633629019</v>
      </c>
      <c r="AX22" s="1528">
        <v>0.27379805331497342</v>
      </c>
      <c r="AY22" s="1528">
        <v>0.25871579029365666</v>
      </c>
      <c r="AZ22" s="1528">
        <v>0.24363352727233986</v>
      </c>
      <c r="BA22" s="1528">
        <v>0.22855126425102307</v>
      </c>
      <c r="BB22" s="1528">
        <v>0.21346900122970627</v>
      </c>
      <c r="BC22" s="1528">
        <v>0.19838673820838948</v>
      </c>
      <c r="BD22" s="1528">
        <v>0.18330447518707269</v>
      </c>
      <c r="BE22" s="1528">
        <v>0.16822221216575589</v>
      </c>
      <c r="BF22" s="1528">
        <v>0.1531399491444391</v>
      </c>
      <c r="BG22" s="1528">
        <v>0.13805768612312191</v>
      </c>
      <c r="BH22" s="1529">
        <v>0.1068816414553474</v>
      </c>
      <c r="BI22" s="1528">
        <v>7.5705596787572868E-2</v>
      </c>
      <c r="BJ22" s="1529">
        <v>3.7852798393786434E-2</v>
      </c>
      <c r="BK22" s="1530">
        <v>0</v>
      </c>
    </row>
    <row r="23" spans="1:63">
      <c r="A23" s="1504" t="s">
        <v>2004</v>
      </c>
      <c r="B23" s="1509"/>
      <c r="C23" s="1509"/>
      <c r="D23" s="1509"/>
      <c r="E23" s="1509"/>
      <c r="F23" s="1509"/>
      <c r="G23" s="1520">
        <v>0.30001919918083492</v>
      </c>
      <c r="H23" s="1544">
        <v>0.31170317181127877</v>
      </c>
      <c r="I23" s="1544">
        <v>0.32338714444172262</v>
      </c>
      <c r="J23" s="1544">
        <v>0.33507111707216647</v>
      </c>
      <c r="K23" s="1544">
        <v>0.34675508970261032</v>
      </c>
      <c r="L23" s="1544">
        <v>0.35843906233305417</v>
      </c>
      <c r="M23" s="1544">
        <v>0.37012303496349802</v>
      </c>
      <c r="N23" s="1544">
        <v>0.38180700759394187</v>
      </c>
      <c r="O23" s="1544">
        <v>0.39349098022438572</v>
      </c>
      <c r="P23" s="1544">
        <v>0.40517495285482957</v>
      </c>
      <c r="Q23" s="1544">
        <v>0.41685892548527342</v>
      </c>
      <c r="R23" s="1544">
        <v>0.42854289811571727</v>
      </c>
      <c r="S23" s="1544">
        <v>0.44022687074616113</v>
      </c>
      <c r="T23" s="1544">
        <v>0.45191084337660498</v>
      </c>
      <c r="U23" s="1544">
        <v>0.46359481600704883</v>
      </c>
      <c r="V23" s="1544">
        <v>0.47527878863749268</v>
      </c>
      <c r="W23" s="1544">
        <v>0.48696276126793653</v>
      </c>
      <c r="X23" s="1544">
        <v>0.49864673389838038</v>
      </c>
      <c r="Y23" s="1544">
        <v>0.51033070652882428</v>
      </c>
      <c r="Z23" s="1544">
        <v>0.52201467915926814</v>
      </c>
      <c r="AA23" s="1544">
        <v>0.53369865178971199</v>
      </c>
      <c r="AB23" s="1544">
        <v>0.54538262442015584</v>
      </c>
      <c r="AC23" s="1544">
        <v>0.55706659705059969</v>
      </c>
      <c r="AD23" s="1544">
        <v>0.56875056968104354</v>
      </c>
      <c r="AE23" s="1544">
        <v>0.58043454231148772</v>
      </c>
      <c r="AF23" s="1544">
        <v>0.53874328114469372</v>
      </c>
      <c r="AG23" s="1544">
        <v>0.49705201997789972</v>
      </c>
      <c r="AH23" s="1544">
        <v>0.43794318933705045</v>
      </c>
      <c r="AI23" s="1544">
        <v>0.37883435869620119</v>
      </c>
      <c r="AJ23" s="1527">
        <v>0.31170317181127877</v>
      </c>
      <c r="AK23" s="1528">
        <v>0.32338714444172262</v>
      </c>
      <c r="AL23" s="1528">
        <v>0.33507111707216647</v>
      </c>
      <c r="AM23" s="1528">
        <v>0.34675508970261032</v>
      </c>
      <c r="AN23" s="1528">
        <v>0.35843906233305417</v>
      </c>
      <c r="AO23" s="1528">
        <v>0.37012303496349802</v>
      </c>
      <c r="AP23" s="1528">
        <v>0.38180700759394187</v>
      </c>
      <c r="AQ23" s="1528">
        <v>0.39349098022438572</v>
      </c>
      <c r="AR23" s="1528">
        <v>0.40517495285482957</v>
      </c>
      <c r="AS23" s="1528">
        <v>0.41685892548527342</v>
      </c>
      <c r="AT23" s="1528">
        <v>0.42854289811571727</v>
      </c>
      <c r="AU23" s="1528">
        <v>0.44022687074616113</v>
      </c>
      <c r="AV23" s="1528">
        <v>0.45191084337660498</v>
      </c>
      <c r="AW23" s="1528">
        <v>0.46359481600704883</v>
      </c>
      <c r="AX23" s="1528">
        <v>0.47527878863749268</v>
      </c>
      <c r="AY23" s="1528">
        <v>0.48696276126793653</v>
      </c>
      <c r="AZ23" s="1528">
        <v>0.49864673389838038</v>
      </c>
      <c r="BA23" s="1528">
        <v>0.51033070652882428</v>
      </c>
      <c r="BB23" s="1528">
        <v>0.52201467915926814</v>
      </c>
      <c r="BC23" s="1528">
        <v>0.53369865178971199</v>
      </c>
      <c r="BD23" s="1528">
        <v>0.54538262442015584</v>
      </c>
      <c r="BE23" s="1528">
        <v>0.55706659705059969</v>
      </c>
      <c r="BF23" s="1528">
        <v>0.56875056968104354</v>
      </c>
      <c r="BG23" s="1528">
        <v>0.58043454231148772</v>
      </c>
      <c r="BH23" s="1529">
        <v>0.53874328114469372</v>
      </c>
      <c r="BI23" s="1528">
        <v>0.49705201997789972</v>
      </c>
      <c r="BJ23" s="1529">
        <v>0.43794318933705045</v>
      </c>
      <c r="BK23" s="1530">
        <v>0.37883435869620119</v>
      </c>
    </row>
    <row r="24" spans="1:63">
      <c r="A24" s="1504" t="s">
        <v>2005</v>
      </c>
      <c r="B24" s="1509"/>
      <c r="C24" s="1509"/>
      <c r="D24" s="1509"/>
      <c r="E24" s="1509"/>
      <c r="F24" s="1509"/>
      <c r="G24" s="1520">
        <v>0.19994880218444011</v>
      </c>
      <c r="H24" s="1544">
        <v>0.20334709257531303</v>
      </c>
      <c r="I24" s="1544">
        <v>0.20674538296618594</v>
      </c>
      <c r="J24" s="1544">
        <v>0.21014367335705886</v>
      </c>
      <c r="K24" s="1544">
        <v>0.21354196374793177</v>
      </c>
      <c r="L24" s="1544">
        <v>0.21694025413880469</v>
      </c>
      <c r="M24" s="1544">
        <v>0.2203385445296776</v>
      </c>
      <c r="N24" s="1544">
        <v>0.22373683492055052</v>
      </c>
      <c r="O24" s="1544">
        <v>0.22713512531142344</v>
      </c>
      <c r="P24" s="1544">
        <v>0.23053341570229635</v>
      </c>
      <c r="Q24" s="1544">
        <v>0.23393170609316927</v>
      </c>
      <c r="R24" s="1544">
        <v>0.23732999648404218</v>
      </c>
      <c r="S24" s="1544">
        <v>0.2407282868749151</v>
      </c>
      <c r="T24" s="1544">
        <v>0.24412657726578801</v>
      </c>
      <c r="U24" s="1544">
        <v>0.24752486765666093</v>
      </c>
      <c r="V24" s="1544">
        <v>0.25092315804753385</v>
      </c>
      <c r="W24" s="1544">
        <v>0.25432144843840676</v>
      </c>
      <c r="X24" s="1544">
        <v>0.25771973882927968</v>
      </c>
      <c r="Y24" s="1544">
        <v>0.26111802922015259</v>
      </c>
      <c r="Z24" s="1544">
        <v>0.26451631961102551</v>
      </c>
      <c r="AA24" s="1544">
        <v>0.26791461000189842</v>
      </c>
      <c r="AB24" s="1544">
        <v>0.27131290039277134</v>
      </c>
      <c r="AC24" s="1544">
        <v>0.27471119078364425</v>
      </c>
      <c r="AD24" s="1544">
        <v>0.27810948117451717</v>
      </c>
      <c r="AE24" s="1544">
        <v>0.28150777156539042</v>
      </c>
      <c r="AF24" s="1544">
        <v>0.35437507739995888</v>
      </c>
      <c r="AG24" s="1544">
        <v>0.4272423832345274</v>
      </c>
      <c r="AH24" s="1544">
        <v>0.52420401226916313</v>
      </c>
      <c r="AI24" s="1544">
        <v>0.62116564130379881</v>
      </c>
      <c r="AJ24" s="1527">
        <v>0.20334709257531303</v>
      </c>
      <c r="AK24" s="1528">
        <v>0.20674538296618594</v>
      </c>
      <c r="AL24" s="1528">
        <v>0.21014367335705886</v>
      </c>
      <c r="AM24" s="1528">
        <v>0.21354196374793177</v>
      </c>
      <c r="AN24" s="1528">
        <v>0.21694025413880469</v>
      </c>
      <c r="AO24" s="1528">
        <v>0.2203385445296776</v>
      </c>
      <c r="AP24" s="1528">
        <v>0.22373683492055052</v>
      </c>
      <c r="AQ24" s="1528">
        <v>0.22713512531142344</v>
      </c>
      <c r="AR24" s="1528">
        <v>0.23053341570229635</v>
      </c>
      <c r="AS24" s="1528">
        <v>0.23393170609316927</v>
      </c>
      <c r="AT24" s="1528">
        <v>0.23732999648404218</v>
      </c>
      <c r="AU24" s="1528">
        <v>0.2407282868749151</v>
      </c>
      <c r="AV24" s="1528">
        <v>0.24412657726578801</v>
      </c>
      <c r="AW24" s="1528">
        <v>0.24752486765666093</v>
      </c>
      <c r="AX24" s="1528">
        <v>0.25092315804753385</v>
      </c>
      <c r="AY24" s="1528">
        <v>0.25432144843840676</v>
      </c>
      <c r="AZ24" s="1528">
        <v>0.25771973882927968</v>
      </c>
      <c r="BA24" s="1528">
        <v>0.26111802922015259</v>
      </c>
      <c r="BB24" s="1528">
        <v>0.26451631961102551</v>
      </c>
      <c r="BC24" s="1528">
        <v>0.26791461000189842</v>
      </c>
      <c r="BD24" s="1528">
        <v>0.27131290039277134</v>
      </c>
      <c r="BE24" s="1528">
        <v>0.27471119078364425</v>
      </c>
      <c r="BF24" s="1528">
        <v>0.27810948117451717</v>
      </c>
      <c r="BG24" s="1528">
        <v>0.28150777156539042</v>
      </c>
      <c r="BH24" s="1529">
        <v>0.35437507739995888</v>
      </c>
      <c r="BI24" s="1528">
        <v>0.4272423832345274</v>
      </c>
      <c r="BJ24" s="1529">
        <v>0.52420401226916313</v>
      </c>
      <c r="BK24" s="1530">
        <v>0.62116564130379881</v>
      </c>
    </row>
    <row r="25" spans="1:63">
      <c r="A25" s="1510"/>
      <c r="B25" s="1509"/>
      <c r="C25" s="1509"/>
      <c r="D25" s="1509"/>
      <c r="E25" s="1509"/>
      <c r="F25" s="1509"/>
      <c r="G25" s="1521"/>
      <c r="H25" s="1505"/>
      <c r="I25" s="1505"/>
      <c r="J25" s="1505"/>
      <c r="K25" s="1505"/>
      <c r="L25" s="1505"/>
      <c r="M25" s="1505"/>
      <c r="N25" s="1505"/>
      <c r="O25" s="1505"/>
      <c r="P25" s="1505"/>
      <c r="Q25" s="1505"/>
      <c r="R25" s="1505"/>
      <c r="S25" s="1505"/>
      <c r="T25" s="1505"/>
      <c r="U25" s="1505"/>
      <c r="V25" s="1505"/>
      <c r="W25" s="1505"/>
      <c r="X25" s="1505"/>
      <c r="Y25" s="1505"/>
      <c r="Z25" s="1505"/>
      <c r="AA25" s="1505"/>
      <c r="AB25" s="1505"/>
      <c r="AC25" s="1505"/>
      <c r="AD25" s="1505"/>
      <c r="AE25" s="1505"/>
      <c r="AF25" s="1505"/>
      <c r="AG25" s="1505"/>
      <c r="AH25" s="1505"/>
      <c r="AI25" s="1505"/>
      <c r="AJ25" s="1503"/>
      <c r="AK25" s="1251"/>
      <c r="AL25" s="1251"/>
      <c r="AM25" s="1530"/>
      <c r="AN25" s="1251"/>
      <c r="AO25" s="1251"/>
      <c r="AP25" s="1251"/>
      <c r="AQ25" s="1251"/>
      <c r="AR25" s="1529"/>
      <c r="AS25" s="1251"/>
      <c r="AT25" s="1251"/>
      <c r="AU25" s="1251"/>
      <c r="AV25" s="1251"/>
      <c r="AW25" s="1528"/>
      <c r="AX25" s="1251"/>
      <c r="AY25" s="1251"/>
      <c r="AZ25" s="1251"/>
      <c r="BA25" s="1251"/>
      <c r="BB25" s="1529"/>
      <c r="BC25" s="1251"/>
      <c r="BD25" s="1251"/>
      <c r="BE25" s="1251"/>
      <c r="BF25" s="1251"/>
      <c r="BG25" s="1528"/>
      <c r="BH25" s="1529"/>
      <c r="BI25" s="1528"/>
      <c r="BJ25" s="1529"/>
      <c r="BK25" s="1530"/>
    </row>
    <row r="26" spans="1:63">
      <c r="A26" s="1510" t="s">
        <v>2140</v>
      </c>
      <c r="B26" s="1509"/>
      <c r="C26" s="1509"/>
      <c r="D26" s="1509"/>
      <c r="E26" s="1509"/>
      <c r="F26" s="1509"/>
      <c r="H26" s="1505"/>
      <c r="I26" s="1505"/>
      <c r="J26" s="1505"/>
      <c r="K26" s="1505"/>
      <c r="L26" s="1505"/>
      <c r="M26" s="1505"/>
      <c r="N26" s="1505"/>
      <c r="O26" s="1505"/>
      <c r="P26" s="1505"/>
      <c r="Q26" s="1505"/>
      <c r="R26" s="1505"/>
      <c r="S26" s="1505"/>
      <c r="T26" s="1505"/>
      <c r="U26" s="1505"/>
      <c r="V26" s="1505"/>
      <c r="W26" s="1505"/>
      <c r="X26" s="1505"/>
      <c r="Y26" s="1505"/>
      <c r="Z26" s="1505"/>
      <c r="AA26" s="1505"/>
      <c r="AB26" s="1505"/>
      <c r="AC26" s="1505"/>
      <c r="AD26" s="1505"/>
      <c r="AE26" s="1505"/>
      <c r="AF26" s="1505"/>
      <c r="AG26" s="1505"/>
      <c r="AH26" s="1505"/>
      <c r="AI26" s="1505"/>
      <c r="AJ26" s="1503"/>
      <c r="AK26" s="1251"/>
      <c r="AL26" s="1251"/>
      <c r="AM26" s="1251"/>
      <c r="AN26" s="1251"/>
      <c r="AO26" s="1251"/>
      <c r="AP26" s="1251"/>
      <c r="AQ26" s="1251"/>
      <c r="AR26" s="1251"/>
      <c r="AS26" s="1251"/>
      <c r="AT26" s="1251"/>
      <c r="AU26" s="1251"/>
      <c r="AV26" s="1251"/>
      <c r="AW26" s="1251"/>
      <c r="AX26" s="1251"/>
      <c r="AY26" s="1251"/>
      <c r="AZ26" s="1251"/>
      <c r="BA26" s="1251"/>
      <c r="BB26" s="1251"/>
      <c r="BC26" s="1251"/>
      <c r="BD26" s="1251"/>
      <c r="BE26" s="1251"/>
      <c r="BF26" s="1251"/>
      <c r="BG26" s="1251"/>
      <c r="BH26" s="1251"/>
      <c r="BI26" s="1251"/>
      <c r="BJ26" s="1251"/>
      <c r="BK26" s="1251"/>
    </row>
    <row r="27" spans="1:63">
      <c r="A27" s="1504" t="s">
        <v>2006</v>
      </c>
      <c r="B27" s="1509"/>
      <c r="C27" s="1509"/>
      <c r="D27" s="1509"/>
      <c r="E27" s="1509"/>
      <c r="F27" s="1509"/>
      <c r="G27" s="1522">
        <v>24.336080843057363</v>
      </c>
      <c r="H27" s="1546">
        <v>23.807726601220399</v>
      </c>
      <c r="I27" s="1546">
        <v>23.264945678334033</v>
      </c>
      <c r="J27" s="1546">
        <v>22.718893377713314</v>
      </c>
      <c r="K27" s="1546">
        <v>22.168612062811814</v>
      </c>
      <c r="L27" s="1546">
        <v>21.605673608518465</v>
      </c>
      <c r="M27" s="1546">
        <v>21.026831196707278</v>
      </c>
      <c r="N27" s="1546">
        <v>20.430808158854493</v>
      </c>
      <c r="O27" s="1546">
        <v>19.817296460293978</v>
      </c>
      <c r="P27" s="1546">
        <v>19.186492701668456</v>
      </c>
      <c r="Q27" s="1546">
        <v>18.538830093647949</v>
      </c>
      <c r="R27" s="1546">
        <v>17.874650407543182</v>
      </c>
      <c r="S27" s="1546">
        <v>17.194545945187773</v>
      </c>
      <c r="T27" s="1546">
        <v>16.499081512429001</v>
      </c>
      <c r="U27" s="1546">
        <v>15.788758022564686</v>
      </c>
      <c r="V27" s="1546">
        <v>15.064005289575036</v>
      </c>
      <c r="W27" s="1546">
        <v>14.325171440728438</v>
      </c>
      <c r="X27" s="1546">
        <v>13.572562141933762</v>
      </c>
      <c r="Y27" s="1546">
        <v>12.806465556568353</v>
      </c>
      <c r="Z27" s="1546">
        <v>12.027185720090623</v>
      </c>
      <c r="AA27" s="1546">
        <v>11.23510897905653</v>
      </c>
      <c r="AB27" s="1546">
        <v>10.430851158023053</v>
      </c>
      <c r="AC27" s="1546">
        <v>9.6153172020770814</v>
      </c>
      <c r="AD27" s="1546">
        <v>8.7895565085954832</v>
      </c>
      <c r="AE27" s="1546">
        <v>7.9546962540188426</v>
      </c>
      <c r="AF27" s="1546">
        <v>6.2624419488156411</v>
      </c>
      <c r="AG27" s="1546">
        <v>4.4938560628283204</v>
      </c>
      <c r="AH27" s="1546">
        <v>2.2668262633570158</v>
      </c>
      <c r="AI27" s="1546">
        <v>0</v>
      </c>
      <c r="AJ27" s="1531">
        <v>23.807726601220399</v>
      </c>
      <c r="AK27" s="1532">
        <v>23.264945678334033</v>
      </c>
      <c r="AL27" s="1532">
        <v>22.718893377713314</v>
      </c>
      <c r="AM27" s="1532">
        <v>22.168612062811814</v>
      </c>
      <c r="AN27" s="1532">
        <v>21.605673608518465</v>
      </c>
      <c r="AO27" s="1532">
        <v>21.026831196707278</v>
      </c>
      <c r="AP27" s="1532">
        <v>20.430808158854493</v>
      </c>
      <c r="AQ27" s="1532">
        <v>19.817296460293978</v>
      </c>
      <c r="AR27" s="1532">
        <v>19.186492701668456</v>
      </c>
      <c r="AS27" s="1532">
        <v>18.538830093647949</v>
      </c>
      <c r="AT27" s="1532">
        <v>17.874650407543182</v>
      </c>
      <c r="AU27" s="1532">
        <v>17.194545945187773</v>
      </c>
      <c r="AV27" s="1532">
        <v>16.499081512429001</v>
      </c>
      <c r="AW27" s="1532">
        <v>15.788758022564686</v>
      </c>
      <c r="AX27" s="1532">
        <v>15.064005289575036</v>
      </c>
      <c r="AY27" s="1532">
        <v>14.325171440728438</v>
      </c>
      <c r="AZ27" s="1532">
        <v>13.572562141933762</v>
      </c>
      <c r="BA27" s="1532">
        <v>12.806465556568353</v>
      </c>
      <c r="BB27" s="1532">
        <v>12.027185720090623</v>
      </c>
      <c r="BC27" s="1532">
        <v>11.23510897905653</v>
      </c>
      <c r="BD27" s="1532">
        <v>10.430851158023053</v>
      </c>
      <c r="BE27" s="1532">
        <v>9.6153172020770814</v>
      </c>
      <c r="BF27" s="1532">
        <v>8.7895565085954832</v>
      </c>
      <c r="BG27" s="1532">
        <v>7.9546962540188426</v>
      </c>
      <c r="BH27" s="1532">
        <v>6.2624419488156411</v>
      </c>
      <c r="BI27" s="1532">
        <v>4.4938560628283204</v>
      </c>
      <c r="BJ27" s="1532">
        <v>2.2668262633570158</v>
      </c>
      <c r="BK27" s="1532">
        <v>0</v>
      </c>
    </row>
    <row r="28" spans="1:63">
      <c r="A28" s="1504" t="s">
        <v>2004</v>
      </c>
      <c r="B28" s="1509"/>
      <c r="C28" s="1509"/>
      <c r="D28" s="1509"/>
      <c r="E28" s="1509"/>
      <c r="F28" s="1509"/>
      <c r="G28" s="1522">
        <v>14.601648505834415</v>
      </c>
      <c r="H28" s="1546">
        <v>15.302501167114722</v>
      </c>
      <c r="I28" s="1546">
        <v>16.012141268267211</v>
      </c>
      <c r="J28" s="1546">
        <v>16.738550028701365</v>
      </c>
      <c r="K28" s="1546">
        <v>17.482437006043661</v>
      </c>
      <c r="L28" s="1546">
        <v>18.238201033836663</v>
      </c>
      <c r="M28" s="1546">
        <v>19.003136674110348</v>
      </c>
      <c r="N28" s="1546">
        <v>19.775646996066286</v>
      </c>
      <c r="O28" s="1546">
        <v>20.554728523352242</v>
      </c>
      <c r="P28" s="1546">
        <v>21.339733347860616</v>
      </c>
      <c r="Q28" s="1546">
        <v>22.130210387892525</v>
      </c>
      <c r="R28" s="1546">
        <v>22.925570433078455</v>
      </c>
      <c r="S28" s="1546">
        <v>23.725508611610614</v>
      </c>
      <c r="T28" s="1546">
        <v>24.529709732621875</v>
      </c>
      <c r="U28" s="1546">
        <v>25.337781622787492</v>
      </c>
      <c r="V28" s="1546">
        <v>26.149207780603536</v>
      </c>
      <c r="W28" s="1546">
        <v>26.96327515415955</v>
      </c>
      <c r="X28" s="1546">
        <v>27.779073998886563</v>
      </c>
      <c r="Y28" s="1546">
        <v>28.595477854992115</v>
      </c>
      <c r="Z28" s="1546">
        <v>29.411143813363857</v>
      </c>
      <c r="AA28" s="1546">
        <v>30.224613645970962</v>
      </c>
      <c r="AB28" s="1546">
        <v>31.034730459760375</v>
      </c>
      <c r="AC28" s="1546">
        <v>31.841050978721714</v>
      </c>
      <c r="AD28" s="1546">
        <v>32.643769959675048</v>
      </c>
      <c r="AE28" s="1546">
        <v>33.443849517444917</v>
      </c>
      <c r="AF28" s="1546">
        <v>31.566211723017204</v>
      </c>
      <c r="AG28" s="1546">
        <v>29.504823002536696</v>
      </c>
      <c r="AH28" s="1546">
        <v>26.226360152292447</v>
      </c>
      <c r="AI28" s="1546">
        <v>22.803945965582951</v>
      </c>
      <c r="AJ28" s="1531">
        <v>15.302501167114722</v>
      </c>
      <c r="AK28" s="1532">
        <v>16.012141268267211</v>
      </c>
      <c r="AL28" s="1532">
        <v>16.738550028701365</v>
      </c>
      <c r="AM28" s="1532">
        <v>17.482437006043661</v>
      </c>
      <c r="AN28" s="1532">
        <v>18.238201033836663</v>
      </c>
      <c r="AO28" s="1532">
        <v>19.003136674110348</v>
      </c>
      <c r="AP28" s="1532">
        <v>19.775646996066286</v>
      </c>
      <c r="AQ28" s="1532">
        <v>20.554728523352242</v>
      </c>
      <c r="AR28" s="1532">
        <v>21.339733347860616</v>
      </c>
      <c r="AS28" s="1532">
        <v>22.130210387892525</v>
      </c>
      <c r="AT28" s="1532">
        <v>22.925570433078455</v>
      </c>
      <c r="AU28" s="1532">
        <v>23.725508611610614</v>
      </c>
      <c r="AV28" s="1532">
        <v>24.529709732621875</v>
      </c>
      <c r="AW28" s="1532">
        <v>25.337781622787492</v>
      </c>
      <c r="AX28" s="1532">
        <v>26.149207780603536</v>
      </c>
      <c r="AY28" s="1532">
        <v>26.96327515415955</v>
      </c>
      <c r="AZ28" s="1532">
        <v>27.779073998886563</v>
      </c>
      <c r="BA28" s="1532">
        <v>28.595477854992115</v>
      </c>
      <c r="BB28" s="1532">
        <v>29.411143813363857</v>
      </c>
      <c r="BC28" s="1532">
        <v>30.224613645970962</v>
      </c>
      <c r="BD28" s="1532">
        <v>31.034730459760375</v>
      </c>
      <c r="BE28" s="1532">
        <v>31.841050978721714</v>
      </c>
      <c r="BF28" s="1532">
        <v>32.643769959675048</v>
      </c>
      <c r="BG28" s="1532">
        <v>33.443849517444917</v>
      </c>
      <c r="BH28" s="1532">
        <v>31.566211723017204</v>
      </c>
      <c r="BI28" s="1532">
        <v>29.504823002536696</v>
      </c>
      <c r="BJ28" s="1532">
        <v>26.226360152292447</v>
      </c>
      <c r="BK28" s="1532">
        <v>22.803945965582951</v>
      </c>
    </row>
    <row r="29" spans="1:63">
      <c r="A29" s="1504" t="s">
        <v>2005</v>
      </c>
      <c r="B29" s="1509"/>
      <c r="C29" s="1509"/>
      <c r="D29" s="1509"/>
      <c r="E29" s="1509"/>
      <c r="F29" s="1509"/>
      <c r="G29" s="1522">
        <v>9.7313176511082187</v>
      </c>
      <c r="H29" s="1546">
        <v>9.9829562316648772</v>
      </c>
      <c r="I29" s="1546">
        <v>10.236759053398755</v>
      </c>
      <c r="J29" s="1546">
        <v>10.497772593585321</v>
      </c>
      <c r="K29" s="1546">
        <v>10.766197931144523</v>
      </c>
      <c r="L29" s="1546">
        <v>11.038417357644869</v>
      </c>
      <c r="M29" s="1546">
        <v>11.312788129182373</v>
      </c>
      <c r="N29" s="1546">
        <v>11.588421845079219</v>
      </c>
      <c r="O29" s="1546">
        <v>11.86482301635378</v>
      </c>
      <c r="P29" s="1546">
        <v>12.141721950470929</v>
      </c>
      <c r="Q29" s="1546">
        <v>12.418968518459526</v>
      </c>
      <c r="R29" s="1546">
        <v>12.696338159378355</v>
      </c>
      <c r="S29" s="1546">
        <v>12.973767443201611</v>
      </c>
      <c r="T29" s="1546">
        <v>13.251184754949119</v>
      </c>
      <c r="U29" s="1546">
        <v>13.528475354647817</v>
      </c>
      <c r="V29" s="1546">
        <v>13.805458929821425</v>
      </c>
      <c r="W29" s="1546">
        <v>14.081855405112011</v>
      </c>
      <c r="X29" s="1546">
        <v>14.357289859179668</v>
      </c>
      <c r="Y29" s="1546">
        <v>14.631286588439531</v>
      </c>
      <c r="Z29" s="1546">
        <v>14.903273466545514</v>
      </c>
      <c r="AA29" s="1546">
        <v>15.172636374972502</v>
      </c>
      <c r="AB29" s="1546">
        <v>15.43892738221656</v>
      </c>
      <c r="AC29" s="1546">
        <v>15.702059819201194</v>
      </c>
      <c r="AD29" s="1546">
        <v>15.962255531729456</v>
      </c>
      <c r="AE29" s="1546">
        <v>16.220095228536238</v>
      </c>
      <c r="AF29" s="1546">
        <v>20.763653328167152</v>
      </c>
      <c r="AG29" s="1546">
        <v>25.360948934634983</v>
      </c>
      <c r="AH29" s="1546">
        <v>31.392115584350542</v>
      </c>
      <c r="AI29" s="1546">
        <v>37.391085034417053</v>
      </c>
      <c r="AJ29" s="1531">
        <v>9.9829562316648772</v>
      </c>
      <c r="AK29" s="1532">
        <v>10.236759053398755</v>
      </c>
      <c r="AL29" s="1532">
        <v>10.497772593585321</v>
      </c>
      <c r="AM29" s="1532">
        <v>10.766197931144523</v>
      </c>
      <c r="AN29" s="1532">
        <v>11.038417357644869</v>
      </c>
      <c r="AO29" s="1532">
        <v>11.312788129182373</v>
      </c>
      <c r="AP29" s="1532">
        <v>11.588421845079219</v>
      </c>
      <c r="AQ29" s="1532">
        <v>11.86482301635378</v>
      </c>
      <c r="AR29" s="1532">
        <v>12.141721950470929</v>
      </c>
      <c r="AS29" s="1532">
        <v>12.418968518459526</v>
      </c>
      <c r="AT29" s="1532">
        <v>12.696338159378355</v>
      </c>
      <c r="AU29" s="1532">
        <v>12.973767443201611</v>
      </c>
      <c r="AV29" s="1532">
        <v>13.251184754949119</v>
      </c>
      <c r="AW29" s="1532">
        <v>13.528475354647817</v>
      </c>
      <c r="AX29" s="1532">
        <v>13.805458929821425</v>
      </c>
      <c r="AY29" s="1532">
        <v>14.081855405112011</v>
      </c>
      <c r="AZ29" s="1532">
        <v>14.357289859179668</v>
      </c>
      <c r="BA29" s="1532">
        <v>14.631286588439531</v>
      </c>
      <c r="BB29" s="1532">
        <v>14.903273466545514</v>
      </c>
      <c r="BC29" s="1532">
        <v>15.172636374972502</v>
      </c>
      <c r="BD29" s="1532">
        <v>15.43892738221656</v>
      </c>
      <c r="BE29" s="1532">
        <v>15.702059819201194</v>
      </c>
      <c r="BF29" s="1532">
        <v>15.962255531729456</v>
      </c>
      <c r="BG29" s="1532">
        <v>16.220095228536238</v>
      </c>
      <c r="BH29" s="1532">
        <v>20.763653328167152</v>
      </c>
      <c r="BI29" s="1532">
        <v>25.360948934634983</v>
      </c>
      <c r="BJ29" s="1532">
        <v>31.392115584350542</v>
      </c>
      <c r="BK29" s="1532">
        <v>37.391085034417053</v>
      </c>
    </row>
    <row r="30" spans="1:63">
      <c r="A30" s="1510"/>
      <c r="B30" s="1509"/>
      <c r="C30" s="1509"/>
      <c r="D30" s="1509"/>
      <c r="E30" s="1509"/>
      <c r="F30" s="1509"/>
      <c r="G30" s="1522"/>
      <c r="H30" s="1505"/>
      <c r="I30" s="1505"/>
      <c r="J30" s="1505"/>
      <c r="K30" s="1505"/>
      <c r="L30" s="1505"/>
      <c r="M30" s="1505"/>
      <c r="N30" s="1505"/>
      <c r="O30" s="1505"/>
      <c r="P30" s="1505"/>
      <c r="Q30" s="1505"/>
      <c r="R30" s="1505"/>
      <c r="S30" s="1505"/>
      <c r="T30" s="1505"/>
      <c r="U30" s="1505"/>
      <c r="V30" s="1505"/>
      <c r="W30" s="1505"/>
      <c r="X30" s="1505"/>
      <c r="Y30" s="1505"/>
      <c r="Z30" s="1505"/>
      <c r="AA30" s="1505"/>
      <c r="AB30" s="1505"/>
      <c r="AC30" s="1505"/>
      <c r="AD30" s="1505"/>
      <c r="AE30" s="1505"/>
      <c r="AF30" s="1505"/>
      <c r="AG30" s="1505"/>
      <c r="AH30" s="1505"/>
      <c r="AI30" s="1505"/>
      <c r="AJ30" s="1531"/>
      <c r="AK30" s="1532"/>
      <c r="AL30" s="1532"/>
      <c r="AM30" s="1532"/>
      <c r="AN30" s="1532"/>
      <c r="AO30" s="1532"/>
      <c r="AP30" s="1532"/>
      <c r="AQ30" s="1532"/>
      <c r="AR30" s="1532"/>
      <c r="AS30" s="1532"/>
      <c r="AT30" s="1532"/>
      <c r="AU30" s="1532"/>
      <c r="AV30" s="1532"/>
      <c r="AW30" s="1532"/>
      <c r="AX30" s="1532"/>
      <c r="AY30" s="1532"/>
      <c r="AZ30" s="1532"/>
      <c r="BA30" s="1532"/>
      <c r="BB30" s="1532"/>
      <c r="BC30" s="1532"/>
      <c r="BD30" s="1532"/>
      <c r="BE30" s="1532"/>
      <c r="BF30" s="1532"/>
      <c r="BG30" s="1532"/>
      <c r="BH30" s="1532"/>
      <c r="BI30" s="1532"/>
      <c r="BJ30" s="1532"/>
      <c r="BK30" s="1532"/>
    </row>
    <row r="31" spans="1:63">
      <c r="A31" s="1510" t="s">
        <v>265</v>
      </c>
      <c r="B31" s="1512" t="s">
        <v>2141</v>
      </c>
      <c r="C31" s="1512"/>
      <c r="D31" s="1512"/>
      <c r="E31" s="1512"/>
      <c r="F31" s="1512"/>
      <c r="G31" s="1523">
        <v>12.457999999999997</v>
      </c>
      <c r="H31" s="1545">
        <v>12.28754054546366</v>
      </c>
      <c r="I31" s="1545">
        <v>12.394622991198242</v>
      </c>
      <c r="J31" s="1545">
        <v>12.500828098952574</v>
      </c>
      <c r="K31" s="1545">
        <v>12.612261383655097</v>
      </c>
      <c r="L31" s="1545">
        <v>12.728910979151824</v>
      </c>
      <c r="M31" s="1545">
        <v>12.84632152333127</v>
      </c>
      <c r="N31" s="1545">
        <v>12.962575496204963</v>
      </c>
      <c r="O31" s="1545">
        <v>13.076723100511975</v>
      </c>
      <c r="P31" s="1545">
        <v>13.188308120502592</v>
      </c>
      <c r="Q31" s="1545">
        <v>13.297148524325362</v>
      </c>
      <c r="R31" s="1545">
        <v>13.403201896791604</v>
      </c>
      <c r="S31" s="1545">
        <v>13.506349071418819</v>
      </c>
      <c r="T31" s="1545">
        <v>13.606646601791923</v>
      </c>
      <c r="U31" s="1545">
        <v>13.704139427813212</v>
      </c>
      <c r="V31" s="1545">
        <v>13.798826034654521</v>
      </c>
      <c r="W31" s="1545">
        <v>13.890639012462401</v>
      </c>
      <c r="X31" s="1545">
        <v>13.979415517208867</v>
      </c>
      <c r="Y31" s="1545">
        <v>14.064908379431277</v>
      </c>
      <c r="Z31" s="1545">
        <v>14.146785851760994</v>
      </c>
      <c r="AA31" s="1545">
        <v>14.224641202835079</v>
      </c>
      <c r="AB31" s="1545">
        <v>14.298048765938519</v>
      </c>
      <c r="AC31" s="1545">
        <v>14.366758846895063</v>
      </c>
      <c r="AD31" s="1545">
        <v>14.430866122465172</v>
      </c>
      <c r="AE31" s="1545">
        <v>14.490740715664394</v>
      </c>
      <c r="AF31" s="1545">
        <v>14.547056725027197</v>
      </c>
      <c r="AG31" s="1545">
        <v>14.792879505422698</v>
      </c>
      <c r="AH31" s="1545">
        <v>14.986606082786864</v>
      </c>
      <c r="AI31" s="1545">
        <v>15.119323713125837</v>
      </c>
      <c r="AJ31" s="1533">
        <v>12.28754054546366</v>
      </c>
      <c r="AK31" s="1526">
        <v>12.394622991198242</v>
      </c>
      <c r="AL31" s="1526">
        <v>12.500828098952574</v>
      </c>
      <c r="AM31" s="1526">
        <v>12.612261383655097</v>
      </c>
      <c r="AN31" s="1526">
        <v>12.728910979151824</v>
      </c>
      <c r="AO31" s="1526">
        <v>12.84632152333127</v>
      </c>
      <c r="AP31" s="1526">
        <v>12.962575496204963</v>
      </c>
      <c r="AQ31" s="1526">
        <v>13.076723100511975</v>
      </c>
      <c r="AR31" s="1526">
        <v>13.188308120502592</v>
      </c>
      <c r="AS31" s="1526">
        <v>13.297148524325362</v>
      </c>
      <c r="AT31" s="1526">
        <v>13.403201896791604</v>
      </c>
      <c r="AU31" s="1526">
        <v>13.506349071418819</v>
      </c>
      <c r="AV31" s="1526">
        <v>13.606646601791923</v>
      </c>
      <c r="AW31" s="1526">
        <v>13.704139427813212</v>
      </c>
      <c r="AX31" s="1526">
        <v>13.798826034654521</v>
      </c>
      <c r="AY31" s="1526">
        <v>13.890639012462401</v>
      </c>
      <c r="AZ31" s="1526">
        <v>13.979415517208867</v>
      </c>
      <c r="BA31" s="1526">
        <v>14.064908379431277</v>
      </c>
      <c r="BB31" s="1526">
        <v>14.146785851760994</v>
      </c>
      <c r="BC31" s="1526">
        <v>14.224641202835079</v>
      </c>
      <c r="BD31" s="1526">
        <v>14.298048765938519</v>
      </c>
      <c r="BE31" s="1526">
        <v>14.366758846895063</v>
      </c>
      <c r="BF31" s="1526">
        <v>14.430866122465172</v>
      </c>
      <c r="BG31" s="1526">
        <v>14.490740715664394</v>
      </c>
      <c r="BH31" s="1526">
        <v>14.547056725027197</v>
      </c>
      <c r="BI31" s="1526">
        <v>14.792879505422698</v>
      </c>
      <c r="BJ31" s="1526">
        <v>14.986606082786864</v>
      </c>
      <c r="BK31" s="1526">
        <v>15.119323713125837</v>
      </c>
    </row>
    <row r="32" spans="1:63">
      <c r="A32" s="1510"/>
      <c r="B32" s="1512"/>
      <c r="C32" s="1512"/>
      <c r="D32" s="1512"/>
      <c r="E32" s="1512"/>
      <c r="F32" s="1512"/>
      <c r="G32" s="1522"/>
      <c r="H32" s="1545"/>
      <c r="I32" s="1545"/>
      <c r="J32" s="1545"/>
      <c r="K32" s="1545"/>
      <c r="L32" s="1545"/>
      <c r="M32" s="1545"/>
      <c r="N32" s="1545"/>
      <c r="O32" s="1545"/>
      <c r="P32" s="1545"/>
      <c r="Q32" s="1545"/>
      <c r="R32" s="1545"/>
      <c r="S32" s="1545"/>
      <c r="T32" s="1545"/>
      <c r="U32" s="1545"/>
      <c r="V32" s="1545"/>
      <c r="W32" s="1545"/>
      <c r="X32" s="1545"/>
      <c r="Y32" s="1545"/>
      <c r="Z32" s="1545"/>
      <c r="AA32" s="1545"/>
      <c r="AB32" s="1545"/>
      <c r="AC32" s="1545"/>
      <c r="AD32" s="1545"/>
      <c r="AE32" s="1545"/>
      <c r="AF32" s="1545"/>
      <c r="AG32" s="1545"/>
      <c r="AH32" s="1545"/>
      <c r="AI32" s="1545"/>
      <c r="AJ32" s="1531"/>
      <c r="AK32" s="1532"/>
      <c r="AL32" s="1532"/>
      <c r="AM32" s="1532"/>
      <c r="AN32" s="1532"/>
      <c r="AO32" s="1532"/>
      <c r="AP32" s="1532"/>
      <c r="AQ32" s="1532"/>
      <c r="AR32" s="1532"/>
      <c r="AS32" s="1532"/>
      <c r="AT32" s="1532"/>
      <c r="AU32" s="1532"/>
      <c r="AV32" s="1532"/>
      <c r="AW32" s="1532"/>
      <c r="AX32" s="1532"/>
      <c r="AY32" s="1532"/>
      <c r="AZ32" s="1532"/>
      <c r="BA32" s="1532"/>
      <c r="BB32" s="1532"/>
      <c r="BC32" s="1532"/>
      <c r="BD32" s="1532"/>
      <c r="BE32" s="1532"/>
      <c r="BF32" s="1532"/>
      <c r="BG32" s="1532"/>
      <c r="BH32" s="1532"/>
      <c r="BI32" s="1532"/>
      <c r="BJ32" s="1532"/>
      <c r="BK32" s="1532"/>
    </row>
    <row r="33" spans="1:178">
      <c r="A33" s="1504" t="s">
        <v>2006</v>
      </c>
      <c r="B33" s="1512"/>
      <c r="C33" s="1512"/>
      <c r="D33" s="1512"/>
      <c r="E33" s="1512"/>
      <c r="F33" s="1512"/>
      <c r="G33" s="1523">
        <v>6.2289999999999983</v>
      </c>
      <c r="H33" s="1545">
        <v>6.4671266028756103</v>
      </c>
      <c r="I33" s="1545">
        <v>6.5234857848411796</v>
      </c>
      <c r="J33" s="1545">
        <v>5.2635065679800315</v>
      </c>
      <c r="K33" s="1545">
        <v>5.3104258457495144</v>
      </c>
      <c r="L33" s="1545">
        <v>5.3595414649060311</v>
      </c>
      <c r="M33" s="1545">
        <v>5.4089774835079032</v>
      </c>
      <c r="N33" s="1545">
        <v>5.4579265247178785</v>
      </c>
      <c r="O33" s="1545">
        <v>4.1294915054248342</v>
      </c>
      <c r="P33" s="1545">
        <v>4.1647288801587132</v>
      </c>
      <c r="Q33" s="1545">
        <v>4.199099533997483</v>
      </c>
      <c r="R33" s="1545">
        <v>2.8217267151140217</v>
      </c>
      <c r="S33" s="1545">
        <v>2.8434419097723831</v>
      </c>
      <c r="T33" s="1545">
        <v>2.8645571793246152</v>
      </c>
      <c r="U33" s="1545">
        <v>2.8850819848027816</v>
      </c>
      <c r="V33" s="1545">
        <v>2.9050160072956888</v>
      </c>
      <c r="W33" s="1545">
        <v>1.4621725276276214</v>
      </c>
      <c r="X33" s="1545">
        <v>1.4715174228640913</v>
      </c>
      <c r="Y33" s="1545">
        <v>1.4805166715190818</v>
      </c>
      <c r="Z33" s="1545">
        <v>1.4891353528169466</v>
      </c>
      <c r="AA33" s="1545">
        <v>1.4973306529300086</v>
      </c>
      <c r="AB33" s="1545">
        <v>1.5050577648356336</v>
      </c>
      <c r="AC33" s="1545">
        <v>1.5122904049363226</v>
      </c>
      <c r="AD33" s="1545">
        <v>1.5190385392068604</v>
      </c>
      <c r="AE33" s="1545">
        <v>1.5253411279646729</v>
      </c>
      <c r="AF33" s="1545">
        <v>1.5312691289502312</v>
      </c>
      <c r="AG33" s="1545">
        <v>0</v>
      </c>
      <c r="AH33" s="1545">
        <v>0</v>
      </c>
      <c r="AI33" s="1545">
        <v>0</v>
      </c>
      <c r="AJ33" s="1533">
        <v>6.4671266028756103</v>
      </c>
      <c r="AK33" s="1526">
        <v>6.5234857848411796</v>
      </c>
      <c r="AL33" s="1526">
        <v>5.2635065679800315</v>
      </c>
      <c r="AM33" s="1526">
        <v>5.3104258457495144</v>
      </c>
      <c r="AN33" s="1526">
        <v>5.3595414649060311</v>
      </c>
      <c r="AO33" s="1526">
        <v>5.4089774835079032</v>
      </c>
      <c r="AP33" s="1526">
        <v>5.4579265247178785</v>
      </c>
      <c r="AQ33" s="1526">
        <v>4.1294915054248342</v>
      </c>
      <c r="AR33" s="1526">
        <v>4.1647288801587132</v>
      </c>
      <c r="AS33" s="1526">
        <v>4.199099533997483</v>
      </c>
      <c r="AT33" s="1526">
        <v>2.8217267151140217</v>
      </c>
      <c r="AU33" s="1526">
        <v>2.8434419097723831</v>
      </c>
      <c r="AV33" s="1526">
        <v>2.8645571793246152</v>
      </c>
      <c r="AW33" s="1526">
        <v>2.8850819848027816</v>
      </c>
      <c r="AX33" s="1526">
        <v>2.9050160072956888</v>
      </c>
      <c r="AY33" s="1526">
        <v>1.4621725276276214</v>
      </c>
      <c r="AZ33" s="1526">
        <v>1.4715174228640913</v>
      </c>
      <c r="BA33" s="1526">
        <v>1.4805166715190818</v>
      </c>
      <c r="BB33" s="1526">
        <v>1.4891353528169466</v>
      </c>
      <c r="BC33" s="1526">
        <v>1.4973306529300086</v>
      </c>
      <c r="BD33" s="1526">
        <v>1.5050577648356336</v>
      </c>
      <c r="BE33" s="1526">
        <v>1.5122904049363226</v>
      </c>
      <c r="BF33" s="1526">
        <v>1.5190385392068604</v>
      </c>
      <c r="BG33" s="1526">
        <v>1.5253411279646729</v>
      </c>
      <c r="BH33" s="1526">
        <v>1.5312691289502312</v>
      </c>
      <c r="BI33" s="1526">
        <v>0</v>
      </c>
      <c r="BJ33" s="1526">
        <v>0</v>
      </c>
      <c r="BK33" s="1526">
        <v>0</v>
      </c>
    </row>
    <row r="34" spans="1:178">
      <c r="A34" s="1504" t="s">
        <v>2004</v>
      </c>
      <c r="B34" s="1509"/>
      <c r="C34" s="1509"/>
      <c r="D34" s="1509"/>
      <c r="E34" s="1509"/>
      <c r="F34" s="1509"/>
      <c r="G34" s="1523">
        <v>3.7373999999999992</v>
      </c>
      <c r="H34" s="1545">
        <v>3.8802759617253662</v>
      </c>
      <c r="I34" s="1545">
        <v>3.9140914709047077</v>
      </c>
      <c r="J34" s="1545">
        <v>5.2635065679800315</v>
      </c>
      <c r="K34" s="1545">
        <v>5.3104258457495144</v>
      </c>
      <c r="L34" s="1545">
        <v>5.3595414649060311</v>
      </c>
      <c r="M34" s="1545">
        <v>5.4089774835079032</v>
      </c>
      <c r="N34" s="1545">
        <v>5.4579265247178785</v>
      </c>
      <c r="O34" s="1545">
        <v>6.8824858423747246</v>
      </c>
      <c r="P34" s="1545">
        <v>6.9412148002645226</v>
      </c>
      <c r="Q34" s="1545">
        <v>6.9984992233291381</v>
      </c>
      <c r="R34" s="1545">
        <v>8.4651801453420656</v>
      </c>
      <c r="S34" s="1545">
        <v>8.5303257293171502</v>
      </c>
      <c r="T34" s="1545">
        <v>7.1613929483115388</v>
      </c>
      <c r="U34" s="1545">
        <v>7.2127049620069537</v>
      </c>
      <c r="V34" s="1545">
        <v>7.2625400182392221</v>
      </c>
      <c r="W34" s="1545">
        <v>8.7730351657657284</v>
      </c>
      <c r="X34" s="1545">
        <v>8.8291045371845485</v>
      </c>
      <c r="Y34" s="1545">
        <v>8.883100029114491</v>
      </c>
      <c r="Z34" s="1545">
        <v>8.9348121169016803</v>
      </c>
      <c r="AA34" s="1545">
        <v>8.9839839175800495</v>
      </c>
      <c r="AB34" s="1545">
        <v>9.0303465890138011</v>
      </c>
      <c r="AC34" s="1545">
        <v>7.5614520246816124</v>
      </c>
      <c r="AD34" s="1545">
        <v>7.5951926960343012</v>
      </c>
      <c r="AE34" s="1545">
        <v>7.6267056398233652</v>
      </c>
      <c r="AF34" s="1545">
        <v>7.6563456447511555</v>
      </c>
      <c r="AG34" s="1545">
        <v>6.2285808443885049</v>
      </c>
      <c r="AH34" s="1545">
        <v>4.7326124471958515</v>
      </c>
      <c r="AI34" s="1545">
        <v>3.183015518552808</v>
      </c>
      <c r="AJ34" s="1533">
        <v>3.8802759617253662</v>
      </c>
      <c r="AK34" s="1526">
        <v>3.9140914709047077</v>
      </c>
      <c r="AL34" s="1526">
        <v>5.2635065679800315</v>
      </c>
      <c r="AM34" s="1526">
        <v>5.3104258457495144</v>
      </c>
      <c r="AN34" s="1526">
        <v>5.3595414649060311</v>
      </c>
      <c r="AO34" s="1526">
        <v>5.4089774835079032</v>
      </c>
      <c r="AP34" s="1526">
        <v>5.4579265247178785</v>
      </c>
      <c r="AQ34" s="1526">
        <v>6.8824858423747246</v>
      </c>
      <c r="AR34" s="1526">
        <v>6.9412148002645226</v>
      </c>
      <c r="AS34" s="1526">
        <v>6.9984992233291381</v>
      </c>
      <c r="AT34" s="1526">
        <v>8.4651801453420656</v>
      </c>
      <c r="AU34" s="1526">
        <v>8.5303257293171502</v>
      </c>
      <c r="AV34" s="1526">
        <v>7.1613929483115388</v>
      </c>
      <c r="AW34" s="1526">
        <v>7.2127049620069537</v>
      </c>
      <c r="AX34" s="1526">
        <v>7.2625400182392221</v>
      </c>
      <c r="AY34" s="1526">
        <v>8.7730351657657284</v>
      </c>
      <c r="AZ34" s="1526">
        <v>8.8291045371845485</v>
      </c>
      <c r="BA34" s="1526">
        <v>8.883100029114491</v>
      </c>
      <c r="BB34" s="1526">
        <v>8.9348121169016803</v>
      </c>
      <c r="BC34" s="1526">
        <v>8.9839839175800495</v>
      </c>
      <c r="BD34" s="1526">
        <v>9.0303465890138011</v>
      </c>
      <c r="BE34" s="1526">
        <v>7.5614520246816124</v>
      </c>
      <c r="BF34" s="1526">
        <v>7.5951926960343012</v>
      </c>
      <c r="BG34" s="1526">
        <v>7.6267056398233652</v>
      </c>
      <c r="BH34" s="1526">
        <v>7.6563456447511555</v>
      </c>
      <c r="BI34" s="1526">
        <v>6.2285808443885049</v>
      </c>
      <c r="BJ34" s="1526">
        <v>4.7326124471958515</v>
      </c>
      <c r="BK34" s="1526">
        <v>3.183015518552808</v>
      </c>
    </row>
    <row r="35" spans="1:178">
      <c r="A35" s="1504" t="s">
        <v>2005</v>
      </c>
      <c r="B35" s="1509"/>
      <c r="C35" s="1509"/>
      <c r="D35" s="1509"/>
      <c r="E35" s="1509"/>
      <c r="F35" s="1509"/>
      <c r="G35" s="1523">
        <v>2.4915999999999996</v>
      </c>
      <c r="H35" s="1545">
        <v>1.9401379808626831</v>
      </c>
      <c r="I35" s="1545">
        <v>1.9570457354523538</v>
      </c>
      <c r="J35" s="1545">
        <v>1.9738149629925119</v>
      </c>
      <c r="K35" s="1545">
        <v>1.9914096921560678</v>
      </c>
      <c r="L35" s="1545">
        <v>2.0098280493397618</v>
      </c>
      <c r="M35" s="1545">
        <v>2.0283665563154636</v>
      </c>
      <c r="N35" s="1545">
        <v>2.0467224467692047</v>
      </c>
      <c r="O35" s="1545">
        <v>2.0647457527124171</v>
      </c>
      <c r="P35" s="1545">
        <v>2.0823644400793566</v>
      </c>
      <c r="Q35" s="1545">
        <v>2.0995497669987415</v>
      </c>
      <c r="R35" s="1545">
        <v>2.1162950363355164</v>
      </c>
      <c r="S35" s="1545">
        <v>2.1325814323292871</v>
      </c>
      <c r="T35" s="1545">
        <v>3.5806964741557694</v>
      </c>
      <c r="U35" s="1545">
        <v>3.6063524810034768</v>
      </c>
      <c r="V35" s="1545">
        <v>3.6312700091196111</v>
      </c>
      <c r="W35" s="1545">
        <v>3.6554313190690531</v>
      </c>
      <c r="X35" s="1545">
        <v>3.6787935571602284</v>
      </c>
      <c r="Y35" s="1545">
        <v>3.7012916787977046</v>
      </c>
      <c r="Z35" s="1545">
        <v>3.7228383820423665</v>
      </c>
      <c r="AA35" s="1545">
        <v>3.7433266323250209</v>
      </c>
      <c r="AB35" s="1545">
        <v>3.7626444120890841</v>
      </c>
      <c r="AC35" s="1545">
        <v>5.293016417277129</v>
      </c>
      <c r="AD35" s="1545">
        <v>5.3166348872240112</v>
      </c>
      <c r="AE35" s="1545">
        <v>5.3386939478763553</v>
      </c>
      <c r="AF35" s="1545">
        <v>5.3594419513258087</v>
      </c>
      <c r="AG35" s="1545">
        <v>8.5642986610341936</v>
      </c>
      <c r="AH35" s="1545">
        <v>10.253993635591012</v>
      </c>
      <c r="AI35" s="1545">
        <v>11.93630819457303</v>
      </c>
      <c r="AJ35" s="1533">
        <v>1.9401379808626831</v>
      </c>
      <c r="AK35" s="1526">
        <v>1.9570457354523538</v>
      </c>
      <c r="AL35" s="1526">
        <v>1.9738149629925119</v>
      </c>
      <c r="AM35" s="1526">
        <v>1.9914096921560678</v>
      </c>
      <c r="AN35" s="1526">
        <v>2.0098280493397618</v>
      </c>
      <c r="AO35" s="1526">
        <v>2.0283665563154636</v>
      </c>
      <c r="AP35" s="1526">
        <v>2.0467224467692047</v>
      </c>
      <c r="AQ35" s="1526">
        <v>2.0647457527124171</v>
      </c>
      <c r="AR35" s="1526">
        <v>2.0823644400793566</v>
      </c>
      <c r="AS35" s="1526">
        <v>2.0995497669987415</v>
      </c>
      <c r="AT35" s="1526">
        <v>2.1162950363355164</v>
      </c>
      <c r="AU35" s="1526">
        <v>2.1325814323292871</v>
      </c>
      <c r="AV35" s="1526">
        <v>3.5806964741557694</v>
      </c>
      <c r="AW35" s="1526">
        <v>3.6063524810034768</v>
      </c>
      <c r="AX35" s="1526">
        <v>3.6312700091196111</v>
      </c>
      <c r="AY35" s="1526">
        <v>3.6554313190690531</v>
      </c>
      <c r="AZ35" s="1526">
        <v>3.6787935571602284</v>
      </c>
      <c r="BA35" s="1526">
        <v>3.7012916787977046</v>
      </c>
      <c r="BB35" s="1526">
        <v>3.7228383820423665</v>
      </c>
      <c r="BC35" s="1526">
        <v>3.7433266323250209</v>
      </c>
      <c r="BD35" s="1526">
        <v>3.7626444120890841</v>
      </c>
      <c r="BE35" s="1526">
        <v>5.293016417277129</v>
      </c>
      <c r="BF35" s="1526">
        <v>5.3166348872240112</v>
      </c>
      <c r="BG35" s="1526">
        <v>5.3386939478763553</v>
      </c>
      <c r="BH35" s="1526">
        <v>5.3594419513258087</v>
      </c>
      <c r="BI35" s="1526">
        <v>8.5642986610341936</v>
      </c>
      <c r="BJ35" s="1526">
        <v>10.253993635591012</v>
      </c>
      <c r="BK35" s="1526">
        <v>11.93630819457303</v>
      </c>
    </row>
    <row r="36" spans="1:178">
      <c r="A36" s="1509"/>
      <c r="B36" s="1509"/>
      <c r="C36" s="1509"/>
      <c r="D36" s="1509"/>
      <c r="E36" s="1509"/>
      <c r="F36" s="1509"/>
      <c r="H36" s="1505"/>
      <c r="I36" s="1505"/>
      <c r="J36" s="1505"/>
      <c r="K36" s="1505"/>
      <c r="L36" s="1505"/>
      <c r="M36" s="1505"/>
      <c r="N36" s="1505"/>
      <c r="O36" s="1505"/>
      <c r="P36" s="1505"/>
      <c r="Q36" s="1505"/>
      <c r="R36" s="1505"/>
      <c r="S36" s="1505"/>
      <c r="T36" s="1505"/>
      <c r="U36" s="1505"/>
      <c r="V36" s="1505"/>
      <c r="W36" s="1505"/>
      <c r="X36" s="1505"/>
      <c r="Y36" s="1505"/>
      <c r="Z36" s="1505"/>
      <c r="AA36" s="1505"/>
      <c r="AB36" s="1505"/>
      <c r="AC36" s="1505"/>
      <c r="AD36" s="1505"/>
      <c r="AE36" s="1505"/>
      <c r="AF36" s="1505"/>
      <c r="AG36" s="1505"/>
      <c r="AH36" s="1505"/>
      <c r="AI36" s="1505"/>
      <c r="AJ36" s="1503"/>
      <c r="AK36" s="1251"/>
      <c r="AL36" s="1251"/>
      <c r="AM36" s="1251"/>
      <c r="AN36" s="1251"/>
      <c r="AO36" s="1251"/>
      <c r="AP36" s="1251"/>
      <c r="AQ36" s="1251"/>
      <c r="AR36" s="1251"/>
      <c r="AS36" s="1251"/>
      <c r="AT36" s="1251"/>
      <c r="AU36" s="1251"/>
      <c r="AV36" s="1251"/>
      <c r="AW36" s="1251"/>
      <c r="AX36" s="1251"/>
      <c r="AY36" s="1251"/>
      <c r="AZ36" s="1251"/>
      <c r="BA36" s="1251"/>
      <c r="BB36" s="1251"/>
      <c r="BC36" s="1251"/>
      <c r="BD36" s="1251"/>
      <c r="BE36" s="1251"/>
      <c r="BF36" s="1251"/>
      <c r="BG36" s="1251"/>
      <c r="BH36" s="1251"/>
      <c r="BI36" s="1251"/>
      <c r="BJ36" s="1251"/>
      <c r="BK36" s="1251"/>
    </row>
    <row r="37" spans="1:178" ht="14" thickBot="1">
      <c r="A37" s="1511" t="s">
        <v>2248</v>
      </c>
      <c r="B37" s="1511"/>
      <c r="C37" s="1511"/>
      <c r="D37" s="1511"/>
      <c r="E37" s="1511"/>
      <c r="F37" s="1511"/>
      <c r="G37" s="1517"/>
      <c r="H37" s="1511"/>
      <c r="I37" s="1511"/>
      <c r="J37" s="1511"/>
      <c r="K37" s="1511"/>
      <c r="L37" s="1511"/>
      <c r="M37" s="1511"/>
      <c r="N37" s="1511"/>
      <c r="O37" s="1511"/>
      <c r="P37" s="1511"/>
      <c r="Q37" s="1511"/>
      <c r="R37" s="1511"/>
      <c r="S37" s="1511"/>
      <c r="T37" s="1511"/>
      <c r="U37" s="1511"/>
      <c r="V37" s="1511"/>
      <c r="W37" s="1511"/>
      <c r="X37" s="1511"/>
      <c r="Y37" s="1511"/>
      <c r="Z37" s="1511"/>
      <c r="AA37" s="1511"/>
      <c r="AB37" s="1511"/>
      <c r="AC37" s="1511"/>
      <c r="AD37" s="1511"/>
      <c r="AE37" s="1511"/>
      <c r="AF37" s="1511"/>
      <c r="AG37" s="1511"/>
      <c r="AH37" s="1511"/>
      <c r="AI37" s="1511"/>
      <c r="AJ37" s="1535"/>
      <c r="AK37" s="1536"/>
      <c r="AL37" s="1536"/>
      <c r="AM37" s="1536"/>
      <c r="AN37" s="1536"/>
      <c r="AO37" s="1536"/>
      <c r="AP37" s="1536"/>
      <c r="AQ37" s="1536"/>
      <c r="AR37" s="1536"/>
      <c r="AS37" s="1536"/>
      <c r="AT37" s="1536"/>
      <c r="AU37" s="1536"/>
      <c r="AV37" s="1536"/>
      <c r="AW37" s="1536"/>
      <c r="AX37" s="1536"/>
      <c r="AY37" s="1536"/>
      <c r="AZ37" s="1536"/>
      <c r="BA37" s="1536"/>
      <c r="BB37" s="1536"/>
      <c r="BC37" s="1536"/>
      <c r="BD37" s="1536"/>
      <c r="BE37" s="1536"/>
      <c r="BF37" s="1536"/>
      <c r="BG37" s="1536"/>
      <c r="BH37" s="1536"/>
      <c r="BI37" s="1536"/>
      <c r="BJ37" s="1536"/>
      <c r="BK37" s="1536"/>
      <c r="ER37" s="1313"/>
      <c r="ES37" s="1313"/>
      <c r="ET37" s="1313"/>
      <c r="EU37" s="1313"/>
      <c r="EV37" s="1313"/>
      <c r="EW37" s="1313"/>
      <c r="EX37" s="1313"/>
      <c r="EY37" s="1313"/>
      <c r="EZ37" s="1313"/>
      <c r="FA37" s="1313"/>
      <c r="FB37" s="1313"/>
      <c r="FC37" s="1313"/>
      <c r="FD37" s="1313"/>
      <c r="FE37" s="1313"/>
      <c r="FF37" s="1313"/>
      <c r="FG37" s="1313"/>
      <c r="FH37" s="1313"/>
      <c r="FI37" s="1313"/>
      <c r="FJ37" s="1313"/>
      <c r="FK37" s="1313"/>
      <c r="FL37" s="1313"/>
      <c r="FM37" s="1313"/>
      <c r="FN37" s="1313"/>
      <c r="FO37" s="1313"/>
      <c r="FP37" s="1313"/>
      <c r="FQ37" s="1313"/>
      <c r="FR37" s="1313"/>
      <c r="FS37" s="1313"/>
      <c r="FT37" s="1313"/>
      <c r="FU37" s="1313"/>
      <c r="FV37" s="1313"/>
    </row>
    <row r="38" spans="1:178">
      <c r="A38" s="1513" t="s">
        <v>842</v>
      </c>
      <c r="B38" s="1513" t="s">
        <v>843</v>
      </c>
      <c r="C38" s="1514" t="s">
        <v>1018</v>
      </c>
      <c r="G38" s="1524"/>
      <c r="H38" s="1505"/>
      <c r="I38" s="1505"/>
      <c r="J38" s="1505"/>
      <c r="K38" s="1505"/>
      <c r="L38" s="1505"/>
      <c r="M38" s="1505"/>
      <c r="N38" s="1505"/>
      <c r="O38" s="1505"/>
      <c r="P38" s="1505"/>
      <c r="Q38" s="1505"/>
      <c r="R38" s="1505"/>
      <c r="S38" s="1505"/>
      <c r="T38" s="1505"/>
      <c r="U38" s="1505"/>
      <c r="V38" s="1505"/>
      <c r="W38" s="1505"/>
      <c r="X38" s="1505"/>
      <c r="Y38" s="1505"/>
      <c r="Z38" s="1505"/>
      <c r="AA38" s="1505"/>
      <c r="AB38" s="1505"/>
      <c r="AC38" s="1505"/>
      <c r="AD38" s="1505"/>
      <c r="AE38" s="1505"/>
      <c r="AF38" s="1505"/>
      <c r="AG38" s="1505"/>
      <c r="AH38" s="1505"/>
      <c r="AI38" s="1505"/>
      <c r="AJ38" s="1548"/>
      <c r="AK38" s="1251"/>
      <c r="AL38" s="1251"/>
      <c r="AM38" s="1251"/>
      <c r="AN38" s="1251"/>
      <c r="AO38" s="1251"/>
      <c r="AP38" s="1251"/>
      <c r="AQ38" s="1251"/>
      <c r="AR38" s="1251"/>
      <c r="AS38" s="1251"/>
      <c r="AT38" s="1251"/>
      <c r="AU38" s="1251"/>
      <c r="AV38" s="1251"/>
      <c r="AW38" s="1251"/>
      <c r="AX38" s="1251"/>
      <c r="AY38" s="1251"/>
      <c r="AZ38" s="1251"/>
      <c r="BA38" s="1251"/>
      <c r="BB38" s="1251"/>
      <c r="BC38" s="1251"/>
      <c r="BD38" s="1251"/>
      <c r="BE38" s="1251"/>
      <c r="BF38" s="1251"/>
      <c r="BG38" s="1251"/>
      <c r="BH38" s="1251"/>
      <c r="BI38" s="1251"/>
      <c r="BJ38" s="1251"/>
      <c r="BK38" s="1251"/>
      <c r="BL38" s="1158">
        <v>0.8</v>
      </c>
      <c r="BM38" s="1158"/>
      <c r="BN38" s="1158"/>
      <c r="BO38" s="1158"/>
      <c r="BP38" s="1158"/>
      <c r="BQ38" s="1158"/>
      <c r="BR38" s="1158"/>
      <c r="BS38" s="1158"/>
      <c r="BT38" s="1158"/>
      <c r="BU38" s="1158"/>
      <c r="BV38" s="1158"/>
      <c r="BW38" s="1158"/>
      <c r="BX38" s="1158"/>
      <c r="BY38" s="1158"/>
      <c r="BZ38" s="1158"/>
      <c r="CA38" s="1158"/>
      <c r="CB38" s="1158"/>
      <c r="CC38" s="1158"/>
      <c r="CD38" s="1158"/>
      <c r="CE38" s="1158"/>
      <c r="CF38" s="1158"/>
      <c r="CG38" s="1158"/>
      <c r="CH38" s="1158"/>
      <c r="CI38" s="1158"/>
      <c r="CJ38" s="1158"/>
      <c r="CK38" s="1158"/>
      <c r="CL38" s="1158"/>
      <c r="CM38" s="1158"/>
      <c r="CN38" s="1251">
        <v>0.6</v>
      </c>
      <c r="CO38" s="1251"/>
      <c r="CP38" s="1251"/>
      <c r="CQ38" s="1251"/>
      <c r="CR38" s="1251"/>
      <c r="CS38" s="1251"/>
      <c r="CT38" s="1251"/>
      <c r="CU38" s="1251"/>
      <c r="CV38" s="1251"/>
      <c r="CW38" s="1251"/>
      <c r="CX38" s="1251"/>
      <c r="CY38" s="1251"/>
      <c r="CZ38" s="1251"/>
      <c r="DA38" s="1251"/>
      <c r="DB38" s="1251"/>
      <c r="DC38" s="1251"/>
      <c r="DD38" s="1251"/>
      <c r="DE38" s="1251"/>
      <c r="DF38" s="1251"/>
      <c r="DG38" s="1251"/>
      <c r="DH38" s="1251"/>
      <c r="DI38" s="1251"/>
      <c r="DJ38" s="1251"/>
      <c r="DK38" s="1251"/>
      <c r="DL38" s="1251"/>
      <c r="DM38" s="1251"/>
      <c r="DN38" s="1251"/>
      <c r="DO38" s="1251"/>
      <c r="DP38" s="1158">
        <v>0.5</v>
      </c>
      <c r="DQ38" s="1158"/>
      <c r="DR38" s="1158"/>
      <c r="DS38" s="1158"/>
      <c r="DT38" s="1158"/>
      <c r="DU38" s="1158"/>
      <c r="DV38" s="1158"/>
      <c r="DW38" s="1158"/>
      <c r="DX38" s="1158"/>
      <c r="DY38" s="1158"/>
      <c r="DZ38" s="1158"/>
      <c r="EA38" s="1158"/>
      <c r="EB38" s="1158"/>
      <c r="EC38" s="1158"/>
      <c r="ED38" s="1158"/>
      <c r="EE38" s="1158"/>
      <c r="EF38" s="1158"/>
      <c r="EG38" s="1158"/>
      <c r="EH38" s="1158"/>
      <c r="EI38" s="1158"/>
      <c r="EJ38" s="1158"/>
      <c r="EK38" s="1158"/>
      <c r="EL38" s="1158"/>
      <c r="EM38" s="1158"/>
      <c r="EN38" s="1158"/>
      <c r="EO38" s="1158"/>
      <c r="EP38" s="1158"/>
      <c r="EQ38" s="1158"/>
      <c r="ER38" s="1313"/>
      <c r="ES38" s="1313"/>
      <c r="ET38" s="1313"/>
      <c r="EU38" s="1313"/>
      <c r="EV38" s="1313"/>
      <c r="EW38" s="1313"/>
      <c r="EX38" s="1313"/>
      <c r="EY38" s="1313"/>
      <c r="EZ38" s="1313"/>
      <c r="FA38" s="1313"/>
      <c r="FB38" s="1313"/>
      <c r="FC38" s="1313"/>
      <c r="FD38" s="1313"/>
      <c r="FE38" s="1313"/>
      <c r="FF38" s="1313"/>
      <c r="FG38" s="1313"/>
      <c r="FH38" s="1313"/>
      <c r="FI38" s="1313"/>
      <c r="FJ38" s="1313"/>
      <c r="FK38" s="1313"/>
      <c r="FL38" s="1313"/>
      <c r="FM38" s="1313"/>
      <c r="FN38" s="1313"/>
      <c r="FO38" s="1313"/>
      <c r="FP38" s="1313"/>
      <c r="FQ38" s="1313"/>
      <c r="FR38" s="1313"/>
      <c r="FS38" s="1313"/>
      <c r="FT38" s="1313"/>
      <c r="FU38" s="1313"/>
      <c r="FV38" s="1313"/>
    </row>
    <row r="39" spans="1:178">
      <c r="A39" s="1504" t="s">
        <v>1015</v>
      </c>
      <c r="B39" s="1504" t="s">
        <v>1014</v>
      </c>
      <c r="C39" s="1509" t="s">
        <v>1017</v>
      </c>
      <c r="G39" s="1519">
        <v>1</v>
      </c>
      <c r="H39" s="1545">
        <v>1.0425660000000001</v>
      </c>
      <c r="I39" s="1545">
        <v>1.0857668073420002</v>
      </c>
      <c r="J39" s="1545">
        <v>1.1300215766424526</v>
      </c>
      <c r="K39" s="1545">
        <v>1.1749840051554792</v>
      </c>
      <c r="L39" s="1545">
        <v>1.2217025441844662</v>
      </c>
      <c r="M39" s="1545">
        <v>1.2696262698851901</v>
      </c>
      <c r="N39" s="1545">
        <v>1.3197866645558143</v>
      </c>
      <c r="O39" s="1545">
        <v>1.3713612878333263</v>
      </c>
      <c r="P39" s="1545">
        <v>1.426516067468695</v>
      </c>
      <c r="Q39" s="1545">
        <v>1.4840060915037507</v>
      </c>
      <c r="R39" s="1545">
        <v>1.5452747669975746</v>
      </c>
      <c r="S39" s="1545">
        <v>1.6101345847927639</v>
      </c>
      <c r="T39" s="1545">
        <v>1.6790869882519293</v>
      </c>
      <c r="U39" s="1545">
        <v>1.7508310170859578</v>
      </c>
      <c r="V39" s="1545">
        <v>1.8245112387779863</v>
      </c>
      <c r="W39" s="1545">
        <v>1.8989385257414568</v>
      </c>
      <c r="X39" s="1545">
        <v>1.9761987385997737</v>
      </c>
      <c r="Y39" s="1545">
        <v>2.0589658941698095</v>
      </c>
      <c r="Z39" s="1545">
        <v>2.1474828969260638</v>
      </c>
      <c r="AA39" s="1545">
        <v>2.2398826435321015</v>
      </c>
      <c r="AB39" s="1545">
        <v>2.3351941297796794</v>
      </c>
      <c r="AC39" s="1545">
        <v>2.4376531074178929</v>
      </c>
      <c r="AD39" s="1545">
        <v>2.5491928006540134</v>
      </c>
      <c r="AE39" s="1545">
        <v>2.6692342896368113</v>
      </c>
      <c r="AF39" s="1545">
        <v>3.3768812138475939</v>
      </c>
      <c r="AG39" s="1545">
        <v>4.1877708506903986</v>
      </c>
      <c r="AH39" s="1545">
        <v>5.05463165326187</v>
      </c>
      <c r="AI39" s="1545">
        <v>6.002181268037357</v>
      </c>
      <c r="AJ39" s="1531">
        <v>1.0425660000000001</v>
      </c>
      <c r="AK39" s="1526">
        <v>1.0857668073420002</v>
      </c>
      <c r="AL39" s="1526">
        <v>1.1300215766424526</v>
      </c>
      <c r="AM39" s="1526">
        <v>1.1749840051554792</v>
      </c>
      <c r="AN39" s="1526">
        <v>1.2217025441844662</v>
      </c>
      <c r="AO39" s="1526">
        <v>1.2696262698851901</v>
      </c>
      <c r="AP39" s="1526">
        <v>1.3197866645558143</v>
      </c>
      <c r="AQ39" s="1526">
        <v>1.3713612878333263</v>
      </c>
      <c r="AR39" s="1526">
        <v>1.426516067468695</v>
      </c>
      <c r="AS39" s="1526">
        <v>1.4840060915037507</v>
      </c>
      <c r="AT39" s="1526">
        <v>1.5452747669975746</v>
      </c>
      <c r="AU39" s="1526">
        <v>1.6101345847927639</v>
      </c>
      <c r="AV39" s="1526">
        <v>1.6790869882519293</v>
      </c>
      <c r="AW39" s="1526">
        <v>1.7508310170859578</v>
      </c>
      <c r="AX39" s="1526">
        <v>1.8245112387779863</v>
      </c>
      <c r="AY39" s="1526">
        <v>1.8989385257414568</v>
      </c>
      <c r="AZ39" s="1526">
        <v>1.9761987385997737</v>
      </c>
      <c r="BA39" s="1526">
        <v>2.0589658941698095</v>
      </c>
      <c r="BB39" s="1526">
        <v>2.1474828969260638</v>
      </c>
      <c r="BC39" s="1526">
        <v>2.2398826435321015</v>
      </c>
      <c r="BD39" s="1526">
        <v>2.3351941297796794</v>
      </c>
      <c r="BE39" s="1526">
        <v>2.4376531074178929</v>
      </c>
      <c r="BF39" s="1526">
        <v>2.5491928006540134</v>
      </c>
      <c r="BG39" s="1526">
        <v>2.6692342896368113</v>
      </c>
      <c r="BH39" s="1526">
        <v>3.3768812138475939</v>
      </c>
      <c r="BI39" s="1526">
        <v>4.1877708506903986</v>
      </c>
      <c r="BJ39" s="1526">
        <v>5.05463165326187</v>
      </c>
      <c r="BK39" s="1526">
        <v>6.002181268037357</v>
      </c>
      <c r="BL39" s="1158">
        <v>0.83405280000000015</v>
      </c>
      <c r="BM39" s="1158">
        <v>0.86861344587360012</v>
      </c>
      <c r="BN39" s="1158">
        <v>0.90401726131396209</v>
      </c>
      <c r="BO39" s="1158">
        <v>0.93998720412438341</v>
      </c>
      <c r="BP39" s="1158">
        <v>0.97736203534757304</v>
      </c>
      <c r="BQ39" s="1158">
        <v>1.0157010159081521</v>
      </c>
      <c r="BR39" s="1158">
        <v>1.0558293316446514</v>
      </c>
      <c r="BS39" s="1158">
        <v>1.0970890302666612</v>
      </c>
      <c r="BT39" s="1158">
        <v>1.141212853974956</v>
      </c>
      <c r="BU39" s="1158">
        <v>1.1872048732030007</v>
      </c>
      <c r="BV39" s="1158">
        <v>1.2362198135980598</v>
      </c>
      <c r="BW39" s="1158">
        <v>1.2881076678342112</v>
      </c>
      <c r="BX39" s="1158">
        <v>1.3432695906015435</v>
      </c>
      <c r="BY39" s="1158">
        <v>1.4006648136687663</v>
      </c>
      <c r="BZ39" s="1158">
        <v>1.4596089910223891</v>
      </c>
      <c r="CA39" s="1158">
        <v>1.5191508205931656</v>
      </c>
      <c r="CB39" s="1158">
        <v>1.5809589908798189</v>
      </c>
      <c r="CC39" s="1158">
        <v>1.6471727153358477</v>
      </c>
      <c r="CD39" s="1158">
        <v>1.7179863175408512</v>
      </c>
      <c r="CE39" s="1158">
        <v>1.7919061148256814</v>
      </c>
      <c r="CF39" s="1158">
        <v>1.8681553038237437</v>
      </c>
      <c r="CG39" s="1158">
        <v>1.9501224859343145</v>
      </c>
      <c r="CH39" s="1158">
        <v>2.039354240523211</v>
      </c>
      <c r="CI39" s="1158">
        <v>2.1353874317094492</v>
      </c>
      <c r="CJ39" s="1158">
        <v>2.7015049710780752</v>
      </c>
      <c r="CK39" s="1158">
        <v>3.350216680552319</v>
      </c>
      <c r="CL39" s="1158">
        <v>4.0437053226094966</v>
      </c>
      <c r="CM39" s="1158">
        <v>4.8017450144298861</v>
      </c>
      <c r="CN39" s="1251">
        <v>0.62553960000000008</v>
      </c>
      <c r="CO39" s="1251">
        <v>0.65146008440520009</v>
      </c>
      <c r="CP39" s="1251">
        <v>0.67801294598547157</v>
      </c>
      <c r="CQ39" s="1251">
        <v>0.70499040309328753</v>
      </c>
      <c r="CR39" s="1251">
        <v>0.73302152651067976</v>
      </c>
      <c r="CS39" s="1251">
        <v>0.76177576193111407</v>
      </c>
      <c r="CT39" s="1251">
        <v>0.79187199873348857</v>
      </c>
      <c r="CU39" s="1251">
        <v>0.82281677269999576</v>
      </c>
      <c r="CV39" s="1251">
        <v>0.85590964048121698</v>
      </c>
      <c r="CW39" s="1251">
        <v>0.89040365490225037</v>
      </c>
      <c r="CX39" s="1251">
        <v>0.92716486019854472</v>
      </c>
      <c r="CY39" s="1251">
        <v>0.96608075087565837</v>
      </c>
      <c r="CZ39" s="1251">
        <v>1.0074521929511575</v>
      </c>
      <c r="DA39" s="1251">
        <v>1.0504986102515745</v>
      </c>
      <c r="DB39" s="1251">
        <v>1.0947067432667916</v>
      </c>
      <c r="DC39" s="1251">
        <v>1.139363115444874</v>
      </c>
      <c r="DD39" s="1251">
        <v>1.1857192431598642</v>
      </c>
      <c r="DE39" s="1251">
        <v>1.2353795365018856</v>
      </c>
      <c r="DF39" s="1251">
        <v>1.2884897381556382</v>
      </c>
      <c r="DG39" s="1251">
        <v>1.3439295861192608</v>
      </c>
      <c r="DH39" s="1251">
        <v>1.4011164778678076</v>
      </c>
      <c r="DI39" s="1251">
        <v>1.4625918644507356</v>
      </c>
      <c r="DJ39" s="1251">
        <v>1.5295156803924079</v>
      </c>
      <c r="DK39" s="1251">
        <v>1.6015405737820867</v>
      </c>
      <c r="DL39" s="1251">
        <v>2.0261287283085561</v>
      </c>
      <c r="DM39" s="1251">
        <v>2.512662510414239</v>
      </c>
      <c r="DN39" s="1251">
        <v>3.0327789919571218</v>
      </c>
      <c r="DO39" s="1251">
        <v>3.6013087608224139</v>
      </c>
      <c r="DP39" s="1158">
        <v>0.52128300000000005</v>
      </c>
      <c r="DQ39" s="1158">
        <v>0.54288340367100008</v>
      </c>
      <c r="DR39" s="1158">
        <v>0.56501078832122631</v>
      </c>
      <c r="DS39" s="1158">
        <v>0.58749200257773959</v>
      </c>
      <c r="DT39" s="1158">
        <v>0.61085127209223311</v>
      </c>
      <c r="DU39" s="1158">
        <v>0.63481313494259506</v>
      </c>
      <c r="DV39" s="1158">
        <v>0.65989333227790714</v>
      </c>
      <c r="DW39" s="1158">
        <v>0.68568064391666317</v>
      </c>
      <c r="DX39" s="1158">
        <v>0.71325803373434749</v>
      </c>
      <c r="DY39" s="1158">
        <v>0.74200304575187537</v>
      </c>
      <c r="DZ39" s="1158">
        <v>0.7726373834987873</v>
      </c>
      <c r="EA39" s="1158">
        <v>0.80506729239638197</v>
      </c>
      <c r="EB39" s="1158">
        <v>0.83954349412596463</v>
      </c>
      <c r="EC39" s="1158">
        <v>0.87541550854297889</v>
      </c>
      <c r="ED39" s="1158">
        <v>0.91225561938899313</v>
      </c>
      <c r="EE39" s="1158">
        <v>0.94946926287072841</v>
      </c>
      <c r="EF39" s="1158">
        <v>0.98809936929988684</v>
      </c>
      <c r="EG39" s="1158">
        <v>1.0294829470849047</v>
      </c>
      <c r="EH39" s="1158">
        <v>1.0737414484630319</v>
      </c>
      <c r="EI39" s="1158">
        <v>1.1199413217660508</v>
      </c>
      <c r="EJ39" s="1158">
        <v>1.1675970648898397</v>
      </c>
      <c r="EK39" s="1158">
        <v>1.2188265537089464</v>
      </c>
      <c r="EL39" s="1158">
        <v>1.2745964003270067</v>
      </c>
      <c r="EM39" s="1158">
        <v>1.3346171448184057</v>
      </c>
      <c r="EN39" s="1158">
        <v>1.6884406069237969</v>
      </c>
      <c r="EO39" s="1158">
        <v>2.0938854253451993</v>
      </c>
      <c r="EP39" s="1158">
        <v>2.527315826630935</v>
      </c>
      <c r="EQ39" s="1158">
        <v>3.0010906340186785</v>
      </c>
      <c r="ER39" s="1313"/>
      <c r="ES39" s="1313"/>
      <c r="ET39" s="1313"/>
      <c r="EU39" s="1313"/>
      <c r="EV39" s="1313"/>
      <c r="EW39" s="1313"/>
      <c r="EX39" s="1313"/>
      <c r="EY39" s="1313"/>
      <c r="EZ39" s="1313"/>
      <c r="FA39" s="1313"/>
      <c r="FB39" s="1313"/>
      <c r="FC39" s="1313"/>
      <c r="FD39" s="1313"/>
      <c r="FE39" s="1313"/>
      <c r="FF39" s="1313"/>
      <c r="FG39" s="1313"/>
      <c r="FH39" s="1313"/>
      <c r="FI39" s="1313"/>
      <c r="FJ39" s="1313"/>
      <c r="FK39" s="1313"/>
      <c r="FL39" s="1313"/>
      <c r="FM39" s="1313"/>
      <c r="FN39" s="1313"/>
      <c r="FO39" s="1313"/>
      <c r="FP39" s="1313"/>
      <c r="FQ39" s="1313"/>
      <c r="FR39" s="1313"/>
      <c r="FS39" s="1313"/>
      <c r="FT39" s="1313"/>
      <c r="FU39" s="1313"/>
      <c r="FV39" s="1313"/>
    </row>
    <row r="40" spans="1:178">
      <c r="A40" s="1504" t="s">
        <v>1013</v>
      </c>
      <c r="B40" s="1504" t="s">
        <v>1012</v>
      </c>
      <c r="C40" s="1509" t="s">
        <v>1017</v>
      </c>
      <c r="G40" s="1519">
        <v>1</v>
      </c>
      <c r="H40" s="1545">
        <v>1.03833</v>
      </c>
      <c r="I40" s="1545">
        <v>1.07695379934</v>
      </c>
      <c r="J40" s="1545">
        <v>1.117554957575118</v>
      </c>
      <c r="K40" s="1545">
        <v>1.1580562667925978</v>
      </c>
      <c r="L40" s="1545">
        <v>1.2015030637538557</v>
      </c>
      <c r="M40" s="1545">
        <v>1.2468682149320101</v>
      </c>
      <c r="N40" s="1545">
        <v>1.295158174028112</v>
      </c>
      <c r="O40" s="1545">
        <v>1.342931378435313</v>
      </c>
      <c r="P40" s="1545">
        <v>1.3943898229941973</v>
      </c>
      <c r="Q40" s="1545">
        <v>1.4477670654184154</v>
      </c>
      <c r="R40" s="1545">
        <v>1.5042068166966867</v>
      </c>
      <c r="S40" s="1545">
        <v>1.563756860362892</v>
      </c>
      <c r="T40" s="1545">
        <v>1.6268153557570255</v>
      </c>
      <c r="U40" s="1545">
        <v>1.6914991611172805</v>
      </c>
      <c r="V40" s="1545">
        <v>1.7577771727473388</v>
      </c>
      <c r="W40" s="1545">
        <v>1.8238643211111207</v>
      </c>
      <c r="X40" s="1545">
        <v>1.891274346419388</v>
      </c>
      <c r="Y40" s="1545">
        <v>1.96480898428252</v>
      </c>
      <c r="Z40" s="1545">
        <v>2.0435565635635791</v>
      </c>
      <c r="AA40" s="1545">
        <v>2.1249514214903167</v>
      </c>
      <c r="AB40" s="1545">
        <v>2.2090038749673662</v>
      </c>
      <c r="AC40" s="1545">
        <v>2.2983713357330462</v>
      </c>
      <c r="AD40" s="1545">
        <v>2.3923425461658274</v>
      </c>
      <c r="AE40" s="1545">
        <v>2.4910362455653523</v>
      </c>
      <c r="AF40" s="1545">
        <v>3.0627368410172227</v>
      </c>
      <c r="AG40" s="1545">
        <v>3.7000638127732239</v>
      </c>
      <c r="AH40" s="1545">
        <v>4.3647061739743185</v>
      </c>
      <c r="AI40" s="1545">
        <v>5.075335925491097</v>
      </c>
      <c r="AJ40" s="1531">
        <v>1.03833</v>
      </c>
      <c r="AK40" s="1526">
        <v>1.07695379934</v>
      </c>
      <c r="AL40" s="1526">
        <v>1.117554957575118</v>
      </c>
      <c r="AM40" s="1526">
        <v>1.1580562667925978</v>
      </c>
      <c r="AN40" s="1526">
        <v>1.2015030637538557</v>
      </c>
      <c r="AO40" s="1526">
        <v>1.2468682149320101</v>
      </c>
      <c r="AP40" s="1526">
        <v>1.295158174028112</v>
      </c>
      <c r="AQ40" s="1526">
        <v>1.342931378435313</v>
      </c>
      <c r="AR40" s="1526">
        <v>1.3943898229941973</v>
      </c>
      <c r="AS40" s="1526">
        <v>1.4477670654184154</v>
      </c>
      <c r="AT40" s="1526">
        <v>1.5042068166966867</v>
      </c>
      <c r="AU40" s="1526">
        <v>1.563756860362892</v>
      </c>
      <c r="AV40" s="1526">
        <v>1.6268153557570255</v>
      </c>
      <c r="AW40" s="1526">
        <v>1.6914991611172805</v>
      </c>
      <c r="AX40" s="1526">
        <v>1.7577771727473388</v>
      </c>
      <c r="AY40" s="1526">
        <v>1.8238643211111207</v>
      </c>
      <c r="AZ40" s="1526">
        <v>1.891274346419388</v>
      </c>
      <c r="BA40" s="1526">
        <v>1.96480898428252</v>
      </c>
      <c r="BB40" s="1526">
        <v>2.0435565635635791</v>
      </c>
      <c r="BC40" s="1526">
        <v>2.1249514214903167</v>
      </c>
      <c r="BD40" s="1526">
        <v>2.2090038749673662</v>
      </c>
      <c r="BE40" s="1526">
        <v>2.2983713357330462</v>
      </c>
      <c r="BF40" s="1526">
        <v>2.3923425461658274</v>
      </c>
      <c r="BG40" s="1526">
        <v>2.4910362455653523</v>
      </c>
      <c r="BH40" s="1526">
        <v>3.0627368410172227</v>
      </c>
      <c r="BI40" s="1526">
        <v>3.7000638127732239</v>
      </c>
      <c r="BJ40" s="1526">
        <v>4.3647061739743185</v>
      </c>
      <c r="BK40" s="1526">
        <v>5.075335925491097</v>
      </c>
      <c r="BL40" s="1158">
        <v>0.83066400000000007</v>
      </c>
      <c r="BM40" s="1158">
        <v>0.86156303947200008</v>
      </c>
      <c r="BN40" s="1158">
        <v>0.89404396606009451</v>
      </c>
      <c r="BO40" s="1158">
        <v>0.92644501343407826</v>
      </c>
      <c r="BP40" s="1158">
        <v>0.96120245100308466</v>
      </c>
      <c r="BQ40" s="1158">
        <v>0.99749457194560809</v>
      </c>
      <c r="BR40" s="1158">
        <v>1.0361265392224897</v>
      </c>
      <c r="BS40" s="1158">
        <v>1.0743451027482505</v>
      </c>
      <c r="BT40" s="1158">
        <v>1.1155118583953578</v>
      </c>
      <c r="BU40" s="1158">
        <v>1.1582136523347324</v>
      </c>
      <c r="BV40" s="1158">
        <v>1.2033654533573495</v>
      </c>
      <c r="BW40" s="1158">
        <v>1.2510054882903137</v>
      </c>
      <c r="BX40" s="1158">
        <v>1.3014522846056205</v>
      </c>
      <c r="BY40" s="1158">
        <v>1.3531993288938244</v>
      </c>
      <c r="BZ40" s="1158">
        <v>1.4062217381978712</v>
      </c>
      <c r="CA40" s="1158">
        <v>1.4590914568888966</v>
      </c>
      <c r="CB40" s="1158">
        <v>1.5130194771355105</v>
      </c>
      <c r="CC40" s="1158">
        <v>1.571847187426016</v>
      </c>
      <c r="CD40" s="1158">
        <v>1.6348452508508633</v>
      </c>
      <c r="CE40" s="1158">
        <v>1.6999611371922534</v>
      </c>
      <c r="CF40" s="1158">
        <v>1.767203099973893</v>
      </c>
      <c r="CG40" s="1158">
        <v>1.838697068586437</v>
      </c>
      <c r="CH40" s="1158">
        <v>1.9138740369326621</v>
      </c>
      <c r="CI40" s="1158">
        <v>1.9928289964522818</v>
      </c>
      <c r="CJ40" s="1158">
        <v>2.4501894728137783</v>
      </c>
      <c r="CK40" s="1158">
        <v>2.9600510502185795</v>
      </c>
      <c r="CL40" s="1158">
        <v>3.491764939179455</v>
      </c>
      <c r="CM40" s="1158">
        <v>4.0602687403928774</v>
      </c>
      <c r="CN40" s="1251">
        <v>0.62299799999999994</v>
      </c>
      <c r="CO40" s="1251">
        <v>0.64617227960400003</v>
      </c>
      <c r="CP40" s="1251">
        <v>0.67053297454507077</v>
      </c>
      <c r="CQ40" s="1251">
        <v>0.69483376007555864</v>
      </c>
      <c r="CR40" s="1251">
        <v>0.72090183825231346</v>
      </c>
      <c r="CS40" s="1251">
        <v>0.74812092895920601</v>
      </c>
      <c r="CT40" s="1251">
        <v>0.77709490441686713</v>
      </c>
      <c r="CU40" s="1251">
        <v>0.80575882706118773</v>
      </c>
      <c r="CV40" s="1251">
        <v>0.83663389379651842</v>
      </c>
      <c r="CW40" s="1251">
        <v>0.86866023925104918</v>
      </c>
      <c r="CX40" s="1251">
        <v>0.90252409001801193</v>
      </c>
      <c r="CY40" s="1251">
        <v>0.93825411621773513</v>
      </c>
      <c r="CZ40" s="1251">
        <v>0.97608921345421529</v>
      </c>
      <c r="DA40" s="1251">
        <v>1.0148994966703682</v>
      </c>
      <c r="DB40" s="1251">
        <v>1.0546663036484032</v>
      </c>
      <c r="DC40" s="1251">
        <v>1.0943185926666723</v>
      </c>
      <c r="DD40" s="1251">
        <v>1.1347646078516327</v>
      </c>
      <c r="DE40" s="1251">
        <v>1.178885390569512</v>
      </c>
      <c r="DF40" s="1251">
        <v>1.2261339381381473</v>
      </c>
      <c r="DG40" s="1251">
        <v>1.2749708528941899</v>
      </c>
      <c r="DH40" s="1251">
        <v>1.3254023249804197</v>
      </c>
      <c r="DI40" s="1251">
        <v>1.3790228014398276</v>
      </c>
      <c r="DJ40" s="1251">
        <v>1.4354055276994964</v>
      </c>
      <c r="DK40" s="1251">
        <v>1.4946217473392114</v>
      </c>
      <c r="DL40" s="1251">
        <v>1.8376421046103335</v>
      </c>
      <c r="DM40" s="1251">
        <v>2.2200382876639342</v>
      </c>
      <c r="DN40" s="1251">
        <v>2.618823704384591</v>
      </c>
      <c r="DO40" s="1251">
        <v>3.0452015552946583</v>
      </c>
      <c r="DP40" s="1158">
        <v>0.51916499999999999</v>
      </c>
      <c r="DQ40" s="1158">
        <v>0.53847689967000001</v>
      </c>
      <c r="DR40" s="1158">
        <v>0.55877747878755901</v>
      </c>
      <c r="DS40" s="1158">
        <v>0.57902813339629888</v>
      </c>
      <c r="DT40" s="1158">
        <v>0.60075153187692787</v>
      </c>
      <c r="DU40" s="1158">
        <v>0.62343410746600503</v>
      </c>
      <c r="DV40" s="1158">
        <v>0.64757908701405598</v>
      </c>
      <c r="DW40" s="1158">
        <v>0.67146568921765648</v>
      </c>
      <c r="DX40" s="1158">
        <v>0.69719491149709867</v>
      </c>
      <c r="DY40" s="1158">
        <v>0.72388353270920769</v>
      </c>
      <c r="DZ40" s="1158">
        <v>0.75210340834834333</v>
      </c>
      <c r="EA40" s="1158">
        <v>0.78187843018144598</v>
      </c>
      <c r="EB40" s="1158">
        <v>0.81340767787851276</v>
      </c>
      <c r="EC40" s="1158">
        <v>0.84574958055864025</v>
      </c>
      <c r="ED40" s="1158">
        <v>0.8788885863736694</v>
      </c>
      <c r="EE40" s="1158">
        <v>0.91193216055556037</v>
      </c>
      <c r="EF40" s="1158">
        <v>0.94563717320969398</v>
      </c>
      <c r="EG40" s="1158">
        <v>0.98240449214126002</v>
      </c>
      <c r="EH40" s="1158">
        <v>1.0217782817817895</v>
      </c>
      <c r="EI40" s="1158">
        <v>1.0624757107451583</v>
      </c>
      <c r="EJ40" s="1158">
        <v>1.1045019374836831</v>
      </c>
      <c r="EK40" s="1158">
        <v>1.1491856678665231</v>
      </c>
      <c r="EL40" s="1158">
        <v>1.1961712730829137</v>
      </c>
      <c r="EM40" s="1158">
        <v>1.2455181227826762</v>
      </c>
      <c r="EN40" s="1158">
        <v>1.5313684205086113</v>
      </c>
      <c r="EO40" s="1158">
        <v>1.850031906386612</v>
      </c>
      <c r="EP40" s="1158">
        <v>2.1823530869871592</v>
      </c>
      <c r="EQ40" s="1158">
        <v>2.5376679627455485</v>
      </c>
      <c r="ER40" s="1313"/>
      <c r="ES40" s="1313"/>
      <c r="ET40" s="1313"/>
      <c r="EU40" s="1313"/>
      <c r="EV40" s="1313"/>
      <c r="EW40" s="1313"/>
      <c r="EX40" s="1313"/>
      <c r="EY40" s="1313"/>
      <c r="EZ40" s="1313"/>
      <c r="FA40" s="1313"/>
      <c r="FB40" s="1313"/>
      <c r="FC40" s="1313"/>
      <c r="FD40" s="1313"/>
      <c r="FE40" s="1313"/>
      <c r="FF40" s="1313"/>
      <c r="FG40" s="1313"/>
      <c r="FH40" s="1313"/>
      <c r="FI40" s="1313"/>
      <c r="FJ40" s="1313"/>
      <c r="FK40" s="1313"/>
      <c r="FL40" s="1313"/>
      <c r="FM40" s="1313"/>
      <c r="FN40" s="1313"/>
      <c r="FO40" s="1313"/>
      <c r="FP40" s="1313"/>
      <c r="FQ40" s="1313"/>
      <c r="FR40" s="1313"/>
      <c r="FS40" s="1313"/>
      <c r="FT40" s="1313"/>
      <c r="FU40" s="1313"/>
      <c r="FV40" s="1313"/>
    </row>
    <row r="41" spans="1:178">
      <c r="A41" s="1504" t="s">
        <v>1011</v>
      </c>
      <c r="B41" s="1504" t="s">
        <v>1010</v>
      </c>
      <c r="C41" s="1509" t="s">
        <v>1016</v>
      </c>
      <c r="G41" s="1519">
        <v>1</v>
      </c>
      <c r="H41" s="1545">
        <v>1.0350820000000001</v>
      </c>
      <c r="I41" s="1545">
        <v>1.0692086535400001</v>
      </c>
      <c r="J41" s="1545">
        <v>1.1063486853293656</v>
      </c>
      <c r="K41" s="1545">
        <v>1.1413679402660959</v>
      </c>
      <c r="L41" s="1545">
        <v>1.1812176605325464</v>
      </c>
      <c r="M41" s="1545">
        <v>1.2246274095571175</v>
      </c>
      <c r="N41" s="1545">
        <v>1.2733026752047842</v>
      </c>
      <c r="O41" s="1545">
        <v>1.3179726796563185</v>
      </c>
      <c r="P41" s="1545">
        <v>1.3665742401913248</v>
      </c>
      <c r="Q41" s="1545">
        <v>1.4167548462911503</v>
      </c>
      <c r="R41" s="1545">
        <v>1.4699256556724574</v>
      </c>
      <c r="S41" s="1545">
        <v>1.5267118236023958</v>
      </c>
      <c r="T41" s="1545">
        <v>1.5878993800687327</v>
      </c>
      <c r="U41" s="1545">
        <v>1.6493145643916511</v>
      </c>
      <c r="V41" s="1545">
        <v>1.7108521401036683</v>
      </c>
      <c r="W41" s="1545">
        <v>1.7677619256920767</v>
      </c>
      <c r="X41" s="1545">
        <v>1.8215054237569672</v>
      </c>
      <c r="Y41" s="1545">
        <v>1.8839466296833562</v>
      </c>
      <c r="Z41" s="1545">
        <v>1.953364411147299</v>
      </c>
      <c r="AA41" s="1545">
        <v>2.024402414687493</v>
      </c>
      <c r="AB41" s="1545">
        <v>2.0973153164572924</v>
      </c>
      <c r="AC41" s="1545">
        <v>2.174924372427478</v>
      </c>
      <c r="AD41" s="1545">
        <v>2.2534739410620688</v>
      </c>
      <c r="AE41" s="1545">
        <v>2.3341190129908571</v>
      </c>
      <c r="AF41" s="1545">
        <v>2.7936538412010776</v>
      </c>
      <c r="AG41" s="1545">
        <v>3.2928278510282598</v>
      </c>
      <c r="AH41" s="1545">
        <v>3.8013879415712362</v>
      </c>
      <c r="AI41" s="1545">
        <v>4.33394450236446</v>
      </c>
      <c r="AJ41" s="1531">
        <v>1.0350820000000001</v>
      </c>
      <c r="AK41" s="1526">
        <v>1.0692086535400001</v>
      </c>
      <c r="AL41" s="1526">
        <v>1.1063486853293656</v>
      </c>
      <c r="AM41" s="1526">
        <v>1.1413679402660959</v>
      </c>
      <c r="AN41" s="1526">
        <v>1.1812176605325464</v>
      </c>
      <c r="AO41" s="1526">
        <v>1.2246274095571175</v>
      </c>
      <c r="AP41" s="1526">
        <v>1.2733026752047842</v>
      </c>
      <c r="AQ41" s="1526">
        <v>1.3179726796563185</v>
      </c>
      <c r="AR41" s="1526">
        <v>1.3665742401913248</v>
      </c>
      <c r="AS41" s="1526">
        <v>1.4167548462911503</v>
      </c>
      <c r="AT41" s="1526">
        <v>1.4699256556724574</v>
      </c>
      <c r="AU41" s="1526">
        <v>1.5267118236023958</v>
      </c>
      <c r="AV41" s="1526">
        <v>1.5878993800687327</v>
      </c>
      <c r="AW41" s="1526">
        <v>1.6493145643916511</v>
      </c>
      <c r="AX41" s="1526">
        <v>1.7108521401036683</v>
      </c>
      <c r="AY41" s="1526">
        <v>1.7677619256920767</v>
      </c>
      <c r="AZ41" s="1526">
        <v>1.8215054237569672</v>
      </c>
      <c r="BA41" s="1526">
        <v>1.8839466296833562</v>
      </c>
      <c r="BB41" s="1526">
        <v>1.953364411147299</v>
      </c>
      <c r="BC41" s="1526">
        <v>2.024402414687493</v>
      </c>
      <c r="BD41" s="1526">
        <v>2.0973153164572924</v>
      </c>
      <c r="BE41" s="1526">
        <v>2.174924372427478</v>
      </c>
      <c r="BF41" s="1526">
        <v>2.2534739410620688</v>
      </c>
      <c r="BG41" s="1526">
        <v>2.3341190129908571</v>
      </c>
      <c r="BH41" s="1526">
        <v>2.7936538412010776</v>
      </c>
      <c r="BI41" s="1526">
        <v>3.2928278510282598</v>
      </c>
      <c r="BJ41" s="1526">
        <v>3.8013879415712362</v>
      </c>
      <c r="BK41" s="1526">
        <v>4.33394450236446</v>
      </c>
      <c r="BL41" s="1158">
        <v>0.82806560000000007</v>
      </c>
      <c r="BM41" s="1158">
        <v>0.85536692283200011</v>
      </c>
      <c r="BN41" s="1158">
        <v>0.88507894826349254</v>
      </c>
      <c r="BO41" s="1158">
        <v>0.91309435221287671</v>
      </c>
      <c r="BP41" s="1158">
        <v>0.94497412842603712</v>
      </c>
      <c r="BQ41" s="1158">
        <v>0.97970192764569397</v>
      </c>
      <c r="BR41" s="1158">
        <v>1.0186421401638275</v>
      </c>
      <c r="BS41" s="1158">
        <v>1.0543781437250548</v>
      </c>
      <c r="BT41" s="1158">
        <v>1.0932593921530598</v>
      </c>
      <c r="BU41" s="1158">
        <v>1.1334038770329202</v>
      </c>
      <c r="BV41" s="1158">
        <v>1.1759405245379659</v>
      </c>
      <c r="BW41" s="1158">
        <v>1.2213694588819166</v>
      </c>
      <c r="BX41" s="1158">
        <v>1.2703195040549862</v>
      </c>
      <c r="BY41" s="1158">
        <v>1.319451651513321</v>
      </c>
      <c r="BZ41" s="1158">
        <v>1.3686817120829347</v>
      </c>
      <c r="CA41" s="1158">
        <v>1.4142095405536614</v>
      </c>
      <c r="CB41" s="1158">
        <v>1.4572043390055738</v>
      </c>
      <c r="CC41" s="1158">
        <v>1.507157303746685</v>
      </c>
      <c r="CD41" s="1158">
        <v>1.5626915289178394</v>
      </c>
      <c r="CE41" s="1158">
        <v>1.6195219317499945</v>
      </c>
      <c r="CF41" s="1158">
        <v>1.677852253165834</v>
      </c>
      <c r="CG41" s="1158">
        <v>1.7399394979419824</v>
      </c>
      <c r="CH41" s="1158">
        <v>1.8027791528496551</v>
      </c>
      <c r="CI41" s="1158">
        <v>1.8672952103926859</v>
      </c>
      <c r="CJ41" s="1158">
        <v>2.234923072960862</v>
      </c>
      <c r="CK41" s="1158">
        <v>2.6342622808226079</v>
      </c>
      <c r="CL41" s="1158">
        <v>3.0411103532569892</v>
      </c>
      <c r="CM41" s="1158">
        <v>3.4671556018915681</v>
      </c>
      <c r="CN41" s="1251">
        <v>0.62104919999999997</v>
      </c>
      <c r="CO41" s="1251">
        <v>0.64152519212400005</v>
      </c>
      <c r="CP41" s="1251">
        <v>0.66380921119761938</v>
      </c>
      <c r="CQ41" s="1251">
        <v>0.68482076415965754</v>
      </c>
      <c r="CR41" s="1251">
        <v>0.70873059631952784</v>
      </c>
      <c r="CS41" s="1251">
        <v>0.73477644573427048</v>
      </c>
      <c r="CT41" s="1251">
        <v>0.7639816051228705</v>
      </c>
      <c r="CU41" s="1251">
        <v>0.79078360779379109</v>
      </c>
      <c r="CV41" s="1251">
        <v>0.81994454411479489</v>
      </c>
      <c r="CW41" s="1251">
        <v>0.85005290777469023</v>
      </c>
      <c r="CX41" s="1251">
        <v>0.8819553934034744</v>
      </c>
      <c r="CY41" s="1251">
        <v>0.91602709416143746</v>
      </c>
      <c r="CZ41" s="1251">
        <v>0.95273962804123957</v>
      </c>
      <c r="DA41" s="1251">
        <v>0.98958873863499064</v>
      </c>
      <c r="DB41" s="1251">
        <v>1.0265112840622008</v>
      </c>
      <c r="DC41" s="1251">
        <v>1.060657155415246</v>
      </c>
      <c r="DD41" s="1251">
        <v>1.0929032542541803</v>
      </c>
      <c r="DE41" s="1251">
        <v>1.1303679778100137</v>
      </c>
      <c r="DF41" s="1251">
        <v>1.1720186466883793</v>
      </c>
      <c r="DG41" s="1251">
        <v>1.2146414488124957</v>
      </c>
      <c r="DH41" s="1251">
        <v>1.2583891898743753</v>
      </c>
      <c r="DI41" s="1251">
        <v>1.3049546234564868</v>
      </c>
      <c r="DJ41" s="1251">
        <v>1.3520843646372411</v>
      </c>
      <c r="DK41" s="1251">
        <v>1.4004714077945142</v>
      </c>
      <c r="DL41" s="1251">
        <v>1.6761923047206466</v>
      </c>
      <c r="DM41" s="1251">
        <v>1.9756967106169558</v>
      </c>
      <c r="DN41" s="1251">
        <v>2.2808327649427418</v>
      </c>
      <c r="DO41" s="1251">
        <v>2.6003667014186758</v>
      </c>
      <c r="DP41" s="1158">
        <v>0.51754100000000003</v>
      </c>
      <c r="DQ41" s="1158">
        <v>0.53460432677000003</v>
      </c>
      <c r="DR41" s="1158">
        <v>0.55317434266468279</v>
      </c>
      <c r="DS41" s="1158">
        <v>0.57068397013304795</v>
      </c>
      <c r="DT41" s="1158">
        <v>0.5906088302662732</v>
      </c>
      <c r="DU41" s="1158">
        <v>0.61231370477855873</v>
      </c>
      <c r="DV41" s="1158">
        <v>0.63665133760239212</v>
      </c>
      <c r="DW41" s="1158">
        <v>0.65898633982815924</v>
      </c>
      <c r="DX41" s="1158">
        <v>0.68328712009566239</v>
      </c>
      <c r="DY41" s="1158">
        <v>0.70837742314557517</v>
      </c>
      <c r="DZ41" s="1158">
        <v>0.73496282783622868</v>
      </c>
      <c r="EA41" s="1158">
        <v>0.76335591180119788</v>
      </c>
      <c r="EB41" s="1158">
        <v>0.79394969003436633</v>
      </c>
      <c r="EC41" s="1158">
        <v>0.82465728219582557</v>
      </c>
      <c r="ED41" s="1158">
        <v>0.85542607005183413</v>
      </c>
      <c r="EE41" s="1158">
        <v>0.88388096284603834</v>
      </c>
      <c r="EF41" s="1158">
        <v>0.91075271187848361</v>
      </c>
      <c r="EG41" s="1158">
        <v>0.94197331484167812</v>
      </c>
      <c r="EH41" s="1158">
        <v>0.97668220557364949</v>
      </c>
      <c r="EI41" s="1158">
        <v>1.0122012073437465</v>
      </c>
      <c r="EJ41" s="1158">
        <v>1.0486576582286462</v>
      </c>
      <c r="EK41" s="1158">
        <v>1.087462186213739</v>
      </c>
      <c r="EL41" s="1158">
        <v>1.1267369705310344</v>
      </c>
      <c r="EM41" s="1158">
        <v>1.1670595064954286</v>
      </c>
      <c r="EN41" s="1158">
        <v>1.3968269206005388</v>
      </c>
      <c r="EO41" s="1158">
        <v>1.6464139255141299</v>
      </c>
      <c r="EP41" s="1158">
        <v>1.9006939707856181</v>
      </c>
      <c r="EQ41" s="1158">
        <v>2.16697225118223</v>
      </c>
      <c r="ER41" s="1313"/>
      <c r="ES41" s="1313"/>
      <c r="ET41" s="1313"/>
      <c r="EU41" s="1313"/>
      <c r="EV41" s="1313"/>
      <c r="EW41" s="1313"/>
      <c r="EX41" s="1313"/>
      <c r="EY41" s="1313"/>
      <c r="EZ41" s="1313"/>
      <c r="FA41" s="1313"/>
      <c r="FB41" s="1313"/>
      <c r="FC41" s="1313"/>
      <c r="FD41" s="1313"/>
      <c r="FE41" s="1313"/>
      <c r="FF41" s="1313"/>
      <c r="FG41" s="1313"/>
      <c r="FH41" s="1313"/>
      <c r="FI41" s="1313"/>
      <c r="FJ41" s="1313"/>
      <c r="FK41" s="1313"/>
      <c r="FL41" s="1313"/>
      <c r="FM41" s="1313"/>
      <c r="FN41" s="1313"/>
      <c r="FO41" s="1313"/>
      <c r="FP41" s="1313"/>
      <c r="FQ41" s="1313"/>
      <c r="FR41" s="1313"/>
      <c r="FS41" s="1313"/>
      <c r="FT41" s="1313"/>
      <c r="FU41" s="1313"/>
      <c r="FV41" s="1313"/>
    </row>
    <row r="42" spans="1:178">
      <c r="A42" s="1504" t="s">
        <v>1009</v>
      </c>
      <c r="B42" s="1504" t="s">
        <v>1008</v>
      </c>
      <c r="C42" s="1509" t="s">
        <v>1017</v>
      </c>
      <c r="G42" s="1519">
        <v>1</v>
      </c>
      <c r="H42" s="1545">
        <v>1.040376</v>
      </c>
      <c r="I42" s="1545">
        <v>1.0794348361680002</v>
      </c>
      <c r="J42" s="1545">
        <v>1.1197279797324793</v>
      </c>
      <c r="K42" s="1545">
        <v>1.1590304318210891</v>
      </c>
      <c r="L42" s="1545">
        <v>1.2015007839343093</v>
      </c>
      <c r="M42" s="1545">
        <v>1.2487510037633098</v>
      </c>
      <c r="N42" s="1545">
        <v>1.3032976963586951</v>
      </c>
      <c r="O42" s="1545">
        <v>1.3575096673364313</v>
      </c>
      <c r="P42" s="1545">
        <v>1.4148400156073835</v>
      </c>
      <c r="Q42" s="1545">
        <v>1.474723119267966</v>
      </c>
      <c r="R42" s="1545">
        <v>1.5390829856390584</v>
      </c>
      <c r="S42" s="1545">
        <v>1.60870032632847</v>
      </c>
      <c r="T42" s="1545">
        <v>1.685287331464316</v>
      </c>
      <c r="U42" s="1545">
        <v>1.7645548210997399</v>
      </c>
      <c r="V42" s="1545">
        <v>1.8441732991825812</v>
      </c>
      <c r="W42" s="1545">
        <v>1.9176064357827325</v>
      </c>
      <c r="X42" s="1545">
        <v>1.9839920529830948</v>
      </c>
      <c r="Y42" s="1545">
        <v>2.0570922401752569</v>
      </c>
      <c r="Z42" s="1545">
        <v>2.140651326971176</v>
      </c>
      <c r="AA42" s="1545">
        <v>2.2289831633273147</v>
      </c>
      <c r="AB42" s="1545">
        <v>2.3203803889563881</v>
      </c>
      <c r="AC42" s="1545">
        <v>2.4194861557491043</v>
      </c>
      <c r="AD42" s="1545">
        <v>2.52072713445027</v>
      </c>
      <c r="AE42" s="1545">
        <v>2.6207596700537947</v>
      </c>
      <c r="AF42" s="1545">
        <v>3.1974886552744937</v>
      </c>
      <c r="AG42" s="1545">
        <v>3.8356612917096502</v>
      </c>
      <c r="AH42" s="1545">
        <v>4.4967482727180528</v>
      </c>
      <c r="AI42" s="1545">
        <v>5.1993744681540495</v>
      </c>
      <c r="AJ42" s="1531">
        <v>1.040376</v>
      </c>
      <c r="AK42" s="1526">
        <v>1.0794348361680002</v>
      </c>
      <c r="AL42" s="1526">
        <v>1.1197279797324793</v>
      </c>
      <c r="AM42" s="1526">
        <v>1.1590304318210891</v>
      </c>
      <c r="AN42" s="1526">
        <v>1.2015007839343093</v>
      </c>
      <c r="AO42" s="1526">
        <v>1.2487510037633098</v>
      </c>
      <c r="AP42" s="1526">
        <v>1.3032976963586951</v>
      </c>
      <c r="AQ42" s="1526">
        <v>1.3575096673364313</v>
      </c>
      <c r="AR42" s="1526">
        <v>1.4148400156073835</v>
      </c>
      <c r="AS42" s="1526">
        <v>1.474723119267966</v>
      </c>
      <c r="AT42" s="1526">
        <v>1.5390829856390584</v>
      </c>
      <c r="AU42" s="1526">
        <v>1.60870032632847</v>
      </c>
      <c r="AV42" s="1526">
        <v>1.685287331464316</v>
      </c>
      <c r="AW42" s="1526">
        <v>1.7645548210997399</v>
      </c>
      <c r="AX42" s="1526">
        <v>1.8441732991825812</v>
      </c>
      <c r="AY42" s="1526">
        <v>1.9176064357827325</v>
      </c>
      <c r="AZ42" s="1526">
        <v>1.9839920529830948</v>
      </c>
      <c r="BA42" s="1526">
        <v>2.0570922401752569</v>
      </c>
      <c r="BB42" s="1526">
        <v>2.140651326971176</v>
      </c>
      <c r="BC42" s="1526">
        <v>2.2289831633273147</v>
      </c>
      <c r="BD42" s="1526">
        <v>2.3203803889563881</v>
      </c>
      <c r="BE42" s="1526">
        <v>2.4194861557491043</v>
      </c>
      <c r="BF42" s="1526">
        <v>2.52072713445027</v>
      </c>
      <c r="BG42" s="1526">
        <v>2.6207596700537947</v>
      </c>
      <c r="BH42" s="1526">
        <v>3.1974886552744937</v>
      </c>
      <c r="BI42" s="1526">
        <v>3.8356612917096502</v>
      </c>
      <c r="BJ42" s="1526">
        <v>4.4967482727180528</v>
      </c>
      <c r="BK42" s="1526">
        <v>5.1993744681540495</v>
      </c>
      <c r="BL42" s="1158">
        <v>0.83230080000000006</v>
      </c>
      <c r="BM42" s="1158">
        <v>0.86354786893440016</v>
      </c>
      <c r="BN42" s="1158">
        <v>0.89578238378598352</v>
      </c>
      <c r="BO42" s="1158">
        <v>0.92722434545687138</v>
      </c>
      <c r="BP42" s="1158">
        <v>0.96120062714744747</v>
      </c>
      <c r="BQ42" s="1158">
        <v>0.99900080301064786</v>
      </c>
      <c r="BR42" s="1158">
        <v>1.0426381570869561</v>
      </c>
      <c r="BS42" s="1158">
        <v>1.0860077338691452</v>
      </c>
      <c r="BT42" s="1158">
        <v>1.1318720124859067</v>
      </c>
      <c r="BU42" s="1158">
        <v>1.1797784954143729</v>
      </c>
      <c r="BV42" s="1158">
        <v>1.2312663885112469</v>
      </c>
      <c r="BW42" s="1158">
        <v>1.2869602610627762</v>
      </c>
      <c r="BX42" s="1158">
        <v>1.3482298651714528</v>
      </c>
      <c r="BY42" s="1158">
        <v>1.411643856879792</v>
      </c>
      <c r="BZ42" s="1158">
        <v>1.475338639346065</v>
      </c>
      <c r="CA42" s="1158">
        <v>1.5340851486261862</v>
      </c>
      <c r="CB42" s="1158">
        <v>1.5871936423864759</v>
      </c>
      <c r="CC42" s="1158">
        <v>1.6456737921402056</v>
      </c>
      <c r="CD42" s="1158">
        <v>1.7125210615769408</v>
      </c>
      <c r="CE42" s="1158">
        <v>1.783186530661852</v>
      </c>
      <c r="CF42" s="1158">
        <v>1.8563043111651105</v>
      </c>
      <c r="CG42" s="1158">
        <v>1.9355889245992834</v>
      </c>
      <c r="CH42" s="1158">
        <v>2.0165817075602162</v>
      </c>
      <c r="CI42" s="1158">
        <v>2.096607736043036</v>
      </c>
      <c r="CJ42" s="1158">
        <v>2.5579909242195953</v>
      </c>
      <c r="CK42" s="1158">
        <v>3.0685290333677204</v>
      </c>
      <c r="CL42" s="1158">
        <v>3.5973986181744424</v>
      </c>
      <c r="CM42" s="1158">
        <v>4.1594995745232399</v>
      </c>
      <c r="CN42" s="1251">
        <v>0.62422559999999994</v>
      </c>
      <c r="CO42" s="1251">
        <v>0.64766090170080004</v>
      </c>
      <c r="CP42" s="1251">
        <v>0.67183678783948753</v>
      </c>
      <c r="CQ42" s="1251">
        <v>0.69541825909265342</v>
      </c>
      <c r="CR42" s="1251">
        <v>0.72090047036058558</v>
      </c>
      <c r="CS42" s="1251">
        <v>0.7492506022579859</v>
      </c>
      <c r="CT42" s="1251">
        <v>0.78197861781521705</v>
      </c>
      <c r="CU42" s="1251">
        <v>0.81450580040185871</v>
      </c>
      <c r="CV42" s="1251">
        <v>0.84890400936443011</v>
      </c>
      <c r="CW42" s="1251">
        <v>0.88483387156077953</v>
      </c>
      <c r="CX42" s="1251">
        <v>0.92344979138343497</v>
      </c>
      <c r="CY42" s="1251">
        <v>0.96522019579708196</v>
      </c>
      <c r="CZ42" s="1251">
        <v>1.0111723988785895</v>
      </c>
      <c r="DA42" s="1251">
        <v>1.0587328926598438</v>
      </c>
      <c r="DB42" s="1251">
        <v>1.1065039795095486</v>
      </c>
      <c r="DC42" s="1251">
        <v>1.1505638614696394</v>
      </c>
      <c r="DD42" s="1251">
        <v>1.1903952317898567</v>
      </c>
      <c r="DE42" s="1251">
        <v>1.234255344105154</v>
      </c>
      <c r="DF42" s="1251">
        <v>1.2843907961827055</v>
      </c>
      <c r="DG42" s="1251">
        <v>1.3373898979963887</v>
      </c>
      <c r="DH42" s="1251">
        <v>1.3922282333738327</v>
      </c>
      <c r="DI42" s="1251">
        <v>1.4516916934494626</v>
      </c>
      <c r="DJ42" s="1251">
        <v>1.5124362806701619</v>
      </c>
      <c r="DK42" s="1251">
        <v>1.5724558020322768</v>
      </c>
      <c r="DL42" s="1251">
        <v>1.918493193164696</v>
      </c>
      <c r="DM42" s="1251">
        <v>2.3013967750257902</v>
      </c>
      <c r="DN42" s="1251">
        <v>2.6980489636308316</v>
      </c>
      <c r="DO42" s="1251">
        <v>3.1196246808924295</v>
      </c>
      <c r="DP42" s="1158">
        <v>0.52018799999999998</v>
      </c>
      <c r="DQ42" s="1158">
        <v>0.53971741808400009</v>
      </c>
      <c r="DR42" s="1158">
        <v>0.55986398986623964</v>
      </c>
      <c r="DS42" s="1158">
        <v>0.57951521591054456</v>
      </c>
      <c r="DT42" s="1158">
        <v>0.60075039196715463</v>
      </c>
      <c r="DU42" s="1158">
        <v>0.62437550188165492</v>
      </c>
      <c r="DV42" s="1158">
        <v>0.65164884817934754</v>
      </c>
      <c r="DW42" s="1158">
        <v>0.67875483366821565</v>
      </c>
      <c r="DX42" s="1158">
        <v>0.70742000780369174</v>
      </c>
      <c r="DY42" s="1158">
        <v>0.73736155963398298</v>
      </c>
      <c r="DZ42" s="1158">
        <v>0.76954149281952922</v>
      </c>
      <c r="EA42" s="1158">
        <v>0.80435016316423502</v>
      </c>
      <c r="EB42" s="1158">
        <v>0.84264366573215799</v>
      </c>
      <c r="EC42" s="1158">
        <v>0.88227741054986997</v>
      </c>
      <c r="ED42" s="1158">
        <v>0.92208664959129061</v>
      </c>
      <c r="EE42" s="1158">
        <v>0.95880321789136624</v>
      </c>
      <c r="EF42" s="1158">
        <v>0.99199602649154739</v>
      </c>
      <c r="EG42" s="1158">
        <v>1.0285461200876285</v>
      </c>
      <c r="EH42" s="1158">
        <v>1.070325663485588</v>
      </c>
      <c r="EI42" s="1158">
        <v>1.1144915816636574</v>
      </c>
      <c r="EJ42" s="1158">
        <v>1.160190194478194</v>
      </c>
      <c r="EK42" s="1158">
        <v>1.2097430778745522</v>
      </c>
      <c r="EL42" s="1158">
        <v>1.260363567225135</v>
      </c>
      <c r="EM42" s="1158">
        <v>1.3103798350268974</v>
      </c>
      <c r="EN42" s="1158">
        <v>1.5987443276372468</v>
      </c>
      <c r="EO42" s="1158">
        <v>1.9178306458548251</v>
      </c>
      <c r="EP42" s="1158">
        <v>2.2483741363590264</v>
      </c>
      <c r="EQ42" s="1158">
        <v>2.5996872340770247</v>
      </c>
      <c r="ER42" s="1313"/>
      <c r="ES42" s="1313"/>
      <c r="ET42" s="1313"/>
      <c r="EU42" s="1313"/>
      <c r="EV42" s="1313"/>
      <c r="EW42" s="1313"/>
      <c r="EX42" s="1313"/>
      <c r="EY42" s="1313"/>
      <c r="EZ42" s="1313"/>
      <c r="FA42" s="1313"/>
      <c r="FB42" s="1313"/>
      <c r="FC42" s="1313"/>
      <c r="FD42" s="1313"/>
      <c r="FE42" s="1313"/>
      <c r="FF42" s="1313"/>
      <c r="FG42" s="1313"/>
      <c r="FH42" s="1313"/>
      <c r="FI42" s="1313"/>
      <c r="FJ42" s="1313"/>
      <c r="FK42" s="1313"/>
      <c r="FL42" s="1313"/>
      <c r="FM42" s="1313"/>
      <c r="FN42" s="1313"/>
      <c r="FO42" s="1313"/>
      <c r="FP42" s="1313"/>
      <c r="FQ42" s="1313"/>
      <c r="FR42" s="1313"/>
      <c r="FS42" s="1313"/>
      <c r="FT42" s="1313"/>
      <c r="FU42" s="1313"/>
      <c r="FV42" s="1313"/>
    </row>
    <row r="43" spans="1:178">
      <c r="A43" s="1504" t="s">
        <v>1007</v>
      </c>
      <c r="B43" s="1504" t="s">
        <v>1006</v>
      </c>
      <c r="C43" s="1509" t="s">
        <v>1017</v>
      </c>
      <c r="G43" s="1519">
        <v>1</v>
      </c>
      <c r="H43" s="1545">
        <v>1.0425489999999999</v>
      </c>
      <c r="I43" s="1545">
        <v>1.0868302262259999</v>
      </c>
      <c r="J43" s="1545">
        <v>1.1311728994560206</v>
      </c>
      <c r="K43" s="1545">
        <v>1.1783405470175379</v>
      </c>
      <c r="L43" s="1545">
        <v>1.2256120347422403</v>
      </c>
      <c r="M43" s="1545">
        <v>1.273033415590487</v>
      </c>
      <c r="N43" s="1545">
        <v>1.3207912641763642</v>
      </c>
      <c r="O43" s="1545">
        <v>1.3741195322587489</v>
      </c>
      <c r="P43" s="1545">
        <v>1.4297727474347603</v>
      </c>
      <c r="Q43" s="1545">
        <v>1.4874955327941966</v>
      </c>
      <c r="R43" s="1545">
        <v>1.5483103001569543</v>
      </c>
      <c r="S43" s="1545">
        <v>1.6116052252273705</v>
      </c>
      <c r="T43" s="1545">
        <v>1.6774425218883593</v>
      </c>
      <c r="U43" s="1545">
        <v>1.7470295474663762</v>
      </c>
      <c r="V43" s="1545">
        <v>1.8193530766723893</v>
      </c>
      <c r="W43" s="1545">
        <v>1.8959714927902938</v>
      </c>
      <c r="X43" s="1545">
        <v>1.9784026453823373</v>
      </c>
      <c r="Y43" s="1545">
        <v>2.0625480666957388</v>
      </c>
      <c r="Z43" s="1545">
        <v>2.1497608491479014</v>
      </c>
      <c r="AA43" s="1545">
        <v>2.2414459996032101</v>
      </c>
      <c r="AB43" s="1545">
        <v>2.336467619864389</v>
      </c>
      <c r="AC43" s="1545">
        <v>2.43741703984825</v>
      </c>
      <c r="AD43" s="1545">
        <v>2.5486510038787649</v>
      </c>
      <c r="AE43" s="1545">
        <v>2.6685930687723034</v>
      </c>
      <c r="AF43" s="1545">
        <v>3.3755924148881027</v>
      </c>
      <c r="AG43" s="1545">
        <v>4.185629540928935</v>
      </c>
      <c r="AH43" s="1545">
        <v>5.0514726562512742</v>
      </c>
      <c r="AI43" s="1545">
        <v>5.9978061775828868</v>
      </c>
      <c r="AJ43" s="1531">
        <v>1.0425489999999999</v>
      </c>
      <c r="AK43" s="1526">
        <v>1.0868302262259999</v>
      </c>
      <c r="AL43" s="1526">
        <v>1.1311728994560206</v>
      </c>
      <c r="AM43" s="1526">
        <v>1.1783405470175379</v>
      </c>
      <c r="AN43" s="1526">
        <v>1.2256120347422403</v>
      </c>
      <c r="AO43" s="1526">
        <v>1.273033415590487</v>
      </c>
      <c r="AP43" s="1526">
        <v>1.3207912641763642</v>
      </c>
      <c r="AQ43" s="1526">
        <v>1.3741195322587489</v>
      </c>
      <c r="AR43" s="1526">
        <v>1.4297727474347603</v>
      </c>
      <c r="AS43" s="1526">
        <v>1.4874955327941966</v>
      </c>
      <c r="AT43" s="1526">
        <v>1.5483103001569543</v>
      </c>
      <c r="AU43" s="1526">
        <v>1.6116052252273705</v>
      </c>
      <c r="AV43" s="1526">
        <v>1.6774425218883593</v>
      </c>
      <c r="AW43" s="1526">
        <v>1.7470295474663762</v>
      </c>
      <c r="AX43" s="1526">
        <v>1.8193530766723893</v>
      </c>
      <c r="AY43" s="1526">
        <v>1.8959714927902938</v>
      </c>
      <c r="AZ43" s="1526">
        <v>1.9784026453823373</v>
      </c>
      <c r="BA43" s="1526">
        <v>2.0625480666957388</v>
      </c>
      <c r="BB43" s="1526">
        <v>2.1497608491479014</v>
      </c>
      <c r="BC43" s="1526">
        <v>2.2414459996032101</v>
      </c>
      <c r="BD43" s="1526">
        <v>2.336467619864389</v>
      </c>
      <c r="BE43" s="1526">
        <v>2.43741703984825</v>
      </c>
      <c r="BF43" s="1526">
        <v>2.5486510038787649</v>
      </c>
      <c r="BG43" s="1526">
        <v>2.6685930687723034</v>
      </c>
      <c r="BH43" s="1526">
        <v>3.3755924148881027</v>
      </c>
      <c r="BI43" s="1526">
        <v>4.185629540928935</v>
      </c>
      <c r="BJ43" s="1526">
        <v>5.0514726562512742</v>
      </c>
      <c r="BK43" s="1526">
        <v>5.9978061775828868</v>
      </c>
      <c r="BL43" s="1158">
        <v>0.83403919999999998</v>
      </c>
      <c r="BM43" s="1158">
        <v>0.86946418098079992</v>
      </c>
      <c r="BN43" s="1158">
        <v>0.90493831956481652</v>
      </c>
      <c r="BO43" s="1158">
        <v>0.9426724376140303</v>
      </c>
      <c r="BP43" s="1158">
        <v>0.98048962779379234</v>
      </c>
      <c r="BQ43" s="1158">
        <v>1.0184267324723897</v>
      </c>
      <c r="BR43" s="1158">
        <v>1.0566330113410913</v>
      </c>
      <c r="BS43" s="1158">
        <v>1.0992956258069992</v>
      </c>
      <c r="BT43" s="1158">
        <v>1.1438181979478084</v>
      </c>
      <c r="BU43" s="1158">
        <v>1.1899964262353573</v>
      </c>
      <c r="BV43" s="1158">
        <v>1.2386482401255634</v>
      </c>
      <c r="BW43" s="1158">
        <v>1.2892841801818964</v>
      </c>
      <c r="BX43" s="1158">
        <v>1.3419540175106874</v>
      </c>
      <c r="BY43" s="1158">
        <v>1.3976236379731011</v>
      </c>
      <c r="BZ43" s="1158">
        <v>1.4554824613379116</v>
      </c>
      <c r="CA43" s="1158">
        <v>1.516777194232235</v>
      </c>
      <c r="CB43" s="1158">
        <v>1.58272211630587</v>
      </c>
      <c r="CC43" s="1158">
        <v>1.6500384533565911</v>
      </c>
      <c r="CD43" s="1158">
        <v>1.7198086793183212</v>
      </c>
      <c r="CE43" s="1158">
        <v>1.7931567996825681</v>
      </c>
      <c r="CF43" s="1158">
        <v>1.8691740958915113</v>
      </c>
      <c r="CG43" s="1158">
        <v>1.9499336318786</v>
      </c>
      <c r="CH43" s="1158">
        <v>2.0389208031030122</v>
      </c>
      <c r="CI43" s="1158">
        <v>2.1348744550178429</v>
      </c>
      <c r="CJ43" s="1158">
        <v>2.7004739319104822</v>
      </c>
      <c r="CK43" s="1158">
        <v>3.3485036327431481</v>
      </c>
      <c r="CL43" s="1158">
        <v>4.0411781250010197</v>
      </c>
      <c r="CM43" s="1158">
        <v>4.7982449420663098</v>
      </c>
      <c r="CN43" s="1251">
        <v>0.6255293999999999</v>
      </c>
      <c r="CO43" s="1251">
        <v>0.65209813573559994</v>
      </c>
      <c r="CP43" s="1251">
        <v>0.67870373967361231</v>
      </c>
      <c r="CQ43" s="1251">
        <v>0.70700432821052273</v>
      </c>
      <c r="CR43" s="1251">
        <v>0.73536722084534423</v>
      </c>
      <c r="CS43" s="1251">
        <v>0.76382004935429215</v>
      </c>
      <c r="CT43" s="1251">
        <v>0.7924747585058185</v>
      </c>
      <c r="CU43" s="1251">
        <v>0.82447171935524932</v>
      </c>
      <c r="CV43" s="1251">
        <v>0.85786364846085617</v>
      </c>
      <c r="CW43" s="1251">
        <v>0.89249731967651791</v>
      </c>
      <c r="CX43" s="1251">
        <v>0.92898618009417255</v>
      </c>
      <c r="CY43" s="1251">
        <v>0.96696313513642229</v>
      </c>
      <c r="CZ43" s="1251">
        <v>1.0064655131330156</v>
      </c>
      <c r="DA43" s="1251">
        <v>1.0482177284798257</v>
      </c>
      <c r="DB43" s="1251">
        <v>1.0916118460034336</v>
      </c>
      <c r="DC43" s="1251">
        <v>1.1375828956741763</v>
      </c>
      <c r="DD43" s="1251">
        <v>1.1870415872294025</v>
      </c>
      <c r="DE43" s="1251">
        <v>1.2375288400174431</v>
      </c>
      <c r="DF43" s="1251">
        <v>1.2898565094887409</v>
      </c>
      <c r="DG43" s="1251">
        <v>1.3448675997619259</v>
      </c>
      <c r="DH43" s="1251">
        <v>1.4018805719186334</v>
      </c>
      <c r="DI43" s="1251">
        <v>1.4624502239089499</v>
      </c>
      <c r="DJ43" s="1251">
        <v>1.5291906023272588</v>
      </c>
      <c r="DK43" s="1251">
        <v>1.601155841263382</v>
      </c>
      <c r="DL43" s="1251">
        <v>2.0253554489328613</v>
      </c>
      <c r="DM43" s="1251">
        <v>2.5113777245573607</v>
      </c>
      <c r="DN43" s="1251">
        <v>3.0308835937507643</v>
      </c>
      <c r="DO43" s="1251">
        <v>3.5986837065497319</v>
      </c>
      <c r="DP43" s="1158">
        <v>0.52127449999999997</v>
      </c>
      <c r="DQ43" s="1158">
        <v>0.54341511311299995</v>
      </c>
      <c r="DR43" s="1158">
        <v>0.56558644972801031</v>
      </c>
      <c r="DS43" s="1158">
        <v>0.58917027350876894</v>
      </c>
      <c r="DT43" s="1158">
        <v>0.61280601737112017</v>
      </c>
      <c r="DU43" s="1158">
        <v>0.6365167077952435</v>
      </c>
      <c r="DV43" s="1158">
        <v>0.66039563208818208</v>
      </c>
      <c r="DW43" s="1158">
        <v>0.68705976612937447</v>
      </c>
      <c r="DX43" s="1158">
        <v>0.71488637371738017</v>
      </c>
      <c r="DY43" s="1158">
        <v>0.74374776639709828</v>
      </c>
      <c r="DZ43" s="1158">
        <v>0.77415515007847713</v>
      </c>
      <c r="EA43" s="1158">
        <v>0.80580261261368524</v>
      </c>
      <c r="EB43" s="1158">
        <v>0.83872126094417965</v>
      </c>
      <c r="EC43" s="1158">
        <v>0.87351477373318809</v>
      </c>
      <c r="ED43" s="1158">
        <v>0.90967653833619466</v>
      </c>
      <c r="EE43" s="1158">
        <v>0.94798574639514688</v>
      </c>
      <c r="EF43" s="1158">
        <v>0.98920132269116867</v>
      </c>
      <c r="EG43" s="1158">
        <v>1.0312740333478694</v>
      </c>
      <c r="EH43" s="1158">
        <v>1.0748804245739507</v>
      </c>
      <c r="EI43" s="1158">
        <v>1.1207229998016051</v>
      </c>
      <c r="EJ43" s="1158">
        <v>1.1682338099321945</v>
      </c>
      <c r="EK43" s="1158">
        <v>1.218708519924125</v>
      </c>
      <c r="EL43" s="1158">
        <v>1.2743255019393824</v>
      </c>
      <c r="EM43" s="1158">
        <v>1.3342965343861517</v>
      </c>
      <c r="EN43" s="1158">
        <v>1.6877962074440513</v>
      </c>
      <c r="EO43" s="1158">
        <v>2.0928147704644675</v>
      </c>
      <c r="EP43" s="1158">
        <v>2.5257363281256371</v>
      </c>
      <c r="EQ43" s="1158">
        <v>2.9989030887914434</v>
      </c>
      <c r="ER43" s="1313"/>
      <c r="ES43" s="1313"/>
      <c r="ET43" s="1313"/>
      <c r="EU43" s="1313"/>
      <c r="EV43" s="1313"/>
      <c r="EW43" s="1313"/>
      <c r="EX43" s="1313"/>
      <c r="EY43" s="1313"/>
      <c r="EZ43" s="1313"/>
      <c r="FA43" s="1313"/>
      <c r="FB43" s="1313"/>
      <c r="FC43" s="1313"/>
      <c r="FD43" s="1313"/>
      <c r="FE43" s="1313"/>
      <c r="FF43" s="1313"/>
      <c r="FG43" s="1313"/>
      <c r="FH43" s="1313"/>
      <c r="FI43" s="1313"/>
      <c r="FJ43" s="1313"/>
      <c r="FK43" s="1313"/>
      <c r="FL43" s="1313"/>
      <c r="FM43" s="1313"/>
      <c r="FN43" s="1313"/>
      <c r="FO43" s="1313"/>
      <c r="FP43" s="1313"/>
      <c r="FQ43" s="1313"/>
      <c r="FR43" s="1313"/>
      <c r="FS43" s="1313"/>
      <c r="FT43" s="1313"/>
      <c r="FU43" s="1313"/>
      <c r="FV43" s="1313"/>
    </row>
    <row r="44" spans="1:178">
      <c r="A44" s="1504" t="s">
        <v>1005</v>
      </c>
      <c r="B44" s="1504" t="s">
        <v>1004</v>
      </c>
      <c r="C44" s="1509" t="s">
        <v>1016</v>
      </c>
      <c r="G44" s="1519">
        <v>1</v>
      </c>
      <c r="H44" s="1545">
        <v>1.0369759999999999</v>
      </c>
      <c r="I44" s="1545">
        <v>1.0741754400479999</v>
      </c>
      <c r="J44" s="1545">
        <v>1.111976747958729</v>
      </c>
      <c r="K44" s="1545">
        <v>1.1503655212285082</v>
      </c>
      <c r="L44" s="1545">
        <v>1.1902544456771067</v>
      </c>
      <c r="M44" s="1545">
        <v>1.2306885794512037</v>
      </c>
      <c r="N44" s="1545">
        <v>1.2720815591324655</v>
      </c>
      <c r="O44" s="1545">
        <v>1.3148387644980259</v>
      </c>
      <c r="P44" s="1545">
        <v>1.3605359857581549</v>
      </c>
      <c r="Q44" s="1545">
        <v>1.4077751557196638</v>
      </c>
      <c r="R44" s="1545">
        <v>1.4577722903750476</v>
      </c>
      <c r="S44" s="1545">
        <v>1.5101879508477729</v>
      </c>
      <c r="T44" s="1545">
        <v>1.5651225477478115</v>
      </c>
      <c r="U44" s="1545">
        <v>1.6218848471869813</v>
      </c>
      <c r="V44" s="1545">
        <v>1.6798039769648756</v>
      </c>
      <c r="W44" s="1545">
        <v>1.738521524979683</v>
      </c>
      <c r="X44" s="1545">
        <v>1.8003450889294854</v>
      </c>
      <c r="Y44" s="1545">
        <v>1.8658848515468747</v>
      </c>
      <c r="Z44" s="1545">
        <v>1.9347751861508369</v>
      </c>
      <c r="AA44" s="1545">
        <v>2.0060078041793523</v>
      </c>
      <c r="AB44" s="1545">
        <v>2.0787295990964623</v>
      </c>
      <c r="AC44" s="1545">
        <v>2.1560562614532515</v>
      </c>
      <c r="AD44" s="1545">
        <v>2.2408474860474237</v>
      </c>
      <c r="AE44" s="1545">
        <v>2.3326662117882169</v>
      </c>
      <c r="AF44" s="1545">
        <v>2.8640967233134602</v>
      </c>
      <c r="AG44" s="1545">
        <v>3.4557496387842503</v>
      </c>
      <c r="AH44" s="1545">
        <v>4.0720277635271787</v>
      </c>
      <c r="AI44" s="1545">
        <v>4.7302494188062463</v>
      </c>
      <c r="AJ44" s="1531">
        <v>1.0369759999999999</v>
      </c>
      <c r="AK44" s="1526">
        <v>1.0741754400479999</v>
      </c>
      <c r="AL44" s="1526">
        <v>1.111976747958729</v>
      </c>
      <c r="AM44" s="1526">
        <v>1.1503655212285082</v>
      </c>
      <c r="AN44" s="1526">
        <v>1.1902544456771067</v>
      </c>
      <c r="AO44" s="1526">
        <v>1.2306885794512037</v>
      </c>
      <c r="AP44" s="1526">
        <v>1.2720815591324655</v>
      </c>
      <c r="AQ44" s="1526">
        <v>1.3148387644980259</v>
      </c>
      <c r="AR44" s="1526">
        <v>1.3605359857581549</v>
      </c>
      <c r="AS44" s="1526">
        <v>1.4077751557196638</v>
      </c>
      <c r="AT44" s="1526">
        <v>1.4577722903750476</v>
      </c>
      <c r="AU44" s="1526">
        <v>1.5101879508477729</v>
      </c>
      <c r="AV44" s="1526">
        <v>1.5651225477478115</v>
      </c>
      <c r="AW44" s="1526">
        <v>1.6218848471869813</v>
      </c>
      <c r="AX44" s="1526">
        <v>1.6798039769648756</v>
      </c>
      <c r="AY44" s="1526">
        <v>1.738521524979683</v>
      </c>
      <c r="AZ44" s="1526">
        <v>1.8003450889294854</v>
      </c>
      <c r="BA44" s="1526">
        <v>1.8658848515468747</v>
      </c>
      <c r="BB44" s="1526">
        <v>1.9347751861508369</v>
      </c>
      <c r="BC44" s="1526">
        <v>2.0060078041793523</v>
      </c>
      <c r="BD44" s="1526">
        <v>2.0787295990964623</v>
      </c>
      <c r="BE44" s="1526">
        <v>2.1560562614532515</v>
      </c>
      <c r="BF44" s="1526">
        <v>2.2408474860474237</v>
      </c>
      <c r="BG44" s="1526">
        <v>2.3326662117882169</v>
      </c>
      <c r="BH44" s="1526">
        <v>2.8640967233134602</v>
      </c>
      <c r="BI44" s="1526">
        <v>3.4557496387842503</v>
      </c>
      <c r="BJ44" s="1526">
        <v>4.0720277635271787</v>
      </c>
      <c r="BK44" s="1526">
        <v>4.7302494188062463</v>
      </c>
      <c r="BL44" s="1158">
        <v>0.82958080000000001</v>
      </c>
      <c r="BM44" s="1158">
        <v>0.85934035203839998</v>
      </c>
      <c r="BN44" s="1158">
        <v>0.88958139836698324</v>
      </c>
      <c r="BO44" s="1158">
        <v>0.92029241698280662</v>
      </c>
      <c r="BP44" s="1158">
        <v>0.95220355654168543</v>
      </c>
      <c r="BQ44" s="1158">
        <v>0.984550863560963</v>
      </c>
      <c r="BR44" s="1158">
        <v>1.0176652473059724</v>
      </c>
      <c r="BS44" s="1158">
        <v>1.0518710115984209</v>
      </c>
      <c r="BT44" s="1158">
        <v>1.088428788606524</v>
      </c>
      <c r="BU44" s="1158">
        <v>1.1262201245757311</v>
      </c>
      <c r="BV44" s="1158">
        <v>1.1662178323000381</v>
      </c>
      <c r="BW44" s="1158">
        <v>1.2081503606782185</v>
      </c>
      <c r="BX44" s="1158">
        <v>1.2520980381982492</v>
      </c>
      <c r="BY44" s="1158">
        <v>1.2975078777495852</v>
      </c>
      <c r="BZ44" s="1158">
        <v>1.3438431815719005</v>
      </c>
      <c r="CA44" s="1158">
        <v>1.3908172199837465</v>
      </c>
      <c r="CB44" s="1158">
        <v>1.4402760711435885</v>
      </c>
      <c r="CC44" s="1158">
        <v>1.4927078812374999</v>
      </c>
      <c r="CD44" s="1158">
        <v>1.5478201489206695</v>
      </c>
      <c r="CE44" s="1158">
        <v>1.604806243343482</v>
      </c>
      <c r="CF44" s="1158">
        <v>1.6629836792771699</v>
      </c>
      <c r="CG44" s="1158">
        <v>1.7248450091626013</v>
      </c>
      <c r="CH44" s="1158">
        <v>1.7926779888379389</v>
      </c>
      <c r="CI44" s="1158">
        <v>1.8661329694305735</v>
      </c>
      <c r="CJ44" s="1158">
        <v>2.2912773786507681</v>
      </c>
      <c r="CK44" s="1158">
        <v>2.7645997110274005</v>
      </c>
      <c r="CL44" s="1158">
        <v>3.2576222108217432</v>
      </c>
      <c r="CM44" s="1158">
        <v>3.7841995350449973</v>
      </c>
      <c r="CN44" s="1251">
        <v>0.62218559999999989</v>
      </c>
      <c r="CO44" s="1251">
        <v>0.64450526402879993</v>
      </c>
      <c r="CP44" s="1251">
        <v>0.66718604877523735</v>
      </c>
      <c r="CQ44" s="1251">
        <v>0.69021931273710491</v>
      </c>
      <c r="CR44" s="1251">
        <v>0.71415266740626404</v>
      </c>
      <c r="CS44" s="1251">
        <v>0.73841314767072219</v>
      </c>
      <c r="CT44" s="1251">
        <v>0.76324893547947925</v>
      </c>
      <c r="CU44" s="1251">
        <v>0.7889032586988155</v>
      </c>
      <c r="CV44" s="1251">
        <v>0.81632159145489291</v>
      </c>
      <c r="CW44" s="1251">
        <v>0.8446650934317983</v>
      </c>
      <c r="CX44" s="1251">
        <v>0.8746633742250286</v>
      </c>
      <c r="CY44" s="1251">
        <v>0.90611277050866368</v>
      </c>
      <c r="CZ44" s="1251">
        <v>0.93907352864868687</v>
      </c>
      <c r="DA44" s="1251">
        <v>0.97313090831218874</v>
      </c>
      <c r="DB44" s="1251">
        <v>1.0078823861789252</v>
      </c>
      <c r="DC44" s="1251">
        <v>1.0431129149878098</v>
      </c>
      <c r="DD44" s="1251">
        <v>1.0802070533576913</v>
      </c>
      <c r="DE44" s="1251">
        <v>1.1195309109281248</v>
      </c>
      <c r="DF44" s="1251">
        <v>1.160865111690502</v>
      </c>
      <c r="DG44" s="1251">
        <v>1.2036046825076114</v>
      </c>
      <c r="DH44" s="1251">
        <v>1.2472377594578774</v>
      </c>
      <c r="DI44" s="1251">
        <v>1.2936337568719509</v>
      </c>
      <c r="DJ44" s="1251">
        <v>1.3445084916284542</v>
      </c>
      <c r="DK44" s="1251">
        <v>1.3995997270729301</v>
      </c>
      <c r="DL44" s="1251">
        <v>1.7184580339880762</v>
      </c>
      <c r="DM44" s="1251">
        <v>2.0734497832705503</v>
      </c>
      <c r="DN44" s="1251">
        <v>2.4432166581163073</v>
      </c>
      <c r="DO44" s="1251">
        <v>2.8381496512837479</v>
      </c>
      <c r="DP44" s="1158">
        <v>0.51848799999999995</v>
      </c>
      <c r="DQ44" s="1158">
        <v>0.53708772002399996</v>
      </c>
      <c r="DR44" s="1158">
        <v>0.55598837397936451</v>
      </c>
      <c r="DS44" s="1158">
        <v>0.57518276061425411</v>
      </c>
      <c r="DT44" s="1158">
        <v>0.59512722283855335</v>
      </c>
      <c r="DU44" s="1158">
        <v>0.61534428972560185</v>
      </c>
      <c r="DV44" s="1158">
        <v>0.63604077956623273</v>
      </c>
      <c r="DW44" s="1158">
        <v>0.65741938224901297</v>
      </c>
      <c r="DX44" s="1158">
        <v>0.68026799287907747</v>
      </c>
      <c r="DY44" s="1158">
        <v>0.70388757785983191</v>
      </c>
      <c r="DZ44" s="1158">
        <v>0.72888614518752382</v>
      </c>
      <c r="EA44" s="1158">
        <v>0.75509397542388645</v>
      </c>
      <c r="EB44" s="1158">
        <v>0.78256127387390573</v>
      </c>
      <c r="EC44" s="1158">
        <v>0.81094242359349067</v>
      </c>
      <c r="ED44" s="1158">
        <v>0.8399019884824378</v>
      </c>
      <c r="EE44" s="1158">
        <v>0.86926076248984152</v>
      </c>
      <c r="EF44" s="1158">
        <v>0.90017254446474271</v>
      </c>
      <c r="EG44" s="1158">
        <v>0.93294242577343733</v>
      </c>
      <c r="EH44" s="1158">
        <v>0.96738759307541844</v>
      </c>
      <c r="EI44" s="1158">
        <v>1.0030039020896762</v>
      </c>
      <c r="EJ44" s="1158">
        <v>1.0393647995482311</v>
      </c>
      <c r="EK44" s="1158">
        <v>1.0780281307266257</v>
      </c>
      <c r="EL44" s="1158">
        <v>1.1204237430237118</v>
      </c>
      <c r="EM44" s="1158">
        <v>1.1663331058941084</v>
      </c>
      <c r="EN44" s="1158">
        <v>1.4320483616567301</v>
      </c>
      <c r="EO44" s="1158">
        <v>1.7278748193921252</v>
      </c>
      <c r="EP44" s="1158">
        <v>2.0360138817635893</v>
      </c>
      <c r="EQ44" s="1158">
        <v>2.3651247094031231</v>
      </c>
      <c r="ER44" s="1313"/>
      <c r="ES44" s="1313"/>
      <c r="ET44" s="1313"/>
      <c r="EU44" s="1313"/>
      <c r="EV44" s="1313"/>
      <c r="EW44" s="1313"/>
      <c r="EX44" s="1313"/>
      <c r="EY44" s="1313"/>
      <c r="EZ44" s="1313"/>
      <c r="FA44" s="1313"/>
      <c r="FB44" s="1313"/>
      <c r="FC44" s="1313"/>
      <c r="FD44" s="1313"/>
      <c r="FE44" s="1313"/>
      <c r="FF44" s="1313"/>
      <c r="FG44" s="1313"/>
      <c r="FH44" s="1313"/>
      <c r="FI44" s="1313"/>
      <c r="FJ44" s="1313"/>
      <c r="FK44" s="1313"/>
      <c r="FL44" s="1313"/>
      <c r="FM44" s="1313"/>
      <c r="FN44" s="1313"/>
      <c r="FO44" s="1313"/>
      <c r="FP44" s="1313"/>
      <c r="FQ44" s="1313"/>
      <c r="FR44" s="1313"/>
      <c r="FS44" s="1313"/>
      <c r="FT44" s="1313"/>
      <c r="FU44" s="1313"/>
      <c r="FV44" s="1313"/>
    </row>
    <row r="45" spans="1:178">
      <c r="A45" s="1504" t="s">
        <v>1003</v>
      </c>
      <c r="B45" s="1504" t="s">
        <v>1002</v>
      </c>
      <c r="C45" s="1509" t="s">
        <v>1017</v>
      </c>
      <c r="G45" s="1519">
        <v>1</v>
      </c>
      <c r="H45" s="1545">
        <v>1.039814</v>
      </c>
      <c r="I45" s="1545">
        <v>1.08019517669</v>
      </c>
      <c r="J45" s="1545">
        <v>1.1214845571237986</v>
      </c>
      <c r="K45" s="1545">
        <v>1.1634863967571991</v>
      </c>
      <c r="L45" s="1545">
        <v>1.2071299349859586</v>
      </c>
      <c r="M45" s="1545">
        <v>1.2518975557548477</v>
      </c>
      <c r="N45" s="1545">
        <v>1.2984919308824874</v>
      </c>
      <c r="O45" s="1545">
        <v>1.346485491139835</v>
      </c>
      <c r="P45" s="1545">
        <v>1.3974136118712168</v>
      </c>
      <c r="Q45" s="1545">
        <v>1.4500583748712412</v>
      </c>
      <c r="R45" s="1545">
        <v>1.5056086611541835</v>
      </c>
      <c r="S45" s="1545">
        <v>1.5638290424723547</v>
      </c>
      <c r="T45" s="1545">
        <v>1.6249903963234484</v>
      </c>
      <c r="U45" s="1545">
        <v>1.6881700229325041</v>
      </c>
      <c r="V45" s="1545">
        <v>1.7527340854595579</v>
      </c>
      <c r="W45" s="1545">
        <v>1.8179778590567044</v>
      </c>
      <c r="X45" s="1545">
        <v>1.8855720938342915</v>
      </c>
      <c r="Y45" s="1545">
        <v>1.9571785796697425</v>
      </c>
      <c r="Z45" s="1545">
        <v>2.0327667735951676</v>
      </c>
      <c r="AA45" s="1545">
        <v>2.1110099994776195</v>
      </c>
      <c r="AB45" s="1545">
        <v>2.1911924922877781</v>
      </c>
      <c r="AC45" s="1545">
        <v>2.2762545848383899</v>
      </c>
      <c r="AD45" s="1545">
        <v>2.3677714004218173</v>
      </c>
      <c r="AE45" s="1545">
        <v>2.4652028257777747</v>
      </c>
      <c r="AF45" s="1545">
        <v>3.0294134892772928</v>
      </c>
      <c r="AG45" s="1545">
        <v>3.6580784694178736</v>
      </c>
      <c r="AH45" s="1545">
        <v>4.3133945415783579</v>
      </c>
      <c r="AI45" s="1545">
        <v>5.0137735142822004</v>
      </c>
      <c r="AJ45" s="1531">
        <v>1.039814</v>
      </c>
      <c r="AK45" s="1526">
        <v>1.08019517669</v>
      </c>
      <c r="AL45" s="1526">
        <v>1.1214845571237986</v>
      </c>
      <c r="AM45" s="1526">
        <v>1.1634863967571991</v>
      </c>
      <c r="AN45" s="1526">
        <v>1.2071299349859586</v>
      </c>
      <c r="AO45" s="1526">
        <v>1.2518975557548477</v>
      </c>
      <c r="AP45" s="1526">
        <v>1.2984919308824874</v>
      </c>
      <c r="AQ45" s="1526">
        <v>1.346485491139835</v>
      </c>
      <c r="AR45" s="1526">
        <v>1.3974136118712168</v>
      </c>
      <c r="AS45" s="1526">
        <v>1.4500583748712412</v>
      </c>
      <c r="AT45" s="1526">
        <v>1.5056086611541835</v>
      </c>
      <c r="AU45" s="1526">
        <v>1.5638290424723547</v>
      </c>
      <c r="AV45" s="1526">
        <v>1.6249903963234484</v>
      </c>
      <c r="AW45" s="1526">
        <v>1.6881700229325041</v>
      </c>
      <c r="AX45" s="1526">
        <v>1.7527340854595579</v>
      </c>
      <c r="AY45" s="1526">
        <v>1.8179778590567044</v>
      </c>
      <c r="AZ45" s="1526">
        <v>1.8855720938342915</v>
      </c>
      <c r="BA45" s="1526">
        <v>1.9571785796697425</v>
      </c>
      <c r="BB45" s="1526">
        <v>2.0327667735951676</v>
      </c>
      <c r="BC45" s="1526">
        <v>2.1110099994776195</v>
      </c>
      <c r="BD45" s="1526">
        <v>2.1911924922877781</v>
      </c>
      <c r="BE45" s="1526">
        <v>2.2762545848383899</v>
      </c>
      <c r="BF45" s="1526">
        <v>2.3677714004218173</v>
      </c>
      <c r="BG45" s="1526">
        <v>2.4652028257777747</v>
      </c>
      <c r="BH45" s="1526">
        <v>3.0294134892772928</v>
      </c>
      <c r="BI45" s="1526">
        <v>3.6580784694178736</v>
      </c>
      <c r="BJ45" s="1526">
        <v>4.3133945415783579</v>
      </c>
      <c r="BK45" s="1526">
        <v>5.0137735142822004</v>
      </c>
      <c r="BL45" s="1158">
        <v>0.83185120000000001</v>
      </c>
      <c r="BM45" s="1158">
        <v>0.86415614135200003</v>
      </c>
      <c r="BN45" s="1158">
        <v>0.89718764569903886</v>
      </c>
      <c r="BO45" s="1158">
        <v>0.93078911740575931</v>
      </c>
      <c r="BP45" s="1158">
        <v>0.96570394798876691</v>
      </c>
      <c r="BQ45" s="1158">
        <v>1.0015180446038783</v>
      </c>
      <c r="BR45" s="1158">
        <v>1.0387935447059899</v>
      </c>
      <c r="BS45" s="1158">
        <v>1.077188392911868</v>
      </c>
      <c r="BT45" s="1158">
        <v>1.1179308894969735</v>
      </c>
      <c r="BU45" s="1158">
        <v>1.1600466998969929</v>
      </c>
      <c r="BV45" s="1158">
        <v>1.2044869289233469</v>
      </c>
      <c r="BW45" s="1158">
        <v>1.2510632339778838</v>
      </c>
      <c r="BX45" s="1158">
        <v>1.2999923170587588</v>
      </c>
      <c r="BY45" s="1158">
        <v>1.3505360183460033</v>
      </c>
      <c r="BZ45" s="1158">
        <v>1.4021872683676464</v>
      </c>
      <c r="CA45" s="1158">
        <v>1.4543822872453636</v>
      </c>
      <c r="CB45" s="1158">
        <v>1.5084576750674332</v>
      </c>
      <c r="CC45" s="1158">
        <v>1.5657428637357942</v>
      </c>
      <c r="CD45" s="1158">
        <v>1.6262134188761341</v>
      </c>
      <c r="CE45" s="1158">
        <v>1.6888079995820957</v>
      </c>
      <c r="CF45" s="1158">
        <v>1.7529539938302225</v>
      </c>
      <c r="CG45" s="1158">
        <v>1.821003667870712</v>
      </c>
      <c r="CH45" s="1158">
        <v>1.894217120337454</v>
      </c>
      <c r="CI45" s="1158">
        <v>1.9721622606222198</v>
      </c>
      <c r="CJ45" s="1158">
        <v>2.4235307914218343</v>
      </c>
      <c r="CK45" s="1158">
        <v>2.9264627755342989</v>
      </c>
      <c r="CL45" s="1158">
        <v>3.4507156332626865</v>
      </c>
      <c r="CM45" s="1158">
        <v>4.0110188114257603</v>
      </c>
      <c r="CN45" s="1251">
        <v>0.62388840000000001</v>
      </c>
      <c r="CO45" s="1251">
        <v>0.64811710601399997</v>
      </c>
      <c r="CP45" s="1251">
        <v>0.67289073427427915</v>
      </c>
      <c r="CQ45" s="1251">
        <v>0.6980918380543194</v>
      </c>
      <c r="CR45" s="1251">
        <v>0.72427796099157515</v>
      </c>
      <c r="CS45" s="1251">
        <v>0.7511385334529086</v>
      </c>
      <c r="CT45" s="1251">
        <v>0.7790951585294924</v>
      </c>
      <c r="CU45" s="1251">
        <v>0.80789129468390097</v>
      </c>
      <c r="CV45" s="1251">
        <v>0.83844816712273007</v>
      </c>
      <c r="CW45" s="1251">
        <v>0.87003502492274476</v>
      </c>
      <c r="CX45" s="1251">
        <v>0.90336519669251003</v>
      </c>
      <c r="CY45" s="1251">
        <v>0.93829742548341277</v>
      </c>
      <c r="CZ45" s="1251">
        <v>0.97499423779406902</v>
      </c>
      <c r="DA45" s="1251">
        <v>1.0129020137595024</v>
      </c>
      <c r="DB45" s="1251">
        <v>1.0516404512757347</v>
      </c>
      <c r="DC45" s="1251">
        <v>1.0907867154340225</v>
      </c>
      <c r="DD45" s="1251">
        <v>1.1313432563005748</v>
      </c>
      <c r="DE45" s="1251">
        <v>1.1743071478018454</v>
      </c>
      <c r="DF45" s="1251">
        <v>1.2196600641571005</v>
      </c>
      <c r="DG45" s="1251">
        <v>1.2666059996865717</v>
      </c>
      <c r="DH45" s="1251">
        <v>1.3147154953726667</v>
      </c>
      <c r="DI45" s="1251">
        <v>1.3657527509030338</v>
      </c>
      <c r="DJ45" s="1251">
        <v>1.4206628402530903</v>
      </c>
      <c r="DK45" s="1251">
        <v>1.4791216954666648</v>
      </c>
      <c r="DL45" s="1251">
        <v>1.8176480935663757</v>
      </c>
      <c r="DM45" s="1251">
        <v>2.1948470816507242</v>
      </c>
      <c r="DN45" s="1251">
        <v>2.5880367249470146</v>
      </c>
      <c r="DO45" s="1251">
        <v>3.0082641085693202</v>
      </c>
      <c r="DP45" s="1158">
        <v>0.51990700000000001</v>
      </c>
      <c r="DQ45" s="1158">
        <v>0.54009758834499999</v>
      </c>
      <c r="DR45" s="1158">
        <v>0.56074227856189929</v>
      </c>
      <c r="DS45" s="1158">
        <v>0.58174319837859956</v>
      </c>
      <c r="DT45" s="1158">
        <v>0.60356496749297928</v>
      </c>
      <c r="DU45" s="1158">
        <v>0.62594877787742387</v>
      </c>
      <c r="DV45" s="1158">
        <v>0.64924596544124369</v>
      </c>
      <c r="DW45" s="1158">
        <v>0.67324274556991748</v>
      </c>
      <c r="DX45" s="1158">
        <v>0.69870680593560841</v>
      </c>
      <c r="DY45" s="1158">
        <v>0.72502918743562061</v>
      </c>
      <c r="DZ45" s="1158">
        <v>0.75280433057709173</v>
      </c>
      <c r="EA45" s="1158">
        <v>0.78191452123617733</v>
      </c>
      <c r="EB45" s="1158">
        <v>0.81249519816172422</v>
      </c>
      <c r="EC45" s="1158">
        <v>0.84408501146625203</v>
      </c>
      <c r="ED45" s="1158">
        <v>0.87636704272977894</v>
      </c>
      <c r="EE45" s="1158">
        <v>0.9089889295283522</v>
      </c>
      <c r="EF45" s="1158">
        <v>0.94278604691714574</v>
      </c>
      <c r="EG45" s="1158">
        <v>0.97858928983487126</v>
      </c>
      <c r="EH45" s="1158">
        <v>1.0163833867975838</v>
      </c>
      <c r="EI45" s="1158">
        <v>1.0555049997388097</v>
      </c>
      <c r="EJ45" s="1158">
        <v>1.0955962461438891</v>
      </c>
      <c r="EK45" s="1158">
        <v>1.138127292419195</v>
      </c>
      <c r="EL45" s="1158">
        <v>1.1838857002109087</v>
      </c>
      <c r="EM45" s="1158">
        <v>1.2326014128888874</v>
      </c>
      <c r="EN45" s="1158">
        <v>1.5147067446386464</v>
      </c>
      <c r="EO45" s="1158">
        <v>1.8290392347089368</v>
      </c>
      <c r="EP45" s="1158">
        <v>2.1566972707891789</v>
      </c>
      <c r="EQ45" s="1158">
        <v>2.5068867571411002</v>
      </c>
      <c r="ER45" s="1313"/>
      <c r="ES45" s="1313"/>
      <c r="ET45" s="1313"/>
      <c r="EU45" s="1313"/>
      <c r="EV45" s="1313"/>
      <c r="EW45" s="1313"/>
      <c r="EX45" s="1313"/>
      <c r="EY45" s="1313"/>
      <c r="EZ45" s="1313"/>
      <c r="FA45" s="1313"/>
      <c r="FB45" s="1313"/>
      <c r="FC45" s="1313"/>
      <c r="FD45" s="1313"/>
      <c r="FE45" s="1313"/>
      <c r="FF45" s="1313"/>
      <c r="FG45" s="1313"/>
      <c r="FH45" s="1313"/>
      <c r="FI45" s="1313"/>
      <c r="FJ45" s="1313"/>
      <c r="FK45" s="1313"/>
      <c r="FL45" s="1313"/>
      <c r="FM45" s="1313"/>
      <c r="FN45" s="1313"/>
      <c r="FO45" s="1313"/>
      <c r="FP45" s="1313"/>
      <c r="FQ45" s="1313"/>
      <c r="FR45" s="1313"/>
      <c r="FS45" s="1313"/>
      <c r="FT45" s="1313"/>
      <c r="FU45" s="1313"/>
      <c r="FV45" s="1313"/>
    </row>
    <row r="46" spans="1:178">
      <c r="A46" s="1504" t="s">
        <v>1001</v>
      </c>
      <c r="B46" s="1504" t="s">
        <v>97</v>
      </c>
      <c r="C46" s="1509" t="s">
        <v>1016</v>
      </c>
      <c r="G46" s="1519">
        <v>1</v>
      </c>
      <c r="H46" s="1545">
        <v>1.0400654576088924</v>
      </c>
      <c r="I46" s="1545">
        <v>1.0823091573130426</v>
      </c>
      <c r="J46" s="1545">
        <v>1.1242165792547962</v>
      </c>
      <c r="K46" s="1545">
        <v>1.1693174707137537</v>
      </c>
      <c r="L46" s="1545">
        <v>1.2137471100024624</v>
      </c>
      <c r="M46" s="1545">
        <v>1.2583226629572548</v>
      </c>
      <c r="N46" s="1545">
        <v>1.3029892010584432</v>
      </c>
      <c r="O46" s="1545">
        <v>1.3537654383735602</v>
      </c>
      <c r="P46" s="1545">
        <v>1.4059403703417561</v>
      </c>
      <c r="Q46" s="1545">
        <v>1.4601333004741603</v>
      </c>
      <c r="R46" s="1545">
        <v>1.5170958627901665</v>
      </c>
      <c r="S46" s="1545">
        <v>1.5762182595902399</v>
      </c>
      <c r="T46" s="1545">
        <v>1.6375467045618941</v>
      </c>
      <c r="U46" s="1545">
        <v>1.7026281992748507</v>
      </c>
      <c r="V46" s="1545">
        <v>1.7702717139556794</v>
      </c>
      <c r="W46" s="1545">
        <v>1.8424118646905912</v>
      </c>
      <c r="X46" s="1545">
        <v>1.9201189617807162</v>
      </c>
      <c r="Y46" s="1545">
        <v>1.9985600537455595</v>
      </c>
      <c r="Z46" s="1545">
        <v>2.0797144950355326</v>
      </c>
      <c r="AA46" s="1545">
        <v>2.1652901110362266</v>
      </c>
      <c r="AB46" s="1545">
        <v>2.2539343828918574</v>
      </c>
      <c r="AC46" s="1545">
        <v>2.3478887303518534</v>
      </c>
      <c r="AD46" s="1545">
        <v>2.4517022711618686</v>
      </c>
      <c r="AE46" s="1545">
        <v>2.5637476228456055</v>
      </c>
      <c r="AF46" s="1545">
        <v>3.2215118079367553</v>
      </c>
      <c r="AG46" s="1545">
        <v>3.9703315875726974</v>
      </c>
      <c r="AH46" s="1545">
        <v>4.7661408193527173</v>
      </c>
      <c r="AI46" s="1545">
        <v>5.6314704410905438</v>
      </c>
      <c r="AJ46" s="1531">
        <v>1.0400654576088924</v>
      </c>
      <c r="AK46" s="1526">
        <v>1.0823091573130426</v>
      </c>
      <c r="AL46" s="1526">
        <v>1.1242165792547962</v>
      </c>
      <c r="AM46" s="1526">
        <v>1.1693174707137537</v>
      </c>
      <c r="AN46" s="1526">
        <v>1.2137471100024624</v>
      </c>
      <c r="AO46" s="1526">
        <v>1.2583226629572548</v>
      </c>
      <c r="AP46" s="1526">
        <v>1.3029892010584432</v>
      </c>
      <c r="AQ46" s="1526">
        <v>1.3537654383735602</v>
      </c>
      <c r="AR46" s="1526">
        <v>1.4059403703417561</v>
      </c>
      <c r="AS46" s="1526">
        <v>1.4601333004741603</v>
      </c>
      <c r="AT46" s="1526">
        <v>1.5170958627901665</v>
      </c>
      <c r="AU46" s="1526">
        <v>1.5762182595902399</v>
      </c>
      <c r="AV46" s="1526">
        <v>1.6375467045618941</v>
      </c>
      <c r="AW46" s="1526">
        <v>1.7026281992748507</v>
      </c>
      <c r="AX46" s="1526">
        <v>1.7702717139556794</v>
      </c>
      <c r="AY46" s="1526">
        <v>1.8424118646905912</v>
      </c>
      <c r="AZ46" s="1526">
        <v>1.9201189617807162</v>
      </c>
      <c r="BA46" s="1526">
        <v>1.9985600537455595</v>
      </c>
      <c r="BB46" s="1526">
        <v>2.0797144950355326</v>
      </c>
      <c r="BC46" s="1526">
        <v>2.1652901110362266</v>
      </c>
      <c r="BD46" s="1526">
        <v>2.2539343828918574</v>
      </c>
      <c r="BE46" s="1526">
        <v>2.3478887303518534</v>
      </c>
      <c r="BF46" s="1526">
        <v>2.4517022711618686</v>
      </c>
      <c r="BG46" s="1526">
        <v>2.5637476228456055</v>
      </c>
      <c r="BH46" s="1526">
        <v>3.2215118079367553</v>
      </c>
      <c r="BI46" s="1526">
        <v>3.9703315875726974</v>
      </c>
      <c r="BJ46" s="1526">
        <v>4.7661408193527173</v>
      </c>
      <c r="BK46" s="1526">
        <v>5.6314704410905438</v>
      </c>
      <c r="BL46" s="1158">
        <v>0.83205236608711397</v>
      </c>
      <c r="BM46" s="1158">
        <v>0.86584732585043411</v>
      </c>
      <c r="BN46" s="1158">
        <v>0.89937326340383705</v>
      </c>
      <c r="BO46" s="1158">
        <v>0.93545397657100304</v>
      </c>
      <c r="BP46" s="1158">
        <v>0.97099768800196995</v>
      </c>
      <c r="BQ46" s="1158">
        <v>1.006658130365804</v>
      </c>
      <c r="BR46" s="1158">
        <v>1.0423913608467545</v>
      </c>
      <c r="BS46" s="1158">
        <v>1.0830123506988483</v>
      </c>
      <c r="BT46" s="1158">
        <v>1.1247522962734049</v>
      </c>
      <c r="BU46" s="1158">
        <v>1.1681066403793283</v>
      </c>
      <c r="BV46" s="1158">
        <v>1.2136766902321332</v>
      </c>
      <c r="BW46" s="1158">
        <v>1.2609746076721919</v>
      </c>
      <c r="BX46" s="1158">
        <v>1.3100373636495153</v>
      </c>
      <c r="BY46" s="1158">
        <v>1.3621025594198806</v>
      </c>
      <c r="BZ46" s="1158">
        <v>1.4162173711645436</v>
      </c>
      <c r="CA46" s="1158">
        <v>1.473929491752473</v>
      </c>
      <c r="CB46" s="1158">
        <v>1.536095169424573</v>
      </c>
      <c r="CC46" s="1158">
        <v>1.5988480429964476</v>
      </c>
      <c r="CD46" s="1158">
        <v>1.6637715960284263</v>
      </c>
      <c r="CE46" s="1158">
        <v>1.7322320888289813</v>
      </c>
      <c r="CF46" s="1158">
        <v>1.8031475063134861</v>
      </c>
      <c r="CG46" s="1158">
        <v>1.8783109842814829</v>
      </c>
      <c r="CH46" s="1158">
        <v>1.9613618169294949</v>
      </c>
      <c r="CI46" s="1158">
        <v>2.0509980982764846</v>
      </c>
      <c r="CJ46" s="1158">
        <v>2.5772094463494044</v>
      </c>
      <c r="CK46" s="1158">
        <v>3.176265270058158</v>
      </c>
      <c r="CL46" s="1158">
        <v>3.8129126554821742</v>
      </c>
      <c r="CM46" s="1158">
        <v>4.5051763528724349</v>
      </c>
      <c r="CN46" s="1251">
        <v>0.62403927456533537</v>
      </c>
      <c r="CO46" s="1251">
        <v>0.64938549438782556</v>
      </c>
      <c r="CP46" s="1251">
        <v>0.67452994755287776</v>
      </c>
      <c r="CQ46" s="1251">
        <v>0.70159048242825217</v>
      </c>
      <c r="CR46" s="1251">
        <v>0.72824826600147741</v>
      </c>
      <c r="CS46" s="1251">
        <v>0.75499359777435282</v>
      </c>
      <c r="CT46" s="1251">
        <v>0.78179352063506591</v>
      </c>
      <c r="CU46" s="1251">
        <v>0.81225926302413609</v>
      </c>
      <c r="CV46" s="1251">
        <v>0.84356422220505367</v>
      </c>
      <c r="CW46" s="1251">
        <v>0.87607998028449618</v>
      </c>
      <c r="CX46" s="1251">
        <v>0.9102575176740999</v>
      </c>
      <c r="CY46" s="1251">
        <v>0.9457309557541439</v>
      </c>
      <c r="CZ46" s="1251">
        <v>0.98252802273713646</v>
      </c>
      <c r="DA46" s="1251">
        <v>1.0215769195649103</v>
      </c>
      <c r="DB46" s="1251">
        <v>1.0621630283734076</v>
      </c>
      <c r="DC46" s="1251">
        <v>1.1054471188143546</v>
      </c>
      <c r="DD46" s="1251">
        <v>1.1520713770684297</v>
      </c>
      <c r="DE46" s="1251">
        <v>1.1991360322473357</v>
      </c>
      <c r="DF46" s="1251">
        <v>1.2478286970213195</v>
      </c>
      <c r="DG46" s="1251">
        <v>1.299174066621736</v>
      </c>
      <c r="DH46" s="1251">
        <v>1.3523606297351145</v>
      </c>
      <c r="DI46" s="1251">
        <v>1.408733238211112</v>
      </c>
      <c r="DJ46" s="1251">
        <v>1.4710213626971211</v>
      </c>
      <c r="DK46" s="1251">
        <v>1.5382485737073632</v>
      </c>
      <c r="DL46" s="1251">
        <v>1.9329070847620531</v>
      </c>
      <c r="DM46" s="1251">
        <v>2.3821989525436185</v>
      </c>
      <c r="DN46" s="1251">
        <v>2.8596844916116302</v>
      </c>
      <c r="DO46" s="1251">
        <v>3.3788822646543264</v>
      </c>
      <c r="DP46" s="1158">
        <v>0.52003272880444618</v>
      </c>
      <c r="DQ46" s="1158">
        <v>0.54115457865652128</v>
      </c>
      <c r="DR46" s="1158">
        <v>0.56210828962739812</v>
      </c>
      <c r="DS46" s="1158">
        <v>0.58465873535687685</v>
      </c>
      <c r="DT46" s="1158">
        <v>0.60687355500123119</v>
      </c>
      <c r="DU46" s="1158">
        <v>0.62916133147862741</v>
      </c>
      <c r="DV46" s="1158">
        <v>0.65149460052922159</v>
      </c>
      <c r="DW46" s="1158">
        <v>0.67688271918678011</v>
      </c>
      <c r="DX46" s="1158">
        <v>0.70297018517087806</v>
      </c>
      <c r="DY46" s="1158">
        <v>0.73006665023708017</v>
      </c>
      <c r="DZ46" s="1158">
        <v>0.75854793139508325</v>
      </c>
      <c r="EA46" s="1158">
        <v>0.78810912979511993</v>
      </c>
      <c r="EB46" s="1158">
        <v>0.81877335228094705</v>
      </c>
      <c r="EC46" s="1158">
        <v>0.85131409963742533</v>
      </c>
      <c r="ED46" s="1158">
        <v>0.8851358569778397</v>
      </c>
      <c r="EE46" s="1158">
        <v>0.92120593234529558</v>
      </c>
      <c r="EF46" s="1158">
        <v>0.96005948089035809</v>
      </c>
      <c r="EG46" s="1158">
        <v>0.99928002687277973</v>
      </c>
      <c r="EH46" s="1158">
        <v>1.0398572475177663</v>
      </c>
      <c r="EI46" s="1158">
        <v>1.0826450555181133</v>
      </c>
      <c r="EJ46" s="1158">
        <v>1.1269671914459287</v>
      </c>
      <c r="EK46" s="1158">
        <v>1.1739443651759267</v>
      </c>
      <c r="EL46" s="1158">
        <v>1.2258511355809343</v>
      </c>
      <c r="EM46" s="1158">
        <v>1.2818738114228028</v>
      </c>
      <c r="EN46" s="1158">
        <v>1.6107559039683776</v>
      </c>
      <c r="EO46" s="1158">
        <v>1.9851657937863487</v>
      </c>
      <c r="EP46" s="1158">
        <v>2.3830704096763586</v>
      </c>
      <c r="EQ46" s="1158">
        <v>2.8157352205452719</v>
      </c>
      <c r="ER46" s="1313"/>
      <c r="ES46" s="1313"/>
      <c r="ET46" s="1313"/>
      <c r="EU46" s="1313"/>
      <c r="EV46" s="1313"/>
      <c r="EW46" s="1313"/>
      <c r="EX46" s="1313"/>
      <c r="EY46" s="1313"/>
      <c r="EZ46" s="1313"/>
      <c r="FA46" s="1313"/>
      <c r="FB46" s="1313"/>
      <c r="FC46" s="1313"/>
      <c r="FD46" s="1313"/>
      <c r="FE46" s="1313"/>
      <c r="FF46" s="1313"/>
      <c r="FG46" s="1313"/>
      <c r="FH46" s="1313"/>
      <c r="FI46" s="1313"/>
      <c r="FJ46" s="1313"/>
      <c r="FK46" s="1313"/>
      <c r="FL46" s="1313"/>
      <c r="FM46" s="1313"/>
      <c r="FN46" s="1313"/>
      <c r="FO46" s="1313"/>
      <c r="FP46" s="1313"/>
      <c r="FQ46" s="1313"/>
      <c r="FR46" s="1313"/>
      <c r="FS46" s="1313"/>
      <c r="FT46" s="1313"/>
      <c r="FU46" s="1313"/>
      <c r="FV46" s="1313"/>
    </row>
    <row r="47" spans="1:178" s="1314" customFormat="1">
      <c r="A47" s="1504"/>
      <c r="B47" s="1504"/>
      <c r="C47" s="1504"/>
      <c r="D47" s="1504"/>
      <c r="E47" s="1504"/>
      <c r="F47" s="1504"/>
      <c r="G47" s="1519"/>
      <c r="H47" s="1505"/>
      <c r="I47" s="1505"/>
      <c r="J47" s="1505"/>
      <c r="K47" s="1505"/>
      <c r="L47" s="1505"/>
      <c r="M47" s="1505"/>
      <c r="N47" s="1505"/>
      <c r="O47" s="1505"/>
      <c r="P47" s="1505"/>
      <c r="Q47" s="1505"/>
      <c r="R47" s="1505"/>
      <c r="S47" s="1505"/>
      <c r="T47" s="1505"/>
      <c r="U47" s="1505"/>
      <c r="V47" s="1505"/>
      <c r="W47" s="1505"/>
      <c r="X47" s="1505"/>
      <c r="Y47" s="1505"/>
      <c r="Z47" s="1505"/>
      <c r="AA47" s="1505"/>
      <c r="AB47" s="1505"/>
      <c r="AC47" s="1505"/>
      <c r="AD47" s="1505"/>
      <c r="AE47" s="1505"/>
      <c r="AF47" s="1505"/>
      <c r="AG47" s="1505"/>
      <c r="AH47" s="1505"/>
      <c r="AI47" s="1505"/>
      <c r="AJ47" s="1503"/>
      <c r="AK47" s="1251"/>
      <c r="AL47" s="1251"/>
      <c r="AM47" s="1251"/>
      <c r="AN47" s="1251"/>
      <c r="AO47" s="1251"/>
      <c r="AP47" s="1251"/>
      <c r="AQ47" s="1251"/>
      <c r="AR47" s="1251"/>
      <c r="AS47" s="1251"/>
      <c r="AT47" s="1251"/>
      <c r="AU47" s="1251"/>
      <c r="AV47" s="1251"/>
      <c r="AW47" s="1251"/>
      <c r="AX47" s="1251"/>
      <c r="AY47" s="1251"/>
      <c r="AZ47" s="1251"/>
      <c r="BA47" s="1251"/>
      <c r="BB47" s="1251"/>
      <c r="BC47" s="1251"/>
      <c r="BD47" s="1251"/>
      <c r="BE47" s="1251"/>
      <c r="BF47" s="1251"/>
      <c r="BG47" s="1251"/>
      <c r="BH47" s="1251"/>
      <c r="BI47" s="1251"/>
      <c r="BJ47" s="1251"/>
      <c r="BK47" s="1251"/>
      <c r="ER47" s="1313"/>
      <c r="ES47" s="1313"/>
      <c r="ET47" s="1313"/>
      <c r="EU47" s="1313"/>
      <c r="EV47" s="1313"/>
      <c r="EW47" s="1313"/>
      <c r="EX47" s="1313"/>
      <c r="EY47" s="1313"/>
      <c r="EZ47" s="1313"/>
      <c r="FA47" s="1313"/>
      <c r="FB47" s="1313"/>
      <c r="FC47" s="1313"/>
      <c r="FD47" s="1313"/>
      <c r="FE47" s="1313"/>
      <c r="FF47" s="1313"/>
      <c r="FG47" s="1313"/>
      <c r="FH47" s="1313"/>
      <c r="FI47" s="1313"/>
      <c r="FJ47" s="1313"/>
      <c r="FK47" s="1313"/>
      <c r="FL47" s="1313"/>
      <c r="FM47" s="1313"/>
      <c r="FN47" s="1313"/>
      <c r="FO47" s="1313"/>
      <c r="FP47" s="1313"/>
      <c r="FQ47" s="1313"/>
      <c r="FR47" s="1313"/>
      <c r="FS47" s="1313"/>
      <c r="FT47" s="1313"/>
      <c r="FU47" s="1313"/>
      <c r="FV47" s="1313"/>
    </row>
    <row r="48" spans="1:178" s="1314" customFormat="1" ht="14" thickBot="1">
      <c r="A48" s="1511" t="s">
        <v>2232</v>
      </c>
      <c r="B48" s="1511"/>
      <c r="C48" s="1515">
        <v>2010</v>
      </c>
      <c r="D48" s="1515">
        <v>2020</v>
      </c>
      <c r="E48" s="1515">
        <v>2030</v>
      </c>
      <c r="F48" s="1515">
        <v>2050</v>
      </c>
      <c r="G48" s="1518"/>
      <c r="H48" s="1511"/>
      <c r="I48" s="1511"/>
      <c r="J48" s="1511"/>
      <c r="K48" s="1511"/>
      <c r="L48" s="1511"/>
      <c r="M48" s="1511"/>
      <c r="N48" s="1511"/>
      <c r="O48" s="1511"/>
      <c r="P48" s="1511"/>
      <c r="Q48" s="1511"/>
      <c r="R48" s="1511"/>
      <c r="S48" s="1511"/>
      <c r="T48" s="1511"/>
      <c r="U48" s="1511"/>
      <c r="V48" s="1511"/>
      <c r="W48" s="1511"/>
      <c r="X48" s="1511"/>
      <c r="Y48" s="1511"/>
      <c r="Z48" s="1511"/>
      <c r="AA48" s="1511"/>
      <c r="AB48" s="1511"/>
      <c r="AC48" s="1511"/>
      <c r="AD48" s="1511"/>
      <c r="AE48" s="1511"/>
      <c r="AF48" s="1511"/>
      <c r="AG48" s="1511"/>
      <c r="AH48" s="1511"/>
      <c r="AI48" s="1511"/>
      <c r="AJ48" s="1535"/>
      <c r="AK48" s="1536"/>
      <c r="AL48" s="1536"/>
      <c r="AM48" s="1536"/>
      <c r="AN48" s="1536"/>
      <c r="AO48" s="1536"/>
      <c r="AP48" s="1536"/>
      <c r="AQ48" s="1536"/>
      <c r="AR48" s="1536"/>
      <c r="AS48" s="1536"/>
      <c r="AT48" s="1536"/>
      <c r="AU48" s="1536"/>
      <c r="AV48" s="1536"/>
      <c r="AW48" s="1536"/>
      <c r="AX48" s="1536"/>
      <c r="AY48" s="1536"/>
      <c r="AZ48" s="1536"/>
      <c r="BA48" s="1536"/>
      <c r="BB48" s="1536"/>
      <c r="BC48" s="1536"/>
      <c r="BD48" s="1536"/>
      <c r="BE48" s="1536"/>
      <c r="BF48" s="1536"/>
      <c r="BG48" s="1536"/>
      <c r="BH48" s="1536"/>
      <c r="BI48" s="1536"/>
      <c r="BJ48" s="1536"/>
      <c r="BK48" s="1536"/>
      <c r="ER48" s="1313"/>
      <c r="ES48" s="1313"/>
      <c r="ET48" s="1313"/>
      <c r="EU48" s="1313"/>
      <c r="EV48" s="1313"/>
      <c r="EW48" s="1313"/>
      <c r="EX48" s="1313"/>
      <c r="EY48" s="1313"/>
      <c r="EZ48" s="1313"/>
      <c r="FA48" s="1313"/>
      <c r="FB48" s="1313"/>
      <c r="FC48" s="1313"/>
      <c r="FD48" s="1313"/>
      <c r="FE48" s="1313"/>
      <c r="FF48" s="1313"/>
      <c r="FG48" s="1313"/>
      <c r="FH48" s="1313"/>
      <c r="FI48" s="1313"/>
      <c r="FJ48" s="1313"/>
      <c r="FK48" s="1313"/>
      <c r="FL48" s="1313"/>
      <c r="FM48" s="1313"/>
      <c r="FN48" s="1313"/>
      <c r="FO48" s="1313"/>
      <c r="FP48" s="1313"/>
      <c r="FQ48" s="1313"/>
      <c r="FR48" s="1313"/>
      <c r="FS48" s="1313"/>
      <c r="FT48" s="1313"/>
      <c r="FU48" s="1313"/>
      <c r="FV48" s="1313"/>
    </row>
    <row r="49" spans="1:178" s="1314" customFormat="1">
      <c r="A49" s="1504" t="s">
        <v>1015</v>
      </c>
      <c r="B49" s="1504" t="s">
        <v>1014</v>
      </c>
      <c r="C49" s="1516">
        <v>1</v>
      </c>
      <c r="D49" s="1516">
        <v>1.0244936495534593</v>
      </c>
      <c r="E49" s="1516">
        <v>1.0662469154717669</v>
      </c>
      <c r="F49" s="1516">
        <v>1.0684529596700734</v>
      </c>
      <c r="G49" s="1519">
        <v>1</v>
      </c>
      <c r="H49" s="1505">
        <v>1</v>
      </c>
      <c r="I49" s="1505">
        <v>1</v>
      </c>
      <c r="J49" s="1505">
        <v>1</v>
      </c>
      <c r="K49" s="1505">
        <v>1</v>
      </c>
      <c r="L49" s="1545">
        <v>1.0022060441983065</v>
      </c>
      <c r="M49" s="1545">
        <v>1.004412088396613</v>
      </c>
      <c r="N49" s="1545">
        <v>1.0066181325949195</v>
      </c>
      <c r="O49" s="1545">
        <v>1.008824176793226</v>
      </c>
      <c r="P49" s="1545">
        <v>1.0110302209915325</v>
      </c>
      <c r="Q49" s="1545">
        <v>1.013236265189839</v>
      </c>
      <c r="R49" s="1545">
        <v>1.0154423093881455</v>
      </c>
      <c r="S49" s="1545">
        <v>1.017648353586452</v>
      </c>
      <c r="T49" s="1545">
        <v>1.0198543977847585</v>
      </c>
      <c r="U49" s="1545">
        <v>1.0244936495534593</v>
      </c>
      <c r="V49" s="1545">
        <v>1.0291329013221602</v>
      </c>
      <c r="W49" s="1545">
        <v>1.033772153090861</v>
      </c>
      <c r="X49" s="1545">
        <v>1.0384114048595618</v>
      </c>
      <c r="Y49" s="1545">
        <v>1.0430506566282627</v>
      </c>
      <c r="Z49" s="1545">
        <v>1.0476899083969635</v>
      </c>
      <c r="AA49" s="1545">
        <v>1.0523291601656644</v>
      </c>
      <c r="AB49" s="1545">
        <v>1.0569684119343652</v>
      </c>
      <c r="AC49" s="1545">
        <v>1.061607663703066</v>
      </c>
      <c r="AD49" s="1545">
        <v>1.0662469154717669</v>
      </c>
      <c r="AE49" s="1545">
        <v>1.0662469154717669</v>
      </c>
      <c r="AF49" s="1545">
        <v>1.0662469154717669</v>
      </c>
      <c r="AG49" s="1545">
        <v>1.0662469154717669</v>
      </c>
      <c r="AH49" s="1545">
        <v>1.0662469154717669</v>
      </c>
      <c r="AI49" s="1545">
        <v>1.0684529596700734</v>
      </c>
      <c r="AJ49" s="1531">
        <v>1</v>
      </c>
      <c r="AK49" s="1538">
        <v>1</v>
      </c>
      <c r="AL49" s="1538">
        <v>1</v>
      </c>
      <c r="AM49" s="1538">
        <v>1</v>
      </c>
      <c r="AN49" s="1532">
        <v>1.0022060441983065</v>
      </c>
      <c r="AO49" s="1532">
        <v>1.004412088396613</v>
      </c>
      <c r="AP49" s="1532">
        <v>1.0066181325949195</v>
      </c>
      <c r="AQ49" s="1526">
        <v>1.008824176793226</v>
      </c>
      <c r="AR49" s="1526">
        <v>1.0110302209915325</v>
      </c>
      <c r="AS49" s="1526">
        <v>1.013236265189839</v>
      </c>
      <c r="AT49" s="1526">
        <v>1.0154423093881455</v>
      </c>
      <c r="AU49" s="1526">
        <v>1.017648353586452</v>
      </c>
      <c r="AV49" s="1526">
        <v>1.0198543977847585</v>
      </c>
      <c r="AW49" s="1526">
        <v>1.0244936495534593</v>
      </c>
      <c r="AX49" s="1526">
        <v>1.0291329013221602</v>
      </c>
      <c r="AY49" s="1526">
        <v>1.033772153090861</v>
      </c>
      <c r="AZ49" s="1526">
        <v>1.0384114048595618</v>
      </c>
      <c r="BA49" s="1526">
        <v>1.0430506566282627</v>
      </c>
      <c r="BB49" s="1526">
        <v>1.0476899083969635</v>
      </c>
      <c r="BC49" s="1526">
        <v>1.0523291601656644</v>
      </c>
      <c r="BD49" s="1526">
        <v>1.0569684119343652</v>
      </c>
      <c r="BE49" s="1526">
        <v>1.061607663703066</v>
      </c>
      <c r="BF49" s="1526">
        <v>1.0662469154717669</v>
      </c>
      <c r="BG49" s="1526">
        <v>1.0662469154717669</v>
      </c>
      <c r="BH49" s="1526">
        <v>1.0662469154717669</v>
      </c>
      <c r="BI49" s="1526">
        <v>1.0662469154717669</v>
      </c>
      <c r="BJ49" s="1526">
        <v>1.0662469154717669</v>
      </c>
      <c r="BK49" s="1526">
        <v>1.0684529596700734</v>
      </c>
      <c r="ER49" s="1313"/>
      <c r="ES49" s="1313"/>
      <c r="ET49" s="1313"/>
      <c r="EU49" s="1313"/>
      <c r="EV49" s="1313"/>
      <c r="EW49" s="1313"/>
      <c r="EX49" s="1313"/>
      <c r="EY49" s="1313"/>
      <c r="EZ49" s="1313"/>
      <c r="FA49" s="1313"/>
      <c r="FB49" s="1313"/>
      <c r="FC49" s="1313"/>
      <c r="FD49" s="1313"/>
      <c r="FE49" s="1313"/>
      <c r="FF49" s="1313"/>
      <c r="FG49" s="1313"/>
      <c r="FH49" s="1313"/>
      <c r="FI49" s="1313"/>
      <c r="FJ49" s="1313"/>
      <c r="FK49" s="1313"/>
      <c r="FL49" s="1313"/>
      <c r="FM49" s="1313"/>
      <c r="FN49" s="1313"/>
      <c r="FO49" s="1313"/>
      <c r="FP49" s="1313"/>
      <c r="FQ49" s="1313"/>
      <c r="FR49" s="1313"/>
      <c r="FS49" s="1313"/>
      <c r="FT49" s="1313"/>
      <c r="FU49" s="1313"/>
      <c r="FV49" s="1313"/>
    </row>
    <row r="50" spans="1:178" s="1314" customFormat="1">
      <c r="A50" s="1504" t="s">
        <v>1013</v>
      </c>
      <c r="B50" s="1504" t="s">
        <v>1012</v>
      </c>
      <c r="C50" s="1516">
        <v>1</v>
      </c>
      <c r="D50" s="1516">
        <v>1.0873041282057319</v>
      </c>
      <c r="E50" s="1516">
        <v>1.1658778435908905</v>
      </c>
      <c r="F50" s="1516">
        <v>1.174608256411465</v>
      </c>
      <c r="G50" s="1519">
        <v>1</v>
      </c>
      <c r="H50" s="1505">
        <v>1</v>
      </c>
      <c r="I50" s="1505">
        <v>1</v>
      </c>
      <c r="J50" s="1505">
        <v>1</v>
      </c>
      <c r="K50" s="1505">
        <v>1</v>
      </c>
      <c r="L50" s="1545">
        <v>1.0087304128205732</v>
      </c>
      <c r="M50" s="1545">
        <v>1.0174608256411464</v>
      </c>
      <c r="N50" s="1545">
        <v>1.0261912384617196</v>
      </c>
      <c r="O50" s="1545">
        <v>1.0349216512822927</v>
      </c>
      <c r="P50" s="1545">
        <v>1.0436520641028659</v>
      </c>
      <c r="Q50" s="1545">
        <v>1.0523824769234391</v>
      </c>
      <c r="R50" s="1545">
        <v>1.0611128897440123</v>
      </c>
      <c r="S50" s="1545">
        <v>1.0698433025645855</v>
      </c>
      <c r="T50" s="1545">
        <v>1.0785737153851587</v>
      </c>
      <c r="U50" s="1545">
        <v>1.0873041282057319</v>
      </c>
      <c r="V50" s="1545">
        <v>1.096034541026305</v>
      </c>
      <c r="W50" s="1545">
        <v>1.1047649538468782</v>
      </c>
      <c r="X50" s="1545">
        <v>1.1134953666674514</v>
      </c>
      <c r="Y50" s="1545">
        <v>1.1222257794880246</v>
      </c>
      <c r="Z50" s="1545">
        <v>1.1309561923085978</v>
      </c>
      <c r="AA50" s="1545">
        <v>1.139686605129171</v>
      </c>
      <c r="AB50" s="1545">
        <v>1.1484170179497442</v>
      </c>
      <c r="AC50" s="1545">
        <v>1.1571474307703173</v>
      </c>
      <c r="AD50" s="1545">
        <v>1.1658778435908905</v>
      </c>
      <c r="AE50" s="1545">
        <v>1.1658778435908905</v>
      </c>
      <c r="AF50" s="1545">
        <v>1.1658778435908905</v>
      </c>
      <c r="AG50" s="1545">
        <v>1.1658778435908905</v>
      </c>
      <c r="AH50" s="1545">
        <v>1.1658778435908905</v>
      </c>
      <c r="AI50" s="1545">
        <v>1.174608256411465</v>
      </c>
      <c r="AJ50" s="1531">
        <v>1</v>
      </c>
      <c r="AK50" s="1538">
        <v>1</v>
      </c>
      <c r="AL50" s="1538">
        <v>1</v>
      </c>
      <c r="AM50" s="1538">
        <v>1</v>
      </c>
      <c r="AN50" s="1532">
        <v>1.0087304128205732</v>
      </c>
      <c r="AO50" s="1532">
        <v>1.0174608256411464</v>
      </c>
      <c r="AP50" s="1532">
        <v>1.0261912384617196</v>
      </c>
      <c r="AQ50" s="1526">
        <v>1.0349216512822927</v>
      </c>
      <c r="AR50" s="1526">
        <v>1.0436520641028659</v>
      </c>
      <c r="AS50" s="1526">
        <v>1.0523824769234391</v>
      </c>
      <c r="AT50" s="1526">
        <v>1.0611128897440123</v>
      </c>
      <c r="AU50" s="1526">
        <v>1.0698433025645855</v>
      </c>
      <c r="AV50" s="1526">
        <v>1.0785737153851587</v>
      </c>
      <c r="AW50" s="1526">
        <v>1.0873041282057319</v>
      </c>
      <c r="AX50" s="1526">
        <v>1.096034541026305</v>
      </c>
      <c r="AY50" s="1526">
        <v>1.1047649538468782</v>
      </c>
      <c r="AZ50" s="1526">
        <v>1.1134953666674514</v>
      </c>
      <c r="BA50" s="1526">
        <v>1.1222257794880246</v>
      </c>
      <c r="BB50" s="1526">
        <v>1.1309561923085978</v>
      </c>
      <c r="BC50" s="1526">
        <v>1.139686605129171</v>
      </c>
      <c r="BD50" s="1526">
        <v>1.1484170179497442</v>
      </c>
      <c r="BE50" s="1526">
        <v>1.1571474307703173</v>
      </c>
      <c r="BF50" s="1526">
        <v>1.1658778435908905</v>
      </c>
      <c r="BG50" s="1526">
        <v>1.1658778435908905</v>
      </c>
      <c r="BH50" s="1526">
        <v>1.1658778435908905</v>
      </c>
      <c r="BI50" s="1526">
        <v>1.1658778435908905</v>
      </c>
      <c r="BJ50" s="1526">
        <v>1.1658778435908905</v>
      </c>
      <c r="BK50" s="1526">
        <v>1.174608256411465</v>
      </c>
      <c r="ER50" s="1313"/>
      <c r="ES50" s="1313"/>
      <c r="ET50" s="1313"/>
      <c r="EU50" s="1313"/>
      <c r="EV50" s="1313"/>
      <c r="EW50" s="1313"/>
      <c r="EX50" s="1313"/>
      <c r="EY50" s="1313"/>
      <c r="EZ50" s="1313"/>
      <c r="FA50" s="1313"/>
      <c r="FB50" s="1313"/>
      <c r="FC50" s="1313"/>
      <c r="FD50" s="1313"/>
      <c r="FE50" s="1313"/>
      <c r="FF50" s="1313"/>
      <c r="FG50" s="1313"/>
      <c r="FH50" s="1313"/>
      <c r="FI50" s="1313"/>
      <c r="FJ50" s="1313"/>
      <c r="FK50" s="1313"/>
      <c r="FL50" s="1313"/>
      <c r="FM50" s="1313"/>
      <c r="FN50" s="1313"/>
      <c r="FO50" s="1313"/>
      <c r="FP50" s="1313"/>
      <c r="FQ50" s="1313"/>
      <c r="FR50" s="1313"/>
      <c r="FS50" s="1313"/>
      <c r="FT50" s="1313"/>
      <c r="FU50" s="1313"/>
      <c r="FV50" s="1313"/>
    </row>
    <row r="51" spans="1:178" s="1314" customFormat="1">
      <c r="A51" s="1504" t="s">
        <v>1011</v>
      </c>
      <c r="B51" s="1504" t="s">
        <v>1010</v>
      </c>
      <c r="C51" s="1516">
        <v>1</v>
      </c>
      <c r="D51" s="1516">
        <v>0.83926907938383144</v>
      </c>
      <c r="E51" s="1516">
        <v>0.73794013202132624</v>
      </c>
      <c r="F51" s="1516">
        <v>0.72133211550054832</v>
      </c>
      <c r="G51" s="1519">
        <v>1</v>
      </c>
      <c r="H51" s="1505">
        <v>1</v>
      </c>
      <c r="I51" s="1505">
        <v>1</v>
      </c>
      <c r="J51" s="1505">
        <v>1</v>
      </c>
      <c r="K51" s="1505">
        <v>1</v>
      </c>
      <c r="L51" s="1545">
        <v>0.98339198347922208</v>
      </c>
      <c r="M51" s="1545">
        <v>0.96678396695844415</v>
      </c>
      <c r="N51" s="1545">
        <v>0.95017595043766623</v>
      </c>
      <c r="O51" s="1545">
        <v>0.9335679339168883</v>
      </c>
      <c r="P51" s="1545">
        <v>0.91695991739611038</v>
      </c>
      <c r="Q51" s="1545">
        <v>0.90035190087533246</v>
      </c>
      <c r="R51" s="1545">
        <v>0.88374388435455453</v>
      </c>
      <c r="S51" s="1545">
        <v>0.86713586783377661</v>
      </c>
      <c r="T51" s="1545">
        <v>0.85052785131299868</v>
      </c>
      <c r="U51" s="1545">
        <v>0.83926907938383144</v>
      </c>
      <c r="V51" s="1545">
        <v>0.8280103074546642</v>
      </c>
      <c r="W51" s="1545">
        <v>0.81675153552549695</v>
      </c>
      <c r="X51" s="1545">
        <v>0.80549276359632971</v>
      </c>
      <c r="Y51" s="1545">
        <v>0.79423399166716246</v>
      </c>
      <c r="Z51" s="1545">
        <v>0.78297521973799522</v>
      </c>
      <c r="AA51" s="1545">
        <v>0.77171644780882798</v>
      </c>
      <c r="AB51" s="1545">
        <v>0.76045767587966073</v>
      </c>
      <c r="AC51" s="1545">
        <v>0.74919890395049349</v>
      </c>
      <c r="AD51" s="1545">
        <v>0.73794013202132624</v>
      </c>
      <c r="AE51" s="1545">
        <v>0.73794013202132624</v>
      </c>
      <c r="AF51" s="1545">
        <v>0.73794013202132624</v>
      </c>
      <c r="AG51" s="1545">
        <v>0.73794013202132624</v>
      </c>
      <c r="AH51" s="1545">
        <v>0.73794013202132624</v>
      </c>
      <c r="AI51" s="1545">
        <v>0.72133211550054832</v>
      </c>
      <c r="AJ51" s="1531">
        <v>1</v>
      </c>
      <c r="AK51" s="1538">
        <v>1</v>
      </c>
      <c r="AL51" s="1538">
        <v>1</v>
      </c>
      <c r="AM51" s="1538">
        <v>1</v>
      </c>
      <c r="AN51" s="1532">
        <v>0.98339198347922208</v>
      </c>
      <c r="AO51" s="1532">
        <v>0.96678396695844415</v>
      </c>
      <c r="AP51" s="1532">
        <v>0.95017595043766623</v>
      </c>
      <c r="AQ51" s="1526">
        <v>0.9335679339168883</v>
      </c>
      <c r="AR51" s="1526">
        <v>0.91695991739611038</v>
      </c>
      <c r="AS51" s="1526">
        <v>0.90035190087533246</v>
      </c>
      <c r="AT51" s="1526">
        <v>0.88374388435455453</v>
      </c>
      <c r="AU51" s="1526">
        <v>0.86713586783377661</v>
      </c>
      <c r="AV51" s="1526">
        <v>0.85052785131299868</v>
      </c>
      <c r="AW51" s="1526">
        <v>0.83926907938383144</v>
      </c>
      <c r="AX51" s="1526">
        <v>0.8280103074546642</v>
      </c>
      <c r="AY51" s="1526">
        <v>0.81675153552549695</v>
      </c>
      <c r="AZ51" s="1526">
        <v>0.80549276359632971</v>
      </c>
      <c r="BA51" s="1526">
        <v>0.79423399166716246</v>
      </c>
      <c r="BB51" s="1526">
        <v>0.78297521973799522</v>
      </c>
      <c r="BC51" s="1526">
        <v>0.77171644780882798</v>
      </c>
      <c r="BD51" s="1526">
        <v>0.76045767587966073</v>
      </c>
      <c r="BE51" s="1526">
        <v>0.74919890395049349</v>
      </c>
      <c r="BF51" s="1526">
        <v>0.73794013202132624</v>
      </c>
      <c r="BG51" s="1526">
        <v>0.73794013202132624</v>
      </c>
      <c r="BH51" s="1526">
        <v>0.73794013202132624</v>
      </c>
      <c r="BI51" s="1526">
        <v>0.73794013202132624</v>
      </c>
      <c r="BJ51" s="1526">
        <v>0.73794013202132624</v>
      </c>
      <c r="BK51" s="1526">
        <v>0.72133211550054832</v>
      </c>
      <c r="ER51" s="1313"/>
      <c r="ES51" s="1313"/>
      <c r="ET51" s="1313"/>
      <c r="EU51" s="1313"/>
      <c r="EV51" s="1313"/>
      <c r="EW51" s="1313"/>
      <c r="EX51" s="1313"/>
      <c r="EY51" s="1313"/>
      <c r="EZ51" s="1313"/>
      <c r="FA51" s="1313"/>
      <c r="FB51" s="1313"/>
      <c r="FC51" s="1313"/>
      <c r="FD51" s="1313"/>
      <c r="FE51" s="1313"/>
      <c r="FF51" s="1313"/>
      <c r="FG51" s="1313"/>
      <c r="FH51" s="1313"/>
      <c r="FI51" s="1313"/>
      <c r="FJ51" s="1313"/>
      <c r="FK51" s="1313"/>
      <c r="FL51" s="1313"/>
      <c r="FM51" s="1313"/>
      <c r="FN51" s="1313"/>
      <c r="FO51" s="1313"/>
      <c r="FP51" s="1313"/>
      <c r="FQ51" s="1313"/>
      <c r="FR51" s="1313"/>
      <c r="FS51" s="1313"/>
      <c r="FT51" s="1313"/>
      <c r="FU51" s="1313"/>
      <c r="FV51" s="1313"/>
    </row>
    <row r="52" spans="1:178" s="1314" customFormat="1">
      <c r="A52" s="1504" t="s">
        <v>1009</v>
      </c>
      <c r="B52" s="1504" t="s">
        <v>1008</v>
      </c>
      <c r="C52" s="1516">
        <v>1</v>
      </c>
      <c r="D52" s="1516">
        <v>0.97837277515259535</v>
      </c>
      <c r="E52" s="1516">
        <v>0.96592393875142701</v>
      </c>
      <c r="F52" s="1516">
        <v>0.96367460310666808</v>
      </c>
      <c r="G52" s="1519">
        <v>1</v>
      </c>
      <c r="H52" s="1505">
        <v>1</v>
      </c>
      <c r="I52" s="1505">
        <v>1</v>
      </c>
      <c r="J52" s="1505">
        <v>1</v>
      </c>
      <c r="K52" s="1505">
        <v>1</v>
      </c>
      <c r="L52" s="1545">
        <v>0.99775066435524107</v>
      </c>
      <c r="M52" s="1545">
        <v>0.99550132871048214</v>
      </c>
      <c r="N52" s="1545">
        <v>0.9932519930657232</v>
      </c>
      <c r="O52" s="1545">
        <v>0.99100265742096427</v>
      </c>
      <c r="P52" s="1545">
        <v>0.98875332177620534</v>
      </c>
      <c r="Q52" s="1545">
        <v>0.98650398613144641</v>
      </c>
      <c r="R52" s="1545">
        <v>0.98425465048668748</v>
      </c>
      <c r="S52" s="1545">
        <v>0.98200531484192854</v>
      </c>
      <c r="T52" s="1545">
        <v>0.97975597919716961</v>
      </c>
      <c r="U52" s="1545">
        <v>0.97837277515259535</v>
      </c>
      <c r="V52" s="1545">
        <v>0.97698957110802109</v>
      </c>
      <c r="W52" s="1545">
        <v>0.97560636706344683</v>
      </c>
      <c r="X52" s="1545">
        <v>0.97422316301887257</v>
      </c>
      <c r="Y52" s="1545">
        <v>0.97283995897429831</v>
      </c>
      <c r="Z52" s="1545">
        <v>0.97145675492972405</v>
      </c>
      <c r="AA52" s="1545">
        <v>0.97007355088514979</v>
      </c>
      <c r="AB52" s="1545">
        <v>0.96869034684057553</v>
      </c>
      <c r="AC52" s="1545">
        <v>0.96730714279600127</v>
      </c>
      <c r="AD52" s="1545">
        <v>0.96592393875142701</v>
      </c>
      <c r="AE52" s="1545">
        <v>0.96592393875142701</v>
      </c>
      <c r="AF52" s="1545">
        <v>0.96592393875142701</v>
      </c>
      <c r="AG52" s="1545">
        <v>0.96592393875142701</v>
      </c>
      <c r="AH52" s="1545">
        <v>0.96592393875142701</v>
      </c>
      <c r="AI52" s="1545">
        <v>0.96367460310666808</v>
      </c>
      <c r="AJ52" s="1531">
        <v>1</v>
      </c>
      <c r="AK52" s="1538">
        <v>1</v>
      </c>
      <c r="AL52" s="1538">
        <v>1</v>
      </c>
      <c r="AM52" s="1538">
        <v>1</v>
      </c>
      <c r="AN52" s="1532">
        <v>0.99775066435524107</v>
      </c>
      <c r="AO52" s="1532">
        <v>0.99550132871048214</v>
      </c>
      <c r="AP52" s="1532">
        <v>0.9932519930657232</v>
      </c>
      <c r="AQ52" s="1526">
        <v>0.99100265742096427</v>
      </c>
      <c r="AR52" s="1526">
        <v>0.98875332177620534</v>
      </c>
      <c r="AS52" s="1526">
        <v>0.98650398613144641</v>
      </c>
      <c r="AT52" s="1526">
        <v>0.98425465048668748</v>
      </c>
      <c r="AU52" s="1526">
        <v>0.98200531484192854</v>
      </c>
      <c r="AV52" s="1526">
        <v>0.97975597919716961</v>
      </c>
      <c r="AW52" s="1526">
        <v>0.97837277515259535</v>
      </c>
      <c r="AX52" s="1526">
        <v>0.97698957110802109</v>
      </c>
      <c r="AY52" s="1526">
        <v>0.97560636706344683</v>
      </c>
      <c r="AZ52" s="1526">
        <v>0.97422316301887257</v>
      </c>
      <c r="BA52" s="1526">
        <v>0.97283995897429831</v>
      </c>
      <c r="BB52" s="1526">
        <v>0.97145675492972405</v>
      </c>
      <c r="BC52" s="1526">
        <v>0.97007355088514979</v>
      </c>
      <c r="BD52" s="1526">
        <v>0.96869034684057553</v>
      </c>
      <c r="BE52" s="1526">
        <v>0.96730714279600127</v>
      </c>
      <c r="BF52" s="1526">
        <v>0.96592393875142701</v>
      </c>
      <c r="BG52" s="1526">
        <v>0.96592393875142701</v>
      </c>
      <c r="BH52" s="1526">
        <v>0.96592393875142701</v>
      </c>
      <c r="BI52" s="1526">
        <v>0.96592393875142701</v>
      </c>
      <c r="BJ52" s="1526">
        <v>0.96592393875142701</v>
      </c>
      <c r="BK52" s="1526">
        <v>0.96367460310666808</v>
      </c>
      <c r="ER52" s="1313"/>
      <c r="ES52" s="1313"/>
      <c r="ET52" s="1313"/>
      <c r="EU52" s="1313"/>
      <c r="EV52" s="1313"/>
      <c r="EW52" s="1313"/>
      <c r="EX52" s="1313"/>
      <c r="EY52" s="1313"/>
      <c r="EZ52" s="1313"/>
      <c r="FA52" s="1313"/>
      <c r="FB52" s="1313"/>
      <c r="FC52" s="1313"/>
      <c r="FD52" s="1313"/>
      <c r="FE52" s="1313"/>
      <c r="FF52" s="1313"/>
      <c r="FG52" s="1313"/>
      <c r="FH52" s="1313"/>
      <c r="FI52" s="1313"/>
      <c r="FJ52" s="1313"/>
      <c r="FK52" s="1313"/>
      <c r="FL52" s="1313"/>
      <c r="FM52" s="1313"/>
      <c r="FN52" s="1313"/>
      <c r="FO52" s="1313"/>
      <c r="FP52" s="1313"/>
      <c r="FQ52" s="1313"/>
      <c r="FR52" s="1313"/>
      <c r="FS52" s="1313"/>
      <c r="FT52" s="1313"/>
      <c r="FU52" s="1313"/>
      <c r="FV52" s="1313"/>
    </row>
    <row r="53" spans="1:178" s="1314" customFormat="1">
      <c r="A53" s="1504" t="s">
        <v>1007</v>
      </c>
      <c r="B53" s="1504" t="s">
        <v>1006</v>
      </c>
      <c r="C53" s="1516">
        <v>1</v>
      </c>
      <c r="D53" s="1516">
        <v>1.0111314641972009</v>
      </c>
      <c r="E53" s="1516">
        <v>1.0175388409029111</v>
      </c>
      <c r="F53" s="1516">
        <v>1.0186965668420345</v>
      </c>
      <c r="G53" s="1519">
        <v>1</v>
      </c>
      <c r="H53" s="1505">
        <v>1</v>
      </c>
      <c r="I53" s="1505">
        <v>1</v>
      </c>
      <c r="J53" s="1505">
        <v>1</v>
      </c>
      <c r="K53" s="1505">
        <v>1</v>
      </c>
      <c r="L53" s="1545">
        <v>1.0011577259391247</v>
      </c>
      <c r="M53" s="1545">
        <v>1.0023154518782493</v>
      </c>
      <c r="N53" s="1545">
        <v>1.003473177817374</v>
      </c>
      <c r="O53" s="1545">
        <v>1.0046309037564987</v>
      </c>
      <c r="P53" s="1545">
        <v>1.0057886296956233</v>
      </c>
      <c r="Q53" s="1545">
        <v>1.006946355634748</v>
      </c>
      <c r="R53" s="1545">
        <v>1.0081040815738727</v>
      </c>
      <c r="S53" s="1545">
        <v>1.0092618075129973</v>
      </c>
      <c r="T53" s="1545">
        <v>1.010419533452122</v>
      </c>
      <c r="U53" s="1545">
        <v>1.0111314641972009</v>
      </c>
      <c r="V53" s="1545">
        <v>1.0118433949422798</v>
      </c>
      <c r="W53" s="1545">
        <v>1.0125553256873587</v>
      </c>
      <c r="X53" s="1545">
        <v>1.0132672564324376</v>
      </c>
      <c r="Y53" s="1545">
        <v>1.0139791871775166</v>
      </c>
      <c r="Z53" s="1545">
        <v>1.0146911179225955</v>
      </c>
      <c r="AA53" s="1545">
        <v>1.0154030486676744</v>
      </c>
      <c r="AB53" s="1545">
        <v>1.0161149794127533</v>
      </c>
      <c r="AC53" s="1545">
        <v>1.0168269101578322</v>
      </c>
      <c r="AD53" s="1545">
        <v>1.0175388409029111</v>
      </c>
      <c r="AE53" s="1545">
        <v>1.0175388409029111</v>
      </c>
      <c r="AF53" s="1545">
        <v>1.0175388409029111</v>
      </c>
      <c r="AG53" s="1545">
        <v>1.0175388409029111</v>
      </c>
      <c r="AH53" s="1545">
        <v>1.0175388409029111</v>
      </c>
      <c r="AI53" s="1545">
        <v>1.0186965668420345</v>
      </c>
      <c r="AJ53" s="1531">
        <v>1</v>
      </c>
      <c r="AK53" s="1538">
        <v>1</v>
      </c>
      <c r="AL53" s="1538">
        <v>1</v>
      </c>
      <c r="AM53" s="1538">
        <v>1</v>
      </c>
      <c r="AN53" s="1532">
        <v>1.0011577259391247</v>
      </c>
      <c r="AO53" s="1532">
        <v>1.0023154518782493</v>
      </c>
      <c r="AP53" s="1532">
        <v>1.003473177817374</v>
      </c>
      <c r="AQ53" s="1526">
        <v>1.0046309037564987</v>
      </c>
      <c r="AR53" s="1526">
        <v>1.0057886296956233</v>
      </c>
      <c r="AS53" s="1526">
        <v>1.006946355634748</v>
      </c>
      <c r="AT53" s="1526">
        <v>1.0081040815738727</v>
      </c>
      <c r="AU53" s="1526">
        <v>1.0092618075129973</v>
      </c>
      <c r="AV53" s="1526">
        <v>1.010419533452122</v>
      </c>
      <c r="AW53" s="1526">
        <v>1.0111314641972009</v>
      </c>
      <c r="AX53" s="1526">
        <v>1.0118433949422798</v>
      </c>
      <c r="AY53" s="1526">
        <v>1.0125553256873587</v>
      </c>
      <c r="AZ53" s="1526">
        <v>1.0132672564324376</v>
      </c>
      <c r="BA53" s="1526">
        <v>1.0139791871775166</v>
      </c>
      <c r="BB53" s="1526">
        <v>1.0146911179225955</v>
      </c>
      <c r="BC53" s="1526">
        <v>1.0154030486676744</v>
      </c>
      <c r="BD53" s="1526">
        <v>1.0161149794127533</v>
      </c>
      <c r="BE53" s="1526">
        <v>1.0168269101578322</v>
      </c>
      <c r="BF53" s="1526">
        <v>1.0175388409029111</v>
      </c>
      <c r="BG53" s="1526">
        <v>1.0175388409029111</v>
      </c>
      <c r="BH53" s="1526">
        <v>1.0175388409029111</v>
      </c>
      <c r="BI53" s="1526">
        <v>1.0175388409029111</v>
      </c>
      <c r="BJ53" s="1526">
        <v>1.0175388409029111</v>
      </c>
      <c r="BK53" s="1526">
        <v>1.0186965668420345</v>
      </c>
      <c r="ER53" s="1313"/>
      <c r="ES53" s="1313"/>
      <c r="ET53" s="1313"/>
      <c r="EU53" s="1313"/>
      <c r="EV53" s="1313"/>
      <c r="EW53" s="1313"/>
      <c r="EX53" s="1313"/>
      <c r="EY53" s="1313"/>
      <c r="EZ53" s="1313"/>
      <c r="FA53" s="1313"/>
      <c r="FB53" s="1313"/>
      <c r="FC53" s="1313"/>
      <c r="FD53" s="1313"/>
      <c r="FE53" s="1313"/>
      <c r="FF53" s="1313"/>
      <c r="FG53" s="1313"/>
      <c r="FH53" s="1313"/>
      <c r="FI53" s="1313"/>
      <c r="FJ53" s="1313"/>
      <c r="FK53" s="1313"/>
      <c r="FL53" s="1313"/>
      <c r="FM53" s="1313"/>
      <c r="FN53" s="1313"/>
      <c r="FO53" s="1313"/>
      <c r="FP53" s="1313"/>
      <c r="FQ53" s="1313"/>
      <c r="FR53" s="1313"/>
      <c r="FS53" s="1313"/>
      <c r="FT53" s="1313"/>
      <c r="FU53" s="1313"/>
      <c r="FV53" s="1313"/>
    </row>
    <row r="54" spans="1:178" s="1314" customFormat="1">
      <c r="A54" s="1504" t="s">
        <v>1005</v>
      </c>
      <c r="B54" s="1504" t="s">
        <v>1004</v>
      </c>
      <c r="C54" s="1516">
        <v>1</v>
      </c>
      <c r="D54" s="1516">
        <v>1.0545078044933558</v>
      </c>
      <c r="E54" s="1516">
        <v>1.0888709402931109</v>
      </c>
      <c r="F54" s="1516">
        <v>1.0945031267701544</v>
      </c>
      <c r="G54" s="1519">
        <v>1</v>
      </c>
      <c r="H54" s="1505">
        <v>1</v>
      </c>
      <c r="I54" s="1505">
        <v>1</v>
      </c>
      <c r="J54" s="1505">
        <v>1</v>
      </c>
      <c r="K54" s="1505">
        <v>1</v>
      </c>
      <c r="L54" s="1545">
        <v>1.0056321864770426</v>
      </c>
      <c r="M54" s="1545">
        <v>1.0112643729540851</v>
      </c>
      <c r="N54" s="1545">
        <v>1.0168965594311277</v>
      </c>
      <c r="O54" s="1545">
        <v>1.0225287459081702</v>
      </c>
      <c r="P54" s="1545">
        <v>1.0281609323852128</v>
      </c>
      <c r="Q54" s="1545">
        <v>1.0337931188622553</v>
      </c>
      <c r="R54" s="1545">
        <v>1.0394253053392979</v>
      </c>
      <c r="S54" s="1545">
        <v>1.0450574918163404</v>
      </c>
      <c r="T54" s="1545">
        <v>1.050689678293383</v>
      </c>
      <c r="U54" s="1545">
        <v>1.0545078044933558</v>
      </c>
      <c r="V54" s="1545">
        <v>1.0583259306933286</v>
      </c>
      <c r="W54" s="1545">
        <v>1.0621440568933014</v>
      </c>
      <c r="X54" s="1545">
        <v>1.0659621830932742</v>
      </c>
      <c r="Y54" s="1545">
        <v>1.069780309293247</v>
      </c>
      <c r="Z54" s="1545">
        <v>1.0735984354932198</v>
      </c>
      <c r="AA54" s="1545">
        <v>1.0774165616931926</v>
      </c>
      <c r="AB54" s="1545">
        <v>1.0812346878931653</v>
      </c>
      <c r="AC54" s="1545">
        <v>1.0850528140931381</v>
      </c>
      <c r="AD54" s="1545">
        <v>1.0888709402931109</v>
      </c>
      <c r="AE54" s="1545">
        <v>1.0888709402931109</v>
      </c>
      <c r="AF54" s="1545">
        <v>1.0888709402931109</v>
      </c>
      <c r="AG54" s="1545">
        <v>1.0888709402931109</v>
      </c>
      <c r="AH54" s="1545">
        <v>1.0888709402931109</v>
      </c>
      <c r="AI54" s="1545">
        <v>1.0945031267701544</v>
      </c>
      <c r="AJ54" s="1531">
        <v>1</v>
      </c>
      <c r="AK54" s="1538">
        <v>1</v>
      </c>
      <c r="AL54" s="1538">
        <v>1</v>
      </c>
      <c r="AM54" s="1538">
        <v>1</v>
      </c>
      <c r="AN54" s="1532">
        <v>1.0056321864770426</v>
      </c>
      <c r="AO54" s="1532">
        <v>1.0112643729540851</v>
      </c>
      <c r="AP54" s="1532">
        <v>1.0168965594311277</v>
      </c>
      <c r="AQ54" s="1526">
        <v>1.0225287459081702</v>
      </c>
      <c r="AR54" s="1526">
        <v>1.0281609323852128</v>
      </c>
      <c r="AS54" s="1526">
        <v>1.0337931188622553</v>
      </c>
      <c r="AT54" s="1526">
        <v>1.0394253053392979</v>
      </c>
      <c r="AU54" s="1526">
        <v>1.0450574918163404</v>
      </c>
      <c r="AV54" s="1526">
        <v>1.050689678293383</v>
      </c>
      <c r="AW54" s="1526">
        <v>1.0545078044933558</v>
      </c>
      <c r="AX54" s="1526">
        <v>1.0583259306933286</v>
      </c>
      <c r="AY54" s="1526">
        <v>1.0621440568933014</v>
      </c>
      <c r="AZ54" s="1526">
        <v>1.0659621830932742</v>
      </c>
      <c r="BA54" s="1526">
        <v>1.069780309293247</v>
      </c>
      <c r="BB54" s="1526">
        <v>1.0735984354932198</v>
      </c>
      <c r="BC54" s="1526">
        <v>1.0774165616931926</v>
      </c>
      <c r="BD54" s="1526">
        <v>1.0812346878931653</v>
      </c>
      <c r="BE54" s="1526">
        <v>1.0850528140931381</v>
      </c>
      <c r="BF54" s="1526">
        <v>1.0888709402931109</v>
      </c>
      <c r="BG54" s="1526">
        <v>1.0888709402931109</v>
      </c>
      <c r="BH54" s="1526">
        <v>1.0888709402931109</v>
      </c>
      <c r="BI54" s="1526">
        <v>1.0888709402931109</v>
      </c>
      <c r="BJ54" s="1526">
        <v>1.0888709402931109</v>
      </c>
      <c r="BK54" s="1526">
        <v>1.0945031267701544</v>
      </c>
      <c r="ER54" s="1313"/>
      <c r="ES54" s="1313"/>
      <c r="ET54" s="1313"/>
      <c r="EU54" s="1313"/>
      <c r="EV54" s="1313"/>
      <c r="EW54" s="1313"/>
      <c r="EX54" s="1313"/>
      <c r="EY54" s="1313"/>
      <c r="EZ54" s="1313"/>
      <c r="FA54" s="1313"/>
      <c r="FB54" s="1313"/>
      <c r="FC54" s="1313"/>
      <c r="FD54" s="1313"/>
      <c r="FE54" s="1313"/>
      <c r="FF54" s="1313"/>
      <c r="FG54" s="1313"/>
      <c r="FH54" s="1313"/>
      <c r="FI54" s="1313"/>
      <c r="FJ54" s="1313"/>
      <c r="FK54" s="1313"/>
      <c r="FL54" s="1313"/>
      <c r="FM54" s="1313"/>
      <c r="FN54" s="1313"/>
      <c r="FO54" s="1313"/>
      <c r="FP54" s="1313"/>
      <c r="FQ54" s="1313"/>
      <c r="FR54" s="1313"/>
      <c r="FS54" s="1313"/>
      <c r="FT54" s="1313"/>
      <c r="FU54" s="1313"/>
      <c r="FV54" s="1313"/>
    </row>
    <row r="55" spans="1:178" s="1314" customFormat="1">
      <c r="A55" s="1504" t="s">
        <v>1003</v>
      </c>
      <c r="B55" s="1504" t="s">
        <v>1002</v>
      </c>
      <c r="C55" s="1516">
        <v>1</v>
      </c>
      <c r="D55" s="1516">
        <v>0.97207606330400709</v>
      </c>
      <c r="E55" s="1516">
        <v>0.95600277965075542</v>
      </c>
      <c r="F55" s="1516">
        <v>0.95309855561852475</v>
      </c>
      <c r="G55" s="1519">
        <v>1</v>
      </c>
      <c r="H55" s="1505">
        <v>1</v>
      </c>
      <c r="I55" s="1505">
        <v>1</v>
      </c>
      <c r="J55" s="1505">
        <v>1</v>
      </c>
      <c r="K55" s="1505">
        <v>1</v>
      </c>
      <c r="L55" s="1545">
        <v>0.99709577596776933</v>
      </c>
      <c r="M55" s="1545">
        <v>0.99430338229817006</v>
      </c>
      <c r="N55" s="1545">
        <v>0.99128732790330798</v>
      </c>
      <c r="O55" s="1545">
        <v>0.98838310387107731</v>
      </c>
      <c r="P55" s="1545">
        <v>0.98547887983884663</v>
      </c>
      <c r="Q55" s="1545">
        <v>0.98257465580661596</v>
      </c>
      <c r="R55" s="1545">
        <v>0.97967043177438529</v>
      </c>
      <c r="S55" s="1545">
        <v>0.97676620774215461</v>
      </c>
      <c r="T55" s="1545">
        <v>0.97386198370992394</v>
      </c>
      <c r="U55" s="1545">
        <v>0.97207606330400709</v>
      </c>
      <c r="V55" s="1545">
        <v>0.97029014289809024</v>
      </c>
      <c r="W55" s="1545">
        <v>0.96850422249217338</v>
      </c>
      <c r="X55" s="1545">
        <v>0.96671830208625653</v>
      </c>
      <c r="Y55" s="1545">
        <v>0.96493238168033968</v>
      </c>
      <c r="Z55" s="1545">
        <v>0.96314646127442283</v>
      </c>
      <c r="AA55" s="1545">
        <v>0.96136054086850597</v>
      </c>
      <c r="AB55" s="1545">
        <v>0.95957462046258912</v>
      </c>
      <c r="AC55" s="1545">
        <v>0.95778870005667227</v>
      </c>
      <c r="AD55" s="1545">
        <v>0.95600277965075542</v>
      </c>
      <c r="AE55" s="1545">
        <v>0.95600277965075542</v>
      </c>
      <c r="AF55" s="1545">
        <v>0.95600277965075542</v>
      </c>
      <c r="AG55" s="1545">
        <v>0.95600277965075542</v>
      </c>
      <c r="AH55" s="1545">
        <v>0.95600277965075542</v>
      </c>
      <c r="AI55" s="1545">
        <v>0.95309855561852475</v>
      </c>
      <c r="AJ55" s="1531">
        <v>1</v>
      </c>
      <c r="AK55" s="1538">
        <v>1</v>
      </c>
      <c r="AL55" s="1538">
        <v>1</v>
      </c>
      <c r="AM55" s="1538">
        <v>1</v>
      </c>
      <c r="AN55" s="1532">
        <v>0.99709577596776933</v>
      </c>
      <c r="AO55" s="1532">
        <v>0.99430338229817006</v>
      </c>
      <c r="AP55" s="1532">
        <v>0.99128732790330798</v>
      </c>
      <c r="AQ55" s="1526">
        <v>0.98838310387107731</v>
      </c>
      <c r="AR55" s="1526">
        <v>0.98547887983884663</v>
      </c>
      <c r="AS55" s="1526">
        <v>0.98257465580661596</v>
      </c>
      <c r="AT55" s="1526">
        <v>0.97967043177438529</v>
      </c>
      <c r="AU55" s="1526">
        <v>0.97676620774215461</v>
      </c>
      <c r="AV55" s="1526">
        <v>0.97386198370992394</v>
      </c>
      <c r="AW55" s="1526">
        <v>0.97207606330400709</v>
      </c>
      <c r="AX55" s="1526">
        <v>0.97029014289809024</v>
      </c>
      <c r="AY55" s="1526">
        <v>0.96850422249217338</v>
      </c>
      <c r="AZ55" s="1526">
        <v>0.96671830208625653</v>
      </c>
      <c r="BA55" s="1526">
        <v>0.96493238168033968</v>
      </c>
      <c r="BB55" s="1526">
        <v>0.96314646127442283</v>
      </c>
      <c r="BC55" s="1526">
        <v>0.96136054086850597</v>
      </c>
      <c r="BD55" s="1526">
        <v>0.95957462046258912</v>
      </c>
      <c r="BE55" s="1526">
        <v>0.95778870005667227</v>
      </c>
      <c r="BF55" s="1526">
        <v>0.95600277965075542</v>
      </c>
      <c r="BG55" s="1526">
        <v>0.95600277965075542</v>
      </c>
      <c r="BH55" s="1526">
        <v>0.95600277965075542</v>
      </c>
      <c r="BI55" s="1526">
        <v>0.95600277965075542</v>
      </c>
      <c r="BJ55" s="1526">
        <v>0.95600277965075542</v>
      </c>
      <c r="BK55" s="1526">
        <v>0.95309855561852475</v>
      </c>
      <c r="ER55" s="1313"/>
      <c r="ES55" s="1313"/>
      <c r="ET55" s="1313"/>
      <c r="EU55" s="1313"/>
      <c r="EV55" s="1313"/>
      <c r="EW55" s="1313"/>
      <c r="EX55" s="1313"/>
      <c r="EY55" s="1313"/>
      <c r="EZ55" s="1313"/>
      <c r="FA55" s="1313"/>
      <c r="FB55" s="1313"/>
      <c r="FC55" s="1313"/>
      <c r="FD55" s="1313"/>
      <c r="FE55" s="1313"/>
      <c r="FF55" s="1313"/>
      <c r="FG55" s="1313"/>
      <c r="FH55" s="1313"/>
      <c r="FI55" s="1313"/>
      <c r="FJ55" s="1313"/>
      <c r="FK55" s="1313"/>
      <c r="FL55" s="1313"/>
      <c r="FM55" s="1313"/>
      <c r="FN55" s="1313"/>
      <c r="FO55" s="1313"/>
      <c r="FP55" s="1313"/>
      <c r="FQ55" s="1313"/>
      <c r="FR55" s="1313"/>
      <c r="FS55" s="1313"/>
      <c r="FT55" s="1313"/>
      <c r="FU55" s="1313"/>
      <c r="FV55" s="1313"/>
    </row>
    <row r="56" spans="1:178" s="1314" customFormat="1">
      <c r="A56" s="1504" t="s">
        <v>1001</v>
      </c>
      <c r="B56" s="1504" t="s">
        <v>97</v>
      </c>
      <c r="C56" s="1516">
        <v>1</v>
      </c>
      <c r="D56" s="1516">
        <v>0.97821350762527204</v>
      </c>
      <c r="E56" s="1516">
        <v>0.95860566448801687</v>
      </c>
      <c r="F56" s="1516">
        <v>0.95642701525054474</v>
      </c>
      <c r="G56" s="1519">
        <v>1</v>
      </c>
      <c r="H56" s="1505">
        <v>1</v>
      </c>
      <c r="I56" s="1505">
        <v>1</v>
      </c>
      <c r="J56" s="1505">
        <v>1</v>
      </c>
      <c r="K56" s="1505">
        <v>1</v>
      </c>
      <c r="L56" s="1545">
        <v>0.9978213507625272</v>
      </c>
      <c r="M56" s="1545">
        <v>0.99564270152505441</v>
      </c>
      <c r="N56" s="1545">
        <v>0.99346405228758161</v>
      </c>
      <c r="O56" s="1545">
        <v>0.99128540305010882</v>
      </c>
      <c r="P56" s="1545">
        <v>0.98910675381263602</v>
      </c>
      <c r="Q56" s="1545">
        <v>0.98692810457516322</v>
      </c>
      <c r="R56" s="1545">
        <v>0.98474945533769043</v>
      </c>
      <c r="S56" s="1545">
        <v>0.98257080610021763</v>
      </c>
      <c r="T56" s="1545">
        <v>0.98039215686274483</v>
      </c>
      <c r="U56" s="1545">
        <v>0.97821350762527204</v>
      </c>
      <c r="V56" s="1545">
        <v>0.97603485838779924</v>
      </c>
      <c r="W56" s="1545">
        <v>0.97385620915032645</v>
      </c>
      <c r="X56" s="1545">
        <v>0.97167755991285365</v>
      </c>
      <c r="Y56" s="1545">
        <v>0.96949891067538085</v>
      </c>
      <c r="Z56" s="1545">
        <v>0.96732026143790806</v>
      </c>
      <c r="AA56" s="1545">
        <v>0.96514161220043526</v>
      </c>
      <c r="AB56" s="1545">
        <v>0.96296296296296247</v>
      </c>
      <c r="AC56" s="1545">
        <v>0.96078431372548967</v>
      </c>
      <c r="AD56" s="1545">
        <v>0.95860566448801687</v>
      </c>
      <c r="AE56" s="1545">
        <v>0.95860566448801687</v>
      </c>
      <c r="AF56" s="1545">
        <v>0.95860566448801687</v>
      </c>
      <c r="AG56" s="1545">
        <v>0.95860566448801687</v>
      </c>
      <c r="AH56" s="1545">
        <v>0.95860566448801687</v>
      </c>
      <c r="AI56" s="1545">
        <v>0.95642701525054474</v>
      </c>
      <c r="AJ56" s="1531">
        <v>1</v>
      </c>
      <c r="AK56" s="1538">
        <v>1</v>
      </c>
      <c r="AL56" s="1538">
        <v>1</v>
      </c>
      <c r="AM56" s="1538">
        <v>1</v>
      </c>
      <c r="AN56" s="1532">
        <v>0.9978213507625272</v>
      </c>
      <c r="AO56" s="1532">
        <v>0.99564270152505441</v>
      </c>
      <c r="AP56" s="1532">
        <v>0.99346405228758161</v>
      </c>
      <c r="AQ56" s="1526">
        <v>0.99128540305010882</v>
      </c>
      <c r="AR56" s="1526">
        <v>0.98910675381263602</v>
      </c>
      <c r="AS56" s="1526">
        <v>0.98692810457516322</v>
      </c>
      <c r="AT56" s="1526">
        <v>0.98474945533769043</v>
      </c>
      <c r="AU56" s="1526">
        <v>0.98257080610021763</v>
      </c>
      <c r="AV56" s="1526">
        <v>0.98039215686274483</v>
      </c>
      <c r="AW56" s="1526">
        <v>0.97821350762527204</v>
      </c>
      <c r="AX56" s="1526">
        <v>0.97603485838779924</v>
      </c>
      <c r="AY56" s="1526">
        <v>0.97385620915032645</v>
      </c>
      <c r="AZ56" s="1526">
        <v>0.97167755991285365</v>
      </c>
      <c r="BA56" s="1526">
        <v>0.96949891067538085</v>
      </c>
      <c r="BB56" s="1526">
        <v>0.96732026143790806</v>
      </c>
      <c r="BC56" s="1526">
        <v>0.96514161220043526</v>
      </c>
      <c r="BD56" s="1526">
        <v>0.96296296296296247</v>
      </c>
      <c r="BE56" s="1526">
        <v>0.96078431372548967</v>
      </c>
      <c r="BF56" s="1526">
        <v>0.95860566448801687</v>
      </c>
      <c r="BG56" s="1526">
        <v>0.95860566448801687</v>
      </c>
      <c r="BH56" s="1526">
        <v>0.95860566448801687</v>
      </c>
      <c r="BI56" s="1526">
        <v>0.95860566448801687</v>
      </c>
      <c r="BJ56" s="1526">
        <v>0.95860566448801687</v>
      </c>
      <c r="BK56" s="1526">
        <v>0.95642701525054474</v>
      </c>
      <c r="ER56" s="1313"/>
      <c r="ES56" s="1313"/>
      <c r="ET56" s="1313"/>
      <c r="EU56" s="1313"/>
      <c r="EV56" s="1313"/>
      <c r="EW56" s="1313"/>
      <c r="EX56" s="1313"/>
      <c r="EY56" s="1313"/>
      <c r="EZ56" s="1313"/>
      <c r="FA56" s="1313"/>
      <c r="FB56" s="1313"/>
      <c r="FC56" s="1313"/>
      <c r="FD56" s="1313"/>
      <c r="FE56" s="1313"/>
      <c r="FF56" s="1313"/>
      <c r="FG56" s="1313"/>
      <c r="FH56" s="1313"/>
      <c r="FI56" s="1313"/>
      <c r="FJ56" s="1313"/>
      <c r="FK56" s="1313"/>
      <c r="FL56" s="1313"/>
      <c r="FM56" s="1313"/>
      <c r="FN56" s="1313"/>
      <c r="FO56" s="1313"/>
      <c r="FP56" s="1313"/>
      <c r="FQ56" s="1313"/>
      <c r="FR56" s="1313"/>
      <c r="FS56" s="1313"/>
      <c r="FT56" s="1313"/>
      <c r="FU56" s="1313"/>
      <c r="FV56" s="1313"/>
    </row>
    <row r="57" spans="1:178" s="1314" customFormat="1">
      <c r="A57" s="1504"/>
      <c r="B57" s="1504"/>
      <c r="C57" s="1504"/>
      <c r="D57" s="1504"/>
      <c r="E57" s="1504"/>
      <c r="F57" s="1504"/>
      <c r="G57" s="1519"/>
      <c r="H57" s="1505"/>
      <c r="I57" s="1505"/>
      <c r="J57" s="1505"/>
      <c r="K57" s="1505"/>
      <c r="L57" s="1505"/>
      <c r="M57" s="1505"/>
      <c r="N57" s="1505"/>
      <c r="O57" s="1505"/>
      <c r="P57" s="1505"/>
      <c r="Q57" s="1505"/>
      <c r="R57" s="1505"/>
      <c r="S57" s="1505"/>
      <c r="T57" s="1505"/>
      <c r="U57" s="1505"/>
      <c r="V57" s="1505"/>
      <c r="W57" s="1505"/>
      <c r="X57" s="1505"/>
      <c r="Y57" s="1505"/>
      <c r="Z57" s="1505"/>
      <c r="AA57" s="1505"/>
      <c r="AB57" s="1505"/>
      <c r="AC57" s="1505"/>
      <c r="AD57" s="1505"/>
      <c r="AE57" s="1505"/>
      <c r="AF57" s="1505"/>
      <c r="AG57" s="1505"/>
      <c r="AH57" s="1505"/>
      <c r="AI57" s="1505"/>
      <c r="AJ57" s="1503"/>
      <c r="AK57" s="1251"/>
      <c r="AL57" s="1251"/>
      <c r="AM57" s="1251"/>
      <c r="AN57" s="1251"/>
      <c r="AO57" s="1251"/>
      <c r="AP57" s="1251"/>
      <c r="AQ57" s="1251"/>
      <c r="AR57" s="1251"/>
      <c r="AS57" s="1251"/>
      <c r="AT57" s="1251"/>
      <c r="AU57" s="1251"/>
      <c r="AV57" s="1251"/>
      <c r="AW57" s="1251"/>
      <c r="AX57" s="1251"/>
      <c r="AY57" s="1251"/>
      <c r="AZ57" s="1251"/>
      <c r="BA57" s="1251"/>
      <c r="BB57" s="1251"/>
      <c r="BC57" s="1251"/>
      <c r="BD57" s="1251"/>
      <c r="BE57" s="1251"/>
      <c r="BF57" s="1251"/>
      <c r="BG57" s="1251"/>
      <c r="BH57" s="1251"/>
      <c r="BI57" s="1251"/>
      <c r="BJ57" s="1251"/>
      <c r="BK57" s="1251"/>
      <c r="ER57" s="1313"/>
      <c r="ES57" s="1313"/>
      <c r="ET57" s="1313"/>
      <c r="EU57" s="1313"/>
      <c r="EV57" s="1313"/>
      <c r="EW57" s="1313"/>
      <c r="EX57" s="1313"/>
      <c r="EY57" s="1313"/>
      <c r="EZ57" s="1313"/>
      <c r="FA57" s="1313"/>
      <c r="FB57" s="1313"/>
      <c r="FC57" s="1313"/>
      <c r="FD57" s="1313"/>
      <c r="FE57" s="1313"/>
      <c r="FF57" s="1313"/>
      <c r="FG57" s="1313"/>
      <c r="FH57" s="1313"/>
      <c r="FI57" s="1313"/>
      <c r="FJ57" s="1313"/>
      <c r="FK57" s="1313"/>
      <c r="FL57" s="1313"/>
      <c r="FM57" s="1313"/>
      <c r="FN57" s="1313"/>
      <c r="FO57" s="1313"/>
      <c r="FP57" s="1313"/>
      <c r="FQ57" s="1313"/>
      <c r="FR57" s="1313"/>
      <c r="FS57" s="1313"/>
      <c r="FT57" s="1313"/>
      <c r="FU57" s="1313"/>
      <c r="FV57" s="1313"/>
    </row>
    <row r="58" spans="1:178" ht="14" thickBot="1">
      <c r="A58" s="1511" t="s">
        <v>116</v>
      </c>
      <c r="B58" s="1511"/>
      <c r="C58" s="1511"/>
      <c r="D58" s="1511"/>
      <c r="E58" s="1511"/>
      <c r="F58" s="1511"/>
      <c r="G58" s="1518"/>
      <c r="H58" s="1511"/>
      <c r="I58" s="1511"/>
      <c r="J58" s="1511"/>
      <c r="K58" s="1511"/>
      <c r="L58" s="1511"/>
      <c r="M58" s="1511"/>
      <c r="N58" s="1511"/>
      <c r="O58" s="1511"/>
      <c r="P58" s="1511"/>
      <c r="Q58" s="1511"/>
      <c r="R58" s="1511"/>
      <c r="S58" s="1511"/>
      <c r="T58" s="1511"/>
      <c r="U58" s="1511"/>
      <c r="V58" s="1511"/>
      <c r="W58" s="1511"/>
      <c r="X58" s="1511"/>
      <c r="Y58" s="1511"/>
      <c r="Z58" s="1511"/>
      <c r="AA58" s="1511"/>
      <c r="AB58" s="1511"/>
      <c r="AC58" s="1511"/>
      <c r="AD58" s="1511"/>
      <c r="AE58" s="1511"/>
      <c r="AF58" s="1511"/>
      <c r="AG58" s="1511"/>
      <c r="AH58" s="1511"/>
      <c r="AI58" s="1511"/>
      <c r="AJ58" s="1535"/>
      <c r="AK58" s="1536"/>
      <c r="AL58" s="1536"/>
      <c r="AM58" s="1536"/>
      <c r="AN58" s="1536"/>
      <c r="AO58" s="1536"/>
      <c r="AP58" s="1536"/>
      <c r="AQ58" s="1536"/>
      <c r="AR58" s="1536"/>
      <c r="AS58" s="1536"/>
      <c r="AT58" s="1536"/>
      <c r="AU58" s="1536"/>
      <c r="AV58" s="1536"/>
      <c r="AW58" s="1536"/>
      <c r="AX58" s="1536"/>
      <c r="AY58" s="1536"/>
      <c r="AZ58" s="1536"/>
      <c r="BA58" s="1536"/>
      <c r="BB58" s="1536"/>
      <c r="BC58" s="1536"/>
      <c r="BD58" s="1536"/>
      <c r="BE58" s="1536"/>
      <c r="BF58" s="1536"/>
      <c r="BG58" s="1536"/>
      <c r="BH58" s="1536"/>
      <c r="BI58" s="1536"/>
      <c r="BJ58" s="1536"/>
      <c r="BK58" s="1536"/>
    </row>
    <row r="59" spans="1:178">
      <c r="A59" s="1513" t="s">
        <v>842</v>
      </c>
      <c r="B59" s="1513" t="s">
        <v>843</v>
      </c>
      <c r="C59" s="1510"/>
      <c r="D59" s="1510"/>
      <c r="E59" s="1510"/>
      <c r="F59" s="1510"/>
      <c r="G59" s="1569"/>
      <c r="H59" s="1510"/>
      <c r="I59" s="1510"/>
      <c r="J59" s="1510"/>
      <c r="K59" s="1510"/>
      <c r="L59" s="1510"/>
      <c r="M59" s="1510"/>
      <c r="N59" s="1510"/>
      <c r="O59" s="1510"/>
      <c r="P59" s="1510"/>
      <c r="Q59" s="1510"/>
      <c r="R59" s="1510"/>
      <c r="S59" s="1510"/>
      <c r="T59" s="1510"/>
      <c r="U59" s="1510"/>
      <c r="V59" s="1510"/>
      <c r="W59" s="1510"/>
      <c r="X59" s="1510"/>
      <c r="Y59" s="1510"/>
      <c r="Z59" s="1510"/>
      <c r="AA59" s="1510"/>
      <c r="AB59" s="1510"/>
      <c r="AC59" s="1510"/>
      <c r="AD59" s="1510"/>
      <c r="AE59" s="1510"/>
      <c r="AF59" s="1510"/>
      <c r="AG59" s="1510"/>
      <c r="AH59" s="1510"/>
      <c r="AI59" s="1510"/>
      <c r="AJ59" s="1503"/>
      <c r="AK59" s="1368"/>
      <c r="AL59" s="1368"/>
      <c r="AM59" s="1368"/>
      <c r="AN59" s="1368"/>
      <c r="AO59" s="1368"/>
      <c r="AP59" s="1368"/>
      <c r="AQ59" s="1368"/>
      <c r="AR59" s="1368"/>
      <c r="AS59" s="1368"/>
      <c r="AT59" s="1368"/>
      <c r="AU59" s="1368"/>
      <c r="AV59" s="1368"/>
      <c r="AW59" s="1368"/>
      <c r="AX59" s="1368"/>
      <c r="AY59" s="1368"/>
      <c r="AZ59" s="1368"/>
      <c r="BA59" s="1368"/>
      <c r="BB59" s="1368"/>
      <c r="BC59" s="1368"/>
      <c r="BD59" s="1368"/>
      <c r="BE59" s="1368"/>
      <c r="BF59" s="1368"/>
      <c r="BG59" s="1368"/>
      <c r="BH59" s="1368"/>
      <c r="BI59" s="1368"/>
      <c r="BJ59" s="1368"/>
      <c r="BK59" s="1368"/>
    </row>
    <row r="60" spans="1:178" s="1313" customFormat="1">
      <c r="A60" s="1509" t="s">
        <v>1882</v>
      </c>
      <c r="B60" s="1622" t="s">
        <v>2454</v>
      </c>
      <c r="C60" s="1571"/>
      <c r="D60" s="1571"/>
      <c r="E60" s="1571"/>
      <c r="F60" s="1571"/>
      <c r="G60" s="1624">
        <v>3.9220999999999999E-2</v>
      </c>
      <c r="H60" s="1625">
        <v>3.9759000000000003E-2</v>
      </c>
      <c r="I60" s="1625">
        <v>3.9094000000000004E-2</v>
      </c>
      <c r="J60" s="1625">
        <v>3.8780999999999996E-2</v>
      </c>
      <c r="K60" s="1625">
        <v>3.8107000000000002E-2</v>
      </c>
      <c r="L60" s="1625">
        <v>3.8378000000000002E-2</v>
      </c>
      <c r="M60" s="1625">
        <v>3.8163999999999997E-2</v>
      </c>
      <c r="N60" s="1625">
        <v>3.8371000000000002E-2</v>
      </c>
      <c r="O60" s="1625">
        <v>3.7804000000000004E-2</v>
      </c>
      <c r="P60" s="1625">
        <v>3.8544000000000002E-2</v>
      </c>
      <c r="Q60" s="1625">
        <v>3.8418000000000001E-2</v>
      </c>
      <c r="R60" s="1625">
        <v>3.9004999999999998E-2</v>
      </c>
      <c r="S60" s="1625">
        <v>3.9386000000000004E-2</v>
      </c>
      <c r="T60" s="1625">
        <v>3.9845999999999999E-2</v>
      </c>
      <c r="U60" s="1625">
        <v>3.9584000000000001E-2</v>
      </c>
      <c r="V60" s="1625">
        <v>3.8940999999999996E-2</v>
      </c>
      <c r="W60" s="1625">
        <v>3.7831000000000004E-2</v>
      </c>
      <c r="X60" s="1625">
        <v>3.7749999999999999E-2</v>
      </c>
      <c r="Y60" s="1625">
        <v>3.8554999999999999E-2</v>
      </c>
      <c r="Z60" s="1625">
        <v>3.9229E-2</v>
      </c>
      <c r="AA60" s="1625">
        <v>3.9169999999999996E-2</v>
      </c>
      <c r="AB60" s="1625">
        <v>3.8719999999999997E-2</v>
      </c>
      <c r="AC60" s="1625">
        <v>3.9505999999999999E-2</v>
      </c>
      <c r="AD60" s="1625">
        <v>4.0848000000000002E-2</v>
      </c>
      <c r="AE60" s="1625">
        <v>4.1755000000000007E-2</v>
      </c>
      <c r="AF60" s="1625">
        <v>4.2699999999999995E-2</v>
      </c>
      <c r="AG60" s="1625">
        <v>3.9E-2</v>
      </c>
      <c r="AH60" s="1625">
        <v>3.4000000000000002E-2</v>
      </c>
      <c r="AI60" s="1625">
        <v>3.1E-2</v>
      </c>
      <c r="AJ60" s="1531"/>
      <c r="AK60" s="1538"/>
      <c r="AL60" s="1538"/>
      <c r="AM60" s="1538"/>
      <c r="AN60" s="1538"/>
      <c r="AO60" s="1538"/>
      <c r="AP60" s="1538"/>
      <c r="AQ60" s="1534"/>
      <c r="AR60" s="1534"/>
      <c r="AS60" s="1534"/>
      <c r="AT60" s="1534"/>
      <c r="AU60" s="1534"/>
      <c r="AV60" s="1534"/>
      <c r="AW60" s="1534"/>
      <c r="AX60" s="1534"/>
      <c r="AY60" s="1534"/>
      <c r="AZ60" s="1534"/>
      <c r="BA60" s="1534"/>
      <c r="BB60" s="1534"/>
      <c r="BC60" s="1534"/>
      <c r="BD60" s="1534"/>
      <c r="BE60" s="1534"/>
      <c r="BF60" s="1534"/>
      <c r="BG60" s="1534"/>
      <c r="BH60" s="1534"/>
      <c r="BI60" s="1534"/>
      <c r="BJ60" s="1534"/>
      <c r="BK60" s="1534"/>
    </row>
    <row r="61" spans="1:178" s="1314" customFormat="1">
      <c r="A61" s="1504"/>
      <c r="B61" s="1504"/>
      <c r="C61" s="1516"/>
      <c r="D61" s="1516"/>
      <c r="E61" s="1516"/>
      <c r="F61" s="1516"/>
      <c r="G61" s="1519"/>
      <c r="H61" s="1505"/>
      <c r="I61" s="1505"/>
      <c r="J61" s="1505"/>
      <c r="K61" s="1505"/>
      <c r="L61" s="1545"/>
      <c r="M61" s="1545"/>
      <c r="N61" s="1545"/>
      <c r="O61" s="1545"/>
      <c r="P61" s="1545"/>
      <c r="Q61" s="1545"/>
      <c r="R61" s="1545"/>
      <c r="S61" s="1545"/>
      <c r="T61" s="1545"/>
      <c r="U61" s="1545"/>
      <c r="V61" s="1545"/>
      <c r="W61" s="1545"/>
      <c r="X61" s="1545"/>
      <c r="Y61" s="1545"/>
      <c r="Z61" s="1545"/>
      <c r="AA61" s="1545"/>
      <c r="AB61" s="1545"/>
      <c r="AC61" s="1545"/>
      <c r="AD61" s="1545"/>
      <c r="AE61" s="1545"/>
      <c r="AF61" s="1545"/>
      <c r="AG61" s="1545"/>
      <c r="AH61" s="1545"/>
      <c r="AI61" s="1545"/>
      <c r="AJ61" s="1531">
        <v>1</v>
      </c>
      <c r="AK61" s="1538">
        <v>1</v>
      </c>
      <c r="AL61" s="1538"/>
      <c r="AM61" s="1538"/>
      <c r="AN61" s="1532"/>
      <c r="AO61" s="1532"/>
      <c r="AP61" s="1532"/>
      <c r="AQ61" s="1526"/>
      <c r="AR61" s="1526"/>
      <c r="AS61" s="1526"/>
      <c r="AT61" s="1526"/>
      <c r="AU61" s="1526"/>
      <c r="AV61" s="1526"/>
      <c r="AW61" s="1526"/>
      <c r="AX61" s="1526"/>
      <c r="AY61" s="1526"/>
      <c r="AZ61" s="1526"/>
      <c r="BA61" s="1526"/>
      <c r="BB61" s="1526"/>
      <c r="BC61" s="1526"/>
      <c r="BD61" s="1526"/>
      <c r="BE61" s="1526"/>
      <c r="BF61" s="1526"/>
      <c r="BG61" s="1526"/>
      <c r="BH61" s="1526"/>
      <c r="BI61" s="1526"/>
      <c r="BJ61" s="1526"/>
      <c r="BK61" s="1526"/>
      <c r="ER61" s="1313"/>
      <c r="ES61" s="1313"/>
      <c r="ET61" s="1313"/>
      <c r="EU61" s="1313"/>
      <c r="EV61" s="1313"/>
      <c r="EW61" s="1313"/>
      <c r="EX61" s="1313"/>
      <c r="EY61" s="1313"/>
      <c r="EZ61" s="1313"/>
      <c r="FA61" s="1313"/>
      <c r="FB61" s="1313"/>
      <c r="FC61" s="1313"/>
      <c r="FD61" s="1313"/>
      <c r="FE61" s="1313"/>
      <c r="FF61" s="1313"/>
      <c r="FG61" s="1313"/>
      <c r="FH61" s="1313"/>
      <c r="FI61" s="1313"/>
      <c r="FJ61" s="1313"/>
      <c r="FK61" s="1313"/>
      <c r="FL61" s="1313"/>
      <c r="FM61" s="1313"/>
      <c r="FN61" s="1313"/>
      <c r="FO61" s="1313"/>
      <c r="FP61" s="1313"/>
      <c r="FQ61" s="1313"/>
      <c r="FR61" s="1313"/>
      <c r="FS61" s="1313"/>
      <c r="FT61" s="1313"/>
      <c r="FU61" s="1313"/>
      <c r="FV61" s="1313"/>
    </row>
    <row r="62" spans="1:178" ht="14" thickBot="1">
      <c r="A62" s="1511" t="s">
        <v>40</v>
      </c>
      <c r="B62" s="1511"/>
      <c r="C62" s="1511"/>
      <c r="D62" s="1511"/>
      <c r="E62" s="1511"/>
      <c r="F62" s="1511"/>
      <c r="G62" s="1518"/>
      <c r="H62" s="1511"/>
      <c r="I62" s="1511"/>
      <c r="J62" s="1511"/>
      <c r="K62" s="1511"/>
      <c r="L62" s="1511"/>
      <c r="M62" s="1511"/>
      <c r="N62" s="1511"/>
      <c r="O62" s="1511"/>
      <c r="P62" s="1511"/>
      <c r="Q62" s="1511"/>
      <c r="R62" s="1511"/>
      <c r="S62" s="1511"/>
      <c r="T62" s="1511"/>
      <c r="U62" s="1511"/>
      <c r="V62" s="1511"/>
      <c r="W62" s="1511"/>
      <c r="X62" s="1511"/>
      <c r="Y62" s="1511"/>
      <c r="Z62" s="1511"/>
      <c r="AA62" s="1511"/>
      <c r="AB62" s="1511"/>
      <c r="AC62" s="1511"/>
      <c r="AD62" s="1511"/>
      <c r="AE62" s="1511"/>
      <c r="AF62" s="1511"/>
      <c r="AG62" s="1511"/>
      <c r="AH62" s="1511"/>
      <c r="AI62" s="1511"/>
      <c r="AJ62" s="1537"/>
      <c r="AK62" s="151"/>
      <c r="AL62" s="151"/>
      <c r="AM62" s="151"/>
      <c r="AN62" s="151"/>
      <c r="AO62" s="151"/>
      <c r="AP62" s="151"/>
      <c r="AQ62" s="151"/>
      <c r="AR62" s="151"/>
      <c r="AS62" s="151"/>
      <c r="AT62" s="151"/>
      <c r="AU62" s="151"/>
      <c r="AV62" s="151"/>
      <c r="AW62" s="151"/>
      <c r="AX62" s="151"/>
      <c r="AY62" s="151"/>
      <c r="AZ62" s="151"/>
      <c r="BA62" s="151"/>
      <c r="BB62" s="151"/>
      <c r="BC62" s="151"/>
      <c r="BD62" s="151"/>
      <c r="BE62" s="151"/>
      <c r="BF62" s="151"/>
      <c r="BG62" s="151"/>
      <c r="BH62" s="151"/>
      <c r="BI62" s="151"/>
      <c r="BJ62" s="151"/>
      <c r="BK62" s="151"/>
      <c r="BL62" s="1310"/>
    </row>
    <row r="63" spans="1:178">
      <c r="A63" s="1513" t="s">
        <v>842</v>
      </c>
      <c r="B63" s="1513" t="s">
        <v>843</v>
      </c>
      <c r="C63" s="1510"/>
      <c r="D63" s="1510"/>
      <c r="E63" s="1510"/>
      <c r="F63" s="1510"/>
      <c r="G63" s="1569"/>
      <c r="H63" s="1510"/>
      <c r="I63" s="1510"/>
      <c r="J63" s="1510"/>
      <c r="K63" s="1510"/>
      <c r="L63" s="1510"/>
      <c r="M63" s="1510"/>
      <c r="N63" s="1510"/>
      <c r="O63" s="1510"/>
      <c r="P63" s="1510"/>
      <c r="Q63" s="1510"/>
      <c r="R63" s="1510"/>
      <c r="S63" s="1510"/>
      <c r="T63" s="1510"/>
      <c r="U63" s="1510"/>
      <c r="V63" s="1510"/>
      <c r="W63" s="1510"/>
      <c r="X63" s="1510"/>
      <c r="Y63" s="1510"/>
      <c r="Z63" s="1510"/>
      <c r="AA63" s="1510"/>
      <c r="AB63" s="1510"/>
      <c r="AC63" s="1510"/>
      <c r="AD63" s="1510"/>
      <c r="AE63" s="1510"/>
      <c r="AF63" s="1510"/>
      <c r="AG63" s="1510"/>
      <c r="AH63" s="1510"/>
      <c r="AI63" s="1510"/>
      <c r="AJ63" s="1570"/>
      <c r="AK63" s="1440"/>
      <c r="AL63" s="1440"/>
      <c r="AM63" s="1440"/>
      <c r="AN63" s="1440"/>
      <c r="AO63" s="1440"/>
      <c r="AP63" s="1440"/>
      <c r="AQ63" s="1440"/>
      <c r="AR63" s="1440"/>
      <c r="AS63" s="1440"/>
      <c r="AT63" s="1440"/>
      <c r="AU63" s="1440"/>
      <c r="AV63" s="1440"/>
      <c r="AW63" s="1440"/>
      <c r="AX63" s="1440"/>
      <c r="AY63" s="1440"/>
      <c r="AZ63" s="1440"/>
      <c r="BA63" s="1440"/>
      <c r="BB63" s="1440"/>
      <c r="BC63" s="1440"/>
      <c r="BD63" s="1440"/>
      <c r="BE63" s="1440"/>
      <c r="BF63" s="1440"/>
      <c r="BG63" s="1440"/>
      <c r="BH63" s="1440"/>
      <c r="BI63" s="1440"/>
      <c r="BJ63" s="1440"/>
      <c r="BK63" s="1440"/>
      <c r="BL63" s="1456"/>
    </row>
    <row r="64" spans="1:178" s="1313" customFormat="1">
      <c r="A64" s="1509" t="s">
        <v>839</v>
      </c>
      <c r="B64" s="1509"/>
      <c r="C64" s="1571"/>
      <c r="D64" s="1571"/>
      <c r="E64" s="1571"/>
      <c r="F64" s="1571"/>
      <c r="G64" s="1519">
        <v>1</v>
      </c>
      <c r="H64" s="1505">
        <v>1.039929506396418</v>
      </c>
      <c r="I64" s="1505">
        <v>1.081041723430517</v>
      </c>
      <c r="J64" s="1505">
        <v>1.1234226489165411</v>
      </c>
      <c r="K64" s="1505">
        <v>1.1668313395825833</v>
      </c>
      <c r="L64" s="1545">
        <v>1.2120228016055707</v>
      </c>
      <c r="M64" s="1545">
        <v>1.25860162384741</v>
      </c>
      <c r="N64" s="1545">
        <v>1.307092525530624</v>
      </c>
      <c r="O64" s="1545">
        <v>1.3570100486636256</v>
      </c>
      <c r="P64" s="1545">
        <v>1.4096098210591959</v>
      </c>
      <c r="Q64" s="1545">
        <v>1.4639789243173902</v>
      </c>
      <c r="R64" s="1545">
        <v>1.521139171836043</v>
      </c>
      <c r="S64" s="1545">
        <v>1.5809340256327564</v>
      </c>
      <c r="T64" s="1545">
        <v>1.6436191035748067</v>
      </c>
      <c r="U64" s="1545">
        <v>1.708363187292737</v>
      </c>
      <c r="V64" s="1545">
        <v>1.7745617830725788</v>
      </c>
      <c r="W64" s="1545">
        <v>1.8415184731996395</v>
      </c>
      <c r="X64" s="1545">
        <v>1.9107591193766025</v>
      </c>
      <c r="Y64" s="1545">
        <v>1.9838125964643396</v>
      </c>
      <c r="Z64" s="1545">
        <v>2.060768813851916</v>
      </c>
      <c r="AA64" s="1545">
        <v>2.1404784474108061</v>
      </c>
      <c r="AB64" s="1545">
        <v>2.2222486776721131</v>
      </c>
      <c r="AC64" s="1545">
        <v>2.308633617487426</v>
      </c>
      <c r="AD64" s="1545">
        <v>2.4011043793124514</v>
      </c>
      <c r="AE64" s="1545">
        <v>2.4991501884232794</v>
      </c>
      <c r="AF64" s="1545">
        <v>3.0663809965526436</v>
      </c>
      <c r="AG64" s="1545">
        <v>3.697468916333233</v>
      </c>
      <c r="AH64" s="1545">
        <v>4.3544276843167449</v>
      </c>
      <c r="AI64" s="1545">
        <v>5.0557221767307148</v>
      </c>
      <c r="AJ64" s="1531">
        <v>1.039929506396418</v>
      </c>
      <c r="AK64" s="1526">
        <v>1.081041723430517</v>
      </c>
      <c r="AL64" s="1526">
        <v>1.1234226489165411</v>
      </c>
      <c r="AM64" s="1526">
        <v>1.1668313395825833</v>
      </c>
      <c r="AN64" s="1526">
        <v>1.2120228016055707</v>
      </c>
      <c r="AO64" s="1526">
        <v>1.25860162384741</v>
      </c>
      <c r="AP64" s="1526">
        <v>1.307092525530624</v>
      </c>
      <c r="AQ64" s="1526">
        <v>1.3570100486636256</v>
      </c>
      <c r="AR64" s="1526">
        <v>1.4096098210591959</v>
      </c>
      <c r="AS64" s="1526">
        <v>1.4639789243173902</v>
      </c>
      <c r="AT64" s="1526">
        <v>1.521139171836043</v>
      </c>
      <c r="AU64" s="1526">
        <v>1.5809340256327564</v>
      </c>
      <c r="AV64" s="1526">
        <v>1.6436191035748067</v>
      </c>
      <c r="AW64" s="1526">
        <v>1.708363187292737</v>
      </c>
      <c r="AX64" s="1526">
        <v>1.7745617830725788</v>
      </c>
      <c r="AY64" s="1526">
        <v>1.8415184731996395</v>
      </c>
      <c r="AZ64" s="1526">
        <v>1.9107591193766025</v>
      </c>
      <c r="BA64" s="1526">
        <v>1.9838125964643396</v>
      </c>
      <c r="BB64" s="1526">
        <v>2.060768813851916</v>
      </c>
      <c r="BC64" s="1526">
        <v>2.1404784474108061</v>
      </c>
      <c r="BD64" s="1526">
        <v>2.2222486776721131</v>
      </c>
      <c r="BE64" s="1526">
        <v>2.308633617487426</v>
      </c>
      <c r="BF64" s="1526">
        <v>2.4011043793124514</v>
      </c>
      <c r="BG64" s="1526">
        <v>2.4991501884232794</v>
      </c>
      <c r="BH64" s="1526">
        <v>3.0663809965526436</v>
      </c>
      <c r="BI64" s="1526">
        <v>3.697468916333233</v>
      </c>
      <c r="BJ64" s="1526">
        <v>4.3544276843167449</v>
      </c>
      <c r="BK64" s="1526">
        <v>5.0557221767307148</v>
      </c>
    </row>
    <row r="65" spans="1:178" s="1314" customFormat="1">
      <c r="A65" s="1504"/>
      <c r="B65" s="1504"/>
      <c r="C65" s="1516"/>
      <c r="D65" s="1516"/>
      <c r="E65" s="1516"/>
      <c r="F65" s="1516"/>
      <c r="G65" s="1519"/>
      <c r="H65" s="1505"/>
      <c r="I65" s="1505"/>
      <c r="J65" s="1505"/>
      <c r="K65" s="1505"/>
      <c r="L65" s="1545"/>
      <c r="M65" s="1545"/>
      <c r="N65" s="1545"/>
      <c r="O65" s="1545"/>
      <c r="P65" s="1545"/>
      <c r="Q65" s="1545"/>
      <c r="R65" s="1545"/>
      <c r="S65" s="1545"/>
      <c r="T65" s="1545"/>
      <c r="U65" s="1545"/>
      <c r="V65" s="1545"/>
      <c r="W65" s="1545"/>
      <c r="X65" s="1545"/>
      <c r="Y65" s="1545"/>
      <c r="Z65" s="1545"/>
      <c r="AA65" s="1545"/>
      <c r="AB65" s="1545"/>
      <c r="AC65" s="1545"/>
      <c r="AD65" s="1545"/>
      <c r="AE65" s="1545"/>
      <c r="AF65" s="1545"/>
      <c r="AG65" s="1545"/>
      <c r="AH65" s="1545"/>
      <c r="AI65" s="1545"/>
      <c r="AJ65" s="1531"/>
      <c r="AK65" s="1538"/>
      <c r="AL65" s="1538"/>
      <c r="AM65" s="1538"/>
      <c r="AN65" s="1532"/>
      <c r="AO65" s="1532"/>
      <c r="AP65" s="1532"/>
      <c r="AQ65" s="1526"/>
      <c r="AR65" s="1526"/>
      <c r="AS65" s="1526"/>
      <c r="AT65" s="1526"/>
      <c r="AU65" s="1526"/>
      <c r="AV65" s="1526"/>
      <c r="AW65" s="1526"/>
      <c r="AX65" s="1526"/>
      <c r="AY65" s="1526"/>
      <c r="AZ65" s="1526"/>
      <c r="BA65" s="1526"/>
      <c r="BB65" s="1526"/>
      <c r="BC65" s="1526"/>
      <c r="BD65" s="1526"/>
      <c r="BE65" s="1526"/>
      <c r="BF65" s="1526"/>
      <c r="BG65" s="1526"/>
      <c r="BH65" s="1526"/>
      <c r="BI65" s="1526"/>
      <c r="BJ65" s="1526"/>
      <c r="BK65" s="1526"/>
      <c r="ER65" s="1313"/>
      <c r="ES65" s="1313"/>
      <c r="ET65" s="1313"/>
      <c r="EU65" s="1313"/>
      <c r="EV65" s="1313"/>
      <c r="EW65" s="1313"/>
      <c r="EX65" s="1313"/>
      <c r="EY65" s="1313"/>
      <c r="EZ65" s="1313"/>
      <c r="FA65" s="1313"/>
      <c r="FB65" s="1313"/>
      <c r="FC65" s="1313"/>
      <c r="FD65" s="1313"/>
      <c r="FE65" s="1313"/>
      <c r="FF65" s="1313"/>
      <c r="FG65" s="1313"/>
      <c r="FH65" s="1313"/>
      <c r="FI65" s="1313"/>
      <c r="FJ65" s="1313"/>
      <c r="FK65" s="1313"/>
      <c r="FL65" s="1313"/>
      <c r="FM65" s="1313"/>
      <c r="FN65" s="1313"/>
      <c r="FO65" s="1313"/>
      <c r="FP65" s="1313"/>
      <c r="FQ65" s="1313"/>
      <c r="FR65" s="1313"/>
      <c r="FS65" s="1313"/>
      <c r="FT65" s="1313"/>
      <c r="FU65" s="1313"/>
      <c r="FV65" s="1313"/>
    </row>
    <row r="66" spans="1:178" ht="14" thickBot="1">
      <c r="A66" s="1511" t="s">
        <v>107</v>
      </c>
      <c r="B66" s="1511"/>
      <c r="C66" s="1511"/>
      <c r="D66" s="1511"/>
      <c r="E66" s="1511"/>
      <c r="F66" s="1511"/>
      <c r="G66" s="1518"/>
      <c r="H66" s="1511"/>
      <c r="I66" s="1511"/>
      <c r="J66" s="1511"/>
      <c r="K66" s="1511"/>
      <c r="L66" s="1511"/>
      <c r="M66" s="1511"/>
      <c r="N66" s="1511"/>
      <c r="O66" s="1511"/>
      <c r="P66" s="1511"/>
      <c r="Q66" s="1511"/>
      <c r="R66" s="1511"/>
      <c r="S66" s="1511"/>
      <c r="T66" s="1511"/>
      <c r="U66" s="1511"/>
      <c r="V66" s="1511"/>
      <c r="W66" s="1511"/>
      <c r="X66" s="1511"/>
      <c r="Y66" s="1511"/>
      <c r="Z66" s="1511"/>
      <c r="AA66" s="1511"/>
      <c r="AB66" s="1511"/>
      <c r="AC66" s="1511"/>
      <c r="AD66" s="1511"/>
      <c r="AE66" s="1511"/>
      <c r="AF66" s="1511"/>
      <c r="AG66" s="1511"/>
      <c r="AH66" s="1511"/>
      <c r="AI66" s="1511"/>
      <c r="AJ66" s="1537"/>
      <c r="AK66" s="151"/>
      <c r="AL66" s="151"/>
      <c r="AM66" s="151"/>
      <c r="AN66" s="151"/>
      <c r="AO66" s="151"/>
      <c r="AP66" s="151"/>
      <c r="AQ66" s="151"/>
      <c r="AR66" s="151"/>
      <c r="AS66" s="151"/>
      <c r="AT66" s="151"/>
      <c r="AU66" s="151"/>
      <c r="AV66" s="151"/>
      <c r="AW66" s="151"/>
      <c r="AX66" s="151"/>
      <c r="AY66" s="151"/>
      <c r="AZ66" s="151"/>
      <c r="BA66" s="151"/>
      <c r="BB66" s="151"/>
      <c r="BC66" s="151"/>
      <c r="BD66" s="151"/>
      <c r="BE66" s="151"/>
      <c r="BF66" s="151"/>
      <c r="BG66" s="151"/>
      <c r="BH66" s="151"/>
      <c r="BI66" s="151"/>
      <c r="BJ66" s="151"/>
      <c r="BK66" s="151"/>
      <c r="BL66" s="1310"/>
    </row>
    <row r="67" spans="1:178">
      <c r="A67" s="1513" t="s">
        <v>842</v>
      </c>
      <c r="B67" s="1513" t="s">
        <v>843</v>
      </c>
      <c r="C67" s="1510"/>
      <c r="D67" s="1510"/>
      <c r="E67" s="1510"/>
      <c r="F67" s="1510"/>
      <c r="G67" s="1569"/>
      <c r="H67" s="1510"/>
      <c r="I67" s="1510"/>
      <c r="J67" s="1510"/>
      <c r="K67" s="1510"/>
      <c r="L67" s="1510"/>
      <c r="M67" s="1510"/>
      <c r="N67" s="1510"/>
      <c r="O67" s="1510"/>
      <c r="P67" s="1510"/>
      <c r="Q67" s="1510"/>
      <c r="R67" s="1510"/>
      <c r="S67" s="1510"/>
      <c r="T67" s="1510"/>
      <c r="U67" s="1510"/>
      <c r="V67" s="1510"/>
      <c r="W67" s="1510"/>
      <c r="X67" s="1510"/>
      <c r="Y67" s="1510"/>
      <c r="Z67" s="1510"/>
      <c r="AA67" s="1510"/>
      <c r="AB67" s="1510"/>
      <c r="AC67" s="1510"/>
      <c r="AD67" s="1510"/>
      <c r="AE67" s="1510"/>
      <c r="AF67" s="1510"/>
      <c r="AG67" s="1510"/>
      <c r="AH67" s="1510"/>
      <c r="AI67" s="1510"/>
      <c r="AJ67" s="1570"/>
      <c r="AK67" s="1440"/>
      <c r="AL67" s="1440"/>
      <c r="AM67" s="1440"/>
      <c r="AN67" s="1440"/>
      <c r="AO67" s="1440"/>
      <c r="AP67" s="1440"/>
      <c r="AQ67" s="1440"/>
      <c r="AR67" s="1440"/>
      <c r="AS67" s="1440"/>
      <c r="AT67" s="1440"/>
      <c r="AU67" s="1440"/>
      <c r="AV67" s="1440"/>
      <c r="AW67" s="1440"/>
      <c r="AX67" s="1440"/>
      <c r="AY67" s="1440"/>
      <c r="AZ67" s="1440"/>
      <c r="BA67" s="1440"/>
      <c r="BB67" s="1440"/>
      <c r="BC67" s="1440"/>
      <c r="BD67" s="1440"/>
      <c r="BE67" s="1440"/>
      <c r="BF67" s="1440"/>
      <c r="BG67" s="1440"/>
      <c r="BH67" s="1440"/>
      <c r="BI67" s="1440"/>
      <c r="BJ67" s="1440"/>
      <c r="BK67" s="1440"/>
      <c r="BL67" s="1456"/>
    </row>
    <row r="68" spans="1:178" s="1313" customFormat="1">
      <c r="A68" s="1509" t="s">
        <v>1881</v>
      </c>
      <c r="B68" s="1509"/>
      <c r="C68" s="1571"/>
      <c r="D68" s="1571"/>
      <c r="E68" s="1571"/>
      <c r="F68" s="1571"/>
      <c r="G68" s="1519">
        <v>1</v>
      </c>
      <c r="H68" s="1505">
        <v>1.0376369999999999</v>
      </c>
      <c r="I68" s="1505">
        <v>1.0754049115259998</v>
      </c>
      <c r="J68" s="1505">
        <v>1.1134828486333126</v>
      </c>
      <c r="K68" s="1505">
        <v>1.1521930798660496</v>
      </c>
      <c r="L68" s="1545">
        <v>1.1919955898100223</v>
      </c>
      <c r="M68" s="1545">
        <v>1.2324638400840724</v>
      </c>
      <c r="N68" s="1545">
        <v>1.2740853764275515</v>
      </c>
      <c r="O68" s="1545">
        <v>1.3172220850172591</v>
      </c>
      <c r="P68" s="1545">
        <v>1.3628611958189372</v>
      </c>
      <c r="Q68" s="1545">
        <v>1.4100393618346012</v>
      </c>
      <c r="R68" s="1545">
        <v>1.4598278517009808</v>
      </c>
      <c r="S68" s="1545">
        <v>1.5119787418751469</v>
      </c>
      <c r="T68" s="1545">
        <v>1.5666866686924155</v>
      </c>
      <c r="U68" s="1545">
        <v>1.6233443253790081</v>
      </c>
      <c r="V68" s="1545">
        <v>1.681312327893967</v>
      </c>
      <c r="W68" s="1545">
        <v>1.7401952482414698</v>
      </c>
      <c r="X68" s="1545">
        <v>1.8017668365147494</v>
      </c>
      <c r="Y68" s="1545">
        <v>1.8667763857430382</v>
      </c>
      <c r="Z68" s="1545">
        <v>1.9352497435720928</v>
      </c>
      <c r="AA68" s="1545">
        <v>2.0062598624129837</v>
      </c>
      <c r="AB68" s="1545">
        <v>2.0790068450240784</v>
      </c>
      <c r="AC68" s="1545">
        <v>2.1562045271935122</v>
      </c>
      <c r="AD68" s="1545">
        <v>2.2400140409609968</v>
      </c>
      <c r="AE68" s="1545">
        <v>2.3299707648319496</v>
      </c>
      <c r="AF68" s="1545">
        <v>2.3299707648319496</v>
      </c>
      <c r="AG68" s="1545">
        <v>2.3299707648319496</v>
      </c>
      <c r="AH68" s="1545">
        <v>2.3299707648319496</v>
      </c>
      <c r="AI68" s="1545">
        <v>2.3299707648319496</v>
      </c>
      <c r="AJ68" s="1531">
        <v>1.0376369999999999</v>
      </c>
      <c r="AK68" s="1538">
        <v>1.0754049115259998</v>
      </c>
      <c r="AL68" s="1538">
        <v>1.1134828486333126</v>
      </c>
      <c r="AM68" s="1538">
        <v>1.1521930798660496</v>
      </c>
      <c r="AN68" s="1538">
        <v>1.1919955898100223</v>
      </c>
      <c r="AO68" s="1538">
        <v>1.2324638400840724</v>
      </c>
      <c r="AP68" s="1538">
        <v>1.2740853764275515</v>
      </c>
      <c r="AQ68" s="1534">
        <v>1.3172220850172591</v>
      </c>
      <c r="AR68" s="1534">
        <v>1.3628611958189372</v>
      </c>
      <c r="AS68" s="1534">
        <v>1.4100393618346012</v>
      </c>
      <c r="AT68" s="1534">
        <v>1.4598278517009808</v>
      </c>
      <c r="AU68" s="1534">
        <v>1.5119787418751469</v>
      </c>
      <c r="AV68" s="1534">
        <v>1.5666866686924155</v>
      </c>
      <c r="AW68" s="1534">
        <v>1.6233443253790081</v>
      </c>
      <c r="AX68" s="1534">
        <v>1.681312327893967</v>
      </c>
      <c r="AY68" s="1534">
        <v>1.7401952482414698</v>
      </c>
      <c r="AZ68" s="1534">
        <v>1.8017668365147494</v>
      </c>
      <c r="BA68" s="1534">
        <v>1.8667763857430382</v>
      </c>
      <c r="BB68" s="1534">
        <v>1.9352497435720928</v>
      </c>
      <c r="BC68" s="1534">
        <v>2.0062598624129837</v>
      </c>
      <c r="BD68" s="1534">
        <v>2.0790068450240784</v>
      </c>
      <c r="BE68" s="1534">
        <v>2.1562045271935122</v>
      </c>
      <c r="BF68" s="1534">
        <v>2.2400140409609968</v>
      </c>
      <c r="BG68" s="1534">
        <v>2.3299707648319496</v>
      </c>
      <c r="BH68" s="1534">
        <v>2.3299707648319496</v>
      </c>
      <c r="BI68" s="1534">
        <v>2.3299707648319496</v>
      </c>
      <c r="BJ68" s="1534">
        <v>2.3299707648319496</v>
      </c>
      <c r="BK68" s="1534">
        <v>2.3299707648319496</v>
      </c>
    </row>
    <row r="69" spans="1:178" s="1314" customFormat="1">
      <c r="A69" s="1504"/>
      <c r="B69" s="1504"/>
      <c r="C69" s="1516"/>
      <c r="D69" s="1516"/>
      <c r="E69" s="1516"/>
      <c r="F69" s="1516"/>
      <c r="G69" s="1519"/>
      <c r="H69" s="1505"/>
      <c r="I69" s="1505"/>
      <c r="J69" s="1505"/>
      <c r="K69" s="1505"/>
      <c r="L69" s="1545"/>
      <c r="M69" s="1545"/>
      <c r="N69" s="1545"/>
      <c r="O69" s="1545"/>
      <c r="P69" s="1545"/>
      <c r="Q69" s="1545"/>
      <c r="R69" s="1545"/>
      <c r="S69" s="1545"/>
      <c r="T69" s="1545"/>
      <c r="U69" s="1545"/>
      <c r="V69" s="1545"/>
      <c r="W69" s="1545"/>
      <c r="X69" s="1545"/>
      <c r="Y69" s="1545"/>
      <c r="Z69" s="1545"/>
      <c r="AA69" s="1545"/>
      <c r="AB69" s="1545"/>
      <c r="AC69" s="1545"/>
      <c r="AD69" s="1545"/>
      <c r="AE69" s="1545"/>
      <c r="AF69" s="1545"/>
      <c r="AG69" s="1545"/>
      <c r="AH69" s="1545"/>
      <c r="AI69" s="1545"/>
      <c r="AJ69" s="1531"/>
      <c r="AK69" s="1538"/>
      <c r="AL69" s="1538"/>
      <c r="AM69" s="1538"/>
      <c r="AN69" s="1532"/>
      <c r="AO69" s="1532"/>
      <c r="AP69" s="1532"/>
      <c r="AQ69" s="1526"/>
      <c r="AR69" s="1526"/>
      <c r="AS69" s="1526"/>
      <c r="AT69" s="1526"/>
      <c r="AU69" s="1526"/>
      <c r="AV69" s="1526"/>
      <c r="AW69" s="1526"/>
      <c r="AX69" s="1526"/>
      <c r="AY69" s="1526"/>
      <c r="AZ69" s="1526"/>
      <c r="BA69" s="1526"/>
      <c r="BB69" s="1526"/>
      <c r="BC69" s="1526"/>
      <c r="BD69" s="1526"/>
      <c r="BE69" s="1526"/>
      <c r="BF69" s="1526"/>
      <c r="BG69" s="1526"/>
      <c r="BH69" s="1526"/>
      <c r="BI69" s="1526"/>
      <c r="BJ69" s="1526"/>
      <c r="BK69" s="1526"/>
      <c r="ER69" s="1313"/>
      <c r="ES69" s="1313"/>
      <c r="ET69" s="1313"/>
      <c r="EU69" s="1313"/>
      <c r="EV69" s="1313"/>
      <c r="EW69" s="1313"/>
      <c r="EX69" s="1313"/>
      <c r="EY69" s="1313"/>
      <c r="EZ69" s="1313"/>
      <c r="FA69" s="1313"/>
      <c r="FB69" s="1313"/>
      <c r="FC69" s="1313"/>
      <c r="FD69" s="1313"/>
      <c r="FE69" s="1313"/>
      <c r="FF69" s="1313"/>
      <c r="FG69" s="1313"/>
      <c r="FH69" s="1313"/>
      <c r="FI69" s="1313"/>
      <c r="FJ69" s="1313"/>
      <c r="FK69" s="1313"/>
      <c r="FL69" s="1313"/>
      <c r="FM69" s="1313"/>
      <c r="FN69" s="1313"/>
      <c r="FO69" s="1313"/>
      <c r="FP69" s="1313"/>
      <c r="FQ69" s="1313"/>
      <c r="FR69" s="1313"/>
      <c r="FS69" s="1313"/>
      <c r="FT69" s="1313"/>
      <c r="FU69" s="1313"/>
      <c r="FV69" s="1313"/>
    </row>
    <row r="70" spans="1:178" s="1314" customFormat="1">
      <c r="A70" s="1504"/>
      <c r="B70" s="1504"/>
      <c r="C70" s="1516"/>
      <c r="D70" s="1516"/>
      <c r="E70" s="1516"/>
      <c r="F70" s="1516"/>
      <c r="G70" s="1519"/>
      <c r="H70" s="1505"/>
      <c r="I70" s="1505"/>
      <c r="J70" s="1505"/>
      <c r="K70" s="1505"/>
      <c r="L70" s="1545"/>
      <c r="M70" s="1545"/>
      <c r="N70" s="1545"/>
      <c r="O70" s="1545"/>
      <c r="P70" s="1545"/>
      <c r="Q70" s="1545"/>
      <c r="R70" s="1545"/>
      <c r="S70" s="1545"/>
      <c r="T70" s="1545"/>
      <c r="U70" s="1545"/>
      <c r="V70" s="1545"/>
      <c r="W70" s="1545"/>
      <c r="X70" s="1545"/>
      <c r="Y70" s="1545"/>
      <c r="Z70" s="1545"/>
      <c r="AA70" s="1545"/>
      <c r="AB70" s="1545"/>
      <c r="AC70" s="1545"/>
      <c r="AD70" s="1545"/>
      <c r="AE70" s="1545"/>
      <c r="AF70" s="1545"/>
      <c r="AG70" s="1545"/>
      <c r="AH70" s="1545"/>
      <c r="AI70" s="1545"/>
      <c r="AJ70" s="1531"/>
      <c r="AK70" s="1538"/>
      <c r="AL70" s="1538"/>
      <c r="AM70" s="1538"/>
      <c r="AN70" s="1532"/>
      <c r="AO70" s="1532"/>
      <c r="AP70" s="1532"/>
      <c r="AQ70" s="1526"/>
      <c r="AR70" s="1526"/>
      <c r="AS70" s="1526"/>
      <c r="AT70" s="1526"/>
      <c r="AU70" s="1526"/>
      <c r="AV70" s="1526"/>
      <c r="AW70" s="1526"/>
      <c r="AX70" s="1526"/>
      <c r="AY70" s="1526"/>
      <c r="AZ70" s="1526"/>
      <c r="BA70" s="1526"/>
      <c r="BB70" s="1526"/>
      <c r="BC70" s="1526"/>
      <c r="BD70" s="1526"/>
      <c r="BE70" s="1526"/>
      <c r="BF70" s="1526"/>
      <c r="BG70" s="1526"/>
      <c r="BH70" s="1526"/>
      <c r="BI70" s="1526"/>
      <c r="BJ70" s="1526"/>
      <c r="BK70" s="1526"/>
      <c r="ER70" s="1313"/>
      <c r="ES70" s="1313"/>
      <c r="ET70" s="1313"/>
      <c r="EU70" s="1313"/>
      <c r="EV70" s="1313"/>
      <c r="EW70" s="1313"/>
      <c r="EX70" s="1313"/>
      <c r="EY70" s="1313"/>
      <c r="EZ70" s="1313"/>
      <c r="FA70" s="1313"/>
      <c r="FB70" s="1313"/>
      <c r="FC70" s="1313"/>
      <c r="FD70" s="1313"/>
      <c r="FE70" s="1313"/>
      <c r="FF70" s="1313"/>
      <c r="FG70" s="1313"/>
      <c r="FH70" s="1313"/>
      <c r="FI70" s="1313"/>
      <c r="FJ70" s="1313"/>
      <c r="FK70" s="1313"/>
      <c r="FL70" s="1313"/>
      <c r="FM70" s="1313"/>
      <c r="FN70" s="1313"/>
      <c r="FO70" s="1313"/>
      <c r="FP70" s="1313"/>
      <c r="FQ70" s="1313"/>
      <c r="FR70" s="1313"/>
      <c r="FS70" s="1313"/>
      <c r="FT70" s="1313"/>
      <c r="FU70" s="1313"/>
      <c r="FV70" s="1313"/>
    </row>
    <row r="71" spans="1:178" s="1314" customFormat="1">
      <c r="A71" s="1504"/>
      <c r="B71" s="1504"/>
      <c r="C71" s="1516"/>
      <c r="D71" s="1516"/>
      <c r="E71" s="1516"/>
      <c r="F71" s="1516"/>
      <c r="G71" s="1519"/>
      <c r="H71" s="1505"/>
      <c r="I71" s="1505"/>
      <c r="J71" s="1505"/>
      <c r="K71" s="1505"/>
      <c r="L71" s="1545"/>
      <c r="M71" s="1545"/>
      <c r="N71" s="1545"/>
      <c r="O71" s="1545"/>
      <c r="P71" s="1545"/>
      <c r="Q71" s="1545"/>
      <c r="R71" s="1545"/>
      <c r="S71" s="1545"/>
      <c r="T71" s="1545"/>
      <c r="U71" s="1545"/>
      <c r="V71" s="1545"/>
      <c r="W71" s="1545"/>
      <c r="X71" s="1545"/>
      <c r="Y71" s="1545"/>
      <c r="Z71" s="1545"/>
      <c r="AA71" s="1545"/>
      <c r="AB71" s="1545"/>
      <c r="AC71" s="1545"/>
      <c r="AD71" s="1545"/>
      <c r="AE71" s="1545"/>
      <c r="AF71" s="1545"/>
      <c r="AG71" s="1545"/>
      <c r="AH71" s="1545"/>
      <c r="AI71" s="1545"/>
      <c r="AJ71" s="1531"/>
      <c r="AK71" s="1538"/>
      <c r="AL71" s="1538"/>
      <c r="AM71" s="1538"/>
      <c r="AN71" s="1532"/>
      <c r="AO71" s="1532"/>
      <c r="AP71" s="1532"/>
      <c r="AQ71" s="1526"/>
      <c r="AR71" s="1526"/>
      <c r="AS71" s="1526"/>
      <c r="AT71" s="1526"/>
      <c r="AU71" s="1526"/>
      <c r="AV71" s="1526"/>
      <c r="AW71" s="1526"/>
      <c r="AX71" s="1526"/>
      <c r="AY71" s="1526"/>
      <c r="AZ71" s="1526"/>
      <c r="BA71" s="1526"/>
      <c r="BB71" s="1526"/>
      <c r="BC71" s="1526"/>
      <c r="BD71" s="1526"/>
      <c r="BE71" s="1526"/>
      <c r="BF71" s="1526"/>
      <c r="BG71" s="1526"/>
      <c r="BH71" s="1526"/>
      <c r="BI71" s="1526"/>
      <c r="BJ71" s="1526"/>
      <c r="BK71" s="1526"/>
      <c r="ER71" s="1313"/>
      <c r="ES71" s="1313"/>
      <c r="ET71" s="1313"/>
      <c r="EU71" s="1313"/>
      <c r="EV71" s="1313"/>
      <c r="EW71" s="1313"/>
      <c r="EX71" s="1313"/>
      <c r="EY71" s="1313"/>
      <c r="EZ71" s="1313"/>
      <c r="FA71" s="1313"/>
      <c r="FB71" s="1313"/>
      <c r="FC71" s="1313"/>
      <c r="FD71" s="1313"/>
      <c r="FE71" s="1313"/>
      <c r="FF71" s="1313"/>
      <c r="FG71" s="1313"/>
      <c r="FH71" s="1313"/>
      <c r="FI71" s="1313"/>
      <c r="FJ71" s="1313"/>
      <c r="FK71" s="1313"/>
      <c r="FL71" s="1313"/>
      <c r="FM71" s="1313"/>
      <c r="FN71" s="1313"/>
      <c r="FO71" s="1313"/>
      <c r="FP71" s="1313"/>
      <c r="FQ71" s="1313"/>
      <c r="FR71" s="1313"/>
      <c r="FS71" s="1313"/>
      <c r="FT71" s="1313"/>
      <c r="FU71" s="1313"/>
      <c r="FV71" s="1313"/>
    </row>
    <row r="72" spans="1:178" s="1314" customFormat="1">
      <c r="A72" s="1504"/>
      <c r="B72" s="1504"/>
      <c r="C72" s="1516"/>
      <c r="D72" s="1516"/>
      <c r="E72" s="1516"/>
      <c r="F72" s="1516"/>
      <c r="G72" s="1519"/>
      <c r="H72" s="1505"/>
      <c r="I72" s="1505"/>
      <c r="J72" s="1505"/>
      <c r="K72" s="1505"/>
      <c r="L72" s="1545"/>
      <c r="M72" s="1545"/>
      <c r="N72" s="1545"/>
      <c r="O72" s="1545"/>
      <c r="P72" s="1545"/>
      <c r="Q72" s="1545"/>
      <c r="R72" s="1545"/>
      <c r="S72" s="1545"/>
      <c r="T72" s="1545"/>
      <c r="U72" s="1545"/>
      <c r="V72" s="1545"/>
      <c r="W72" s="1545"/>
      <c r="X72" s="1545"/>
      <c r="Y72" s="1545"/>
      <c r="Z72" s="1545"/>
      <c r="AA72" s="1545"/>
      <c r="AB72" s="1545"/>
      <c r="AC72" s="1545"/>
      <c r="AD72" s="1545"/>
      <c r="AE72" s="1545"/>
      <c r="AF72" s="1545"/>
      <c r="AG72" s="1545"/>
      <c r="AH72" s="1545"/>
      <c r="AI72" s="1545"/>
      <c r="AJ72" s="1531"/>
      <c r="AK72" s="1538"/>
      <c r="AL72" s="1538"/>
      <c r="AM72" s="1538"/>
      <c r="AN72" s="1532"/>
      <c r="AO72" s="1532"/>
      <c r="AP72" s="1532"/>
      <c r="AQ72" s="1526"/>
      <c r="AR72" s="1526"/>
      <c r="AS72" s="1526"/>
      <c r="AT72" s="1526"/>
      <c r="AU72" s="1526"/>
      <c r="AV72" s="1526"/>
      <c r="AW72" s="1526"/>
      <c r="AX72" s="1526"/>
      <c r="AY72" s="1526"/>
      <c r="AZ72" s="1526"/>
      <c r="BA72" s="1526"/>
      <c r="BB72" s="1526"/>
      <c r="BC72" s="1526"/>
      <c r="BD72" s="1526"/>
      <c r="BE72" s="1526"/>
      <c r="BF72" s="1526"/>
      <c r="BG72" s="1526"/>
      <c r="BH72" s="1526"/>
      <c r="BI72" s="1526"/>
      <c r="BJ72" s="1526"/>
      <c r="BK72" s="1526"/>
      <c r="ER72" s="1313"/>
      <c r="ES72" s="1313"/>
      <c r="ET72" s="1313"/>
      <c r="EU72" s="1313"/>
      <c r="EV72" s="1313"/>
      <c r="EW72" s="1313"/>
      <c r="EX72" s="1313"/>
      <c r="EY72" s="1313"/>
      <c r="EZ72" s="1313"/>
      <c r="FA72" s="1313"/>
      <c r="FB72" s="1313"/>
      <c r="FC72" s="1313"/>
      <c r="FD72" s="1313"/>
      <c r="FE72" s="1313"/>
      <c r="FF72" s="1313"/>
      <c r="FG72" s="1313"/>
      <c r="FH72" s="1313"/>
      <c r="FI72" s="1313"/>
      <c r="FJ72" s="1313"/>
      <c r="FK72" s="1313"/>
      <c r="FL72" s="1313"/>
      <c r="FM72" s="1313"/>
      <c r="FN72" s="1313"/>
      <c r="FO72" s="1313"/>
      <c r="FP72" s="1313"/>
      <c r="FQ72" s="1313"/>
      <c r="FR72" s="1313"/>
      <c r="FS72" s="1313"/>
      <c r="FT72" s="1313"/>
      <c r="FU72" s="1313"/>
      <c r="FV72" s="1313"/>
    </row>
    <row r="73" spans="1:178">
      <c r="H73" s="1505"/>
    </row>
    <row r="74" spans="1:178">
      <c r="A74" s="1509"/>
      <c r="H74" s="1505"/>
      <c r="AJ74" s="1547"/>
    </row>
    <row r="75" spans="1:178">
      <c r="A75" s="1509"/>
      <c r="H75" s="1505"/>
    </row>
    <row r="76" spans="1:178">
      <c r="A76" s="1509"/>
      <c r="H76" s="1505"/>
    </row>
    <row r="77" spans="1:178">
      <c r="A77" s="1509"/>
      <c r="H77" s="1505"/>
    </row>
    <row r="78" spans="1:178">
      <c r="A78" s="1509"/>
      <c r="H78" s="1505"/>
    </row>
    <row r="79" spans="1:178">
      <c r="A79" s="1509"/>
      <c r="H79" s="1505"/>
    </row>
    <row r="80" spans="1:178">
      <c r="A80" s="1509"/>
      <c r="H80" s="1505"/>
    </row>
    <row r="81" spans="1:8">
      <c r="A81" s="1509"/>
      <c r="H81" s="1505"/>
    </row>
    <row r="82" spans="1:8">
      <c r="H82" s="1505"/>
    </row>
    <row r="83" spans="1:8">
      <c r="H83" s="1505"/>
    </row>
    <row r="84" spans="1:8">
      <c r="H84" s="1505"/>
    </row>
    <row r="85" spans="1:8">
      <c r="H85" s="1505"/>
    </row>
    <row r="86" spans="1:8">
      <c r="H86" s="1505"/>
    </row>
    <row r="87" spans="1:8">
      <c r="H87" s="1505"/>
    </row>
    <row r="88" spans="1:8">
      <c r="H88" s="1505"/>
    </row>
    <row r="89" spans="1:8">
      <c r="H89" s="1505"/>
    </row>
    <row r="90" spans="1:8">
      <c r="H90" s="1505"/>
    </row>
    <row r="91" spans="1:8">
      <c r="H91" s="1505"/>
    </row>
    <row r="92" spans="1:8">
      <c r="H92" s="1505"/>
    </row>
    <row r="93" spans="1:8">
      <c r="H93" s="1505"/>
    </row>
    <row r="94" spans="1:8">
      <c r="H94" s="1505"/>
    </row>
    <row r="95" spans="1:8">
      <c r="H95" s="1505"/>
    </row>
    <row r="96" spans="1:8">
      <c r="H96" s="1505"/>
    </row>
    <row r="97" spans="8:8">
      <c r="H97" s="1505"/>
    </row>
    <row r="98" spans="8:8">
      <c r="H98" s="1505"/>
    </row>
    <row r="99" spans="8:8">
      <c r="H99" s="1505"/>
    </row>
    <row r="100" spans="8:8">
      <c r="H100" s="1505"/>
    </row>
    <row r="101" spans="8:8">
      <c r="H101" s="1505"/>
    </row>
    <row r="102" spans="8:8">
      <c r="H102" s="1505"/>
    </row>
    <row r="103" spans="8:8">
      <c r="H103" s="1505"/>
    </row>
    <row r="104" spans="8:8">
      <c r="H104" s="1505"/>
    </row>
    <row r="105" spans="8:8">
      <c r="H105" s="1505"/>
    </row>
    <row r="106" spans="8:8">
      <c r="H106" s="1505"/>
    </row>
    <row r="107" spans="8:8">
      <c r="H107" s="1505"/>
    </row>
    <row r="108" spans="8:8">
      <c r="H108" s="1505"/>
    </row>
    <row r="109" spans="8:8">
      <c r="H109" s="1505"/>
    </row>
    <row r="110" spans="8:8">
      <c r="H110" s="1505"/>
    </row>
    <row r="111" spans="8:8">
      <c r="H111" s="1505"/>
    </row>
    <row r="112" spans="8:8">
      <c r="H112" s="1505"/>
    </row>
    <row r="113" spans="8:8">
      <c r="H113" s="1505"/>
    </row>
    <row r="114" spans="8:8">
      <c r="H114" s="1505"/>
    </row>
    <row r="115" spans="8:8">
      <c r="H115" s="1505"/>
    </row>
    <row r="116" spans="8:8">
      <c r="H116" s="1505"/>
    </row>
    <row r="117" spans="8:8">
      <c r="H117" s="1505"/>
    </row>
    <row r="118" spans="8:8">
      <c r="H118" s="1505"/>
    </row>
    <row r="119" spans="8:8">
      <c r="H119" s="1505"/>
    </row>
    <row r="120" spans="8:8">
      <c r="H120" s="1505"/>
    </row>
    <row r="121" spans="8:8">
      <c r="H121" s="1505"/>
    </row>
    <row r="122" spans="8:8">
      <c r="H122" s="1505"/>
    </row>
    <row r="123" spans="8:8">
      <c r="H123" s="1505"/>
    </row>
    <row r="124" spans="8:8">
      <c r="H124" s="1505"/>
    </row>
    <row r="125" spans="8:8">
      <c r="H125" s="1505"/>
    </row>
    <row r="126" spans="8:8">
      <c r="H126" s="1505"/>
    </row>
    <row r="127" spans="8:8">
      <c r="H127" s="1505"/>
    </row>
    <row r="128" spans="8:8">
      <c r="H128" s="1505"/>
    </row>
    <row r="129" spans="8:8">
      <c r="H129" s="1505"/>
    </row>
    <row r="130" spans="8:8">
      <c r="H130" s="1505"/>
    </row>
    <row r="131" spans="8:8">
      <c r="H131" s="1505"/>
    </row>
    <row r="132" spans="8:8">
      <c r="H132" s="1505"/>
    </row>
    <row r="133" spans="8:8">
      <c r="H133" s="1505"/>
    </row>
    <row r="134" spans="8:8">
      <c r="H134" s="1505"/>
    </row>
    <row r="135" spans="8:8">
      <c r="H135" s="1505"/>
    </row>
    <row r="136" spans="8:8">
      <c r="H136" s="1505"/>
    </row>
    <row r="137" spans="8:8">
      <c r="H137" s="1505"/>
    </row>
    <row r="138" spans="8:8">
      <c r="H138" s="1505"/>
    </row>
    <row r="139" spans="8:8">
      <c r="H139" s="1505"/>
    </row>
    <row r="140" spans="8:8">
      <c r="H140" s="1505"/>
    </row>
    <row r="141" spans="8:8">
      <c r="H141" s="1505"/>
    </row>
    <row r="142" spans="8:8">
      <c r="H142" s="1505"/>
    </row>
    <row r="143" spans="8:8">
      <c r="H143" s="1505"/>
    </row>
    <row r="144" spans="8:8">
      <c r="H144" s="1505"/>
    </row>
    <row r="145" spans="8:8">
      <c r="H145" s="1505"/>
    </row>
    <row r="146" spans="8:8">
      <c r="H146" s="1505"/>
    </row>
    <row r="147" spans="8:8">
      <c r="H147" s="1505"/>
    </row>
    <row r="148" spans="8:8">
      <c r="H148" s="1505"/>
    </row>
    <row r="149" spans="8:8">
      <c r="H149" s="1505"/>
    </row>
    <row r="150" spans="8:8">
      <c r="H150" s="1505"/>
    </row>
    <row r="151" spans="8:8">
      <c r="H151" s="1505"/>
    </row>
    <row r="152" spans="8:8">
      <c r="H152" s="1505"/>
    </row>
    <row r="153" spans="8:8">
      <c r="H153" s="1505"/>
    </row>
    <row r="154" spans="8:8">
      <c r="H154" s="1505"/>
    </row>
    <row r="155" spans="8:8">
      <c r="H155" s="1505"/>
    </row>
    <row r="156" spans="8:8">
      <c r="H156" s="1505"/>
    </row>
    <row r="157" spans="8:8">
      <c r="H157" s="1505"/>
    </row>
    <row r="158" spans="8:8">
      <c r="H158" s="1505"/>
    </row>
    <row r="159" spans="8:8">
      <c r="H159" s="1505"/>
    </row>
    <row r="160" spans="8:8">
      <c r="H160" s="1505"/>
    </row>
    <row r="161" spans="8:8">
      <c r="H161" s="1505"/>
    </row>
    <row r="162" spans="8:8">
      <c r="H162" s="1505"/>
    </row>
    <row r="163" spans="8:8">
      <c r="H163" s="1505"/>
    </row>
    <row r="164" spans="8:8">
      <c r="H164" s="1505"/>
    </row>
    <row r="165" spans="8:8">
      <c r="H165" s="1505"/>
    </row>
    <row r="166" spans="8:8">
      <c r="H166" s="1505"/>
    </row>
    <row r="167" spans="8:8">
      <c r="H167" s="1505"/>
    </row>
    <row r="168" spans="8:8">
      <c r="H168" s="1505"/>
    </row>
    <row r="169" spans="8:8">
      <c r="H169" s="1505"/>
    </row>
    <row r="170" spans="8:8">
      <c r="H170" s="1505"/>
    </row>
    <row r="171" spans="8:8">
      <c r="H171" s="1505"/>
    </row>
    <row r="172" spans="8:8">
      <c r="H172" s="1505"/>
    </row>
    <row r="173" spans="8:8">
      <c r="H173" s="1505"/>
    </row>
    <row r="174" spans="8:8">
      <c r="H174" s="1505"/>
    </row>
    <row r="175" spans="8:8">
      <c r="H175" s="1505"/>
    </row>
    <row r="176" spans="8:8">
      <c r="H176" s="1505"/>
    </row>
    <row r="177" spans="8:8">
      <c r="H177" s="1505"/>
    </row>
    <row r="178" spans="8:8">
      <c r="H178" s="1505"/>
    </row>
    <row r="179" spans="8:8">
      <c r="H179" s="1505"/>
    </row>
    <row r="180" spans="8:8">
      <c r="H180" s="1505"/>
    </row>
    <row r="181" spans="8:8">
      <c r="H181" s="1505"/>
    </row>
    <row r="182" spans="8:8">
      <c r="H182" s="1505"/>
    </row>
    <row r="183" spans="8:8">
      <c r="H183" s="1505"/>
    </row>
    <row r="184" spans="8:8">
      <c r="H184" s="1505"/>
    </row>
    <row r="185" spans="8:8">
      <c r="H185" s="1505"/>
    </row>
    <row r="186" spans="8:8">
      <c r="H186" s="1505"/>
    </row>
    <row r="187" spans="8:8">
      <c r="H187" s="1505"/>
    </row>
    <row r="188" spans="8:8">
      <c r="H188" s="1505"/>
    </row>
    <row r="189" spans="8:8">
      <c r="H189" s="1505"/>
    </row>
    <row r="190" spans="8:8">
      <c r="H190" s="1505"/>
    </row>
    <row r="191" spans="8:8">
      <c r="H191" s="1505"/>
    </row>
    <row r="192" spans="8:8">
      <c r="H192" s="1505"/>
    </row>
    <row r="193" spans="8:8">
      <c r="H193" s="1505"/>
    </row>
    <row r="194" spans="8:8">
      <c r="H194" s="1505"/>
    </row>
    <row r="195" spans="8:8">
      <c r="H195" s="1505"/>
    </row>
    <row r="196" spans="8:8">
      <c r="H196" s="1505"/>
    </row>
    <row r="197" spans="8:8">
      <c r="H197" s="1505"/>
    </row>
    <row r="198" spans="8:8">
      <c r="H198" s="1505"/>
    </row>
    <row r="199" spans="8:8">
      <c r="H199" s="1505"/>
    </row>
    <row r="200" spans="8:8">
      <c r="H200" s="1505"/>
    </row>
    <row r="201" spans="8:8">
      <c r="H201" s="1505"/>
    </row>
    <row r="202" spans="8:8">
      <c r="H202" s="1505"/>
    </row>
    <row r="203" spans="8:8">
      <c r="H203" s="1505"/>
    </row>
    <row r="204" spans="8:8">
      <c r="H204" s="1505"/>
    </row>
    <row r="205" spans="8:8">
      <c r="H205" s="1505"/>
    </row>
    <row r="206" spans="8:8">
      <c r="H206" s="1505"/>
    </row>
    <row r="207" spans="8:8">
      <c r="H207" s="1505"/>
    </row>
    <row r="208" spans="8:8">
      <c r="H208" s="1505"/>
    </row>
    <row r="209" spans="8:8">
      <c r="H209" s="1505"/>
    </row>
    <row r="210" spans="8:8">
      <c r="H210" s="1505"/>
    </row>
    <row r="211" spans="8:8">
      <c r="H211" s="1505"/>
    </row>
    <row r="212" spans="8:8">
      <c r="H212" s="1505"/>
    </row>
    <row r="213" spans="8:8">
      <c r="H213" s="1505"/>
    </row>
    <row r="214" spans="8:8">
      <c r="H214" s="1505"/>
    </row>
    <row r="215" spans="8:8">
      <c r="H215" s="1505"/>
    </row>
    <row r="216" spans="8:8">
      <c r="H216" s="1505"/>
    </row>
    <row r="217" spans="8:8">
      <c r="H217" s="1505"/>
    </row>
    <row r="218" spans="8:8">
      <c r="H218" s="1505"/>
    </row>
    <row r="219" spans="8:8">
      <c r="H219" s="1505"/>
    </row>
    <row r="220" spans="8:8">
      <c r="H220" s="1505"/>
    </row>
    <row r="221" spans="8:8">
      <c r="H221" s="1505"/>
    </row>
    <row r="222" spans="8:8">
      <c r="H222" s="1505"/>
    </row>
    <row r="223" spans="8:8">
      <c r="H223" s="1505"/>
    </row>
    <row r="224" spans="8:8">
      <c r="H224" s="1505"/>
    </row>
    <row r="225" spans="8:8">
      <c r="H225" s="1505"/>
    </row>
    <row r="226" spans="8:8">
      <c r="H226" s="1505"/>
    </row>
    <row r="227" spans="8:8">
      <c r="H227" s="1505"/>
    </row>
    <row r="228" spans="8:8">
      <c r="H228" s="1505"/>
    </row>
    <row r="229" spans="8:8">
      <c r="H229" s="1505"/>
    </row>
    <row r="230" spans="8:8">
      <c r="H230" s="1505"/>
    </row>
    <row r="231" spans="8:8">
      <c r="H231" s="1505"/>
    </row>
    <row r="232" spans="8:8">
      <c r="H232" s="1505"/>
    </row>
    <row r="233" spans="8:8">
      <c r="H233" s="1505"/>
    </row>
    <row r="234" spans="8:8">
      <c r="H234" s="1505"/>
    </row>
    <row r="235" spans="8:8">
      <c r="H235" s="1505"/>
    </row>
    <row r="236" spans="8:8">
      <c r="H236" s="1505"/>
    </row>
    <row r="237" spans="8:8">
      <c r="H237" s="1505"/>
    </row>
    <row r="238" spans="8:8">
      <c r="H238" s="1505"/>
    </row>
    <row r="239" spans="8:8">
      <c r="H239" s="1505"/>
    </row>
    <row r="240" spans="8:8">
      <c r="H240" s="1505"/>
    </row>
    <row r="241" spans="8:8">
      <c r="H241" s="1505"/>
    </row>
    <row r="242" spans="8:8">
      <c r="H242" s="1505"/>
    </row>
    <row r="243" spans="8:8">
      <c r="H243" s="1505"/>
    </row>
    <row r="244" spans="8:8">
      <c r="H244" s="1505"/>
    </row>
    <row r="245" spans="8:8">
      <c r="H245" s="1505"/>
    </row>
    <row r="246" spans="8:8">
      <c r="H246" s="1505"/>
    </row>
    <row r="247" spans="8:8">
      <c r="H247" s="1505"/>
    </row>
    <row r="248" spans="8:8">
      <c r="H248" s="1505"/>
    </row>
    <row r="249" spans="8:8">
      <c r="H249" s="1505"/>
    </row>
    <row r="250" spans="8:8">
      <c r="H250" s="1505"/>
    </row>
    <row r="251" spans="8:8">
      <c r="H251" s="1505"/>
    </row>
    <row r="252" spans="8:8">
      <c r="H252" s="1505"/>
    </row>
    <row r="253" spans="8:8">
      <c r="H253" s="1505"/>
    </row>
    <row r="254" spans="8:8">
      <c r="H254" s="1505"/>
    </row>
    <row r="255" spans="8:8">
      <c r="H255" s="1505"/>
    </row>
    <row r="256" spans="8:8">
      <c r="H256" s="1505"/>
    </row>
    <row r="257" spans="8:8">
      <c r="H257" s="1505"/>
    </row>
    <row r="258" spans="8:8">
      <c r="H258" s="1505"/>
    </row>
    <row r="259" spans="8:8">
      <c r="H259" s="1505"/>
    </row>
    <row r="260" spans="8:8">
      <c r="H260" s="1505"/>
    </row>
    <row r="261" spans="8:8">
      <c r="H261" s="1505"/>
    </row>
    <row r="262" spans="8:8">
      <c r="H262" s="1505"/>
    </row>
    <row r="263" spans="8:8">
      <c r="H263" s="1505"/>
    </row>
    <row r="264" spans="8:8">
      <c r="H264" s="1505"/>
    </row>
    <row r="265" spans="8:8">
      <c r="H265" s="1505"/>
    </row>
    <row r="266" spans="8:8">
      <c r="H266" s="1505"/>
    </row>
    <row r="267" spans="8:8">
      <c r="H267" s="1505"/>
    </row>
    <row r="268" spans="8:8">
      <c r="H268" s="1505"/>
    </row>
    <row r="269" spans="8:8">
      <c r="H269" s="1505"/>
    </row>
    <row r="270" spans="8:8">
      <c r="H270" s="1505"/>
    </row>
    <row r="271" spans="8:8">
      <c r="H271" s="1505"/>
    </row>
    <row r="272" spans="8:8">
      <c r="H272" s="1505"/>
    </row>
    <row r="273" spans="8:8">
      <c r="H273" s="1505"/>
    </row>
    <row r="274" spans="8:8">
      <c r="H274" s="1505"/>
    </row>
    <row r="275" spans="8:8">
      <c r="H275" s="1505"/>
    </row>
    <row r="276" spans="8:8">
      <c r="H276" s="1505"/>
    </row>
    <row r="277" spans="8:8">
      <c r="H277" s="1505"/>
    </row>
    <row r="278" spans="8:8">
      <c r="H278" s="1505"/>
    </row>
    <row r="279" spans="8:8">
      <c r="H279" s="1505"/>
    </row>
    <row r="280" spans="8:8">
      <c r="H280" s="1505"/>
    </row>
    <row r="281" spans="8:8">
      <c r="H281" s="1505"/>
    </row>
    <row r="282" spans="8:8">
      <c r="H282" s="1505"/>
    </row>
    <row r="283" spans="8:8">
      <c r="H283" s="1505"/>
    </row>
    <row r="284" spans="8:8">
      <c r="H284" s="1505"/>
    </row>
    <row r="285" spans="8:8">
      <c r="H285" s="1505"/>
    </row>
    <row r="286" spans="8:8">
      <c r="H286" s="1505"/>
    </row>
    <row r="287" spans="8:8">
      <c r="H287" s="1505"/>
    </row>
    <row r="288" spans="8:8">
      <c r="H288" s="1505"/>
    </row>
    <row r="289" spans="8:8">
      <c r="H289" s="1505"/>
    </row>
    <row r="290" spans="8:8">
      <c r="H290" s="1505"/>
    </row>
    <row r="291" spans="8:8">
      <c r="H291" s="1505"/>
    </row>
    <row r="292" spans="8:8">
      <c r="H292" s="1505"/>
    </row>
    <row r="293" spans="8:8">
      <c r="H293" s="1505"/>
    </row>
    <row r="294" spans="8:8">
      <c r="H294" s="1505"/>
    </row>
    <row r="295" spans="8:8">
      <c r="H295" s="1505"/>
    </row>
    <row r="296" spans="8:8">
      <c r="H296" s="1505"/>
    </row>
    <row r="297" spans="8:8">
      <c r="H297" s="1505"/>
    </row>
    <row r="298" spans="8:8">
      <c r="H298" s="1505"/>
    </row>
    <row r="299" spans="8:8">
      <c r="H299" s="1505"/>
    </row>
    <row r="300" spans="8:8">
      <c r="H300" s="1505"/>
    </row>
    <row r="301" spans="8:8">
      <c r="H301" s="1505"/>
    </row>
    <row r="302" spans="8:8">
      <c r="H302" s="1505"/>
    </row>
    <row r="303" spans="8:8">
      <c r="H303" s="1505"/>
    </row>
    <row r="304" spans="8:8">
      <c r="H304" s="1505"/>
    </row>
    <row r="305" spans="8:8">
      <c r="H305" s="1505"/>
    </row>
    <row r="306" spans="8:8">
      <c r="H306" s="1505"/>
    </row>
    <row r="307" spans="8:8">
      <c r="H307" s="1505"/>
    </row>
    <row r="308" spans="8:8">
      <c r="H308" s="1505"/>
    </row>
    <row r="309" spans="8:8">
      <c r="H309" s="1505"/>
    </row>
    <row r="310" spans="8:8">
      <c r="H310" s="1505"/>
    </row>
    <row r="311" spans="8:8">
      <c r="H311" s="1505"/>
    </row>
    <row r="312" spans="8:8">
      <c r="H312" s="1505"/>
    </row>
    <row r="313" spans="8:8">
      <c r="H313" s="1505"/>
    </row>
    <row r="314" spans="8:8">
      <c r="H314" s="1505"/>
    </row>
    <row r="315" spans="8:8">
      <c r="H315" s="1505"/>
    </row>
    <row r="316" spans="8:8">
      <c r="H316" s="1505"/>
    </row>
    <row r="317" spans="8:8">
      <c r="H317" s="1505"/>
    </row>
    <row r="318" spans="8:8">
      <c r="H318" s="1505"/>
    </row>
    <row r="319" spans="8:8">
      <c r="H319" s="1505"/>
    </row>
    <row r="320" spans="8:8">
      <c r="H320" s="1505"/>
    </row>
    <row r="321" spans="8:8">
      <c r="H321" s="1505"/>
    </row>
    <row r="322" spans="8:8">
      <c r="H322" s="1505"/>
    </row>
    <row r="323" spans="8:8">
      <c r="H323" s="1505"/>
    </row>
    <row r="324" spans="8:8">
      <c r="H324" s="1505"/>
    </row>
    <row r="325" spans="8:8">
      <c r="H325" s="1505"/>
    </row>
    <row r="326" spans="8:8">
      <c r="H326" s="1505"/>
    </row>
    <row r="327" spans="8:8">
      <c r="H327" s="1505"/>
    </row>
    <row r="328" spans="8:8">
      <c r="H328" s="1505"/>
    </row>
    <row r="329" spans="8:8">
      <c r="H329" s="1505"/>
    </row>
    <row r="330" spans="8:8">
      <c r="H330" s="1505"/>
    </row>
    <row r="331" spans="8:8">
      <c r="H331" s="1505"/>
    </row>
    <row r="332" spans="8:8">
      <c r="H332" s="1505"/>
    </row>
    <row r="333" spans="8:8">
      <c r="H333" s="1505"/>
    </row>
    <row r="334" spans="8:8">
      <c r="H334" s="1505"/>
    </row>
    <row r="335" spans="8:8">
      <c r="H335" s="1505"/>
    </row>
    <row r="336" spans="8:8">
      <c r="H336" s="1505"/>
    </row>
    <row r="337" spans="8:8">
      <c r="H337" s="1505"/>
    </row>
    <row r="338" spans="8:8">
      <c r="H338" s="1505"/>
    </row>
    <row r="339" spans="8:8">
      <c r="H339" s="1505"/>
    </row>
    <row r="340" spans="8:8">
      <c r="H340" s="1505"/>
    </row>
    <row r="341" spans="8:8">
      <c r="H341" s="1505"/>
    </row>
    <row r="342" spans="8:8">
      <c r="H342" s="1505"/>
    </row>
    <row r="343" spans="8:8">
      <c r="H343" s="1505"/>
    </row>
    <row r="344" spans="8:8">
      <c r="H344" s="1505"/>
    </row>
    <row r="345" spans="8:8">
      <c r="H345" s="1505"/>
    </row>
    <row r="346" spans="8:8">
      <c r="H346" s="1505"/>
    </row>
    <row r="347" spans="8:8">
      <c r="H347" s="1505"/>
    </row>
    <row r="348" spans="8:8">
      <c r="H348" s="1505"/>
    </row>
    <row r="349" spans="8:8">
      <c r="H349" s="1505"/>
    </row>
    <row r="350" spans="8:8">
      <c r="H350" s="1505"/>
    </row>
    <row r="351" spans="8:8">
      <c r="H351" s="1505"/>
    </row>
    <row r="352" spans="8:8">
      <c r="H352" s="1505"/>
    </row>
    <row r="353" spans="8:8">
      <c r="H353" s="1505"/>
    </row>
    <row r="354" spans="8:8">
      <c r="H354" s="1505"/>
    </row>
    <row r="355" spans="8:8">
      <c r="H355" s="1505"/>
    </row>
    <row r="356" spans="8:8">
      <c r="H356" s="1505"/>
    </row>
    <row r="357" spans="8:8">
      <c r="H357" s="1505"/>
    </row>
    <row r="358" spans="8:8">
      <c r="H358" s="1505"/>
    </row>
    <row r="359" spans="8:8">
      <c r="H359" s="1505"/>
    </row>
    <row r="360" spans="8:8">
      <c r="H360" s="1505"/>
    </row>
    <row r="361" spans="8:8">
      <c r="H361" s="1505"/>
    </row>
    <row r="362" spans="8:8">
      <c r="H362" s="1505"/>
    </row>
    <row r="363" spans="8:8">
      <c r="H363" s="1505"/>
    </row>
    <row r="364" spans="8:8">
      <c r="H364" s="1505"/>
    </row>
    <row r="365" spans="8:8">
      <c r="H365" s="1505"/>
    </row>
    <row r="366" spans="8:8">
      <c r="H366" s="1505"/>
    </row>
    <row r="367" spans="8:8">
      <c r="H367" s="1505"/>
    </row>
    <row r="368" spans="8:8">
      <c r="H368" s="1505"/>
    </row>
    <row r="369" spans="8:8">
      <c r="H369" s="1505"/>
    </row>
    <row r="370" spans="8:8">
      <c r="H370" s="1505"/>
    </row>
    <row r="371" spans="8:8">
      <c r="H371" s="1505"/>
    </row>
    <row r="372" spans="8:8">
      <c r="H372" s="1505"/>
    </row>
    <row r="373" spans="8:8">
      <c r="H373" s="1505"/>
    </row>
    <row r="374" spans="8:8">
      <c r="H374" s="1505"/>
    </row>
    <row r="375" spans="8:8">
      <c r="H375" s="1505"/>
    </row>
    <row r="376" spans="8:8">
      <c r="H376" s="1505"/>
    </row>
    <row r="377" spans="8:8">
      <c r="H377" s="1505"/>
    </row>
    <row r="378" spans="8:8">
      <c r="H378" s="1505"/>
    </row>
    <row r="379" spans="8:8">
      <c r="H379" s="1505"/>
    </row>
    <row r="380" spans="8:8">
      <c r="H380" s="1505"/>
    </row>
    <row r="381" spans="8:8">
      <c r="H381" s="1505"/>
    </row>
    <row r="382" spans="8:8">
      <c r="H382" s="1505"/>
    </row>
    <row r="383" spans="8:8">
      <c r="H383" s="1505"/>
    </row>
    <row r="384" spans="8:8">
      <c r="H384" s="1505"/>
    </row>
    <row r="385" spans="8:8">
      <c r="H385" s="1505"/>
    </row>
    <row r="386" spans="8:8">
      <c r="H386" s="1505"/>
    </row>
    <row r="387" spans="8:8">
      <c r="H387" s="1505"/>
    </row>
    <row r="388" spans="8:8">
      <c r="H388" s="1505"/>
    </row>
    <row r="389" spans="8:8">
      <c r="H389" s="1505"/>
    </row>
    <row r="390" spans="8:8">
      <c r="H390" s="1505"/>
    </row>
    <row r="391" spans="8:8">
      <c r="H391" s="1505"/>
    </row>
    <row r="392" spans="8:8">
      <c r="H392" s="1505"/>
    </row>
    <row r="393" spans="8:8">
      <c r="H393" s="1505"/>
    </row>
    <row r="394" spans="8:8">
      <c r="H394" s="1505"/>
    </row>
    <row r="395" spans="8:8">
      <c r="H395" s="1505"/>
    </row>
    <row r="396" spans="8:8">
      <c r="H396" s="1505"/>
    </row>
    <row r="397" spans="8:8">
      <c r="H397" s="1505"/>
    </row>
    <row r="398" spans="8:8">
      <c r="H398" s="1505"/>
    </row>
    <row r="399" spans="8:8">
      <c r="H399" s="1505"/>
    </row>
    <row r="400" spans="8:8">
      <c r="H400" s="1505"/>
    </row>
    <row r="401" spans="8:8">
      <c r="H401" s="1505"/>
    </row>
    <row r="402" spans="8:8">
      <c r="H402" s="1505"/>
    </row>
    <row r="403" spans="8:8">
      <c r="H403" s="1505"/>
    </row>
    <row r="404" spans="8:8">
      <c r="H404" s="1505"/>
    </row>
    <row r="405" spans="8:8">
      <c r="H405" s="1505"/>
    </row>
    <row r="406" spans="8:8">
      <c r="H406" s="1505"/>
    </row>
    <row r="407" spans="8:8">
      <c r="H407" s="1505"/>
    </row>
    <row r="408" spans="8:8">
      <c r="H408" s="1505"/>
    </row>
    <row r="409" spans="8:8">
      <c r="H409" s="1505"/>
    </row>
    <row r="410" spans="8:8">
      <c r="H410" s="1505"/>
    </row>
    <row r="411" spans="8:8">
      <c r="H411" s="1505"/>
    </row>
    <row r="412" spans="8:8">
      <c r="H412" s="1505"/>
    </row>
    <row r="413" spans="8:8">
      <c r="H413" s="1505"/>
    </row>
    <row r="414" spans="8:8">
      <c r="H414" s="1505"/>
    </row>
    <row r="415" spans="8:8">
      <c r="H415" s="1505"/>
    </row>
    <row r="416" spans="8:8">
      <c r="H416" s="1505"/>
    </row>
    <row r="417" spans="8:8">
      <c r="H417" s="1505"/>
    </row>
    <row r="418" spans="8:8">
      <c r="H418" s="1505"/>
    </row>
    <row r="419" spans="8:8">
      <c r="H419" s="1505"/>
    </row>
    <row r="420" spans="8:8">
      <c r="H420" s="1505"/>
    </row>
    <row r="421" spans="8:8">
      <c r="H421" s="1505"/>
    </row>
    <row r="422" spans="8:8">
      <c r="H422" s="1505"/>
    </row>
    <row r="423" spans="8:8">
      <c r="H423" s="1505"/>
    </row>
    <row r="424" spans="8:8">
      <c r="H424" s="1505"/>
    </row>
    <row r="425" spans="8:8">
      <c r="H425" s="1505"/>
    </row>
    <row r="426" spans="8:8">
      <c r="H426" s="1505"/>
    </row>
    <row r="427" spans="8:8">
      <c r="H427" s="1505"/>
    </row>
    <row r="428" spans="8:8">
      <c r="H428" s="1505"/>
    </row>
    <row r="429" spans="8:8">
      <c r="H429" s="1505"/>
    </row>
    <row r="430" spans="8:8">
      <c r="H430" s="1505"/>
    </row>
    <row r="431" spans="8:8">
      <c r="H431" s="1505"/>
    </row>
    <row r="432" spans="8:8">
      <c r="H432" s="1505"/>
    </row>
    <row r="433" spans="8:8">
      <c r="H433" s="1505"/>
    </row>
    <row r="434" spans="8:8">
      <c r="H434" s="1505"/>
    </row>
    <row r="435" spans="8:8">
      <c r="H435" s="1505"/>
    </row>
    <row r="436" spans="8:8">
      <c r="H436" s="1505"/>
    </row>
    <row r="437" spans="8:8">
      <c r="H437" s="1505"/>
    </row>
    <row r="438" spans="8:8">
      <c r="H438" s="1505"/>
    </row>
    <row r="439" spans="8:8">
      <c r="H439" s="1505"/>
    </row>
    <row r="440" spans="8:8">
      <c r="H440" s="1505"/>
    </row>
    <row r="441" spans="8:8">
      <c r="H441" s="1505"/>
    </row>
    <row r="442" spans="8:8">
      <c r="H442" s="1505"/>
    </row>
    <row r="443" spans="8:8">
      <c r="H443" s="1505"/>
    </row>
    <row r="444" spans="8:8">
      <c r="H444" s="1505"/>
    </row>
    <row r="445" spans="8:8">
      <c r="H445" s="1505"/>
    </row>
    <row r="446" spans="8:8">
      <c r="H446" s="1505"/>
    </row>
    <row r="447" spans="8:8">
      <c r="H447" s="1505"/>
    </row>
    <row r="448" spans="8:8">
      <c r="H448" s="1505"/>
    </row>
    <row r="449" spans="8:8">
      <c r="H449" s="1505"/>
    </row>
    <row r="450" spans="8:8">
      <c r="H450" s="1505"/>
    </row>
    <row r="451" spans="8:8">
      <c r="H451" s="1505"/>
    </row>
    <row r="452" spans="8:8">
      <c r="H452" s="1505"/>
    </row>
    <row r="453" spans="8:8">
      <c r="H453" s="1505"/>
    </row>
    <row r="454" spans="8:8">
      <c r="H454" s="1505"/>
    </row>
    <row r="455" spans="8:8">
      <c r="H455" s="1505"/>
    </row>
    <row r="456" spans="8:8">
      <c r="H456" s="1505"/>
    </row>
    <row r="457" spans="8:8">
      <c r="H457" s="1505"/>
    </row>
    <row r="458" spans="8:8">
      <c r="H458" s="1505"/>
    </row>
    <row r="459" spans="8:8">
      <c r="H459" s="1505"/>
    </row>
    <row r="460" spans="8:8">
      <c r="H460" s="1505"/>
    </row>
    <row r="461" spans="8:8">
      <c r="H461" s="1505"/>
    </row>
    <row r="462" spans="8:8">
      <c r="H462" s="1505"/>
    </row>
    <row r="463" spans="8:8">
      <c r="H463" s="1505"/>
    </row>
    <row r="464" spans="8:8">
      <c r="H464" s="1505"/>
    </row>
    <row r="465" spans="8:8">
      <c r="H465" s="1505"/>
    </row>
    <row r="466" spans="8:8">
      <c r="H466" s="1505"/>
    </row>
    <row r="467" spans="8:8">
      <c r="H467" s="1505"/>
    </row>
    <row r="468" spans="8:8">
      <c r="H468" s="1505"/>
    </row>
    <row r="469" spans="8:8">
      <c r="H469" s="1505"/>
    </row>
    <row r="470" spans="8:8">
      <c r="H470" s="1505"/>
    </row>
    <row r="471" spans="8:8">
      <c r="H471" s="1505"/>
    </row>
    <row r="472" spans="8:8">
      <c r="H472" s="1505"/>
    </row>
    <row r="473" spans="8:8">
      <c r="H473" s="1505"/>
    </row>
    <row r="474" spans="8:8">
      <c r="H474" s="1505"/>
    </row>
    <row r="475" spans="8:8">
      <c r="H475" s="1505"/>
    </row>
    <row r="476" spans="8:8">
      <c r="H476" s="1505"/>
    </row>
    <row r="477" spans="8:8">
      <c r="H477" s="1505"/>
    </row>
    <row r="478" spans="8:8">
      <c r="H478" s="1505"/>
    </row>
    <row r="479" spans="8:8">
      <c r="H479" s="1505"/>
    </row>
    <row r="480" spans="8:8">
      <c r="H480" s="1505"/>
    </row>
    <row r="481" spans="8:8">
      <c r="H481" s="1505"/>
    </row>
    <row r="482" spans="8:8">
      <c r="H482" s="1505"/>
    </row>
    <row r="483" spans="8:8">
      <c r="H483" s="1505"/>
    </row>
    <row r="484" spans="8:8">
      <c r="H484" s="1505"/>
    </row>
    <row r="485" spans="8:8">
      <c r="H485" s="1505"/>
    </row>
    <row r="486" spans="8:8">
      <c r="H486" s="1505"/>
    </row>
    <row r="487" spans="8:8">
      <c r="H487" s="1505"/>
    </row>
    <row r="488" spans="8:8">
      <c r="H488" s="1505"/>
    </row>
    <row r="489" spans="8:8">
      <c r="H489" s="1505"/>
    </row>
    <row r="490" spans="8:8">
      <c r="H490" s="1505"/>
    </row>
    <row r="491" spans="8:8">
      <c r="H491" s="1505"/>
    </row>
    <row r="492" spans="8:8">
      <c r="H492" s="1505"/>
    </row>
    <row r="493" spans="8:8">
      <c r="H493" s="1505"/>
    </row>
    <row r="494" spans="8:8">
      <c r="H494" s="1505"/>
    </row>
    <row r="495" spans="8:8">
      <c r="H495" s="1505"/>
    </row>
    <row r="496" spans="8:8">
      <c r="H496" s="1505"/>
    </row>
    <row r="497" spans="8:8">
      <c r="H497" s="1505"/>
    </row>
    <row r="498" spans="8:8">
      <c r="H498" s="1505"/>
    </row>
    <row r="499" spans="8:8">
      <c r="H499" s="1505"/>
    </row>
    <row r="500" spans="8:8">
      <c r="H500" s="1505"/>
    </row>
    <row r="501" spans="8:8">
      <c r="H501" s="1505"/>
    </row>
    <row r="502" spans="8:8">
      <c r="H502" s="1505"/>
    </row>
    <row r="503" spans="8:8">
      <c r="H503" s="1505"/>
    </row>
    <row r="504" spans="8:8">
      <c r="H504" s="1505"/>
    </row>
    <row r="505" spans="8:8">
      <c r="H505" s="1505"/>
    </row>
    <row r="506" spans="8:8">
      <c r="H506" s="1505"/>
    </row>
    <row r="507" spans="8:8">
      <c r="H507" s="1505"/>
    </row>
    <row r="508" spans="8:8">
      <c r="H508" s="1505"/>
    </row>
    <row r="509" spans="8:8">
      <c r="H509" s="1505"/>
    </row>
    <row r="510" spans="8:8">
      <c r="H510" s="1505"/>
    </row>
    <row r="511" spans="8:8">
      <c r="H511" s="1505"/>
    </row>
    <row r="512" spans="8:8">
      <c r="H512" s="1505"/>
    </row>
    <row r="513" spans="8:8">
      <c r="H513" s="1505"/>
    </row>
    <row r="514" spans="8:8">
      <c r="H514" s="1505"/>
    </row>
    <row r="515" spans="8:8">
      <c r="H515" s="1505"/>
    </row>
    <row r="516" spans="8:8">
      <c r="H516" s="1505"/>
    </row>
    <row r="517" spans="8:8">
      <c r="H517" s="1505"/>
    </row>
    <row r="518" spans="8:8">
      <c r="H518" s="1505"/>
    </row>
    <row r="519" spans="8:8">
      <c r="H519" s="1505"/>
    </row>
    <row r="520" spans="8:8">
      <c r="H520" s="1505"/>
    </row>
    <row r="521" spans="8:8">
      <c r="H521" s="1505"/>
    </row>
    <row r="522" spans="8:8">
      <c r="H522" s="1505"/>
    </row>
    <row r="523" spans="8:8">
      <c r="H523" s="1505"/>
    </row>
    <row r="524" spans="8:8">
      <c r="H524" s="1505"/>
    </row>
    <row r="525" spans="8:8">
      <c r="H525" s="1505"/>
    </row>
    <row r="526" spans="8:8">
      <c r="H526" s="1505"/>
    </row>
    <row r="527" spans="8:8">
      <c r="H527" s="1505"/>
    </row>
    <row r="528" spans="8:8">
      <c r="H528" s="1505"/>
    </row>
    <row r="529" spans="8:8">
      <c r="H529" s="1505"/>
    </row>
    <row r="530" spans="8:8">
      <c r="H530" s="1505"/>
    </row>
    <row r="531" spans="8:8">
      <c r="H531" s="1505"/>
    </row>
    <row r="532" spans="8:8">
      <c r="H532" s="1505"/>
    </row>
    <row r="533" spans="8:8">
      <c r="H533" s="1505"/>
    </row>
    <row r="534" spans="8:8">
      <c r="H534" s="1505"/>
    </row>
    <row r="535" spans="8:8">
      <c r="H535" s="1505"/>
    </row>
    <row r="536" spans="8:8">
      <c r="H536" s="1505"/>
    </row>
    <row r="537" spans="8:8">
      <c r="H537" s="1505"/>
    </row>
    <row r="538" spans="8:8">
      <c r="H538" s="1505"/>
    </row>
    <row r="539" spans="8:8">
      <c r="H539" s="1505"/>
    </row>
    <row r="540" spans="8:8">
      <c r="H540" s="1505"/>
    </row>
    <row r="541" spans="8:8">
      <c r="H541" s="1505"/>
    </row>
    <row r="542" spans="8:8">
      <c r="H542" s="1505"/>
    </row>
    <row r="543" spans="8:8">
      <c r="H543" s="1505"/>
    </row>
    <row r="544" spans="8:8">
      <c r="H544" s="1505"/>
    </row>
    <row r="545" spans="8:8">
      <c r="H545" s="1505"/>
    </row>
    <row r="546" spans="8:8">
      <c r="H546" s="1505"/>
    </row>
    <row r="547" spans="8:8">
      <c r="H547" s="1505"/>
    </row>
    <row r="548" spans="8:8">
      <c r="H548" s="1505"/>
    </row>
    <row r="549" spans="8:8">
      <c r="H549" s="1505"/>
    </row>
    <row r="550" spans="8:8">
      <c r="H550" s="1505"/>
    </row>
    <row r="551" spans="8:8">
      <c r="H551" s="1505"/>
    </row>
    <row r="552" spans="8:8">
      <c r="H552" s="1505"/>
    </row>
    <row r="553" spans="8:8">
      <c r="H553" s="1505"/>
    </row>
    <row r="554" spans="8:8">
      <c r="H554" s="1505"/>
    </row>
    <row r="555" spans="8:8">
      <c r="H555" s="1505"/>
    </row>
    <row r="556" spans="8:8">
      <c r="H556" s="1505"/>
    </row>
    <row r="557" spans="8:8">
      <c r="H557" s="1505"/>
    </row>
    <row r="558" spans="8:8">
      <c r="H558" s="1505"/>
    </row>
    <row r="559" spans="8:8">
      <c r="H559" s="1505"/>
    </row>
    <row r="560" spans="8:8">
      <c r="H560" s="1505"/>
    </row>
    <row r="561" spans="8:8">
      <c r="H561" s="1505"/>
    </row>
    <row r="562" spans="8:8">
      <c r="H562" s="1505"/>
    </row>
    <row r="563" spans="8:8">
      <c r="H563" s="1505"/>
    </row>
    <row r="564" spans="8:8">
      <c r="H564" s="1505"/>
    </row>
    <row r="565" spans="8:8">
      <c r="H565" s="1505"/>
    </row>
    <row r="566" spans="8:8">
      <c r="H566" s="1505"/>
    </row>
    <row r="567" spans="8:8">
      <c r="H567" s="1505"/>
    </row>
    <row r="568" spans="8:8">
      <c r="H568" s="1505"/>
    </row>
    <row r="569" spans="8:8">
      <c r="H569" s="1505"/>
    </row>
    <row r="570" spans="8:8">
      <c r="H570" s="1505"/>
    </row>
    <row r="571" spans="8:8">
      <c r="H571" s="1505"/>
    </row>
    <row r="572" spans="8:8">
      <c r="H572" s="1505"/>
    </row>
    <row r="573" spans="8:8">
      <c r="H573" s="1505"/>
    </row>
    <row r="574" spans="8:8">
      <c r="H574" s="1505"/>
    </row>
    <row r="575" spans="8:8">
      <c r="H575" s="1505"/>
    </row>
    <row r="576" spans="8:8">
      <c r="H576" s="1505"/>
    </row>
    <row r="577" spans="8:8">
      <c r="H577" s="1505"/>
    </row>
    <row r="578" spans="8:8">
      <c r="H578" s="1505"/>
    </row>
    <row r="579" spans="8:8">
      <c r="H579" s="1505"/>
    </row>
    <row r="580" spans="8:8">
      <c r="H580" s="1505"/>
    </row>
    <row r="581" spans="8:8">
      <c r="H581" s="1505"/>
    </row>
    <row r="582" spans="8:8">
      <c r="H582" s="1505"/>
    </row>
    <row r="583" spans="8:8">
      <c r="H583" s="1505"/>
    </row>
    <row r="584" spans="8:8">
      <c r="H584" s="1505"/>
    </row>
    <row r="585" spans="8:8">
      <c r="H585" s="1505"/>
    </row>
    <row r="586" spans="8:8">
      <c r="H586" s="1505"/>
    </row>
    <row r="587" spans="8:8">
      <c r="H587" s="1505"/>
    </row>
    <row r="588" spans="8:8">
      <c r="H588" s="1505"/>
    </row>
    <row r="589" spans="8:8">
      <c r="H589" s="1505"/>
    </row>
    <row r="590" spans="8:8">
      <c r="H590" s="1505"/>
    </row>
    <row r="591" spans="8:8">
      <c r="H591" s="1505"/>
    </row>
    <row r="592" spans="8:8">
      <c r="H592" s="1505"/>
    </row>
    <row r="593" spans="8:8">
      <c r="H593" s="1505"/>
    </row>
    <row r="594" spans="8:8">
      <c r="H594" s="1505"/>
    </row>
    <row r="595" spans="8:8">
      <c r="H595" s="1505"/>
    </row>
    <row r="596" spans="8:8">
      <c r="H596" s="1505"/>
    </row>
    <row r="597" spans="8:8">
      <c r="H597" s="1505"/>
    </row>
    <row r="598" spans="8:8">
      <c r="H598" s="1505"/>
    </row>
    <row r="599" spans="8:8">
      <c r="H599" s="1505"/>
    </row>
    <row r="600" spans="8:8">
      <c r="H600" s="1505"/>
    </row>
    <row r="601" spans="8:8">
      <c r="H601" s="1505"/>
    </row>
    <row r="602" spans="8:8">
      <c r="H602" s="1505"/>
    </row>
    <row r="603" spans="8:8">
      <c r="H603" s="1505"/>
    </row>
    <row r="604" spans="8:8">
      <c r="H604" s="1505"/>
    </row>
    <row r="605" spans="8:8">
      <c r="H605" s="1505"/>
    </row>
    <row r="606" spans="8:8">
      <c r="H606" s="1505"/>
    </row>
    <row r="607" spans="8:8">
      <c r="H607" s="1505"/>
    </row>
    <row r="608" spans="8:8">
      <c r="H608" s="1505"/>
    </row>
    <row r="609" spans="8:8">
      <c r="H609" s="1505"/>
    </row>
    <row r="610" spans="8:8">
      <c r="H610" s="1505"/>
    </row>
    <row r="611" spans="8:8">
      <c r="H611" s="1505"/>
    </row>
    <row r="612" spans="8:8">
      <c r="H612" s="1505"/>
    </row>
    <row r="613" spans="8:8">
      <c r="H613" s="1505"/>
    </row>
    <row r="614" spans="8:8">
      <c r="H614" s="1505"/>
    </row>
    <row r="615" spans="8:8">
      <c r="H615" s="1505"/>
    </row>
    <row r="616" spans="8:8">
      <c r="H616" s="1505"/>
    </row>
    <row r="617" spans="8:8">
      <c r="H617" s="1505"/>
    </row>
    <row r="618" spans="8:8">
      <c r="H618" s="1505"/>
    </row>
    <row r="619" spans="8:8">
      <c r="H619" s="1505"/>
    </row>
    <row r="620" spans="8:8">
      <c r="H620" s="1505"/>
    </row>
    <row r="621" spans="8:8">
      <c r="H621" s="1505"/>
    </row>
    <row r="622" spans="8:8">
      <c r="H622" s="1505"/>
    </row>
    <row r="623" spans="8:8">
      <c r="H623" s="1505"/>
    </row>
    <row r="624" spans="8:8">
      <c r="H624" s="1505"/>
    </row>
    <row r="625" spans="8:8">
      <c r="H625" s="1505"/>
    </row>
    <row r="626" spans="8:8">
      <c r="H626" s="1505"/>
    </row>
    <row r="627" spans="8:8">
      <c r="H627" s="1505"/>
    </row>
    <row r="628" spans="8:8">
      <c r="H628" s="1505"/>
    </row>
    <row r="629" spans="8:8">
      <c r="H629" s="1505"/>
    </row>
    <row r="630" spans="8:8">
      <c r="H630" s="1505"/>
    </row>
    <row r="631" spans="8:8">
      <c r="H631" s="1505"/>
    </row>
    <row r="632" spans="8:8">
      <c r="H632" s="1505"/>
    </row>
    <row r="633" spans="8:8">
      <c r="H633" s="1505"/>
    </row>
    <row r="634" spans="8:8">
      <c r="H634" s="1505"/>
    </row>
    <row r="635" spans="8:8">
      <c r="H635" s="1505"/>
    </row>
    <row r="636" spans="8:8">
      <c r="H636" s="1505"/>
    </row>
    <row r="637" spans="8:8">
      <c r="H637" s="1505"/>
    </row>
    <row r="638" spans="8:8">
      <c r="H638" s="1505"/>
    </row>
    <row r="639" spans="8:8">
      <c r="H639" s="1505"/>
    </row>
    <row r="640" spans="8:8">
      <c r="H640" s="1505"/>
    </row>
    <row r="641" spans="8:8">
      <c r="H641" s="1505"/>
    </row>
    <row r="642" spans="8:8">
      <c r="H642" s="1505"/>
    </row>
    <row r="643" spans="8:8">
      <c r="H643" s="1505"/>
    </row>
    <row r="644" spans="8:8">
      <c r="H644" s="1505"/>
    </row>
    <row r="645" spans="8:8">
      <c r="H645" s="1505"/>
    </row>
    <row r="646" spans="8:8">
      <c r="H646" s="1505"/>
    </row>
    <row r="647" spans="8:8">
      <c r="H647" s="1505"/>
    </row>
    <row r="648" spans="8:8">
      <c r="H648" s="1505"/>
    </row>
    <row r="649" spans="8:8">
      <c r="H649" s="1505"/>
    </row>
    <row r="650" spans="8:8">
      <c r="H650" s="1505"/>
    </row>
    <row r="651" spans="8:8">
      <c r="H651" s="1505"/>
    </row>
    <row r="652" spans="8:8">
      <c r="H652" s="1505"/>
    </row>
    <row r="653" spans="8:8">
      <c r="H653" s="1505"/>
    </row>
    <row r="654" spans="8:8">
      <c r="H654" s="1505"/>
    </row>
    <row r="655" spans="8:8">
      <c r="H655" s="1505"/>
    </row>
    <row r="656" spans="8:8">
      <c r="H656" s="1505"/>
    </row>
    <row r="657" spans="8:8">
      <c r="H657" s="1505"/>
    </row>
    <row r="658" spans="8:8">
      <c r="H658" s="1505"/>
    </row>
    <row r="659" spans="8:8">
      <c r="H659" s="1505"/>
    </row>
    <row r="660" spans="8:8">
      <c r="H660" s="1505"/>
    </row>
    <row r="661" spans="8:8">
      <c r="H661" s="1505"/>
    </row>
    <row r="662" spans="8:8">
      <c r="H662" s="1505"/>
    </row>
    <row r="663" spans="8:8">
      <c r="H663" s="1505"/>
    </row>
    <row r="664" spans="8:8">
      <c r="H664" s="1505"/>
    </row>
    <row r="665" spans="8:8">
      <c r="H665" s="1505"/>
    </row>
    <row r="666" spans="8:8">
      <c r="H666" s="1505"/>
    </row>
    <row r="667" spans="8:8">
      <c r="H667" s="1505"/>
    </row>
    <row r="668" spans="8:8">
      <c r="H668" s="1505"/>
    </row>
    <row r="669" spans="8:8">
      <c r="H669" s="1505"/>
    </row>
    <row r="670" spans="8:8">
      <c r="H670" s="1505"/>
    </row>
    <row r="671" spans="8:8">
      <c r="H671" s="1505"/>
    </row>
    <row r="672" spans="8:8">
      <c r="H672" s="1505"/>
    </row>
    <row r="673" spans="8:8">
      <c r="H673" s="1505"/>
    </row>
    <row r="674" spans="8:8">
      <c r="H674" s="1505"/>
    </row>
    <row r="675" spans="8:8">
      <c r="H675" s="1505"/>
    </row>
    <row r="676" spans="8:8">
      <c r="H676" s="1505"/>
    </row>
    <row r="677" spans="8:8">
      <c r="H677" s="1505"/>
    </row>
    <row r="678" spans="8:8">
      <c r="H678" s="1505"/>
    </row>
    <row r="679" spans="8:8">
      <c r="H679" s="1505"/>
    </row>
    <row r="680" spans="8:8">
      <c r="H680" s="1505"/>
    </row>
    <row r="681" spans="8:8">
      <c r="H681" s="1505"/>
    </row>
    <row r="682" spans="8:8">
      <c r="H682" s="1505"/>
    </row>
    <row r="683" spans="8:8">
      <c r="H683" s="1505"/>
    </row>
    <row r="684" spans="8:8">
      <c r="H684" s="1505"/>
    </row>
    <row r="685" spans="8:8">
      <c r="H685" s="1505"/>
    </row>
    <row r="686" spans="8:8">
      <c r="H686" s="1505"/>
    </row>
    <row r="687" spans="8:8">
      <c r="H687" s="1505"/>
    </row>
    <row r="688" spans="8:8">
      <c r="H688" s="1505"/>
    </row>
    <row r="689" spans="8:8">
      <c r="H689" s="1505"/>
    </row>
    <row r="690" spans="8:8">
      <c r="H690" s="1505"/>
    </row>
    <row r="691" spans="8:8">
      <c r="H691" s="1505"/>
    </row>
    <row r="692" spans="8:8">
      <c r="H692" s="1505"/>
    </row>
    <row r="693" spans="8:8">
      <c r="H693" s="1505"/>
    </row>
    <row r="694" spans="8:8">
      <c r="H694" s="1505"/>
    </row>
    <row r="695" spans="8:8">
      <c r="H695" s="1505"/>
    </row>
    <row r="696" spans="8:8">
      <c r="H696" s="1505"/>
    </row>
    <row r="697" spans="8:8">
      <c r="H697" s="1505"/>
    </row>
    <row r="698" spans="8:8">
      <c r="H698" s="1505"/>
    </row>
    <row r="699" spans="8:8">
      <c r="H699" s="1505"/>
    </row>
    <row r="700" spans="8:8">
      <c r="H700" s="1505"/>
    </row>
    <row r="701" spans="8:8">
      <c r="H701" s="1505"/>
    </row>
    <row r="702" spans="8:8">
      <c r="H702" s="1505"/>
    </row>
    <row r="703" spans="8:8">
      <c r="H703" s="1505"/>
    </row>
    <row r="704" spans="8:8">
      <c r="H704" s="1505"/>
    </row>
    <row r="705" spans="8:8">
      <c r="H705" s="1505"/>
    </row>
    <row r="706" spans="8:8">
      <c r="H706" s="1505"/>
    </row>
    <row r="707" spans="8:8">
      <c r="H707" s="1505"/>
    </row>
    <row r="708" spans="8:8">
      <c r="H708" s="1505"/>
    </row>
    <row r="709" spans="8:8">
      <c r="H709" s="1505"/>
    </row>
    <row r="710" spans="8:8">
      <c r="H710" s="1505"/>
    </row>
    <row r="711" spans="8:8">
      <c r="H711" s="1505"/>
    </row>
    <row r="712" spans="8:8">
      <c r="H712" s="1505"/>
    </row>
    <row r="713" spans="8:8">
      <c r="H713" s="1505"/>
    </row>
    <row r="714" spans="8:8">
      <c r="H714" s="1505"/>
    </row>
    <row r="715" spans="8:8">
      <c r="H715" s="1505"/>
    </row>
    <row r="716" spans="8:8">
      <c r="H716" s="1505"/>
    </row>
    <row r="717" spans="8:8">
      <c r="H717" s="1505"/>
    </row>
    <row r="718" spans="8:8">
      <c r="H718" s="1505"/>
    </row>
    <row r="719" spans="8:8">
      <c r="H719" s="1505"/>
    </row>
    <row r="720" spans="8:8">
      <c r="H720" s="1505"/>
    </row>
    <row r="721" spans="8:8">
      <c r="H721" s="1505"/>
    </row>
    <row r="722" spans="8:8">
      <c r="H722" s="1505"/>
    </row>
    <row r="723" spans="8:8">
      <c r="H723" s="1505"/>
    </row>
    <row r="724" spans="8:8">
      <c r="H724" s="1505"/>
    </row>
    <row r="725" spans="8:8">
      <c r="H725" s="1505"/>
    </row>
    <row r="726" spans="8:8">
      <c r="H726" s="1505"/>
    </row>
    <row r="727" spans="8:8">
      <c r="H727" s="1505"/>
    </row>
    <row r="728" spans="8:8">
      <c r="H728" s="1505"/>
    </row>
    <row r="729" spans="8:8">
      <c r="H729" s="1505"/>
    </row>
    <row r="730" spans="8:8">
      <c r="H730" s="1505"/>
    </row>
    <row r="731" spans="8:8">
      <c r="H731" s="1505"/>
    </row>
    <row r="732" spans="8:8">
      <c r="H732" s="1505"/>
    </row>
    <row r="733" spans="8:8">
      <c r="H733" s="1505"/>
    </row>
    <row r="734" spans="8:8">
      <c r="H734" s="1505"/>
    </row>
    <row r="735" spans="8:8">
      <c r="H735" s="1505"/>
    </row>
    <row r="736" spans="8:8">
      <c r="H736" s="1505"/>
    </row>
    <row r="737" spans="8:8">
      <c r="H737" s="1505"/>
    </row>
    <row r="738" spans="8:8">
      <c r="H738" s="1505"/>
    </row>
    <row r="739" spans="8:8">
      <c r="H739" s="1505"/>
    </row>
    <row r="740" spans="8:8">
      <c r="H740" s="1505"/>
    </row>
    <row r="741" spans="8:8">
      <c r="H741" s="1505"/>
    </row>
    <row r="742" spans="8:8">
      <c r="H742" s="1505"/>
    </row>
    <row r="743" spans="8:8">
      <c r="H743" s="1505"/>
    </row>
    <row r="744" spans="8:8">
      <c r="H744" s="1505"/>
    </row>
    <row r="745" spans="8:8">
      <c r="H745" s="1505"/>
    </row>
    <row r="746" spans="8:8">
      <c r="H746" s="1505"/>
    </row>
    <row r="747" spans="8:8">
      <c r="H747" s="1505"/>
    </row>
    <row r="748" spans="8:8">
      <c r="H748" s="1505"/>
    </row>
    <row r="749" spans="8:8">
      <c r="H749" s="1505"/>
    </row>
    <row r="750" spans="8:8">
      <c r="H750" s="1505"/>
    </row>
    <row r="751" spans="8:8">
      <c r="H751" s="1505"/>
    </row>
    <row r="752" spans="8:8">
      <c r="H752" s="1505"/>
    </row>
    <row r="753" spans="8:8">
      <c r="H753" s="1505"/>
    </row>
    <row r="754" spans="8:8">
      <c r="H754" s="1505"/>
    </row>
    <row r="755" spans="8:8">
      <c r="H755" s="1505"/>
    </row>
    <row r="756" spans="8:8">
      <c r="H756" s="1505"/>
    </row>
    <row r="757" spans="8:8">
      <c r="H757" s="1505"/>
    </row>
    <row r="758" spans="8:8">
      <c r="H758" s="1505"/>
    </row>
    <row r="759" spans="8:8">
      <c r="H759" s="1505"/>
    </row>
    <row r="760" spans="8:8">
      <c r="H760" s="1505"/>
    </row>
    <row r="761" spans="8:8">
      <c r="H761" s="1505"/>
    </row>
    <row r="762" spans="8:8">
      <c r="H762" s="1505"/>
    </row>
    <row r="763" spans="8:8">
      <c r="H763" s="1505"/>
    </row>
    <row r="764" spans="8:8">
      <c r="H764" s="1505"/>
    </row>
    <row r="765" spans="8:8">
      <c r="H765" s="1505"/>
    </row>
    <row r="766" spans="8:8">
      <c r="H766" s="1505"/>
    </row>
    <row r="767" spans="8:8">
      <c r="H767" s="1505"/>
    </row>
    <row r="768" spans="8:8">
      <c r="H768" s="1505"/>
    </row>
    <row r="769" spans="8:8">
      <c r="H769" s="1505"/>
    </row>
    <row r="770" spans="8:8">
      <c r="H770" s="1505"/>
    </row>
    <row r="771" spans="8:8">
      <c r="H771" s="1505"/>
    </row>
    <row r="772" spans="8:8">
      <c r="H772" s="1505"/>
    </row>
    <row r="773" spans="8:8">
      <c r="H773" s="1505"/>
    </row>
    <row r="774" spans="8:8">
      <c r="H774" s="1505"/>
    </row>
    <row r="775" spans="8:8">
      <c r="H775" s="1505"/>
    </row>
    <row r="776" spans="8:8">
      <c r="H776" s="1505"/>
    </row>
    <row r="777" spans="8:8">
      <c r="H777" s="1505"/>
    </row>
    <row r="778" spans="8:8">
      <c r="H778" s="1505"/>
    </row>
    <row r="779" spans="8:8">
      <c r="H779" s="1505"/>
    </row>
    <row r="780" spans="8:8">
      <c r="H780" s="1505"/>
    </row>
    <row r="781" spans="8:8">
      <c r="H781" s="1505"/>
    </row>
    <row r="782" spans="8:8">
      <c r="H782" s="1505"/>
    </row>
    <row r="783" spans="8:8">
      <c r="H783" s="1505"/>
    </row>
    <row r="784" spans="8:8">
      <c r="H784" s="1505"/>
    </row>
    <row r="785" spans="8:8">
      <c r="H785" s="1505"/>
    </row>
    <row r="786" spans="8:8">
      <c r="H786" s="1505"/>
    </row>
    <row r="787" spans="8:8">
      <c r="H787" s="1505"/>
    </row>
    <row r="788" spans="8:8">
      <c r="H788" s="1505"/>
    </row>
    <row r="789" spans="8:8">
      <c r="H789" s="1505"/>
    </row>
    <row r="790" spans="8:8">
      <c r="H790" s="1505"/>
    </row>
    <row r="791" spans="8:8">
      <c r="H791" s="1505"/>
    </row>
    <row r="792" spans="8:8">
      <c r="H792" s="1505"/>
    </row>
    <row r="793" spans="8:8">
      <c r="H793" s="1505"/>
    </row>
    <row r="794" spans="8:8">
      <c r="H794" s="1505"/>
    </row>
    <row r="795" spans="8:8">
      <c r="H795" s="1505"/>
    </row>
    <row r="796" spans="8:8">
      <c r="H796" s="1505"/>
    </row>
    <row r="797" spans="8:8">
      <c r="H797" s="1505"/>
    </row>
    <row r="798" spans="8:8">
      <c r="H798" s="1505"/>
    </row>
    <row r="799" spans="8:8">
      <c r="H799" s="1505"/>
    </row>
    <row r="800" spans="8:8">
      <c r="H800" s="1505"/>
    </row>
    <row r="801" spans="8:8">
      <c r="H801" s="1505"/>
    </row>
    <row r="802" spans="8:8">
      <c r="H802" s="1505"/>
    </row>
    <row r="803" spans="8:8">
      <c r="H803" s="1505"/>
    </row>
    <row r="804" spans="8:8">
      <c r="H804" s="1505"/>
    </row>
    <row r="805" spans="8:8">
      <c r="H805" s="1505"/>
    </row>
    <row r="806" spans="8:8">
      <c r="H806" s="1505"/>
    </row>
    <row r="807" spans="8:8">
      <c r="H807" s="1505"/>
    </row>
    <row r="808" spans="8:8">
      <c r="H808" s="1505"/>
    </row>
    <row r="809" spans="8:8">
      <c r="H809" s="1505"/>
    </row>
    <row r="810" spans="8:8">
      <c r="H810" s="1505"/>
    </row>
    <row r="811" spans="8:8">
      <c r="H811" s="1505"/>
    </row>
    <row r="812" spans="8:8">
      <c r="H812" s="1505"/>
    </row>
    <row r="813" spans="8:8">
      <c r="H813" s="1505"/>
    </row>
    <row r="814" spans="8:8">
      <c r="H814" s="1505"/>
    </row>
    <row r="815" spans="8:8">
      <c r="H815" s="1505"/>
    </row>
    <row r="816" spans="8:8">
      <c r="H816" s="1505"/>
    </row>
    <row r="817" spans="8:8">
      <c r="H817" s="1505"/>
    </row>
    <row r="818" spans="8:8">
      <c r="H818" s="1505"/>
    </row>
    <row r="819" spans="8:8">
      <c r="H819" s="1505"/>
    </row>
    <row r="820" spans="8:8">
      <c r="H820" s="1505"/>
    </row>
    <row r="821" spans="8:8">
      <c r="H821" s="1505"/>
    </row>
    <row r="822" spans="8:8">
      <c r="H822" s="1505"/>
    </row>
    <row r="823" spans="8:8">
      <c r="H823" s="1505"/>
    </row>
    <row r="824" spans="8:8">
      <c r="H824" s="1505"/>
    </row>
    <row r="825" spans="8:8">
      <c r="H825" s="1505"/>
    </row>
    <row r="826" spans="8:8">
      <c r="H826" s="1505"/>
    </row>
    <row r="827" spans="8:8">
      <c r="H827" s="1505"/>
    </row>
    <row r="828" spans="8:8">
      <c r="H828" s="1505"/>
    </row>
    <row r="829" spans="8:8">
      <c r="H829" s="1505"/>
    </row>
    <row r="830" spans="8:8">
      <c r="H830" s="1505"/>
    </row>
    <row r="831" spans="8:8">
      <c r="H831" s="1505"/>
    </row>
    <row r="832" spans="8:8">
      <c r="H832" s="1505"/>
    </row>
    <row r="833" spans="8:8">
      <c r="H833" s="1505"/>
    </row>
    <row r="834" spans="8:8">
      <c r="H834" s="1505"/>
    </row>
    <row r="835" spans="8:8">
      <c r="H835" s="1505"/>
    </row>
    <row r="836" spans="8:8">
      <c r="H836" s="1505"/>
    </row>
    <row r="837" spans="8:8">
      <c r="H837" s="1505"/>
    </row>
    <row r="838" spans="8:8">
      <c r="H838" s="1505"/>
    </row>
    <row r="839" spans="8:8">
      <c r="H839" s="1505"/>
    </row>
    <row r="840" spans="8:8">
      <c r="H840" s="1505"/>
    </row>
    <row r="841" spans="8:8">
      <c r="H841" s="1505"/>
    </row>
    <row r="842" spans="8:8">
      <c r="H842" s="1505"/>
    </row>
    <row r="843" spans="8:8">
      <c r="H843" s="1505"/>
    </row>
    <row r="844" spans="8:8">
      <c r="H844" s="1505"/>
    </row>
    <row r="845" spans="8:8">
      <c r="H845" s="1505"/>
    </row>
    <row r="846" spans="8:8">
      <c r="H846" s="1505"/>
    </row>
    <row r="847" spans="8:8">
      <c r="H847" s="1505"/>
    </row>
    <row r="848" spans="8:8">
      <c r="H848" s="1505"/>
    </row>
    <row r="849" spans="8:8">
      <c r="H849" s="1505"/>
    </row>
    <row r="850" spans="8:8">
      <c r="H850" s="1505"/>
    </row>
    <row r="851" spans="8:8">
      <c r="H851" s="1505"/>
    </row>
    <row r="852" spans="8:8">
      <c r="H852" s="1505"/>
    </row>
    <row r="853" spans="8:8">
      <c r="H853" s="1505"/>
    </row>
    <row r="854" spans="8:8">
      <c r="H854" s="1505"/>
    </row>
    <row r="855" spans="8:8">
      <c r="H855" s="1505"/>
    </row>
    <row r="856" spans="8:8">
      <c r="H856" s="1505"/>
    </row>
    <row r="857" spans="8:8">
      <c r="H857" s="1505"/>
    </row>
    <row r="858" spans="8:8">
      <c r="H858" s="1505"/>
    </row>
    <row r="859" spans="8:8">
      <c r="H859" s="1505"/>
    </row>
    <row r="860" spans="8:8">
      <c r="H860" s="1505"/>
    </row>
    <row r="861" spans="8:8">
      <c r="H861" s="1505"/>
    </row>
    <row r="862" spans="8:8">
      <c r="H862" s="1505"/>
    </row>
    <row r="863" spans="8:8">
      <c r="H863" s="1505"/>
    </row>
    <row r="864" spans="8:8">
      <c r="H864" s="1505"/>
    </row>
    <row r="865" spans="8:8">
      <c r="H865" s="1505"/>
    </row>
    <row r="866" spans="8:8">
      <c r="H866" s="1505"/>
    </row>
    <row r="867" spans="8:8">
      <c r="H867" s="1505"/>
    </row>
    <row r="868" spans="8:8">
      <c r="H868" s="1505"/>
    </row>
    <row r="869" spans="8:8">
      <c r="H869" s="1505"/>
    </row>
    <row r="870" spans="8:8">
      <c r="H870" s="1505"/>
    </row>
    <row r="871" spans="8:8">
      <c r="H871" s="1505"/>
    </row>
    <row r="872" spans="8:8">
      <c r="H872" s="1505"/>
    </row>
    <row r="873" spans="8:8">
      <c r="H873" s="1505"/>
    </row>
    <row r="874" spans="8:8">
      <c r="H874" s="1505"/>
    </row>
    <row r="875" spans="8:8">
      <c r="H875" s="1505"/>
    </row>
    <row r="876" spans="8:8">
      <c r="H876" s="1505"/>
    </row>
    <row r="877" spans="8:8">
      <c r="H877" s="1505"/>
    </row>
    <row r="878" spans="8:8">
      <c r="H878" s="1505"/>
    </row>
    <row r="879" spans="8:8">
      <c r="H879" s="1505"/>
    </row>
    <row r="880" spans="8:8">
      <c r="H880" s="1505"/>
    </row>
    <row r="881" spans="8:8">
      <c r="H881" s="1505"/>
    </row>
    <row r="882" spans="8:8">
      <c r="H882" s="1505"/>
    </row>
    <row r="883" spans="8:8">
      <c r="H883" s="1505"/>
    </row>
    <row r="884" spans="8:8">
      <c r="H884" s="1505"/>
    </row>
    <row r="885" spans="8:8">
      <c r="H885" s="1505"/>
    </row>
    <row r="886" spans="8:8">
      <c r="H886" s="1505"/>
    </row>
    <row r="887" spans="8:8">
      <c r="H887" s="1505"/>
    </row>
    <row r="888" spans="8:8">
      <c r="H888" s="1505"/>
    </row>
    <row r="889" spans="8:8">
      <c r="H889" s="1505"/>
    </row>
    <row r="890" spans="8:8">
      <c r="H890" s="1505"/>
    </row>
    <row r="891" spans="8:8">
      <c r="H891" s="1505"/>
    </row>
    <row r="892" spans="8:8">
      <c r="H892" s="1505"/>
    </row>
    <row r="893" spans="8:8">
      <c r="H893" s="1505"/>
    </row>
    <row r="894" spans="8:8">
      <c r="H894" s="1505"/>
    </row>
    <row r="895" spans="8:8">
      <c r="H895" s="1505"/>
    </row>
    <row r="896" spans="8:8">
      <c r="H896" s="1505"/>
    </row>
    <row r="897" spans="8:8">
      <c r="H897" s="1505"/>
    </row>
    <row r="898" spans="8:8">
      <c r="H898" s="1505"/>
    </row>
    <row r="899" spans="8:8">
      <c r="H899" s="1505"/>
    </row>
    <row r="900" spans="8:8">
      <c r="H900" s="1505"/>
    </row>
    <row r="901" spans="8:8">
      <c r="H901" s="1505"/>
    </row>
    <row r="902" spans="8:8">
      <c r="H902" s="1505"/>
    </row>
    <row r="903" spans="8:8">
      <c r="H903" s="1505"/>
    </row>
    <row r="904" spans="8:8">
      <c r="H904" s="1505"/>
    </row>
    <row r="905" spans="8:8">
      <c r="H905" s="1505"/>
    </row>
    <row r="906" spans="8:8">
      <c r="H906" s="1505"/>
    </row>
    <row r="907" spans="8:8">
      <c r="H907" s="1505"/>
    </row>
    <row r="908" spans="8:8">
      <c r="H908" s="1505"/>
    </row>
    <row r="909" spans="8:8">
      <c r="H909" s="1505"/>
    </row>
    <row r="910" spans="8:8">
      <c r="H910" s="1505"/>
    </row>
    <row r="911" spans="8:8">
      <c r="H911" s="1505"/>
    </row>
    <row r="912" spans="8:8">
      <c r="H912" s="1505"/>
    </row>
    <row r="913" spans="8:8">
      <c r="H913" s="1505"/>
    </row>
    <row r="914" spans="8:8">
      <c r="H914" s="1505"/>
    </row>
    <row r="915" spans="8:8">
      <c r="H915" s="1505"/>
    </row>
    <row r="916" spans="8:8">
      <c r="H916" s="1505"/>
    </row>
    <row r="917" spans="8:8">
      <c r="H917" s="1505"/>
    </row>
    <row r="918" spans="8:8">
      <c r="H918" s="1505"/>
    </row>
    <row r="919" spans="8:8">
      <c r="H919" s="1505"/>
    </row>
    <row r="920" spans="8:8">
      <c r="H920" s="1505"/>
    </row>
    <row r="921" spans="8:8">
      <c r="H921" s="1505"/>
    </row>
    <row r="922" spans="8:8">
      <c r="H922" s="1505"/>
    </row>
    <row r="923" spans="8:8">
      <c r="H923" s="1505"/>
    </row>
    <row r="924" spans="8:8">
      <c r="H924" s="1505"/>
    </row>
    <row r="925" spans="8:8">
      <c r="H925" s="1505"/>
    </row>
    <row r="926" spans="8:8">
      <c r="H926" s="1505"/>
    </row>
    <row r="927" spans="8:8">
      <c r="H927" s="1505"/>
    </row>
    <row r="928" spans="8:8">
      <c r="H928" s="1505"/>
    </row>
    <row r="929" spans="8:8">
      <c r="H929" s="1505"/>
    </row>
    <row r="930" spans="8:8">
      <c r="H930" s="1505"/>
    </row>
    <row r="931" spans="8:8">
      <c r="H931" s="1505"/>
    </row>
    <row r="932" spans="8:8">
      <c r="H932" s="1505"/>
    </row>
    <row r="933" spans="8:8">
      <c r="H933" s="1505"/>
    </row>
    <row r="934" spans="8:8">
      <c r="H934" s="1505"/>
    </row>
    <row r="935" spans="8:8">
      <c r="H935" s="1505"/>
    </row>
    <row r="936" spans="8:8">
      <c r="H936" s="1505"/>
    </row>
    <row r="937" spans="8:8">
      <c r="H937" s="1505"/>
    </row>
    <row r="938" spans="8:8">
      <c r="H938" s="1505"/>
    </row>
    <row r="939" spans="8:8">
      <c r="H939" s="1505"/>
    </row>
    <row r="940" spans="8:8">
      <c r="H940" s="1505"/>
    </row>
    <row r="941" spans="8:8">
      <c r="H941" s="1505"/>
    </row>
    <row r="942" spans="8:8">
      <c r="H942" s="1505"/>
    </row>
    <row r="943" spans="8:8">
      <c r="H943" s="1505"/>
    </row>
    <row r="944" spans="8:8">
      <c r="H944" s="1505"/>
    </row>
    <row r="945" spans="8:8">
      <c r="H945" s="1505"/>
    </row>
    <row r="946" spans="8:8">
      <c r="H946" s="1505"/>
    </row>
    <row r="947" spans="8:8">
      <c r="H947" s="1505"/>
    </row>
    <row r="948" spans="8:8">
      <c r="H948" s="1505"/>
    </row>
    <row r="949" spans="8:8">
      <c r="H949" s="1505"/>
    </row>
    <row r="950" spans="8:8">
      <c r="H950" s="1505"/>
    </row>
    <row r="951" spans="8:8">
      <c r="H951" s="1505"/>
    </row>
    <row r="952" spans="8:8">
      <c r="H952" s="1505"/>
    </row>
    <row r="953" spans="8:8">
      <c r="H953" s="1505"/>
    </row>
    <row r="954" spans="8:8">
      <c r="H954" s="1505"/>
    </row>
    <row r="955" spans="8:8">
      <c r="H955" s="1505"/>
    </row>
    <row r="956" spans="8:8">
      <c r="H956" s="1505"/>
    </row>
    <row r="957" spans="8:8">
      <c r="H957" s="1505"/>
    </row>
    <row r="958" spans="8:8">
      <c r="H958" s="1505"/>
    </row>
    <row r="959" spans="8:8">
      <c r="H959" s="1505"/>
    </row>
    <row r="960" spans="8:8">
      <c r="H960" s="1505"/>
    </row>
    <row r="961" spans="8:8">
      <c r="H961" s="1505"/>
    </row>
    <row r="962" spans="8:8">
      <c r="H962" s="1505"/>
    </row>
    <row r="963" spans="8:8">
      <c r="H963" s="1505"/>
    </row>
    <row r="964" spans="8:8">
      <c r="H964" s="1505"/>
    </row>
    <row r="965" spans="8:8">
      <c r="H965" s="1505"/>
    </row>
    <row r="966" spans="8:8">
      <c r="H966" s="1505"/>
    </row>
    <row r="967" spans="8:8">
      <c r="H967" s="1505"/>
    </row>
    <row r="968" spans="8:8">
      <c r="H968" s="1505"/>
    </row>
    <row r="969" spans="8:8">
      <c r="H969" s="1505"/>
    </row>
    <row r="970" spans="8:8">
      <c r="H970" s="1505"/>
    </row>
    <row r="971" spans="8:8">
      <c r="H971" s="1505"/>
    </row>
    <row r="972" spans="8:8">
      <c r="H972" s="1505"/>
    </row>
    <row r="973" spans="8:8">
      <c r="H973" s="1505"/>
    </row>
    <row r="974" spans="8:8">
      <c r="H974" s="1505"/>
    </row>
    <row r="975" spans="8:8">
      <c r="H975" s="1505"/>
    </row>
    <row r="976" spans="8:8">
      <c r="H976" s="1505"/>
    </row>
    <row r="977" spans="8:8">
      <c r="H977" s="1505"/>
    </row>
    <row r="978" spans="8:8">
      <c r="H978" s="1505"/>
    </row>
    <row r="979" spans="8:8">
      <c r="H979" s="1505"/>
    </row>
    <row r="980" spans="8:8">
      <c r="H980" s="1505"/>
    </row>
    <row r="981" spans="8:8">
      <c r="H981" s="1505"/>
    </row>
    <row r="982" spans="8:8">
      <c r="H982" s="1505"/>
    </row>
    <row r="983" spans="8:8">
      <c r="H983" s="1505"/>
    </row>
    <row r="984" spans="8:8">
      <c r="H984" s="1505"/>
    </row>
    <row r="985" spans="8:8">
      <c r="H985" s="1505"/>
    </row>
    <row r="986" spans="8:8">
      <c r="H986" s="1505"/>
    </row>
    <row r="987" spans="8:8">
      <c r="H987" s="1505"/>
    </row>
    <row r="988" spans="8:8">
      <c r="H988" s="1505"/>
    </row>
    <row r="989" spans="8:8">
      <c r="H989" s="1505"/>
    </row>
    <row r="990" spans="8:8">
      <c r="H990" s="1505"/>
    </row>
    <row r="991" spans="8:8">
      <c r="H991" s="1505"/>
    </row>
    <row r="992" spans="8:8">
      <c r="H992" s="1505"/>
    </row>
    <row r="993" spans="8:8">
      <c r="H993" s="1505"/>
    </row>
    <row r="994" spans="8:8">
      <c r="H994" s="1505"/>
    </row>
    <row r="995" spans="8:8">
      <c r="H995" s="1505"/>
    </row>
    <row r="996" spans="8:8">
      <c r="H996" s="1505"/>
    </row>
    <row r="997" spans="8:8">
      <c r="H997" s="1505"/>
    </row>
    <row r="998" spans="8:8">
      <c r="H998" s="1505"/>
    </row>
    <row r="999" spans="8:8">
      <c r="H999" s="1505"/>
    </row>
    <row r="1000" spans="8:8">
      <c r="H1000" s="1505"/>
    </row>
    <row r="1001" spans="8:8">
      <c r="H1001" s="1505"/>
    </row>
    <row r="1002" spans="8:8">
      <c r="H1002" s="1505"/>
    </row>
    <row r="1003" spans="8:8">
      <c r="H1003" s="1505"/>
    </row>
    <row r="1004" spans="8:8">
      <c r="H1004" s="1505"/>
    </row>
    <row r="1005" spans="8:8">
      <c r="H1005" s="1505"/>
    </row>
    <row r="1006" spans="8:8">
      <c r="H1006" s="1505"/>
    </row>
    <row r="1007" spans="8:8">
      <c r="H1007" s="1505"/>
    </row>
    <row r="1008" spans="8:8">
      <c r="H1008" s="1505"/>
    </row>
    <row r="1009" spans="8:8">
      <c r="H1009" s="1505"/>
    </row>
    <row r="1010" spans="8:8">
      <c r="H1010" s="1505"/>
    </row>
    <row r="1011" spans="8:8">
      <c r="H1011" s="1505"/>
    </row>
    <row r="1012" spans="8:8">
      <c r="H1012" s="1505"/>
    </row>
    <row r="1013" spans="8:8">
      <c r="H1013" s="1505"/>
    </row>
    <row r="1014" spans="8:8">
      <c r="H1014" s="1505"/>
    </row>
    <row r="1015" spans="8:8">
      <c r="H1015" s="1505"/>
    </row>
    <row r="1016" spans="8:8">
      <c r="H1016" s="1505"/>
    </row>
    <row r="1017" spans="8:8">
      <c r="H1017" s="1505"/>
    </row>
    <row r="1018" spans="8:8">
      <c r="H1018" s="1505"/>
    </row>
    <row r="1019" spans="8:8">
      <c r="H1019" s="1505"/>
    </row>
    <row r="1020" spans="8:8">
      <c r="H1020" s="1505"/>
    </row>
    <row r="1021" spans="8:8">
      <c r="H1021" s="1505"/>
    </row>
    <row r="1022" spans="8:8">
      <c r="H1022" s="1505"/>
    </row>
    <row r="1023" spans="8:8">
      <c r="H1023" s="1505"/>
    </row>
    <row r="1024" spans="8:8">
      <c r="H1024" s="1505"/>
    </row>
    <row r="1025" spans="8:8">
      <c r="H1025" s="1505"/>
    </row>
    <row r="1026" spans="8:8">
      <c r="H1026" s="1505"/>
    </row>
    <row r="1027" spans="8:8">
      <c r="H1027" s="1505"/>
    </row>
    <row r="1028" spans="8:8">
      <c r="H1028" s="1505"/>
    </row>
    <row r="1029" spans="8:8">
      <c r="H1029" s="1505"/>
    </row>
    <row r="1030" spans="8:8">
      <c r="H1030" s="1505"/>
    </row>
    <row r="1031" spans="8:8">
      <c r="H1031" s="1505"/>
    </row>
    <row r="1032" spans="8:8">
      <c r="H1032" s="1505"/>
    </row>
    <row r="1033" spans="8:8">
      <c r="H1033" s="1505"/>
    </row>
    <row r="1034" spans="8:8">
      <c r="H1034" s="1505"/>
    </row>
    <row r="1035" spans="8:8">
      <c r="H1035" s="1505"/>
    </row>
    <row r="1036" spans="8:8">
      <c r="H1036" s="1505"/>
    </row>
    <row r="1037" spans="8:8">
      <c r="H1037" s="1505"/>
    </row>
    <row r="1038" spans="8:8">
      <c r="H1038" s="1505"/>
    </row>
    <row r="1039" spans="8:8">
      <c r="H1039" s="1505"/>
    </row>
    <row r="1040" spans="8:8">
      <c r="H1040" s="1505"/>
    </row>
    <row r="1041" spans="8:8">
      <c r="H1041" s="1505"/>
    </row>
    <row r="1042" spans="8:8">
      <c r="H1042" s="1505"/>
    </row>
    <row r="1043" spans="8:8">
      <c r="H1043" s="1505"/>
    </row>
    <row r="1044" spans="8:8">
      <c r="H1044" s="1505"/>
    </row>
    <row r="1045" spans="8:8">
      <c r="H1045" s="1505"/>
    </row>
    <row r="1046" spans="8:8">
      <c r="H1046" s="1505"/>
    </row>
    <row r="1047" spans="8:8">
      <c r="H1047" s="1505"/>
    </row>
    <row r="1048" spans="8:8">
      <c r="H1048" s="1505"/>
    </row>
    <row r="1049" spans="8:8">
      <c r="H1049" s="1505"/>
    </row>
    <row r="1050" spans="8:8">
      <c r="H1050" s="1505"/>
    </row>
    <row r="1051" spans="8:8">
      <c r="H1051" s="1505"/>
    </row>
    <row r="1052" spans="8:8">
      <c r="H1052" s="1505"/>
    </row>
    <row r="1053" spans="8:8">
      <c r="H1053" s="1505"/>
    </row>
    <row r="1054" spans="8:8">
      <c r="H1054" s="1505"/>
    </row>
    <row r="1055" spans="8:8">
      <c r="H1055" s="1505"/>
    </row>
    <row r="1056" spans="8:8">
      <c r="H1056" s="1505"/>
    </row>
    <row r="1057" spans="8:8">
      <c r="H1057" s="1505"/>
    </row>
    <row r="1058" spans="8:8">
      <c r="H1058" s="1505"/>
    </row>
    <row r="1059" spans="8:8">
      <c r="H1059" s="1505"/>
    </row>
    <row r="1060" spans="8:8">
      <c r="H1060" s="1505"/>
    </row>
    <row r="1061" spans="8:8">
      <c r="H1061" s="1505"/>
    </row>
    <row r="1062" spans="8:8">
      <c r="H1062" s="1505"/>
    </row>
    <row r="1063" spans="8:8">
      <c r="H1063" s="1505"/>
    </row>
    <row r="1064" spans="8:8">
      <c r="H1064" s="1505"/>
    </row>
    <row r="1065" spans="8:8">
      <c r="H1065" s="1505"/>
    </row>
    <row r="1066" spans="8:8">
      <c r="H1066" s="1505"/>
    </row>
    <row r="1067" spans="8:8">
      <c r="H1067" s="1505"/>
    </row>
    <row r="1068" spans="8:8">
      <c r="H1068" s="1505"/>
    </row>
    <row r="1069" spans="8:8">
      <c r="H1069" s="1505"/>
    </row>
    <row r="1070" spans="8:8">
      <c r="H1070" s="1505"/>
    </row>
    <row r="1071" spans="8:8">
      <c r="H1071" s="1505"/>
    </row>
    <row r="1072" spans="8:8">
      <c r="H1072" s="1505"/>
    </row>
    <row r="1073" spans="8:8">
      <c r="H1073" s="1505"/>
    </row>
    <row r="1074" spans="8:8">
      <c r="H1074" s="1505"/>
    </row>
    <row r="1075" spans="8:8">
      <c r="H1075" s="1505"/>
    </row>
    <row r="1076" spans="8:8">
      <c r="H1076" s="1505"/>
    </row>
    <row r="1077" spans="8:8">
      <c r="H1077" s="1505"/>
    </row>
    <row r="1078" spans="8:8">
      <c r="H1078" s="1505"/>
    </row>
    <row r="1079" spans="8:8">
      <c r="H1079" s="1505"/>
    </row>
    <row r="1080" spans="8:8">
      <c r="H1080" s="1505"/>
    </row>
    <row r="1081" spans="8:8">
      <c r="H1081" s="1505"/>
    </row>
    <row r="1082" spans="8:8">
      <c r="H1082" s="1505"/>
    </row>
    <row r="1083" spans="8:8">
      <c r="H1083" s="1505"/>
    </row>
    <row r="1084" spans="8:8">
      <c r="H1084" s="1505"/>
    </row>
    <row r="1085" spans="8:8">
      <c r="H1085" s="1505"/>
    </row>
    <row r="1086" spans="8:8">
      <c r="H1086" s="1505"/>
    </row>
    <row r="1087" spans="8:8">
      <c r="H1087" s="1505"/>
    </row>
    <row r="1088" spans="8:8">
      <c r="H1088" s="1505"/>
    </row>
    <row r="1089" spans="8:8">
      <c r="H1089" s="1505"/>
    </row>
    <row r="1090" spans="8:8">
      <c r="H1090" s="1505"/>
    </row>
    <row r="1091" spans="8:8">
      <c r="H1091" s="1505"/>
    </row>
    <row r="1092" spans="8:8">
      <c r="H1092" s="1505"/>
    </row>
    <row r="1093" spans="8:8">
      <c r="H1093" s="1505"/>
    </row>
    <row r="1094" spans="8:8">
      <c r="H1094" s="1505"/>
    </row>
    <row r="1095" spans="8:8">
      <c r="H1095" s="1505"/>
    </row>
    <row r="1096" spans="8:8">
      <c r="H1096" s="1505"/>
    </row>
    <row r="1097" spans="8:8">
      <c r="H1097" s="1505"/>
    </row>
    <row r="1098" spans="8:8">
      <c r="H1098" s="1505"/>
    </row>
    <row r="1099" spans="8:8">
      <c r="H1099" s="1505"/>
    </row>
    <row r="1100" spans="8:8">
      <c r="H1100" s="1505"/>
    </row>
    <row r="1101" spans="8:8">
      <c r="H1101" s="1505"/>
    </row>
    <row r="1102" spans="8:8">
      <c r="H1102" s="1505"/>
    </row>
    <row r="1103" spans="8:8">
      <c r="H1103" s="1505"/>
    </row>
    <row r="1104" spans="8:8">
      <c r="H1104" s="1505"/>
    </row>
    <row r="1105" spans="8:8">
      <c r="H1105" s="1505"/>
    </row>
    <row r="1106" spans="8:8">
      <c r="H1106" s="1505"/>
    </row>
    <row r="1107" spans="8:8">
      <c r="H1107" s="1505"/>
    </row>
    <row r="1108" spans="8:8">
      <c r="H1108" s="1505"/>
    </row>
    <row r="1109" spans="8:8">
      <c r="H1109" s="1505"/>
    </row>
    <row r="1110" spans="8:8">
      <c r="H1110" s="1505"/>
    </row>
    <row r="1111" spans="8:8">
      <c r="H1111" s="1505"/>
    </row>
    <row r="1112" spans="8:8">
      <c r="H1112" s="1505"/>
    </row>
    <row r="1113" spans="8:8">
      <c r="H1113" s="1505"/>
    </row>
    <row r="1114" spans="8:8">
      <c r="H1114" s="1505"/>
    </row>
    <row r="1115" spans="8:8">
      <c r="H1115" s="1505"/>
    </row>
    <row r="1116" spans="8:8">
      <c r="H1116" s="1505"/>
    </row>
    <row r="1117" spans="8:8">
      <c r="H1117" s="1505"/>
    </row>
    <row r="1118" spans="8:8">
      <c r="H1118" s="1505"/>
    </row>
    <row r="1119" spans="8:8">
      <c r="H1119" s="1505"/>
    </row>
    <row r="1120" spans="8:8">
      <c r="H1120" s="1505"/>
    </row>
    <row r="1121" spans="8:8">
      <c r="H1121" s="1505"/>
    </row>
    <row r="1122" spans="8:8">
      <c r="H1122" s="1505"/>
    </row>
    <row r="1123" spans="8:8">
      <c r="H1123" s="1505"/>
    </row>
    <row r="1124" spans="8:8">
      <c r="H1124" s="1505"/>
    </row>
    <row r="1125" spans="8:8">
      <c r="H1125" s="1505"/>
    </row>
    <row r="1126" spans="8:8">
      <c r="H1126" s="1505"/>
    </row>
    <row r="1127" spans="8:8">
      <c r="H1127" s="1505"/>
    </row>
    <row r="1128" spans="8:8">
      <c r="H1128" s="1505"/>
    </row>
    <row r="1129" spans="8:8">
      <c r="H1129" s="1505"/>
    </row>
    <row r="1130" spans="8:8">
      <c r="H1130" s="1505"/>
    </row>
    <row r="1131" spans="8:8">
      <c r="H1131" s="1505"/>
    </row>
    <row r="1132" spans="8:8">
      <c r="H1132" s="1505"/>
    </row>
    <row r="1133" spans="8:8">
      <c r="H1133" s="1505"/>
    </row>
    <row r="1134" spans="8:8">
      <c r="H1134" s="1505"/>
    </row>
    <row r="1135" spans="8:8">
      <c r="H1135" s="1505"/>
    </row>
    <row r="1136" spans="8:8">
      <c r="H1136" s="1505"/>
    </row>
    <row r="1137" spans="8:8">
      <c r="H1137" s="1505"/>
    </row>
    <row r="1138" spans="8:8">
      <c r="H1138" s="1505"/>
    </row>
    <row r="1139" spans="8:8">
      <c r="H1139" s="1505"/>
    </row>
    <row r="1140" spans="8:8">
      <c r="H1140" s="1505"/>
    </row>
    <row r="1141" spans="8:8">
      <c r="H1141" s="1505"/>
    </row>
    <row r="1142" spans="8:8">
      <c r="H1142" s="1505"/>
    </row>
    <row r="1143" spans="8:8">
      <c r="H1143" s="1505"/>
    </row>
    <row r="1144" spans="8:8">
      <c r="H1144" s="1505"/>
    </row>
    <row r="1145" spans="8:8">
      <c r="H1145" s="1505"/>
    </row>
    <row r="1146" spans="8:8">
      <c r="H1146" s="1505"/>
    </row>
    <row r="1147" spans="8:8">
      <c r="H1147" s="1505"/>
    </row>
    <row r="1148" spans="8:8">
      <c r="H1148" s="1505"/>
    </row>
    <row r="1149" spans="8:8">
      <c r="H1149" s="1505"/>
    </row>
    <row r="1150" spans="8:8">
      <c r="H1150" s="1505"/>
    </row>
    <row r="1151" spans="8:8">
      <c r="H1151" s="1505"/>
    </row>
    <row r="1152" spans="8:8">
      <c r="H1152" s="1505"/>
    </row>
    <row r="1153" spans="8:8">
      <c r="H1153" s="1505"/>
    </row>
    <row r="1154" spans="8:8">
      <c r="H1154" s="1505"/>
    </row>
    <row r="1155" spans="8:8">
      <c r="H1155" s="1505"/>
    </row>
    <row r="1156" spans="8:8">
      <c r="H1156" s="1505"/>
    </row>
    <row r="1157" spans="8:8">
      <c r="H1157" s="1505"/>
    </row>
    <row r="1158" spans="8:8">
      <c r="H1158" s="1505"/>
    </row>
    <row r="1159" spans="8:8">
      <c r="H1159" s="1505"/>
    </row>
    <row r="1160" spans="8:8">
      <c r="H1160" s="1505"/>
    </row>
    <row r="1161" spans="8:8">
      <c r="H1161" s="1505"/>
    </row>
    <row r="1162" spans="8:8">
      <c r="H1162" s="1505"/>
    </row>
    <row r="1163" spans="8:8">
      <c r="H1163" s="1505"/>
    </row>
    <row r="1164" spans="8:8">
      <c r="H1164" s="1505"/>
    </row>
    <row r="1165" spans="8:8">
      <c r="H1165" s="1505"/>
    </row>
    <row r="1166" spans="8:8">
      <c r="H1166" s="1505"/>
    </row>
    <row r="1167" spans="8:8">
      <c r="H1167" s="1505"/>
    </row>
    <row r="1168" spans="8:8">
      <c r="H1168" s="1505"/>
    </row>
    <row r="1169" spans="8:8">
      <c r="H1169" s="1505"/>
    </row>
    <row r="1170" spans="8:8">
      <c r="H1170" s="1505"/>
    </row>
    <row r="1171" spans="8:8">
      <c r="H1171" s="1505"/>
    </row>
    <row r="1172" spans="8:8">
      <c r="H1172" s="1505"/>
    </row>
    <row r="1173" spans="8:8">
      <c r="H1173" s="1505"/>
    </row>
    <row r="1174" spans="8:8">
      <c r="H1174" s="1505"/>
    </row>
    <row r="1175" spans="8:8">
      <c r="H1175" s="1505"/>
    </row>
    <row r="1176" spans="8:8">
      <c r="H1176" s="1505"/>
    </row>
    <row r="1177" spans="8:8">
      <c r="H1177" s="1505"/>
    </row>
    <row r="1178" spans="8:8">
      <c r="H1178" s="1505"/>
    </row>
    <row r="1179" spans="8:8">
      <c r="H1179" s="1505"/>
    </row>
    <row r="1180" spans="8:8">
      <c r="H1180" s="1505"/>
    </row>
    <row r="1181" spans="8:8">
      <c r="H1181" s="1505"/>
    </row>
    <row r="1182" spans="8:8">
      <c r="H1182" s="1505"/>
    </row>
    <row r="1183" spans="8:8">
      <c r="H1183" s="1505"/>
    </row>
    <row r="1184" spans="8:8">
      <c r="H1184" s="1505"/>
    </row>
    <row r="1185" spans="8:8">
      <c r="H1185" s="1505"/>
    </row>
    <row r="1186" spans="8:8">
      <c r="H1186" s="1505"/>
    </row>
    <row r="1187" spans="8:8">
      <c r="H1187" s="1505"/>
    </row>
    <row r="1188" spans="8:8">
      <c r="H1188" s="1505"/>
    </row>
    <row r="1189" spans="8:8">
      <c r="H1189" s="1505"/>
    </row>
    <row r="1190" spans="8:8">
      <c r="H1190" s="1505"/>
    </row>
    <row r="1191" spans="8:8">
      <c r="H1191" s="1505"/>
    </row>
    <row r="1192" spans="8:8">
      <c r="H1192" s="1505"/>
    </row>
    <row r="1193" spans="8:8">
      <c r="H1193" s="1505"/>
    </row>
    <row r="1194" spans="8:8">
      <c r="H1194" s="1505"/>
    </row>
    <row r="1195" spans="8:8">
      <c r="H1195" s="1505"/>
    </row>
    <row r="1196" spans="8:8">
      <c r="H1196" s="1505"/>
    </row>
    <row r="1197" spans="8:8">
      <c r="H1197" s="1505"/>
    </row>
    <row r="1198" spans="8:8">
      <c r="H1198" s="1505"/>
    </row>
    <row r="1199" spans="8:8">
      <c r="H1199" s="1505"/>
    </row>
    <row r="1200" spans="8:8">
      <c r="H1200" s="1505"/>
    </row>
    <row r="1201" spans="8:8">
      <c r="H1201" s="1505"/>
    </row>
    <row r="1202" spans="8:8">
      <c r="H1202" s="1505"/>
    </row>
    <row r="1203" spans="8:8">
      <c r="H1203" s="1505"/>
    </row>
    <row r="1204" spans="8:8">
      <c r="H1204" s="1505"/>
    </row>
    <row r="1205" spans="8:8">
      <c r="H1205" s="1505"/>
    </row>
    <row r="1206" spans="8:8">
      <c r="H1206" s="1505"/>
    </row>
    <row r="1207" spans="8:8">
      <c r="H1207" s="1505"/>
    </row>
    <row r="1208" spans="8:8">
      <c r="H1208" s="1505"/>
    </row>
    <row r="1209" spans="8:8">
      <c r="H1209" s="1505"/>
    </row>
    <row r="1210" spans="8:8">
      <c r="H1210" s="1505"/>
    </row>
    <row r="1211" spans="8:8">
      <c r="H1211" s="1505"/>
    </row>
    <row r="1212" spans="8:8">
      <c r="H1212" s="1505"/>
    </row>
    <row r="1213" spans="8:8">
      <c r="H1213" s="1505"/>
    </row>
    <row r="1214" spans="8:8">
      <c r="H1214" s="1505"/>
    </row>
    <row r="1215" spans="8:8">
      <c r="H1215" s="1505"/>
    </row>
    <row r="1216" spans="8:8">
      <c r="H1216" s="1505"/>
    </row>
    <row r="1217" spans="8:8">
      <c r="H1217" s="1505"/>
    </row>
    <row r="1218" spans="8:8">
      <c r="H1218" s="1505"/>
    </row>
    <row r="1219" spans="8:8">
      <c r="H1219" s="1505"/>
    </row>
    <row r="1220" spans="8:8">
      <c r="H1220" s="1505"/>
    </row>
    <row r="1221" spans="8:8">
      <c r="H1221" s="1505"/>
    </row>
    <row r="1222" spans="8:8">
      <c r="H1222" s="1505"/>
    </row>
    <row r="1223" spans="8:8">
      <c r="H1223" s="1505"/>
    </row>
    <row r="1224" spans="8:8">
      <c r="H1224" s="1505"/>
    </row>
    <row r="1225" spans="8:8">
      <c r="H1225" s="1505"/>
    </row>
    <row r="1226" spans="8:8">
      <c r="H1226" s="1505"/>
    </row>
    <row r="1227" spans="8:8">
      <c r="H1227" s="1505"/>
    </row>
    <row r="1228" spans="8:8">
      <c r="H1228" s="1505"/>
    </row>
    <row r="1229" spans="8:8">
      <c r="H1229" s="1505"/>
    </row>
    <row r="1230" spans="8:8">
      <c r="H1230" s="1505"/>
    </row>
    <row r="1231" spans="8:8">
      <c r="H1231" s="1505"/>
    </row>
    <row r="1232" spans="8:8">
      <c r="H1232" s="1505"/>
    </row>
    <row r="1233" spans="8:8">
      <c r="H1233" s="1505"/>
    </row>
    <row r="1234" spans="8:8">
      <c r="H1234" s="1505"/>
    </row>
    <row r="1235" spans="8:8">
      <c r="H1235" s="1505"/>
    </row>
    <row r="1236" spans="8:8">
      <c r="H1236" s="1505"/>
    </row>
    <row r="1237" spans="8:8">
      <c r="H1237" s="1505"/>
    </row>
    <row r="1238" spans="8:8">
      <c r="H1238" s="1505"/>
    </row>
    <row r="1239" spans="8:8">
      <c r="H1239" s="1505"/>
    </row>
    <row r="1240" spans="8:8">
      <c r="H1240" s="1505"/>
    </row>
    <row r="1241" spans="8:8">
      <c r="H1241" s="1505"/>
    </row>
    <row r="1242" spans="8:8">
      <c r="H1242" s="1505"/>
    </row>
    <row r="1243" spans="8:8">
      <c r="H1243" s="1505"/>
    </row>
    <row r="1244" spans="8:8">
      <c r="H1244" s="1505"/>
    </row>
    <row r="1245" spans="8:8">
      <c r="H1245" s="1505"/>
    </row>
    <row r="1246" spans="8:8">
      <c r="H1246" s="1505"/>
    </row>
    <row r="1247" spans="8:8">
      <c r="H1247" s="1505"/>
    </row>
    <row r="1248" spans="8:8">
      <c r="H1248" s="1505"/>
    </row>
    <row r="1249" spans="8:8">
      <c r="H1249" s="1505"/>
    </row>
    <row r="1250" spans="8:8">
      <c r="H1250" s="1505"/>
    </row>
    <row r="1251" spans="8:8">
      <c r="H1251" s="1505"/>
    </row>
    <row r="1252" spans="8:8">
      <c r="H1252" s="1505"/>
    </row>
    <row r="1253" spans="8:8">
      <c r="H1253" s="1505"/>
    </row>
    <row r="1254" spans="8:8">
      <c r="H1254" s="1505"/>
    </row>
    <row r="1255" spans="8:8">
      <c r="H1255" s="1505"/>
    </row>
    <row r="1256" spans="8:8">
      <c r="H1256" s="1505"/>
    </row>
    <row r="1257" spans="8:8">
      <c r="H1257" s="1505"/>
    </row>
    <row r="1258" spans="8:8">
      <c r="H1258" s="1505"/>
    </row>
    <row r="1259" spans="8:8">
      <c r="H1259" s="1505"/>
    </row>
    <row r="1260" spans="8:8">
      <c r="H1260" s="1505"/>
    </row>
    <row r="1261" spans="8:8">
      <c r="H1261" s="1505"/>
    </row>
    <row r="1262" spans="8:8">
      <c r="H1262" s="1505"/>
    </row>
    <row r="1263" spans="8:8">
      <c r="H1263" s="1505"/>
    </row>
    <row r="1264" spans="8:8">
      <c r="H1264" s="1505"/>
    </row>
    <row r="1265" spans="8:8">
      <c r="H1265" s="1505"/>
    </row>
    <row r="1266" spans="8:8">
      <c r="H1266" s="1505"/>
    </row>
    <row r="1267" spans="8:8">
      <c r="H1267" s="1505"/>
    </row>
    <row r="1268" spans="8:8">
      <c r="H1268" s="1505"/>
    </row>
    <row r="1269" spans="8:8">
      <c r="H1269" s="1505"/>
    </row>
    <row r="1270" spans="8:8">
      <c r="H1270" s="1505"/>
    </row>
    <row r="1271" spans="8:8">
      <c r="H1271" s="1505"/>
    </row>
    <row r="1272" spans="8:8">
      <c r="H1272" s="1505"/>
    </row>
    <row r="1273" spans="8:8">
      <c r="H1273" s="1505"/>
    </row>
    <row r="1274" spans="8:8">
      <c r="H1274" s="1505"/>
    </row>
    <row r="1275" spans="8:8">
      <c r="H1275" s="1505"/>
    </row>
    <row r="1276" spans="8:8">
      <c r="H1276" s="1505"/>
    </row>
    <row r="1277" spans="8:8">
      <c r="H1277" s="1505"/>
    </row>
    <row r="1278" spans="8:8">
      <c r="H1278" s="1505"/>
    </row>
    <row r="1279" spans="8:8">
      <c r="H1279" s="1505"/>
    </row>
    <row r="1280" spans="8:8">
      <c r="H1280" s="1505"/>
    </row>
    <row r="1281" spans="8:8">
      <c r="H1281" s="1505"/>
    </row>
    <row r="1282" spans="8:8">
      <c r="H1282" s="1505"/>
    </row>
    <row r="1283" spans="8:8">
      <c r="H1283" s="1505"/>
    </row>
    <row r="1284" spans="8:8">
      <c r="H1284" s="1505"/>
    </row>
    <row r="1285" spans="8:8">
      <c r="H1285" s="1505"/>
    </row>
    <row r="1286" spans="8:8">
      <c r="H1286" s="1505"/>
    </row>
    <row r="1287" spans="8:8">
      <c r="H1287" s="1505"/>
    </row>
    <row r="1288" spans="8:8">
      <c r="H1288" s="1505"/>
    </row>
    <row r="1289" spans="8:8">
      <c r="H1289" s="1505"/>
    </row>
    <row r="1290" spans="8:8">
      <c r="H1290" s="1505"/>
    </row>
    <row r="1291" spans="8:8">
      <c r="H1291" s="1505"/>
    </row>
    <row r="1292" spans="8:8">
      <c r="H1292" s="1505"/>
    </row>
    <row r="1293" spans="8:8">
      <c r="H1293" s="1505"/>
    </row>
    <row r="1294" spans="8:8">
      <c r="H1294" s="1505"/>
    </row>
    <row r="1295" spans="8:8">
      <c r="H1295" s="1505"/>
    </row>
    <row r="1296" spans="8:8">
      <c r="H1296" s="1505"/>
    </row>
    <row r="1297" spans="8:8">
      <c r="H1297" s="1505"/>
    </row>
    <row r="1298" spans="8:8">
      <c r="H1298" s="1505"/>
    </row>
    <row r="1299" spans="8:8">
      <c r="H1299" s="1505"/>
    </row>
    <row r="1300" spans="8:8">
      <c r="H1300" s="1505"/>
    </row>
    <row r="1301" spans="8:8">
      <c r="H1301" s="1505"/>
    </row>
    <row r="1302" spans="8:8">
      <c r="H1302" s="1505"/>
    </row>
    <row r="1303" spans="8:8">
      <c r="H1303" s="1505"/>
    </row>
    <row r="1304" spans="8:8">
      <c r="H1304" s="1505"/>
    </row>
    <row r="1305" spans="8:8">
      <c r="H1305" s="1505"/>
    </row>
    <row r="1306" spans="8:8">
      <c r="H1306" s="1505"/>
    </row>
    <row r="1307" spans="8:8">
      <c r="H1307" s="1505"/>
    </row>
    <row r="1308" spans="8:8">
      <c r="H1308" s="1505"/>
    </row>
    <row r="1309" spans="8:8">
      <c r="H1309" s="1505"/>
    </row>
    <row r="1310" spans="8:8">
      <c r="H1310" s="1505"/>
    </row>
    <row r="1311" spans="8:8">
      <c r="H1311" s="1505"/>
    </row>
    <row r="1312" spans="8:8">
      <c r="H1312" s="1505"/>
    </row>
    <row r="1313" spans="8:8">
      <c r="H1313" s="1505"/>
    </row>
    <row r="1314" spans="8:8">
      <c r="H1314" s="1505"/>
    </row>
    <row r="1315" spans="8:8">
      <c r="H1315" s="1505"/>
    </row>
    <row r="1316" spans="8:8">
      <c r="H1316" s="1505"/>
    </row>
    <row r="1317" spans="8:8">
      <c r="H1317" s="1505"/>
    </row>
    <row r="1318" spans="8:8">
      <c r="H1318" s="1505"/>
    </row>
    <row r="1319" spans="8:8">
      <c r="H1319" s="1505"/>
    </row>
    <row r="1320" spans="8:8">
      <c r="H1320" s="1505"/>
    </row>
    <row r="1321" spans="8:8">
      <c r="H1321" s="1505"/>
    </row>
    <row r="1322" spans="8:8">
      <c r="H1322" s="1505"/>
    </row>
    <row r="1323" spans="8:8">
      <c r="H1323" s="1505"/>
    </row>
    <row r="1324" spans="8:8">
      <c r="H1324" s="1505"/>
    </row>
    <row r="1325" spans="8:8">
      <c r="H1325" s="1505"/>
    </row>
    <row r="1326" spans="8:8">
      <c r="H1326" s="1505"/>
    </row>
    <row r="1327" spans="8:8">
      <c r="H1327" s="1505"/>
    </row>
    <row r="1328" spans="8:8">
      <c r="H1328" s="1505"/>
    </row>
    <row r="1329" spans="8:8">
      <c r="H1329" s="1505"/>
    </row>
    <row r="1330" spans="8:8">
      <c r="H1330" s="1505"/>
    </row>
    <row r="1331" spans="8:8">
      <c r="H1331" s="1505"/>
    </row>
    <row r="1332" spans="8:8">
      <c r="H1332" s="1505"/>
    </row>
    <row r="1333" spans="8:8">
      <c r="H1333" s="1505"/>
    </row>
    <row r="1334" spans="8:8">
      <c r="H1334" s="1505"/>
    </row>
    <row r="1335" spans="8:8">
      <c r="H1335" s="1505"/>
    </row>
    <row r="1336" spans="8:8">
      <c r="H1336" s="1505"/>
    </row>
    <row r="1337" spans="8:8">
      <c r="H1337" s="1505"/>
    </row>
    <row r="1338" spans="8:8">
      <c r="H1338" s="1505"/>
    </row>
    <row r="1339" spans="8:8">
      <c r="H1339" s="1505"/>
    </row>
    <row r="1340" spans="8:8">
      <c r="H1340" s="1505"/>
    </row>
    <row r="1341" spans="8:8">
      <c r="H1341" s="1505"/>
    </row>
    <row r="1342" spans="8:8">
      <c r="H1342" s="1505"/>
    </row>
    <row r="1343" spans="8:8">
      <c r="H1343" s="1505"/>
    </row>
    <row r="1344" spans="8:8">
      <c r="H1344" s="1505"/>
    </row>
    <row r="1345" spans="8:8">
      <c r="H1345" s="1505"/>
    </row>
    <row r="1346" spans="8:8">
      <c r="H1346" s="1505"/>
    </row>
    <row r="1347" spans="8:8">
      <c r="H1347" s="1505"/>
    </row>
    <row r="1348" spans="8:8">
      <c r="H1348" s="1505"/>
    </row>
    <row r="1349" spans="8:8">
      <c r="H1349" s="1505"/>
    </row>
    <row r="1350" spans="8:8">
      <c r="H1350" s="1505"/>
    </row>
    <row r="1351" spans="8:8">
      <c r="H1351" s="1505"/>
    </row>
    <row r="1352" spans="8:8">
      <c r="H1352" s="1505"/>
    </row>
    <row r="1353" spans="8:8">
      <c r="H1353" s="1505"/>
    </row>
    <row r="1354" spans="8:8">
      <c r="H1354" s="1505"/>
    </row>
    <row r="1355" spans="8:8">
      <c r="H1355" s="1505"/>
    </row>
    <row r="1356" spans="8:8">
      <c r="H1356" s="1505"/>
    </row>
    <row r="1357" spans="8:8">
      <c r="H1357" s="1505"/>
    </row>
    <row r="1358" spans="8:8">
      <c r="H1358" s="1505"/>
    </row>
    <row r="1359" spans="8:8">
      <c r="H1359" s="1505"/>
    </row>
    <row r="1360" spans="8:8">
      <c r="H1360" s="1505"/>
    </row>
    <row r="1361" spans="8:8">
      <c r="H1361" s="1505"/>
    </row>
    <row r="1362" spans="8:8">
      <c r="H1362" s="1505"/>
    </row>
    <row r="1363" spans="8:8">
      <c r="H1363" s="1505"/>
    </row>
    <row r="1364" spans="8:8">
      <c r="H1364" s="1505"/>
    </row>
    <row r="1365" spans="8:8">
      <c r="H1365" s="1505"/>
    </row>
    <row r="1366" spans="8:8">
      <c r="H1366" s="1505"/>
    </row>
    <row r="1367" spans="8:8">
      <c r="H1367" s="1505"/>
    </row>
    <row r="1368" spans="8:8">
      <c r="H1368" s="1505"/>
    </row>
    <row r="1369" spans="8:8">
      <c r="H1369" s="1505"/>
    </row>
    <row r="1370" spans="8:8">
      <c r="H1370" s="1505"/>
    </row>
    <row r="1371" spans="8:8">
      <c r="H1371" s="1505"/>
    </row>
    <row r="1372" spans="8:8">
      <c r="H1372" s="1505"/>
    </row>
    <row r="1373" spans="8:8">
      <c r="H1373" s="1505"/>
    </row>
    <row r="1374" spans="8:8">
      <c r="H1374" s="1505"/>
    </row>
    <row r="1375" spans="8:8">
      <c r="H1375" s="1505"/>
    </row>
    <row r="1376" spans="8:8">
      <c r="H1376" s="1505"/>
    </row>
    <row r="1377" spans="8:8">
      <c r="H1377" s="1505"/>
    </row>
    <row r="1378" spans="8:8">
      <c r="H1378" s="1505"/>
    </row>
    <row r="1379" spans="8:8">
      <c r="H1379" s="1505"/>
    </row>
    <row r="1380" spans="8:8">
      <c r="H1380" s="1505"/>
    </row>
    <row r="1381" spans="8:8">
      <c r="H1381" s="1505"/>
    </row>
    <row r="1382" spans="8:8">
      <c r="H1382" s="1505"/>
    </row>
    <row r="1383" spans="8:8">
      <c r="H1383" s="1505"/>
    </row>
    <row r="1384" spans="8:8">
      <c r="H1384" s="1505"/>
    </row>
    <row r="1385" spans="8:8">
      <c r="H1385" s="1505"/>
    </row>
    <row r="1386" spans="8:8">
      <c r="H1386" s="1505"/>
    </row>
    <row r="1387" spans="8:8">
      <c r="H1387" s="1505"/>
    </row>
    <row r="1388" spans="8:8">
      <c r="H1388" s="1505"/>
    </row>
    <row r="1389" spans="8:8">
      <c r="H1389" s="1505"/>
    </row>
    <row r="1390" spans="8:8">
      <c r="H1390" s="1505"/>
    </row>
    <row r="1391" spans="8:8">
      <c r="H1391" s="1505"/>
    </row>
    <row r="1392" spans="8:8">
      <c r="H1392" s="1505"/>
    </row>
    <row r="1393" spans="8:8">
      <c r="H1393" s="1505"/>
    </row>
    <row r="1394" spans="8:8">
      <c r="H1394" s="1505"/>
    </row>
    <row r="1395" spans="8:8">
      <c r="H1395" s="1505"/>
    </row>
    <row r="1396" spans="8:8">
      <c r="H1396" s="1505"/>
    </row>
    <row r="1397" spans="8:8">
      <c r="H1397" s="1505"/>
    </row>
    <row r="1398" spans="8:8">
      <c r="H1398" s="1505"/>
    </row>
    <row r="1399" spans="8:8">
      <c r="H1399" s="1505"/>
    </row>
    <row r="1400" spans="8:8">
      <c r="H1400" s="1505"/>
    </row>
    <row r="1401" spans="8:8">
      <c r="H1401" s="1505"/>
    </row>
    <row r="1402" spans="8:8">
      <c r="H1402" s="1505"/>
    </row>
    <row r="1403" spans="8:8">
      <c r="H1403" s="1505"/>
    </row>
    <row r="1404" spans="8:8">
      <c r="H1404" s="1505"/>
    </row>
    <row r="1405" spans="8:8">
      <c r="H1405" s="1505"/>
    </row>
    <row r="1406" spans="8:8">
      <c r="H1406" s="1505"/>
    </row>
    <row r="1407" spans="8:8">
      <c r="H1407" s="1505"/>
    </row>
    <row r="1408" spans="8:8">
      <c r="H1408" s="1505"/>
    </row>
    <row r="1409" spans="8:8">
      <c r="H1409" s="1505"/>
    </row>
    <row r="1410" spans="8:8">
      <c r="H1410" s="1505"/>
    </row>
    <row r="1411" spans="8:8">
      <c r="H1411" s="1505"/>
    </row>
    <row r="1412" spans="8:8">
      <c r="H1412" s="1505"/>
    </row>
    <row r="1413" spans="8:8">
      <c r="H1413" s="1505"/>
    </row>
    <row r="1414" spans="8:8">
      <c r="H1414" s="1505"/>
    </row>
    <row r="1415" spans="8:8">
      <c r="H1415" s="1505"/>
    </row>
    <row r="1416" spans="8:8">
      <c r="H1416" s="1505"/>
    </row>
    <row r="1417" spans="8:8">
      <c r="H1417" s="1505"/>
    </row>
    <row r="1418" spans="8:8">
      <c r="H1418" s="1505"/>
    </row>
    <row r="1419" spans="8:8">
      <c r="H1419" s="1505"/>
    </row>
    <row r="1420" spans="8:8">
      <c r="H1420" s="1505"/>
    </row>
    <row r="1421" spans="8:8">
      <c r="H1421" s="1505"/>
    </row>
    <row r="1422" spans="8:8">
      <c r="H1422" s="1505"/>
    </row>
    <row r="1423" spans="8:8">
      <c r="H1423" s="1505"/>
    </row>
    <row r="1424" spans="8:8">
      <c r="H1424" s="1505"/>
    </row>
    <row r="1425" spans="8:8">
      <c r="H1425" s="1505"/>
    </row>
    <row r="1426" spans="8:8">
      <c r="H1426" s="1505"/>
    </row>
    <row r="1427" spans="8:8">
      <c r="H1427" s="1505"/>
    </row>
    <row r="1428" spans="8:8">
      <c r="H1428" s="1505"/>
    </row>
    <row r="1429" spans="8:8">
      <c r="H1429" s="1505"/>
    </row>
    <row r="1430" spans="8:8">
      <c r="H1430" s="1505"/>
    </row>
    <row r="1431" spans="8:8">
      <c r="H1431" s="1505"/>
    </row>
    <row r="1432" spans="8:8">
      <c r="H1432" s="1505"/>
    </row>
    <row r="1433" spans="8:8">
      <c r="H1433" s="1505"/>
    </row>
    <row r="1434" spans="8:8">
      <c r="H1434" s="1505"/>
    </row>
    <row r="1435" spans="8:8">
      <c r="H1435" s="1505"/>
    </row>
    <row r="1436" spans="8:8">
      <c r="H1436" s="1505"/>
    </row>
    <row r="1437" spans="8:8">
      <c r="H1437" s="1505"/>
    </row>
    <row r="1438" spans="8:8">
      <c r="H1438" s="1505"/>
    </row>
    <row r="1439" spans="8:8">
      <c r="H1439" s="1505"/>
    </row>
    <row r="1440" spans="8:8">
      <c r="H1440" s="1505"/>
    </row>
    <row r="1441" spans="8:8">
      <c r="H1441" s="1505"/>
    </row>
    <row r="1442" spans="8:8">
      <c r="H1442" s="1505"/>
    </row>
    <row r="1443" spans="8:8">
      <c r="H1443" s="1505"/>
    </row>
    <row r="1444" spans="8:8">
      <c r="H1444" s="1505"/>
    </row>
    <row r="1445" spans="8:8">
      <c r="H1445" s="1505"/>
    </row>
    <row r="1446" spans="8:8">
      <c r="H1446" s="1505"/>
    </row>
    <row r="1447" spans="8:8">
      <c r="H1447" s="1505"/>
    </row>
    <row r="1448" spans="8:8">
      <c r="H1448" s="1505"/>
    </row>
    <row r="1449" spans="8:8">
      <c r="H1449" s="1505"/>
    </row>
    <row r="1450" spans="8:8">
      <c r="H1450" s="1505"/>
    </row>
    <row r="1451" spans="8:8">
      <c r="H1451" s="1505"/>
    </row>
    <row r="1452" spans="8:8">
      <c r="H1452" s="1505"/>
    </row>
    <row r="1453" spans="8:8">
      <c r="H1453" s="1505"/>
    </row>
    <row r="1454" spans="8:8">
      <c r="H1454" s="1505"/>
    </row>
    <row r="1455" spans="8:8">
      <c r="H1455" s="1505"/>
    </row>
    <row r="1456" spans="8:8">
      <c r="H1456" s="1505"/>
    </row>
    <row r="1457" spans="8:8">
      <c r="H1457" s="1505"/>
    </row>
    <row r="1458" spans="8:8">
      <c r="H1458" s="1505"/>
    </row>
    <row r="1459" spans="8:8">
      <c r="H1459" s="1505"/>
    </row>
    <row r="1460" spans="8:8">
      <c r="H1460" s="1505"/>
    </row>
    <row r="1461" spans="8:8">
      <c r="H1461" s="1505"/>
    </row>
    <row r="1462" spans="8:8">
      <c r="H1462" s="1505"/>
    </row>
    <row r="1463" spans="8:8">
      <c r="H1463" s="1505"/>
    </row>
    <row r="1464" spans="8:8">
      <c r="H1464" s="1505"/>
    </row>
    <row r="1465" spans="8:8">
      <c r="H1465" s="1505"/>
    </row>
    <row r="1466" spans="8:8">
      <c r="H1466" s="1505"/>
    </row>
    <row r="1467" spans="8:8">
      <c r="H1467" s="1505"/>
    </row>
    <row r="1468" spans="8:8">
      <c r="H1468" s="1505"/>
    </row>
    <row r="1469" spans="8:8">
      <c r="H1469" s="1505"/>
    </row>
    <row r="1470" spans="8:8">
      <c r="H1470" s="1505"/>
    </row>
    <row r="1471" spans="8:8">
      <c r="H1471" s="1505"/>
    </row>
    <row r="1472" spans="8:8">
      <c r="H1472" s="1505"/>
    </row>
    <row r="1473" spans="8:8">
      <c r="H1473" s="1505"/>
    </row>
    <row r="1474" spans="8:8">
      <c r="H1474" s="1505"/>
    </row>
    <row r="1475" spans="8:8">
      <c r="H1475" s="1505"/>
    </row>
    <row r="1476" spans="8:8">
      <c r="H1476" s="1505"/>
    </row>
    <row r="1477" spans="8:8">
      <c r="H1477" s="1505"/>
    </row>
    <row r="1478" spans="8:8">
      <c r="H1478" s="1505"/>
    </row>
    <row r="1479" spans="8:8">
      <c r="H1479" s="1505"/>
    </row>
    <row r="1480" spans="8:8">
      <c r="H1480" s="1505"/>
    </row>
    <row r="1481" spans="8:8">
      <c r="H1481" s="1505"/>
    </row>
    <row r="1482" spans="8:8">
      <c r="H1482" s="1505"/>
    </row>
    <row r="1483" spans="8:8">
      <c r="H1483" s="1505"/>
    </row>
    <row r="1484" spans="8:8">
      <c r="H1484" s="1505"/>
    </row>
    <row r="1485" spans="8:8">
      <c r="H1485" s="1505"/>
    </row>
    <row r="1486" spans="8:8">
      <c r="H1486" s="1505"/>
    </row>
    <row r="1487" spans="8:8">
      <c r="H1487" s="1505"/>
    </row>
    <row r="1488" spans="8:8">
      <c r="H1488" s="1505"/>
    </row>
    <row r="1489" spans="8:8">
      <c r="H1489" s="1505"/>
    </row>
    <row r="1490" spans="8:8">
      <c r="H1490" s="1505"/>
    </row>
    <row r="1491" spans="8:8">
      <c r="H1491" s="1505"/>
    </row>
    <row r="1492" spans="8:8">
      <c r="H1492" s="1505"/>
    </row>
    <row r="1493" spans="8:8">
      <c r="H1493" s="1505"/>
    </row>
    <row r="1494" spans="8:8">
      <c r="H1494" s="1505"/>
    </row>
    <row r="1495" spans="8:8">
      <c r="H1495" s="1505"/>
    </row>
    <row r="1496" spans="8:8">
      <c r="H1496" s="1505"/>
    </row>
    <row r="1497" spans="8:8">
      <c r="H1497" s="1505"/>
    </row>
    <row r="1498" spans="8:8">
      <c r="H1498" s="1505"/>
    </row>
    <row r="1499" spans="8:8">
      <c r="H1499" s="1505"/>
    </row>
    <row r="1500" spans="8:8">
      <c r="H1500" s="1505"/>
    </row>
    <row r="1501" spans="8:8">
      <c r="H1501" s="1505"/>
    </row>
    <row r="1502" spans="8:8">
      <c r="H1502" s="1505"/>
    </row>
    <row r="1503" spans="8:8">
      <c r="H1503" s="1505"/>
    </row>
    <row r="1504" spans="8:8">
      <c r="H1504" s="1505"/>
    </row>
    <row r="1505" spans="8:8">
      <c r="H1505" s="1505"/>
    </row>
    <row r="1506" spans="8:8">
      <c r="H1506" s="1505"/>
    </row>
    <row r="1507" spans="8:8">
      <c r="H1507" s="1505"/>
    </row>
    <row r="1508" spans="8:8">
      <c r="H1508" s="1505"/>
    </row>
    <row r="1509" spans="8:8">
      <c r="H1509" s="1505"/>
    </row>
    <row r="1510" spans="8:8">
      <c r="H1510" s="1505"/>
    </row>
    <row r="1511" spans="8:8">
      <c r="H1511" s="1505"/>
    </row>
    <row r="1512" spans="8:8">
      <c r="H1512" s="1505"/>
    </row>
    <row r="1513" spans="8:8">
      <c r="H1513" s="1505"/>
    </row>
    <row r="1514" spans="8:8">
      <c r="H1514" s="1505"/>
    </row>
    <row r="1515" spans="8:8">
      <c r="H1515" s="1505"/>
    </row>
    <row r="1516" spans="8:8">
      <c r="H1516" s="1505"/>
    </row>
    <row r="1517" spans="8:8">
      <c r="H1517" s="1505"/>
    </row>
    <row r="1518" spans="8:8">
      <c r="H1518" s="1505"/>
    </row>
    <row r="1519" spans="8:8">
      <c r="H1519" s="1505"/>
    </row>
    <row r="1520" spans="8:8">
      <c r="H1520" s="1505"/>
    </row>
    <row r="1521" spans="8:8">
      <c r="H1521" s="1505"/>
    </row>
    <row r="1522" spans="8:8">
      <c r="H1522" s="1505"/>
    </row>
    <row r="1523" spans="8:8">
      <c r="H1523" s="1505"/>
    </row>
    <row r="1524" spans="8:8">
      <c r="H1524" s="1505"/>
    </row>
    <row r="1525" spans="8:8">
      <c r="H1525" s="1505"/>
    </row>
    <row r="1526" spans="8:8">
      <c r="H1526" s="1505"/>
    </row>
    <row r="1527" spans="8:8">
      <c r="H1527" s="1505"/>
    </row>
    <row r="1528" spans="8:8">
      <c r="H1528" s="1505"/>
    </row>
    <row r="1529" spans="8:8">
      <c r="H1529" s="1505"/>
    </row>
    <row r="1530" spans="8:8">
      <c r="H1530" s="1505"/>
    </row>
    <row r="1531" spans="8:8">
      <c r="H1531" s="1505"/>
    </row>
    <row r="1532" spans="8:8">
      <c r="H1532" s="1505"/>
    </row>
    <row r="1533" spans="8:8">
      <c r="H1533" s="1505"/>
    </row>
    <row r="1534" spans="8:8">
      <c r="H1534" s="1505"/>
    </row>
    <row r="1535" spans="8:8">
      <c r="H1535" s="1505"/>
    </row>
    <row r="1536" spans="8:8">
      <c r="H1536" s="1505"/>
    </row>
    <row r="1537" spans="8:8">
      <c r="H1537" s="1505"/>
    </row>
    <row r="1538" spans="8:8">
      <c r="H1538" s="1505"/>
    </row>
    <row r="1539" spans="8:8">
      <c r="H1539" s="1505"/>
    </row>
    <row r="1540" spans="8:8">
      <c r="H1540" s="1505"/>
    </row>
    <row r="1541" spans="8:8">
      <c r="H1541" s="1505"/>
    </row>
    <row r="1542" spans="8:8">
      <c r="H1542" s="1505"/>
    </row>
    <row r="1543" spans="8:8">
      <c r="H1543" s="1505"/>
    </row>
    <row r="1544" spans="8:8">
      <c r="H1544" s="1505"/>
    </row>
    <row r="1545" spans="8:8">
      <c r="H1545" s="1505"/>
    </row>
    <row r="1546" spans="8:8">
      <c r="H1546" s="1505"/>
    </row>
    <row r="1547" spans="8:8">
      <c r="H1547" s="1505"/>
    </row>
    <row r="1548" spans="8:8">
      <c r="H1548" s="1505"/>
    </row>
    <row r="1549" spans="8:8">
      <c r="H1549" s="1505"/>
    </row>
    <row r="1550" spans="8:8">
      <c r="H1550" s="1505"/>
    </row>
    <row r="1551" spans="8:8">
      <c r="H1551" s="1505"/>
    </row>
    <row r="1552" spans="8:8">
      <c r="H1552" s="1505"/>
    </row>
    <row r="1553" spans="8:8">
      <c r="H1553" s="1505"/>
    </row>
    <row r="1554" spans="8:8">
      <c r="H1554" s="1505"/>
    </row>
    <row r="1555" spans="8:8">
      <c r="H1555" s="1505"/>
    </row>
    <row r="1556" spans="8:8">
      <c r="H1556" s="1505"/>
    </row>
    <row r="1557" spans="8:8">
      <c r="H1557" s="1505"/>
    </row>
    <row r="1558" spans="8:8">
      <c r="H1558" s="1505"/>
    </row>
    <row r="1559" spans="8:8">
      <c r="H1559" s="1505"/>
    </row>
    <row r="1560" spans="8:8">
      <c r="H1560" s="1505"/>
    </row>
    <row r="1561" spans="8:8">
      <c r="H1561" s="1505"/>
    </row>
    <row r="1562" spans="8:8">
      <c r="H1562" s="1505"/>
    </row>
    <row r="1563" spans="8:8">
      <c r="H1563" s="1505"/>
    </row>
    <row r="1564" spans="8:8">
      <c r="H1564" s="1505"/>
    </row>
    <row r="1565" spans="8:8">
      <c r="H1565" s="1505"/>
    </row>
    <row r="1566" spans="8:8">
      <c r="H1566" s="1505"/>
    </row>
    <row r="1567" spans="8:8">
      <c r="H1567" s="1505"/>
    </row>
    <row r="1568" spans="8:8">
      <c r="H1568" s="1505"/>
    </row>
    <row r="1569" spans="8:8">
      <c r="H1569" s="1505"/>
    </row>
    <row r="1570" spans="8:8">
      <c r="H1570" s="1505"/>
    </row>
    <row r="1571" spans="8:8">
      <c r="H1571" s="1505"/>
    </row>
    <row r="1572" spans="8:8">
      <c r="H1572" s="1505"/>
    </row>
    <row r="1573" spans="8:8">
      <c r="H1573" s="1505"/>
    </row>
    <row r="1574" spans="8:8">
      <c r="H1574" s="1505"/>
    </row>
    <row r="1575" spans="8:8">
      <c r="H1575" s="1505"/>
    </row>
    <row r="1576" spans="8:8">
      <c r="H1576" s="1505"/>
    </row>
    <row r="1577" spans="8:8">
      <c r="H1577" s="1505"/>
    </row>
    <row r="1578" spans="8:8">
      <c r="H1578" s="1505"/>
    </row>
    <row r="1579" spans="8:8">
      <c r="H1579" s="1505"/>
    </row>
    <row r="1580" spans="8:8">
      <c r="H1580" s="1505"/>
    </row>
    <row r="1581" spans="8:8">
      <c r="H1581" s="1505"/>
    </row>
    <row r="1582" spans="8:8">
      <c r="H1582" s="1505"/>
    </row>
    <row r="1583" spans="8:8">
      <c r="H1583" s="1505"/>
    </row>
    <row r="1584" spans="8:8">
      <c r="H1584" s="1505"/>
    </row>
    <row r="1585" spans="8:8">
      <c r="H1585" s="1505"/>
    </row>
    <row r="1586" spans="8:8">
      <c r="H1586" s="1505"/>
    </row>
    <row r="1587" spans="8:8">
      <c r="H1587" s="1505"/>
    </row>
    <row r="1588" spans="8:8">
      <c r="H1588" s="1505"/>
    </row>
    <row r="1589" spans="8:8">
      <c r="H1589" s="1505"/>
    </row>
    <row r="1590" spans="8:8">
      <c r="H1590" s="1505"/>
    </row>
    <row r="1591" spans="8:8">
      <c r="H1591" s="1505"/>
    </row>
    <row r="1592" spans="8:8">
      <c r="H1592" s="1505"/>
    </row>
    <row r="1593" spans="8:8">
      <c r="H1593" s="1505"/>
    </row>
    <row r="1594" spans="8:8">
      <c r="H1594" s="1505"/>
    </row>
    <row r="1595" spans="8:8">
      <c r="H1595" s="1505"/>
    </row>
    <row r="1596" spans="8:8">
      <c r="H1596" s="1505"/>
    </row>
    <row r="1597" spans="8:8">
      <c r="H1597" s="1505"/>
    </row>
    <row r="1598" spans="8:8">
      <c r="H1598" s="1505"/>
    </row>
    <row r="1599" spans="8:8">
      <c r="H1599" s="1505"/>
    </row>
    <row r="1600" spans="8:8">
      <c r="H1600" s="1505"/>
    </row>
    <row r="1601" spans="8:8">
      <c r="H1601" s="1505"/>
    </row>
    <row r="1602" spans="8:8">
      <c r="H1602" s="1505"/>
    </row>
    <row r="1603" spans="8:8">
      <c r="H1603" s="1505"/>
    </row>
    <row r="1604" spans="8:8">
      <c r="H1604" s="1505"/>
    </row>
    <row r="1605" spans="8:8">
      <c r="H1605" s="1505"/>
    </row>
    <row r="1606" spans="8:8">
      <c r="H1606" s="1505"/>
    </row>
    <row r="1607" spans="8:8">
      <c r="H1607" s="1505"/>
    </row>
    <row r="1608" spans="8:8">
      <c r="H1608" s="1505"/>
    </row>
    <row r="1609" spans="8:8">
      <c r="H1609" s="1505"/>
    </row>
    <row r="1610" spans="8:8">
      <c r="H1610" s="1505"/>
    </row>
    <row r="1611" spans="8:8">
      <c r="H1611" s="1505"/>
    </row>
    <row r="1612" spans="8:8">
      <c r="H1612" s="1505"/>
    </row>
    <row r="1613" spans="8:8">
      <c r="H1613" s="1505"/>
    </row>
    <row r="1614" spans="8:8">
      <c r="H1614" s="1505"/>
    </row>
    <row r="1615" spans="8:8">
      <c r="H1615" s="1505"/>
    </row>
    <row r="1616" spans="8:8">
      <c r="H1616" s="1505"/>
    </row>
    <row r="1617" spans="8:8">
      <c r="H1617" s="1505"/>
    </row>
    <row r="1618" spans="8:8">
      <c r="H1618" s="1505"/>
    </row>
    <row r="1619" spans="8:8">
      <c r="H1619" s="1505"/>
    </row>
    <row r="1620" spans="8:8">
      <c r="H1620" s="1505"/>
    </row>
    <row r="1621" spans="8:8">
      <c r="H1621" s="1505"/>
    </row>
    <row r="1622" spans="8:8">
      <c r="H1622" s="1505"/>
    </row>
    <row r="1623" spans="8:8">
      <c r="H1623" s="1505"/>
    </row>
    <row r="1624" spans="8:8">
      <c r="H1624" s="1505"/>
    </row>
    <row r="1625" spans="8:8">
      <c r="H1625" s="1505"/>
    </row>
    <row r="1626" spans="8:8">
      <c r="H1626" s="1505"/>
    </row>
    <row r="1627" spans="8:8">
      <c r="H1627" s="1505"/>
    </row>
    <row r="1628" spans="8:8">
      <c r="H1628" s="1505"/>
    </row>
    <row r="1629" spans="8:8">
      <c r="H1629" s="1505"/>
    </row>
    <row r="1630" spans="8:8">
      <c r="H1630" s="1505"/>
    </row>
    <row r="1631" spans="8:8">
      <c r="H1631" s="1505"/>
    </row>
    <row r="1632" spans="8:8">
      <c r="H1632" s="1505"/>
    </row>
    <row r="1633" spans="8:8">
      <c r="H1633" s="1505"/>
    </row>
    <row r="1634" spans="8:8">
      <c r="H1634" s="1505"/>
    </row>
    <row r="1635" spans="8:8">
      <c r="H1635" s="1505"/>
    </row>
    <row r="1636" spans="8:8">
      <c r="H1636" s="1505"/>
    </row>
    <row r="1637" spans="8:8">
      <c r="H1637" s="1505"/>
    </row>
    <row r="1638" spans="8:8">
      <c r="H1638" s="1505"/>
    </row>
    <row r="1639" spans="8:8">
      <c r="H1639" s="1505"/>
    </row>
    <row r="1640" spans="8:8">
      <c r="H1640" s="1505"/>
    </row>
    <row r="1641" spans="8:8">
      <c r="H1641" s="1505"/>
    </row>
    <row r="1642" spans="8:8">
      <c r="H1642" s="1505"/>
    </row>
    <row r="1643" spans="8:8">
      <c r="H1643" s="1505"/>
    </row>
    <row r="1644" spans="8:8">
      <c r="H1644" s="1505"/>
    </row>
    <row r="1645" spans="8:8">
      <c r="H1645" s="1505"/>
    </row>
    <row r="1646" spans="8:8">
      <c r="H1646" s="1505"/>
    </row>
    <row r="1647" spans="8:8">
      <c r="H1647" s="1505"/>
    </row>
    <row r="1648" spans="8:8">
      <c r="H1648" s="1505"/>
    </row>
    <row r="1649" spans="8:8">
      <c r="H1649" s="1505"/>
    </row>
    <row r="1650" spans="8:8">
      <c r="H1650" s="1505"/>
    </row>
    <row r="1651" spans="8:8">
      <c r="H1651" s="1505"/>
    </row>
    <row r="1652" spans="8:8">
      <c r="H1652" s="1505"/>
    </row>
    <row r="1653" spans="8:8">
      <c r="H1653" s="1505"/>
    </row>
    <row r="1654" spans="8:8">
      <c r="H1654" s="1505"/>
    </row>
    <row r="1655" spans="8:8">
      <c r="H1655" s="1505"/>
    </row>
    <row r="1656" spans="8:8">
      <c r="H1656" s="1505"/>
    </row>
    <row r="1657" spans="8:8">
      <c r="H1657" s="1505"/>
    </row>
    <row r="1658" spans="8:8">
      <c r="H1658" s="1505"/>
    </row>
    <row r="1659" spans="8:8">
      <c r="H1659" s="1505"/>
    </row>
    <row r="1660" spans="8:8">
      <c r="H1660" s="1505"/>
    </row>
    <row r="1661" spans="8:8">
      <c r="H1661" s="1505"/>
    </row>
    <row r="1662" spans="8:8">
      <c r="H1662" s="1505"/>
    </row>
    <row r="1663" spans="8:8">
      <c r="H1663" s="1505"/>
    </row>
    <row r="1664" spans="8:8">
      <c r="H1664" s="1505"/>
    </row>
    <row r="1665" spans="8:8">
      <c r="H1665" s="1505"/>
    </row>
    <row r="1666" spans="8:8">
      <c r="H1666" s="1505"/>
    </row>
    <row r="1667" spans="8:8">
      <c r="H1667" s="1505"/>
    </row>
    <row r="1668" spans="8:8">
      <c r="H1668" s="1505"/>
    </row>
    <row r="1669" spans="8:8">
      <c r="H1669" s="1505"/>
    </row>
    <row r="1670" spans="8:8">
      <c r="H1670" s="1505"/>
    </row>
    <row r="1671" spans="8:8">
      <c r="H1671" s="1505"/>
    </row>
    <row r="1672" spans="8:8">
      <c r="H1672" s="1505"/>
    </row>
    <row r="1673" spans="8:8">
      <c r="H1673" s="1505"/>
    </row>
    <row r="1674" spans="8:8">
      <c r="H1674" s="1505"/>
    </row>
    <row r="1675" spans="8:8">
      <c r="H1675" s="1505"/>
    </row>
    <row r="1676" spans="8:8">
      <c r="H1676" s="1505"/>
    </row>
    <row r="1677" spans="8:8">
      <c r="H1677" s="1505"/>
    </row>
    <row r="1678" spans="8:8">
      <c r="H1678" s="1505"/>
    </row>
    <row r="1679" spans="8:8">
      <c r="H1679" s="1505"/>
    </row>
    <row r="1680" spans="8:8">
      <c r="H1680" s="1505"/>
    </row>
    <row r="1681" spans="8:8">
      <c r="H1681" s="1505"/>
    </row>
    <row r="1682" spans="8:8">
      <c r="H1682" s="1505"/>
    </row>
    <row r="1683" spans="8:8">
      <c r="H1683" s="1505"/>
    </row>
    <row r="1684" spans="8:8">
      <c r="H1684" s="1505"/>
    </row>
    <row r="1685" spans="8:8">
      <c r="H1685" s="1505"/>
    </row>
    <row r="1686" spans="8:8">
      <c r="H1686" s="1505"/>
    </row>
    <row r="1687" spans="8:8">
      <c r="H1687" s="1505"/>
    </row>
    <row r="1688" spans="8:8">
      <c r="H1688" s="1505"/>
    </row>
    <row r="1689" spans="8:8">
      <c r="H1689" s="1505"/>
    </row>
    <row r="1690" spans="8:8">
      <c r="H1690" s="1505"/>
    </row>
    <row r="1691" spans="8:8">
      <c r="H1691" s="1505"/>
    </row>
    <row r="1692" spans="8:8">
      <c r="H1692" s="1505"/>
    </row>
    <row r="1693" spans="8:8">
      <c r="H1693" s="1505"/>
    </row>
    <row r="1694" spans="8:8">
      <c r="H1694" s="1505"/>
    </row>
    <row r="1695" spans="8:8">
      <c r="H1695" s="1505"/>
    </row>
    <row r="1696" spans="8:8">
      <c r="H1696" s="1505"/>
    </row>
    <row r="1697" spans="8:8">
      <c r="H1697" s="1505"/>
    </row>
    <row r="1698" spans="8:8">
      <c r="H1698" s="1505"/>
    </row>
    <row r="1699" spans="8:8">
      <c r="H1699" s="1505"/>
    </row>
    <row r="1700" spans="8:8">
      <c r="H1700" s="1505"/>
    </row>
    <row r="1701" spans="8:8">
      <c r="H1701" s="1505"/>
    </row>
    <row r="1702" spans="8:8">
      <c r="H1702" s="1505"/>
    </row>
    <row r="1703" spans="8:8">
      <c r="H1703" s="1505"/>
    </row>
    <row r="1704" spans="8:8">
      <c r="H1704" s="1505"/>
    </row>
    <row r="1705" spans="8:8">
      <c r="H1705" s="1505"/>
    </row>
    <row r="1706" spans="8:8">
      <c r="H1706" s="1505"/>
    </row>
    <row r="1707" spans="8:8">
      <c r="H1707" s="1505"/>
    </row>
    <row r="1708" spans="8:8">
      <c r="H1708" s="1505"/>
    </row>
    <row r="1709" spans="8:8">
      <c r="H1709" s="1505"/>
    </row>
    <row r="1710" spans="8:8">
      <c r="H1710" s="1505"/>
    </row>
    <row r="1711" spans="8:8">
      <c r="H1711" s="1505"/>
    </row>
    <row r="1712" spans="8:8">
      <c r="H1712" s="1505"/>
    </row>
    <row r="1713" spans="8:8">
      <c r="H1713" s="1505"/>
    </row>
    <row r="1714" spans="8:8">
      <c r="H1714" s="1505"/>
    </row>
    <row r="1715" spans="8:8">
      <c r="H1715" s="1505"/>
    </row>
    <row r="1716" spans="8:8">
      <c r="H1716" s="1505"/>
    </row>
    <row r="1717" spans="8:8">
      <c r="H1717" s="1505"/>
    </row>
    <row r="1718" spans="8:8">
      <c r="H1718" s="1505"/>
    </row>
    <row r="1719" spans="8:8">
      <c r="H1719" s="1505"/>
    </row>
    <row r="1720" spans="8:8">
      <c r="H1720" s="1505"/>
    </row>
    <row r="1721" spans="8:8">
      <c r="H1721" s="1505"/>
    </row>
    <row r="1722" spans="8:8">
      <c r="H1722" s="1505"/>
    </row>
    <row r="1723" spans="8:8">
      <c r="H1723" s="1505"/>
    </row>
    <row r="1724" spans="8:8">
      <c r="H1724" s="1505"/>
    </row>
    <row r="1725" spans="8:8">
      <c r="H1725" s="1505"/>
    </row>
    <row r="1726" spans="8:8">
      <c r="H1726" s="1505"/>
    </row>
    <row r="1727" spans="8:8">
      <c r="H1727" s="1505"/>
    </row>
    <row r="1728" spans="8:8">
      <c r="H1728" s="1505"/>
    </row>
    <row r="1729" spans="8:8">
      <c r="H1729" s="1505"/>
    </row>
    <row r="1730" spans="8:8">
      <c r="H1730" s="1505"/>
    </row>
    <row r="1731" spans="8:8">
      <c r="H1731" s="1505"/>
    </row>
    <row r="1732" spans="8:8">
      <c r="H1732" s="1505"/>
    </row>
    <row r="1733" spans="8:8">
      <c r="H1733" s="1505"/>
    </row>
    <row r="1734" spans="8:8">
      <c r="H1734" s="1505"/>
    </row>
    <row r="1735" spans="8:8">
      <c r="H1735" s="1505"/>
    </row>
    <row r="1736" spans="8:8">
      <c r="H1736" s="1505"/>
    </row>
    <row r="1737" spans="8:8">
      <c r="H1737" s="1505"/>
    </row>
    <row r="1738" spans="8:8">
      <c r="H1738" s="1505"/>
    </row>
    <row r="1739" spans="8:8">
      <c r="H1739" s="1505"/>
    </row>
    <row r="1740" spans="8:8">
      <c r="H1740" s="1505"/>
    </row>
    <row r="1741" spans="8:8">
      <c r="H1741" s="1505"/>
    </row>
    <row r="1742" spans="8:8">
      <c r="H1742" s="1505"/>
    </row>
    <row r="1743" spans="8:8">
      <c r="H1743" s="1505"/>
    </row>
    <row r="1744" spans="8:8">
      <c r="H1744" s="1505"/>
    </row>
    <row r="1745" spans="8:8">
      <c r="H1745" s="1505"/>
    </row>
    <row r="1746" spans="8:8">
      <c r="H1746" s="1505"/>
    </row>
    <row r="1747" spans="8:8">
      <c r="H1747" s="1505"/>
    </row>
    <row r="1748" spans="8:8">
      <c r="H1748" s="1505"/>
    </row>
    <row r="1749" spans="8:8">
      <c r="H1749" s="1505"/>
    </row>
    <row r="1750" spans="8:8">
      <c r="H1750" s="1505"/>
    </row>
    <row r="1751" spans="8:8">
      <c r="H1751" s="1505"/>
    </row>
    <row r="1752" spans="8:8">
      <c r="H1752" s="1505"/>
    </row>
    <row r="1753" spans="8:8">
      <c r="H1753" s="1505"/>
    </row>
    <row r="1754" spans="8:8">
      <c r="H1754" s="1505"/>
    </row>
    <row r="1755" spans="8:8">
      <c r="H1755" s="1505"/>
    </row>
    <row r="1756" spans="8:8">
      <c r="H1756" s="1505"/>
    </row>
    <row r="1757" spans="8:8">
      <c r="H1757" s="1505"/>
    </row>
    <row r="1758" spans="8:8">
      <c r="H1758" s="1505"/>
    </row>
    <row r="1759" spans="8:8">
      <c r="H1759" s="1505"/>
    </row>
    <row r="1760" spans="8:8">
      <c r="H1760" s="1505"/>
    </row>
    <row r="1761" spans="8:8">
      <c r="H1761" s="1505"/>
    </row>
    <row r="1762" spans="8:8">
      <c r="H1762" s="1505"/>
    </row>
    <row r="1763" spans="8:8">
      <c r="H1763" s="1505"/>
    </row>
    <row r="1764" spans="8:8">
      <c r="H1764" s="1505"/>
    </row>
    <row r="1765" spans="8:8">
      <c r="H1765" s="1505"/>
    </row>
    <row r="1766" spans="8:8">
      <c r="H1766" s="1505"/>
    </row>
    <row r="1767" spans="8:8">
      <c r="H1767" s="1505"/>
    </row>
    <row r="1768" spans="8:8">
      <c r="H1768" s="1505"/>
    </row>
    <row r="1769" spans="8:8">
      <c r="H1769" s="1505"/>
    </row>
    <row r="1770" spans="8:8">
      <c r="H1770" s="1505"/>
    </row>
    <row r="1771" spans="8:8">
      <c r="H1771" s="1505"/>
    </row>
    <row r="1772" spans="8:8">
      <c r="H1772" s="1505"/>
    </row>
    <row r="1773" spans="8:8">
      <c r="H1773" s="1505"/>
    </row>
    <row r="1774" spans="8:8">
      <c r="H1774" s="1505"/>
    </row>
    <row r="1775" spans="8:8">
      <c r="H1775" s="1505"/>
    </row>
    <row r="1776" spans="8:8">
      <c r="H1776" s="1505"/>
    </row>
    <row r="1777" spans="8:8">
      <c r="H1777" s="1505"/>
    </row>
    <row r="1778" spans="8:8">
      <c r="H1778" s="1505"/>
    </row>
    <row r="1779" spans="8:8">
      <c r="H1779" s="1505"/>
    </row>
    <row r="1780" spans="8:8">
      <c r="H1780" s="1505"/>
    </row>
    <row r="1781" spans="8:8">
      <c r="H1781" s="1505"/>
    </row>
    <row r="1782" spans="8:8">
      <c r="H1782" s="1505"/>
    </row>
    <row r="1783" spans="8:8">
      <c r="H1783" s="1505"/>
    </row>
    <row r="1784" spans="8:8">
      <c r="H1784" s="1505"/>
    </row>
    <row r="1785" spans="8:8">
      <c r="H1785" s="1505"/>
    </row>
    <row r="1786" spans="8:8">
      <c r="H1786" s="1505"/>
    </row>
    <row r="1787" spans="8:8">
      <c r="H1787" s="1505"/>
    </row>
    <row r="1788" spans="8:8">
      <c r="H1788" s="1505"/>
    </row>
    <row r="1789" spans="8:8">
      <c r="H1789" s="1505"/>
    </row>
    <row r="1790" spans="8:8">
      <c r="H1790" s="1505"/>
    </row>
    <row r="1791" spans="8:8">
      <c r="H1791" s="1505"/>
    </row>
    <row r="1792" spans="8:8">
      <c r="H1792" s="1505"/>
    </row>
    <row r="1793" spans="8:8">
      <c r="H1793" s="1505"/>
    </row>
    <row r="1794" spans="8:8">
      <c r="H1794" s="1505"/>
    </row>
    <row r="1795" spans="8:8">
      <c r="H1795" s="1505"/>
    </row>
    <row r="1796" spans="8:8">
      <c r="H1796" s="1505"/>
    </row>
    <row r="1797" spans="8:8">
      <c r="H1797" s="1505"/>
    </row>
    <row r="1798" spans="8:8">
      <c r="H1798" s="1505"/>
    </row>
    <row r="1799" spans="8:8">
      <c r="H1799" s="1505"/>
    </row>
    <row r="1800" spans="8:8">
      <c r="H1800" s="1505"/>
    </row>
    <row r="1801" spans="8:8">
      <c r="H1801" s="1505"/>
    </row>
    <row r="1802" spans="8:8">
      <c r="H1802" s="1505"/>
    </row>
    <row r="1803" spans="8:8">
      <c r="H1803" s="1505"/>
    </row>
    <row r="1804" spans="8:8">
      <c r="H1804" s="1505"/>
    </row>
    <row r="1805" spans="8:8">
      <c r="H1805" s="1505"/>
    </row>
    <row r="1806" spans="8:8">
      <c r="H1806" s="1505"/>
    </row>
    <row r="1807" spans="8:8">
      <c r="H1807" s="1505"/>
    </row>
    <row r="1808" spans="8:8">
      <c r="H1808" s="1505"/>
    </row>
    <row r="1809" spans="8:8">
      <c r="H1809" s="1505"/>
    </row>
    <row r="1810" spans="8:8">
      <c r="H1810" s="1505"/>
    </row>
    <row r="1811" spans="8:8">
      <c r="H1811" s="1505"/>
    </row>
    <row r="1812" spans="8:8">
      <c r="H1812" s="1505"/>
    </row>
    <row r="1813" spans="8:8">
      <c r="H1813" s="1505"/>
    </row>
    <row r="1814" spans="8:8">
      <c r="H1814" s="1505"/>
    </row>
    <row r="1815" spans="8:8">
      <c r="H1815" s="1505"/>
    </row>
    <row r="1816" spans="8:8">
      <c r="H1816" s="1505"/>
    </row>
    <row r="1817" spans="8:8">
      <c r="H1817" s="1505"/>
    </row>
    <row r="1818" spans="8:8">
      <c r="H1818" s="1505"/>
    </row>
    <row r="1819" spans="8:8">
      <c r="H1819" s="1505"/>
    </row>
    <row r="1820" spans="8:8">
      <c r="H1820" s="1505"/>
    </row>
    <row r="1821" spans="8:8">
      <c r="H1821" s="1505"/>
    </row>
    <row r="1822" spans="8:8">
      <c r="H1822" s="1505"/>
    </row>
    <row r="1823" spans="8:8">
      <c r="H1823" s="1505"/>
    </row>
    <row r="1824" spans="8:8">
      <c r="H1824" s="1505"/>
    </row>
    <row r="1825" spans="8:8">
      <c r="H1825" s="1505"/>
    </row>
    <row r="1826" spans="8:8">
      <c r="H1826" s="1505"/>
    </row>
    <row r="1827" spans="8:8">
      <c r="H1827" s="1505"/>
    </row>
    <row r="1828" spans="8:8">
      <c r="H1828" s="1505"/>
    </row>
    <row r="1829" spans="8:8">
      <c r="H1829" s="1505"/>
    </row>
    <row r="1830" spans="8:8">
      <c r="H1830" s="1505"/>
    </row>
    <row r="1831" spans="8:8">
      <c r="H1831" s="1505"/>
    </row>
    <row r="1832" spans="8:8">
      <c r="H1832" s="1505"/>
    </row>
    <row r="1833" spans="8:8">
      <c r="H1833" s="1505"/>
    </row>
    <row r="1834" spans="8:8">
      <c r="H1834" s="1505"/>
    </row>
    <row r="1835" spans="8:8">
      <c r="H1835" s="1505"/>
    </row>
    <row r="1836" spans="8:8">
      <c r="H1836" s="1505"/>
    </row>
    <row r="1837" spans="8:8">
      <c r="H1837" s="1505"/>
    </row>
    <row r="1838" spans="8:8">
      <c r="H1838" s="1505"/>
    </row>
    <row r="1839" spans="8:8">
      <c r="H1839" s="1505"/>
    </row>
    <row r="1840" spans="8:8">
      <c r="H1840" s="1505"/>
    </row>
    <row r="1841" spans="8:8">
      <c r="H1841" s="1505"/>
    </row>
    <row r="1842" spans="8:8">
      <c r="H1842" s="1505"/>
    </row>
    <row r="1843" spans="8:8">
      <c r="H1843" s="1505"/>
    </row>
    <row r="1844" spans="8:8">
      <c r="H1844" s="1505"/>
    </row>
    <row r="1845" spans="8:8">
      <c r="H1845" s="1505"/>
    </row>
    <row r="1846" spans="8:8">
      <c r="H1846" s="1505"/>
    </row>
    <row r="1847" spans="8:8">
      <c r="H1847" s="1505"/>
    </row>
    <row r="1848" spans="8:8">
      <c r="H1848" s="1505"/>
    </row>
    <row r="1849" spans="8:8">
      <c r="H1849" s="1505"/>
    </row>
    <row r="1850" spans="8:8">
      <c r="H1850" s="1505"/>
    </row>
    <row r="1851" spans="8:8">
      <c r="H1851" s="1505"/>
    </row>
    <row r="1852" spans="8:8">
      <c r="H1852" s="1505"/>
    </row>
    <row r="1853" spans="8:8">
      <c r="H1853" s="1505"/>
    </row>
    <row r="1854" spans="8:8">
      <c r="H1854" s="1505"/>
    </row>
    <row r="1855" spans="8:8">
      <c r="H1855" s="1505"/>
    </row>
    <row r="1856" spans="8:8">
      <c r="H1856" s="1505"/>
    </row>
    <row r="1857" spans="8:8">
      <c r="H1857" s="1505"/>
    </row>
    <row r="1858" spans="8:8">
      <c r="H1858" s="1505"/>
    </row>
    <row r="1859" spans="8:8">
      <c r="H1859" s="1505"/>
    </row>
    <row r="1860" spans="8:8">
      <c r="H1860" s="1505"/>
    </row>
    <row r="1861" spans="8:8">
      <c r="H1861" s="1505"/>
    </row>
    <row r="1862" spans="8:8">
      <c r="H1862" s="1505"/>
    </row>
    <row r="1863" spans="8:8">
      <c r="H1863" s="1505"/>
    </row>
    <row r="1864" spans="8:8">
      <c r="H1864" s="1505"/>
    </row>
    <row r="1865" spans="8:8">
      <c r="H1865" s="1505"/>
    </row>
    <row r="1866" spans="8:8">
      <c r="H1866" s="1505"/>
    </row>
    <row r="1867" spans="8:8">
      <c r="H1867" s="1505"/>
    </row>
    <row r="1868" spans="8:8">
      <c r="H1868" s="1505"/>
    </row>
    <row r="1869" spans="8:8">
      <c r="H1869" s="1505"/>
    </row>
    <row r="1870" spans="8:8">
      <c r="H1870" s="1505"/>
    </row>
    <row r="1871" spans="8:8">
      <c r="H1871" s="1505"/>
    </row>
    <row r="1872" spans="8:8">
      <c r="H1872" s="1505"/>
    </row>
    <row r="1873" spans="8:8">
      <c r="H1873" s="1505"/>
    </row>
    <row r="1874" spans="8:8">
      <c r="H1874" s="1505"/>
    </row>
    <row r="1875" spans="8:8">
      <c r="H1875" s="1505"/>
    </row>
    <row r="1876" spans="8:8">
      <c r="H1876" s="1505"/>
    </row>
    <row r="1877" spans="8:8">
      <c r="H1877" s="1505"/>
    </row>
    <row r="1878" spans="8:8">
      <c r="H1878" s="1505"/>
    </row>
    <row r="1879" spans="8:8">
      <c r="H1879" s="1505"/>
    </row>
    <row r="1880" spans="8:8">
      <c r="H1880" s="1505"/>
    </row>
    <row r="1881" spans="8:8">
      <c r="H1881" s="1505"/>
    </row>
    <row r="1882" spans="8:8">
      <c r="H1882" s="1505"/>
    </row>
    <row r="1883" spans="8:8">
      <c r="H1883" s="1505"/>
    </row>
    <row r="1884" spans="8:8">
      <c r="H1884" s="1505"/>
    </row>
    <row r="1885" spans="8:8">
      <c r="H1885" s="1505"/>
    </row>
    <row r="1886" spans="8:8">
      <c r="H1886" s="1505"/>
    </row>
    <row r="1887" spans="8:8">
      <c r="H1887" s="1505"/>
    </row>
    <row r="1888" spans="8:8">
      <c r="H1888" s="1505"/>
    </row>
    <row r="1889" spans="8:8">
      <c r="H1889" s="1505"/>
    </row>
    <row r="1890" spans="8:8">
      <c r="H1890" s="1505"/>
    </row>
    <row r="1891" spans="8:8">
      <c r="H1891" s="1505"/>
    </row>
    <row r="1892" spans="8:8">
      <c r="H1892" s="1505"/>
    </row>
    <row r="1893" spans="8:8">
      <c r="H1893" s="1505"/>
    </row>
    <row r="1894" spans="8:8">
      <c r="H1894" s="1505"/>
    </row>
    <row r="1895" spans="8:8">
      <c r="H1895" s="1505"/>
    </row>
    <row r="1896" spans="8:8">
      <c r="H1896" s="1505"/>
    </row>
    <row r="1897" spans="8:8">
      <c r="H1897" s="1505"/>
    </row>
    <row r="1898" spans="8:8">
      <c r="H1898" s="1505"/>
    </row>
    <row r="1899" spans="8:8">
      <c r="H1899" s="1505"/>
    </row>
    <row r="1900" spans="8:8">
      <c r="H1900" s="1505"/>
    </row>
    <row r="1901" spans="8:8">
      <c r="H1901" s="1505"/>
    </row>
    <row r="1902" spans="8:8">
      <c r="H1902" s="1505"/>
    </row>
    <row r="1903" spans="8:8">
      <c r="H1903" s="1505"/>
    </row>
    <row r="1904" spans="8:8">
      <c r="H1904" s="1505"/>
    </row>
    <row r="1905" spans="8:8">
      <c r="H1905" s="1505"/>
    </row>
    <row r="1906" spans="8:8">
      <c r="H1906" s="1505"/>
    </row>
    <row r="1907" spans="8:8">
      <c r="H1907" s="1505"/>
    </row>
    <row r="1908" spans="8:8">
      <c r="H1908" s="1505"/>
    </row>
    <row r="1909" spans="8:8">
      <c r="H1909" s="1505"/>
    </row>
    <row r="1910" spans="8:8">
      <c r="H1910" s="1505"/>
    </row>
    <row r="1911" spans="8:8">
      <c r="H1911" s="1505"/>
    </row>
    <row r="1912" spans="8:8">
      <c r="H1912" s="1505"/>
    </row>
    <row r="1913" spans="8:8">
      <c r="H1913" s="1505"/>
    </row>
    <row r="1914" spans="8:8">
      <c r="H1914" s="1505"/>
    </row>
    <row r="1915" spans="8:8">
      <c r="H1915" s="1505"/>
    </row>
    <row r="1916" spans="8:8">
      <c r="H1916" s="1505"/>
    </row>
    <row r="1917" spans="8:8">
      <c r="H1917" s="1505"/>
    </row>
    <row r="1918" spans="8:8">
      <c r="H1918" s="1505"/>
    </row>
    <row r="1919" spans="8:8">
      <c r="H1919" s="1505"/>
    </row>
    <row r="1920" spans="8:8">
      <c r="H1920" s="1505"/>
    </row>
    <row r="1921" spans="8:8">
      <c r="H1921" s="1505"/>
    </row>
    <row r="1922" spans="8:8">
      <c r="H1922" s="1505"/>
    </row>
    <row r="1923" spans="8:8">
      <c r="H1923" s="1505"/>
    </row>
    <row r="1924" spans="8:8">
      <c r="H1924" s="1505"/>
    </row>
    <row r="1925" spans="8:8">
      <c r="H1925" s="1505"/>
    </row>
    <row r="1926" spans="8:8">
      <c r="H1926" s="1505"/>
    </row>
    <row r="1927" spans="8:8">
      <c r="H1927" s="1505"/>
    </row>
    <row r="1928" spans="8:8">
      <c r="H1928" s="1505"/>
    </row>
    <row r="1929" spans="8:8">
      <c r="H1929" s="1505"/>
    </row>
    <row r="1930" spans="8:8">
      <c r="H1930" s="1505"/>
    </row>
    <row r="1931" spans="8:8">
      <c r="H1931" s="1505"/>
    </row>
    <row r="1932" spans="8:8">
      <c r="H1932" s="1505"/>
    </row>
    <row r="1933" spans="8:8">
      <c r="H1933" s="1505"/>
    </row>
    <row r="1934" spans="8:8">
      <c r="H1934" s="1505"/>
    </row>
    <row r="1935" spans="8:8">
      <c r="H1935" s="1505"/>
    </row>
    <row r="1936" spans="8:8">
      <c r="H1936" s="1505"/>
    </row>
    <row r="1937" spans="8:8">
      <c r="H1937" s="1505"/>
    </row>
    <row r="1938" spans="8:8">
      <c r="H1938" s="1505"/>
    </row>
    <row r="1939" spans="8:8">
      <c r="H1939" s="1505"/>
    </row>
    <row r="1940" spans="8:8">
      <c r="H1940" s="1505"/>
    </row>
    <row r="1941" spans="8:8">
      <c r="H1941" s="1505"/>
    </row>
    <row r="1942" spans="8:8">
      <c r="H1942" s="1505"/>
    </row>
    <row r="1943" spans="8:8">
      <c r="H1943" s="1505"/>
    </row>
    <row r="1944" spans="8:8">
      <c r="H1944" s="1505"/>
    </row>
    <row r="1945" spans="8:8">
      <c r="H1945" s="1505"/>
    </row>
    <row r="1946" spans="8:8">
      <c r="H1946" s="1505"/>
    </row>
    <row r="1947" spans="8:8">
      <c r="H1947" s="1505"/>
    </row>
    <row r="1948" spans="8:8">
      <c r="H1948" s="1505"/>
    </row>
    <row r="1949" spans="8:8">
      <c r="H1949" s="1505"/>
    </row>
    <row r="1950" spans="8:8">
      <c r="H1950" s="1505"/>
    </row>
    <row r="1951" spans="8:8">
      <c r="H1951" s="1505"/>
    </row>
    <row r="1952" spans="8:8">
      <c r="H1952" s="1505"/>
    </row>
    <row r="1953" spans="8:8">
      <c r="H1953" s="1505"/>
    </row>
    <row r="1954" spans="8:8">
      <c r="H1954" s="1505"/>
    </row>
    <row r="1955" spans="8:8">
      <c r="H1955" s="1505"/>
    </row>
    <row r="1956" spans="8:8">
      <c r="H1956" s="1505"/>
    </row>
    <row r="1957" spans="8:8">
      <c r="H1957" s="1505"/>
    </row>
    <row r="1958" spans="8:8">
      <c r="H1958" s="1505"/>
    </row>
    <row r="1959" spans="8:8">
      <c r="H1959" s="1505"/>
    </row>
    <row r="1960" spans="8:8">
      <c r="H1960" s="1505"/>
    </row>
    <row r="1961" spans="8:8">
      <c r="H1961" s="1505"/>
    </row>
    <row r="1962" spans="8:8">
      <c r="H1962" s="1505"/>
    </row>
    <row r="1963" spans="8:8">
      <c r="H1963" s="1505"/>
    </row>
    <row r="1964" spans="8:8">
      <c r="H1964" s="1505"/>
    </row>
    <row r="1965" spans="8:8">
      <c r="H1965" s="1505"/>
    </row>
    <row r="1966" spans="8:8">
      <c r="H1966" s="1505"/>
    </row>
    <row r="1967" spans="8:8">
      <c r="H1967" s="1505"/>
    </row>
    <row r="1968" spans="8:8">
      <c r="H1968" s="1505"/>
    </row>
    <row r="1969" spans="8:8">
      <c r="H1969" s="1505"/>
    </row>
    <row r="1970" spans="8:8">
      <c r="H1970" s="1505"/>
    </row>
    <row r="1971" spans="8:8">
      <c r="H1971" s="1505"/>
    </row>
    <row r="1972" spans="8:8">
      <c r="H1972" s="1505"/>
    </row>
    <row r="1973" spans="8:8">
      <c r="H1973" s="1505"/>
    </row>
    <row r="1974" spans="8:8">
      <c r="H1974" s="1505"/>
    </row>
    <row r="1975" spans="8:8">
      <c r="H1975" s="1505"/>
    </row>
    <row r="1976" spans="8:8">
      <c r="H1976" s="1505"/>
    </row>
    <row r="1977" spans="8:8">
      <c r="H1977" s="1505"/>
    </row>
    <row r="1978" spans="8:8">
      <c r="H1978" s="1505"/>
    </row>
    <row r="1979" spans="8:8">
      <c r="H1979" s="1505"/>
    </row>
    <row r="1980" spans="8:8">
      <c r="H1980" s="1505"/>
    </row>
    <row r="1981" spans="8:8">
      <c r="H1981" s="1505"/>
    </row>
    <row r="1982" spans="8:8">
      <c r="H1982" s="1505"/>
    </row>
    <row r="1983" spans="8:8">
      <c r="H1983" s="1505"/>
    </row>
    <row r="1984" spans="8:8">
      <c r="H1984" s="1505"/>
    </row>
    <row r="1985" spans="8:8">
      <c r="H1985" s="1505"/>
    </row>
    <row r="1986" spans="8:8">
      <c r="H1986" s="1505"/>
    </row>
    <row r="1987" spans="8:8">
      <c r="H1987" s="1505"/>
    </row>
    <row r="1988" spans="8:8">
      <c r="H1988" s="1505"/>
    </row>
    <row r="1989" spans="8:8">
      <c r="H1989" s="1505"/>
    </row>
    <row r="1990" spans="8:8">
      <c r="H1990" s="1505"/>
    </row>
    <row r="1991" spans="8:8">
      <c r="H1991" s="1505"/>
    </row>
    <row r="1992" spans="8:8">
      <c r="H1992" s="1505"/>
    </row>
    <row r="1993" spans="8:8">
      <c r="H1993" s="1505"/>
    </row>
    <row r="1994" spans="8:8">
      <c r="H1994" s="1505"/>
    </row>
    <row r="1995" spans="8:8">
      <c r="H1995" s="1505"/>
    </row>
    <row r="1996" spans="8:8">
      <c r="H1996" s="1505"/>
    </row>
    <row r="1997" spans="8:8">
      <c r="H1997" s="1505"/>
    </row>
    <row r="1998" spans="8:8">
      <c r="H1998" s="1505"/>
    </row>
    <row r="1999" spans="8:8">
      <c r="H1999" s="1505"/>
    </row>
    <row r="2000" spans="8:8">
      <c r="H2000" s="1505"/>
    </row>
    <row r="2001" spans="8:8">
      <c r="H2001" s="1505"/>
    </row>
    <row r="2002" spans="8:8">
      <c r="H2002" s="1505"/>
    </row>
    <row r="2003" spans="8:8">
      <c r="H2003" s="1505"/>
    </row>
    <row r="2004" spans="8:8">
      <c r="H2004" s="1505"/>
    </row>
    <row r="2005" spans="8:8">
      <c r="H2005" s="1505"/>
    </row>
    <row r="2006" spans="8:8">
      <c r="H2006" s="1505"/>
    </row>
    <row r="2007" spans="8:8">
      <c r="H2007" s="1505"/>
    </row>
    <row r="2008" spans="8:8">
      <c r="H2008" s="1505"/>
    </row>
    <row r="2009" spans="8:8">
      <c r="H2009" s="1505"/>
    </row>
    <row r="2010" spans="8:8">
      <c r="H2010" s="1505"/>
    </row>
    <row r="2011" spans="8:8">
      <c r="H2011" s="1505"/>
    </row>
    <row r="2012" spans="8:8">
      <c r="H2012" s="1505"/>
    </row>
    <row r="2013" spans="8:8">
      <c r="H2013" s="1505"/>
    </row>
    <row r="2014" spans="8:8">
      <c r="H2014" s="1505"/>
    </row>
    <row r="2015" spans="8:8">
      <c r="H2015" s="1505"/>
    </row>
    <row r="2016" spans="8:8">
      <c r="H2016" s="1505"/>
    </row>
    <row r="2017" spans="8:8">
      <c r="H2017" s="1505"/>
    </row>
    <row r="2018" spans="8:8">
      <c r="H2018" s="1505"/>
    </row>
    <row r="2019" spans="8:8">
      <c r="H2019" s="1505"/>
    </row>
    <row r="2020" spans="8:8">
      <c r="H2020" s="1505"/>
    </row>
    <row r="2021" spans="8:8">
      <c r="H2021" s="1505"/>
    </row>
    <row r="2022" spans="8:8">
      <c r="H2022" s="1505"/>
    </row>
    <row r="2023" spans="8:8">
      <c r="H2023" s="1505"/>
    </row>
    <row r="2024" spans="8:8">
      <c r="H2024" s="1505"/>
    </row>
    <row r="2025" spans="8:8">
      <c r="H2025" s="1505"/>
    </row>
    <row r="2026" spans="8:8">
      <c r="H2026" s="1505"/>
    </row>
    <row r="2027" spans="8:8">
      <c r="H2027" s="1505"/>
    </row>
    <row r="2028" spans="8:8">
      <c r="H2028" s="1505"/>
    </row>
    <row r="2029" spans="8:8">
      <c r="H2029" s="1505"/>
    </row>
    <row r="2030" spans="8:8">
      <c r="H2030" s="1505"/>
    </row>
    <row r="2031" spans="8:8">
      <c r="H2031" s="1505"/>
    </row>
    <row r="2032" spans="8:8">
      <c r="H2032" s="1505"/>
    </row>
    <row r="2033" spans="8:8">
      <c r="H2033" s="1505"/>
    </row>
    <row r="2034" spans="8:8">
      <c r="H2034" s="1505"/>
    </row>
    <row r="2035" spans="8:8">
      <c r="H2035" s="1505"/>
    </row>
    <row r="2036" spans="8:8">
      <c r="H2036" s="1505"/>
    </row>
    <row r="2037" spans="8:8">
      <c r="H2037" s="1505"/>
    </row>
    <row r="2038" spans="8:8">
      <c r="H2038" s="1505"/>
    </row>
    <row r="2039" spans="8:8">
      <c r="H2039" s="1505"/>
    </row>
    <row r="2040" spans="8:8">
      <c r="H2040" s="1505"/>
    </row>
    <row r="2041" spans="8:8">
      <c r="H2041" s="1505"/>
    </row>
    <row r="2042" spans="8:8">
      <c r="H2042" s="1505"/>
    </row>
    <row r="2043" spans="8:8">
      <c r="H2043" s="1505"/>
    </row>
    <row r="2044" spans="8:8">
      <c r="H2044" s="1505"/>
    </row>
    <row r="2045" spans="8:8">
      <c r="H2045" s="1505"/>
    </row>
    <row r="2046" spans="8:8">
      <c r="H2046" s="1505"/>
    </row>
    <row r="2047" spans="8:8">
      <c r="H2047" s="1505"/>
    </row>
    <row r="2048" spans="8:8">
      <c r="H2048" s="1505"/>
    </row>
    <row r="2049" spans="8:8">
      <c r="H2049" s="1505"/>
    </row>
    <row r="2050" spans="8:8">
      <c r="H2050" s="1505"/>
    </row>
    <row r="2051" spans="8:8">
      <c r="H2051" s="1505"/>
    </row>
    <row r="2052" spans="8:8">
      <c r="H2052" s="1505"/>
    </row>
    <row r="2053" spans="8:8">
      <c r="H2053" s="1505"/>
    </row>
    <row r="2054" spans="8:8">
      <c r="H2054" s="1505"/>
    </row>
    <row r="2055" spans="8:8">
      <c r="H2055" s="1505"/>
    </row>
    <row r="2056" spans="8:8">
      <c r="H2056" s="1505"/>
    </row>
    <row r="2057" spans="8:8">
      <c r="H2057" s="1505"/>
    </row>
    <row r="2058" spans="8:8">
      <c r="H2058" s="1505"/>
    </row>
    <row r="2059" spans="8:8">
      <c r="H2059" s="1505"/>
    </row>
    <row r="2060" spans="8:8">
      <c r="H2060" s="1505"/>
    </row>
    <row r="2061" spans="8:8">
      <c r="H2061" s="1505"/>
    </row>
    <row r="2062" spans="8:8">
      <c r="H2062" s="1505"/>
    </row>
    <row r="2063" spans="8:8">
      <c r="H2063" s="1505"/>
    </row>
    <row r="2064" spans="8:8">
      <c r="H2064" s="1505"/>
    </row>
    <row r="2065" spans="8:8">
      <c r="H2065" s="1505"/>
    </row>
    <row r="2066" spans="8:8">
      <c r="H2066" s="1505"/>
    </row>
    <row r="2067" spans="8:8">
      <c r="H2067" s="1505"/>
    </row>
    <row r="2068" spans="8:8">
      <c r="H2068" s="1505"/>
    </row>
    <row r="2069" spans="8:8">
      <c r="H2069" s="1505"/>
    </row>
    <row r="2070" spans="8:8">
      <c r="H2070" s="1505"/>
    </row>
    <row r="2071" spans="8:8">
      <c r="H2071" s="1505"/>
    </row>
    <row r="2072" spans="8:8">
      <c r="H2072" s="1505"/>
    </row>
    <row r="2073" spans="8:8">
      <c r="H2073" s="1505"/>
    </row>
    <row r="2074" spans="8:8">
      <c r="H2074" s="1505"/>
    </row>
    <row r="2075" spans="8:8">
      <c r="H2075" s="1505"/>
    </row>
    <row r="2076" spans="8:8">
      <c r="H2076" s="1505"/>
    </row>
    <row r="2077" spans="8:8">
      <c r="H2077" s="1505"/>
    </row>
    <row r="2078" spans="8:8">
      <c r="H2078" s="1505"/>
    </row>
    <row r="2079" spans="8:8">
      <c r="H2079" s="1505"/>
    </row>
    <row r="2080" spans="8:8">
      <c r="H2080" s="1505"/>
    </row>
    <row r="2081" spans="8:8">
      <c r="H2081" s="1505"/>
    </row>
    <row r="2082" spans="8:8">
      <c r="H2082" s="1505"/>
    </row>
    <row r="2083" spans="8:8">
      <c r="H2083" s="1505"/>
    </row>
    <row r="2084" spans="8:8">
      <c r="H2084" s="1505"/>
    </row>
    <row r="2085" spans="8:8">
      <c r="H2085" s="1505"/>
    </row>
    <row r="2086" spans="8:8">
      <c r="H2086" s="1505"/>
    </row>
    <row r="2087" spans="8:8">
      <c r="H2087" s="1505"/>
    </row>
    <row r="2088" spans="8:8">
      <c r="H2088" s="1505"/>
    </row>
    <row r="2089" spans="8:8">
      <c r="H2089" s="1505"/>
    </row>
    <row r="2090" spans="8:8">
      <c r="H2090" s="1505"/>
    </row>
    <row r="2091" spans="8:8">
      <c r="H2091" s="1505"/>
    </row>
    <row r="2092" spans="8:8">
      <c r="H2092" s="1505"/>
    </row>
    <row r="2093" spans="8:8">
      <c r="H2093" s="1505"/>
    </row>
    <row r="2094" spans="8:8">
      <c r="H2094" s="1505"/>
    </row>
    <row r="2095" spans="8:8">
      <c r="H2095" s="1505"/>
    </row>
    <row r="2096" spans="8:8">
      <c r="H2096" s="1505"/>
    </row>
    <row r="2097" spans="8:8">
      <c r="H2097" s="1505"/>
    </row>
    <row r="2098" spans="8:8">
      <c r="H2098" s="1505"/>
    </row>
    <row r="2099" spans="8:8">
      <c r="H2099" s="1505"/>
    </row>
    <row r="2100" spans="8:8">
      <c r="H2100" s="1505"/>
    </row>
    <row r="2101" spans="8:8">
      <c r="H2101" s="1505"/>
    </row>
    <row r="2102" spans="8:8">
      <c r="H2102" s="1505"/>
    </row>
    <row r="2103" spans="8:8">
      <c r="H2103" s="1505"/>
    </row>
    <row r="2104" spans="8:8">
      <c r="H2104" s="1505"/>
    </row>
    <row r="2105" spans="8:8">
      <c r="H2105" s="1505"/>
    </row>
    <row r="2106" spans="8:8">
      <c r="H2106" s="1505"/>
    </row>
    <row r="2107" spans="8:8">
      <c r="H2107" s="1505"/>
    </row>
    <row r="2108" spans="8:8">
      <c r="H2108" s="1505"/>
    </row>
    <row r="2109" spans="8:8">
      <c r="H2109" s="1505"/>
    </row>
    <row r="2110" spans="8:8">
      <c r="H2110" s="1505"/>
    </row>
    <row r="2111" spans="8:8">
      <c r="H2111" s="1505"/>
    </row>
    <row r="2112" spans="8:8">
      <c r="H2112" s="1505"/>
    </row>
    <row r="2113" spans="8:8">
      <c r="H2113" s="1505"/>
    </row>
    <row r="2114" spans="8:8">
      <c r="H2114" s="1505"/>
    </row>
    <row r="2115" spans="8:8">
      <c r="H2115" s="1505"/>
    </row>
    <row r="2116" spans="8:8">
      <c r="H2116" s="1505"/>
    </row>
    <row r="2117" spans="8:8">
      <c r="H2117" s="1505"/>
    </row>
    <row r="2118" spans="8:8">
      <c r="H2118" s="1505"/>
    </row>
    <row r="2119" spans="8:8">
      <c r="H2119" s="1505"/>
    </row>
    <row r="2120" spans="8:8">
      <c r="H2120" s="1505"/>
    </row>
    <row r="2121" spans="8:8">
      <c r="H2121" s="1505"/>
    </row>
    <row r="2122" spans="8:8">
      <c r="H2122" s="1505"/>
    </row>
    <row r="2123" spans="8:8">
      <c r="H2123" s="1505"/>
    </row>
    <row r="2124" spans="8:8">
      <c r="H2124" s="1505"/>
    </row>
    <row r="2125" spans="8:8">
      <c r="H2125" s="1505"/>
    </row>
    <row r="2126" spans="8:8">
      <c r="H2126" s="1505"/>
    </row>
    <row r="2127" spans="8:8">
      <c r="H2127" s="1505"/>
    </row>
    <row r="2128" spans="8:8">
      <c r="H2128" s="1505"/>
    </row>
    <row r="2129" spans="8:8">
      <c r="H2129" s="1505"/>
    </row>
    <row r="2130" spans="8:8">
      <c r="H2130" s="1505"/>
    </row>
    <row r="2131" spans="8:8">
      <c r="H2131" s="1505"/>
    </row>
    <row r="2132" spans="8:8">
      <c r="H2132" s="1505"/>
    </row>
    <row r="2133" spans="8:8">
      <c r="H2133" s="1505"/>
    </row>
    <row r="2134" spans="8:8">
      <c r="H2134" s="1505"/>
    </row>
    <row r="2135" spans="8:8">
      <c r="H2135" s="1505"/>
    </row>
    <row r="2136" spans="8:8">
      <c r="H2136" s="1505"/>
    </row>
    <row r="2137" spans="8:8">
      <c r="H2137" s="1505"/>
    </row>
    <row r="2138" spans="8:8">
      <c r="H2138" s="1505"/>
    </row>
    <row r="2139" spans="8:8">
      <c r="H2139" s="1505"/>
    </row>
    <row r="2140" spans="8:8">
      <c r="H2140" s="1505"/>
    </row>
    <row r="2141" spans="8:8">
      <c r="H2141" s="1505"/>
    </row>
    <row r="2142" spans="8:8">
      <c r="H2142" s="1505"/>
    </row>
    <row r="2143" spans="8:8">
      <c r="H2143" s="1505"/>
    </row>
    <row r="2144" spans="8:8">
      <c r="H2144" s="1505"/>
    </row>
    <row r="2145" spans="8:8">
      <c r="H2145" s="1505"/>
    </row>
    <row r="2146" spans="8:8">
      <c r="H2146" s="1505"/>
    </row>
    <row r="2147" spans="8:8">
      <c r="H2147" s="1505"/>
    </row>
    <row r="2148" spans="8:8">
      <c r="H2148" s="1505"/>
    </row>
    <row r="2149" spans="8:8">
      <c r="H2149" s="1505"/>
    </row>
    <row r="2150" spans="8:8">
      <c r="H2150" s="1505"/>
    </row>
    <row r="2151" spans="8:8">
      <c r="H2151" s="1505"/>
    </row>
    <row r="2152" spans="8:8">
      <c r="H2152" s="1505"/>
    </row>
    <row r="2153" spans="8:8">
      <c r="H2153" s="1505"/>
    </row>
    <row r="2154" spans="8:8">
      <c r="H2154" s="1505"/>
    </row>
    <row r="2155" spans="8:8">
      <c r="H2155" s="1505"/>
    </row>
    <row r="2156" spans="8:8">
      <c r="H2156" s="1505"/>
    </row>
    <row r="2157" spans="8:8">
      <c r="H2157" s="1505"/>
    </row>
    <row r="2158" spans="8:8">
      <c r="H2158" s="1505"/>
    </row>
    <row r="2159" spans="8:8">
      <c r="H2159" s="1505"/>
    </row>
    <row r="2160" spans="8:8">
      <c r="H2160" s="1505"/>
    </row>
    <row r="2161" spans="8:8">
      <c r="H2161" s="1505"/>
    </row>
    <row r="2162" spans="8:8">
      <c r="H2162" s="1505"/>
    </row>
    <row r="2163" spans="8:8">
      <c r="H2163" s="1505"/>
    </row>
    <row r="2164" spans="8:8">
      <c r="H2164" s="1505"/>
    </row>
    <row r="2165" spans="8:8">
      <c r="H2165" s="1505"/>
    </row>
    <row r="2166" spans="8:8">
      <c r="H2166" s="1505"/>
    </row>
    <row r="2167" spans="8:8">
      <c r="H2167" s="1505"/>
    </row>
    <row r="2168" spans="8:8">
      <c r="H2168" s="1505"/>
    </row>
    <row r="2169" spans="8:8">
      <c r="H2169" s="1505"/>
    </row>
    <row r="2170" spans="8:8">
      <c r="H2170" s="1505"/>
    </row>
    <row r="2171" spans="8:8">
      <c r="H2171" s="1505"/>
    </row>
    <row r="2172" spans="8:8">
      <c r="H2172" s="1505"/>
    </row>
    <row r="2173" spans="8:8">
      <c r="H2173" s="1505"/>
    </row>
    <row r="2174" spans="8:8">
      <c r="H2174" s="1505"/>
    </row>
    <row r="2175" spans="8:8">
      <c r="H2175" s="1505"/>
    </row>
    <row r="2176" spans="8:8">
      <c r="H2176" s="1505"/>
    </row>
    <row r="2177" spans="8:8">
      <c r="H2177" s="1505"/>
    </row>
    <row r="2178" spans="8:8">
      <c r="H2178" s="1505"/>
    </row>
    <row r="2179" spans="8:8">
      <c r="H2179" s="1505"/>
    </row>
    <row r="2180" spans="8:8">
      <c r="H2180" s="1505"/>
    </row>
    <row r="2181" spans="8:8">
      <c r="H2181" s="1505"/>
    </row>
    <row r="2182" spans="8:8">
      <c r="H2182" s="1505"/>
    </row>
    <row r="2183" spans="8:8">
      <c r="H2183" s="1505"/>
    </row>
    <row r="2184" spans="8:8">
      <c r="H2184" s="1505"/>
    </row>
    <row r="2185" spans="8:8">
      <c r="H2185" s="1505"/>
    </row>
    <row r="2186" spans="8:8">
      <c r="H2186" s="1505"/>
    </row>
    <row r="2187" spans="8:8">
      <c r="H2187" s="1505"/>
    </row>
    <row r="2188" spans="8:8">
      <c r="H2188" s="1505"/>
    </row>
    <row r="2189" spans="8:8">
      <c r="H2189" s="1505"/>
    </row>
    <row r="2190" spans="8:8">
      <c r="H2190" s="1505"/>
    </row>
    <row r="2191" spans="8:8">
      <c r="H2191" s="1505"/>
    </row>
    <row r="2192" spans="8:8">
      <c r="H2192" s="1505"/>
    </row>
    <row r="2193" spans="8:8">
      <c r="H2193" s="1505"/>
    </row>
    <row r="2194" spans="8:8">
      <c r="H2194" s="1505"/>
    </row>
    <row r="2195" spans="8:8">
      <c r="H2195" s="1505"/>
    </row>
    <row r="2196" spans="8:8">
      <c r="H2196" s="1505"/>
    </row>
    <row r="2197" spans="8:8">
      <c r="H2197" s="1505"/>
    </row>
    <row r="2198" spans="8:8">
      <c r="H2198" s="1505"/>
    </row>
    <row r="2199" spans="8:8">
      <c r="H2199" s="1505"/>
    </row>
    <row r="2200" spans="8:8">
      <c r="H2200" s="1505"/>
    </row>
    <row r="2201" spans="8:8">
      <c r="H2201" s="1505"/>
    </row>
    <row r="2202" spans="8:8">
      <c r="H2202" s="1505"/>
    </row>
    <row r="2203" spans="8:8">
      <c r="H2203" s="1505"/>
    </row>
    <row r="2204" spans="8:8">
      <c r="H2204" s="1505"/>
    </row>
    <row r="2205" spans="8:8">
      <c r="H2205" s="1505"/>
    </row>
    <row r="2206" spans="8:8">
      <c r="H2206" s="1505"/>
    </row>
    <row r="2207" spans="8:8">
      <c r="H2207" s="1505"/>
    </row>
    <row r="2208" spans="8:8">
      <c r="H2208" s="1505"/>
    </row>
    <row r="2209" spans="8:8">
      <c r="H2209" s="1505"/>
    </row>
    <row r="2210" spans="8:8">
      <c r="H2210" s="1505"/>
    </row>
    <row r="2211" spans="8:8">
      <c r="H2211" s="1505"/>
    </row>
    <row r="2212" spans="8:8">
      <c r="H2212" s="1505"/>
    </row>
    <row r="2213" spans="8:8">
      <c r="H2213" s="1505"/>
    </row>
    <row r="2214" spans="8:8">
      <c r="H2214" s="1505"/>
    </row>
    <row r="2215" spans="8:8">
      <c r="H2215" s="1505"/>
    </row>
    <row r="2216" spans="8:8">
      <c r="H2216" s="1505"/>
    </row>
    <row r="2217" spans="8:8">
      <c r="H2217" s="1505"/>
    </row>
    <row r="2218" spans="8:8">
      <c r="H2218" s="1505"/>
    </row>
    <row r="2219" spans="8:8">
      <c r="H2219" s="1505"/>
    </row>
    <row r="2220" spans="8:8">
      <c r="H2220" s="1505"/>
    </row>
    <row r="2221" spans="8:8">
      <c r="H2221" s="1505"/>
    </row>
    <row r="2222" spans="8:8">
      <c r="H2222" s="1505"/>
    </row>
    <row r="2223" spans="8:8">
      <c r="H2223" s="1505"/>
    </row>
    <row r="2224" spans="8:8">
      <c r="H2224" s="1505"/>
    </row>
    <row r="2225" spans="8:8">
      <c r="H2225" s="1505"/>
    </row>
    <row r="2226" spans="8:8">
      <c r="H2226" s="1505"/>
    </row>
    <row r="2227" spans="8:8">
      <c r="H2227" s="1505"/>
    </row>
    <row r="2228" spans="8:8">
      <c r="H2228" s="1505"/>
    </row>
    <row r="2229" spans="8:8">
      <c r="H2229" s="1505"/>
    </row>
    <row r="2230" spans="8:8">
      <c r="H2230" s="1505"/>
    </row>
    <row r="2231" spans="8:8">
      <c r="H2231" s="1505"/>
    </row>
    <row r="2232" spans="8:8">
      <c r="H2232" s="1505"/>
    </row>
    <row r="2233" spans="8:8">
      <c r="H2233" s="1505"/>
    </row>
    <row r="2234" spans="8:8">
      <c r="H2234" s="1505"/>
    </row>
    <row r="2235" spans="8:8">
      <c r="H2235" s="1505"/>
    </row>
    <row r="2236" spans="8:8">
      <c r="H2236" s="1505"/>
    </row>
    <row r="2237" spans="8:8">
      <c r="H2237" s="1505"/>
    </row>
    <row r="2238" spans="8:8">
      <c r="H2238" s="1505"/>
    </row>
    <row r="2239" spans="8:8">
      <c r="H2239" s="1505"/>
    </row>
    <row r="2240" spans="8:8">
      <c r="H2240" s="1505"/>
    </row>
    <row r="2241" spans="8:8">
      <c r="H2241" s="1505"/>
    </row>
    <row r="2242" spans="8:8">
      <c r="H2242" s="1505"/>
    </row>
    <row r="2243" spans="8:8">
      <c r="H2243" s="1505"/>
    </row>
    <row r="2244" spans="8:8">
      <c r="H2244" s="1505"/>
    </row>
    <row r="2245" spans="8:8">
      <c r="H2245" s="1505"/>
    </row>
    <row r="2246" spans="8:8">
      <c r="H2246" s="1505"/>
    </row>
    <row r="2247" spans="8:8">
      <c r="H2247" s="1505"/>
    </row>
    <row r="2248" spans="8:8">
      <c r="H2248" s="1505"/>
    </row>
    <row r="2249" spans="8:8">
      <c r="H2249" s="1505"/>
    </row>
    <row r="2250" spans="8:8">
      <c r="H2250" s="1505"/>
    </row>
    <row r="2251" spans="8:8">
      <c r="H2251" s="1505"/>
    </row>
    <row r="2252" spans="8:8">
      <c r="H2252" s="1505"/>
    </row>
    <row r="2253" spans="8:8">
      <c r="H2253" s="1505"/>
    </row>
    <row r="2254" spans="8:8">
      <c r="H2254" s="1505"/>
    </row>
    <row r="2255" spans="8:8">
      <c r="H2255" s="1505"/>
    </row>
    <row r="2256" spans="8:8">
      <c r="H2256" s="1505"/>
    </row>
    <row r="2257" spans="8:8">
      <c r="H2257" s="1505"/>
    </row>
    <row r="2258" spans="8:8">
      <c r="H2258" s="1505"/>
    </row>
    <row r="2259" spans="8:8">
      <c r="H2259" s="1505"/>
    </row>
    <row r="2260" spans="8:8">
      <c r="H2260" s="1505"/>
    </row>
    <row r="2261" spans="8:8">
      <c r="H2261" s="1505"/>
    </row>
    <row r="2262" spans="8:8">
      <c r="H2262" s="1505"/>
    </row>
    <row r="2263" spans="8:8">
      <c r="H2263" s="1505"/>
    </row>
    <row r="2264" spans="8:8">
      <c r="H2264" s="1505"/>
    </row>
    <row r="2265" spans="8:8">
      <c r="H2265" s="1505"/>
    </row>
    <row r="2266" spans="8:8">
      <c r="H2266" s="1505"/>
    </row>
    <row r="2267" spans="8:8">
      <c r="H2267" s="1505"/>
    </row>
    <row r="2268" spans="8:8">
      <c r="H2268" s="1505"/>
    </row>
    <row r="2269" spans="8:8">
      <c r="H2269" s="1505"/>
    </row>
    <row r="2270" spans="8:8">
      <c r="H2270" s="1505"/>
    </row>
    <row r="2271" spans="8:8">
      <c r="H2271" s="1505"/>
    </row>
    <row r="2272" spans="8:8">
      <c r="H2272" s="1505"/>
    </row>
    <row r="2273" spans="8:8">
      <c r="H2273" s="1505"/>
    </row>
    <row r="2274" spans="8:8">
      <c r="H2274" s="1505"/>
    </row>
    <row r="2275" spans="8:8">
      <c r="H2275" s="1505"/>
    </row>
    <row r="2276" spans="8:8">
      <c r="H2276" s="1505"/>
    </row>
    <row r="2277" spans="8:8">
      <c r="H2277" s="1505"/>
    </row>
    <row r="2278" spans="8:8">
      <c r="H2278" s="1505"/>
    </row>
    <row r="2279" spans="8:8">
      <c r="H2279" s="1505"/>
    </row>
    <row r="2280" spans="8:8">
      <c r="H2280" s="1505"/>
    </row>
    <row r="2281" spans="8:8">
      <c r="H2281" s="1505"/>
    </row>
    <row r="2282" spans="8:8">
      <c r="H2282" s="1505"/>
    </row>
    <row r="2283" spans="8:8">
      <c r="H2283" s="1505"/>
    </row>
    <row r="2284" spans="8:8">
      <c r="H2284" s="1505"/>
    </row>
    <row r="2285" spans="8:8">
      <c r="H2285" s="1505"/>
    </row>
    <row r="2286" spans="8:8">
      <c r="H2286" s="1505"/>
    </row>
    <row r="2287" spans="8:8">
      <c r="H2287" s="1505"/>
    </row>
    <row r="2288" spans="8:8">
      <c r="H2288" s="1505"/>
    </row>
    <row r="2289" spans="8:8">
      <c r="H2289" s="1505"/>
    </row>
    <row r="2290" spans="8:8">
      <c r="H2290" s="1505"/>
    </row>
    <row r="2291" spans="8:8">
      <c r="H2291" s="1505"/>
    </row>
    <row r="2292" spans="8:8">
      <c r="H2292" s="1505"/>
    </row>
    <row r="2293" spans="8:8">
      <c r="H2293" s="1505"/>
    </row>
    <row r="2294" spans="8:8">
      <c r="H2294" s="1505"/>
    </row>
    <row r="2295" spans="8:8">
      <c r="H2295" s="1505"/>
    </row>
    <row r="2296" spans="8:8">
      <c r="H2296" s="1505"/>
    </row>
    <row r="2297" spans="8:8">
      <c r="H2297" s="1505"/>
    </row>
    <row r="2298" spans="8:8">
      <c r="H2298" s="1505"/>
    </row>
    <row r="2299" spans="8:8">
      <c r="H2299" s="1505"/>
    </row>
    <row r="2300" spans="8:8">
      <c r="H2300" s="1505"/>
    </row>
    <row r="2301" spans="8:8">
      <c r="H2301" s="1505"/>
    </row>
    <row r="2302" spans="8:8">
      <c r="H2302" s="1505"/>
    </row>
    <row r="2303" spans="8:8">
      <c r="H2303" s="1505"/>
    </row>
    <row r="2304" spans="8:8">
      <c r="H2304" s="1505"/>
    </row>
    <row r="2305" spans="8:8">
      <c r="H2305" s="1505"/>
    </row>
    <row r="2306" spans="8:8">
      <c r="H2306" s="1505"/>
    </row>
    <row r="2307" spans="8:8">
      <c r="H2307" s="1505"/>
    </row>
    <row r="2308" spans="8:8">
      <c r="H2308" s="1505"/>
    </row>
    <row r="2309" spans="8:8">
      <c r="H2309" s="1505"/>
    </row>
    <row r="2310" spans="8:8">
      <c r="H2310" s="1505"/>
    </row>
    <row r="2311" spans="8:8">
      <c r="H2311" s="1505"/>
    </row>
    <row r="2312" spans="8:8">
      <c r="H2312" s="1505"/>
    </row>
    <row r="2313" spans="8:8">
      <c r="H2313" s="1505"/>
    </row>
    <row r="2314" spans="8:8">
      <c r="H2314" s="1505"/>
    </row>
    <row r="2315" spans="8:8">
      <c r="H2315" s="1505"/>
    </row>
    <row r="2316" spans="8:8">
      <c r="H2316" s="1505"/>
    </row>
    <row r="2317" spans="8:8">
      <c r="H2317" s="1505"/>
    </row>
    <row r="2318" spans="8:8">
      <c r="H2318" s="1505"/>
    </row>
    <row r="2319" spans="8:8">
      <c r="H2319" s="1505"/>
    </row>
    <row r="2320" spans="8:8">
      <c r="H2320" s="1505"/>
    </row>
    <row r="2321" spans="8:8">
      <c r="H2321" s="1505"/>
    </row>
    <row r="2322" spans="8:8">
      <c r="H2322" s="1505"/>
    </row>
    <row r="2323" spans="8:8">
      <c r="H2323" s="1505"/>
    </row>
    <row r="2324" spans="8:8">
      <c r="H2324" s="1505"/>
    </row>
    <row r="2325" spans="8:8">
      <c r="H2325" s="1505"/>
    </row>
    <row r="2326" spans="8:8">
      <c r="H2326" s="1505"/>
    </row>
    <row r="2327" spans="8:8">
      <c r="H2327" s="1505"/>
    </row>
    <row r="2328" spans="8:8">
      <c r="H2328" s="1505"/>
    </row>
    <row r="2329" spans="8:8">
      <c r="H2329" s="1505"/>
    </row>
    <row r="2330" spans="8:8">
      <c r="H2330" s="1505"/>
    </row>
    <row r="2331" spans="8:8">
      <c r="H2331" s="1505"/>
    </row>
    <row r="2332" spans="8:8">
      <c r="H2332" s="1505"/>
    </row>
    <row r="2333" spans="8:8">
      <c r="H2333" s="1505"/>
    </row>
    <row r="2334" spans="8:8">
      <c r="H2334" s="1505"/>
    </row>
    <row r="2335" spans="8:8">
      <c r="H2335" s="1505"/>
    </row>
    <row r="2336" spans="8:8">
      <c r="H2336" s="1505"/>
    </row>
    <row r="2337" spans="8:8">
      <c r="H2337" s="1505"/>
    </row>
    <row r="2338" spans="8:8">
      <c r="H2338" s="1505"/>
    </row>
    <row r="2339" spans="8:8">
      <c r="H2339" s="1505"/>
    </row>
    <row r="2340" spans="8:8">
      <c r="H2340" s="1505"/>
    </row>
    <row r="2341" spans="8:8">
      <c r="H2341" s="1505"/>
    </row>
    <row r="2342" spans="8:8">
      <c r="H2342" s="1505"/>
    </row>
    <row r="2343" spans="8:8">
      <c r="H2343" s="1505"/>
    </row>
    <row r="2344" spans="8:8">
      <c r="H2344" s="1505"/>
    </row>
    <row r="2345" spans="8:8">
      <c r="H2345" s="1505"/>
    </row>
    <row r="2346" spans="8:8">
      <c r="H2346" s="1505"/>
    </row>
    <row r="2347" spans="8:8">
      <c r="H2347" s="1505"/>
    </row>
    <row r="2348" spans="8:8">
      <c r="H2348" s="1505"/>
    </row>
    <row r="2349" spans="8:8">
      <c r="H2349" s="1505"/>
    </row>
    <row r="2350" spans="8:8">
      <c r="H2350" s="1505"/>
    </row>
    <row r="2351" spans="8:8">
      <c r="H2351" s="1505"/>
    </row>
    <row r="2352" spans="8:8">
      <c r="H2352" s="1505"/>
    </row>
    <row r="2353" spans="8:8">
      <c r="H2353" s="1505"/>
    </row>
    <row r="2354" spans="8:8">
      <c r="H2354" s="1505"/>
    </row>
    <row r="2355" spans="8:8">
      <c r="H2355" s="1505"/>
    </row>
    <row r="2356" spans="8:8">
      <c r="H2356" s="1505"/>
    </row>
    <row r="2357" spans="8:8">
      <c r="H2357" s="1505"/>
    </row>
    <row r="2358" spans="8:8">
      <c r="H2358" s="1505"/>
    </row>
    <row r="2359" spans="8:8">
      <c r="H2359" s="1505"/>
    </row>
    <row r="2360" spans="8:8">
      <c r="H2360" s="1505"/>
    </row>
    <row r="2361" spans="8:8">
      <c r="H2361" s="1505"/>
    </row>
    <row r="2362" spans="8:8">
      <c r="H2362" s="1505"/>
    </row>
    <row r="2363" spans="8:8">
      <c r="H2363" s="1505"/>
    </row>
    <row r="2364" spans="8:8">
      <c r="H2364" s="1505"/>
    </row>
    <row r="2365" spans="8:8">
      <c r="H2365" s="1505"/>
    </row>
    <row r="2366" spans="8:8">
      <c r="H2366" s="1505"/>
    </row>
    <row r="2367" spans="8:8">
      <c r="H2367" s="1505"/>
    </row>
    <row r="2368" spans="8:8">
      <c r="H2368" s="1505"/>
    </row>
    <row r="2369" spans="8:8">
      <c r="H2369" s="1505"/>
    </row>
    <row r="2370" spans="8:8">
      <c r="H2370" s="1505"/>
    </row>
    <row r="2371" spans="8:8">
      <c r="H2371" s="1505"/>
    </row>
    <row r="2372" spans="8:8">
      <c r="H2372" s="1505"/>
    </row>
    <row r="2373" spans="8:8">
      <c r="H2373" s="1505"/>
    </row>
    <row r="2374" spans="8:8">
      <c r="H2374" s="1505"/>
    </row>
    <row r="2375" spans="8:8">
      <c r="H2375" s="1505"/>
    </row>
    <row r="2376" spans="8:8">
      <c r="H2376" s="1505"/>
    </row>
    <row r="2377" spans="8:8">
      <c r="H2377" s="1505"/>
    </row>
    <row r="2378" spans="8:8">
      <c r="H2378" s="1505"/>
    </row>
    <row r="2379" spans="8:8">
      <c r="H2379" s="1505"/>
    </row>
    <row r="2380" spans="8:8">
      <c r="H2380" s="1505"/>
    </row>
    <row r="2381" spans="8:8">
      <c r="H2381" s="1505"/>
    </row>
    <row r="2382" spans="8:8">
      <c r="H2382" s="1505"/>
    </row>
    <row r="2383" spans="8:8">
      <c r="H2383" s="1505"/>
    </row>
    <row r="2384" spans="8:8">
      <c r="H2384" s="1505"/>
    </row>
    <row r="2385" spans="8:8">
      <c r="H2385" s="1505"/>
    </row>
    <row r="2386" spans="8:8">
      <c r="H2386" s="1505"/>
    </row>
    <row r="2387" spans="8:8">
      <c r="H2387" s="1505"/>
    </row>
    <row r="2388" spans="8:8">
      <c r="H2388" s="1505"/>
    </row>
    <row r="2389" spans="8:8">
      <c r="H2389" s="1505"/>
    </row>
    <row r="2390" spans="8:8">
      <c r="H2390" s="1505"/>
    </row>
    <row r="2391" spans="8:8">
      <c r="H2391" s="1505"/>
    </row>
    <row r="2392" spans="8:8">
      <c r="H2392" s="1505"/>
    </row>
    <row r="2393" spans="8:8">
      <c r="H2393" s="1505"/>
    </row>
    <row r="2394" spans="8:8">
      <c r="H2394" s="1505"/>
    </row>
    <row r="2395" spans="8:8">
      <c r="H2395" s="1505"/>
    </row>
    <row r="2396" spans="8:8">
      <c r="H2396" s="1505"/>
    </row>
    <row r="2397" spans="8:8">
      <c r="H2397" s="1505"/>
    </row>
    <row r="2398" spans="8:8">
      <c r="H2398" s="1505"/>
    </row>
    <row r="2399" spans="8:8">
      <c r="H2399" s="1505"/>
    </row>
    <row r="2400" spans="8:8">
      <c r="H2400" s="1505"/>
    </row>
    <row r="2401" spans="8:8">
      <c r="H2401" s="1505"/>
    </row>
    <row r="2402" spans="8:8">
      <c r="H2402" s="1505"/>
    </row>
    <row r="2403" spans="8:8">
      <c r="H2403" s="1505"/>
    </row>
    <row r="2404" spans="8:8">
      <c r="H2404" s="1505"/>
    </row>
    <row r="2405" spans="8:8">
      <c r="H2405" s="1505"/>
    </row>
    <row r="2406" spans="8:8">
      <c r="H2406" s="1505"/>
    </row>
    <row r="2407" spans="8:8">
      <c r="H2407" s="1505"/>
    </row>
    <row r="2408" spans="8:8">
      <c r="H2408" s="1505"/>
    </row>
    <row r="2409" spans="8:8">
      <c r="H2409" s="1505"/>
    </row>
    <row r="2410" spans="8:8">
      <c r="H2410" s="1505"/>
    </row>
    <row r="2411" spans="8:8">
      <c r="H2411" s="1505"/>
    </row>
    <row r="2412" spans="8:8">
      <c r="H2412" s="1505"/>
    </row>
    <row r="2413" spans="8:8">
      <c r="H2413" s="1505"/>
    </row>
    <row r="2414" spans="8:8">
      <c r="H2414" s="1505"/>
    </row>
    <row r="2415" spans="8:8">
      <c r="H2415" s="1505"/>
    </row>
    <row r="2416" spans="8:8">
      <c r="H2416" s="1505"/>
    </row>
    <row r="2417" spans="8:8">
      <c r="H2417" s="1505"/>
    </row>
    <row r="2418" spans="8:8">
      <c r="H2418" s="1505"/>
    </row>
    <row r="2419" spans="8:8">
      <c r="H2419" s="1505"/>
    </row>
    <row r="2420" spans="8:8">
      <c r="H2420" s="1505"/>
    </row>
    <row r="2421" spans="8:8">
      <c r="H2421" s="1505"/>
    </row>
    <row r="2422" spans="8:8">
      <c r="H2422" s="1505"/>
    </row>
    <row r="2423" spans="8:8">
      <c r="H2423" s="1505"/>
    </row>
    <row r="2424" spans="8:8">
      <c r="H2424" s="1505"/>
    </row>
    <row r="2425" spans="8:8">
      <c r="H2425" s="1505"/>
    </row>
    <row r="2426" spans="8:8">
      <c r="H2426" s="1505"/>
    </row>
    <row r="2427" spans="8:8">
      <c r="H2427" s="1505"/>
    </row>
    <row r="2428" spans="8:8">
      <c r="H2428" s="1505"/>
    </row>
    <row r="2429" spans="8:8">
      <c r="H2429" s="1505"/>
    </row>
    <row r="2430" spans="8:8">
      <c r="H2430" s="1505"/>
    </row>
    <row r="2431" spans="8:8">
      <c r="H2431" s="1505"/>
    </row>
    <row r="2432" spans="8:8">
      <c r="H2432" s="1505"/>
    </row>
    <row r="2433" spans="8:8">
      <c r="H2433" s="1505"/>
    </row>
    <row r="2434" spans="8:8">
      <c r="H2434" s="1505"/>
    </row>
    <row r="2435" spans="8:8">
      <c r="H2435" s="1505"/>
    </row>
    <row r="2436" spans="8:8">
      <c r="H2436" s="1505"/>
    </row>
    <row r="2437" spans="8:8">
      <c r="H2437" s="1505"/>
    </row>
    <row r="2438" spans="8:8">
      <c r="H2438" s="1505"/>
    </row>
    <row r="2439" spans="8:8">
      <c r="H2439" s="1505"/>
    </row>
    <row r="2440" spans="8:8">
      <c r="H2440" s="1505"/>
    </row>
    <row r="2441" spans="8:8">
      <c r="H2441" s="1505"/>
    </row>
    <row r="2442" spans="8:8">
      <c r="H2442" s="1505"/>
    </row>
    <row r="2443" spans="8:8">
      <c r="H2443" s="1505"/>
    </row>
    <row r="2444" spans="8:8">
      <c r="H2444" s="1505"/>
    </row>
    <row r="2445" spans="8:8">
      <c r="H2445" s="1505"/>
    </row>
    <row r="2446" spans="8:8">
      <c r="H2446" s="1505"/>
    </row>
    <row r="2447" spans="8:8">
      <c r="H2447" s="1505"/>
    </row>
    <row r="2448" spans="8:8">
      <c r="H2448" s="1505"/>
    </row>
    <row r="2449" spans="8:8">
      <c r="H2449" s="1505"/>
    </row>
    <row r="2450" spans="8:8">
      <c r="H2450" s="1505"/>
    </row>
    <row r="2451" spans="8:8">
      <c r="H2451" s="1505"/>
    </row>
    <row r="2452" spans="8:8">
      <c r="H2452" s="1505"/>
    </row>
    <row r="2453" spans="8:8">
      <c r="H2453" s="1505"/>
    </row>
    <row r="2454" spans="8:8">
      <c r="H2454" s="1505"/>
    </row>
    <row r="2455" spans="8:8">
      <c r="H2455" s="1505"/>
    </row>
    <row r="2456" spans="8:8">
      <c r="H2456" s="1505"/>
    </row>
    <row r="2457" spans="8:8">
      <c r="H2457" s="1505"/>
    </row>
    <row r="2458" spans="8:8">
      <c r="H2458" s="1505"/>
    </row>
    <row r="2459" spans="8:8">
      <c r="H2459" s="1505"/>
    </row>
    <row r="2460" spans="8:8">
      <c r="H2460" s="1505"/>
    </row>
    <row r="2461" spans="8:8">
      <c r="H2461" s="1505"/>
    </row>
    <row r="2462" spans="8:8">
      <c r="H2462" s="1505"/>
    </row>
    <row r="2463" spans="8:8">
      <c r="H2463" s="1505"/>
    </row>
    <row r="2464" spans="8:8">
      <c r="H2464" s="1505"/>
    </row>
    <row r="2465" spans="8:8">
      <c r="H2465" s="1505"/>
    </row>
    <row r="2466" spans="8:8">
      <c r="H2466" s="1505"/>
    </row>
    <row r="2467" spans="8:8">
      <c r="H2467" s="1505"/>
    </row>
    <row r="2468" spans="8:8">
      <c r="H2468" s="1505"/>
    </row>
    <row r="2469" spans="8:8">
      <c r="H2469" s="1505"/>
    </row>
    <row r="2470" spans="8:8">
      <c r="H2470" s="1505"/>
    </row>
    <row r="2471" spans="8:8">
      <c r="H2471" s="1505"/>
    </row>
    <row r="2472" spans="8:8">
      <c r="H2472" s="1505"/>
    </row>
    <row r="2473" spans="8:8">
      <c r="H2473" s="1505"/>
    </row>
    <row r="2474" spans="8:8">
      <c r="H2474" s="1505"/>
    </row>
    <row r="2475" spans="8:8">
      <c r="H2475" s="1505"/>
    </row>
    <row r="2476" spans="8:8">
      <c r="H2476" s="1505"/>
    </row>
    <row r="2477" spans="8:8">
      <c r="H2477" s="1505"/>
    </row>
    <row r="2478" spans="8:8">
      <c r="H2478" s="1505"/>
    </row>
    <row r="2479" spans="8:8">
      <c r="H2479" s="1505"/>
    </row>
    <row r="2480" spans="8:8">
      <c r="H2480" s="1505"/>
    </row>
    <row r="2481" spans="8:8">
      <c r="H2481" s="1505"/>
    </row>
    <row r="2482" spans="8:8">
      <c r="H2482" s="1505"/>
    </row>
    <row r="2483" spans="8:8">
      <c r="H2483" s="1505"/>
    </row>
    <row r="2484" spans="8:8">
      <c r="H2484" s="1505"/>
    </row>
    <row r="2485" spans="8:8">
      <c r="H2485" s="1505"/>
    </row>
    <row r="2486" spans="8:8">
      <c r="H2486" s="1505"/>
    </row>
    <row r="2487" spans="8:8">
      <c r="H2487" s="1505"/>
    </row>
    <row r="2488" spans="8:8">
      <c r="H2488" s="1505"/>
    </row>
    <row r="2489" spans="8:8">
      <c r="H2489" s="1505"/>
    </row>
    <row r="2490" spans="8:8">
      <c r="H2490" s="1505"/>
    </row>
    <row r="2491" spans="8:8">
      <c r="H2491" s="1505"/>
    </row>
    <row r="2492" spans="8:8">
      <c r="H2492" s="1505"/>
    </row>
    <row r="2493" spans="8:8">
      <c r="H2493" s="1505"/>
    </row>
    <row r="2494" spans="8:8">
      <c r="H2494" s="1505"/>
    </row>
    <row r="2495" spans="8:8">
      <c r="H2495" s="1505"/>
    </row>
    <row r="2496" spans="8:8">
      <c r="H2496" s="1505"/>
    </row>
    <row r="2497" spans="8:8">
      <c r="H2497" s="1505"/>
    </row>
    <row r="2498" spans="8:8">
      <c r="H2498" s="1505"/>
    </row>
    <row r="2499" spans="8:8">
      <c r="H2499" s="1505"/>
    </row>
    <row r="2500" spans="8:8">
      <c r="H2500" s="1505"/>
    </row>
    <row r="2501" spans="8:8">
      <c r="H2501" s="1505"/>
    </row>
    <row r="2502" spans="8:8">
      <c r="H2502" s="1505"/>
    </row>
    <row r="2503" spans="8:8">
      <c r="H2503" s="1505"/>
    </row>
    <row r="2504" spans="8:8">
      <c r="H2504" s="1505"/>
    </row>
    <row r="2505" spans="8:8">
      <c r="H2505" s="1505"/>
    </row>
    <row r="2506" spans="8:8">
      <c r="H2506" s="1505"/>
    </row>
    <row r="2507" spans="8:8">
      <c r="H2507" s="1505"/>
    </row>
    <row r="2508" spans="8:8">
      <c r="H2508" s="1505"/>
    </row>
    <row r="2509" spans="8:8">
      <c r="H2509" s="1505"/>
    </row>
    <row r="2510" spans="8:8">
      <c r="H2510" s="1505"/>
    </row>
    <row r="2511" spans="8:8">
      <c r="H2511" s="1505"/>
    </row>
    <row r="2512" spans="8:8">
      <c r="H2512" s="1505"/>
    </row>
    <row r="2513" spans="8:8">
      <c r="H2513" s="1505"/>
    </row>
    <row r="2514" spans="8:8">
      <c r="H2514" s="1505"/>
    </row>
    <row r="2515" spans="8:8">
      <c r="H2515" s="1505"/>
    </row>
    <row r="2516" spans="8:8">
      <c r="H2516" s="1505"/>
    </row>
    <row r="2517" spans="8:8">
      <c r="H2517" s="1505"/>
    </row>
    <row r="2518" spans="8:8">
      <c r="H2518" s="1505"/>
    </row>
    <row r="2519" spans="8:8">
      <c r="H2519" s="1505"/>
    </row>
    <row r="2520" spans="8:8">
      <c r="H2520" s="1505"/>
    </row>
    <row r="2521" spans="8:8">
      <c r="H2521" s="1505"/>
    </row>
    <row r="2522" spans="8:8">
      <c r="H2522" s="1505"/>
    </row>
    <row r="2523" spans="8:8">
      <c r="H2523" s="1505"/>
    </row>
    <row r="2524" spans="8:8">
      <c r="H2524" s="1505"/>
    </row>
    <row r="2525" spans="8:8">
      <c r="H2525" s="1505"/>
    </row>
    <row r="2526" spans="8:8">
      <c r="H2526" s="1505"/>
    </row>
    <row r="2527" spans="8:8">
      <c r="H2527" s="1505"/>
    </row>
    <row r="2528" spans="8:8">
      <c r="H2528" s="1505"/>
    </row>
    <row r="2529" spans="8:8">
      <c r="H2529" s="1505"/>
    </row>
    <row r="2530" spans="8:8">
      <c r="H2530" s="1505"/>
    </row>
    <row r="2531" spans="8:8">
      <c r="H2531" s="1505"/>
    </row>
    <row r="2532" spans="8:8">
      <c r="H2532" s="1505"/>
    </row>
    <row r="2533" spans="8:8">
      <c r="H2533" s="1505"/>
    </row>
    <row r="2534" spans="8:8">
      <c r="H2534" s="1505"/>
    </row>
    <row r="2535" spans="8:8">
      <c r="H2535" s="1505"/>
    </row>
    <row r="2536" spans="8:8">
      <c r="H2536" s="1505"/>
    </row>
    <row r="2537" spans="8:8">
      <c r="H2537" s="1505"/>
    </row>
    <row r="2538" spans="8:8">
      <c r="H2538" s="1505"/>
    </row>
    <row r="2539" spans="8:8">
      <c r="H2539" s="1505"/>
    </row>
    <row r="2540" spans="8:8">
      <c r="H2540" s="1505"/>
    </row>
    <row r="2541" spans="8:8">
      <c r="H2541" s="1505"/>
    </row>
    <row r="2542" spans="8:8">
      <c r="H2542" s="1505"/>
    </row>
    <row r="2543" spans="8:8">
      <c r="H2543" s="1505"/>
    </row>
    <row r="2544" spans="8:8">
      <c r="H2544" s="1505"/>
    </row>
    <row r="2545" spans="8:8">
      <c r="H2545" s="1505"/>
    </row>
    <row r="2546" spans="8:8">
      <c r="H2546" s="1505"/>
    </row>
    <row r="2547" spans="8:8">
      <c r="H2547" s="1505"/>
    </row>
    <row r="2548" spans="8:8">
      <c r="H2548" s="1505"/>
    </row>
    <row r="2549" spans="8:8">
      <c r="H2549" s="1505"/>
    </row>
    <row r="2550" spans="8:8">
      <c r="H2550" s="1505"/>
    </row>
    <row r="2551" spans="8:8">
      <c r="H2551" s="1505"/>
    </row>
    <row r="2552" spans="8:8">
      <c r="H2552" s="1505"/>
    </row>
    <row r="2553" spans="8:8">
      <c r="H2553" s="1505"/>
    </row>
    <row r="2554" spans="8:8">
      <c r="H2554" s="1505"/>
    </row>
    <row r="2555" spans="8:8">
      <c r="H2555" s="1505"/>
    </row>
    <row r="2556" spans="8:8">
      <c r="H2556" s="1505"/>
    </row>
    <row r="2557" spans="8:8">
      <c r="H2557" s="1505"/>
    </row>
    <row r="2558" spans="8:8">
      <c r="H2558" s="1505"/>
    </row>
    <row r="2559" spans="8:8">
      <c r="H2559" s="1505"/>
    </row>
    <row r="2560" spans="8:8">
      <c r="H2560" s="1505"/>
    </row>
    <row r="2561" spans="8:8">
      <c r="H2561" s="1505"/>
    </row>
    <row r="2562" spans="8:8">
      <c r="H2562" s="1505"/>
    </row>
    <row r="2563" spans="8:8">
      <c r="H2563" s="1505"/>
    </row>
    <row r="2564" spans="8:8">
      <c r="H2564" s="1505"/>
    </row>
    <row r="2565" spans="8:8">
      <c r="H2565" s="1505"/>
    </row>
    <row r="2566" spans="8:8">
      <c r="H2566" s="1505"/>
    </row>
    <row r="2567" spans="8:8">
      <c r="H2567" s="1505"/>
    </row>
    <row r="2568" spans="8:8">
      <c r="H2568" s="1505"/>
    </row>
    <row r="2569" spans="8:8">
      <c r="H2569" s="1505"/>
    </row>
    <row r="2570" spans="8:8">
      <c r="H2570" s="1505"/>
    </row>
    <row r="2571" spans="8:8">
      <c r="H2571" s="1505"/>
    </row>
    <row r="2572" spans="8:8">
      <c r="H2572" s="1505"/>
    </row>
    <row r="2573" spans="8:8">
      <c r="H2573" s="1505"/>
    </row>
    <row r="2574" spans="8:8">
      <c r="H2574" s="1505"/>
    </row>
    <row r="2575" spans="8:8">
      <c r="H2575" s="1505"/>
    </row>
    <row r="2576" spans="8:8">
      <c r="H2576" s="1505"/>
    </row>
    <row r="2577" spans="8:8">
      <c r="H2577" s="1505"/>
    </row>
    <row r="2578" spans="8:8">
      <c r="H2578" s="1505"/>
    </row>
    <row r="2579" spans="8:8">
      <c r="H2579" s="1505"/>
    </row>
    <row r="2580" spans="8:8">
      <c r="H2580" s="1505"/>
    </row>
    <row r="2581" spans="8:8">
      <c r="H2581" s="1505"/>
    </row>
    <row r="2582" spans="8:8">
      <c r="H2582" s="1505"/>
    </row>
    <row r="2583" spans="8:8">
      <c r="H2583" s="1505"/>
    </row>
    <row r="2584" spans="8:8">
      <c r="H2584" s="1505"/>
    </row>
    <row r="2585" spans="8:8">
      <c r="H2585" s="1505"/>
    </row>
    <row r="2586" spans="8:8">
      <c r="H2586" s="1505"/>
    </row>
    <row r="2587" spans="8:8">
      <c r="H2587" s="1505"/>
    </row>
    <row r="2588" spans="8:8">
      <c r="H2588" s="1505"/>
    </row>
    <row r="2589" spans="8:8">
      <c r="H2589" s="1505"/>
    </row>
    <row r="2590" spans="8:8">
      <c r="H2590" s="1505"/>
    </row>
    <row r="2591" spans="8:8">
      <c r="H2591" s="1505"/>
    </row>
    <row r="2592" spans="8:8">
      <c r="H2592" s="1505"/>
    </row>
    <row r="2593" spans="8:8">
      <c r="H2593" s="1505"/>
    </row>
    <row r="2594" spans="8:8">
      <c r="H2594" s="1505"/>
    </row>
    <row r="2595" spans="8:8">
      <c r="H2595" s="1505"/>
    </row>
    <row r="2596" spans="8:8">
      <c r="H2596" s="1505"/>
    </row>
    <row r="2597" spans="8:8">
      <c r="H2597" s="1505"/>
    </row>
    <row r="2598" spans="8:8">
      <c r="H2598" s="1505"/>
    </row>
    <row r="2599" spans="8:8">
      <c r="H2599" s="1505"/>
    </row>
    <row r="2600" spans="8:8">
      <c r="H2600" s="1505"/>
    </row>
    <row r="2601" spans="8:8">
      <c r="H2601" s="1505"/>
    </row>
    <row r="2602" spans="8:8">
      <c r="H2602" s="1505"/>
    </row>
    <row r="2603" spans="8:8">
      <c r="H2603" s="1505"/>
    </row>
    <row r="2604" spans="8:8">
      <c r="H2604" s="1505"/>
    </row>
    <row r="2605" spans="8:8">
      <c r="H2605" s="1505"/>
    </row>
    <row r="2606" spans="8:8">
      <c r="H2606" s="1505"/>
    </row>
    <row r="2607" spans="8:8">
      <c r="H2607" s="1505"/>
    </row>
    <row r="2608" spans="8:8">
      <c r="H2608" s="1505"/>
    </row>
    <row r="2609" spans="8:8">
      <c r="H2609" s="1505"/>
    </row>
    <row r="2610" spans="8:8">
      <c r="H2610" s="1505"/>
    </row>
    <row r="2611" spans="8:8">
      <c r="H2611" s="1505"/>
    </row>
    <row r="2612" spans="8:8">
      <c r="H2612" s="1505"/>
    </row>
    <row r="2613" spans="8:8">
      <c r="H2613" s="1505"/>
    </row>
    <row r="2614" spans="8:8">
      <c r="H2614" s="1505"/>
    </row>
    <row r="2615" spans="8:8">
      <c r="H2615" s="1505"/>
    </row>
    <row r="2616" spans="8:8">
      <c r="H2616" s="1505"/>
    </row>
    <row r="2617" spans="8:8">
      <c r="H2617" s="1505"/>
    </row>
    <row r="2618" spans="8:8">
      <c r="H2618" s="1505"/>
    </row>
    <row r="2619" spans="8:8">
      <c r="H2619" s="1505"/>
    </row>
    <row r="2620" spans="8:8">
      <c r="H2620" s="1505"/>
    </row>
    <row r="2621" spans="8:8">
      <c r="H2621" s="1505"/>
    </row>
    <row r="2622" spans="8:8">
      <c r="H2622" s="1505"/>
    </row>
    <row r="2623" spans="8:8">
      <c r="H2623" s="1505"/>
    </row>
    <row r="2624" spans="8:8">
      <c r="H2624" s="1505"/>
    </row>
    <row r="2625" spans="8:8">
      <c r="H2625" s="1505"/>
    </row>
    <row r="2626" spans="8:8">
      <c r="H2626" s="1505"/>
    </row>
    <row r="2627" spans="8:8">
      <c r="H2627" s="1505"/>
    </row>
    <row r="2628" spans="8:8">
      <c r="H2628" s="1505"/>
    </row>
    <row r="2629" spans="8:8">
      <c r="H2629" s="1505"/>
    </row>
    <row r="2630" spans="8:8">
      <c r="H2630" s="1505"/>
    </row>
    <row r="2631" spans="8:8">
      <c r="H2631" s="1505"/>
    </row>
    <row r="2632" spans="8:8">
      <c r="H2632" s="1505"/>
    </row>
    <row r="2633" spans="8:8">
      <c r="H2633" s="1505"/>
    </row>
    <row r="2634" spans="8:8">
      <c r="H2634" s="1505"/>
    </row>
    <row r="2635" spans="8:8">
      <c r="H2635" s="1505"/>
    </row>
    <row r="2636" spans="8:8">
      <c r="H2636" s="1505"/>
    </row>
    <row r="2637" spans="8:8">
      <c r="H2637" s="1505"/>
    </row>
    <row r="2638" spans="8:8">
      <c r="H2638" s="1505"/>
    </row>
    <row r="2639" spans="8:8">
      <c r="H2639" s="1505"/>
    </row>
    <row r="2640" spans="8:8">
      <c r="H2640" s="1505"/>
    </row>
    <row r="2641" spans="8:8">
      <c r="H2641" s="1505"/>
    </row>
    <row r="2642" spans="8:8">
      <c r="H2642" s="1505"/>
    </row>
    <row r="2643" spans="8:8">
      <c r="H2643" s="1505"/>
    </row>
    <row r="2644" spans="8:8">
      <c r="H2644" s="1505"/>
    </row>
    <row r="2645" spans="8:8">
      <c r="H2645" s="1505"/>
    </row>
    <row r="2646" spans="8:8">
      <c r="H2646" s="1505"/>
    </row>
    <row r="2647" spans="8:8">
      <c r="H2647" s="1505"/>
    </row>
    <row r="2648" spans="8:8">
      <c r="H2648" s="1505"/>
    </row>
    <row r="2649" spans="8:8">
      <c r="H2649" s="1505"/>
    </row>
    <row r="2650" spans="8:8">
      <c r="H2650" s="1505"/>
    </row>
    <row r="2651" spans="8:8">
      <c r="H2651" s="1505"/>
    </row>
    <row r="2652" spans="8:8">
      <c r="H2652" s="1505"/>
    </row>
    <row r="2653" spans="8:8">
      <c r="H2653" s="1505"/>
    </row>
    <row r="2654" spans="8:8">
      <c r="H2654" s="1505"/>
    </row>
    <row r="2655" spans="8:8">
      <c r="H2655" s="1505"/>
    </row>
    <row r="2656" spans="8:8">
      <c r="H2656" s="1505"/>
    </row>
    <row r="2657" spans="8:8">
      <c r="H2657" s="1505"/>
    </row>
    <row r="2658" spans="8:8">
      <c r="H2658" s="1505"/>
    </row>
    <row r="2659" spans="8:8">
      <c r="H2659" s="1505"/>
    </row>
    <row r="2660" spans="8:8">
      <c r="H2660" s="1505"/>
    </row>
    <row r="2661" spans="8:8">
      <c r="H2661" s="1505"/>
    </row>
    <row r="2662" spans="8:8">
      <c r="H2662" s="1505"/>
    </row>
    <row r="2663" spans="8:8">
      <c r="H2663" s="1505"/>
    </row>
    <row r="2664" spans="8:8">
      <c r="H2664" s="1505"/>
    </row>
    <row r="2665" spans="8:8">
      <c r="H2665" s="1505"/>
    </row>
    <row r="2666" spans="8:8">
      <c r="H2666" s="1505"/>
    </row>
    <row r="2667" spans="8:8">
      <c r="H2667" s="1505"/>
    </row>
    <row r="2668" spans="8:8">
      <c r="H2668" s="1505"/>
    </row>
    <row r="2669" spans="8:8">
      <c r="H2669" s="1505"/>
    </row>
    <row r="2670" spans="8:8">
      <c r="H2670" s="1505"/>
    </row>
    <row r="2671" spans="8:8">
      <c r="H2671" s="1505"/>
    </row>
    <row r="2672" spans="8:8">
      <c r="H2672" s="1505"/>
    </row>
    <row r="2673" spans="8:8">
      <c r="H2673" s="1505"/>
    </row>
    <row r="2674" spans="8:8">
      <c r="H2674" s="1505"/>
    </row>
    <row r="2675" spans="8:8">
      <c r="H2675" s="1505"/>
    </row>
    <row r="2676" spans="8:8">
      <c r="H2676" s="1505"/>
    </row>
    <row r="2677" spans="8:8">
      <c r="H2677" s="1505"/>
    </row>
    <row r="2678" spans="8:8">
      <c r="H2678" s="1505"/>
    </row>
    <row r="2679" spans="8:8">
      <c r="H2679" s="1505"/>
    </row>
    <row r="2680" spans="8:8">
      <c r="H2680" s="1505"/>
    </row>
    <row r="2681" spans="8:8">
      <c r="H2681" s="1505"/>
    </row>
    <row r="2682" spans="8:8">
      <c r="H2682" s="1505"/>
    </row>
    <row r="2683" spans="8:8">
      <c r="H2683" s="1505"/>
    </row>
    <row r="2684" spans="8:8">
      <c r="H2684" s="1505"/>
    </row>
    <row r="2685" spans="8:8">
      <c r="H2685" s="1505"/>
    </row>
    <row r="2686" spans="8:8">
      <c r="H2686" s="1505"/>
    </row>
    <row r="2687" spans="8:8">
      <c r="H2687" s="1505"/>
    </row>
    <row r="2688" spans="8:8">
      <c r="H2688" s="1505"/>
    </row>
    <row r="2689" spans="8:8">
      <c r="H2689" s="1505"/>
    </row>
    <row r="2690" spans="8:8">
      <c r="H2690" s="1505"/>
    </row>
    <row r="2691" spans="8:8">
      <c r="H2691" s="1505"/>
    </row>
    <row r="2692" spans="8:8">
      <c r="H2692" s="1505"/>
    </row>
    <row r="2693" spans="8:8">
      <c r="H2693" s="1505"/>
    </row>
    <row r="2694" spans="8:8">
      <c r="H2694" s="1505"/>
    </row>
    <row r="2695" spans="8:8">
      <c r="H2695" s="1505"/>
    </row>
    <row r="2696" spans="8:8">
      <c r="H2696" s="1505"/>
    </row>
    <row r="2697" spans="8:8">
      <c r="H2697" s="1505"/>
    </row>
    <row r="2698" spans="8:8">
      <c r="H2698" s="1505"/>
    </row>
    <row r="2699" spans="8:8">
      <c r="H2699" s="1505"/>
    </row>
    <row r="2700" spans="8:8">
      <c r="H2700" s="1505"/>
    </row>
    <row r="2701" spans="8:8">
      <c r="H2701" s="1505"/>
    </row>
    <row r="2702" spans="8:8">
      <c r="H2702" s="1505"/>
    </row>
    <row r="2703" spans="8:8">
      <c r="H2703" s="1505"/>
    </row>
    <row r="2704" spans="8:8">
      <c r="H2704" s="1505"/>
    </row>
    <row r="2705" spans="8:8">
      <c r="H2705" s="1505"/>
    </row>
    <row r="2706" spans="8:8">
      <c r="H2706" s="1505"/>
    </row>
    <row r="2707" spans="8:8">
      <c r="H2707" s="1505"/>
    </row>
    <row r="2708" spans="8:8">
      <c r="H2708" s="1505"/>
    </row>
    <row r="2709" spans="8:8">
      <c r="H2709" s="1505"/>
    </row>
    <row r="2710" spans="8:8">
      <c r="H2710" s="1505"/>
    </row>
    <row r="2711" spans="8:8">
      <c r="H2711" s="1505"/>
    </row>
    <row r="2712" spans="8:8">
      <c r="H2712" s="1505"/>
    </row>
    <row r="2713" spans="8:8">
      <c r="H2713" s="1505"/>
    </row>
    <row r="2714" spans="8:8">
      <c r="H2714" s="1505"/>
    </row>
    <row r="2715" spans="8:8">
      <c r="H2715" s="1505"/>
    </row>
    <row r="2716" spans="8:8">
      <c r="H2716" s="1505"/>
    </row>
    <row r="2717" spans="8:8">
      <c r="H2717" s="1505"/>
    </row>
    <row r="2718" spans="8:8">
      <c r="H2718" s="1505"/>
    </row>
    <row r="2719" spans="8:8">
      <c r="H2719" s="1505"/>
    </row>
    <row r="2720" spans="8:8">
      <c r="H2720" s="1505"/>
    </row>
    <row r="2721" spans="8:8">
      <c r="H2721" s="1505"/>
    </row>
    <row r="2722" spans="8:8">
      <c r="H2722" s="1505"/>
    </row>
    <row r="2723" spans="8:8">
      <c r="H2723" s="1505"/>
    </row>
    <row r="2724" spans="8:8">
      <c r="H2724" s="1505"/>
    </row>
    <row r="2725" spans="8:8">
      <c r="H2725" s="1505"/>
    </row>
    <row r="2726" spans="8:8">
      <c r="H2726" s="1505"/>
    </row>
    <row r="2727" spans="8:8">
      <c r="H2727" s="1505"/>
    </row>
    <row r="2728" spans="8:8">
      <c r="H2728" s="1505"/>
    </row>
    <row r="2729" spans="8:8">
      <c r="H2729" s="1505"/>
    </row>
    <row r="2730" spans="8:8">
      <c r="H2730" s="1505"/>
    </row>
    <row r="2731" spans="8:8">
      <c r="H2731" s="1505"/>
    </row>
    <row r="2732" spans="8:8">
      <c r="H2732" s="1505"/>
    </row>
    <row r="2733" spans="8:8">
      <c r="H2733" s="1505"/>
    </row>
    <row r="2734" spans="8:8">
      <c r="H2734" s="1505"/>
    </row>
    <row r="2735" spans="8:8">
      <c r="H2735" s="1505"/>
    </row>
    <row r="2736" spans="8:8">
      <c r="H2736" s="1505"/>
    </row>
    <row r="2737" spans="8:8">
      <c r="H2737" s="1505"/>
    </row>
    <row r="2738" spans="8:8">
      <c r="H2738" s="1505"/>
    </row>
    <row r="2739" spans="8:8">
      <c r="H2739" s="1505"/>
    </row>
    <row r="2740" spans="8:8">
      <c r="H2740" s="1505"/>
    </row>
    <row r="2741" spans="8:8">
      <c r="H2741" s="1505"/>
    </row>
    <row r="2742" spans="8:8">
      <c r="H2742" s="1505"/>
    </row>
    <row r="2743" spans="8:8">
      <c r="H2743" s="1505"/>
    </row>
    <row r="2744" spans="8:8">
      <c r="H2744" s="1505"/>
    </row>
    <row r="2745" spans="8:8">
      <c r="H2745" s="1505"/>
    </row>
    <row r="2746" spans="8:8">
      <c r="H2746" s="1505"/>
    </row>
    <row r="2747" spans="8:8">
      <c r="H2747" s="1505"/>
    </row>
    <row r="2748" spans="8:8">
      <c r="H2748" s="1505"/>
    </row>
    <row r="2749" spans="8:8">
      <c r="H2749" s="1505"/>
    </row>
    <row r="2750" spans="8:8">
      <c r="H2750" s="1505"/>
    </row>
    <row r="2751" spans="8:8">
      <c r="H2751" s="1505"/>
    </row>
    <row r="2752" spans="8:8">
      <c r="H2752" s="1505"/>
    </row>
    <row r="2753" spans="8:8">
      <c r="H2753" s="1505"/>
    </row>
    <row r="2754" spans="8:8">
      <c r="H2754" s="1505"/>
    </row>
    <row r="2755" spans="8:8">
      <c r="H2755" s="1505"/>
    </row>
    <row r="2756" spans="8:8">
      <c r="H2756" s="1505"/>
    </row>
    <row r="2757" spans="8:8">
      <c r="H2757" s="1505"/>
    </row>
    <row r="2758" spans="8:8">
      <c r="H2758" s="1505"/>
    </row>
    <row r="2759" spans="8:8">
      <c r="H2759" s="1505"/>
    </row>
    <row r="2760" spans="8:8">
      <c r="H2760" s="1505"/>
    </row>
    <row r="2761" spans="8:8">
      <c r="H2761" s="1505"/>
    </row>
    <row r="2762" spans="8:8">
      <c r="H2762" s="1505"/>
    </row>
    <row r="2763" spans="8:8">
      <c r="H2763" s="1505"/>
    </row>
    <row r="2764" spans="8:8">
      <c r="H2764" s="1505"/>
    </row>
    <row r="2765" spans="8:8">
      <c r="H2765" s="1505"/>
    </row>
    <row r="2766" spans="8:8">
      <c r="H2766" s="1505"/>
    </row>
    <row r="2767" spans="8:8">
      <c r="H2767" s="1505"/>
    </row>
    <row r="2768" spans="8:8">
      <c r="H2768" s="1505"/>
    </row>
    <row r="2769" spans="8:8">
      <c r="H2769" s="1505"/>
    </row>
    <row r="2770" spans="8:8">
      <c r="H2770" s="1505"/>
    </row>
    <row r="2771" spans="8:8">
      <c r="H2771" s="1505"/>
    </row>
    <row r="2772" spans="8:8">
      <c r="H2772" s="1505"/>
    </row>
    <row r="2773" spans="8:8">
      <c r="H2773" s="1505"/>
    </row>
    <row r="2774" spans="8:8">
      <c r="H2774" s="1505"/>
    </row>
    <row r="2775" spans="8:8">
      <c r="H2775" s="1505"/>
    </row>
    <row r="2776" spans="8:8">
      <c r="H2776" s="1505"/>
    </row>
    <row r="2777" spans="8:8">
      <c r="H2777" s="1505"/>
    </row>
    <row r="2778" spans="8:8">
      <c r="H2778" s="1505"/>
    </row>
    <row r="2779" spans="8:8">
      <c r="H2779" s="1505"/>
    </row>
    <row r="2780" spans="8:8">
      <c r="H2780" s="1505"/>
    </row>
    <row r="2781" spans="8:8">
      <c r="H2781" s="1505"/>
    </row>
    <row r="2782" spans="8:8">
      <c r="H2782" s="1505"/>
    </row>
    <row r="2783" spans="8:8">
      <c r="H2783" s="1505"/>
    </row>
    <row r="2784" spans="8:8">
      <c r="H2784" s="1505"/>
    </row>
    <row r="2785" spans="8:8">
      <c r="H2785" s="1505"/>
    </row>
    <row r="2786" spans="8:8">
      <c r="H2786" s="1505"/>
    </row>
    <row r="2787" spans="8:8">
      <c r="H2787" s="1505"/>
    </row>
    <row r="2788" spans="8:8">
      <c r="H2788" s="1505"/>
    </row>
    <row r="2789" spans="8:8">
      <c r="H2789" s="1505"/>
    </row>
    <row r="2790" spans="8:8">
      <c r="H2790" s="1505"/>
    </row>
    <row r="2791" spans="8:8">
      <c r="H2791" s="1505"/>
    </row>
    <row r="2792" spans="8:8">
      <c r="H2792" s="1505"/>
    </row>
    <row r="2793" spans="8:8">
      <c r="H2793" s="1505"/>
    </row>
    <row r="2794" spans="8:8">
      <c r="H2794" s="1505"/>
    </row>
    <row r="2795" spans="8:8">
      <c r="H2795" s="1505"/>
    </row>
    <row r="2796" spans="8:8">
      <c r="H2796" s="1505"/>
    </row>
    <row r="2797" spans="8:8">
      <c r="H2797" s="1505"/>
    </row>
    <row r="2798" spans="8:8">
      <c r="H2798" s="1505"/>
    </row>
    <row r="2799" spans="8:8">
      <c r="H2799" s="1505"/>
    </row>
    <row r="2800" spans="8:8">
      <c r="H2800" s="1505"/>
    </row>
    <row r="2801" spans="8:8">
      <c r="H2801" s="1505"/>
    </row>
    <row r="2802" spans="8:8">
      <c r="H2802" s="1505"/>
    </row>
    <row r="2803" spans="8:8">
      <c r="H2803" s="1505"/>
    </row>
    <row r="2804" spans="8:8">
      <c r="H2804" s="1505"/>
    </row>
    <row r="2805" spans="8:8">
      <c r="H2805" s="1505"/>
    </row>
    <row r="2806" spans="8:8">
      <c r="H2806" s="1505"/>
    </row>
    <row r="2807" spans="8:8">
      <c r="H2807" s="1505"/>
    </row>
    <row r="2808" spans="8:8">
      <c r="H2808" s="1505"/>
    </row>
    <row r="2809" spans="8:8">
      <c r="H2809" s="1505"/>
    </row>
    <row r="2810" spans="8:8">
      <c r="H2810" s="1505"/>
    </row>
    <row r="2811" spans="8:8">
      <c r="H2811" s="1505"/>
    </row>
    <row r="2812" spans="8:8">
      <c r="H2812" s="1505"/>
    </row>
    <row r="2813" spans="8:8">
      <c r="H2813" s="1505"/>
    </row>
    <row r="2814" spans="8:8">
      <c r="H2814" s="1505"/>
    </row>
    <row r="2815" spans="8:8">
      <c r="H2815" s="1505"/>
    </row>
    <row r="2816" spans="8:8">
      <c r="H2816" s="1505"/>
    </row>
    <row r="2817" spans="8:8">
      <c r="H2817" s="1505"/>
    </row>
    <row r="2818" spans="8:8">
      <c r="H2818" s="1505"/>
    </row>
    <row r="2819" spans="8:8">
      <c r="H2819" s="1505"/>
    </row>
    <row r="2820" spans="8:8">
      <c r="H2820" s="1505"/>
    </row>
    <row r="2821" spans="8:8">
      <c r="H2821" s="1505"/>
    </row>
    <row r="2822" spans="8:8">
      <c r="H2822" s="1505"/>
    </row>
    <row r="2823" spans="8:8">
      <c r="H2823" s="1505"/>
    </row>
    <row r="2824" spans="8:8">
      <c r="H2824" s="1505"/>
    </row>
    <row r="2825" spans="8:8">
      <c r="H2825" s="1505"/>
    </row>
    <row r="2826" spans="8:8">
      <c r="H2826" s="1505"/>
    </row>
    <row r="2827" spans="8:8">
      <c r="H2827" s="1505"/>
    </row>
    <row r="2828" spans="8:8">
      <c r="H2828" s="1505"/>
    </row>
    <row r="2829" spans="8:8">
      <c r="H2829" s="1505"/>
    </row>
    <row r="2830" spans="8:8">
      <c r="H2830" s="1505"/>
    </row>
    <row r="2831" spans="8:8">
      <c r="H2831" s="1505"/>
    </row>
    <row r="2832" spans="8:8">
      <c r="H2832" s="1505"/>
    </row>
    <row r="2833" spans="8:8">
      <c r="H2833" s="1505"/>
    </row>
    <row r="2834" spans="8:8">
      <c r="H2834" s="1505"/>
    </row>
    <row r="2835" spans="8:8">
      <c r="H2835" s="1505"/>
    </row>
    <row r="2836" spans="8:8">
      <c r="H2836" s="1505"/>
    </row>
    <row r="2837" spans="8:8">
      <c r="H2837" s="1505"/>
    </row>
    <row r="2838" spans="8:8">
      <c r="H2838" s="1505"/>
    </row>
    <row r="2839" spans="8:8">
      <c r="H2839" s="1505"/>
    </row>
    <row r="2840" spans="8:8">
      <c r="H2840" s="1505"/>
    </row>
    <row r="2841" spans="8:8">
      <c r="H2841" s="1505"/>
    </row>
    <row r="2842" spans="8:8">
      <c r="H2842" s="1505"/>
    </row>
    <row r="2843" spans="8:8">
      <c r="H2843" s="1505"/>
    </row>
    <row r="2844" spans="8:8">
      <c r="H2844" s="1505"/>
    </row>
    <row r="2845" spans="8:8">
      <c r="H2845" s="1505"/>
    </row>
    <row r="2846" spans="8:8">
      <c r="H2846" s="1505"/>
    </row>
    <row r="2847" spans="8:8">
      <c r="H2847" s="1505"/>
    </row>
    <row r="2848" spans="8:8">
      <c r="H2848" s="1505"/>
    </row>
    <row r="2849" spans="8:8">
      <c r="H2849" s="1505"/>
    </row>
    <row r="2850" spans="8:8">
      <c r="H2850" s="1505"/>
    </row>
    <row r="2851" spans="8:8">
      <c r="H2851" s="1505"/>
    </row>
    <row r="2852" spans="8:8">
      <c r="H2852" s="1505"/>
    </row>
    <row r="2853" spans="8:8">
      <c r="H2853" s="1505"/>
    </row>
    <row r="2854" spans="8:8">
      <c r="H2854" s="1505"/>
    </row>
    <row r="2855" spans="8:8">
      <c r="H2855" s="1505"/>
    </row>
    <row r="2856" spans="8:8">
      <c r="H2856" s="1505"/>
    </row>
    <row r="2857" spans="8:8">
      <c r="H2857" s="1505"/>
    </row>
    <row r="2858" spans="8:8">
      <c r="H2858" s="1505"/>
    </row>
    <row r="2859" spans="8:8">
      <c r="H2859" s="1505"/>
    </row>
    <row r="2860" spans="8:8">
      <c r="H2860" s="1505"/>
    </row>
    <row r="2861" spans="8:8">
      <c r="H2861" s="1505"/>
    </row>
    <row r="2862" spans="8:8">
      <c r="H2862" s="1505"/>
    </row>
    <row r="2863" spans="8:8">
      <c r="H2863" s="1505"/>
    </row>
    <row r="2864" spans="8:8">
      <c r="H2864" s="1505"/>
    </row>
    <row r="2865" spans="8:8">
      <c r="H2865" s="1505"/>
    </row>
    <row r="2866" spans="8:8">
      <c r="H2866" s="1505"/>
    </row>
    <row r="2867" spans="8:8">
      <c r="H2867" s="1505"/>
    </row>
    <row r="2868" spans="8:8">
      <c r="H2868" s="1505"/>
    </row>
    <row r="2869" spans="8:8">
      <c r="H2869" s="1505"/>
    </row>
    <row r="2870" spans="8:8">
      <c r="H2870" s="1505"/>
    </row>
    <row r="2871" spans="8:8">
      <c r="H2871" s="1505"/>
    </row>
    <row r="2872" spans="8:8">
      <c r="H2872" s="1505"/>
    </row>
    <row r="2873" spans="8:8">
      <c r="H2873" s="1505"/>
    </row>
    <row r="2874" spans="8:8">
      <c r="H2874" s="1505"/>
    </row>
    <row r="2875" spans="8:8">
      <c r="H2875" s="1505"/>
    </row>
    <row r="2876" spans="8:8">
      <c r="H2876" s="1505"/>
    </row>
    <row r="2877" spans="8:8">
      <c r="H2877" s="1505"/>
    </row>
    <row r="2878" spans="8:8">
      <c r="H2878" s="1505"/>
    </row>
    <row r="2879" spans="8:8">
      <c r="H2879" s="1505"/>
    </row>
    <row r="2880" spans="8:8">
      <c r="H2880" s="1505"/>
    </row>
    <row r="2881" spans="8:8">
      <c r="H2881" s="1505"/>
    </row>
    <row r="2882" spans="8:8">
      <c r="H2882" s="1505"/>
    </row>
    <row r="2883" spans="8:8">
      <c r="H2883" s="1505"/>
    </row>
    <row r="2884" spans="8:8">
      <c r="H2884" s="1505"/>
    </row>
    <row r="2885" spans="8:8">
      <c r="H2885" s="1505"/>
    </row>
    <row r="2886" spans="8:8">
      <c r="H2886" s="1505"/>
    </row>
    <row r="2887" spans="8:8">
      <c r="H2887" s="1505"/>
    </row>
    <row r="2888" spans="8:8">
      <c r="H2888" s="1505"/>
    </row>
    <row r="2889" spans="8:8">
      <c r="H2889" s="1505"/>
    </row>
    <row r="2890" spans="8:8">
      <c r="H2890" s="1505"/>
    </row>
    <row r="2891" spans="8:8">
      <c r="H2891" s="1505"/>
    </row>
    <row r="2892" spans="8:8">
      <c r="H2892" s="1505"/>
    </row>
    <row r="2893" spans="8:8">
      <c r="H2893" s="1505"/>
    </row>
    <row r="2894" spans="8:8">
      <c r="H2894" s="1505"/>
    </row>
    <row r="2895" spans="8:8">
      <c r="H2895" s="1505"/>
    </row>
    <row r="2896" spans="8:8">
      <c r="H2896" s="1505"/>
    </row>
    <row r="2897" spans="8:8">
      <c r="H2897" s="1505"/>
    </row>
    <row r="2898" spans="8:8">
      <c r="H2898" s="1505"/>
    </row>
    <row r="2899" spans="8:8">
      <c r="H2899" s="1505"/>
    </row>
    <row r="2900" spans="8:8">
      <c r="H2900" s="1505"/>
    </row>
    <row r="2901" spans="8:8">
      <c r="H2901" s="1505"/>
    </row>
    <row r="2902" spans="8:8">
      <c r="H2902" s="1505"/>
    </row>
    <row r="2903" spans="8:8">
      <c r="H2903" s="1505"/>
    </row>
    <row r="2904" spans="8:8">
      <c r="H2904" s="1505"/>
    </row>
    <row r="2905" spans="8:8">
      <c r="H2905" s="1505"/>
    </row>
    <row r="2906" spans="8:8">
      <c r="H2906" s="1505"/>
    </row>
    <row r="2907" spans="8:8">
      <c r="H2907" s="1505"/>
    </row>
    <row r="2908" spans="8:8">
      <c r="H2908" s="1505"/>
    </row>
    <row r="2909" spans="8:8">
      <c r="H2909" s="1505"/>
    </row>
    <row r="2910" spans="8:8">
      <c r="H2910" s="1505"/>
    </row>
    <row r="2911" spans="8:8">
      <c r="H2911" s="1505"/>
    </row>
    <row r="2912" spans="8:8">
      <c r="H2912" s="1505"/>
    </row>
    <row r="2913" spans="8:8">
      <c r="H2913" s="1505"/>
    </row>
    <row r="2914" spans="8:8">
      <c r="H2914" s="1505"/>
    </row>
    <row r="2915" spans="8:8">
      <c r="H2915" s="1505"/>
    </row>
    <row r="2916" spans="8:8">
      <c r="H2916" s="1505"/>
    </row>
    <row r="2917" spans="8:8">
      <c r="H2917" s="1505"/>
    </row>
    <row r="2918" spans="8:8">
      <c r="H2918" s="1505"/>
    </row>
    <row r="2919" spans="8:8">
      <c r="H2919" s="1505"/>
    </row>
    <row r="2920" spans="8:8">
      <c r="H2920" s="1505"/>
    </row>
    <row r="2921" spans="8:8">
      <c r="H2921" s="1505"/>
    </row>
    <row r="2922" spans="8:8">
      <c r="H2922" s="1505"/>
    </row>
    <row r="2923" spans="8:8">
      <c r="H2923" s="1505"/>
    </row>
    <row r="2924" spans="8:8">
      <c r="H2924" s="1505"/>
    </row>
    <row r="2925" spans="8:8">
      <c r="H2925" s="1505"/>
    </row>
    <row r="2926" spans="8:8">
      <c r="H2926" s="1505"/>
    </row>
    <row r="2927" spans="8:8">
      <c r="H2927" s="1505"/>
    </row>
    <row r="2928" spans="8:8">
      <c r="H2928" s="1505"/>
    </row>
    <row r="2929" spans="8:8">
      <c r="H2929" s="1505"/>
    </row>
    <row r="2930" spans="8:8">
      <c r="H2930" s="1505"/>
    </row>
    <row r="2931" spans="8:8">
      <c r="H2931" s="1505"/>
    </row>
    <row r="2932" spans="8:8">
      <c r="H2932" s="1505"/>
    </row>
    <row r="2933" spans="8:8">
      <c r="H2933" s="1505"/>
    </row>
    <row r="2934" spans="8:8">
      <c r="H2934" s="1505"/>
    </row>
    <row r="2935" spans="8:8">
      <c r="H2935" s="1505"/>
    </row>
    <row r="2936" spans="8:8">
      <c r="H2936" s="1505"/>
    </row>
    <row r="2937" spans="8:8">
      <c r="H2937" s="1505"/>
    </row>
    <row r="2938" spans="8:8">
      <c r="H2938" s="1505"/>
    </row>
    <row r="2939" spans="8:8">
      <c r="H2939" s="1505"/>
    </row>
    <row r="2940" spans="8:8">
      <c r="H2940" s="1505"/>
    </row>
    <row r="2941" spans="8:8">
      <c r="H2941" s="1505"/>
    </row>
    <row r="2942" spans="8:8">
      <c r="H2942" s="1505"/>
    </row>
    <row r="2943" spans="8:8">
      <c r="H2943" s="1505"/>
    </row>
    <row r="2944" spans="8:8">
      <c r="H2944" s="1505"/>
    </row>
    <row r="2945" spans="8:8">
      <c r="H2945" s="1505"/>
    </row>
    <row r="2946" spans="8:8">
      <c r="H2946" s="1505"/>
    </row>
    <row r="2947" spans="8:8">
      <c r="H2947" s="1505"/>
    </row>
    <row r="2948" spans="8:8">
      <c r="H2948" s="1505"/>
    </row>
    <row r="2949" spans="8:8">
      <c r="H2949" s="1505"/>
    </row>
    <row r="2950" spans="8:8">
      <c r="H2950" s="1505"/>
    </row>
    <row r="2951" spans="8:8">
      <c r="H2951" s="1505"/>
    </row>
    <row r="2952" spans="8:8">
      <c r="H2952" s="1505"/>
    </row>
    <row r="2953" spans="8:8">
      <c r="H2953" s="1505"/>
    </row>
    <row r="2954" spans="8:8">
      <c r="H2954" s="1505"/>
    </row>
    <row r="2955" spans="8:8">
      <c r="H2955" s="1505"/>
    </row>
    <row r="2956" spans="8:8">
      <c r="H2956" s="1505"/>
    </row>
    <row r="2957" spans="8:8">
      <c r="H2957" s="1505"/>
    </row>
    <row r="2958" spans="8:8">
      <c r="H2958" s="1505"/>
    </row>
    <row r="2959" spans="8:8">
      <c r="H2959" s="1505"/>
    </row>
    <row r="2960" spans="8:8">
      <c r="H2960" s="1505"/>
    </row>
    <row r="2961" spans="8:8">
      <c r="H2961" s="1505"/>
    </row>
    <row r="2962" spans="8:8">
      <c r="H2962" s="1505"/>
    </row>
    <row r="2963" spans="8:8">
      <c r="H2963" s="1505"/>
    </row>
    <row r="2964" spans="8:8">
      <c r="H2964" s="1505"/>
    </row>
    <row r="2965" spans="8:8">
      <c r="H2965" s="1505"/>
    </row>
    <row r="2966" spans="8:8">
      <c r="H2966" s="1505"/>
    </row>
    <row r="2967" spans="8:8">
      <c r="H2967" s="1505"/>
    </row>
    <row r="2968" spans="8:8">
      <c r="H2968" s="1505"/>
    </row>
    <row r="2969" spans="8:8">
      <c r="H2969" s="1505"/>
    </row>
    <row r="2970" spans="8:8">
      <c r="H2970" s="1505"/>
    </row>
    <row r="2971" spans="8:8">
      <c r="H2971" s="1505"/>
    </row>
    <row r="2972" spans="8:8">
      <c r="H2972" s="1505"/>
    </row>
    <row r="2973" spans="8:8">
      <c r="H2973" s="1505"/>
    </row>
    <row r="2974" spans="8:8">
      <c r="H2974" s="1505"/>
    </row>
    <row r="2975" spans="8:8">
      <c r="H2975" s="1505"/>
    </row>
    <row r="2976" spans="8:8">
      <c r="H2976" s="1505"/>
    </row>
    <row r="2977" spans="8:8">
      <c r="H2977" s="1505"/>
    </row>
    <row r="2978" spans="8:8">
      <c r="H2978" s="1505"/>
    </row>
    <row r="2979" spans="8:8">
      <c r="H2979" s="1505"/>
    </row>
    <row r="2980" spans="8:8">
      <c r="H2980" s="1505"/>
    </row>
    <row r="2981" spans="8:8">
      <c r="H2981" s="1505"/>
    </row>
    <row r="2982" spans="8:8">
      <c r="H2982" s="1505"/>
    </row>
    <row r="2983" spans="8:8">
      <c r="H2983" s="1505"/>
    </row>
    <row r="2984" spans="8:8">
      <c r="H2984" s="1505"/>
    </row>
    <row r="2985" spans="8:8">
      <c r="H2985" s="1505"/>
    </row>
    <row r="2986" spans="8:8">
      <c r="H2986" s="1505"/>
    </row>
    <row r="2987" spans="8:8">
      <c r="H2987" s="1505"/>
    </row>
    <row r="2988" spans="8:8">
      <c r="H2988" s="1505"/>
    </row>
    <row r="2989" spans="8:8">
      <c r="H2989" s="1505"/>
    </row>
    <row r="2990" spans="8:8">
      <c r="H2990" s="1505"/>
    </row>
    <row r="2991" spans="8:8">
      <c r="H2991" s="1505"/>
    </row>
    <row r="2992" spans="8:8">
      <c r="H2992" s="1505"/>
    </row>
    <row r="2993" spans="8:8">
      <c r="H2993" s="1505"/>
    </row>
    <row r="2994" spans="8:8">
      <c r="H2994" s="1505"/>
    </row>
    <row r="2995" spans="8:8">
      <c r="H2995" s="1505"/>
    </row>
    <row r="2996" spans="8:8">
      <c r="H2996" s="1505"/>
    </row>
    <row r="2997" spans="8:8">
      <c r="H2997" s="1505"/>
    </row>
    <row r="2998" spans="8:8">
      <c r="H2998" s="1505"/>
    </row>
    <row r="2999" spans="8:8">
      <c r="H2999" s="1505"/>
    </row>
    <row r="3000" spans="8:8">
      <c r="H3000" s="1505"/>
    </row>
    <row r="3001" spans="8:8">
      <c r="H3001" s="1505"/>
    </row>
    <row r="3002" spans="8:8">
      <c r="H3002" s="1505"/>
    </row>
    <row r="3003" spans="8:8">
      <c r="H3003" s="1505"/>
    </row>
    <row r="3004" spans="8:8">
      <c r="H3004" s="1505"/>
    </row>
    <row r="3005" spans="8:8">
      <c r="H3005" s="1505"/>
    </row>
    <row r="3006" spans="8:8">
      <c r="H3006" s="1505"/>
    </row>
    <row r="3007" spans="8:8">
      <c r="H3007" s="1505"/>
    </row>
    <row r="3008" spans="8:8">
      <c r="H3008" s="1505"/>
    </row>
    <row r="3009" spans="8:8">
      <c r="H3009" s="1505"/>
    </row>
    <row r="3010" spans="8:8">
      <c r="H3010" s="1505"/>
    </row>
    <row r="3011" spans="8:8">
      <c r="H3011" s="1505"/>
    </row>
    <row r="3012" spans="8:8">
      <c r="H3012" s="1505"/>
    </row>
    <row r="3013" spans="8:8">
      <c r="H3013" s="1505"/>
    </row>
    <row r="3014" spans="8:8">
      <c r="H3014" s="1505"/>
    </row>
    <row r="3015" spans="8:8">
      <c r="H3015" s="1505"/>
    </row>
    <row r="3016" spans="8:8">
      <c r="H3016" s="1505"/>
    </row>
    <row r="3017" spans="8:8">
      <c r="H3017" s="1505"/>
    </row>
    <row r="3018" spans="8:8">
      <c r="H3018" s="1505"/>
    </row>
    <row r="3019" spans="8:8">
      <c r="H3019" s="1505"/>
    </row>
    <row r="3020" spans="8:8">
      <c r="H3020" s="1505"/>
    </row>
    <row r="3021" spans="8:8">
      <c r="H3021" s="1505"/>
    </row>
    <row r="3022" spans="8:8">
      <c r="H3022" s="1505"/>
    </row>
    <row r="3023" spans="8:8">
      <c r="H3023" s="1505"/>
    </row>
    <row r="3024" spans="8:8">
      <c r="H3024" s="1505"/>
    </row>
    <row r="3025" spans="8:8">
      <c r="H3025" s="1505"/>
    </row>
    <row r="3026" spans="8:8">
      <c r="H3026" s="1505"/>
    </row>
    <row r="3027" spans="8:8">
      <c r="H3027" s="1505"/>
    </row>
    <row r="3028" spans="8:8">
      <c r="H3028" s="1505"/>
    </row>
    <row r="3029" spans="8:8">
      <c r="H3029" s="1505"/>
    </row>
    <row r="3030" spans="8:8">
      <c r="H3030" s="1505"/>
    </row>
    <row r="3031" spans="8:8">
      <c r="H3031" s="1505"/>
    </row>
    <row r="3032" spans="8:8">
      <c r="H3032" s="1505"/>
    </row>
    <row r="3033" spans="8:8">
      <c r="H3033" s="1505"/>
    </row>
    <row r="3034" spans="8:8">
      <c r="H3034" s="1505"/>
    </row>
    <row r="3035" spans="8:8">
      <c r="H3035" s="1505"/>
    </row>
    <row r="3036" spans="8:8">
      <c r="H3036" s="1505"/>
    </row>
    <row r="3037" spans="8:8">
      <c r="H3037" s="1505"/>
    </row>
    <row r="3038" spans="8:8">
      <c r="H3038" s="1505"/>
    </row>
    <row r="3039" spans="8:8">
      <c r="H3039" s="1505"/>
    </row>
    <row r="3040" spans="8:8">
      <c r="H3040" s="1505"/>
    </row>
    <row r="3041" spans="8:8">
      <c r="H3041" s="1505"/>
    </row>
    <row r="3042" spans="8:8">
      <c r="H3042" s="1505"/>
    </row>
    <row r="3043" spans="8:8">
      <c r="H3043" s="1505"/>
    </row>
    <row r="3044" spans="8:8">
      <c r="H3044" s="1505"/>
    </row>
    <row r="3045" spans="8:8">
      <c r="H3045" s="1505"/>
    </row>
    <row r="3046" spans="8:8">
      <c r="H3046" s="1505"/>
    </row>
    <row r="3047" spans="8:8">
      <c r="H3047" s="1505"/>
    </row>
    <row r="3048" spans="8:8">
      <c r="H3048" s="1505"/>
    </row>
    <row r="3049" spans="8:8">
      <c r="H3049" s="1505"/>
    </row>
    <row r="3050" spans="8:8">
      <c r="H3050" s="1505"/>
    </row>
    <row r="3051" spans="8:8">
      <c r="H3051" s="1505"/>
    </row>
    <row r="3052" spans="8:8">
      <c r="H3052" s="1505"/>
    </row>
    <row r="3053" spans="8:8">
      <c r="H3053" s="1505"/>
    </row>
    <row r="3054" spans="8:8">
      <c r="H3054" s="1505"/>
    </row>
    <row r="3055" spans="8:8">
      <c r="H3055" s="1505"/>
    </row>
    <row r="3056" spans="8:8">
      <c r="H3056" s="1505"/>
    </row>
    <row r="3057" spans="8:8">
      <c r="H3057" s="1505"/>
    </row>
    <row r="3058" spans="8:8">
      <c r="H3058" s="1505"/>
    </row>
    <row r="3059" spans="8:8">
      <c r="H3059" s="1505"/>
    </row>
    <row r="3060" spans="8:8">
      <c r="H3060" s="1505"/>
    </row>
    <row r="3061" spans="8:8">
      <c r="H3061" s="1505"/>
    </row>
    <row r="3062" spans="8:8">
      <c r="H3062" s="1505"/>
    </row>
    <row r="3063" spans="8:8">
      <c r="H3063" s="1505"/>
    </row>
    <row r="3064" spans="8:8">
      <c r="H3064" s="1505"/>
    </row>
    <row r="3065" spans="8:8">
      <c r="H3065" s="1505"/>
    </row>
    <row r="3066" spans="8:8">
      <c r="H3066" s="1505"/>
    </row>
    <row r="3067" spans="8:8">
      <c r="H3067" s="1505"/>
    </row>
    <row r="3068" spans="8:8">
      <c r="H3068" s="1505"/>
    </row>
    <row r="3069" spans="8:8">
      <c r="H3069" s="1505"/>
    </row>
    <row r="3070" spans="8:8">
      <c r="H3070" s="1505"/>
    </row>
    <row r="3071" spans="8:8">
      <c r="H3071" s="1505"/>
    </row>
    <row r="3072" spans="8:8">
      <c r="H3072" s="1505"/>
    </row>
    <row r="3073" spans="8:8">
      <c r="H3073" s="1505"/>
    </row>
    <row r="3074" spans="8:8">
      <c r="H3074" s="1505"/>
    </row>
    <row r="3075" spans="8:8">
      <c r="H3075" s="1505"/>
    </row>
    <row r="3076" spans="8:8">
      <c r="H3076" s="1505"/>
    </row>
    <row r="3077" spans="8:8">
      <c r="H3077" s="1505"/>
    </row>
    <row r="3078" spans="8:8">
      <c r="H3078" s="1505"/>
    </row>
    <row r="3079" spans="8:8">
      <c r="H3079" s="1505"/>
    </row>
    <row r="3080" spans="8:8">
      <c r="H3080" s="1505"/>
    </row>
    <row r="3081" spans="8:8">
      <c r="H3081" s="1505"/>
    </row>
    <row r="3082" spans="8:8">
      <c r="H3082" s="1505"/>
    </row>
    <row r="3083" spans="8:8">
      <c r="H3083" s="1505"/>
    </row>
    <row r="3084" spans="8:8">
      <c r="H3084" s="1505"/>
    </row>
    <row r="3085" spans="8:8">
      <c r="H3085" s="1505"/>
    </row>
    <row r="3086" spans="8:8">
      <c r="H3086" s="1505"/>
    </row>
    <row r="3087" spans="8:8">
      <c r="H3087" s="1505"/>
    </row>
    <row r="3088" spans="8:8">
      <c r="H3088" s="1505"/>
    </row>
    <row r="3089" spans="8:8">
      <c r="H3089" s="1505"/>
    </row>
    <row r="3090" spans="8:8">
      <c r="H3090" s="1505"/>
    </row>
    <row r="3091" spans="8:8">
      <c r="H3091" s="1505"/>
    </row>
    <row r="3092" spans="8:8">
      <c r="H3092" s="1505"/>
    </row>
    <row r="3093" spans="8:8">
      <c r="H3093" s="1505"/>
    </row>
    <row r="3094" spans="8:8">
      <c r="H3094" s="1505"/>
    </row>
    <row r="3095" spans="8:8">
      <c r="H3095" s="1505"/>
    </row>
    <row r="3096" spans="8:8">
      <c r="H3096" s="1505"/>
    </row>
    <row r="3097" spans="8:8">
      <c r="H3097" s="1505"/>
    </row>
    <row r="3098" spans="8:8">
      <c r="H3098" s="1505"/>
    </row>
    <row r="3099" spans="8:8">
      <c r="H3099" s="1505"/>
    </row>
    <row r="3100" spans="8:8">
      <c r="H3100" s="1505"/>
    </row>
    <row r="3101" spans="8:8">
      <c r="H3101" s="1505"/>
    </row>
    <row r="3102" spans="8:8">
      <c r="H3102" s="1505"/>
    </row>
    <row r="3103" spans="8:8">
      <c r="H3103" s="1505"/>
    </row>
    <row r="3104" spans="8:8">
      <c r="H3104" s="1505"/>
    </row>
    <row r="3105" spans="8:8">
      <c r="H3105" s="1505"/>
    </row>
    <row r="3106" spans="8:8">
      <c r="H3106" s="1505"/>
    </row>
    <row r="3107" spans="8:8">
      <c r="H3107" s="1505"/>
    </row>
    <row r="3108" spans="8:8">
      <c r="H3108" s="1505"/>
    </row>
    <row r="3109" spans="8:8">
      <c r="H3109" s="1505"/>
    </row>
    <row r="3110" spans="8:8">
      <c r="H3110" s="1505"/>
    </row>
    <row r="3111" spans="8:8">
      <c r="H3111" s="1505"/>
    </row>
    <row r="3112" spans="8:8">
      <c r="H3112" s="1505"/>
    </row>
    <row r="3113" spans="8:8">
      <c r="H3113" s="1505"/>
    </row>
    <row r="3114" spans="8:8">
      <c r="H3114" s="1505"/>
    </row>
    <row r="3115" spans="8:8">
      <c r="H3115" s="1505"/>
    </row>
    <row r="3116" spans="8:8">
      <c r="H3116" s="1505"/>
    </row>
    <row r="3117" spans="8:8">
      <c r="H3117" s="1505"/>
    </row>
    <row r="3118" spans="8:8">
      <c r="H3118" s="1505"/>
    </row>
    <row r="3119" spans="8:8">
      <c r="H3119" s="1505"/>
    </row>
    <row r="3120" spans="8:8">
      <c r="H3120" s="1505"/>
    </row>
    <row r="3121" spans="8:8">
      <c r="H3121" s="1505"/>
    </row>
    <row r="3122" spans="8:8">
      <c r="H3122" s="1505"/>
    </row>
    <row r="3123" spans="8:8">
      <c r="H3123" s="1505"/>
    </row>
    <row r="3124" spans="8:8">
      <c r="H3124" s="1505"/>
    </row>
    <row r="3125" spans="8:8">
      <c r="H3125" s="1505"/>
    </row>
    <row r="3126" spans="8:8">
      <c r="H3126" s="1505"/>
    </row>
    <row r="3127" spans="8:8">
      <c r="H3127" s="1505"/>
    </row>
    <row r="3128" spans="8:8">
      <c r="H3128" s="1505"/>
    </row>
    <row r="3129" spans="8:8">
      <c r="H3129" s="1505"/>
    </row>
    <row r="3130" spans="8:8">
      <c r="H3130" s="1505"/>
    </row>
    <row r="3131" spans="8:8">
      <c r="H3131" s="1505"/>
    </row>
    <row r="3132" spans="8:8">
      <c r="H3132" s="1505"/>
    </row>
    <row r="3133" spans="8:8">
      <c r="H3133" s="1505"/>
    </row>
    <row r="3134" spans="8:8">
      <c r="H3134" s="1505"/>
    </row>
    <row r="3135" spans="8:8">
      <c r="H3135" s="1505"/>
    </row>
    <row r="3136" spans="8:8">
      <c r="H3136" s="1505"/>
    </row>
    <row r="3137" spans="8:8">
      <c r="H3137" s="1505"/>
    </row>
    <row r="3138" spans="8:8">
      <c r="H3138" s="1505"/>
    </row>
    <row r="3139" spans="8:8">
      <c r="H3139" s="1505"/>
    </row>
    <row r="3140" spans="8:8">
      <c r="H3140" s="1505"/>
    </row>
    <row r="3141" spans="8:8">
      <c r="H3141" s="1505"/>
    </row>
    <row r="3142" spans="8:8">
      <c r="H3142" s="1505"/>
    </row>
    <row r="3143" spans="8:8">
      <c r="H3143" s="1505"/>
    </row>
    <row r="3144" spans="8:8">
      <c r="H3144" s="1505"/>
    </row>
    <row r="3145" spans="8:8">
      <c r="H3145" s="1505"/>
    </row>
    <row r="3146" spans="8:8">
      <c r="H3146" s="1505"/>
    </row>
    <row r="3147" spans="8:8">
      <c r="H3147" s="1505"/>
    </row>
    <row r="3148" spans="8:8">
      <c r="H3148" s="1505"/>
    </row>
    <row r="3149" spans="8:8">
      <c r="H3149" s="1505"/>
    </row>
    <row r="3150" spans="8:8">
      <c r="H3150" s="1505"/>
    </row>
    <row r="3151" spans="8:8">
      <c r="H3151" s="1505"/>
    </row>
    <row r="3152" spans="8:8">
      <c r="H3152" s="1505"/>
    </row>
    <row r="3153" spans="8:8">
      <c r="H3153" s="1505"/>
    </row>
    <row r="3154" spans="8:8">
      <c r="H3154" s="1505"/>
    </row>
    <row r="3155" spans="8:8">
      <c r="H3155" s="1505"/>
    </row>
    <row r="3156" spans="8:8">
      <c r="H3156" s="1505"/>
    </row>
    <row r="3157" spans="8:8">
      <c r="H3157" s="1505"/>
    </row>
    <row r="3158" spans="8:8">
      <c r="H3158" s="1505"/>
    </row>
    <row r="3159" spans="8:8">
      <c r="H3159" s="1505"/>
    </row>
    <row r="3160" spans="8:8">
      <c r="H3160" s="1505"/>
    </row>
    <row r="3161" spans="8:8">
      <c r="H3161" s="1505"/>
    </row>
    <row r="3162" spans="8:8">
      <c r="H3162" s="1505"/>
    </row>
    <row r="3163" spans="8:8">
      <c r="H3163" s="1505"/>
    </row>
    <row r="3164" spans="8:8">
      <c r="H3164" s="1505"/>
    </row>
    <row r="3165" spans="8:8">
      <c r="H3165" s="1505"/>
    </row>
    <row r="3166" spans="8:8">
      <c r="H3166" s="1505"/>
    </row>
    <row r="3167" spans="8:8">
      <c r="H3167" s="1505"/>
    </row>
    <row r="3168" spans="8:8">
      <c r="H3168" s="1505"/>
    </row>
    <row r="3169" spans="8:8">
      <c r="H3169" s="1505"/>
    </row>
    <row r="3170" spans="8:8">
      <c r="H3170" s="1505"/>
    </row>
    <row r="3171" spans="8:8">
      <c r="H3171" s="1505"/>
    </row>
    <row r="3172" spans="8:8">
      <c r="H3172" s="1505"/>
    </row>
    <row r="3173" spans="8:8">
      <c r="H3173" s="1505"/>
    </row>
    <row r="3174" spans="8:8">
      <c r="H3174" s="1505"/>
    </row>
    <row r="3175" spans="8:8">
      <c r="H3175" s="1505"/>
    </row>
    <row r="3176" spans="8:8">
      <c r="H3176" s="1505"/>
    </row>
    <row r="3177" spans="8:8">
      <c r="H3177" s="1505"/>
    </row>
    <row r="3178" spans="8:8">
      <c r="H3178" s="1505"/>
    </row>
    <row r="3179" spans="8:8">
      <c r="H3179" s="1505"/>
    </row>
    <row r="3180" spans="8:8">
      <c r="H3180" s="1505"/>
    </row>
    <row r="3181" spans="8:8">
      <c r="H3181" s="1505"/>
    </row>
    <row r="3182" spans="8:8">
      <c r="H3182" s="1505"/>
    </row>
    <row r="3183" spans="8:8">
      <c r="H3183" s="1505"/>
    </row>
    <row r="3184" spans="8:8">
      <c r="H3184" s="1505"/>
    </row>
    <row r="3185" spans="8:8">
      <c r="H3185" s="1505"/>
    </row>
    <row r="3186" spans="8:8">
      <c r="H3186" s="1505"/>
    </row>
    <row r="3187" spans="8:8">
      <c r="H3187" s="1505"/>
    </row>
    <row r="3188" spans="8:8">
      <c r="H3188" s="1505"/>
    </row>
    <row r="3189" spans="8:8">
      <c r="H3189" s="1505"/>
    </row>
    <row r="3190" spans="8:8">
      <c r="H3190" s="1505"/>
    </row>
    <row r="3191" spans="8:8">
      <c r="H3191" s="1505"/>
    </row>
    <row r="3192" spans="8:8">
      <c r="H3192" s="1505"/>
    </row>
    <row r="3193" spans="8:8">
      <c r="H3193" s="1505"/>
    </row>
    <row r="3194" spans="8:8">
      <c r="H3194" s="1505"/>
    </row>
    <row r="3195" spans="8:8">
      <c r="H3195" s="1505"/>
    </row>
    <row r="3196" spans="8:8">
      <c r="H3196" s="1505"/>
    </row>
    <row r="3197" spans="8:8">
      <c r="H3197" s="1505"/>
    </row>
    <row r="3198" spans="8:8">
      <c r="H3198" s="1505"/>
    </row>
    <row r="3199" spans="8:8">
      <c r="H3199" s="1505"/>
    </row>
    <row r="3200" spans="8:8">
      <c r="H3200" s="1505"/>
    </row>
    <row r="3201" spans="8:8">
      <c r="H3201" s="1505"/>
    </row>
    <row r="3202" spans="8:8">
      <c r="H3202" s="1505"/>
    </row>
    <row r="3203" spans="8:8">
      <c r="H3203" s="1505"/>
    </row>
    <row r="3204" spans="8:8">
      <c r="H3204" s="1505"/>
    </row>
    <row r="3205" spans="8:8">
      <c r="H3205" s="1505"/>
    </row>
    <row r="3206" spans="8:8">
      <c r="H3206" s="1505"/>
    </row>
    <row r="3207" spans="8:8">
      <c r="H3207" s="1505"/>
    </row>
    <row r="3208" spans="8:8">
      <c r="H3208" s="1505"/>
    </row>
    <row r="3209" spans="8:8">
      <c r="H3209" s="1505"/>
    </row>
    <row r="3210" spans="8:8">
      <c r="H3210" s="1505"/>
    </row>
    <row r="3211" spans="8:8">
      <c r="H3211" s="1505"/>
    </row>
    <row r="3212" spans="8:8">
      <c r="H3212" s="1505"/>
    </row>
    <row r="3213" spans="8:8">
      <c r="H3213" s="1505"/>
    </row>
    <row r="3214" spans="8:8">
      <c r="H3214" s="1505"/>
    </row>
    <row r="3215" spans="8:8">
      <c r="H3215" s="1505"/>
    </row>
    <row r="3216" spans="8:8">
      <c r="H3216" s="1505"/>
    </row>
    <row r="3217" spans="8:8">
      <c r="H3217" s="1505"/>
    </row>
    <row r="3218" spans="8:8">
      <c r="H3218" s="1505"/>
    </row>
    <row r="3219" spans="8:8">
      <c r="H3219" s="1505"/>
    </row>
    <row r="3220" spans="8:8">
      <c r="H3220" s="1505"/>
    </row>
    <row r="3221" spans="8:8">
      <c r="H3221" s="1505"/>
    </row>
    <row r="3222" spans="8:8">
      <c r="H3222" s="1505"/>
    </row>
    <row r="3223" spans="8:8">
      <c r="H3223" s="1505"/>
    </row>
    <row r="3224" spans="8:8">
      <c r="H3224" s="1505"/>
    </row>
    <row r="3225" spans="8:8">
      <c r="H3225" s="1505"/>
    </row>
    <row r="3226" spans="8:8">
      <c r="H3226" s="1505"/>
    </row>
    <row r="3227" spans="8:8">
      <c r="H3227" s="1505"/>
    </row>
    <row r="3228" spans="8:8">
      <c r="H3228" s="1505"/>
    </row>
    <row r="3229" spans="8:8">
      <c r="H3229" s="1505"/>
    </row>
    <row r="3230" spans="8:8">
      <c r="H3230" s="1505"/>
    </row>
    <row r="3231" spans="8:8">
      <c r="H3231" s="1505"/>
    </row>
    <row r="3232" spans="8:8">
      <c r="H3232" s="1505"/>
    </row>
    <row r="3233" spans="8:8">
      <c r="H3233" s="1505"/>
    </row>
    <row r="3234" spans="8:8">
      <c r="H3234" s="1505"/>
    </row>
    <row r="3235" spans="8:8">
      <c r="H3235" s="1505"/>
    </row>
    <row r="3236" spans="8:8">
      <c r="H3236" s="1505"/>
    </row>
    <row r="3237" spans="8:8">
      <c r="H3237" s="1505"/>
    </row>
    <row r="3238" spans="8:8">
      <c r="H3238" s="1505"/>
    </row>
    <row r="3239" spans="8:8">
      <c r="H3239" s="1505"/>
    </row>
    <row r="3240" spans="8:8">
      <c r="H3240" s="1505"/>
    </row>
    <row r="3241" spans="8:8">
      <c r="H3241" s="1505"/>
    </row>
    <row r="3242" spans="8:8">
      <c r="H3242" s="1505"/>
    </row>
    <row r="3243" spans="8:8">
      <c r="H3243" s="1505"/>
    </row>
    <row r="3244" spans="8:8">
      <c r="H3244" s="1505"/>
    </row>
    <row r="3245" spans="8:8">
      <c r="H3245" s="1505"/>
    </row>
    <row r="3246" spans="8:8">
      <c r="H3246" s="1505"/>
    </row>
    <row r="3247" spans="8:8">
      <c r="H3247" s="1505"/>
    </row>
    <row r="3248" spans="8:8">
      <c r="H3248" s="1505"/>
    </row>
    <row r="3249" spans="8:8">
      <c r="H3249" s="1505"/>
    </row>
    <row r="3250" spans="8:8">
      <c r="H3250" s="1505"/>
    </row>
    <row r="3251" spans="8:8">
      <c r="H3251" s="1505"/>
    </row>
    <row r="3252" spans="8:8">
      <c r="H3252" s="1505"/>
    </row>
    <row r="3253" spans="8:8">
      <c r="H3253" s="1505"/>
    </row>
    <row r="3254" spans="8:8">
      <c r="H3254" s="1505"/>
    </row>
    <row r="3255" spans="8:8">
      <c r="H3255" s="1505"/>
    </row>
    <row r="3256" spans="8:8">
      <c r="H3256" s="1505"/>
    </row>
    <row r="3257" spans="8:8">
      <c r="H3257" s="1505"/>
    </row>
    <row r="3258" spans="8:8">
      <c r="H3258" s="1505"/>
    </row>
    <row r="3259" spans="8:8">
      <c r="H3259" s="1505"/>
    </row>
    <row r="3260" spans="8:8">
      <c r="H3260" s="1505"/>
    </row>
    <row r="3261" spans="8:8">
      <c r="H3261" s="1505"/>
    </row>
    <row r="3262" spans="8:8">
      <c r="H3262" s="1505"/>
    </row>
    <row r="3263" spans="8:8">
      <c r="H3263" s="1505"/>
    </row>
    <row r="3264" spans="8:8">
      <c r="H3264" s="1505"/>
    </row>
    <row r="3265" spans="8:8">
      <c r="H3265" s="1505"/>
    </row>
    <row r="3266" spans="8:8">
      <c r="H3266" s="1505"/>
    </row>
    <row r="3267" spans="8:8">
      <c r="H3267" s="1505"/>
    </row>
    <row r="3268" spans="8:8">
      <c r="H3268" s="1505"/>
    </row>
    <row r="3269" spans="8:8">
      <c r="H3269" s="1505"/>
    </row>
    <row r="3270" spans="8:8">
      <c r="H3270" s="1505"/>
    </row>
    <row r="3271" spans="8:8">
      <c r="H3271" s="1505"/>
    </row>
    <row r="3272" spans="8:8">
      <c r="H3272" s="1505"/>
    </row>
    <row r="3273" spans="8:8">
      <c r="H3273" s="1505"/>
    </row>
    <row r="3274" spans="8:8">
      <c r="H3274" s="1505"/>
    </row>
    <row r="3275" spans="8:8">
      <c r="H3275" s="1505"/>
    </row>
    <row r="3276" spans="8:8">
      <c r="H3276" s="1505"/>
    </row>
    <row r="3277" spans="8:8">
      <c r="H3277" s="1505"/>
    </row>
    <row r="3278" spans="8:8">
      <c r="H3278" s="1505"/>
    </row>
    <row r="3279" spans="8:8">
      <c r="H3279" s="1505"/>
    </row>
    <row r="3280" spans="8:8">
      <c r="H3280" s="1505"/>
    </row>
    <row r="3281" spans="8:8">
      <c r="H3281" s="1505"/>
    </row>
    <row r="3282" spans="8:8">
      <c r="H3282" s="1505"/>
    </row>
    <row r="3283" spans="8:8">
      <c r="H3283" s="1505"/>
    </row>
    <row r="3284" spans="8:8">
      <c r="H3284" s="1505"/>
    </row>
    <row r="3285" spans="8:8">
      <c r="H3285" s="1505"/>
    </row>
    <row r="3286" spans="8:8">
      <c r="H3286" s="1505"/>
    </row>
    <row r="3287" spans="8:8">
      <c r="H3287" s="1505"/>
    </row>
    <row r="3288" spans="8:8">
      <c r="H3288" s="1505"/>
    </row>
    <row r="3289" spans="8:8">
      <c r="H3289" s="1505"/>
    </row>
    <row r="3290" spans="8:8">
      <c r="H3290" s="1505"/>
    </row>
    <row r="3291" spans="8:8">
      <c r="H3291" s="1505"/>
    </row>
    <row r="3292" spans="8:8">
      <c r="H3292" s="1505"/>
    </row>
    <row r="3293" spans="8:8">
      <c r="H3293" s="1505"/>
    </row>
    <row r="3294" spans="8:8">
      <c r="H3294" s="1505"/>
    </row>
    <row r="3295" spans="8:8">
      <c r="H3295" s="1505"/>
    </row>
    <row r="3296" spans="8:8">
      <c r="H3296" s="1505"/>
    </row>
    <row r="3297" spans="8:8">
      <c r="H3297" s="1505"/>
    </row>
    <row r="3298" spans="8:8">
      <c r="H3298" s="1505"/>
    </row>
    <row r="3299" spans="8:8">
      <c r="H3299" s="1505"/>
    </row>
    <row r="3300" spans="8:8">
      <c r="H3300" s="1505"/>
    </row>
    <row r="3301" spans="8:8">
      <c r="H3301" s="1505"/>
    </row>
    <row r="3302" spans="8:8">
      <c r="H3302" s="1505"/>
    </row>
    <row r="3303" spans="8:8">
      <c r="H3303" s="1505"/>
    </row>
    <row r="3304" spans="8:8">
      <c r="H3304" s="1505"/>
    </row>
    <row r="3305" spans="8:8">
      <c r="H3305" s="1505"/>
    </row>
    <row r="3306" spans="8:8">
      <c r="H3306" s="1505"/>
    </row>
    <row r="3307" spans="8:8">
      <c r="H3307" s="1505"/>
    </row>
    <row r="3308" spans="8:8">
      <c r="H3308" s="1505"/>
    </row>
    <row r="3309" spans="8:8">
      <c r="H3309" s="1505"/>
    </row>
    <row r="3310" spans="8:8">
      <c r="H3310" s="1505"/>
    </row>
    <row r="3311" spans="8:8">
      <c r="H3311" s="1505"/>
    </row>
    <row r="3312" spans="8:8">
      <c r="H3312" s="1505"/>
    </row>
    <row r="3313" spans="8:8">
      <c r="H3313" s="1505"/>
    </row>
    <row r="3314" spans="8:8">
      <c r="H3314" s="1505"/>
    </row>
    <row r="3315" spans="8:8">
      <c r="H3315" s="1505"/>
    </row>
    <row r="3316" spans="8:8">
      <c r="H3316" s="1505"/>
    </row>
    <row r="3317" spans="8:8">
      <c r="H3317" s="1505"/>
    </row>
    <row r="3318" spans="8:8">
      <c r="H3318" s="1505"/>
    </row>
    <row r="3319" spans="8:8">
      <c r="H3319" s="1505"/>
    </row>
    <row r="3320" spans="8:8">
      <c r="H3320" s="1505"/>
    </row>
    <row r="3321" spans="8:8">
      <c r="H3321" s="1505"/>
    </row>
    <row r="3322" spans="8:8">
      <c r="H3322" s="1505"/>
    </row>
    <row r="3323" spans="8:8">
      <c r="H3323" s="1505"/>
    </row>
    <row r="3324" spans="8:8">
      <c r="H3324" s="1505"/>
    </row>
    <row r="3325" spans="8:8">
      <c r="H3325" s="1505"/>
    </row>
    <row r="3326" spans="8:8">
      <c r="H3326" s="1505"/>
    </row>
    <row r="3327" spans="8:8">
      <c r="H3327" s="1505"/>
    </row>
    <row r="3328" spans="8:8">
      <c r="H3328" s="1505"/>
    </row>
    <row r="3329" spans="8:8">
      <c r="H3329" s="1505"/>
    </row>
    <row r="3330" spans="8:8">
      <c r="H3330" s="1505"/>
    </row>
    <row r="3331" spans="8:8">
      <c r="H3331" s="1505"/>
    </row>
    <row r="3332" spans="8:8">
      <c r="H3332" s="1505"/>
    </row>
    <row r="3333" spans="8:8">
      <c r="H3333" s="1505"/>
    </row>
    <row r="3334" spans="8:8">
      <c r="H3334" s="1505"/>
    </row>
    <row r="3335" spans="8:8">
      <c r="H3335" s="1505"/>
    </row>
    <row r="3336" spans="8:8">
      <c r="H3336" s="1505"/>
    </row>
    <row r="3337" spans="8:8">
      <c r="H3337" s="1505"/>
    </row>
    <row r="3338" spans="8:8">
      <c r="H3338" s="1505"/>
    </row>
    <row r="3339" spans="8:8">
      <c r="H3339" s="1505"/>
    </row>
    <row r="3340" spans="8:8">
      <c r="H3340" s="1505"/>
    </row>
    <row r="3341" spans="8:8">
      <c r="H3341" s="1505"/>
    </row>
    <row r="3342" spans="8:8">
      <c r="H3342" s="1505"/>
    </row>
    <row r="3343" spans="8:8">
      <c r="H3343" s="1505"/>
    </row>
    <row r="3344" spans="8:8">
      <c r="H3344" s="1505"/>
    </row>
    <row r="3345" spans="8:8">
      <c r="H3345" s="1505"/>
    </row>
    <row r="3346" spans="8:8">
      <c r="H3346" s="1505"/>
    </row>
    <row r="3347" spans="8:8">
      <c r="H3347" s="1505"/>
    </row>
    <row r="3348" spans="8:8">
      <c r="H3348" s="1505"/>
    </row>
    <row r="3349" spans="8:8">
      <c r="H3349" s="1505"/>
    </row>
    <row r="3350" spans="8:8">
      <c r="H3350" s="1505"/>
    </row>
    <row r="3351" spans="8:8">
      <c r="H3351" s="1505"/>
    </row>
    <row r="3352" spans="8:8">
      <c r="H3352" s="1505"/>
    </row>
    <row r="3353" spans="8:8">
      <c r="H3353" s="1505"/>
    </row>
    <row r="3354" spans="8:8">
      <c r="H3354" s="1505"/>
    </row>
    <row r="3355" spans="8:8">
      <c r="H3355" s="1505"/>
    </row>
    <row r="3356" spans="8:8">
      <c r="H3356" s="1505"/>
    </row>
    <row r="3357" spans="8:8">
      <c r="H3357" s="1505"/>
    </row>
    <row r="3358" spans="8:8">
      <c r="H3358" s="1505"/>
    </row>
    <row r="3359" spans="8:8">
      <c r="H3359" s="1505"/>
    </row>
    <row r="3360" spans="8:8">
      <c r="H3360" s="1505"/>
    </row>
    <row r="3361" spans="8:8">
      <c r="H3361" s="1505"/>
    </row>
    <row r="3362" spans="8:8">
      <c r="H3362" s="1505"/>
    </row>
    <row r="3363" spans="8:8">
      <c r="H3363" s="1505"/>
    </row>
    <row r="3364" spans="8:8">
      <c r="H3364" s="1505"/>
    </row>
    <row r="3365" spans="8:8">
      <c r="H3365" s="1505"/>
    </row>
    <row r="3366" spans="8:8">
      <c r="H3366" s="1505"/>
    </row>
    <row r="3367" spans="8:8">
      <c r="H3367" s="1505"/>
    </row>
    <row r="3368" spans="8:8">
      <c r="H3368" s="1505"/>
    </row>
    <row r="3369" spans="8:8">
      <c r="H3369" s="1505"/>
    </row>
    <row r="3370" spans="8:8">
      <c r="H3370" s="1505"/>
    </row>
    <row r="3371" spans="8:8">
      <c r="H3371" s="1505"/>
    </row>
    <row r="3372" spans="8:8">
      <c r="H3372" s="1505"/>
    </row>
    <row r="3373" spans="8:8">
      <c r="H3373" s="1505"/>
    </row>
    <row r="3374" spans="8:8">
      <c r="H3374" s="1505"/>
    </row>
    <row r="3375" spans="8:8">
      <c r="H3375" s="1505"/>
    </row>
    <row r="3376" spans="8:8">
      <c r="H3376" s="1505"/>
    </row>
    <row r="3377" spans="8:8">
      <c r="H3377" s="1505"/>
    </row>
    <row r="3378" spans="8:8">
      <c r="H3378" s="1505"/>
    </row>
    <row r="3379" spans="8:8">
      <c r="H3379" s="1505"/>
    </row>
    <row r="3380" spans="8:8">
      <c r="H3380" s="1505"/>
    </row>
    <row r="3381" spans="8:8">
      <c r="H3381" s="1505"/>
    </row>
    <row r="3382" spans="8:8">
      <c r="H3382" s="1505"/>
    </row>
    <row r="3383" spans="8:8">
      <c r="H3383" s="1505"/>
    </row>
    <row r="3384" spans="8:8">
      <c r="H3384" s="1505"/>
    </row>
    <row r="3385" spans="8:8">
      <c r="H3385" s="1505"/>
    </row>
    <row r="3386" spans="8:8">
      <c r="H3386" s="1505"/>
    </row>
    <row r="3387" spans="8:8">
      <c r="H3387" s="1505"/>
    </row>
    <row r="3388" spans="8:8">
      <c r="H3388" s="1505"/>
    </row>
    <row r="3389" spans="8:8">
      <c r="H3389" s="1505"/>
    </row>
    <row r="3390" spans="8:8">
      <c r="H3390" s="1505"/>
    </row>
    <row r="3391" spans="8:8">
      <c r="H3391" s="1505"/>
    </row>
    <row r="3392" spans="8:8">
      <c r="H3392" s="1505"/>
    </row>
    <row r="3393" spans="8:8">
      <c r="H3393" s="1505"/>
    </row>
    <row r="3394" spans="8:8">
      <c r="H3394" s="1505"/>
    </row>
    <row r="3395" spans="8:8">
      <c r="H3395" s="1505"/>
    </row>
    <row r="3396" spans="8:8">
      <c r="H3396" s="1505"/>
    </row>
    <row r="3397" spans="8:8">
      <c r="H3397" s="1505"/>
    </row>
    <row r="3398" spans="8:8">
      <c r="H3398" s="1505"/>
    </row>
    <row r="3399" spans="8:8">
      <c r="H3399" s="1505"/>
    </row>
    <row r="3400" spans="8:8">
      <c r="H3400" s="1505"/>
    </row>
    <row r="3401" spans="8:8">
      <c r="H3401" s="1505"/>
    </row>
    <row r="3402" spans="8:8">
      <c r="H3402" s="1505"/>
    </row>
    <row r="3403" spans="8:8">
      <c r="H3403" s="1505"/>
    </row>
    <row r="3404" spans="8:8">
      <c r="H3404" s="1505"/>
    </row>
    <row r="3405" spans="8:8">
      <c r="H3405" s="1505"/>
    </row>
    <row r="3406" spans="8:8">
      <c r="H3406" s="1505"/>
    </row>
    <row r="3407" spans="8:8">
      <c r="H3407" s="1505"/>
    </row>
    <row r="3408" spans="8:8">
      <c r="H3408" s="1505"/>
    </row>
    <row r="3409" spans="8:8">
      <c r="H3409" s="1505"/>
    </row>
    <row r="3410" spans="8:8">
      <c r="H3410" s="1505"/>
    </row>
    <row r="3411" spans="8:8">
      <c r="H3411" s="1505"/>
    </row>
    <row r="3412" spans="8:8">
      <c r="H3412" s="1505"/>
    </row>
    <row r="3413" spans="8:8">
      <c r="H3413" s="1505"/>
    </row>
    <row r="3414" spans="8:8">
      <c r="H3414" s="1505"/>
    </row>
    <row r="3415" spans="8:8">
      <c r="H3415" s="1505"/>
    </row>
    <row r="3416" spans="8:8">
      <c r="H3416" s="1505"/>
    </row>
    <row r="3417" spans="8:8">
      <c r="H3417" s="1505"/>
    </row>
    <row r="3418" spans="8:8">
      <c r="H3418" s="1505"/>
    </row>
    <row r="3419" spans="8:8">
      <c r="H3419" s="1505"/>
    </row>
    <row r="3420" spans="8:8">
      <c r="H3420" s="1505"/>
    </row>
    <row r="3421" spans="8:8">
      <c r="H3421" s="1505"/>
    </row>
    <row r="3422" spans="8:8">
      <c r="H3422" s="1505"/>
    </row>
    <row r="3423" spans="8:8">
      <c r="H3423" s="1505"/>
    </row>
    <row r="3424" spans="8:8">
      <c r="H3424" s="1505"/>
    </row>
    <row r="3425" spans="8:8">
      <c r="H3425" s="1505"/>
    </row>
    <row r="3426" spans="8:8">
      <c r="H3426" s="1505"/>
    </row>
    <row r="3427" spans="8:8">
      <c r="H3427" s="1505"/>
    </row>
    <row r="3428" spans="8:8">
      <c r="H3428" s="1505"/>
    </row>
    <row r="3429" spans="8:8">
      <c r="H3429" s="1505"/>
    </row>
    <row r="3430" spans="8:8">
      <c r="H3430" s="1505"/>
    </row>
    <row r="3431" spans="8:8">
      <c r="H3431" s="1505"/>
    </row>
    <row r="3432" spans="8:8">
      <c r="H3432" s="1505"/>
    </row>
    <row r="3433" spans="8:8">
      <c r="H3433" s="1505"/>
    </row>
    <row r="3434" spans="8:8">
      <c r="H3434" s="1505"/>
    </row>
    <row r="3435" spans="8:8">
      <c r="H3435" s="1505"/>
    </row>
    <row r="3436" spans="8:8">
      <c r="H3436" s="1505"/>
    </row>
    <row r="3437" spans="8:8">
      <c r="H3437" s="1505"/>
    </row>
    <row r="3438" spans="8:8">
      <c r="H3438" s="1505"/>
    </row>
    <row r="3439" spans="8:8">
      <c r="H3439" s="1505"/>
    </row>
    <row r="3440" spans="8:8">
      <c r="H3440" s="1505"/>
    </row>
    <row r="3441" spans="8:8">
      <c r="H3441" s="1505"/>
    </row>
    <row r="3442" spans="8:8">
      <c r="H3442" s="1505"/>
    </row>
    <row r="3443" spans="8:8">
      <c r="H3443" s="1505"/>
    </row>
    <row r="3444" spans="8:8">
      <c r="H3444" s="1505"/>
    </row>
    <row r="3445" spans="8:8">
      <c r="H3445" s="1505"/>
    </row>
    <row r="3446" spans="8:8">
      <c r="H3446" s="1505"/>
    </row>
    <row r="3447" spans="8:8">
      <c r="H3447" s="1505"/>
    </row>
    <row r="3448" spans="8:8">
      <c r="H3448" s="1505"/>
    </row>
    <row r="3449" spans="8:8">
      <c r="H3449" s="1505"/>
    </row>
    <row r="3450" spans="8:8">
      <c r="H3450" s="1505"/>
    </row>
    <row r="3451" spans="8:8">
      <c r="H3451" s="1505"/>
    </row>
    <row r="3452" spans="8:8">
      <c r="H3452" s="1505"/>
    </row>
    <row r="3453" spans="8:8">
      <c r="H3453" s="1505"/>
    </row>
    <row r="3454" spans="8:8">
      <c r="H3454" s="1505"/>
    </row>
    <row r="3455" spans="8:8">
      <c r="H3455" s="1505"/>
    </row>
    <row r="3456" spans="8:8">
      <c r="H3456" s="1505"/>
    </row>
    <row r="3457" spans="8:8">
      <c r="H3457" s="1505"/>
    </row>
    <row r="3458" spans="8:8">
      <c r="H3458" s="1505"/>
    </row>
    <row r="3459" spans="8:8">
      <c r="H3459" s="1505"/>
    </row>
    <row r="3460" spans="8:8">
      <c r="H3460" s="1505"/>
    </row>
    <row r="3461" spans="8:8">
      <c r="H3461" s="1505"/>
    </row>
    <row r="3462" spans="8:8">
      <c r="H3462" s="1505"/>
    </row>
    <row r="3463" spans="8:8">
      <c r="H3463" s="1505"/>
    </row>
    <row r="3464" spans="8:8">
      <c r="H3464" s="1505"/>
    </row>
    <row r="3465" spans="8:8">
      <c r="H3465" s="1505"/>
    </row>
    <row r="3466" spans="8:8">
      <c r="H3466" s="1505"/>
    </row>
    <row r="3467" spans="8:8">
      <c r="H3467" s="1505"/>
    </row>
    <row r="3468" spans="8:8">
      <c r="H3468" s="1505"/>
    </row>
    <row r="3469" spans="8:8">
      <c r="H3469" s="1505"/>
    </row>
    <row r="3470" spans="8:8">
      <c r="H3470" s="1505"/>
    </row>
    <row r="3471" spans="8:8">
      <c r="H3471" s="1505"/>
    </row>
    <row r="3472" spans="8:8">
      <c r="H3472" s="1505"/>
    </row>
    <row r="3473" spans="8:8">
      <c r="H3473" s="1505"/>
    </row>
    <row r="3474" spans="8:8">
      <c r="H3474" s="1505"/>
    </row>
    <row r="3475" spans="8:8">
      <c r="H3475" s="1505"/>
    </row>
    <row r="3476" spans="8:8">
      <c r="H3476" s="1505"/>
    </row>
    <row r="3477" spans="8:8">
      <c r="H3477" s="1505"/>
    </row>
    <row r="3478" spans="8:8">
      <c r="H3478" s="1505"/>
    </row>
    <row r="3479" spans="8:8">
      <c r="H3479" s="1505"/>
    </row>
    <row r="3480" spans="8:8">
      <c r="H3480" s="1505"/>
    </row>
    <row r="3481" spans="8:8">
      <c r="H3481" s="1505"/>
    </row>
    <row r="3482" spans="8:8">
      <c r="H3482" s="1505"/>
    </row>
    <row r="3483" spans="8:8">
      <c r="H3483" s="1505"/>
    </row>
    <row r="3484" spans="8:8">
      <c r="H3484" s="1505"/>
    </row>
    <row r="3485" spans="8:8">
      <c r="H3485" s="1505"/>
    </row>
    <row r="3486" spans="8:8">
      <c r="H3486" s="1505"/>
    </row>
    <row r="3487" spans="8:8">
      <c r="H3487" s="1505"/>
    </row>
    <row r="3488" spans="8:8">
      <c r="H3488" s="1505"/>
    </row>
    <row r="3489" spans="8:8">
      <c r="H3489" s="1505"/>
    </row>
    <row r="3490" spans="8:8">
      <c r="H3490" s="1505"/>
    </row>
    <row r="3491" spans="8:8">
      <c r="H3491" s="1505"/>
    </row>
    <row r="3492" spans="8:8">
      <c r="H3492" s="1505"/>
    </row>
    <row r="3493" spans="8:8">
      <c r="H3493" s="1505"/>
    </row>
    <row r="3494" spans="8:8">
      <c r="H3494" s="1505"/>
    </row>
    <row r="3495" spans="8:8">
      <c r="H3495" s="1505"/>
    </row>
    <row r="3496" spans="8:8">
      <c r="H3496" s="1505"/>
    </row>
    <row r="3497" spans="8:8">
      <c r="H3497" s="1505"/>
    </row>
    <row r="3498" spans="8:8">
      <c r="H3498" s="1505"/>
    </row>
    <row r="3499" spans="8:8">
      <c r="H3499" s="1505"/>
    </row>
    <row r="3500" spans="8:8">
      <c r="H3500" s="1505"/>
    </row>
    <row r="3501" spans="8:8">
      <c r="H3501" s="1505"/>
    </row>
    <row r="3502" spans="8:8">
      <c r="H3502" s="1505"/>
    </row>
    <row r="3503" spans="8:8">
      <c r="H3503" s="1505"/>
    </row>
    <row r="3504" spans="8:8">
      <c r="H3504" s="1505"/>
    </row>
    <row r="3505" spans="8:8">
      <c r="H3505" s="1505"/>
    </row>
    <row r="3506" spans="8:8">
      <c r="H3506" s="1505"/>
    </row>
    <row r="3507" spans="8:8">
      <c r="H3507" s="1505"/>
    </row>
    <row r="3508" spans="8:8">
      <c r="H3508" s="1505"/>
    </row>
    <row r="3509" spans="8:8">
      <c r="H3509" s="1505"/>
    </row>
    <row r="3510" spans="8:8">
      <c r="H3510" s="1505"/>
    </row>
    <row r="3511" spans="8:8">
      <c r="H3511" s="1505"/>
    </row>
    <row r="3512" spans="8:8">
      <c r="H3512" s="1505"/>
    </row>
    <row r="3513" spans="8:8">
      <c r="H3513" s="1505"/>
    </row>
    <row r="3514" spans="8:8">
      <c r="H3514" s="1505"/>
    </row>
    <row r="3515" spans="8:8">
      <c r="H3515" s="1505"/>
    </row>
    <row r="3516" spans="8:8">
      <c r="H3516" s="1505"/>
    </row>
    <row r="3517" spans="8:8">
      <c r="H3517" s="1505"/>
    </row>
    <row r="3518" spans="8:8">
      <c r="H3518" s="1505"/>
    </row>
    <row r="3519" spans="8:8">
      <c r="H3519" s="1505"/>
    </row>
    <row r="3520" spans="8:8">
      <c r="H3520" s="1505"/>
    </row>
    <row r="3521" spans="8:8">
      <c r="H3521" s="1505"/>
    </row>
    <row r="3522" spans="8:8">
      <c r="H3522" s="1505"/>
    </row>
    <row r="3523" spans="8:8">
      <c r="H3523" s="1505"/>
    </row>
    <row r="3524" spans="8:8">
      <c r="H3524" s="1505"/>
    </row>
    <row r="3525" spans="8:8">
      <c r="H3525" s="1505"/>
    </row>
    <row r="3526" spans="8:8">
      <c r="H3526" s="1505"/>
    </row>
    <row r="3527" spans="8:8">
      <c r="H3527" s="1505"/>
    </row>
    <row r="3528" spans="8:8">
      <c r="H3528" s="1505"/>
    </row>
    <row r="3529" spans="8:8">
      <c r="H3529" s="1505"/>
    </row>
    <row r="3530" spans="8:8">
      <c r="H3530" s="1505"/>
    </row>
    <row r="3531" spans="8:8">
      <c r="H3531" s="1505"/>
    </row>
    <row r="3532" spans="8:8">
      <c r="H3532" s="1505"/>
    </row>
    <row r="3533" spans="8:8">
      <c r="H3533" s="1505"/>
    </row>
    <row r="3534" spans="8:8">
      <c r="H3534" s="1505"/>
    </row>
    <row r="3535" spans="8:8">
      <c r="H3535" s="1505"/>
    </row>
    <row r="3536" spans="8:8">
      <c r="H3536" s="1505"/>
    </row>
    <row r="3537" spans="8:8">
      <c r="H3537" s="1505"/>
    </row>
    <row r="3538" spans="8:8">
      <c r="H3538" s="1505"/>
    </row>
    <row r="3539" spans="8:8">
      <c r="H3539" s="1505"/>
    </row>
    <row r="3540" spans="8:8">
      <c r="H3540" s="1505"/>
    </row>
    <row r="3541" spans="8:8">
      <c r="H3541" s="1505"/>
    </row>
    <row r="3542" spans="8:8">
      <c r="H3542" s="1505"/>
    </row>
    <row r="3543" spans="8:8">
      <c r="H3543" s="1505"/>
    </row>
    <row r="3544" spans="8:8">
      <c r="H3544" s="1505"/>
    </row>
    <row r="3545" spans="8:8">
      <c r="H3545" s="1505"/>
    </row>
    <row r="3546" spans="8:8">
      <c r="H3546" s="1505"/>
    </row>
    <row r="3547" spans="8:8">
      <c r="H3547" s="1505"/>
    </row>
    <row r="3548" spans="8:8">
      <c r="H3548" s="1505"/>
    </row>
    <row r="3549" spans="8:8">
      <c r="H3549" s="1505"/>
    </row>
    <row r="3550" spans="8:8">
      <c r="H3550" s="1505"/>
    </row>
    <row r="3551" spans="8:8">
      <c r="H3551" s="1505"/>
    </row>
    <row r="3552" spans="8:8">
      <c r="H3552" s="1505"/>
    </row>
    <row r="3553" spans="8:8">
      <c r="H3553" s="1505"/>
    </row>
    <row r="3554" spans="8:8">
      <c r="H3554" s="1505"/>
    </row>
    <row r="3555" spans="8:8">
      <c r="H3555" s="1505"/>
    </row>
    <row r="3556" spans="8:8">
      <c r="H3556" s="1505"/>
    </row>
    <row r="3557" spans="8:8">
      <c r="H3557" s="1505"/>
    </row>
    <row r="3558" spans="8:8">
      <c r="H3558" s="1505"/>
    </row>
    <row r="3559" spans="8:8">
      <c r="H3559" s="1505"/>
    </row>
    <row r="3560" spans="8:8">
      <c r="H3560" s="1505"/>
    </row>
    <row r="3561" spans="8:8">
      <c r="H3561" s="1505"/>
    </row>
    <row r="3562" spans="8:8">
      <c r="H3562" s="1505"/>
    </row>
    <row r="3563" spans="8:8">
      <c r="H3563" s="1505"/>
    </row>
    <row r="3564" spans="8:8">
      <c r="H3564" s="1505"/>
    </row>
    <row r="3565" spans="8:8">
      <c r="H3565" s="1505"/>
    </row>
    <row r="3566" spans="8:8">
      <c r="H3566" s="1505"/>
    </row>
    <row r="3567" spans="8:8">
      <c r="H3567" s="1505"/>
    </row>
    <row r="3568" spans="8:8">
      <c r="H3568" s="1505"/>
    </row>
    <row r="3569" spans="8:8">
      <c r="H3569" s="1505"/>
    </row>
    <row r="3570" spans="8:8">
      <c r="H3570" s="1505"/>
    </row>
    <row r="3571" spans="8:8">
      <c r="H3571" s="1505"/>
    </row>
    <row r="3572" spans="8:8">
      <c r="H3572" s="1505"/>
    </row>
    <row r="3573" spans="8:8">
      <c r="H3573" s="1505"/>
    </row>
    <row r="3574" spans="8:8">
      <c r="H3574" s="1505"/>
    </row>
    <row r="3575" spans="8:8">
      <c r="H3575" s="1505"/>
    </row>
    <row r="3576" spans="8:8">
      <c r="H3576" s="1505"/>
    </row>
    <row r="3577" spans="8:8">
      <c r="H3577" s="1505"/>
    </row>
    <row r="3578" spans="8:8">
      <c r="H3578" s="1505"/>
    </row>
    <row r="3579" spans="8:8">
      <c r="H3579" s="1505"/>
    </row>
    <row r="3580" spans="8:8">
      <c r="H3580" s="1505"/>
    </row>
    <row r="3581" spans="8:8">
      <c r="H3581" s="1505"/>
    </row>
    <row r="3582" spans="8:8">
      <c r="H3582" s="1505"/>
    </row>
    <row r="3583" spans="8:8">
      <c r="H3583" s="1505"/>
    </row>
    <row r="3584" spans="8:8">
      <c r="H3584" s="1505"/>
    </row>
    <row r="3585" spans="8:8">
      <c r="H3585" s="1505"/>
    </row>
    <row r="3586" spans="8:8">
      <c r="H3586" s="1505"/>
    </row>
    <row r="3587" spans="8:8">
      <c r="H3587" s="1505"/>
    </row>
    <row r="3588" spans="8:8">
      <c r="H3588" s="1505"/>
    </row>
    <row r="3589" spans="8:8">
      <c r="H3589" s="1505"/>
    </row>
    <row r="3590" spans="8:8">
      <c r="H3590" s="1505"/>
    </row>
    <row r="3591" spans="8:8">
      <c r="H3591" s="1505"/>
    </row>
    <row r="3592" spans="8:8">
      <c r="H3592" s="1505"/>
    </row>
    <row r="3593" spans="8:8">
      <c r="H3593" s="1505"/>
    </row>
    <row r="3594" spans="8:8">
      <c r="H3594" s="1505"/>
    </row>
    <row r="3595" spans="8:8">
      <c r="H3595" s="1505"/>
    </row>
    <row r="3596" spans="8:8">
      <c r="H3596" s="1505"/>
    </row>
    <row r="3597" spans="8:8">
      <c r="H3597" s="1505"/>
    </row>
    <row r="3598" spans="8:8">
      <c r="H3598" s="1505"/>
    </row>
    <row r="3599" spans="8:8">
      <c r="H3599" s="1505"/>
    </row>
    <row r="3600" spans="8:8">
      <c r="H3600" s="1505"/>
    </row>
    <row r="3601" spans="8:8">
      <c r="H3601" s="1505"/>
    </row>
    <row r="3602" spans="8:8">
      <c r="H3602" s="1505"/>
    </row>
    <row r="3603" spans="8:8">
      <c r="H3603" s="1505"/>
    </row>
    <row r="3604" spans="8:8">
      <c r="H3604" s="1505"/>
    </row>
    <row r="3605" spans="8:8">
      <c r="H3605" s="1505"/>
    </row>
    <row r="3606" spans="8:8">
      <c r="H3606" s="1505"/>
    </row>
    <row r="3607" spans="8:8">
      <c r="H3607" s="1505"/>
    </row>
    <row r="3608" spans="8:8">
      <c r="H3608" s="1505"/>
    </row>
    <row r="3609" spans="8:8">
      <c r="H3609" s="1505"/>
    </row>
    <row r="3610" spans="8:8">
      <c r="H3610" s="1505"/>
    </row>
    <row r="3611" spans="8:8">
      <c r="H3611" s="1505"/>
    </row>
    <row r="3612" spans="8:8">
      <c r="H3612" s="1505"/>
    </row>
    <row r="3613" spans="8:8">
      <c r="H3613" s="1505"/>
    </row>
    <row r="3614" spans="8:8">
      <c r="H3614" s="1505"/>
    </row>
    <row r="3615" spans="8:8">
      <c r="H3615" s="1505"/>
    </row>
    <row r="3616" spans="8:8">
      <c r="H3616" s="1505"/>
    </row>
    <row r="3617" spans="8:8">
      <c r="H3617" s="1505"/>
    </row>
    <row r="3618" spans="8:8">
      <c r="H3618" s="1505"/>
    </row>
    <row r="3619" spans="8:8">
      <c r="H3619" s="1505"/>
    </row>
    <row r="3620" spans="8:8">
      <c r="H3620" s="1505"/>
    </row>
    <row r="3621" spans="8:8">
      <c r="H3621" s="1505"/>
    </row>
    <row r="3622" spans="8:8">
      <c r="H3622" s="1505"/>
    </row>
    <row r="3623" spans="8:8">
      <c r="H3623" s="1505"/>
    </row>
    <row r="3624" spans="8:8">
      <c r="H3624" s="1505"/>
    </row>
    <row r="3625" spans="8:8">
      <c r="H3625" s="1505"/>
    </row>
    <row r="3626" spans="8:8">
      <c r="H3626" s="1505"/>
    </row>
    <row r="3627" spans="8:8">
      <c r="H3627" s="1505"/>
    </row>
    <row r="3628" spans="8:8">
      <c r="H3628" s="1505"/>
    </row>
    <row r="3629" spans="8:8">
      <c r="H3629" s="1505"/>
    </row>
    <row r="3630" spans="8:8">
      <c r="H3630" s="1505"/>
    </row>
    <row r="3631" spans="8:8">
      <c r="H3631" s="1505"/>
    </row>
    <row r="3632" spans="8:8">
      <c r="H3632" s="1505"/>
    </row>
    <row r="3633" spans="8:8">
      <c r="H3633" s="1505"/>
    </row>
    <row r="3634" spans="8:8">
      <c r="H3634" s="1505"/>
    </row>
    <row r="3635" spans="8:8">
      <c r="H3635" s="1505"/>
    </row>
    <row r="3636" spans="8:8">
      <c r="H3636" s="1505"/>
    </row>
    <row r="3637" spans="8:8">
      <c r="H3637" s="1505"/>
    </row>
    <row r="3638" spans="8:8">
      <c r="H3638" s="1505"/>
    </row>
    <row r="3639" spans="8:8">
      <c r="H3639" s="1505"/>
    </row>
    <row r="3640" spans="8:8">
      <c r="H3640" s="1505"/>
    </row>
    <row r="3641" spans="8:8">
      <c r="H3641" s="1505"/>
    </row>
    <row r="3642" spans="8:8">
      <c r="H3642" s="1505"/>
    </row>
    <row r="3643" spans="8:8">
      <c r="H3643" s="1505"/>
    </row>
    <row r="3644" spans="8:8">
      <c r="H3644" s="1505"/>
    </row>
    <row r="3645" spans="8:8">
      <c r="H3645" s="1505"/>
    </row>
    <row r="3646" spans="8:8">
      <c r="H3646" s="1505"/>
    </row>
    <row r="3647" spans="8:8">
      <c r="H3647" s="1505"/>
    </row>
    <row r="3648" spans="8:8">
      <c r="H3648" s="1505"/>
    </row>
    <row r="3649" spans="8:8">
      <c r="H3649" s="1505"/>
    </row>
    <row r="3650" spans="8:8">
      <c r="H3650" s="1505"/>
    </row>
    <row r="3651" spans="8:8">
      <c r="H3651" s="1505"/>
    </row>
    <row r="3652" spans="8:8">
      <c r="H3652" s="1505"/>
    </row>
    <row r="3653" spans="8:8">
      <c r="H3653" s="1505"/>
    </row>
    <row r="3654" spans="8:8">
      <c r="H3654" s="1505"/>
    </row>
    <row r="3655" spans="8:8">
      <c r="H3655" s="1505"/>
    </row>
    <row r="3656" spans="8:8">
      <c r="H3656" s="1505"/>
    </row>
    <row r="3657" spans="8:8">
      <c r="H3657" s="1505"/>
    </row>
    <row r="3658" spans="8:8">
      <c r="H3658" s="1505"/>
    </row>
    <row r="3659" spans="8:8">
      <c r="H3659" s="1505"/>
    </row>
    <row r="3660" spans="8:8">
      <c r="H3660" s="1505"/>
    </row>
    <row r="3661" spans="8:8">
      <c r="H3661" s="1505"/>
    </row>
    <row r="3662" spans="8:8">
      <c r="H3662" s="1505"/>
    </row>
    <row r="3663" spans="8:8">
      <c r="H3663" s="1505"/>
    </row>
    <row r="3664" spans="8:8">
      <c r="H3664" s="1505"/>
    </row>
    <row r="3665" spans="8:8">
      <c r="H3665" s="1505"/>
    </row>
    <row r="3666" spans="8:8">
      <c r="H3666" s="1505"/>
    </row>
    <row r="3667" spans="8:8">
      <c r="H3667" s="1505"/>
    </row>
    <row r="3668" spans="8:8">
      <c r="H3668" s="1505"/>
    </row>
    <row r="3669" spans="8:8">
      <c r="H3669" s="1505"/>
    </row>
    <row r="3670" spans="8:8">
      <c r="H3670" s="1505"/>
    </row>
    <row r="3671" spans="8:8">
      <c r="H3671" s="1505"/>
    </row>
    <row r="3672" spans="8:8">
      <c r="H3672" s="1505"/>
    </row>
    <row r="3673" spans="8:8">
      <c r="H3673" s="1505"/>
    </row>
    <row r="3674" spans="8:8">
      <c r="H3674" s="1505"/>
    </row>
    <row r="3675" spans="8:8">
      <c r="H3675" s="1505"/>
    </row>
    <row r="3676" spans="8:8">
      <c r="H3676" s="1505"/>
    </row>
    <row r="3677" spans="8:8">
      <c r="H3677" s="1505"/>
    </row>
    <row r="3678" spans="8:8">
      <c r="H3678" s="1505"/>
    </row>
    <row r="3679" spans="8:8">
      <c r="H3679" s="1505"/>
    </row>
    <row r="3680" spans="8:8">
      <c r="H3680" s="1505"/>
    </row>
    <row r="3681" spans="8:8">
      <c r="H3681" s="1505"/>
    </row>
    <row r="3682" spans="8:8">
      <c r="H3682" s="1505"/>
    </row>
    <row r="3683" spans="8:8">
      <c r="H3683" s="1505"/>
    </row>
    <row r="3684" spans="8:8">
      <c r="H3684" s="1505"/>
    </row>
    <row r="3685" spans="8:8">
      <c r="H3685" s="1505"/>
    </row>
    <row r="3686" spans="8:8">
      <c r="H3686" s="1505"/>
    </row>
    <row r="3687" spans="8:8">
      <c r="H3687" s="1505"/>
    </row>
    <row r="3688" spans="8:8">
      <c r="H3688" s="1505"/>
    </row>
    <row r="3689" spans="8:8">
      <c r="H3689" s="1505"/>
    </row>
    <row r="3690" spans="8:8">
      <c r="H3690" s="1505"/>
    </row>
    <row r="3691" spans="8:8">
      <c r="H3691" s="1505"/>
    </row>
    <row r="3692" spans="8:8">
      <c r="H3692" s="1505"/>
    </row>
    <row r="3693" spans="8:8">
      <c r="H3693" s="1505"/>
    </row>
    <row r="3694" spans="8:8">
      <c r="H3694" s="1505"/>
    </row>
    <row r="3695" spans="8:8">
      <c r="H3695" s="1505"/>
    </row>
    <row r="3696" spans="8:8">
      <c r="H3696" s="1505"/>
    </row>
    <row r="3697" spans="8:8">
      <c r="H3697" s="1505"/>
    </row>
    <row r="3698" spans="8:8">
      <c r="H3698" s="1505"/>
    </row>
    <row r="3699" spans="8:8">
      <c r="H3699" s="1505"/>
    </row>
    <row r="3700" spans="8:8">
      <c r="H3700" s="1505"/>
    </row>
    <row r="3701" spans="8:8">
      <c r="H3701" s="1505"/>
    </row>
    <row r="3702" spans="8:8">
      <c r="H3702" s="1505"/>
    </row>
    <row r="3703" spans="8:8">
      <c r="H3703" s="1505"/>
    </row>
    <row r="3704" spans="8:8">
      <c r="H3704" s="1505"/>
    </row>
    <row r="3705" spans="8:8">
      <c r="H3705" s="1505"/>
    </row>
    <row r="3706" spans="8:8">
      <c r="H3706" s="1505"/>
    </row>
    <row r="3707" spans="8:8">
      <c r="H3707" s="1505"/>
    </row>
    <row r="3708" spans="8:8">
      <c r="H3708" s="1505"/>
    </row>
    <row r="3709" spans="8:8">
      <c r="H3709" s="1505"/>
    </row>
    <row r="3710" spans="8:8">
      <c r="H3710" s="1505"/>
    </row>
    <row r="3711" spans="8:8">
      <c r="H3711" s="1505"/>
    </row>
    <row r="3712" spans="8:8">
      <c r="H3712" s="1505"/>
    </row>
    <row r="3713" spans="8:8">
      <c r="H3713" s="1505"/>
    </row>
    <row r="3714" spans="8:8">
      <c r="H3714" s="1505"/>
    </row>
    <row r="3715" spans="8:8">
      <c r="H3715" s="1505"/>
    </row>
    <row r="3716" spans="8:8">
      <c r="H3716" s="1505"/>
    </row>
    <row r="3717" spans="8:8">
      <c r="H3717" s="1505"/>
    </row>
    <row r="3718" spans="8:8">
      <c r="H3718" s="1505"/>
    </row>
    <row r="3719" spans="8:8">
      <c r="H3719" s="1505"/>
    </row>
    <row r="3720" spans="8:8">
      <c r="H3720" s="1505"/>
    </row>
    <row r="3721" spans="8:8">
      <c r="H3721" s="1505"/>
    </row>
    <row r="3722" spans="8:8">
      <c r="H3722" s="1505"/>
    </row>
    <row r="3723" spans="8:8">
      <c r="H3723" s="1505"/>
    </row>
    <row r="3724" spans="8:8">
      <c r="H3724" s="1505"/>
    </row>
    <row r="3725" spans="8:8">
      <c r="H3725" s="1505"/>
    </row>
    <row r="3726" spans="8:8">
      <c r="H3726" s="1505"/>
    </row>
    <row r="3727" spans="8:8">
      <c r="H3727" s="1505"/>
    </row>
    <row r="3728" spans="8:8">
      <c r="H3728" s="1505"/>
    </row>
    <row r="3729" spans="8:8">
      <c r="H3729" s="1505"/>
    </row>
    <row r="3730" spans="8:8">
      <c r="H3730" s="1505"/>
    </row>
    <row r="3731" spans="8:8">
      <c r="H3731" s="1505"/>
    </row>
    <row r="3732" spans="8:8">
      <c r="H3732" s="1505"/>
    </row>
    <row r="3733" spans="8:8">
      <c r="H3733" s="1505"/>
    </row>
    <row r="3734" spans="8:8">
      <c r="H3734" s="1505"/>
    </row>
    <row r="3735" spans="8:8">
      <c r="H3735" s="1505"/>
    </row>
    <row r="3736" spans="8:8">
      <c r="H3736" s="1505"/>
    </row>
    <row r="3737" spans="8:8">
      <c r="H3737" s="1505"/>
    </row>
    <row r="3738" spans="8:8">
      <c r="H3738" s="1505"/>
    </row>
    <row r="3739" spans="8:8">
      <c r="H3739" s="1505"/>
    </row>
    <row r="3740" spans="8:8">
      <c r="H3740" s="1505"/>
    </row>
    <row r="3741" spans="8:8">
      <c r="H3741" s="1505"/>
    </row>
    <row r="3742" spans="8:8">
      <c r="H3742" s="1505"/>
    </row>
    <row r="3743" spans="8:8">
      <c r="H3743" s="1505"/>
    </row>
    <row r="3744" spans="8:8">
      <c r="H3744" s="1505"/>
    </row>
    <row r="3745" spans="8:8">
      <c r="H3745" s="1505"/>
    </row>
    <row r="3746" spans="8:8">
      <c r="H3746" s="1505"/>
    </row>
    <row r="3747" spans="8:8">
      <c r="H3747" s="1505"/>
    </row>
    <row r="3748" spans="8:8">
      <c r="H3748" s="1505"/>
    </row>
    <row r="3749" spans="8:8">
      <c r="H3749" s="1505"/>
    </row>
    <row r="3750" spans="8:8">
      <c r="H3750" s="1505"/>
    </row>
    <row r="3751" spans="8:8">
      <c r="H3751" s="1505"/>
    </row>
    <row r="3752" spans="8:8">
      <c r="H3752" s="1505"/>
    </row>
    <row r="3753" spans="8:8">
      <c r="H3753" s="1505"/>
    </row>
    <row r="3754" spans="8:8">
      <c r="H3754" s="1505"/>
    </row>
    <row r="3755" spans="8:8">
      <c r="H3755" s="1505"/>
    </row>
    <row r="3756" spans="8:8">
      <c r="H3756" s="1505"/>
    </row>
    <row r="3757" spans="8:8">
      <c r="H3757" s="1505"/>
    </row>
    <row r="3758" spans="8:8">
      <c r="H3758" s="1505"/>
    </row>
    <row r="3759" spans="8:8">
      <c r="H3759" s="1505"/>
    </row>
    <row r="3760" spans="8:8">
      <c r="H3760" s="1505"/>
    </row>
    <row r="3761" spans="8:8">
      <c r="H3761" s="1505"/>
    </row>
    <row r="3762" spans="8:8">
      <c r="H3762" s="1505"/>
    </row>
    <row r="3763" spans="8:8">
      <c r="H3763" s="1505"/>
    </row>
    <row r="3764" spans="8:8">
      <c r="H3764" s="1505"/>
    </row>
    <row r="3765" spans="8:8">
      <c r="H3765" s="1505"/>
    </row>
    <row r="3766" spans="8:8">
      <c r="H3766" s="1505"/>
    </row>
    <row r="3767" spans="8:8">
      <c r="H3767" s="1505"/>
    </row>
    <row r="3768" spans="8:8">
      <c r="H3768" s="1505"/>
    </row>
    <row r="3769" spans="8:8">
      <c r="H3769" s="1505"/>
    </row>
    <row r="3770" spans="8:8">
      <c r="H3770" s="1505"/>
    </row>
    <row r="3771" spans="8:8">
      <c r="H3771" s="1505"/>
    </row>
    <row r="3772" spans="8:8">
      <c r="H3772" s="1505"/>
    </row>
    <row r="3773" spans="8:8">
      <c r="H3773" s="1505"/>
    </row>
    <row r="3774" spans="8:8">
      <c r="H3774" s="1505"/>
    </row>
    <row r="3775" spans="8:8">
      <c r="H3775" s="1505"/>
    </row>
    <row r="3776" spans="8:8">
      <c r="H3776" s="1505"/>
    </row>
    <row r="3777" spans="8:8">
      <c r="H3777" s="1505"/>
    </row>
    <row r="3778" spans="8:8">
      <c r="H3778" s="1505"/>
    </row>
    <row r="3779" spans="8:8">
      <c r="H3779" s="1505"/>
    </row>
    <row r="3780" spans="8:8">
      <c r="H3780" s="1505"/>
    </row>
    <row r="3781" spans="8:8">
      <c r="H3781" s="1505"/>
    </row>
    <row r="3782" spans="8:8">
      <c r="H3782" s="1505"/>
    </row>
    <row r="3783" spans="8:8">
      <c r="H3783" s="1505"/>
    </row>
    <row r="3784" spans="8:8">
      <c r="H3784" s="1505"/>
    </row>
    <row r="3785" spans="8:8">
      <c r="H3785" s="1505"/>
    </row>
    <row r="3786" spans="8:8">
      <c r="H3786" s="1505"/>
    </row>
    <row r="3787" spans="8:8">
      <c r="H3787" s="1505"/>
    </row>
    <row r="3788" spans="8:8">
      <c r="H3788" s="1505"/>
    </row>
    <row r="3789" spans="8:8">
      <c r="H3789" s="1505"/>
    </row>
    <row r="3790" spans="8:8">
      <c r="H3790" s="1505"/>
    </row>
    <row r="3791" spans="8:8">
      <c r="H3791" s="1505"/>
    </row>
    <row r="3792" spans="8:8">
      <c r="H3792" s="1505"/>
    </row>
    <row r="3793" spans="8:8">
      <c r="H3793" s="1505"/>
    </row>
    <row r="3794" spans="8:8">
      <c r="H3794" s="1505"/>
    </row>
    <row r="3795" spans="8:8">
      <c r="H3795" s="1505"/>
    </row>
    <row r="3796" spans="8:8">
      <c r="H3796" s="1505"/>
    </row>
    <row r="3797" spans="8:8">
      <c r="H3797" s="1505"/>
    </row>
    <row r="3798" spans="8:8">
      <c r="H3798" s="1505"/>
    </row>
    <row r="3799" spans="8:8">
      <c r="H3799" s="1505"/>
    </row>
    <row r="3800" spans="8:8">
      <c r="H3800" s="1505"/>
    </row>
    <row r="3801" spans="8:8">
      <c r="H3801" s="1505"/>
    </row>
    <row r="3802" spans="8:8">
      <c r="H3802" s="1505"/>
    </row>
    <row r="3803" spans="8:8">
      <c r="H3803" s="1505"/>
    </row>
    <row r="3804" spans="8:8">
      <c r="H3804" s="1505"/>
    </row>
    <row r="3805" spans="8:8">
      <c r="H3805" s="1505"/>
    </row>
    <row r="3806" spans="8:8">
      <c r="H3806" s="1505"/>
    </row>
    <row r="3807" spans="8:8">
      <c r="H3807" s="1505"/>
    </row>
    <row r="3808" spans="8:8">
      <c r="H3808" s="1505"/>
    </row>
    <row r="3809" spans="8:8">
      <c r="H3809" s="1505"/>
    </row>
    <row r="3810" spans="8:8">
      <c r="H3810" s="1505"/>
    </row>
    <row r="3811" spans="8:8">
      <c r="H3811" s="1505"/>
    </row>
    <row r="3812" spans="8:8">
      <c r="H3812" s="1505"/>
    </row>
    <row r="3813" spans="8:8">
      <c r="H3813" s="1505"/>
    </row>
    <row r="3814" spans="8:8">
      <c r="H3814" s="1505"/>
    </row>
    <row r="3815" spans="8:8">
      <c r="H3815" s="1505"/>
    </row>
    <row r="3816" spans="8:8">
      <c r="H3816" s="1505"/>
    </row>
    <row r="3817" spans="8:8">
      <c r="H3817" s="1505"/>
    </row>
    <row r="3818" spans="8:8">
      <c r="H3818" s="1505"/>
    </row>
    <row r="3819" spans="8:8">
      <c r="H3819" s="1505"/>
    </row>
    <row r="3820" spans="8:8">
      <c r="H3820" s="1505"/>
    </row>
    <row r="3821" spans="8:8">
      <c r="H3821" s="1505"/>
    </row>
    <row r="3822" spans="8:8">
      <c r="H3822" s="1505"/>
    </row>
    <row r="3823" spans="8:8">
      <c r="H3823" s="1505"/>
    </row>
    <row r="3824" spans="8:8">
      <c r="H3824" s="1505"/>
    </row>
    <row r="3825" spans="8:8">
      <c r="H3825" s="1505"/>
    </row>
    <row r="3826" spans="8:8">
      <c r="H3826" s="1505"/>
    </row>
    <row r="3827" spans="8:8">
      <c r="H3827" s="1505"/>
    </row>
    <row r="3828" spans="8:8">
      <c r="H3828" s="1505"/>
    </row>
    <row r="3829" spans="8:8">
      <c r="H3829" s="1505"/>
    </row>
    <row r="3830" spans="8:8">
      <c r="H3830" s="1505"/>
    </row>
    <row r="3831" spans="8:8">
      <c r="H3831" s="1505"/>
    </row>
    <row r="3832" spans="8:8">
      <c r="H3832" s="1505"/>
    </row>
    <row r="3833" spans="8:8">
      <c r="H3833" s="1505"/>
    </row>
    <row r="3834" spans="8:8">
      <c r="H3834" s="1505"/>
    </row>
    <row r="3835" spans="8:8">
      <c r="H3835" s="1505"/>
    </row>
    <row r="3836" spans="8:8">
      <c r="H3836" s="1505"/>
    </row>
    <row r="3837" spans="8:8">
      <c r="H3837" s="1505"/>
    </row>
    <row r="3838" spans="8:8">
      <c r="H3838" s="1505"/>
    </row>
    <row r="3839" spans="8:8">
      <c r="H3839" s="1505"/>
    </row>
    <row r="3840" spans="8:8">
      <c r="H3840" s="1505"/>
    </row>
    <row r="3841" spans="8:8">
      <c r="H3841" s="1505"/>
    </row>
    <row r="3842" spans="8:8">
      <c r="H3842" s="1505"/>
    </row>
    <row r="3843" spans="8:8">
      <c r="H3843" s="1505"/>
    </row>
    <row r="3844" spans="8:8">
      <c r="H3844" s="1505"/>
    </row>
    <row r="3845" spans="8:8">
      <c r="H3845" s="1505"/>
    </row>
    <row r="3846" spans="8:8">
      <c r="H3846" s="1505"/>
    </row>
    <row r="3847" spans="8:8">
      <c r="H3847" s="1505"/>
    </row>
    <row r="3848" spans="8:8">
      <c r="H3848" s="1505"/>
    </row>
    <row r="3849" spans="8:8">
      <c r="H3849" s="1505"/>
    </row>
    <row r="3850" spans="8:8">
      <c r="H3850" s="1505"/>
    </row>
    <row r="3851" spans="8:8">
      <c r="H3851" s="1505"/>
    </row>
    <row r="3852" spans="8:8">
      <c r="H3852" s="1505"/>
    </row>
    <row r="3853" spans="8:8">
      <c r="H3853" s="1505"/>
    </row>
    <row r="3854" spans="8:8">
      <c r="H3854" s="1505"/>
    </row>
    <row r="3855" spans="8:8">
      <c r="H3855" s="1505"/>
    </row>
    <row r="3856" spans="8:8">
      <c r="H3856" s="1505"/>
    </row>
    <row r="3857" spans="8:8">
      <c r="H3857" s="1505"/>
    </row>
    <row r="3858" spans="8:8">
      <c r="H3858" s="1505"/>
    </row>
    <row r="3859" spans="8:8">
      <c r="H3859" s="1505"/>
    </row>
    <row r="3860" spans="8:8">
      <c r="H3860" s="1505"/>
    </row>
    <row r="3861" spans="8:8">
      <c r="H3861" s="1505"/>
    </row>
    <row r="3862" spans="8:8">
      <c r="H3862" s="1505"/>
    </row>
    <row r="3863" spans="8:8">
      <c r="H3863" s="1505"/>
    </row>
    <row r="3864" spans="8:8">
      <c r="H3864" s="1505"/>
    </row>
    <row r="3865" spans="8:8">
      <c r="H3865" s="1505"/>
    </row>
    <row r="3866" spans="8:8">
      <c r="H3866" s="1505"/>
    </row>
    <row r="3867" spans="8:8">
      <c r="H3867" s="1505"/>
    </row>
    <row r="3868" spans="8:8">
      <c r="H3868" s="1505"/>
    </row>
    <row r="3869" spans="8:8">
      <c r="H3869" s="1505"/>
    </row>
    <row r="3870" spans="8:8">
      <c r="H3870" s="1505"/>
    </row>
    <row r="3871" spans="8:8">
      <c r="H3871" s="1505"/>
    </row>
    <row r="3872" spans="8:8">
      <c r="H3872" s="1505"/>
    </row>
    <row r="3873" spans="8:8">
      <c r="H3873" s="1505"/>
    </row>
    <row r="3874" spans="8:8">
      <c r="H3874" s="1505"/>
    </row>
    <row r="3875" spans="8:8">
      <c r="H3875" s="1505"/>
    </row>
    <row r="3876" spans="8:8">
      <c r="H3876" s="1505"/>
    </row>
    <row r="3877" spans="8:8">
      <c r="H3877" s="1505"/>
    </row>
    <row r="3878" spans="8:8">
      <c r="H3878" s="1505"/>
    </row>
    <row r="3879" spans="8:8">
      <c r="H3879" s="1505"/>
    </row>
    <row r="3880" spans="8:8">
      <c r="H3880" s="1505"/>
    </row>
    <row r="3881" spans="8:8">
      <c r="H3881" s="1505"/>
    </row>
    <row r="3882" spans="8:8">
      <c r="H3882" s="1505"/>
    </row>
    <row r="3883" spans="8:8">
      <c r="H3883" s="1505"/>
    </row>
    <row r="3884" spans="8:8">
      <c r="H3884" s="1505"/>
    </row>
    <row r="3885" spans="8:8">
      <c r="H3885" s="1505"/>
    </row>
    <row r="3886" spans="8:8">
      <c r="H3886" s="1505"/>
    </row>
    <row r="3887" spans="8:8">
      <c r="H3887" s="1505"/>
    </row>
    <row r="3888" spans="8:8">
      <c r="H3888" s="1505"/>
    </row>
    <row r="3889" spans="8:8">
      <c r="H3889" s="1505"/>
    </row>
    <row r="3890" spans="8:8">
      <c r="H3890" s="1505"/>
    </row>
    <row r="3891" spans="8:8">
      <c r="H3891" s="1505"/>
    </row>
    <row r="3892" spans="8:8">
      <c r="H3892" s="1505"/>
    </row>
    <row r="3893" spans="8:8">
      <c r="H3893" s="1505"/>
    </row>
    <row r="3894" spans="8:8">
      <c r="H3894" s="1505"/>
    </row>
    <row r="3895" spans="8:8">
      <c r="H3895" s="1505"/>
    </row>
    <row r="3896" spans="8:8">
      <c r="H3896" s="1505"/>
    </row>
    <row r="3897" spans="8:8">
      <c r="H3897" s="1505"/>
    </row>
    <row r="3898" spans="8:8">
      <c r="H3898" s="1505"/>
    </row>
    <row r="3899" spans="8:8">
      <c r="H3899" s="1505"/>
    </row>
    <row r="3900" spans="8:8">
      <c r="H3900" s="1505"/>
    </row>
    <row r="3901" spans="8:8">
      <c r="H3901" s="1505"/>
    </row>
    <row r="3902" spans="8:8">
      <c r="H3902" s="1505"/>
    </row>
    <row r="3903" spans="8:8">
      <c r="H3903" s="1505"/>
    </row>
    <row r="3904" spans="8:8">
      <c r="H3904" s="1505"/>
    </row>
    <row r="3905" spans="8:8">
      <c r="H3905" s="1505"/>
    </row>
    <row r="3906" spans="8:8">
      <c r="H3906" s="1505"/>
    </row>
    <row r="3907" spans="8:8">
      <c r="H3907" s="1505"/>
    </row>
    <row r="3908" spans="8:8">
      <c r="H3908" s="1505"/>
    </row>
    <row r="3909" spans="8:8">
      <c r="H3909" s="1505"/>
    </row>
    <row r="3910" spans="8:8">
      <c r="H3910" s="1505"/>
    </row>
    <row r="3911" spans="8:8">
      <c r="H3911" s="1505"/>
    </row>
    <row r="3912" spans="8:8">
      <c r="H3912" s="1505"/>
    </row>
    <row r="3913" spans="8:8">
      <c r="H3913" s="1505"/>
    </row>
    <row r="3914" spans="8:8">
      <c r="H3914" s="1505"/>
    </row>
    <row r="3915" spans="8:8">
      <c r="H3915" s="1505"/>
    </row>
    <row r="3916" spans="8:8">
      <c r="H3916" s="1505"/>
    </row>
    <row r="3917" spans="8:8">
      <c r="H3917" s="1505"/>
    </row>
    <row r="3918" spans="8:8">
      <c r="H3918" s="1505"/>
    </row>
    <row r="3919" spans="8:8">
      <c r="H3919" s="1505"/>
    </row>
    <row r="3920" spans="8:8">
      <c r="H3920" s="1505"/>
    </row>
    <row r="3921" spans="8:8">
      <c r="H3921" s="1505"/>
    </row>
    <row r="3922" spans="8:8">
      <c r="H3922" s="1505"/>
    </row>
    <row r="3923" spans="8:8">
      <c r="H3923" s="1505"/>
    </row>
    <row r="3924" spans="8:8">
      <c r="H3924" s="1505"/>
    </row>
    <row r="3925" spans="8:8">
      <c r="H3925" s="1505"/>
    </row>
    <row r="3926" spans="8:8">
      <c r="H3926" s="1505"/>
    </row>
    <row r="3927" spans="8:8">
      <c r="H3927" s="1505"/>
    </row>
    <row r="3928" spans="8:8">
      <c r="H3928" s="1505"/>
    </row>
    <row r="3929" spans="8:8">
      <c r="H3929" s="1505"/>
    </row>
    <row r="3930" spans="8:8">
      <c r="H3930" s="1505"/>
    </row>
    <row r="3931" spans="8:8">
      <c r="H3931" s="1505"/>
    </row>
    <row r="3932" spans="8:8">
      <c r="H3932" s="1505"/>
    </row>
    <row r="3933" spans="8:8">
      <c r="H3933" s="1505"/>
    </row>
    <row r="3934" spans="8:8">
      <c r="H3934" s="1505"/>
    </row>
    <row r="3935" spans="8:8">
      <c r="H3935" s="1505"/>
    </row>
    <row r="3936" spans="8:8">
      <c r="H3936" s="1505"/>
    </row>
    <row r="3937" spans="8:8">
      <c r="H3937" s="1505"/>
    </row>
    <row r="3938" spans="8:8">
      <c r="H3938" s="1505"/>
    </row>
    <row r="3939" spans="8:8">
      <c r="H3939" s="1505"/>
    </row>
    <row r="3940" spans="8:8">
      <c r="H3940" s="1505"/>
    </row>
    <row r="3941" spans="8:8">
      <c r="H3941" s="1505"/>
    </row>
    <row r="3942" spans="8:8">
      <c r="H3942" s="1505"/>
    </row>
    <row r="3943" spans="8:8">
      <c r="H3943" s="1505"/>
    </row>
    <row r="3944" spans="8:8">
      <c r="H3944" s="1505"/>
    </row>
    <row r="3945" spans="8:8">
      <c r="H3945" s="1505"/>
    </row>
    <row r="3946" spans="8:8">
      <c r="H3946" s="1505"/>
    </row>
    <row r="3947" spans="8:8">
      <c r="H3947" s="1505"/>
    </row>
    <row r="3948" spans="8:8">
      <c r="H3948" s="1505"/>
    </row>
    <row r="3949" spans="8:8">
      <c r="H3949" s="1505"/>
    </row>
    <row r="3950" spans="8:8">
      <c r="H3950" s="1505"/>
    </row>
    <row r="3951" spans="8:8">
      <c r="H3951" s="1505"/>
    </row>
    <row r="3952" spans="8:8">
      <c r="H3952" s="1505"/>
    </row>
    <row r="3953" spans="8:8">
      <c r="H3953" s="1505"/>
    </row>
    <row r="3954" spans="8:8">
      <c r="H3954" s="1505"/>
    </row>
    <row r="3955" spans="8:8">
      <c r="H3955" s="1505"/>
    </row>
    <row r="3956" spans="8:8">
      <c r="H3956" s="1505"/>
    </row>
    <row r="3957" spans="8:8">
      <c r="H3957" s="1505"/>
    </row>
    <row r="3958" spans="8:8">
      <c r="H3958" s="1505"/>
    </row>
    <row r="3959" spans="8:8">
      <c r="H3959" s="1505"/>
    </row>
    <row r="3960" spans="8:8">
      <c r="H3960" s="1505"/>
    </row>
    <row r="3961" spans="8:8">
      <c r="H3961" s="1505"/>
    </row>
    <row r="3962" spans="8:8">
      <c r="H3962" s="1505"/>
    </row>
    <row r="3963" spans="8:8">
      <c r="H3963" s="1505"/>
    </row>
    <row r="3964" spans="8:8">
      <c r="H3964" s="1505"/>
    </row>
    <row r="3965" spans="8:8">
      <c r="H3965" s="1505"/>
    </row>
    <row r="3966" spans="8:8">
      <c r="H3966" s="1505"/>
    </row>
    <row r="3967" spans="8:8">
      <c r="H3967" s="1505"/>
    </row>
    <row r="3968" spans="8:8">
      <c r="H3968" s="1505"/>
    </row>
    <row r="3969" spans="8:8">
      <c r="H3969" s="1505"/>
    </row>
    <row r="3970" spans="8:8">
      <c r="H3970" s="1505"/>
    </row>
    <row r="3971" spans="8:8">
      <c r="H3971" s="1505"/>
    </row>
    <row r="3972" spans="8:8">
      <c r="H3972" s="1505"/>
    </row>
    <row r="3973" spans="8:8">
      <c r="H3973" s="1505"/>
    </row>
    <row r="3974" spans="8:8">
      <c r="H3974" s="1505"/>
    </row>
    <row r="3975" spans="8:8">
      <c r="H3975" s="1505"/>
    </row>
    <row r="3976" spans="8:8">
      <c r="H3976" s="1505"/>
    </row>
    <row r="3977" spans="8:8">
      <c r="H3977" s="1505"/>
    </row>
    <row r="3978" spans="8:8">
      <c r="H3978" s="1505"/>
    </row>
    <row r="3979" spans="8:8">
      <c r="H3979" s="1505"/>
    </row>
    <row r="3980" spans="8:8">
      <c r="H3980" s="1505"/>
    </row>
    <row r="3981" spans="8:8">
      <c r="H3981" s="1505"/>
    </row>
    <row r="3982" spans="8:8">
      <c r="H3982" s="1505"/>
    </row>
    <row r="3983" spans="8:8">
      <c r="H3983" s="1505"/>
    </row>
    <row r="3984" spans="8:8">
      <c r="H3984" s="1505"/>
    </row>
    <row r="3985" spans="8:8">
      <c r="H3985" s="1505"/>
    </row>
    <row r="3986" spans="8:8">
      <c r="H3986" s="1505"/>
    </row>
    <row r="3987" spans="8:8">
      <c r="H3987" s="1505"/>
    </row>
    <row r="3988" spans="8:8">
      <c r="H3988" s="1505"/>
    </row>
    <row r="3989" spans="8:8">
      <c r="H3989" s="1505"/>
    </row>
    <row r="3990" spans="8:8">
      <c r="H3990" s="1505"/>
    </row>
    <row r="3991" spans="8:8">
      <c r="H3991" s="1505"/>
    </row>
    <row r="3992" spans="8:8">
      <c r="H3992" s="1505"/>
    </row>
    <row r="3993" spans="8:8">
      <c r="H3993" s="1505"/>
    </row>
    <row r="3994" spans="8:8">
      <c r="H3994" s="1505"/>
    </row>
    <row r="3995" spans="8:8">
      <c r="H3995" s="1505"/>
    </row>
    <row r="3996" spans="8:8">
      <c r="H3996" s="1505"/>
    </row>
    <row r="3997" spans="8:8">
      <c r="H3997" s="1505"/>
    </row>
    <row r="3998" spans="8:8">
      <c r="H3998" s="1505"/>
    </row>
    <row r="3999" spans="8:8">
      <c r="H3999" s="1505"/>
    </row>
    <row r="4000" spans="8:8">
      <c r="H4000" s="1505"/>
    </row>
    <row r="4001" spans="8:8">
      <c r="H4001" s="1505"/>
    </row>
    <row r="4002" spans="8:8">
      <c r="H4002" s="1505"/>
    </row>
    <row r="4003" spans="8:8">
      <c r="H4003" s="1505"/>
    </row>
    <row r="4004" spans="8:8">
      <c r="H4004" s="1505"/>
    </row>
    <row r="4005" spans="8:8">
      <c r="H4005" s="1505"/>
    </row>
    <row r="4006" spans="8:8">
      <c r="H4006" s="1505"/>
    </row>
    <row r="4007" spans="8:8">
      <c r="H4007" s="1505"/>
    </row>
    <row r="4008" spans="8:8">
      <c r="H4008" s="1505"/>
    </row>
    <row r="4009" spans="8:8">
      <c r="H4009" s="1505"/>
    </row>
    <row r="4010" spans="8:8">
      <c r="H4010" s="1505"/>
    </row>
    <row r="4011" spans="8:8">
      <c r="H4011" s="1505"/>
    </row>
    <row r="4012" spans="8:8">
      <c r="H4012" s="1505"/>
    </row>
    <row r="4013" spans="8:8">
      <c r="H4013" s="1505"/>
    </row>
    <row r="4014" spans="8:8">
      <c r="H4014" s="1505"/>
    </row>
    <row r="4015" spans="8:8">
      <c r="H4015" s="1505"/>
    </row>
    <row r="4016" spans="8:8">
      <c r="H4016" s="1505"/>
    </row>
    <row r="4017" spans="8:8">
      <c r="H4017" s="1505"/>
    </row>
    <row r="4018" spans="8:8">
      <c r="H4018" s="1505"/>
    </row>
    <row r="4019" spans="8:8">
      <c r="H4019" s="1505"/>
    </row>
    <row r="4020" spans="8:8">
      <c r="H4020" s="1505"/>
    </row>
    <row r="4021" spans="8:8">
      <c r="H4021" s="1505"/>
    </row>
    <row r="4022" spans="8:8">
      <c r="H4022" s="1505"/>
    </row>
    <row r="4023" spans="8:8">
      <c r="H4023" s="1505"/>
    </row>
    <row r="4024" spans="8:8">
      <c r="H4024" s="1505"/>
    </row>
    <row r="4025" spans="8:8">
      <c r="H4025" s="1505"/>
    </row>
    <row r="4026" spans="8:8">
      <c r="H4026" s="1505"/>
    </row>
    <row r="4027" spans="8:8">
      <c r="H4027" s="1505"/>
    </row>
    <row r="4028" spans="8:8">
      <c r="H4028" s="1505"/>
    </row>
    <row r="4029" spans="8:8">
      <c r="H4029" s="1505"/>
    </row>
    <row r="4030" spans="8:8">
      <c r="H4030" s="1505"/>
    </row>
    <row r="4031" spans="8:8">
      <c r="H4031" s="1505"/>
    </row>
    <row r="4032" spans="8:8">
      <c r="H4032" s="1505"/>
    </row>
    <row r="4033" spans="8:8">
      <c r="H4033" s="1505"/>
    </row>
    <row r="4034" spans="8:8">
      <c r="H4034" s="1505"/>
    </row>
    <row r="4035" spans="8:8">
      <c r="H4035" s="1505"/>
    </row>
    <row r="4036" spans="8:8">
      <c r="H4036" s="1505"/>
    </row>
    <row r="4037" spans="8:8">
      <c r="H4037" s="1505"/>
    </row>
    <row r="4038" spans="8:8">
      <c r="H4038" s="1505"/>
    </row>
    <row r="4039" spans="8:8">
      <c r="H4039" s="1505"/>
    </row>
    <row r="4040" spans="8:8">
      <c r="H4040" s="1505"/>
    </row>
    <row r="4041" spans="8:8">
      <c r="H4041" s="1505"/>
    </row>
    <row r="4042" spans="8:8">
      <c r="H4042" s="1505"/>
    </row>
    <row r="4043" spans="8:8">
      <c r="H4043" s="1505"/>
    </row>
    <row r="4044" spans="8:8">
      <c r="H4044" s="1505"/>
    </row>
    <row r="4045" spans="8:8">
      <c r="H4045" s="1505"/>
    </row>
    <row r="4046" spans="8:8">
      <c r="H4046" s="1505"/>
    </row>
    <row r="4047" spans="8:8">
      <c r="H4047" s="1505"/>
    </row>
    <row r="4048" spans="8:8">
      <c r="H4048" s="1505"/>
    </row>
    <row r="4049" spans="8:8">
      <c r="H4049" s="1505"/>
    </row>
    <row r="4050" spans="8:8">
      <c r="H4050" s="1505"/>
    </row>
    <row r="4051" spans="8:8">
      <c r="H4051" s="1505"/>
    </row>
    <row r="4052" spans="8:8">
      <c r="H4052" s="1505"/>
    </row>
    <row r="4053" spans="8:8">
      <c r="H4053" s="1505"/>
    </row>
    <row r="4054" spans="8:8">
      <c r="H4054" s="1505"/>
    </row>
    <row r="4055" spans="8:8">
      <c r="H4055" s="1505"/>
    </row>
    <row r="4056" spans="8:8">
      <c r="H4056" s="1505"/>
    </row>
    <row r="4057" spans="8:8">
      <c r="H4057" s="1505"/>
    </row>
    <row r="4058" spans="8:8">
      <c r="H4058" s="1505"/>
    </row>
    <row r="4059" spans="8:8">
      <c r="H4059" s="1505"/>
    </row>
    <row r="4060" spans="8:8">
      <c r="H4060" s="1505"/>
    </row>
    <row r="4061" spans="8:8">
      <c r="H4061" s="1505"/>
    </row>
    <row r="4062" spans="8:8">
      <c r="H4062" s="1505"/>
    </row>
    <row r="4063" spans="8:8">
      <c r="H4063" s="1505"/>
    </row>
    <row r="4064" spans="8:8">
      <c r="H4064" s="1505"/>
    </row>
    <row r="4065" spans="8:8">
      <c r="H4065" s="1505"/>
    </row>
    <row r="4066" spans="8:8">
      <c r="H4066" s="1505"/>
    </row>
    <row r="4067" spans="8:8">
      <c r="H4067" s="1505"/>
    </row>
    <row r="4068" spans="8:8">
      <c r="H4068" s="1505"/>
    </row>
    <row r="4069" spans="8:8">
      <c r="H4069" s="1505"/>
    </row>
    <row r="4070" spans="8:8">
      <c r="H4070" s="1505"/>
    </row>
    <row r="4071" spans="8:8">
      <c r="H4071" s="1505"/>
    </row>
    <row r="4072" spans="8:8">
      <c r="H4072" s="1505"/>
    </row>
    <row r="4073" spans="8:8">
      <c r="H4073" s="1505"/>
    </row>
    <row r="4074" spans="8:8">
      <c r="H4074" s="1505"/>
    </row>
    <row r="4075" spans="8:8">
      <c r="H4075" s="1505"/>
    </row>
    <row r="4076" spans="8:8">
      <c r="H4076" s="1505"/>
    </row>
    <row r="4077" spans="8:8">
      <c r="H4077" s="1505"/>
    </row>
    <row r="4078" spans="8:8">
      <c r="H4078" s="1505"/>
    </row>
    <row r="4079" spans="8:8">
      <c r="H4079" s="1505"/>
    </row>
    <row r="4080" spans="8:8">
      <c r="H4080" s="1505"/>
    </row>
    <row r="4081" spans="8:8">
      <c r="H4081" s="1505"/>
    </row>
    <row r="4082" spans="8:8">
      <c r="H4082" s="1505"/>
    </row>
    <row r="4083" spans="8:8">
      <c r="H4083" s="1505"/>
    </row>
    <row r="4084" spans="8:8">
      <c r="H4084" s="1505"/>
    </row>
    <row r="4085" spans="8:8">
      <c r="H4085" s="1505"/>
    </row>
    <row r="4086" spans="8:8">
      <c r="H4086" s="1505"/>
    </row>
    <row r="4087" spans="8:8">
      <c r="H4087" s="1505"/>
    </row>
    <row r="4088" spans="8:8">
      <c r="H4088" s="1505"/>
    </row>
    <row r="4089" spans="8:8">
      <c r="H4089" s="1505"/>
    </row>
    <row r="4090" spans="8:8">
      <c r="H4090" s="1505"/>
    </row>
    <row r="4091" spans="8:8">
      <c r="H4091" s="1505"/>
    </row>
    <row r="4092" spans="8:8">
      <c r="H4092" s="1505"/>
    </row>
    <row r="4093" spans="8:8">
      <c r="H4093" s="1505"/>
    </row>
    <row r="4094" spans="8:8">
      <c r="H4094" s="1505"/>
    </row>
    <row r="4095" spans="8:8">
      <c r="H4095" s="1505"/>
    </row>
    <row r="4096" spans="8:8">
      <c r="H4096" s="1505"/>
    </row>
    <row r="4097" spans="8:8">
      <c r="H4097" s="1505"/>
    </row>
    <row r="4098" spans="8:8">
      <c r="H4098" s="1505"/>
    </row>
    <row r="4099" spans="8:8">
      <c r="H4099" s="1505"/>
    </row>
    <row r="4100" spans="8:8">
      <c r="H4100" s="1505"/>
    </row>
    <row r="4101" spans="8:8">
      <c r="H4101" s="1505"/>
    </row>
    <row r="4102" spans="8:8">
      <c r="H4102" s="1505"/>
    </row>
    <row r="4103" spans="8:8">
      <c r="H4103" s="1505"/>
    </row>
    <row r="4104" spans="8:8">
      <c r="H4104" s="1505"/>
    </row>
    <row r="4105" spans="8:8">
      <c r="H4105" s="1505"/>
    </row>
    <row r="4106" spans="8:8">
      <c r="H4106" s="1505"/>
    </row>
    <row r="4107" spans="8:8">
      <c r="H4107" s="1505"/>
    </row>
    <row r="4108" spans="8:8">
      <c r="H4108" s="1505"/>
    </row>
    <row r="4109" spans="8:8">
      <c r="H4109" s="1505"/>
    </row>
    <row r="4110" spans="8:8">
      <c r="H4110" s="1505"/>
    </row>
    <row r="4111" spans="8:8">
      <c r="H4111" s="1505"/>
    </row>
    <row r="4112" spans="8:8">
      <c r="H4112" s="1505"/>
    </row>
    <row r="4113" spans="8:8">
      <c r="H4113" s="1505"/>
    </row>
    <row r="4114" spans="8:8">
      <c r="H4114" s="1505"/>
    </row>
    <row r="4115" spans="8:8">
      <c r="H4115" s="1505"/>
    </row>
    <row r="4116" spans="8:8">
      <c r="H4116" s="1505"/>
    </row>
    <row r="4117" spans="8:8">
      <c r="H4117" s="1505"/>
    </row>
    <row r="4118" spans="8:8">
      <c r="H4118" s="1505"/>
    </row>
    <row r="4119" spans="8:8">
      <c r="H4119" s="1505"/>
    </row>
    <row r="4120" spans="8:8">
      <c r="H4120" s="1505"/>
    </row>
    <row r="4121" spans="8:8">
      <c r="H4121" s="1505"/>
    </row>
    <row r="4122" spans="8:8">
      <c r="H4122" s="1505"/>
    </row>
    <row r="4123" spans="8:8">
      <c r="H4123" s="1505"/>
    </row>
    <row r="4124" spans="8:8">
      <c r="H4124" s="1505"/>
    </row>
    <row r="4125" spans="8:8">
      <c r="H4125" s="1505"/>
    </row>
    <row r="4126" spans="8:8">
      <c r="H4126" s="1505"/>
    </row>
    <row r="4127" spans="8:8">
      <c r="H4127" s="1505"/>
    </row>
    <row r="4128" spans="8:8">
      <c r="H4128" s="1505"/>
    </row>
    <row r="4129" spans="8:8">
      <c r="H4129" s="1505"/>
    </row>
    <row r="4130" spans="8:8">
      <c r="H4130" s="1505"/>
    </row>
    <row r="4131" spans="8:8">
      <c r="H4131" s="1505"/>
    </row>
    <row r="4132" spans="8:8">
      <c r="H4132" s="1505"/>
    </row>
    <row r="4133" spans="8:8">
      <c r="H4133" s="1505"/>
    </row>
    <row r="4134" spans="8:8">
      <c r="H4134" s="1505"/>
    </row>
    <row r="4135" spans="8:8">
      <c r="H4135" s="1505"/>
    </row>
    <row r="4136" spans="8:8">
      <c r="H4136" s="1505"/>
    </row>
    <row r="4137" spans="8:8">
      <c r="H4137" s="1505"/>
    </row>
    <row r="4138" spans="8:8">
      <c r="H4138" s="1505"/>
    </row>
    <row r="4139" spans="8:8">
      <c r="H4139" s="1505"/>
    </row>
    <row r="4140" spans="8:8">
      <c r="H4140" s="1505"/>
    </row>
    <row r="4141" spans="8:8">
      <c r="H4141" s="1505"/>
    </row>
    <row r="4142" spans="8:8">
      <c r="H4142" s="1505"/>
    </row>
    <row r="4143" spans="8:8">
      <c r="H4143" s="1505"/>
    </row>
    <row r="4144" spans="8:8">
      <c r="H4144" s="1505"/>
    </row>
    <row r="4145" spans="8:8">
      <c r="H4145" s="1505"/>
    </row>
    <row r="4146" spans="8:8">
      <c r="H4146" s="1505"/>
    </row>
    <row r="4147" spans="8:8">
      <c r="H4147" s="1505"/>
    </row>
    <row r="4148" spans="8:8">
      <c r="H4148" s="1505"/>
    </row>
    <row r="4149" spans="8:8">
      <c r="H4149" s="1505"/>
    </row>
    <row r="4150" spans="8:8">
      <c r="H4150" s="1505"/>
    </row>
    <row r="4151" spans="8:8">
      <c r="H4151" s="1505"/>
    </row>
    <row r="4152" spans="8:8">
      <c r="H4152" s="1505"/>
    </row>
    <row r="4153" spans="8:8">
      <c r="H4153" s="1505"/>
    </row>
    <row r="4154" spans="8:8">
      <c r="H4154" s="1505"/>
    </row>
    <row r="4155" spans="8:8">
      <c r="H4155" s="1505"/>
    </row>
    <row r="4156" spans="8:8">
      <c r="H4156" s="1505"/>
    </row>
    <row r="4157" spans="8:8">
      <c r="H4157" s="1505"/>
    </row>
    <row r="4158" spans="8:8">
      <c r="H4158" s="1505"/>
    </row>
    <row r="4159" spans="8:8">
      <c r="H4159" s="1505"/>
    </row>
    <row r="4160" spans="8:8">
      <c r="H4160" s="1505"/>
    </row>
    <row r="4161" spans="8:8">
      <c r="H4161" s="1505"/>
    </row>
    <row r="4162" spans="8:8">
      <c r="H4162" s="1505"/>
    </row>
    <row r="4163" spans="8:8">
      <c r="H4163" s="1505"/>
    </row>
    <row r="4164" spans="8:8">
      <c r="H4164" s="1505"/>
    </row>
    <row r="4165" spans="8:8">
      <c r="H4165" s="1505"/>
    </row>
    <row r="4166" spans="8:8">
      <c r="H4166" s="1505"/>
    </row>
    <row r="4167" spans="8:8">
      <c r="H4167" s="1505"/>
    </row>
    <row r="4168" spans="8:8">
      <c r="H4168" s="1505"/>
    </row>
    <row r="4169" spans="8:8">
      <c r="H4169" s="1505"/>
    </row>
    <row r="4170" spans="8:8">
      <c r="H4170" s="1505"/>
    </row>
    <row r="4171" spans="8:8">
      <c r="H4171" s="1505"/>
    </row>
    <row r="4172" spans="8:8">
      <c r="H4172" s="1505"/>
    </row>
    <row r="4173" spans="8:8">
      <c r="H4173" s="1505"/>
    </row>
    <row r="4174" spans="8:8">
      <c r="H4174" s="1505"/>
    </row>
    <row r="4175" spans="8:8">
      <c r="H4175" s="1505"/>
    </row>
    <row r="4176" spans="8:8">
      <c r="H4176" s="1505"/>
    </row>
    <row r="4177" spans="8:8">
      <c r="H4177" s="1505"/>
    </row>
    <row r="4178" spans="8:8">
      <c r="H4178" s="1505"/>
    </row>
    <row r="4179" spans="8:8">
      <c r="H4179" s="1505"/>
    </row>
    <row r="4180" spans="8:8">
      <c r="H4180" s="1505"/>
    </row>
    <row r="4181" spans="8:8">
      <c r="H4181" s="1505"/>
    </row>
    <row r="4182" spans="8:8">
      <c r="H4182" s="1505"/>
    </row>
    <row r="4183" spans="8:8">
      <c r="H4183" s="1505"/>
    </row>
    <row r="4184" spans="8:8">
      <c r="H4184" s="1505"/>
    </row>
    <row r="4185" spans="8:8">
      <c r="H4185" s="1505"/>
    </row>
    <row r="4186" spans="8:8">
      <c r="H4186" s="1505"/>
    </row>
    <row r="4187" spans="8:8">
      <c r="H4187" s="1505"/>
    </row>
    <row r="4188" spans="8:8">
      <c r="H4188" s="1505"/>
    </row>
    <row r="4189" spans="8:8">
      <c r="H4189" s="1505"/>
    </row>
    <row r="4190" spans="8:8">
      <c r="H4190" s="1505"/>
    </row>
    <row r="4191" spans="8:8">
      <c r="H4191" s="1505"/>
    </row>
    <row r="4192" spans="8:8">
      <c r="H4192" s="1505"/>
    </row>
    <row r="4193" spans="8:8">
      <c r="H4193" s="1505"/>
    </row>
    <row r="4194" spans="8:8">
      <c r="H4194" s="1505"/>
    </row>
    <row r="4195" spans="8:8">
      <c r="H4195" s="1505"/>
    </row>
    <row r="4196" spans="8:8">
      <c r="H4196" s="1505"/>
    </row>
    <row r="4197" spans="8:8">
      <c r="H4197" s="1505"/>
    </row>
    <row r="4198" spans="8:8">
      <c r="H4198" s="1505"/>
    </row>
    <row r="4199" spans="8:8">
      <c r="H4199" s="1505"/>
    </row>
    <row r="4200" spans="8:8">
      <c r="H4200" s="1505"/>
    </row>
    <row r="4201" spans="8:8">
      <c r="H4201" s="1505"/>
    </row>
    <row r="4202" spans="8:8">
      <c r="H4202" s="1505"/>
    </row>
    <row r="4203" spans="8:8">
      <c r="H4203" s="1505"/>
    </row>
    <row r="4204" spans="8:8">
      <c r="H4204" s="1505"/>
    </row>
    <row r="4205" spans="8:8">
      <c r="H4205" s="1505"/>
    </row>
    <row r="4206" spans="8:8">
      <c r="H4206" s="1505"/>
    </row>
    <row r="4207" spans="8:8">
      <c r="H4207" s="1505"/>
    </row>
    <row r="4208" spans="8:8">
      <c r="H4208" s="1505"/>
    </row>
    <row r="4209" spans="8:8">
      <c r="H4209" s="1505"/>
    </row>
    <row r="4210" spans="8:8">
      <c r="H4210" s="1505"/>
    </row>
    <row r="4211" spans="8:8">
      <c r="H4211" s="1505"/>
    </row>
    <row r="4212" spans="8:8">
      <c r="H4212" s="1505"/>
    </row>
    <row r="4213" spans="8:8">
      <c r="H4213" s="1505"/>
    </row>
    <row r="4214" spans="8:8">
      <c r="H4214" s="1505"/>
    </row>
    <row r="4215" spans="8:8">
      <c r="H4215" s="1505"/>
    </row>
    <row r="4216" spans="8:8">
      <c r="H4216" s="1505"/>
    </row>
    <row r="4217" spans="8:8">
      <c r="H4217" s="1505"/>
    </row>
    <row r="4218" spans="8:8">
      <c r="H4218" s="1505"/>
    </row>
    <row r="4219" spans="8:8">
      <c r="H4219" s="1505"/>
    </row>
    <row r="4220" spans="8:8">
      <c r="H4220" s="1505"/>
    </row>
    <row r="4221" spans="8:8">
      <c r="H4221" s="1505"/>
    </row>
    <row r="4222" spans="8:8">
      <c r="H4222" s="1505"/>
    </row>
    <row r="4223" spans="8:8">
      <c r="H4223" s="1505"/>
    </row>
    <row r="4224" spans="8:8">
      <c r="H4224" s="1505"/>
    </row>
    <row r="4225" spans="8:8">
      <c r="H4225" s="1505"/>
    </row>
    <row r="4226" spans="8:8">
      <c r="H4226" s="1505"/>
    </row>
    <row r="4227" spans="8:8">
      <c r="H4227" s="1505"/>
    </row>
    <row r="4228" spans="8:8">
      <c r="H4228" s="1505"/>
    </row>
    <row r="4229" spans="8:8">
      <c r="H4229" s="1505"/>
    </row>
    <row r="4230" spans="8:8">
      <c r="H4230" s="1505"/>
    </row>
    <row r="4231" spans="8:8">
      <c r="H4231" s="1505"/>
    </row>
    <row r="4232" spans="8:8">
      <c r="H4232" s="1505"/>
    </row>
    <row r="4233" spans="8:8">
      <c r="H4233" s="1505"/>
    </row>
    <row r="4234" spans="8:8">
      <c r="H4234" s="1505"/>
    </row>
    <row r="4235" spans="8:8">
      <c r="H4235" s="1505"/>
    </row>
    <row r="4236" spans="8:8">
      <c r="H4236" s="1505"/>
    </row>
    <row r="4237" spans="8:8">
      <c r="H4237" s="1505"/>
    </row>
    <row r="4238" spans="8:8">
      <c r="H4238" s="1505"/>
    </row>
    <row r="4239" spans="8:8">
      <c r="H4239" s="1505"/>
    </row>
    <row r="4240" spans="8:8">
      <c r="H4240" s="1505"/>
    </row>
    <row r="4241" spans="8:8">
      <c r="H4241" s="1505"/>
    </row>
    <row r="4242" spans="8:8">
      <c r="H4242" s="1505"/>
    </row>
    <row r="4243" spans="8:8">
      <c r="H4243" s="1505"/>
    </row>
    <row r="4244" spans="8:8">
      <c r="H4244" s="1505"/>
    </row>
    <row r="4245" spans="8:8">
      <c r="H4245" s="1505"/>
    </row>
    <row r="4246" spans="8:8">
      <c r="H4246" s="1505"/>
    </row>
    <row r="4247" spans="8:8">
      <c r="H4247" s="1505"/>
    </row>
    <row r="4248" spans="8:8">
      <c r="H4248" s="1505"/>
    </row>
    <row r="4249" spans="8:8">
      <c r="H4249" s="1505"/>
    </row>
    <row r="4250" spans="8:8">
      <c r="H4250" s="1505"/>
    </row>
    <row r="4251" spans="8:8">
      <c r="H4251" s="1505"/>
    </row>
    <row r="4252" spans="8:8">
      <c r="H4252" s="1505"/>
    </row>
    <row r="4253" spans="8:8">
      <c r="H4253" s="1505"/>
    </row>
    <row r="4254" spans="8:8">
      <c r="H4254" s="1505"/>
    </row>
    <row r="4255" spans="8:8">
      <c r="H4255" s="1505"/>
    </row>
    <row r="4256" spans="8:8">
      <c r="H4256" s="1505"/>
    </row>
    <row r="4257" spans="8:8">
      <c r="H4257" s="1505"/>
    </row>
    <row r="4258" spans="8:8">
      <c r="H4258" s="1505"/>
    </row>
    <row r="4259" spans="8:8">
      <c r="H4259" s="1505"/>
    </row>
    <row r="4260" spans="8:8">
      <c r="H4260" s="1505"/>
    </row>
    <row r="4261" spans="8:8">
      <c r="H4261" s="1505"/>
    </row>
    <row r="4262" spans="8:8">
      <c r="H4262" s="1505"/>
    </row>
    <row r="4263" spans="8:8">
      <c r="H4263" s="1505"/>
    </row>
    <row r="4264" spans="8:8">
      <c r="H4264" s="1505"/>
    </row>
    <row r="4265" spans="8:8">
      <c r="H4265" s="1505"/>
    </row>
    <row r="4266" spans="8:8">
      <c r="H4266" s="1505"/>
    </row>
    <row r="4267" spans="8:8">
      <c r="H4267" s="1505"/>
    </row>
    <row r="4268" spans="8:8">
      <c r="H4268" s="1505"/>
    </row>
    <row r="4269" spans="8:8">
      <c r="H4269" s="1505"/>
    </row>
    <row r="4270" spans="8:8">
      <c r="H4270" s="1505"/>
    </row>
    <row r="4271" spans="8:8">
      <c r="H4271" s="1505"/>
    </row>
    <row r="4272" spans="8:8">
      <c r="H4272" s="1505"/>
    </row>
    <row r="4273" spans="8:8">
      <c r="H4273" s="1505"/>
    </row>
    <row r="4274" spans="8:8">
      <c r="H4274" s="1505"/>
    </row>
    <row r="4275" spans="8:8">
      <c r="H4275" s="1505"/>
    </row>
    <row r="4276" spans="8:8">
      <c r="H4276" s="1505"/>
    </row>
    <row r="4277" spans="8:8">
      <c r="H4277" s="1505"/>
    </row>
    <row r="4278" spans="8:8">
      <c r="H4278" s="1505"/>
    </row>
    <row r="4279" spans="8:8">
      <c r="H4279" s="1505"/>
    </row>
    <row r="4280" spans="8:8">
      <c r="H4280" s="1505"/>
    </row>
    <row r="4281" spans="8:8">
      <c r="H4281" s="1505"/>
    </row>
    <row r="4282" spans="8:8">
      <c r="H4282" s="1505"/>
    </row>
    <row r="4283" spans="8:8">
      <c r="H4283" s="1505"/>
    </row>
    <row r="4284" spans="8:8">
      <c r="H4284" s="1505"/>
    </row>
    <row r="4285" spans="8:8">
      <c r="H4285" s="1505"/>
    </row>
    <row r="4286" spans="8:8">
      <c r="H4286" s="1505"/>
    </row>
    <row r="4287" spans="8:8">
      <c r="H4287" s="1505"/>
    </row>
    <row r="4288" spans="8:8">
      <c r="H4288" s="1505"/>
    </row>
    <row r="4289" spans="8:8">
      <c r="H4289" s="1505"/>
    </row>
    <row r="4290" spans="8:8">
      <c r="H4290" s="1505"/>
    </row>
    <row r="4291" spans="8:8">
      <c r="H4291" s="1505"/>
    </row>
    <row r="4292" spans="8:8">
      <c r="H4292" s="1505"/>
    </row>
    <row r="4293" spans="8:8">
      <c r="H4293" s="1505"/>
    </row>
    <row r="4294" spans="8:8">
      <c r="H4294" s="1505"/>
    </row>
    <row r="4295" spans="8:8">
      <c r="H4295" s="1505"/>
    </row>
    <row r="4296" spans="8:8">
      <c r="H4296" s="1505"/>
    </row>
    <row r="4297" spans="8:8">
      <c r="H4297" s="1505"/>
    </row>
    <row r="4298" spans="8:8">
      <c r="H4298" s="1505"/>
    </row>
    <row r="4299" spans="8:8">
      <c r="H4299" s="1505"/>
    </row>
    <row r="4300" spans="8:8">
      <c r="H4300" s="1505"/>
    </row>
    <row r="4301" spans="8:8">
      <c r="H4301" s="1505"/>
    </row>
    <row r="4302" spans="8:8">
      <c r="H4302" s="1505"/>
    </row>
    <row r="4303" spans="8:8">
      <c r="H4303" s="1505"/>
    </row>
    <row r="4304" spans="8:8">
      <c r="H4304" s="1505"/>
    </row>
  </sheetData>
  <pageMargins left="0.7" right="0.7" top="0.75" bottom="0.75" header="0.3" footer="0.3"/>
  <pageSetup orientation="portrait" horizontalDpi="1200" verticalDpi="1200"/>
  <legacyDrawing r:id="rId1"/>
  <extLst>
    <ext xmlns:mx="http://schemas.microsoft.com/office/mac/excel/2008/main" uri="{64002731-A6B0-56B0-2670-7721B7C09600}">
      <mx:PLV Mode="0" OnePage="0" WScale="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enableFormatConditionsCalculation="0">
    <tabColor theme="7" tint="0.39997558519241921"/>
    <pageSetUpPr autoPageBreaks="0"/>
  </sheetPr>
  <dimension ref="A1:AP102"/>
  <sheetViews>
    <sheetView topLeftCell="A22" zoomScale="70" zoomScaleNormal="70" zoomScalePageLayoutView="70" workbookViewId="0">
      <selection activeCell="R15" sqref="R15"/>
    </sheetView>
    <sheetView workbookViewId="1"/>
  </sheetViews>
  <sheetFormatPr baseColWidth="10" defaultColWidth="8.83203125" defaultRowHeight="13" x14ac:dyDescent="0"/>
  <cols>
    <col min="1" max="1" width="4.5" style="902" customWidth="1"/>
    <col min="2" max="2" width="27.33203125" style="902" customWidth="1"/>
    <col min="3" max="3" width="27.5" style="902" customWidth="1"/>
    <col min="4" max="4" width="17.1640625" style="902" customWidth="1"/>
    <col min="5" max="5" width="11.33203125" style="902" customWidth="1"/>
    <col min="6" max="6" width="14.83203125" style="902" customWidth="1"/>
    <col min="7" max="7" width="13.83203125" style="902" customWidth="1"/>
    <col min="8" max="8" width="18.83203125" style="902" bestFit="1" customWidth="1"/>
    <col min="9" max="9" width="16.6640625" style="902" customWidth="1"/>
    <col min="10" max="10" width="11.5" style="902" customWidth="1"/>
    <col min="11" max="11" width="10.33203125" style="902" customWidth="1"/>
    <col min="12" max="12" width="9.5" style="902" bestFit="1" customWidth="1"/>
    <col min="13" max="16384" width="8.83203125" style="902"/>
  </cols>
  <sheetData>
    <row r="1" spans="1:42">
      <c r="B1" s="902" t="s">
        <v>711</v>
      </c>
    </row>
    <row r="3" spans="1:42" ht="18">
      <c r="B3" s="925" t="s">
        <v>759</v>
      </c>
      <c r="C3" s="925">
        <v>2006</v>
      </c>
    </row>
    <row r="5" spans="1:42" ht="18">
      <c r="B5" s="925"/>
      <c r="D5" s="1088"/>
      <c r="E5" s="1088"/>
      <c r="F5" s="1088"/>
      <c r="H5" s="1088"/>
      <c r="I5" s="1088"/>
      <c r="Q5" s="523"/>
      <c r="R5" s="522"/>
      <c r="S5" s="521"/>
      <c r="T5" s="521"/>
      <c r="U5" s="521"/>
      <c r="V5" s="521"/>
      <c r="W5" s="521"/>
      <c r="X5" s="521"/>
      <c r="Y5" s="521"/>
      <c r="Z5" s="521"/>
    </row>
    <row r="7" spans="1:42" ht="22.5" customHeight="1">
      <c r="B7" s="1706" t="s">
        <v>2457</v>
      </c>
      <c r="C7" s="1707">
        <v>2006</v>
      </c>
      <c r="D7" s="1707">
        <v>2010</v>
      </c>
      <c r="E7" s="1707">
        <v>2015</v>
      </c>
      <c r="F7" s="1707">
        <v>2020</v>
      </c>
      <c r="G7" s="1707">
        <v>2025</v>
      </c>
      <c r="H7" s="1707">
        <v>2030</v>
      </c>
      <c r="I7" s="1707">
        <v>2035</v>
      </c>
      <c r="J7" s="1707">
        <v>2040</v>
      </c>
      <c r="K7" s="1707">
        <v>2045</v>
      </c>
      <c r="L7" s="1708">
        <v>2050</v>
      </c>
      <c r="N7" s="944"/>
      <c r="P7" s="1084"/>
    </row>
    <row r="8" spans="1:42" ht="15">
      <c r="A8" s="942"/>
      <c r="B8" s="1678"/>
      <c r="C8" s="915"/>
      <c r="D8" s="915"/>
      <c r="E8" s="915"/>
      <c r="F8" s="915"/>
      <c r="G8" s="915"/>
      <c r="H8" s="915"/>
      <c r="I8" s="915"/>
      <c r="J8" s="915"/>
      <c r="K8" s="915"/>
      <c r="L8" s="913"/>
      <c r="N8" s="944"/>
      <c r="O8" s="1084"/>
      <c r="P8" s="1250"/>
      <c r="Q8" s="1250"/>
      <c r="R8" s="1250"/>
      <c r="S8" s="1250"/>
      <c r="T8" s="1250"/>
      <c r="U8" s="1250"/>
    </row>
    <row r="9" spans="1:42" ht="15">
      <c r="A9" s="942"/>
      <c r="B9" s="1675" t="s">
        <v>1884</v>
      </c>
      <c r="C9" s="1709">
        <v>0.76</v>
      </c>
      <c r="D9" s="1709">
        <v>0.76</v>
      </c>
      <c r="E9" s="1709">
        <v>0.76</v>
      </c>
      <c r="F9" s="1709">
        <v>0.76</v>
      </c>
      <c r="G9" s="1709">
        <v>0.76</v>
      </c>
      <c r="H9" s="1709">
        <v>0.76</v>
      </c>
      <c r="I9" s="1709">
        <v>0.76</v>
      </c>
      <c r="J9" s="1709">
        <v>0.76</v>
      </c>
      <c r="K9" s="1709">
        <v>0.76</v>
      </c>
      <c r="L9" s="1710">
        <v>0.76</v>
      </c>
      <c r="N9" s="940"/>
      <c r="O9" s="1084"/>
      <c r="P9" s="1250"/>
      <c r="Q9" s="1250"/>
      <c r="R9" s="1250"/>
      <c r="S9" s="1250"/>
      <c r="T9" s="1250"/>
      <c r="U9" s="1250"/>
      <c r="V9" s="943"/>
      <c r="W9" s="943"/>
    </row>
    <row r="10" spans="1:42" ht="15">
      <c r="A10" s="942"/>
      <c r="B10" s="1711" t="s">
        <v>2279</v>
      </c>
      <c r="C10" s="1712">
        <v>0.15</v>
      </c>
      <c r="D10" s="1712">
        <v>0.15</v>
      </c>
      <c r="E10" s="1712">
        <v>0.15</v>
      </c>
      <c r="F10" s="1712">
        <v>0.15</v>
      </c>
      <c r="G10" s="1712">
        <v>0.15</v>
      </c>
      <c r="H10" s="1712">
        <v>0.15</v>
      </c>
      <c r="I10" s="1712">
        <v>0.15</v>
      </c>
      <c r="J10" s="1712">
        <v>0.15</v>
      </c>
      <c r="K10" s="1712">
        <v>0.15</v>
      </c>
      <c r="L10" s="1713">
        <v>0.15</v>
      </c>
      <c r="N10" s="940"/>
      <c r="O10" s="1084"/>
      <c r="P10" s="1250"/>
      <c r="Q10" s="1250"/>
      <c r="R10" s="1250"/>
      <c r="S10" s="1250"/>
      <c r="T10" s="1250"/>
      <c r="U10" s="1250"/>
    </row>
    <row r="11" spans="1:42" ht="15">
      <c r="A11" s="942"/>
      <c r="N11" s="940"/>
      <c r="P11" s="519"/>
      <c r="Q11" s="519"/>
      <c r="R11" s="519"/>
      <c r="S11" s="519"/>
      <c r="T11" s="519"/>
      <c r="U11" s="519"/>
    </row>
    <row r="12" spans="1:42" ht="15">
      <c r="A12" s="942"/>
      <c r="B12" s="1084" t="s">
        <v>2494</v>
      </c>
      <c r="N12" s="940"/>
      <c r="S12" s="939"/>
    </row>
    <row r="13" spans="1:42" ht="15">
      <c r="A13" s="942"/>
      <c r="B13" s="1699"/>
      <c r="C13" s="1660">
        <v>2006</v>
      </c>
      <c r="D13" s="1660">
        <v>2010</v>
      </c>
      <c r="E13" s="1660">
        <v>2015</v>
      </c>
      <c r="F13" s="1660">
        <v>2020</v>
      </c>
      <c r="G13" s="1660">
        <v>2025</v>
      </c>
      <c r="H13" s="1660">
        <v>2030</v>
      </c>
      <c r="I13" s="1660">
        <v>2035</v>
      </c>
      <c r="J13" s="1660">
        <v>2040</v>
      </c>
      <c r="K13" s="1660">
        <v>2045</v>
      </c>
      <c r="L13" s="553">
        <v>2050</v>
      </c>
      <c r="M13" s="1660">
        <v>2006</v>
      </c>
      <c r="N13" s="1660">
        <v>2010</v>
      </c>
      <c r="O13" s="1660">
        <v>2015</v>
      </c>
      <c r="P13" s="1660">
        <v>2020</v>
      </c>
      <c r="Q13" s="1660">
        <v>2025</v>
      </c>
      <c r="R13" s="1660">
        <v>2030</v>
      </c>
      <c r="S13" s="1660">
        <v>2035</v>
      </c>
      <c r="T13" s="1660">
        <v>2040</v>
      </c>
      <c r="U13" s="1660">
        <v>2045</v>
      </c>
      <c r="V13" s="553">
        <v>2050</v>
      </c>
      <c r="W13" s="1660">
        <v>2006</v>
      </c>
      <c r="X13" s="1660">
        <v>2010</v>
      </c>
      <c r="Y13" s="1660">
        <v>2015</v>
      </c>
      <c r="Z13" s="1660">
        <v>2020</v>
      </c>
      <c r="AA13" s="1660">
        <v>2025</v>
      </c>
      <c r="AB13" s="1660">
        <v>2030</v>
      </c>
      <c r="AC13" s="1660">
        <v>2035</v>
      </c>
      <c r="AD13" s="1660">
        <v>2040</v>
      </c>
      <c r="AE13" s="1660">
        <v>2045</v>
      </c>
      <c r="AF13" s="553">
        <v>2050</v>
      </c>
      <c r="AG13" s="1660">
        <v>2006</v>
      </c>
      <c r="AH13" s="1660">
        <v>2010</v>
      </c>
      <c r="AI13" s="1660">
        <v>2015</v>
      </c>
      <c r="AJ13" s="1660">
        <v>2020</v>
      </c>
      <c r="AK13" s="1660">
        <v>2025</v>
      </c>
      <c r="AL13" s="1660">
        <v>2030</v>
      </c>
      <c r="AM13" s="1660">
        <v>2035</v>
      </c>
      <c r="AN13" s="1660">
        <v>2040</v>
      </c>
      <c r="AO13" s="1660">
        <v>2045</v>
      </c>
      <c r="AP13" s="553">
        <v>2050</v>
      </c>
    </row>
    <row r="14" spans="1:42" ht="15">
      <c r="A14" s="942"/>
      <c r="B14" s="1698" t="s">
        <v>2584</v>
      </c>
      <c r="C14" s="517">
        <v>1</v>
      </c>
      <c r="D14" s="517">
        <v>1</v>
      </c>
      <c r="E14" s="517">
        <v>1</v>
      </c>
      <c r="F14" s="517">
        <v>1</v>
      </c>
      <c r="G14" s="517">
        <v>1</v>
      </c>
      <c r="H14" s="517">
        <v>1</v>
      </c>
      <c r="I14" s="517">
        <v>1</v>
      </c>
      <c r="J14" s="517">
        <v>1</v>
      </c>
      <c r="K14" s="517">
        <v>1</v>
      </c>
      <c r="L14" s="554">
        <v>1</v>
      </c>
      <c r="M14" s="517">
        <v>2</v>
      </c>
      <c r="N14" s="517">
        <v>2</v>
      </c>
      <c r="O14" s="517">
        <v>2</v>
      </c>
      <c r="P14" s="517">
        <v>2</v>
      </c>
      <c r="Q14" s="517">
        <v>2</v>
      </c>
      <c r="R14" s="517">
        <v>2</v>
      </c>
      <c r="S14" s="517">
        <v>2</v>
      </c>
      <c r="T14" s="517">
        <v>2</v>
      </c>
      <c r="U14" s="517">
        <v>2</v>
      </c>
      <c r="V14" s="554">
        <v>2</v>
      </c>
      <c r="W14" s="517">
        <v>3</v>
      </c>
      <c r="X14" s="517">
        <v>3</v>
      </c>
      <c r="Y14" s="517">
        <v>3</v>
      </c>
      <c r="Z14" s="517">
        <v>3</v>
      </c>
      <c r="AA14" s="517">
        <v>3</v>
      </c>
      <c r="AB14" s="517">
        <v>3</v>
      </c>
      <c r="AC14" s="517">
        <v>3</v>
      </c>
      <c r="AD14" s="517">
        <v>3</v>
      </c>
      <c r="AE14" s="517">
        <v>3</v>
      </c>
      <c r="AF14" s="554">
        <v>3</v>
      </c>
      <c r="AG14" s="517">
        <v>4</v>
      </c>
      <c r="AH14" s="517">
        <v>4</v>
      </c>
      <c r="AI14" s="517">
        <v>4</v>
      </c>
      <c r="AJ14" s="517">
        <v>4</v>
      </c>
      <c r="AK14" s="517">
        <v>4</v>
      </c>
      <c r="AL14" s="517">
        <v>4</v>
      </c>
      <c r="AM14" s="517">
        <v>4</v>
      </c>
      <c r="AN14" s="517">
        <v>4</v>
      </c>
      <c r="AO14" s="517">
        <v>4</v>
      </c>
      <c r="AP14" s="554">
        <v>4</v>
      </c>
    </row>
    <row r="15" spans="1:42" ht="15">
      <c r="A15" s="942"/>
      <c r="B15" s="1661" t="s">
        <v>817</v>
      </c>
      <c r="C15" s="1357">
        <v>0.71199394606235478</v>
      </c>
      <c r="D15" s="1357">
        <f t="shared" ref="D15:K16" si="0">C15+($L15-$C15)/9</f>
        <v>0.73843906316653762</v>
      </c>
      <c r="E15" s="1357">
        <f t="shared" si="0"/>
        <v>0.76488418027072047</v>
      </c>
      <c r="F15" s="1357">
        <f t="shared" si="0"/>
        <v>0.79132929737490332</v>
      </c>
      <c r="G15" s="1357">
        <f t="shared" si="0"/>
        <v>0.81777441447908616</v>
      </c>
      <c r="H15" s="1357">
        <f t="shared" si="0"/>
        <v>0.84421953158326901</v>
      </c>
      <c r="I15" s="1357">
        <f t="shared" si="0"/>
        <v>0.87066464868745186</v>
      </c>
      <c r="J15" s="1357">
        <f t="shared" si="0"/>
        <v>0.89710976579163471</v>
      </c>
      <c r="K15" s="1357">
        <f t="shared" si="0"/>
        <v>0.92355488289581755</v>
      </c>
      <c r="L15" s="555">
        <v>0.95</v>
      </c>
      <c r="M15" s="1357">
        <v>0.71199394606235478</v>
      </c>
      <c r="N15" s="1357">
        <f t="shared" ref="N15:S16" si="1">M15+($T15-$M15)/7</f>
        <v>0.75313766805344695</v>
      </c>
      <c r="O15" s="1357">
        <f t="shared" si="1"/>
        <v>0.79428139004453913</v>
      </c>
      <c r="P15" s="1357">
        <f t="shared" si="1"/>
        <v>0.8354251120356313</v>
      </c>
      <c r="Q15" s="1357">
        <f t="shared" si="1"/>
        <v>0.87656883402672348</v>
      </c>
      <c r="R15" s="1357">
        <f t="shared" si="1"/>
        <v>0.91771255601781565</v>
      </c>
      <c r="S15" s="1357">
        <f t="shared" si="1"/>
        <v>0.95885627800890783</v>
      </c>
      <c r="T15" s="1357">
        <v>1</v>
      </c>
      <c r="U15" s="1357">
        <v>1</v>
      </c>
      <c r="V15" s="555">
        <v>1</v>
      </c>
      <c r="W15" s="1357">
        <v>0.71199394606235478</v>
      </c>
      <c r="X15" s="1358">
        <f t="shared" ref="X15:AA16" si="2">W15+($AB15-$W15)/5</f>
        <v>0.76959515684988378</v>
      </c>
      <c r="Y15" s="1357">
        <f t="shared" si="2"/>
        <v>0.82719636763741278</v>
      </c>
      <c r="Z15" s="1357">
        <f t="shared" si="2"/>
        <v>0.88479757842494178</v>
      </c>
      <c r="AA15" s="1357">
        <f t="shared" si="2"/>
        <v>0.94239878921247078</v>
      </c>
      <c r="AB15" s="1357">
        <v>1</v>
      </c>
      <c r="AC15" s="1357">
        <v>1</v>
      </c>
      <c r="AD15" s="1357">
        <v>1</v>
      </c>
      <c r="AE15" s="1357">
        <v>1</v>
      </c>
      <c r="AF15" s="555">
        <v>1</v>
      </c>
      <c r="AG15" s="1357">
        <v>0.71199394606235478</v>
      </c>
      <c r="AH15" s="1357">
        <f t="shared" ref="AH15:AJ16" si="3">AG15+($AK15-$AG15)/3</f>
        <v>0.80799596404156981</v>
      </c>
      <c r="AI15" s="1357">
        <f t="shared" si="3"/>
        <v>0.90399798202078485</v>
      </c>
      <c r="AJ15" s="1357">
        <f t="shared" si="3"/>
        <v>0.99999999999999989</v>
      </c>
      <c r="AK15" s="1359">
        <v>1</v>
      </c>
      <c r="AL15" s="1359">
        <v>1</v>
      </c>
      <c r="AM15" s="1359">
        <v>1</v>
      </c>
      <c r="AN15" s="1359">
        <v>1</v>
      </c>
      <c r="AO15" s="1359">
        <v>1</v>
      </c>
      <c r="AP15" s="1360">
        <v>1</v>
      </c>
    </row>
    <row r="16" spans="1:42" ht="15">
      <c r="A16" s="942"/>
      <c r="B16" s="1700" t="s">
        <v>816</v>
      </c>
      <c r="C16" s="1701">
        <v>0.82617832329190044</v>
      </c>
      <c r="D16" s="1701">
        <f t="shared" si="0"/>
        <v>0.84549184292613377</v>
      </c>
      <c r="E16" s="1701">
        <f t="shared" si="0"/>
        <v>0.86480536256036711</v>
      </c>
      <c r="F16" s="1701">
        <f t="shared" si="0"/>
        <v>0.88411888219460044</v>
      </c>
      <c r="G16" s="1701">
        <f t="shared" si="0"/>
        <v>0.90343240182883378</v>
      </c>
      <c r="H16" s="1701">
        <f t="shared" si="0"/>
        <v>0.92274592146306711</v>
      </c>
      <c r="I16" s="1701">
        <f t="shared" si="0"/>
        <v>0.94205944109730044</v>
      </c>
      <c r="J16" s="1701">
        <f t="shared" si="0"/>
        <v>0.96137296073153378</v>
      </c>
      <c r="K16" s="1701">
        <f t="shared" si="0"/>
        <v>0.98068648036576711</v>
      </c>
      <c r="L16" s="1702">
        <v>1</v>
      </c>
      <c r="M16" s="1701">
        <v>0.82617832329190044</v>
      </c>
      <c r="N16" s="1701">
        <f t="shared" si="1"/>
        <v>0.85100999139305755</v>
      </c>
      <c r="O16" s="1701">
        <f t="shared" si="1"/>
        <v>0.87584165949421466</v>
      </c>
      <c r="P16" s="1701">
        <f t="shared" si="1"/>
        <v>0.90067332759537178</v>
      </c>
      <c r="Q16" s="1701">
        <f t="shared" si="1"/>
        <v>0.92550499569652889</v>
      </c>
      <c r="R16" s="1701">
        <f t="shared" si="1"/>
        <v>0.950336663797686</v>
      </c>
      <c r="S16" s="1701">
        <f t="shared" si="1"/>
        <v>0.97516833189884311</v>
      </c>
      <c r="T16" s="1701">
        <v>1</v>
      </c>
      <c r="U16" s="1701">
        <v>1</v>
      </c>
      <c r="V16" s="1702">
        <v>1</v>
      </c>
      <c r="W16" s="1701">
        <v>0.82617832329190044</v>
      </c>
      <c r="X16" s="1703">
        <f t="shared" si="2"/>
        <v>0.86094265863352037</v>
      </c>
      <c r="Y16" s="1701">
        <f t="shared" si="2"/>
        <v>0.89570699397514031</v>
      </c>
      <c r="Z16" s="1701">
        <f t="shared" si="2"/>
        <v>0.93047132931676024</v>
      </c>
      <c r="AA16" s="1701">
        <f t="shared" si="2"/>
        <v>0.96523566465838018</v>
      </c>
      <c r="AB16" s="1701">
        <v>1</v>
      </c>
      <c r="AC16" s="1701">
        <v>1</v>
      </c>
      <c r="AD16" s="1701">
        <v>1</v>
      </c>
      <c r="AE16" s="1701">
        <v>1</v>
      </c>
      <c r="AF16" s="1702">
        <v>1</v>
      </c>
      <c r="AG16" s="1701">
        <v>0.82617832329190044</v>
      </c>
      <c r="AH16" s="1701">
        <f t="shared" si="3"/>
        <v>0.88411888219460033</v>
      </c>
      <c r="AI16" s="1701">
        <f t="shared" si="3"/>
        <v>0.94205944109730022</v>
      </c>
      <c r="AJ16" s="1701">
        <f t="shared" si="3"/>
        <v>1</v>
      </c>
      <c r="AK16" s="1704">
        <v>1</v>
      </c>
      <c r="AL16" s="1704">
        <v>1</v>
      </c>
      <c r="AM16" s="1704">
        <v>1</v>
      </c>
      <c r="AN16" s="1704">
        <v>1</v>
      </c>
      <c r="AO16" s="1704">
        <v>1</v>
      </c>
      <c r="AP16" s="1705">
        <v>1</v>
      </c>
    </row>
    <row r="17" spans="2:19">
      <c r="N17" s="940"/>
      <c r="S17" s="939"/>
    </row>
    <row r="19" spans="2:19">
      <c r="B19" s="1248"/>
      <c r="C19" s="1247"/>
      <c r="D19" s="1247"/>
      <c r="E19" s="1247"/>
      <c r="F19" s="1247"/>
      <c r="G19" s="1247"/>
      <c r="H19" s="1247"/>
      <c r="I19" s="1247"/>
      <c r="J19" s="1248"/>
      <c r="K19" s="1247"/>
      <c r="L19" s="1248"/>
    </row>
    <row r="20" spans="2:19">
      <c r="B20" s="1248"/>
      <c r="C20" s="1247"/>
      <c r="D20" s="1247"/>
      <c r="E20" s="1247"/>
      <c r="F20" s="1247"/>
      <c r="G20" s="1247"/>
      <c r="H20" s="1247"/>
      <c r="I20" s="1247"/>
      <c r="J20" s="1248"/>
      <c r="K20" s="1247"/>
      <c r="L20" s="1248"/>
    </row>
    <row r="21" spans="2:19" ht="18">
      <c r="B21" s="925"/>
    </row>
    <row r="22" spans="2:19" ht="4.5" customHeight="1"/>
    <row r="23" spans="2:19">
      <c r="B23" s="937"/>
      <c r="C23" s="937"/>
      <c r="D23" s="937"/>
      <c r="E23" s="937"/>
      <c r="F23" s="937"/>
      <c r="G23" s="937"/>
    </row>
    <row r="24" spans="2:19">
      <c r="B24" s="936"/>
      <c r="C24" s="935"/>
      <c r="D24" s="935"/>
      <c r="E24" s="935"/>
      <c r="F24" s="935"/>
      <c r="P24" s="915"/>
      <c r="Q24" s="915"/>
    </row>
    <row r="25" spans="2:19">
      <c r="B25" s="934"/>
      <c r="C25" s="933"/>
      <c r="D25" s="933"/>
      <c r="E25" s="933"/>
      <c r="F25" s="933"/>
      <c r="G25" s="932"/>
    </row>
    <row r="28" spans="2:19" ht="18">
      <c r="B28" s="925" t="s">
        <v>580</v>
      </c>
    </row>
    <row r="29" spans="2:19" ht="6" customHeight="1"/>
    <row r="30" spans="2:19">
      <c r="B30" s="919" t="s">
        <v>224</v>
      </c>
      <c r="C30" s="931">
        <v>2010</v>
      </c>
      <c r="D30" s="931"/>
      <c r="E30" s="931"/>
      <c r="F30" s="931"/>
      <c r="G30" s="931">
        <v>2015</v>
      </c>
      <c r="H30" s="931">
        <v>2020</v>
      </c>
      <c r="I30" s="931">
        <v>2025</v>
      </c>
      <c r="J30" s="931">
        <v>2030</v>
      </c>
      <c r="K30" s="931">
        <v>2035</v>
      </c>
      <c r="L30" s="931">
        <v>2040</v>
      </c>
      <c r="M30" s="931">
        <v>2045</v>
      </c>
      <c r="N30" s="931">
        <v>2050</v>
      </c>
      <c r="O30" s="916"/>
    </row>
    <row r="31" spans="2:19">
      <c r="B31" s="912" t="s">
        <v>680</v>
      </c>
      <c r="C31" s="930">
        <v>3.5000000000000003E-2</v>
      </c>
      <c r="D31" s="930"/>
      <c r="E31" s="930"/>
      <c r="F31" s="930"/>
      <c r="G31" s="929">
        <f t="shared" ref="G31:L31" si="4">Discount_rate</f>
        <v>3.5000000000000003E-2</v>
      </c>
      <c r="H31" s="929">
        <f t="shared" si="4"/>
        <v>3.5000000000000003E-2</v>
      </c>
      <c r="I31" s="929">
        <f t="shared" si="4"/>
        <v>3.5000000000000003E-2</v>
      </c>
      <c r="J31" s="929">
        <f t="shared" si="4"/>
        <v>3.5000000000000003E-2</v>
      </c>
      <c r="K31" s="929">
        <f t="shared" si="4"/>
        <v>3.5000000000000003E-2</v>
      </c>
      <c r="L31" s="929">
        <f t="shared" si="4"/>
        <v>3.5000000000000003E-2</v>
      </c>
      <c r="M31" s="928">
        <v>0.03</v>
      </c>
      <c r="N31" s="928">
        <v>0.03</v>
      </c>
      <c r="O31" s="916"/>
    </row>
    <row r="32" spans="2:19">
      <c r="B32" s="927" t="s">
        <v>581</v>
      </c>
      <c r="C32" s="926">
        <v>1</v>
      </c>
      <c r="D32" s="926"/>
      <c r="E32" s="926"/>
      <c r="F32" s="926"/>
      <c r="G32" s="926">
        <f>C32/((1+G31)^5)</f>
        <v>0.84197316685852419</v>
      </c>
      <c r="H32" s="926">
        <f t="shared" ref="H32:N32" si="5">G32/((1+H31)^5)</f>
        <v>0.70891881370977217</v>
      </c>
      <c r="I32" s="926">
        <f t="shared" si="5"/>
        <v>0.59689061862480497</v>
      </c>
      <c r="J32" s="926">
        <f t="shared" si="5"/>
        <v>0.50256588443167061</v>
      </c>
      <c r="K32" s="926">
        <f t="shared" si="5"/>
        <v>0.42314698926998878</v>
      </c>
      <c r="L32" s="926">
        <f t="shared" si="5"/>
        <v>0.35627841060230242</v>
      </c>
      <c r="M32" s="926">
        <f>L32/((1+M31)^5)</f>
        <v>0.30732888667197417</v>
      </c>
      <c r="N32" s="926">
        <f t="shared" si="5"/>
        <v>0.26510459733825015</v>
      </c>
      <c r="O32" s="916"/>
    </row>
    <row r="35" spans="2:14" ht="18">
      <c r="B35" s="925" t="s">
        <v>679</v>
      </c>
      <c r="C35" s="924"/>
      <c r="D35" s="924"/>
      <c r="E35" s="924"/>
      <c r="F35" s="924"/>
      <c r="G35" s="1755" t="s">
        <v>449</v>
      </c>
      <c r="H35" s="1755"/>
      <c r="I35" s="1755" t="s">
        <v>752</v>
      </c>
      <c r="J35" s="1755"/>
      <c r="K35" s="1755" t="s">
        <v>450</v>
      </c>
      <c r="L35" s="1755"/>
    </row>
    <row r="36" spans="2:14" ht="6" customHeight="1">
      <c r="C36" s="924"/>
      <c r="D36" s="924"/>
      <c r="E36" s="924"/>
      <c r="F36" s="924"/>
      <c r="G36" s="1755"/>
      <c r="H36" s="1755"/>
    </row>
    <row r="37" spans="2:14">
      <c r="B37" s="923" t="s">
        <v>110</v>
      </c>
      <c r="C37" s="922"/>
      <c r="D37" s="922"/>
      <c r="E37" s="922"/>
      <c r="F37" s="922"/>
      <c r="G37" s="921" t="s">
        <v>657</v>
      </c>
      <c r="H37" s="920" t="s">
        <v>615</v>
      </c>
      <c r="I37" s="921" t="s">
        <v>657</v>
      </c>
      <c r="J37" s="920" t="s">
        <v>615</v>
      </c>
      <c r="K37" s="921" t="s">
        <v>657</v>
      </c>
      <c r="L37" s="920" t="s">
        <v>615</v>
      </c>
    </row>
    <row r="38" spans="2:14">
      <c r="B38" s="916"/>
      <c r="C38" s="915"/>
      <c r="D38" s="915"/>
      <c r="E38" s="915"/>
      <c r="F38" s="915"/>
      <c r="G38" s="919"/>
      <c r="H38" s="918"/>
      <c r="I38" s="919"/>
      <c r="J38" s="918"/>
      <c r="K38" s="919"/>
      <c r="L38" s="918"/>
      <c r="N38" s="902" t="s">
        <v>191</v>
      </c>
    </row>
    <row r="39" spans="2:14">
      <c r="B39" s="916"/>
      <c r="C39" s="917"/>
      <c r="D39" s="917"/>
      <c r="E39" s="917"/>
      <c r="F39" s="917"/>
      <c r="G39" s="914">
        <v>0</v>
      </c>
      <c r="H39" s="913">
        <v>5</v>
      </c>
      <c r="I39" s="914">
        <v>7.0000000000000007E-2</v>
      </c>
      <c r="J39" s="913">
        <v>15</v>
      </c>
      <c r="K39" s="914">
        <v>0.1</v>
      </c>
      <c r="L39" s="913">
        <v>15</v>
      </c>
      <c r="N39" s="902" t="s">
        <v>753</v>
      </c>
    </row>
    <row r="40" spans="2:14">
      <c r="B40" s="916"/>
      <c r="C40" s="915"/>
      <c r="D40" s="915"/>
      <c r="E40" s="915"/>
      <c r="F40" s="915"/>
      <c r="G40" s="914"/>
      <c r="H40" s="913"/>
      <c r="I40" s="914"/>
      <c r="J40" s="913"/>
      <c r="K40" s="914"/>
      <c r="L40" s="913"/>
    </row>
    <row r="41" spans="2:14">
      <c r="B41" s="912" t="s">
        <v>244</v>
      </c>
      <c r="C41" s="915"/>
      <c r="D41" s="911"/>
      <c r="E41" s="911"/>
      <c r="F41" s="911"/>
      <c r="G41" s="910">
        <v>0</v>
      </c>
      <c r="H41" s="909">
        <v>20</v>
      </c>
      <c r="I41" s="910">
        <v>7.0000000000000007E-2</v>
      </c>
      <c r="J41" s="909">
        <v>20</v>
      </c>
      <c r="K41" s="910">
        <v>0.1</v>
      </c>
      <c r="L41" s="909">
        <v>20</v>
      </c>
    </row>
    <row r="42" spans="2:14">
      <c r="B42" s="912" t="s">
        <v>273</v>
      </c>
      <c r="C42" s="915"/>
      <c r="D42" s="911"/>
      <c r="E42" s="911"/>
      <c r="F42" s="911"/>
      <c r="G42" s="910">
        <v>0</v>
      </c>
      <c r="H42" s="909">
        <v>30</v>
      </c>
      <c r="I42" s="910">
        <v>7.0000000000000007E-2</v>
      </c>
      <c r="J42" s="909">
        <v>30</v>
      </c>
      <c r="K42" s="910">
        <v>0.1</v>
      </c>
      <c r="L42" s="909">
        <v>30</v>
      </c>
    </row>
    <row r="43" spans="2:14">
      <c r="B43" s="912" t="s">
        <v>252</v>
      </c>
      <c r="C43" s="915"/>
      <c r="D43" s="911"/>
      <c r="E43" s="911"/>
      <c r="F43" s="911"/>
      <c r="G43" s="910">
        <v>0</v>
      </c>
      <c r="H43" s="909">
        <v>30</v>
      </c>
      <c r="I43" s="910">
        <v>7.0000000000000007E-2</v>
      </c>
      <c r="J43" s="909">
        <v>30</v>
      </c>
      <c r="K43" s="910">
        <v>0.1</v>
      </c>
      <c r="L43" s="909">
        <v>30</v>
      </c>
    </row>
    <row r="44" spans="2:14">
      <c r="B44" s="912" t="s">
        <v>443</v>
      </c>
      <c r="C44" s="915"/>
      <c r="D44" s="911"/>
      <c r="E44" s="911"/>
      <c r="F44" s="911"/>
      <c r="G44" s="910">
        <v>0</v>
      </c>
      <c r="H44" s="909">
        <v>20</v>
      </c>
      <c r="I44" s="910">
        <v>7.0000000000000007E-2</v>
      </c>
      <c r="J44" s="909">
        <v>20</v>
      </c>
      <c r="K44" s="910">
        <v>0.1</v>
      </c>
      <c r="L44" s="909">
        <v>20</v>
      </c>
    </row>
    <row r="45" spans="2:14">
      <c r="B45" s="912" t="s">
        <v>444</v>
      </c>
      <c r="C45" s="915"/>
      <c r="D45" s="911"/>
      <c r="E45" s="911"/>
      <c r="F45" s="911"/>
      <c r="G45" s="910">
        <v>0</v>
      </c>
      <c r="H45" s="909">
        <v>20</v>
      </c>
      <c r="I45" s="910">
        <v>7.0000000000000007E-2</v>
      </c>
      <c r="J45" s="909">
        <v>20</v>
      </c>
      <c r="K45" s="910">
        <v>0.1</v>
      </c>
      <c r="L45" s="909">
        <v>20</v>
      </c>
    </row>
    <row r="46" spans="2:14">
      <c r="B46" s="912" t="s">
        <v>260</v>
      </c>
      <c r="C46" s="915"/>
      <c r="D46" s="911"/>
      <c r="E46" s="911"/>
      <c r="F46" s="911"/>
      <c r="G46" s="910">
        <v>0</v>
      </c>
      <c r="H46" s="909">
        <v>30</v>
      </c>
      <c r="I46" s="910">
        <v>7.0000000000000007E-2</v>
      </c>
      <c r="J46" s="909">
        <v>30</v>
      </c>
      <c r="K46" s="910">
        <v>0.1</v>
      </c>
      <c r="L46" s="909">
        <v>30</v>
      </c>
    </row>
    <row r="47" spans="2:14">
      <c r="B47" s="912" t="s">
        <v>262</v>
      </c>
      <c r="C47" s="915"/>
      <c r="D47" s="911"/>
      <c r="E47" s="911"/>
      <c r="F47" s="911"/>
      <c r="G47" s="910">
        <v>0</v>
      </c>
      <c r="H47" s="909">
        <v>30</v>
      </c>
      <c r="I47" s="910">
        <v>7.0000000000000007E-2</v>
      </c>
      <c r="J47" s="909">
        <v>30</v>
      </c>
      <c r="K47" s="910">
        <v>0.1</v>
      </c>
      <c r="L47" s="909">
        <v>30</v>
      </c>
    </row>
    <row r="48" spans="2:14">
      <c r="B48" s="912" t="s">
        <v>263</v>
      </c>
      <c r="C48" s="915"/>
      <c r="D48" s="911"/>
      <c r="E48" s="911"/>
      <c r="F48" s="911"/>
      <c r="G48" s="910">
        <v>0</v>
      </c>
      <c r="H48" s="909">
        <v>25</v>
      </c>
      <c r="I48" s="910">
        <v>7.0000000000000007E-2</v>
      </c>
      <c r="J48" s="909">
        <v>25</v>
      </c>
      <c r="K48" s="910">
        <v>0.1</v>
      </c>
      <c r="L48" s="909">
        <v>25</v>
      </c>
    </row>
    <row r="49" spans="2:12">
      <c r="B49" s="912" t="s">
        <v>313</v>
      </c>
      <c r="C49" s="915"/>
      <c r="D49" s="911"/>
      <c r="E49" s="911"/>
      <c r="F49" s="911"/>
      <c r="G49" s="910">
        <v>0</v>
      </c>
      <c r="H49" s="909">
        <v>25</v>
      </c>
      <c r="I49" s="910">
        <v>7.0000000000000007E-2</v>
      </c>
      <c r="J49" s="909">
        <v>25</v>
      </c>
      <c r="K49" s="910">
        <v>0.1</v>
      </c>
      <c r="L49" s="909">
        <v>25</v>
      </c>
    </row>
    <row r="50" spans="2:12">
      <c r="B50" s="912" t="s">
        <v>386</v>
      </c>
      <c r="C50" s="915"/>
      <c r="D50" s="911"/>
      <c r="E50" s="911"/>
      <c r="F50" s="911"/>
      <c r="G50" s="910">
        <v>0</v>
      </c>
      <c r="H50" s="909">
        <v>20</v>
      </c>
      <c r="I50" s="910">
        <v>7.0000000000000007E-2</v>
      </c>
      <c r="J50" s="909">
        <v>20</v>
      </c>
      <c r="K50" s="910">
        <v>0.1</v>
      </c>
      <c r="L50" s="909">
        <v>20</v>
      </c>
    </row>
    <row r="51" spans="2:12">
      <c r="B51" s="912" t="s">
        <v>435</v>
      </c>
      <c r="C51" s="915"/>
      <c r="D51" s="911"/>
      <c r="E51" s="911"/>
      <c r="F51" s="911"/>
      <c r="G51" s="910">
        <v>0</v>
      </c>
      <c r="H51" s="909">
        <v>25</v>
      </c>
      <c r="I51" s="910">
        <v>7.0000000000000007E-2</v>
      </c>
      <c r="J51" s="909">
        <v>25</v>
      </c>
      <c r="K51" s="910">
        <v>0.1</v>
      </c>
      <c r="L51" s="909">
        <v>25</v>
      </c>
    </row>
    <row r="52" spans="2:12">
      <c r="B52" s="912" t="s">
        <v>307</v>
      </c>
      <c r="C52" s="915"/>
      <c r="D52" s="911"/>
      <c r="E52" s="911"/>
      <c r="F52" s="911"/>
      <c r="G52" s="910">
        <v>0</v>
      </c>
      <c r="H52" s="909">
        <v>30</v>
      </c>
      <c r="I52" s="910">
        <v>7.0000000000000007E-2</v>
      </c>
      <c r="J52" s="909">
        <v>30</v>
      </c>
      <c r="K52" s="910">
        <v>0.1</v>
      </c>
      <c r="L52" s="909">
        <v>30</v>
      </c>
    </row>
    <row r="53" spans="2:12">
      <c r="B53" s="912"/>
      <c r="C53" s="915"/>
      <c r="D53" s="911"/>
      <c r="E53" s="911"/>
      <c r="F53" s="911"/>
      <c r="G53" s="910"/>
      <c r="H53" s="909"/>
      <c r="I53" s="910"/>
      <c r="J53" s="909"/>
      <c r="K53" s="910"/>
      <c r="L53" s="909"/>
    </row>
    <row r="54" spans="2:12">
      <c r="B54" s="912"/>
      <c r="C54" s="915"/>
      <c r="D54" s="911"/>
      <c r="E54" s="911"/>
      <c r="F54" s="911"/>
      <c r="G54" s="910"/>
      <c r="H54" s="909"/>
      <c r="I54" s="910"/>
      <c r="J54" s="909"/>
      <c r="K54" s="910"/>
      <c r="L54" s="909"/>
    </row>
    <row r="55" spans="2:12">
      <c r="B55" s="912"/>
      <c r="C55" s="915"/>
      <c r="D55" s="911"/>
      <c r="E55" s="911"/>
      <c r="F55" s="911"/>
      <c r="G55" s="910"/>
      <c r="H55" s="909"/>
      <c r="I55" s="910"/>
      <c r="J55" s="909"/>
      <c r="K55" s="910"/>
      <c r="L55" s="909"/>
    </row>
    <row r="56" spans="2:12">
      <c r="B56" s="912" t="s">
        <v>703</v>
      </c>
      <c r="C56" s="915"/>
      <c r="D56" s="911"/>
      <c r="E56" s="911"/>
      <c r="F56" s="911"/>
      <c r="G56" s="910">
        <v>0</v>
      </c>
      <c r="H56" s="909">
        <v>15</v>
      </c>
      <c r="I56" s="910">
        <v>7.0000000000000007E-2</v>
      </c>
      <c r="J56" s="909">
        <v>15</v>
      </c>
      <c r="K56" s="910">
        <v>0.1</v>
      </c>
      <c r="L56" s="909">
        <v>15</v>
      </c>
    </row>
    <row r="57" spans="2:12">
      <c r="B57" s="912" t="s">
        <v>704</v>
      </c>
      <c r="C57" s="915"/>
      <c r="D57" s="911"/>
      <c r="E57" s="911"/>
      <c r="F57" s="911"/>
      <c r="G57" s="910">
        <v>0</v>
      </c>
      <c r="H57" s="909">
        <v>15</v>
      </c>
      <c r="I57" s="910">
        <v>7.0000000000000007E-2</v>
      </c>
      <c r="J57" s="909">
        <v>15</v>
      </c>
      <c r="K57" s="910">
        <v>0.1</v>
      </c>
      <c r="L57" s="909">
        <v>15</v>
      </c>
    </row>
    <row r="58" spans="2:12">
      <c r="B58" s="912"/>
      <c r="C58" s="915"/>
      <c r="D58" s="911"/>
      <c r="E58" s="911"/>
      <c r="F58" s="911"/>
      <c r="G58" s="910"/>
      <c r="H58" s="909"/>
      <c r="I58" s="910"/>
      <c r="J58" s="909"/>
      <c r="K58" s="910"/>
      <c r="L58" s="909"/>
    </row>
    <row r="59" spans="2:12">
      <c r="B59" s="912"/>
      <c r="C59" s="915"/>
      <c r="D59" s="911"/>
      <c r="E59" s="911"/>
      <c r="F59" s="911"/>
      <c r="G59" s="910"/>
      <c r="H59" s="909"/>
      <c r="I59" s="910"/>
      <c r="J59" s="909"/>
      <c r="K59" s="910"/>
      <c r="L59" s="909"/>
    </row>
    <row r="60" spans="2:12">
      <c r="B60" s="912"/>
      <c r="C60" s="915"/>
      <c r="D60" s="911"/>
      <c r="E60" s="911"/>
      <c r="F60" s="911"/>
      <c r="G60" s="910"/>
      <c r="H60" s="909"/>
      <c r="I60" s="910"/>
      <c r="J60" s="909"/>
      <c r="K60" s="910"/>
      <c r="L60" s="909"/>
    </row>
    <row r="61" spans="2:12">
      <c r="B61" s="912" t="s">
        <v>256</v>
      </c>
      <c r="C61" s="915"/>
      <c r="D61" s="911"/>
      <c r="E61" s="911"/>
      <c r="F61" s="911"/>
      <c r="G61" s="910">
        <v>0</v>
      </c>
      <c r="H61" s="909">
        <v>20</v>
      </c>
      <c r="I61" s="910">
        <v>7.0000000000000007E-2</v>
      </c>
      <c r="J61" s="909">
        <v>20</v>
      </c>
      <c r="K61" s="910">
        <v>0.1</v>
      </c>
      <c r="L61" s="909">
        <v>20</v>
      </c>
    </row>
    <row r="62" spans="2:12">
      <c r="B62" s="912" t="s">
        <v>258</v>
      </c>
      <c r="C62" s="915"/>
      <c r="D62" s="911"/>
      <c r="E62" s="911"/>
      <c r="F62" s="911"/>
      <c r="G62" s="910">
        <v>0</v>
      </c>
      <c r="H62" s="909">
        <v>15</v>
      </c>
      <c r="I62" s="910">
        <v>7.0000000000000007E-2</v>
      </c>
      <c r="J62" s="909">
        <v>15</v>
      </c>
      <c r="K62" s="910">
        <v>0.1</v>
      </c>
      <c r="L62" s="909">
        <v>15</v>
      </c>
    </row>
    <row r="63" spans="2:12">
      <c r="B63" s="912" t="s">
        <v>314</v>
      </c>
      <c r="C63" s="915"/>
      <c r="D63" s="911"/>
      <c r="E63" s="911"/>
      <c r="F63" s="911"/>
      <c r="G63" s="910">
        <v>0</v>
      </c>
      <c r="H63" s="909">
        <v>25</v>
      </c>
      <c r="I63" s="910">
        <v>7.0000000000000007E-2</v>
      </c>
      <c r="J63" s="909">
        <v>25</v>
      </c>
      <c r="K63" s="910">
        <v>0.1</v>
      </c>
      <c r="L63" s="909">
        <v>25</v>
      </c>
    </row>
    <row r="64" spans="2:12">
      <c r="B64" s="912" t="s">
        <v>693</v>
      </c>
      <c r="C64" s="915"/>
      <c r="D64" s="911"/>
      <c r="E64" s="911"/>
      <c r="F64" s="911"/>
      <c r="G64" s="910">
        <v>0</v>
      </c>
      <c r="H64" s="909">
        <v>15</v>
      </c>
      <c r="I64" s="910">
        <v>7.0000000000000007E-2</v>
      </c>
      <c r="J64" s="909">
        <v>15</v>
      </c>
      <c r="K64" s="910">
        <v>0.1</v>
      </c>
      <c r="L64" s="909">
        <v>15</v>
      </c>
    </row>
    <row r="65" spans="2:12">
      <c r="B65" s="912" t="s">
        <v>694</v>
      </c>
      <c r="C65" s="915"/>
      <c r="D65" s="911"/>
      <c r="E65" s="911"/>
      <c r="F65" s="911"/>
      <c r="G65" s="910">
        <v>0</v>
      </c>
      <c r="H65" s="909">
        <v>30</v>
      </c>
      <c r="I65" s="910">
        <v>7.0000000000000007E-2</v>
      </c>
      <c r="J65" s="909">
        <v>30</v>
      </c>
      <c r="K65" s="910">
        <v>0.1</v>
      </c>
      <c r="L65" s="909">
        <v>30</v>
      </c>
    </row>
    <row r="66" spans="2:12">
      <c r="B66" s="912" t="s">
        <v>297</v>
      </c>
      <c r="C66" s="915"/>
      <c r="D66" s="911"/>
      <c r="E66" s="911"/>
      <c r="F66" s="911"/>
      <c r="G66" s="910">
        <v>0</v>
      </c>
      <c r="H66" s="909">
        <v>15</v>
      </c>
      <c r="I66" s="910">
        <v>7.0000000000000007E-2</v>
      </c>
      <c r="J66" s="909">
        <v>15</v>
      </c>
      <c r="K66" s="910">
        <v>0.1</v>
      </c>
      <c r="L66" s="909">
        <v>15</v>
      </c>
    </row>
    <row r="67" spans="2:12">
      <c r="B67" s="912" t="s">
        <v>298</v>
      </c>
      <c r="C67" s="915"/>
      <c r="D67" s="911"/>
      <c r="E67" s="911"/>
      <c r="F67" s="911"/>
      <c r="G67" s="910">
        <v>0</v>
      </c>
      <c r="H67" s="909">
        <v>15</v>
      </c>
      <c r="I67" s="910">
        <v>7.0000000000000007E-2</v>
      </c>
      <c r="J67" s="909">
        <v>15</v>
      </c>
      <c r="K67" s="910">
        <v>0.1</v>
      </c>
      <c r="L67" s="909">
        <v>15</v>
      </c>
    </row>
    <row r="68" spans="2:12">
      <c r="B68" s="912"/>
      <c r="C68" s="915"/>
      <c r="D68" s="911"/>
      <c r="E68" s="911"/>
      <c r="F68" s="911"/>
      <c r="G68" s="910"/>
      <c r="H68" s="909"/>
      <c r="I68" s="910"/>
      <c r="J68" s="909"/>
      <c r="K68" s="910"/>
      <c r="L68" s="909"/>
    </row>
    <row r="69" spans="2:12">
      <c r="B69" s="912"/>
      <c r="C69" s="915"/>
      <c r="D69" s="911"/>
      <c r="E69" s="911"/>
      <c r="F69" s="911"/>
      <c r="G69" s="910"/>
      <c r="H69" s="909"/>
      <c r="I69" s="910"/>
      <c r="J69" s="909"/>
      <c r="K69" s="910"/>
      <c r="L69" s="909"/>
    </row>
    <row r="70" spans="2:12">
      <c r="B70" s="912" t="s">
        <v>695</v>
      </c>
      <c r="C70" s="915"/>
      <c r="D70" s="911"/>
      <c r="E70" s="911"/>
      <c r="F70" s="911"/>
      <c r="G70" s="910">
        <v>0</v>
      </c>
      <c r="H70" s="909">
        <v>15</v>
      </c>
      <c r="I70" s="910">
        <v>7.0000000000000007E-2</v>
      </c>
      <c r="J70" s="909">
        <v>15</v>
      </c>
      <c r="K70" s="910">
        <v>0.1</v>
      </c>
      <c r="L70" s="909">
        <v>15</v>
      </c>
    </row>
    <row r="71" spans="2:12">
      <c r="B71" s="912" t="s">
        <v>696</v>
      </c>
      <c r="C71" s="915"/>
      <c r="D71" s="911"/>
      <c r="E71" s="911"/>
      <c r="F71" s="911"/>
      <c r="G71" s="910">
        <v>0</v>
      </c>
      <c r="H71" s="909">
        <v>15</v>
      </c>
      <c r="I71" s="910">
        <v>7.0000000000000007E-2</v>
      </c>
      <c r="J71" s="909">
        <v>15</v>
      </c>
      <c r="K71" s="910">
        <v>0.1</v>
      </c>
      <c r="L71" s="909">
        <v>15</v>
      </c>
    </row>
    <row r="72" spans="2:12">
      <c r="B72" s="912" t="s">
        <v>697</v>
      </c>
      <c r="C72" s="915"/>
      <c r="D72" s="911"/>
      <c r="E72" s="911"/>
      <c r="F72" s="911"/>
      <c r="G72" s="910">
        <v>0</v>
      </c>
      <c r="H72" s="909">
        <v>15</v>
      </c>
      <c r="I72" s="910">
        <v>7.0000000000000007E-2</v>
      </c>
      <c r="J72" s="909">
        <v>15</v>
      </c>
      <c r="K72" s="910">
        <v>0.1</v>
      </c>
      <c r="L72" s="909">
        <v>15</v>
      </c>
    </row>
    <row r="73" spans="2:12">
      <c r="B73" s="912" t="s">
        <v>698</v>
      </c>
      <c r="C73" s="915"/>
      <c r="D73" s="911"/>
      <c r="E73" s="911"/>
      <c r="F73" s="911"/>
      <c r="G73" s="910">
        <v>0</v>
      </c>
      <c r="H73" s="909">
        <v>15</v>
      </c>
      <c r="I73" s="910">
        <v>7.0000000000000007E-2</v>
      </c>
      <c r="J73" s="909">
        <v>15</v>
      </c>
      <c r="K73" s="910">
        <v>0.1</v>
      </c>
      <c r="L73" s="909">
        <v>15</v>
      </c>
    </row>
    <row r="74" spans="2:12">
      <c r="B74" s="912" t="s">
        <v>705</v>
      </c>
      <c r="C74" s="915"/>
      <c r="D74" s="911"/>
      <c r="E74" s="911"/>
      <c r="F74" s="911"/>
      <c r="G74" s="910">
        <v>0</v>
      </c>
      <c r="H74" s="909">
        <v>5</v>
      </c>
      <c r="I74" s="910">
        <v>7.0000000000000007E-2</v>
      </c>
      <c r="J74" s="909">
        <v>5</v>
      </c>
      <c r="K74" s="910">
        <v>0.1</v>
      </c>
      <c r="L74" s="909">
        <v>5</v>
      </c>
    </row>
    <row r="75" spans="2:12">
      <c r="B75" s="912" t="s">
        <v>699</v>
      </c>
      <c r="C75" s="915"/>
      <c r="D75" s="911"/>
      <c r="E75" s="911"/>
      <c r="F75" s="911"/>
      <c r="G75" s="910">
        <v>0</v>
      </c>
      <c r="H75" s="909">
        <v>30</v>
      </c>
      <c r="I75" s="910">
        <v>7.0000000000000007E-2</v>
      </c>
      <c r="J75" s="909">
        <v>30</v>
      </c>
      <c r="K75" s="910">
        <v>0.1</v>
      </c>
      <c r="L75" s="909">
        <v>30</v>
      </c>
    </row>
    <row r="76" spans="2:12">
      <c r="B76" s="912" t="s">
        <v>700</v>
      </c>
      <c r="C76" s="915"/>
      <c r="D76" s="911"/>
      <c r="E76" s="911"/>
      <c r="F76" s="911"/>
      <c r="G76" s="910">
        <v>0</v>
      </c>
      <c r="H76" s="909">
        <v>30</v>
      </c>
      <c r="I76" s="910">
        <v>7.0000000000000007E-2</v>
      </c>
      <c r="J76" s="909">
        <v>30</v>
      </c>
      <c r="K76" s="910">
        <v>0.1</v>
      </c>
      <c r="L76" s="909">
        <v>30</v>
      </c>
    </row>
    <row r="77" spans="2:12">
      <c r="B77" s="912" t="s">
        <v>289</v>
      </c>
      <c r="C77" s="915"/>
      <c r="D77" s="911"/>
      <c r="E77" s="911"/>
      <c r="F77" s="911"/>
      <c r="G77" s="910">
        <v>0</v>
      </c>
      <c r="H77" s="909">
        <v>10</v>
      </c>
      <c r="I77" s="910">
        <v>7.0000000000000007E-2</v>
      </c>
      <c r="J77" s="909">
        <v>10</v>
      </c>
      <c r="K77" s="910">
        <v>0.1</v>
      </c>
      <c r="L77" s="909">
        <v>10</v>
      </c>
    </row>
    <row r="78" spans="2:12">
      <c r="B78" s="912" t="s">
        <v>290</v>
      </c>
      <c r="C78" s="915"/>
      <c r="D78" s="911"/>
      <c r="E78" s="911"/>
      <c r="F78" s="911"/>
      <c r="G78" s="910">
        <v>0</v>
      </c>
      <c r="H78" s="909">
        <v>15</v>
      </c>
      <c r="I78" s="910">
        <v>7.0000000000000007E-2</v>
      </c>
      <c r="J78" s="909">
        <v>15</v>
      </c>
      <c r="K78" s="910">
        <v>0.1</v>
      </c>
      <c r="L78" s="909">
        <v>15</v>
      </c>
    </row>
    <row r="79" spans="2:12">
      <c r="B79" s="912" t="s">
        <v>304</v>
      </c>
      <c r="C79" s="915"/>
      <c r="D79" s="911"/>
      <c r="E79" s="911"/>
      <c r="F79" s="911"/>
      <c r="G79" s="910">
        <v>0</v>
      </c>
      <c r="H79" s="909">
        <v>15</v>
      </c>
      <c r="I79" s="910">
        <v>7.0000000000000007E-2</v>
      </c>
      <c r="J79" s="909">
        <v>15</v>
      </c>
      <c r="K79" s="910">
        <v>0.1</v>
      </c>
      <c r="L79" s="909">
        <v>15</v>
      </c>
    </row>
    <row r="80" spans="2:12">
      <c r="B80" s="912"/>
      <c r="C80" s="915"/>
      <c r="D80" s="911"/>
      <c r="E80" s="911"/>
      <c r="F80" s="911"/>
      <c r="G80" s="910"/>
      <c r="H80" s="909"/>
      <c r="I80" s="910"/>
      <c r="J80" s="909"/>
      <c r="K80" s="910"/>
      <c r="L80" s="909"/>
    </row>
    <row r="81" spans="2:12">
      <c r="B81" s="912" t="s">
        <v>312</v>
      </c>
      <c r="C81" s="915"/>
      <c r="D81" s="911"/>
      <c r="E81" s="911"/>
      <c r="F81" s="911"/>
      <c r="G81" s="910">
        <v>0</v>
      </c>
      <c r="H81" s="909">
        <v>15</v>
      </c>
      <c r="I81" s="910">
        <v>7.0000000000000007E-2</v>
      </c>
      <c r="J81" s="909">
        <v>15</v>
      </c>
      <c r="K81" s="910">
        <v>0.1</v>
      </c>
      <c r="L81" s="909">
        <v>15</v>
      </c>
    </row>
    <row r="82" spans="2:12">
      <c r="B82" s="912"/>
      <c r="C82" s="915"/>
      <c r="D82" s="911"/>
      <c r="E82" s="911"/>
      <c r="F82" s="911"/>
      <c r="G82" s="910"/>
      <c r="H82" s="909"/>
      <c r="I82" s="910"/>
      <c r="J82" s="909"/>
      <c r="K82" s="910"/>
      <c r="L82" s="909"/>
    </row>
    <row r="83" spans="2:12">
      <c r="B83" s="912"/>
      <c r="C83" s="915"/>
      <c r="D83" s="911"/>
      <c r="E83" s="911"/>
      <c r="F83" s="911"/>
      <c r="G83" s="910"/>
      <c r="H83" s="909"/>
      <c r="I83" s="910"/>
      <c r="J83" s="909"/>
      <c r="K83" s="910"/>
      <c r="L83" s="909"/>
    </row>
    <row r="84" spans="2:12">
      <c r="B84" s="912"/>
      <c r="C84" s="915"/>
      <c r="D84" s="911"/>
      <c r="E84" s="911"/>
      <c r="F84" s="911"/>
      <c r="G84" s="910"/>
      <c r="H84" s="909"/>
      <c r="I84" s="910"/>
      <c r="J84" s="909"/>
      <c r="K84" s="910"/>
      <c r="L84" s="909"/>
    </row>
    <row r="85" spans="2:12">
      <c r="B85" s="912" t="s">
        <v>326</v>
      </c>
      <c r="C85" s="915"/>
      <c r="D85" s="911"/>
      <c r="E85" s="911"/>
      <c r="F85" s="911"/>
      <c r="G85" s="910">
        <v>0</v>
      </c>
      <c r="H85" s="909">
        <v>15</v>
      </c>
      <c r="I85" s="910">
        <v>7.0000000000000007E-2</v>
      </c>
      <c r="J85" s="909">
        <v>15</v>
      </c>
      <c r="K85" s="910">
        <v>0.1</v>
      </c>
      <c r="L85" s="909">
        <v>15</v>
      </c>
    </row>
    <row r="86" spans="2:12">
      <c r="B86" s="912"/>
      <c r="C86" s="915"/>
      <c r="D86" s="911"/>
      <c r="E86" s="911"/>
      <c r="F86" s="911"/>
      <c r="G86" s="910"/>
      <c r="H86" s="909"/>
      <c r="I86" s="910"/>
      <c r="J86" s="909"/>
      <c r="K86" s="910"/>
      <c r="L86" s="909"/>
    </row>
    <row r="87" spans="2:12">
      <c r="B87" s="912"/>
      <c r="C87" s="915"/>
      <c r="D87" s="911"/>
      <c r="E87" s="911"/>
      <c r="F87" s="911"/>
      <c r="G87" s="910"/>
      <c r="H87" s="909"/>
      <c r="I87" s="910"/>
      <c r="J87" s="909"/>
      <c r="K87" s="910"/>
      <c r="L87" s="909"/>
    </row>
    <row r="88" spans="2:12">
      <c r="B88" s="912"/>
      <c r="C88" s="915"/>
      <c r="D88" s="911"/>
      <c r="E88" s="911"/>
      <c r="F88" s="911"/>
      <c r="G88" s="910"/>
      <c r="H88" s="909"/>
      <c r="I88" s="910"/>
      <c r="J88" s="909"/>
      <c r="K88" s="910"/>
      <c r="L88" s="909"/>
    </row>
    <row r="89" spans="2:12">
      <c r="B89" s="912" t="s">
        <v>392</v>
      </c>
      <c r="C89" s="915"/>
      <c r="D89" s="911"/>
      <c r="E89" s="911"/>
      <c r="F89" s="911"/>
      <c r="G89" s="910">
        <v>0</v>
      </c>
      <c r="H89" s="909">
        <v>15</v>
      </c>
      <c r="I89" s="910">
        <v>7.0000000000000007E-2</v>
      </c>
      <c r="J89" s="909">
        <v>15</v>
      </c>
      <c r="K89" s="910">
        <v>0.1</v>
      </c>
      <c r="L89" s="909">
        <v>15</v>
      </c>
    </row>
    <row r="90" spans="2:12">
      <c r="B90" s="908" t="s">
        <v>733</v>
      </c>
      <c r="C90" s="907"/>
      <c r="D90" s="906"/>
      <c r="E90" s="906"/>
      <c r="F90" s="906"/>
      <c r="G90" s="905">
        <v>0</v>
      </c>
      <c r="H90" s="904">
        <v>15</v>
      </c>
      <c r="I90" s="905">
        <v>7.0000000000000007E-2</v>
      </c>
      <c r="J90" s="904">
        <v>15</v>
      </c>
      <c r="K90" s="905">
        <v>0.1</v>
      </c>
      <c r="L90" s="904">
        <v>15</v>
      </c>
    </row>
    <row r="91" spans="2:12">
      <c r="B91" s="903" t="s">
        <v>701</v>
      </c>
    </row>
    <row r="94" spans="2:12">
      <c r="B94" s="1084"/>
    </row>
    <row r="95" spans="2:12">
      <c r="B95" s="1084"/>
      <c r="C95" s="967"/>
    </row>
    <row r="98" spans="2:12">
      <c r="C98" s="1253"/>
      <c r="D98" s="1253"/>
      <c r="E98" s="1253"/>
      <c r="F98" s="1253"/>
      <c r="G98" s="1253"/>
      <c r="H98" s="1253"/>
      <c r="I98" s="1253"/>
      <c r="J98" s="1253"/>
      <c r="K98" s="1253"/>
      <c r="L98" s="1253"/>
    </row>
    <row r="99" spans="2:12">
      <c r="B99" s="1084"/>
    </row>
    <row r="100" spans="2:12">
      <c r="C100" s="1253"/>
      <c r="D100" s="1253"/>
      <c r="E100" s="1253"/>
      <c r="F100" s="1253"/>
      <c r="G100" s="1253"/>
      <c r="H100" s="1253"/>
      <c r="I100" s="1253"/>
      <c r="J100" s="1253"/>
      <c r="K100" s="1253"/>
      <c r="L100" s="1253"/>
    </row>
    <row r="101" spans="2:12">
      <c r="C101" s="1253"/>
      <c r="D101" s="1253"/>
      <c r="E101" s="1253"/>
      <c r="F101" s="1253"/>
      <c r="G101" s="1253"/>
      <c r="H101" s="1253"/>
      <c r="I101" s="1253"/>
      <c r="J101" s="1253"/>
      <c r="K101" s="1253"/>
      <c r="L101" s="1253"/>
    </row>
    <row r="102" spans="2:12">
      <c r="C102" s="1253"/>
      <c r="D102" s="1253"/>
      <c r="E102" s="1253"/>
      <c r="F102" s="1253"/>
      <c r="G102" s="1253"/>
      <c r="H102" s="1253"/>
      <c r="I102" s="1253"/>
      <c r="J102" s="1253"/>
      <c r="K102" s="1253"/>
      <c r="L102" s="1253"/>
    </row>
  </sheetData>
  <mergeCells count="4">
    <mergeCell ref="G36:H36"/>
    <mergeCell ref="G35:H35"/>
    <mergeCell ref="I35:J35"/>
    <mergeCell ref="K35:L35"/>
  </mergeCells>
  <pageMargins left="0.7" right="0.7" top="0.75" bottom="0.75" header="0.3" footer="0.3"/>
  <pageSetup paperSize="9" orientation="portrait" horizontalDpi="4294967292" verticalDpi="4294967292"/>
  <extLst>
    <ext xmlns:mx="http://schemas.microsoft.com/office/mac/excel/2008/main" uri="{64002731-A6B0-56B0-2670-7721B7C09600}">
      <mx:PLV Mode="0" OnePage="0" WScale="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theme="7"/>
  </sheetPr>
  <dimension ref="A2:AN202"/>
  <sheetViews>
    <sheetView workbookViewId="0">
      <pane xSplit="6" ySplit="4" topLeftCell="G148" activePane="bottomRight" state="frozen"/>
      <selection pane="topRight" activeCell="G1" sqref="G1"/>
      <selection pane="bottomLeft" activeCell="A5" sqref="A5"/>
      <selection pane="bottomRight" activeCell="I200" sqref="I200:AM200"/>
    </sheetView>
    <sheetView workbookViewId="1"/>
  </sheetViews>
  <sheetFormatPr baseColWidth="10" defaultColWidth="8.83203125" defaultRowHeight="13" x14ac:dyDescent="0"/>
  <cols>
    <col min="1" max="1" width="8.83203125" style="1601"/>
    <col min="2" max="2" width="30.6640625" style="1601" customWidth="1"/>
    <col min="3" max="257" width="8.83203125" style="1601"/>
    <col min="258" max="258" width="30.6640625" style="1601" customWidth="1"/>
    <col min="259" max="513" width="8.83203125" style="1601"/>
    <col min="514" max="514" width="30.6640625" style="1601" customWidth="1"/>
    <col min="515" max="769" width="8.83203125" style="1601"/>
    <col min="770" max="770" width="30.6640625" style="1601" customWidth="1"/>
    <col min="771" max="1025" width="8.83203125" style="1601"/>
    <col min="1026" max="1026" width="30.6640625" style="1601" customWidth="1"/>
    <col min="1027" max="1281" width="8.83203125" style="1601"/>
    <col min="1282" max="1282" width="30.6640625" style="1601" customWidth="1"/>
    <col min="1283" max="1537" width="8.83203125" style="1601"/>
    <col min="1538" max="1538" width="30.6640625" style="1601" customWidth="1"/>
    <col min="1539" max="1793" width="8.83203125" style="1601"/>
    <col min="1794" max="1794" width="30.6640625" style="1601" customWidth="1"/>
    <col min="1795" max="2049" width="8.83203125" style="1601"/>
    <col min="2050" max="2050" width="30.6640625" style="1601" customWidth="1"/>
    <col min="2051" max="2305" width="8.83203125" style="1601"/>
    <col min="2306" max="2306" width="30.6640625" style="1601" customWidth="1"/>
    <col min="2307" max="2561" width="8.83203125" style="1601"/>
    <col min="2562" max="2562" width="30.6640625" style="1601" customWidth="1"/>
    <col min="2563" max="2817" width="8.83203125" style="1601"/>
    <col min="2818" max="2818" width="30.6640625" style="1601" customWidth="1"/>
    <col min="2819" max="3073" width="8.83203125" style="1601"/>
    <col min="3074" max="3074" width="30.6640625" style="1601" customWidth="1"/>
    <col min="3075" max="3329" width="8.83203125" style="1601"/>
    <col min="3330" max="3330" width="30.6640625" style="1601" customWidth="1"/>
    <col min="3331" max="3585" width="8.83203125" style="1601"/>
    <col min="3586" max="3586" width="30.6640625" style="1601" customWidth="1"/>
    <col min="3587" max="3841" width="8.83203125" style="1601"/>
    <col min="3842" max="3842" width="30.6640625" style="1601" customWidth="1"/>
    <col min="3843" max="4097" width="8.83203125" style="1601"/>
    <col min="4098" max="4098" width="30.6640625" style="1601" customWidth="1"/>
    <col min="4099" max="4353" width="8.83203125" style="1601"/>
    <col min="4354" max="4354" width="30.6640625" style="1601" customWidth="1"/>
    <col min="4355" max="4609" width="8.83203125" style="1601"/>
    <col min="4610" max="4610" width="30.6640625" style="1601" customWidth="1"/>
    <col min="4611" max="4865" width="8.83203125" style="1601"/>
    <col min="4866" max="4866" width="30.6640625" style="1601" customWidth="1"/>
    <col min="4867" max="5121" width="8.83203125" style="1601"/>
    <col min="5122" max="5122" width="30.6640625" style="1601" customWidth="1"/>
    <col min="5123" max="5377" width="8.83203125" style="1601"/>
    <col min="5378" max="5378" width="30.6640625" style="1601" customWidth="1"/>
    <col min="5379" max="5633" width="8.83203125" style="1601"/>
    <col min="5634" max="5634" width="30.6640625" style="1601" customWidth="1"/>
    <col min="5635" max="5889" width="8.83203125" style="1601"/>
    <col min="5890" max="5890" width="30.6640625" style="1601" customWidth="1"/>
    <col min="5891" max="6145" width="8.83203125" style="1601"/>
    <col min="6146" max="6146" width="30.6640625" style="1601" customWidth="1"/>
    <col min="6147" max="6401" width="8.83203125" style="1601"/>
    <col min="6402" max="6402" width="30.6640625" style="1601" customWidth="1"/>
    <col min="6403" max="6657" width="8.83203125" style="1601"/>
    <col min="6658" max="6658" width="30.6640625" style="1601" customWidth="1"/>
    <col min="6659" max="6913" width="8.83203125" style="1601"/>
    <col min="6914" max="6914" width="30.6640625" style="1601" customWidth="1"/>
    <col min="6915" max="7169" width="8.83203125" style="1601"/>
    <col min="7170" max="7170" width="30.6640625" style="1601" customWidth="1"/>
    <col min="7171" max="7425" width="8.83203125" style="1601"/>
    <col min="7426" max="7426" width="30.6640625" style="1601" customWidth="1"/>
    <col min="7427" max="7681" width="8.83203125" style="1601"/>
    <col min="7682" max="7682" width="30.6640625" style="1601" customWidth="1"/>
    <col min="7683" max="7937" width="8.83203125" style="1601"/>
    <col min="7938" max="7938" width="30.6640625" style="1601" customWidth="1"/>
    <col min="7939" max="8193" width="8.83203125" style="1601"/>
    <col min="8194" max="8194" width="30.6640625" style="1601" customWidth="1"/>
    <col min="8195" max="8449" width="8.83203125" style="1601"/>
    <col min="8450" max="8450" width="30.6640625" style="1601" customWidth="1"/>
    <col min="8451" max="8705" width="8.83203125" style="1601"/>
    <col min="8706" max="8706" width="30.6640625" style="1601" customWidth="1"/>
    <col min="8707" max="8961" width="8.83203125" style="1601"/>
    <col min="8962" max="8962" width="30.6640625" style="1601" customWidth="1"/>
    <col min="8963" max="9217" width="8.83203125" style="1601"/>
    <col min="9218" max="9218" width="30.6640625" style="1601" customWidth="1"/>
    <col min="9219" max="9473" width="8.83203125" style="1601"/>
    <col min="9474" max="9474" width="30.6640625" style="1601" customWidth="1"/>
    <col min="9475" max="9729" width="8.83203125" style="1601"/>
    <col min="9730" max="9730" width="30.6640625" style="1601" customWidth="1"/>
    <col min="9731" max="9985" width="8.83203125" style="1601"/>
    <col min="9986" max="9986" width="30.6640625" style="1601" customWidth="1"/>
    <col min="9987" max="10241" width="8.83203125" style="1601"/>
    <col min="10242" max="10242" width="30.6640625" style="1601" customWidth="1"/>
    <col min="10243" max="10497" width="8.83203125" style="1601"/>
    <col min="10498" max="10498" width="30.6640625" style="1601" customWidth="1"/>
    <col min="10499" max="10753" width="8.83203125" style="1601"/>
    <col min="10754" max="10754" width="30.6640625" style="1601" customWidth="1"/>
    <col min="10755" max="11009" width="8.83203125" style="1601"/>
    <col min="11010" max="11010" width="30.6640625" style="1601" customWidth="1"/>
    <col min="11011" max="11265" width="8.83203125" style="1601"/>
    <col min="11266" max="11266" width="30.6640625" style="1601" customWidth="1"/>
    <col min="11267" max="11521" width="8.83203125" style="1601"/>
    <col min="11522" max="11522" width="30.6640625" style="1601" customWidth="1"/>
    <col min="11523" max="11777" width="8.83203125" style="1601"/>
    <col min="11778" max="11778" width="30.6640625" style="1601" customWidth="1"/>
    <col min="11779" max="12033" width="8.83203125" style="1601"/>
    <col min="12034" max="12034" width="30.6640625" style="1601" customWidth="1"/>
    <col min="12035" max="12289" width="8.83203125" style="1601"/>
    <col min="12290" max="12290" width="30.6640625" style="1601" customWidth="1"/>
    <col min="12291" max="12545" width="8.83203125" style="1601"/>
    <col min="12546" max="12546" width="30.6640625" style="1601" customWidth="1"/>
    <col min="12547" max="12801" width="8.83203125" style="1601"/>
    <col min="12802" max="12802" width="30.6640625" style="1601" customWidth="1"/>
    <col min="12803" max="13057" width="8.83203125" style="1601"/>
    <col min="13058" max="13058" width="30.6640625" style="1601" customWidth="1"/>
    <col min="13059" max="13313" width="8.83203125" style="1601"/>
    <col min="13314" max="13314" width="30.6640625" style="1601" customWidth="1"/>
    <col min="13315" max="13569" width="8.83203125" style="1601"/>
    <col min="13570" max="13570" width="30.6640625" style="1601" customWidth="1"/>
    <col min="13571" max="13825" width="8.83203125" style="1601"/>
    <col min="13826" max="13826" width="30.6640625" style="1601" customWidth="1"/>
    <col min="13827" max="14081" width="8.83203125" style="1601"/>
    <col min="14082" max="14082" width="30.6640625" style="1601" customWidth="1"/>
    <col min="14083" max="14337" width="8.83203125" style="1601"/>
    <col min="14338" max="14338" width="30.6640625" style="1601" customWidth="1"/>
    <col min="14339" max="14593" width="8.83203125" style="1601"/>
    <col min="14594" max="14594" width="30.6640625" style="1601" customWidth="1"/>
    <col min="14595" max="14849" width="8.83203125" style="1601"/>
    <col min="14850" max="14850" width="30.6640625" style="1601" customWidth="1"/>
    <col min="14851" max="15105" width="8.83203125" style="1601"/>
    <col min="15106" max="15106" width="30.6640625" style="1601" customWidth="1"/>
    <col min="15107" max="15361" width="8.83203125" style="1601"/>
    <col min="15362" max="15362" width="30.6640625" style="1601" customWidth="1"/>
    <col min="15363" max="15617" width="8.83203125" style="1601"/>
    <col min="15618" max="15618" width="30.6640625" style="1601" customWidth="1"/>
    <col min="15619" max="15873" width="8.83203125" style="1601"/>
    <col min="15874" max="15874" width="30.6640625" style="1601" customWidth="1"/>
    <col min="15875" max="16129" width="8.83203125" style="1601"/>
    <col min="16130" max="16130" width="30.6640625" style="1601" customWidth="1"/>
    <col min="16131" max="16384" width="8.83203125" style="1601"/>
  </cols>
  <sheetData>
    <row r="2" spans="1:40" ht="15">
      <c r="B2" s="1756" t="s">
        <v>2281</v>
      </c>
      <c r="C2" s="1756"/>
      <c r="D2" s="1756"/>
      <c r="E2" s="1756"/>
      <c r="F2" s="1756"/>
      <c r="G2" s="1756"/>
      <c r="H2" s="1756"/>
      <c r="I2" s="1756"/>
    </row>
    <row r="4" spans="1:40">
      <c r="C4" s="1601" t="s">
        <v>2282</v>
      </c>
      <c r="F4" s="1602" t="s">
        <v>1443</v>
      </c>
      <c r="G4" s="1602"/>
      <c r="H4" s="1602"/>
      <c r="I4" s="1602">
        <v>2006</v>
      </c>
      <c r="J4" s="1602">
        <v>2007</v>
      </c>
      <c r="K4" s="1602">
        <v>2008</v>
      </c>
      <c r="L4" s="1602">
        <v>2009</v>
      </c>
      <c r="M4" s="1602">
        <v>2010</v>
      </c>
      <c r="N4" s="1602">
        <v>2011</v>
      </c>
      <c r="O4" s="1602">
        <v>2012</v>
      </c>
      <c r="P4" s="1602">
        <v>2013</v>
      </c>
      <c r="Q4" s="1602">
        <v>2014</v>
      </c>
      <c r="R4" s="1602">
        <v>2015</v>
      </c>
      <c r="S4" s="1602">
        <v>2016</v>
      </c>
      <c r="T4" s="1602">
        <v>2017</v>
      </c>
      <c r="U4" s="1602">
        <v>2018</v>
      </c>
      <c r="V4" s="1602">
        <v>2019</v>
      </c>
      <c r="W4" s="1602">
        <v>2020</v>
      </c>
      <c r="X4" s="1602">
        <v>2021</v>
      </c>
      <c r="Y4" s="1602">
        <v>2022</v>
      </c>
      <c r="Z4" s="1602">
        <v>2023</v>
      </c>
      <c r="AA4" s="1602">
        <v>2024</v>
      </c>
      <c r="AB4" s="1602">
        <v>2025</v>
      </c>
      <c r="AC4" s="1602">
        <v>2026</v>
      </c>
      <c r="AD4" s="1602">
        <v>2027</v>
      </c>
      <c r="AE4" s="1602">
        <v>2028</v>
      </c>
      <c r="AF4" s="1602">
        <v>2029</v>
      </c>
      <c r="AG4" s="1602">
        <v>2030</v>
      </c>
      <c r="AH4" s="1602">
        <v>2035</v>
      </c>
      <c r="AI4" s="1602">
        <v>2040</v>
      </c>
      <c r="AJ4" s="1602">
        <v>2045</v>
      </c>
      <c r="AK4" s="1602">
        <v>2050</v>
      </c>
      <c r="AL4" s="1602">
        <v>2060</v>
      </c>
      <c r="AM4" s="1602">
        <v>2070</v>
      </c>
      <c r="AN4" s="1602"/>
    </row>
    <row r="5" spans="1:40">
      <c r="B5" s="1603" t="s">
        <v>682</v>
      </c>
      <c r="C5" s="1604">
        <v>100</v>
      </c>
      <c r="D5" s="1603"/>
      <c r="E5" s="1602" t="s">
        <v>2283</v>
      </c>
      <c r="F5" s="1603">
        <v>3.9</v>
      </c>
      <c r="G5" s="1603"/>
      <c r="H5" s="1602" t="s">
        <v>2283</v>
      </c>
      <c r="I5" s="1603">
        <v>3.9220999999999999</v>
      </c>
      <c r="J5" s="1603">
        <v>3.9759000000000002</v>
      </c>
      <c r="K5" s="1603">
        <v>3.9094000000000002</v>
      </c>
      <c r="L5" s="1603">
        <v>3.8780999999999999</v>
      </c>
      <c r="M5" s="1603">
        <v>3.8107000000000002</v>
      </c>
      <c r="N5" s="1603">
        <v>3.8378000000000001</v>
      </c>
      <c r="O5" s="1603">
        <v>3.8163999999999998</v>
      </c>
      <c r="P5" s="1603">
        <v>3.8371</v>
      </c>
      <c r="Q5" s="1603">
        <v>3.7804000000000002</v>
      </c>
      <c r="R5" s="1603">
        <v>3.8544</v>
      </c>
      <c r="S5" s="1603">
        <v>3.8418000000000001</v>
      </c>
      <c r="T5" s="1603">
        <v>3.9005000000000001</v>
      </c>
      <c r="U5" s="1603">
        <v>3.9386000000000001</v>
      </c>
      <c r="V5" s="1603">
        <v>3.9845999999999999</v>
      </c>
      <c r="W5" s="1603">
        <v>3.9584000000000001</v>
      </c>
      <c r="X5" s="1603">
        <v>3.8940999999999999</v>
      </c>
      <c r="Y5" s="1603">
        <v>3.7831000000000001</v>
      </c>
      <c r="Z5" s="1603">
        <v>3.7749999999999999</v>
      </c>
      <c r="AA5" s="1603">
        <v>3.8555000000000001</v>
      </c>
      <c r="AB5" s="1603">
        <v>3.9228999999999998</v>
      </c>
      <c r="AC5" s="1603">
        <v>3.9169999999999998</v>
      </c>
      <c r="AD5" s="1603">
        <v>3.8719999999999999</v>
      </c>
      <c r="AE5" s="1603">
        <v>3.9506000000000001</v>
      </c>
      <c r="AF5" s="1603">
        <v>4.0848000000000004</v>
      </c>
      <c r="AG5" s="1603">
        <v>4.1755000000000004</v>
      </c>
      <c r="AN5" s="1602"/>
    </row>
    <row r="6" spans="1:40">
      <c r="A6" s="1605" t="s">
        <v>1881</v>
      </c>
      <c r="B6" s="1606" t="s">
        <v>2284</v>
      </c>
      <c r="C6" s="1604">
        <v>2.7126919000919387</v>
      </c>
      <c r="D6" s="1603"/>
      <c r="E6" s="1602" t="s">
        <v>2285</v>
      </c>
      <c r="F6" s="1606">
        <v>3.6</v>
      </c>
      <c r="G6" s="1606"/>
      <c r="H6" s="1602" t="s">
        <v>2285</v>
      </c>
      <c r="I6" s="1606">
        <v>3.8858000000000001</v>
      </c>
      <c r="J6" s="1606">
        <v>3.7637</v>
      </c>
      <c r="K6" s="1606">
        <v>3.6398000000000001</v>
      </c>
      <c r="L6" s="1606">
        <v>3.5407999999999999</v>
      </c>
      <c r="M6" s="1606">
        <v>3.4765000000000001</v>
      </c>
      <c r="N6" s="1606">
        <v>3.4544999999999999</v>
      </c>
      <c r="O6" s="1606">
        <v>3.395</v>
      </c>
      <c r="P6" s="1606">
        <v>3.3771</v>
      </c>
      <c r="Q6" s="1606">
        <v>3.3856999999999999</v>
      </c>
      <c r="R6" s="1606">
        <v>3.4647999999999999</v>
      </c>
      <c r="S6" s="1606">
        <v>3.4617</v>
      </c>
      <c r="T6" s="1606">
        <v>3.5310000000000001</v>
      </c>
      <c r="U6" s="1606">
        <v>3.5724</v>
      </c>
      <c r="V6" s="1606">
        <v>3.6183000000000001</v>
      </c>
      <c r="W6" s="1606">
        <v>3.6164000000000001</v>
      </c>
      <c r="X6" s="1606">
        <v>3.5709</v>
      </c>
      <c r="Y6" s="1606">
        <v>3.5022000000000002</v>
      </c>
      <c r="Z6" s="1606">
        <v>3.5381999999999998</v>
      </c>
      <c r="AA6" s="1606">
        <v>3.6080999999999999</v>
      </c>
      <c r="AB6" s="1606">
        <v>3.6680000000000001</v>
      </c>
      <c r="AC6" s="1606">
        <v>3.6692999999999998</v>
      </c>
      <c r="AD6" s="1606">
        <v>3.6259999999999999</v>
      </c>
      <c r="AE6" s="1606">
        <v>3.7132000000000001</v>
      </c>
      <c r="AF6" s="1606">
        <v>3.8868999999999998</v>
      </c>
      <c r="AG6" s="1606">
        <v>4.0159000000000002</v>
      </c>
    </row>
    <row r="7" spans="1:40">
      <c r="A7" s="1606"/>
      <c r="B7" s="1601" t="s">
        <v>107</v>
      </c>
      <c r="C7" s="1607">
        <v>2.1961344634140749</v>
      </c>
      <c r="D7" s="1608"/>
      <c r="E7" s="1602" t="s">
        <v>2286</v>
      </c>
      <c r="F7" s="1601">
        <v>3.48</v>
      </c>
      <c r="H7" s="1602" t="s">
        <v>2286</v>
      </c>
      <c r="I7" s="1601">
        <v>3.7570000000000001</v>
      </c>
      <c r="J7" s="1601">
        <v>3.6594000000000002</v>
      </c>
      <c r="K7" s="1601">
        <v>3.5327000000000002</v>
      </c>
      <c r="L7" s="1601">
        <v>3.4279999999999999</v>
      </c>
      <c r="M7" s="1601">
        <v>3.3622999999999998</v>
      </c>
      <c r="N7" s="1601">
        <v>3.3338999999999999</v>
      </c>
      <c r="O7" s="1601">
        <v>3.2722000000000002</v>
      </c>
      <c r="P7" s="1601">
        <v>3.2504</v>
      </c>
      <c r="Q7" s="1601">
        <v>3.2643</v>
      </c>
      <c r="R7" s="1601">
        <v>3.3389000000000002</v>
      </c>
      <c r="S7" s="1601">
        <v>3.3376000000000001</v>
      </c>
      <c r="T7" s="1601">
        <v>3.4024000000000001</v>
      </c>
      <c r="U7" s="1601">
        <v>3.4419</v>
      </c>
      <c r="V7" s="1601">
        <v>3.4851000000000001</v>
      </c>
      <c r="W7" s="1601">
        <v>3.4876</v>
      </c>
      <c r="X7" s="1601">
        <v>3.4493999999999998</v>
      </c>
      <c r="Y7" s="1601">
        <v>3.3913000000000002</v>
      </c>
      <c r="Z7" s="1601">
        <v>3.4277000000000002</v>
      </c>
      <c r="AA7" s="1601">
        <v>3.4878</v>
      </c>
      <c r="AB7" s="1601">
        <v>3.54</v>
      </c>
      <c r="AC7" s="1601">
        <v>3.5426000000000002</v>
      </c>
      <c r="AD7" s="1601">
        <v>3.5043000000000002</v>
      </c>
      <c r="AE7" s="1601">
        <v>3.5834000000000001</v>
      </c>
      <c r="AF7" s="1601">
        <v>3.7458999999999998</v>
      </c>
      <c r="AG7" s="1601">
        <v>3.8692000000000002</v>
      </c>
    </row>
    <row r="8" spans="1:40">
      <c r="A8" s="1606"/>
      <c r="B8" s="1601" t="s">
        <v>2287</v>
      </c>
      <c r="C8" s="1607">
        <v>7.9343402863957535E-6</v>
      </c>
      <c r="D8" s="1608"/>
      <c r="E8" s="1602" t="s">
        <v>2288</v>
      </c>
      <c r="F8" s="1601">
        <v>4.8499999999999996</v>
      </c>
      <c r="H8" s="1602" t="s">
        <v>2288</v>
      </c>
      <c r="I8" s="1601">
        <v>5.1909000000000001</v>
      </c>
      <c r="J8" s="1601">
        <v>4.6459000000000001</v>
      </c>
      <c r="K8" s="1601">
        <v>4.8178999999999998</v>
      </c>
      <c r="L8" s="1601">
        <v>4.3529</v>
      </c>
      <c r="M8" s="1601">
        <v>4.7640000000000002</v>
      </c>
      <c r="N8" s="1601">
        <v>4.3745000000000003</v>
      </c>
      <c r="O8" s="1601">
        <v>4.7980999999999998</v>
      </c>
      <c r="P8" s="1601">
        <v>4.2847999999999997</v>
      </c>
      <c r="Q8" s="1601">
        <v>4.6947000000000001</v>
      </c>
      <c r="R8" s="1601">
        <v>4.4763999999999999</v>
      </c>
      <c r="S8" s="1601">
        <v>4.8270999999999997</v>
      </c>
      <c r="T8" s="1601">
        <v>4.6356000000000002</v>
      </c>
      <c r="U8" s="1601">
        <v>4.9865000000000004</v>
      </c>
      <c r="V8" s="1601">
        <v>4.7960000000000003</v>
      </c>
      <c r="W8" s="1601">
        <v>4.9432999999999998</v>
      </c>
      <c r="X8" s="1601">
        <v>4.6637000000000004</v>
      </c>
      <c r="Y8" s="1601">
        <v>4.6443000000000003</v>
      </c>
      <c r="Z8" s="1601">
        <v>4.6942000000000004</v>
      </c>
      <c r="AA8" s="1601">
        <v>5.0016999999999996</v>
      </c>
      <c r="AB8" s="1601">
        <v>5.0765000000000002</v>
      </c>
      <c r="AC8" s="1601">
        <v>5.0861000000000001</v>
      </c>
      <c r="AD8" s="1601">
        <v>4.9710999999999999</v>
      </c>
      <c r="AE8" s="1601">
        <v>5.1672000000000002</v>
      </c>
      <c r="AF8" s="1601">
        <v>5.4854000000000003</v>
      </c>
      <c r="AG8" s="1601">
        <v>5.7664</v>
      </c>
    </row>
    <row r="9" spans="1:40">
      <c r="A9" s="1606"/>
      <c r="B9" s="1601" t="s">
        <v>495</v>
      </c>
      <c r="C9" s="1607">
        <v>0.42770901728365462</v>
      </c>
      <c r="D9" s="1608"/>
      <c r="E9" s="1602" t="s">
        <v>2289</v>
      </c>
      <c r="F9" s="1601">
        <v>4.0999999999999996</v>
      </c>
      <c r="H9" s="1602" t="s">
        <v>2289</v>
      </c>
      <c r="I9" s="1601">
        <v>4.4751000000000003</v>
      </c>
      <c r="J9" s="1601">
        <v>4.2066999999999997</v>
      </c>
      <c r="K9" s="1601">
        <v>4.0772000000000004</v>
      </c>
      <c r="L9" s="1601">
        <v>4.0134999999999996</v>
      </c>
      <c r="M9" s="1601">
        <v>3.9348000000000001</v>
      </c>
      <c r="N9" s="1601">
        <v>3.9597000000000002</v>
      </c>
      <c r="O9" s="1601">
        <v>3.9321000000000002</v>
      </c>
      <c r="P9" s="1601">
        <v>3.9641000000000002</v>
      </c>
      <c r="Q9" s="1601">
        <v>3.9163000000000001</v>
      </c>
      <c r="R9" s="1601">
        <v>4.0191999999999997</v>
      </c>
      <c r="S9" s="1601">
        <v>4.0052000000000003</v>
      </c>
      <c r="T9" s="1601">
        <v>4.0933999999999999</v>
      </c>
      <c r="U9" s="1601">
        <v>4.1470000000000002</v>
      </c>
      <c r="V9" s="1601">
        <v>4.2130000000000001</v>
      </c>
      <c r="W9" s="1601">
        <v>4.1783999999999999</v>
      </c>
      <c r="X9" s="1601">
        <v>4.0877999999999997</v>
      </c>
      <c r="Y9" s="1601">
        <v>3.9337</v>
      </c>
      <c r="Z9" s="1601">
        <v>3.9216000000000002</v>
      </c>
      <c r="AA9" s="1601">
        <v>4.0411999999999999</v>
      </c>
      <c r="AB9" s="1601">
        <v>4.1443000000000003</v>
      </c>
      <c r="AC9" s="1601">
        <v>4.1307</v>
      </c>
      <c r="AD9" s="1601">
        <v>4.0613000000000001</v>
      </c>
      <c r="AE9" s="1601">
        <v>4.1775000000000002</v>
      </c>
      <c r="AF9" s="1601">
        <v>4.3585000000000003</v>
      </c>
      <c r="AG9" s="1601">
        <v>4.4688999999999997</v>
      </c>
    </row>
    <row r="10" spans="1:40">
      <c r="A10" s="1606"/>
      <c r="B10" s="1601" t="s">
        <v>2290</v>
      </c>
      <c r="C10" s="1607">
        <v>8.8840485053923085E-2</v>
      </c>
      <c r="D10" s="1608"/>
      <c r="E10" s="1602" t="s">
        <v>2291</v>
      </c>
      <c r="F10" s="1601">
        <v>4.04</v>
      </c>
      <c r="H10" s="1602" t="s">
        <v>2291</v>
      </c>
      <c r="I10" s="1601">
        <v>4.2335000000000003</v>
      </c>
      <c r="J10" s="1601">
        <v>4.1931000000000003</v>
      </c>
      <c r="K10" s="1601">
        <v>4.1521999999999997</v>
      </c>
      <c r="L10" s="1601">
        <v>4.0061999999999998</v>
      </c>
      <c r="M10" s="1601">
        <v>4.0311000000000003</v>
      </c>
      <c r="N10" s="1601">
        <v>3.9188999999999998</v>
      </c>
      <c r="O10" s="1601">
        <v>3.7410999999999999</v>
      </c>
      <c r="P10" s="1601">
        <v>3.5569999999999999</v>
      </c>
      <c r="Q10" s="1601">
        <v>3.6928000000000001</v>
      </c>
      <c r="R10" s="1601">
        <v>3.7450000000000001</v>
      </c>
      <c r="S10" s="1601">
        <v>3.7342</v>
      </c>
      <c r="T10" s="1601">
        <v>3.7984</v>
      </c>
      <c r="U10" s="1601">
        <v>3.8058000000000001</v>
      </c>
      <c r="V10" s="1601">
        <v>3.7972000000000001</v>
      </c>
      <c r="W10" s="1601">
        <v>3.8315000000000001</v>
      </c>
      <c r="X10" s="1601">
        <v>3.8220000000000001</v>
      </c>
      <c r="Y10" s="1601">
        <v>3.9150999999999998</v>
      </c>
      <c r="Z10" s="1601">
        <v>4.1677</v>
      </c>
      <c r="AA10" s="1601">
        <v>4.2004000000000001</v>
      </c>
      <c r="AB10" s="1601">
        <v>4.2081</v>
      </c>
      <c r="AC10" s="1601">
        <v>4.2348999999999997</v>
      </c>
      <c r="AD10" s="1601">
        <v>4.1936999999999998</v>
      </c>
      <c r="AE10" s="1601">
        <v>4.3030999999999997</v>
      </c>
      <c r="AF10" s="1601">
        <v>4.6692</v>
      </c>
      <c r="AG10" s="1601">
        <v>4.9953000000000003</v>
      </c>
    </row>
    <row r="11" spans="1:40">
      <c r="B11" s="1606" t="s">
        <v>2292</v>
      </c>
      <c r="C11" s="1604">
        <v>30.364330293975613</v>
      </c>
      <c r="D11" s="1603"/>
      <c r="E11" s="1602" t="s">
        <v>2293</v>
      </c>
      <c r="F11" s="1606">
        <v>3.9</v>
      </c>
      <c r="G11" s="1606"/>
      <c r="H11" s="1602" t="s">
        <v>2293</v>
      </c>
      <c r="I11" s="1606">
        <v>3.8618999999999999</v>
      </c>
      <c r="J11" s="1606">
        <v>3.9037999999999999</v>
      </c>
      <c r="K11" s="1606">
        <v>3.7835999999999999</v>
      </c>
      <c r="L11" s="1606">
        <v>3.7713999999999999</v>
      </c>
      <c r="M11" s="1606">
        <v>3.6768999999999998</v>
      </c>
      <c r="N11" s="1606">
        <v>3.7578999999999998</v>
      </c>
      <c r="O11" s="1606">
        <v>3.7690000000000001</v>
      </c>
      <c r="P11" s="1606">
        <v>3.8264</v>
      </c>
      <c r="Q11" s="1606">
        <v>3.7008000000000001</v>
      </c>
      <c r="R11" s="1606">
        <v>3.8090000000000002</v>
      </c>
      <c r="S11" s="1606">
        <v>3.8096999999999999</v>
      </c>
      <c r="T11" s="1606">
        <v>3.8891</v>
      </c>
      <c r="U11" s="1606">
        <v>3.9525999999999999</v>
      </c>
      <c r="V11" s="1606">
        <v>4.0248999999999997</v>
      </c>
      <c r="W11" s="1606">
        <v>3.9931000000000001</v>
      </c>
      <c r="X11" s="1606">
        <v>3.9270999999999998</v>
      </c>
      <c r="Y11" s="1606">
        <v>3.7879999999999998</v>
      </c>
      <c r="Z11" s="1606">
        <v>3.7787999999999999</v>
      </c>
      <c r="AA11" s="1606">
        <v>3.9026000000000001</v>
      </c>
      <c r="AB11" s="1606">
        <v>3.9982000000000002</v>
      </c>
      <c r="AC11" s="1606">
        <v>4.0026000000000002</v>
      </c>
      <c r="AD11" s="1606">
        <v>3.9658000000000002</v>
      </c>
      <c r="AE11" s="1606">
        <v>4.0651000000000002</v>
      </c>
      <c r="AF11" s="1606">
        <v>4.2165999999999997</v>
      </c>
      <c r="AG11" s="1606">
        <v>4.3216000000000001</v>
      </c>
    </row>
    <row r="12" spans="1:40">
      <c r="A12" s="1606" t="s">
        <v>1015</v>
      </c>
      <c r="B12" s="1606" t="s">
        <v>2294</v>
      </c>
      <c r="C12" s="1607">
        <v>7.6049065824572288</v>
      </c>
      <c r="D12" s="1608"/>
      <c r="E12" s="1602" t="s">
        <v>2295</v>
      </c>
      <c r="F12" s="1606">
        <v>4.18</v>
      </c>
      <c r="G12" s="1606"/>
      <c r="H12" s="1602" t="s">
        <v>2295</v>
      </c>
      <c r="I12" s="1606">
        <v>4.2742000000000004</v>
      </c>
      <c r="J12" s="1606">
        <v>4.2565999999999997</v>
      </c>
      <c r="K12" s="1606">
        <v>4.1436999999999999</v>
      </c>
      <c r="L12" s="1606">
        <v>4.0758999999999999</v>
      </c>
      <c r="M12" s="1606">
        <v>3.9788999999999999</v>
      </c>
      <c r="N12" s="1606">
        <v>3.9761000000000002</v>
      </c>
      <c r="O12" s="1606">
        <v>3.9226999999999999</v>
      </c>
      <c r="P12" s="1606">
        <v>3.9508000000000001</v>
      </c>
      <c r="Q12" s="1606">
        <v>3.9077999999999999</v>
      </c>
      <c r="R12" s="1606">
        <v>4.0218999999999996</v>
      </c>
      <c r="S12" s="1606">
        <v>4.0301</v>
      </c>
      <c r="T12" s="1606">
        <v>4.1285999999999996</v>
      </c>
      <c r="U12" s="1606">
        <v>4.1973000000000003</v>
      </c>
      <c r="V12" s="1606">
        <v>4.2824</v>
      </c>
      <c r="W12" s="1606">
        <v>4.2728000000000002</v>
      </c>
      <c r="X12" s="1606">
        <v>4.2083000000000004</v>
      </c>
      <c r="Y12" s="1606">
        <v>4.0792999999999999</v>
      </c>
      <c r="Z12" s="1606">
        <v>4.0686</v>
      </c>
      <c r="AA12" s="1606">
        <v>4.1882000000000001</v>
      </c>
      <c r="AB12" s="1606">
        <v>4.2991000000000001</v>
      </c>
      <c r="AC12" s="1606">
        <v>4.3026999999999997</v>
      </c>
      <c r="AD12" s="1606">
        <v>4.2552000000000003</v>
      </c>
      <c r="AE12" s="1606">
        <v>4.3875999999999999</v>
      </c>
      <c r="AF12" s="1606">
        <v>4.5757000000000003</v>
      </c>
      <c r="AG12" s="1606">
        <v>4.7089999999999996</v>
      </c>
    </row>
    <row r="13" spans="1:40">
      <c r="A13" s="1606"/>
      <c r="B13" s="1601" t="s">
        <v>2296</v>
      </c>
      <c r="C13" s="1609">
        <v>1.2971689135334363</v>
      </c>
      <c r="D13" s="1610"/>
      <c r="E13" s="1602" t="s">
        <v>2297</v>
      </c>
      <c r="F13" s="1601">
        <v>3.5</v>
      </c>
      <c r="H13" s="1602" t="s">
        <v>2297</v>
      </c>
      <c r="I13" s="1601">
        <v>4.7163000000000004</v>
      </c>
      <c r="J13" s="1601">
        <v>4.3779000000000003</v>
      </c>
      <c r="K13" s="1601">
        <v>4.0590999999999999</v>
      </c>
      <c r="L13" s="1601">
        <v>3.8189000000000002</v>
      </c>
      <c r="M13" s="1601">
        <v>3.6347</v>
      </c>
      <c r="N13" s="1601">
        <v>3.5508000000000002</v>
      </c>
      <c r="O13" s="1601">
        <v>3.41</v>
      </c>
      <c r="P13" s="1601">
        <v>3.3168000000000002</v>
      </c>
      <c r="Q13" s="1601">
        <v>3.2176</v>
      </c>
      <c r="R13" s="1601">
        <v>3.3555999999999999</v>
      </c>
      <c r="S13" s="1601">
        <v>3.3961000000000001</v>
      </c>
      <c r="T13" s="1601">
        <v>3.5148000000000001</v>
      </c>
      <c r="U13" s="1601">
        <v>3.58</v>
      </c>
      <c r="V13" s="1601">
        <v>3.6181000000000001</v>
      </c>
      <c r="W13" s="1601">
        <v>3.5064000000000002</v>
      </c>
      <c r="X13" s="1601">
        <v>3.3047</v>
      </c>
      <c r="Y13" s="1601">
        <v>3.0074000000000001</v>
      </c>
      <c r="Z13" s="1601">
        <v>2.9607000000000001</v>
      </c>
      <c r="AA13" s="1601">
        <v>3.1015000000000001</v>
      </c>
      <c r="AB13" s="1601">
        <v>3.2606999999999999</v>
      </c>
      <c r="AC13" s="1601">
        <v>3.2850999999999999</v>
      </c>
      <c r="AD13" s="1601">
        <v>3.2303999999999999</v>
      </c>
      <c r="AE13" s="1601">
        <v>3.3174000000000001</v>
      </c>
      <c r="AF13" s="1601">
        <v>3.4521000000000002</v>
      </c>
      <c r="AG13" s="1601">
        <v>3.4946999999999999</v>
      </c>
    </row>
    <row r="14" spans="1:40">
      <c r="A14" s="1606"/>
      <c r="B14" s="1601" t="s">
        <v>2298</v>
      </c>
      <c r="C14" s="1609">
        <v>5.2559514970957406E-2</v>
      </c>
      <c r="D14" s="1610"/>
      <c r="E14" s="1602" t="s">
        <v>2299</v>
      </c>
      <c r="F14" s="1601">
        <v>6.12</v>
      </c>
      <c r="H14" s="1602" t="s">
        <v>2299</v>
      </c>
      <c r="I14" s="1601">
        <v>4.2194000000000003</v>
      </c>
      <c r="J14" s="1601">
        <v>5.9763000000000002</v>
      </c>
      <c r="K14" s="1601">
        <v>6.4577999999999998</v>
      </c>
      <c r="L14" s="1601">
        <v>8.0119000000000007</v>
      </c>
      <c r="M14" s="1601">
        <v>6.7929000000000004</v>
      </c>
      <c r="N14" s="1601">
        <v>5.9278000000000004</v>
      </c>
      <c r="O14" s="1601">
        <v>5.1935000000000002</v>
      </c>
      <c r="P14" s="1601">
        <v>7.0815000000000001</v>
      </c>
      <c r="Q14" s="1601">
        <v>5.6863000000000001</v>
      </c>
      <c r="R14" s="1601">
        <v>5.0452000000000004</v>
      </c>
      <c r="S14" s="1601">
        <v>4.6600999999999999</v>
      </c>
      <c r="T14" s="1601">
        <v>4.4901</v>
      </c>
      <c r="U14" s="1601">
        <v>4.5419</v>
      </c>
      <c r="V14" s="1601">
        <v>5.8005000000000004</v>
      </c>
      <c r="W14" s="1601">
        <v>6.9585999999999997</v>
      </c>
      <c r="X14" s="1601">
        <v>8.2782</v>
      </c>
      <c r="Y14" s="1601">
        <v>9.4352999999999998</v>
      </c>
      <c r="Z14" s="1601">
        <v>8.2208000000000006</v>
      </c>
      <c r="AA14" s="1601">
        <v>7.4043999999999999</v>
      </c>
      <c r="AB14" s="1601">
        <v>6.4920999999999998</v>
      </c>
      <c r="AC14" s="1601">
        <v>5.4488000000000003</v>
      </c>
      <c r="AD14" s="1601">
        <v>4.8178999999999998</v>
      </c>
      <c r="AE14" s="1601">
        <v>5.5670999999999999</v>
      </c>
      <c r="AF14" s="1601">
        <v>5.2740999999999998</v>
      </c>
      <c r="AG14" s="1601">
        <v>5.3132000000000001</v>
      </c>
    </row>
    <row r="15" spans="1:40">
      <c r="A15" s="1606"/>
      <c r="B15" s="1601" t="s">
        <v>2300</v>
      </c>
      <c r="C15" s="1609">
        <v>6.2551781539528353</v>
      </c>
      <c r="D15" s="1610"/>
      <c r="E15" s="1602" t="s">
        <v>2301</v>
      </c>
      <c r="F15" s="1601">
        <v>4.29</v>
      </c>
      <c r="H15" s="1602" t="s">
        <v>2301</v>
      </c>
      <c r="I15" s="1601">
        <v>4.1829999999999998</v>
      </c>
      <c r="J15" s="1601">
        <v>4.2168999999999999</v>
      </c>
      <c r="K15" s="1601">
        <v>4.1416000000000004</v>
      </c>
      <c r="L15" s="1601">
        <v>4.0951000000000004</v>
      </c>
      <c r="M15" s="1601">
        <v>4.0250000000000004</v>
      </c>
      <c r="N15" s="1601">
        <v>4.0461</v>
      </c>
      <c r="O15" s="1601">
        <v>4.0164</v>
      </c>
      <c r="P15" s="1601">
        <v>4.0507999999999997</v>
      </c>
      <c r="Q15" s="1601">
        <v>4.0308000000000002</v>
      </c>
      <c r="R15" s="1601">
        <v>4.1463000000000001</v>
      </c>
      <c r="S15" s="1601">
        <v>4.1508000000000003</v>
      </c>
      <c r="T15" s="1601">
        <v>4.2470999999999997</v>
      </c>
      <c r="U15" s="1601">
        <v>4.3158000000000003</v>
      </c>
      <c r="V15" s="1601">
        <v>4.3973000000000004</v>
      </c>
      <c r="W15" s="1601">
        <v>4.3943000000000003</v>
      </c>
      <c r="X15" s="1601">
        <v>4.3396999999999997</v>
      </c>
      <c r="Y15" s="1601">
        <v>4.2253999999999996</v>
      </c>
      <c r="Z15" s="1601">
        <v>4.2301000000000002</v>
      </c>
      <c r="AA15" s="1601">
        <v>4.3525</v>
      </c>
      <c r="AB15" s="1601">
        <v>4.4635999999999996</v>
      </c>
      <c r="AC15" s="1601">
        <v>4.4737999999999998</v>
      </c>
      <c r="AD15" s="1601">
        <v>4.4328000000000003</v>
      </c>
      <c r="AE15" s="1601">
        <v>4.5632999999999999</v>
      </c>
      <c r="AF15" s="1601">
        <v>4.7645</v>
      </c>
      <c r="AG15" s="1601">
        <v>4.9123000000000001</v>
      </c>
    </row>
    <row r="16" spans="1:40">
      <c r="B16" s="1606" t="s">
        <v>2302</v>
      </c>
      <c r="C16" s="1607">
        <v>18.245465180795851</v>
      </c>
      <c r="D16" s="1608"/>
      <c r="E16" s="1602" t="s">
        <v>2303</v>
      </c>
      <c r="F16" s="1606">
        <v>3.8</v>
      </c>
      <c r="G16" s="1606"/>
      <c r="H16" s="1602" t="s">
        <v>2303</v>
      </c>
      <c r="I16" s="1606">
        <v>3.8877999999999999</v>
      </c>
      <c r="J16" s="1606">
        <v>3.8140000000000001</v>
      </c>
      <c r="K16" s="1606">
        <v>3.7161</v>
      </c>
      <c r="L16" s="1606">
        <v>3.6674000000000002</v>
      </c>
      <c r="M16" s="1606">
        <v>3.6080999999999999</v>
      </c>
      <c r="N16" s="1606">
        <v>3.6273</v>
      </c>
      <c r="O16" s="1606">
        <v>3.6063000000000001</v>
      </c>
      <c r="P16" s="1606">
        <v>3.6391</v>
      </c>
      <c r="Q16" s="1606">
        <v>3.6398000000000001</v>
      </c>
      <c r="R16" s="1606">
        <v>3.7238000000000002</v>
      </c>
      <c r="S16" s="1606">
        <v>3.7187999999999999</v>
      </c>
      <c r="T16" s="1606">
        <v>3.7909999999999999</v>
      </c>
      <c r="U16" s="1606">
        <v>3.8389000000000002</v>
      </c>
      <c r="V16" s="1606">
        <v>3.8967999999999998</v>
      </c>
      <c r="W16" s="1606">
        <v>3.8881000000000001</v>
      </c>
      <c r="X16" s="1606">
        <v>3.8330000000000002</v>
      </c>
      <c r="Y16" s="1606">
        <v>3.7317</v>
      </c>
      <c r="Z16" s="1606">
        <v>3.7252000000000001</v>
      </c>
      <c r="AA16" s="1606">
        <v>3.8130000000000002</v>
      </c>
      <c r="AB16" s="1606">
        <v>3.8961999999999999</v>
      </c>
      <c r="AC16" s="1606">
        <v>3.9020000000000001</v>
      </c>
      <c r="AD16" s="1606">
        <v>3.8666</v>
      </c>
      <c r="AE16" s="1606">
        <v>3.9643000000000002</v>
      </c>
      <c r="AF16" s="1606">
        <v>4.1140999999999996</v>
      </c>
      <c r="AG16" s="1606">
        <v>4.2138</v>
      </c>
    </row>
    <row r="17" spans="1:33">
      <c r="A17" s="1606" t="s">
        <v>1005</v>
      </c>
      <c r="B17" s="1606" t="s">
        <v>2304</v>
      </c>
      <c r="C17" s="1609">
        <v>3.2035411768379154</v>
      </c>
      <c r="D17" s="1610"/>
      <c r="E17" s="1602" t="s">
        <v>2305</v>
      </c>
      <c r="F17" s="1606">
        <v>3.6</v>
      </c>
      <c r="G17" s="1606"/>
      <c r="H17" s="1602" t="s">
        <v>2305</v>
      </c>
      <c r="I17" s="1606">
        <v>3.7421000000000002</v>
      </c>
      <c r="J17" s="1606">
        <v>3.6976</v>
      </c>
      <c r="K17" s="1606">
        <v>3.5872999999999999</v>
      </c>
      <c r="L17" s="1606">
        <v>3.5190999999999999</v>
      </c>
      <c r="M17" s="1606">
        <v>3.4523000000000001</v>
      </c>
      <c r="N17" s="1606">
        <v>3.4674999999999998</v>
      </c>
      <c r="O17" s="1606">
        <v>3.3971</v>
      </c>
      <c r="P17" s="1606">
        <v>3.3633999999999999</v>
      </c>
      <c r="Q17" s="1606">
        <v>3.3612000000000002</v>
      </c>
      <c r="R17" s="1606">
        <v>3.4754999999999998</v>
      </c>
      <c r="S17" s="1606">
        <v>3.4721000000000002</v>
      </c>
      <c r="T17" s="1606">
        <v>3.5514999999999999</v>
      </c>
      <c r="U17" s="1606">
        <v>3.5956000000000001</v>
      </c>
      <c r="V17" s="1606">
        <v>3.6375999999999999</v>
      </c>
      <c r="W17" s="1606">
        <v>3.6267</v>
      </c>
      <c r="X17" s="1606">
        <v>3.5710999999999999</v>
      </c>
      <c r="Y17" s="1606">
        <v>3.4954999999999998</v>
      </c>
      <c r="Z17" s="1606">
        <v>3.5560999999999998</v>
      </c>
      <c r="AA17" s="1606">
        <v>3.6404000000000001</v>
      </c>
      <c r="AB17" s="1606">
        <v>3.6920999999999999</v>
      </c>
      <c r="AC17" s="1606">
        <v>3.6817000000000002</v>
      </c>
      <c r="AD17" s="1606">
        <v>3.6252</v>
      </c>
      <c r="AE17" s="1606">
        <v>3.7199</v>
      </c>
      <c r="AF17" s="1606">
        <v>3.9327000000000001</v>
      </c>
      <c r="AG17" s="1606">
        <v>4.0975000000000001</v>
      </c>
    </row>
    <row r="18" spans="1:33">
      <c r="B18" s="1601" t="s">
        <v>2306</v>
      </c>
      <c r="C18" s="1611">
        <v>1.9748114148936249</v>
      </c>
      <c r="D18" s="1612"/>
      <c r="E18" s="1602" t="s">
        <v>2307</v>
      </c>
      <c r="F18" s="1601">
        <v>3.5</v>
      </c>
      <c r="H18" s="1602" t="s">
        <v>2307</v>
      </c>
      <c r="I18" s="1601">
        <v>3.4148999999999998</v>
      </c>
      <c r="J18" s="1601">
        <v>3.4817</v>
      </c>
      <c r="K18" s="1601">
        <v>3.3525</v>
      </c>
      <c r="L18" s="1601">
        <v>3.3843999999999999</v>
      </c>
      <c r="M18" s="1601">
        <v>3.2284000000000002</v>
      </c>
      <c r="N18" s="1601">
        <v>3.3719000000000001</v>
      </c>
      <c r="O18" s="1601">
        <v>3.4047000000000001</v>
      </c>
      <c r="P18" s="1601">
        <v>3.5001000000000002</v>
      </c>
      <c r="Q18" s="1601">
        <v>3.2968000000000002</v>
      </c>
      <c r="R18" s="1601">
        <v>3.4491999999999998</v>
      </c>
      <c r="S18" s="1601">
        <v>3.4462000000000002</v>
      </c>
      <c r="T18" s="1601">
        <v>3.5337000000000001</v>
      </c>
      <c r="U18" s="1601">
        <v>3.6128999999999998</v>
      </c>
      <c r="V18" s="1601">
        <v>3.7033999999999998</v>
      </c>
      <c r="W18" s="1601">
        <v>3.6423000000000001</v>
      </c>
      <c r="X18" s="1601">
        <v>3.5566</v>
      </c>
      <c r="Y18" s="1601">
        <v>3.3452000000000002</v>
      </c>
      <c r="Z18" s="1601">
        <v>3.2700999999999998</v>
      </c>
      <c r="AA18" s="1601">
        <v>3.4820000000000002</v>
      </c>
      <c r="AB18" s="1601">
        <v>3.6248999999999998</v>
      </c>
      <c r="AC18" s="1601">
        <v>3.6015000000000001</v>
      </c>
      <c r="AD18" s="1601">
        <v>3.5518999999999998</v>
      </c>
      <c r="AE18" s="1601">
        <v>3.6522999999999999</v>
      </c>
      <c r="AF18" s="1601">
        <v>3.7484000000000002</v>
      </c>
      <c r="AG18" s="1601">
        <v>3.8359999999999999</v>
      </c>
    </row>
    <row r="19" spans="1:33">
      <c r="B19" s="1601" t="s">
        <v>2308</v>
      </c>
      <c r="C19" s="1611">
        <v>1.2287297619442896</v>
      </c>
      <c r="D19" s="1612"/>
      <c r="E19" s="1602" t="s">
        <v>2309</v>
      </c>
      <c r="F19" s="1601">
        <v>3.75</v>
      </c>
      <c r="H19" s="1602" t="s">
        <v>2309</v>
      </c>
      <c r="I19" s="1601">
        <v>4.2679</v>
      </c>
      <c r="J19" s="1601">
        <v>4.0416999999999996</v>
      </c>
      <c r="K19" s="1601">
        <v>3.9596</v>
      </c>
      <c r="L19" s="1601">
        <v>3.7313999999999998</v>
      </c>
      <c r="M19" s="1601">
        <v>3.8039999999999998</v>
      </c>
      <c r="N19" s="1601">
        <v>3.617</v>
      </c>
      <c r="O19" s="1601">
        <v>3.3853</v>
      </c>
      <c r="P19" s="1601">
        <v>3.1503999999999999</v>
      </c>
      <c r="Q19" s="1601">
        <v>3.4619</v>
      </c>
      <c r="R19" s="1601">
        <v>3.5165000000000002</v>
      </c>
      <c r="S19" s="1601">
        <v>3.5124</v>
      </c>
      <c r="T19" s="1601">
        <v>3.5792000000000002</v>
      </c>
      <c r="U19" s="1601">
        <v>3.5686</v>
      </c>
      <c r="V19" s="1601">
        <v>3.5350000000000001</v>
      </c>
      <c r="W19" s="1601">
        <v>3.6023000000000001</v>
      </c>
      <c r="X19" s="1601">
        <v>3.5937000000000001</v>
      </c>
      <c r="Y19" s="1601">
        <v>3.7303000000000002</v>
      </c>
      <c r="Z19" s="1601">
        <v>4.0011000000000001</v>
      </c>
      <c r="AA19" s="1601">
        <v>3.8853</v>
      </c>
      <c r="AB19" s="1601">
        <v>3.7955000000000001</v>
      </c>
      <c r="AC19" s="1601">
        <v>3.8048000000000002</v>
      </c>
      <c r="AD19" s="1601">
        <v>3.7376999999999998</v>
      </c>
      <c r="AE19" s="1601">
        <v>3.8233999999999999</v>
      </c>
      <c r="AF19" s="1601">
        <v>4.2142999999999997</v>
      </c>
      <c r="AG19" s="1601">
        <v>4.4954000000000001</v>
      </c>
    </row>
    <row r="20" spans="1:33">
      <c r="A20" s="1606" t="s">
        <v>1001</v>
      </c>
      <c r="B20" s="1606" t="s">
        <v>2310</v>
      </c>
      <c r="C20" s="1609">
        <v>0.76712129210820812</v>
      </c>
      <c r="D20" s="1610"/>
      <c r="E20" s="1602" t="s">
        <v>2311</v>
      </c>
      <c r="F20" s="1606">
        <v>3.65</v>
      </c>
      <c r="G20" s="1606"/>
      <c r="H20" s="1602" t="s">
        <v>2311</v>
      </c>
      <c r="I20" s="1606">
        <v>3.6574</v>
      </c>
      <c r="J20" s="1606">
        <v>3.7867999999999999</v>
      </c>
      <c r="K20" s="1606">
        <v>3.7602000000000002</v>
      </c>
      <c r="L20" s="1606">
        <v>3.7298</v>
      </c>
      <c r="M20" s="1606">
        <v>3.6711999999999998</v>
      </c>
      <c r="N20" s="1606">
        <v>3.669</v>
      </c>
      <c r="O20" s="1606">
        <v>3.5966999999999998</v>
      </c>
      <c r="P20" s="1606">
        <v>3.5579999999999998</v>
      </c>
      <c r="Q20" s="1606">
        <v>3.5463</v>
      </c>
      <c r="R20" s="1606">
        <v>3.6181000000000001</v>
      </c>
      <c r="S20" s="1606">
        <v>3.5947</v>
      </c>
      <c r="T20" s="1606">
        <v>3.6339999999999999</v>
      </c>
      <c r="U20" s="1606">
        <v>3.6453000000000002</v>
      </c>
      <c r="V20" s="1606">
        <v>3.6551999999999998</v>
      </c>
      <c r="W20" s="1606">
        <v>3.6356999999999999</v>
      </c>
      <c r="X20" s="1606">
        <v>3.5882999999999998</v>
      </c>
      <c r="Y20" s="1606">
        <v>3.5407999999999999</v>
      </c>
      <c r="Z20" s="1606">
        <v>3.5806</v>
      </c>
      <c r="AA20" s="1606">
        <v>3.6166999999999998</v>
      </c>
      <c r="AB20" s="1606">
        <v>3.6366000000000001</v>
      </c>
      <c r="AC20" s="1606">
        <v>3.6215999999999999</v>
      </c>
      <c r="AD20" s="1606">
        <v>3.5769000000000002</v>
      </c>
      <c r="AE20" s="1606">
        <v>3.6282999999999999</v>
      </c>
      <c r="AF20" s="1606">
        <v>3.7593000000000001</v>
      </c>
      <c r="AG20" s="1606">
        <v>3.8595000000000002</v>
      </c>
    </row>
    <row r="21" spans="1:33">
      <c r="B21" s="1601" t="s">
        <v>2312</v>
      </c>
      <c r="C21" s="1611">
        <v>0.29439356237619191</v>
      </c>
      <c r="D21" s="1612"/>
      <c r="E21" s="1602" t="s">
        <v>2313</v>
      </c>
      <c r="F21" s="1601">
        <v>3.53</v>
      </c>
      <c r="H21" s="1602" t="s">
        <v>2313</v>
      </c>
      <c r="I21" s="1601">
        <v>3.3946999999999998</v>
      </c>
      <c r="J21" s="1601">
        <v>3.585</v>
      </c>
      <c r="K21" s="1601">
        <v>3.5413000000000001</v>
      </c>
      <c r="L21" s="1601">
        <v>3.5724999999999998</v>
      </c>
      <c r="M21" s="1601">
        <v>3.4621</v>
      </c>
      <c r="N21" s="1601">
        <v>3.5350000000000001</v>
      </c>
      <c r="O21" s="1601">
        <v>3.5085000000000002</v>
      </c>
      <c r="P21" s="1601">
        <v>3.5289999999999999</v>
      </c>
      <c r="Q21" s="1601">
        <v>3.4205999999999999</v>
      </c>
      <c r="R21" s="1601">
        <v>3.5249999999999999</v>
      </c>
      <c r="S21" s="1601">
        <v>3.5055000000000001</v>
      </c>
      <c r="T21" s="1601">
        <v>3.5476999999999999</v>
      </c>
      <c r="U21" s="1601">
        <v>3.5749</v>
      </c>
      <c r="V21" s="1601">
        <v>3.6048</v>
      </c>
      <c r="W21" s="1601">
        <v>3.5653000000000001</v>
      </c>
      <c r="X21" s="1601">
        <v>3.5154999999999998</v>
      </c>
      <c r="Y21" s="1601">
        <v>3.4209999999999998</v>
      </c>
      <c r="Z21" s="1601">
        <v>3.4087000000000001</v>
      </c>
      <c r="AA21" s="1601">
        <v>3.5070999999999999</v>
      </c>
      <c r="AB21" s="1601">
        <v>3.5611000000000002</v>
      </c>
      <c r="AC21" s="1601">
        <v>3.5379999999999998</v>
      </c>
      <c r="AD21" s="1601">
        <v>3.5030000000000001</v>
      </c>
      <c r="AE21" s="1601">
        <v>3.5571000000000002</v>
      </c>
      <c r="AF21" s="1601">
        <v>3.6335999999999999</v>
      </c>
      <c r="AG21" s="1601">
        <v>3.7044999999999999</v>
      </c>
    </row>
    <row r="22" spans="1:33">
      <c r="B22" s="1601" t="s">
        <v>2314</v>
      </c>
      <c r="C22" s="1611">
        <v>0.29948152044843235</v>
      </c>
      <c r="D22" s="1612"/>
      <c r="E22" s="1602" t="s">
        <v>2315</v>
      </c>
      <c r="F22" s="1601">
        <v>3.7</v>
      </c>
      <c r="H22" s="1602" t="s">
        <v>2315</v>
      </c>
      <c r="I22" s="1601">
        <v>3.766</v>
      </c>
      <c r="J22" s="1601">
        <v>3.8921000000000001</v>
      </c>
      <c r="K22" s="1601">
        <v>3.8515000000000001</v>
      </c>
      <c r="L22" s="1601">
        <v>3.8136999999999999</v>
      </c>
      <c r="M22" s="1601">
        <v>3.7429000000000001</v>
      </c>
      <c r="N22" s="1601">
        <v>3.7454999999999998</v>
      </c>
      <c r="O22" s="1601">
        <v>3.6762000000000001</v>
      </c>
      <c r="P22" s="1601">
        <v>3.6423000000000001</v>
      </c>
      <c r="Q22" s="1601">
        <v>3.6112000000000002</v>
      </c>
      <c r="R22" s="1601">
        <v>3.6829000000000001</v>
      </c>
      <c r="S22" s="1601">
        <v>3.6554000000000002</v>
      </c>
      <c r="T22" s="1601">
        <v>3.6958000000000002</v>
      </c>
      <c r="U22" s="1601">
        <v>3.7099000000000002</v>
      </c>
      <c r="V22" s="1601">
        <v>3.7239</v>
      </c>
      <c r="W22" s="1601">
        <v>3.6974</v>
      </c>
      <c r="X22" s="1601">
        <v>3.6385000000000001</v>
      </c>
      <c r="Y22" s="1601">
        <v>3.5668000000000002</v>
      </c>
      <c r="Z22" s="1601">
        <v>3.5897000000000001</v>
      </c>
      <c r="AA22" s="1601">
        <v>3.6278999999999999</v>
      </c>
      <c r="AB22" s="1601">
        <v>3.6520999999999999</v>
      </c>
      <c r="AC22" s="1601">
        <v>3.6345000000000001</v>
      </c>
      <c r="AD22" s="1601">
        <v>3.5836000000000001</v>
      </c>
      <c r="AE22" s="1601">
        <v>3.6341000000000001</v>
      </c>
      <c r="AF22" s="1601">
        <v>3.7627999999999999</v>
      </c>
      <c r="AG22" s="1601">
        <v>3.8574999999999999</v>
      </c>
    </row>
    <row r="23" spans="1:33">
      <c r="B23" s="1601" t="s">
        <v>2316</v>
      </c>
      <c r="C23" s="1611">
        <v>7.8964947497530108E-2</v>
      </c>
      <c r="D23" s="1612"/>
      <c r="E23" s="1602" t="s">
        <v>2317</v>
      </c>
      <c r="F23" s="1601">
        <v>3.75</v>
      </c>
      <c r="H23" s="1602" t="s">
        <v>2317</v>
      </c>
      <c r="I23" s="1601">
        <v>3.976</v>
      </c>
      <c r="J23" s="1601">
        <v>3.9710999999999999</v>
      </c>
      <c r="K23" s="1601">
        <v>3.9948000000000001</v>
      </c>
      <c r="L23" s="1601">
        <v>3.8315999999999999</v>
      </c>
      <c r="M23" s="1601">
        <v>3.9007000000000001</v>
      </c>
      <c r="N23" s="1601">
        <v>3.7153</v>
      </c>
      <c r="O23" s="1601">
        <v>3.5346000000000002</v>
      </c>
      <c r="P23" s="1601">
        <v>3.3652000000000002</v>
      </c>
      <c r="Q23" s="1601">
        <v>3.6175000000000002</v>
      </c>
      <c r="R23" s="1601">
        <v>3.6255999999999999</v>
      </c>
      <c r="S23" s="1601">
        <v>3.6080999999999999</v>
      </c>
      <c r="T23" s="1601">
        <v>3.641</v>
      </c>
      <c r="U23" s="1601">
        <v>3.6166</v>
      </c>
      <c r="V23" s="1601">
        <v>3.5813999999999999</v>
      </c>
      <c r="W23" s="1601">
        <v>3.6307</v>
      </c>
      <c r="X23" s="1601">
        <v>3.625</v>
      </c>
      <c r="Y23" s="1601">
        <v>3.7362000000000002</v>
      </c>
      <c r="Z23" s="1601">
        <v>3.915</v>
      </c>
      <c r="AA23" s="1601">
        <v>3.8037999999999998</v>
      </c>
      <c r="AB23" s="1601">
        <v>3.7397999999999998</v>
      </c>
      <c r="AC23" s="1601">
        <v>3.7515000000000001</v>
      </c>
      <c r="AD23" s="1601">
        <v>3.7084999999999999</v>
      </c>
      <c r="AE23" s="1601">
        <v>3.7591000000000001</v>
      </c>
      <c r="AF23" s="1601">
        <v>4.0006000000000004</v>
      </c>
      <c r="AG23" s="1601">
        <v>4.1623999999999999</v>
      </c>
    </row>
    <row r="24" spans="1:33">
      <c r="B24" s="1601" t="s">
        <v>2318</v>
      </c>
      <c r="C24" s="1611">
        <v>9.4281261786053852E-2</v>
      </c>
      <c r="D24" s="1612"/>
      <c r="E24" s="1602" t="s">
        <v>2319</v>
      </c>
      <c r="F24" s="1601">
        <v>3.75</v>
      </c>
      <c r="H24" s="1602" t="s">
        <v>2319</v>
      </c>
      <c r="I24" s="1601">
        <v>3.8654000000000002</v>
      </c>
      <c r="J24" s="1601">
        <v>3.9256000000000002</v>
      </c>
      <c r="K24" s="1601">
        <v>3.9518</v>
      </c>
      <c r="L24" s="1601">
        <v>3.8635000000000002</v>
      </c>
      <c r="M24" s="1601">
        <v>3.8946000000000001</v>
      </c>
      <c r="N24" s="1601">
        <v>3.7988</v>
      </c>
      <c r="O24" s="1601">
        <v>3.6665000000000001</v>
      </c>
      <c r="P24" s="1601">
        <v>3.5415000000000001</v>
      </c>
      <c r="Q24" s="1601">
        <v>3.6652</v>
      </c>
      <c r="R24" s="1601">
        <v>3.69</v>
      </c>
      <c r="S24" s="1601">
        <v>3.6629999999999998</v>
      </c>
      <c r="T24" s="1601">
        <v>3.6949999999999998</v>
      </c>
      <c r="U24" s="1601">
        <v>3.6785000000000001</v>
      </c>
      <c r="V24" s="1601">
        <v>3.6516000000000002</v>
      </c>
      <c r="W24" s="1601">
        <v>3.6573000000000002</v>
      </c>
      <c r="X24" s="1601">
        <v>3.6191</v>
      </c>
      <c r="Y24" s="1601">
        <v>3.6573000000000002</v>
      </c>
      <c r="Z24" s="1601">
        <v>3.7906</v>
      </c>
      <c r="AA24" s="1601">
        <v>3.754</v>
      </c>
      <c r="AB24" s="1601">
        <v>3.7279</v>
      </c>
      <c r="AC24" s="1601">
        <v>3.7225000000000001</v>
      </c>
      <c r="AD24" s="1601">
        <v>3.6665000000000001</v>
      </c>
      <c r="AE24" s="1601">
        <v>3.7132999999999998</v>
      </c>
      <c r="AF24" s="1601">
        <v>3.9203000000000001</v>
      </c>
      <c r="AG24" s="1601">
        <v>4.0726000000000004</v>
      </c>
    </row>
    <row r="25" spans="1:33">
      <c r="B25" s="1606" t="s">
        <v>2320</v>
      </c>
      <c r="C25" s="1609">
        <v>1.6625963281016436</v>
      </c>
      <c r="D25" s="1610"/>
      <c r="E25" s="1602" t="s">
        <v>2321</v>
      </c>
      <c r="F25" s="1606">
        <v>3.73</v>
      </c>
      <c r="G25" s="1606"/>
      <c r="H25" s="1602" t="s">
        <v>2321</v>
      </c>
      <c r="I25" s="1606">
        <v>3.8046000000000002</v>
      </c>
      <c r="J25" s="1606">
        <v>3.7985000000000002</v>
      </c>
      <c r="K25" s="1606">
        <v>3.7471999999999999</v>
      </c>
      <c r="L25" s="1606">
        <v>3.6855000000000002</v>
      </c>
      <c r="M25" s="1606">
        <v>3.6488999999999998</v>
      </c>
      <c r="N25" s="1606">
        <v>3.6288999999999998</v>
      </c>
      <c r="O25" s="1606">
        <v>3.5813999999999999</v>
      </c>
      <c r="P25" s="1606">
        <v>3.5785999999999998</v>
      </c>
      <c r="Q25" s="1606">
        <v>3.6074000000000002</v>
      </c>
      <c r="R25" s="1606">
        <v>3.669</v>
      </c>
      <c r="S25" s="1606">
        <v>3.6581000000000001</v>
      </c>
      <c r="T25" s="1606">
        <v>3.7143000000000002</v>
      </c>
      <c r="U25" s="1606">
        <v>3.7427000000000001</v>
      </c>
      <c r="V25" s="1606">
        <v>3.7778</v>
      </c>
      <c r="W25" s="1606">
        <v>3.7734000000000001</v>
      </c>
      <c r="X25" s="1606">
        <v>3.7254999999999998</v>
      </c>
      <c r="Y25" s="1606">
        <v>3.6617999999999999</v>
      </c>
      <c r="Z25" s="1606">
        <v>3.6783000000000001</v>
      </c>
      <c r="AA25" s="1606">
        <v>3.7193999999999998</v>
      </c>
      <c r="AB25" s="1606">
        <v>3.7650000000000001</v>
      </c>
      <c r="AC25" s="1606">
        <v>3.7644000000000002</v>
      </c>
      <c r="AD25" s="1606">
        <v>3.7238000000000002</v>
      </c>
      <c r="AE25" s="1606">
        <v>3.7989999999999999</v>
      </c>
      <c r="AF25" s="1606">
        <v>3.9430999999999998</v>
      </c>
      <c r="AG25" s="1606">
        <v>4.0380000000000003</v>
      </c>
    </row>
    <row r="26" spans="1:33">
      <c r="A26" s="1606" t="s">
        <v>1001</v>
      </c>
      <c r="B26" s="1601" t="s">
        <v>2322</v>
      </c>
      <c r="C26" s="1611">
        <v>0.46522532186746401</v>
      </c>
      <c r="D26" s="1612"/>
      <c r="E26" s="1602" t="s">
        <v>2323</v>
      </c>
      <c r="F26" s="1601">
        <v>3.79</v>
      </c>
      <c r="H26" s="1602" t="s">
        <v>2323</v>
      </c>
      <c r="I26" s="1601">
        <v>3.8519999999999999</v>
      </c>
      <c r="J26" s="1601">
        <v>3.8147000000000002</v>
      </c>
      <c r="K26" s="1601">
        <v>3.7789000000000001</v>
      </c>
      <c r="L26" s="1601">
        <v>3.7054</v>
      </c>
      <c r="M26" s="1601">
        <v>3.6970000000000001</v>
      </c>
      <c r="N26" s="1601">
        <v>3.6541000000000001</v>
      </c>
      <c r="O26" s="1601">
        <v>3.5939000000000001</v>
      </c>
      <c r="P26" s="1601">
        <v>3.5741999999999998</v>
      </c>
      <c r="Q26" s="1601">
        <v>3.6534</v>
      </c>
      <c r="R26" s="1601">
        <v>3.7061999999999999</v>
      </c>
      <c r="S26" s="1601">
        <v>3.6998000000000002</v>
      </c>
      <c r="T26" s="1601">
        <v>3.7578</v>
      </c>
      <c r="U26" s="1601">
        <v>3.7852999999999999</v>
      </c>
      <c r="V26" s="1601">
        <v>3.8184999999999998</v>
      </c>
      <c r="W26" s="1601">
        <v>3.8325</v>
      </c>
      <c r="X26" s="1601">
        <v>3.7964000000000002</v>
      </c>
      <c r="Y26" s="1601">
        <v>3.7618999999999998</v>
      </c>
      <c r="Z26" s="1601">
        <v>3.8027000000000002</v>
      </c>
      <c r="AA26" s="1601">
        <v>3.8199000000000001</v>
      </c>
      <c r="AB26" s="1601">
        <v>3.8552</v>
      </c>
      <c r="AC26" s="1601">
        <v>3.8662999999999998</v>
      </c>
      <c r="AD26" s="1601">
        <v>3.8315999999999999</v>
      </c>
      <c r="AE26" s="1601">
        <v>3.9123000000000001</v>
      </c>
      <c r="AF26" s="1601">
        <v>4.0838000000000001</v>
      </c>
      <c r="AG26" s="1601">
        <v>4.1962999999999999</v>
      </c>
    </row>
    <row r="27" spans="1:33">
      <c r="A27" s="1606" t="s">
        <v>1003</v>
      </c>
      <c r="B27" s="1601" t="s">
        <v>2324</v>
      </c>
      <c r="C27" s="1611">
        <v>0.7031124785909022</v>
      </c>
      <c r="D27" s="1612"/>
      <c r="E27" s="1602" t="s">
        <v>2325</v>
      </c>
      <c r="F27" s="1601">
        <v>3.84</v>
      </c>
      <c r="H27" s="1602" t="s">
        <v>2325</v>
      </c>
      <c r="I27" s="1601">
        <v>4.0190000000000001</v>
      </c>
      <c r="J27" s="1601">
        <v>3.9813999999999998</v>
      </c>
      <c r="K27" s="1601">
        <v>3.8835000000000002</v>
      </c>
      <c r="L27" s="1601">
        <v>3.8224</v>
      </c>
      <c r="M27" s="1601">
        <v>3.7452000000000001</v>
      </c>
      <c r="N27" s="1601">
        <v>3.7511000000000001</v>
      </c>
      <c r="O27" s="1601">
        <v>3.7086000000000001</v>
      </c>
      <c r="P27" s="1601">
        <v>3.7219000000000002</v>
      </c>
      <c r="Q27" s="1601">
        <v>3.6960999999999999</v>
      </c>
      <c r="R27" s="1601">
        <v>3.7823000000000002</v>
      </c>
      <c r="S27" s="1601">
        <v>3.7673000000000001</v>
      </c>
      <c r="T27" s="1601">
        <v>3.8309000000000002</v>
      </c>
      <c r="U27" s="1601">
        <v>3.8668999999999998</v>
      </c>
      <c r="V27" s="1601">
        <v>3.911</v>
      </c>
      <c r="W27" s="1601">
        <v>3.8879999999999999</v>
      </c>
      <c r="X27" s="1601">
        <v>3.8245</v>
      </c>
      <c r="Y27" s="1601">
        <v>3.7223999999999999</v>
      </c>
      <c r="Z27" s="1601">
        <v>3.7181000000000002</v>
      </c>
      <c r="AA27" s="1601">
        <v>3.7976000000000001</v>
      </c>
      <c r="AB27" s="1601">
        <v>3.8620999999999999</v>
      </c>
      <c r="AC27" s="1601">
        <v>3.8491</v>
      </c>
      <c r="AD27" s="1601">
        <v>3.7982999999999998</v>
      </c>
      <c r="AE27" s="1601">
        <v>3.8820000000000001</v>
      </c>
      <c r="AF27" s="1601">
        <v>4.0205000000000002</v>
      </c>
      <c r="AG27" s="1601">
        <v>4.1148999999999996</v>
      </c>
    </row>
    <row r="28" spans="1:33">
      <c r="A28" s="1606" t="s">
        <v>1001</v>
      </c>
      <c r="B28" s="1601" t="s">
        <v>2326</v>
      </c>
      <c r="C28" s="1611">
        <v>0.49425852764327738</v>
      </c>
      <c r="D28" s="1612"/>
      <c r="E28" s="1602" t="s">
        <v>2327</v>
      </c>
      <c r="F28" s="1601">
        <v>3.51</v>
      </c>
      <c r="H28" s="1602" t="s">
        <v>2327</v>
      </c>
      <c r="I28" s="1601">
        <v>3.4548000000000001</v>
      </c>
      <c r="J28" s="1601">
        <v>3.5213999999999999</v>
      </c>
      <c r="K28" s="1601">
        <v>3.5213000000000001</v>
      </c>
      <c r="L28" s="1601">
        <v>3.4691000000000001</v>
      </c>
      <c r="M28" s="1601">
        <v>3.4639000000000002</v>
      </c>
      <c r="N28" s="1601">
        <v>3.4278</v>
      </c>
      <c r="O28" s="1601">
        <v>3.3843999999999999</v>
      </c>
      <c r="P28" s="1601">
        <v>3.3736000000000002</v>
      </c>
      <c r="Q28" s="1601">
        <v>3.4333</v>
      </c>
      <c r="R28" s="1601">
        <v>3.4670999999999998</v>
      </c>
      <c r="S28" s="1601">
        <v>3.4569999999999999</v>
      </c>
      <c r="T28" s="1601">
        <v>3.4998999999999998</v>
      </c>
      <c r="U28" s="1601">
        <v>3.5175999999999998</v>
      </c>
      <c r="V28" s="1601">
        <v>3.54</v>
      </c>
      <c r="W28" s="1601">
        <v>3.5449000000000002</v>
      </c>
      <c r="X28" s="1601">
        <v>3.5081000000000002</v>
      </c>
      <c r="Y28" s="1601">
        <v>3.4725999999999999</v>
      </c>
      <c r="Z28" s="1601">
        <v>3.4961000000000002</v>
      </c>
      <c r="AA28" s="1601">
        <v>3.5026000000000002</v>
      </c>
      <c r="AB28" s="1601">
        <v>3.5291999999999999</v>
      </c>
      <c r="AC28" s="1601">
        <v>3.5350000000000001</v>
      </c>
      <c r="AD28" s="1601">
        <v>3.5030999999999999</v>
      </c>
      <c r="AE28" s="1601">
        <v>3.5590999999999999</v>
      </c>
      <c r="AF28" s="1601">
        <v>3.6839</v>
      </c>
      <c r="AG28" s="1601">
        <v>3.7606000000000002</v>
      </c>
    </row>
    <row r="29" spans="1:33">
      <c r="A29" s="518"/>
      <c r="B29" s="1606" t="s">
        <v>2328</v>
      </c>
      <c r="C29" s="1609">
        <v>1.6095214747811351</v>
      </c>
      <c r="D29" s="1610"/>
      <c r="E29" s="1602" t="s">
        <v>2329</v>
      </c>
      <c r="F29" s="1606">
        <v>4.1100000000000003</v>
      </c>
      <c r="G29" s="1606"/>
      <c r="H29" s="1602" t="s">
        <v>2329</v>
      </c>
      <c r="I29" s="1606">
        <v>4.9724000000000004</v>
      </c>
      <c r="J29" s="1606">
        <v>4.2141000000000002</v>
      </c>
      <c r="K29" s="1606">
        <v>3.8509000000000002</v>
      </c>
      <c r="L29" s="1606">
        <v>3.7157</v>
      </c>
      <c r="M29" s="1606">
        <v>3.6410999999999998</v>
      </c>
      <c r="N29" s="1606">
        <v>3.6924000000000001</v>
      </c>
      <c r="O29" s="1606">
        <v>3.6507999999999998</v>
      </c>
      <c r="P29" s="1606">
        <v>3.6848000000000001</v>
      </c>
      <c r="Q29" s="1606">
        <v>3.7077</v>
      </c>
      <c r="R29" s="1606">
        <v>3.8932000000000002</v>
      </c>
      <c r="S29" s="1606">
        <v>3.8845999999999998</v>
      </c>
      <c r="T29" s="1606">
        <v>4.0134999999999996</v>
      </c>
      <c r="U29" s="1606">
        <v>4.0959000000000003</v>
      </c>
      <c r="V29" s="1606">
        <v>4.1891999999999996</v>
      </c>
      <c r="W29" s="1606">
        <v>4.1847000000000003</v>
      </c>
      <c r="X29" s="1606">
        <v>4.1189999999999998</v>
      </c>
      <c r="Y29" s="1606">
        <v>3.9923999999999999</v>
      </c>
      <c r="Z29" s="1606">
        <v>4.0593000000000004</v>
      </c>
      <c r="AA29" s="1606">
        <v>4.2035</v>
      </c>
      <c r="AB29" s="1606">
        <v>4.3048999999999999</v>
      </c>
      <c r="AC29" s="1606">
        <v>4.3017000000000003</v>
      </c>
      <c r="AD29" s="1606">
        <v>4.2396000000000003</v>
      </c>
      <c r="AE29" s="1606">
        <v>4.4215</v>
      </c>
      <c r="AF29" s="1606">
        <v>4.7244000000000002</v>
      </c>
      <c r="AG29" s="1606">
        <v>4.923</v>
      </c>
    </row>
    <row r="30" spans="1:33">
      <c r="B30" s="1601" t="s">
        <v>2330</v>
      </c>
      <c r="C30" s="1611">
        <v>1.2070294633300152</v>
      </c>
      <c r="D30" s="1612"/>
      <c r="E30" s="1602" t="s">
        <v>2331</v>
      </c>
      <c r="F30" s="1601">
        <v>3.73</v>
      </c>
      <c r="H30" s="1602" t="s">
        <v>2331</v>
      </c>
      <c r="I30" s="1601">
        <v>4.8845000000000001</v>
      </c>
      <c r="J30" s="1601">
        <v>3.9832000000000001</v>
      </c>
      <c r="K30" s="1601">
        <v>3.5613999999999999</v>
      </c>
      <c r="L30" s="1601">
        <v>3.3803999999999998</v>
      </c>
      <c r="M30" s="1601">
        <v>3.2869999999999999</v>
      </c>
      <c r="N30" s="1601">
        <v>3.3007</v>
      </c>
      <c r="O30" s="1601">
        <v>3.2467000000000001</v>
      </c>
      <c r="P30" s="1601">
        <v>3.2759</v>
      </c>
      <c r="Q30" s="1601">
        <v>3.3109000000000002</v>
      </c>
      <c r="R30" s="1601">
        <v>3.4744000000000002</v>
      </c>
      <c r="S30" s="1601">
        <v>3.4763999999999999</v>
      </c>
      <c r="T30" s="1601">
        <v>3.6034000000000002</v>
      </c>
      <c r="U30" s="1601">
        <v>3.6867000000000001</v>
      </c>
      <c r="V30" s="1601">
        <v>3.7831999999999999</v>
      </c>
      <c r="W30" s="1601">
        <v>3.7913999999999999</v>
      </c>
      <c r="X30" s="1601">
        <v>3.7339000000000002</v>
      </c>
      <c r="Y30" s="1601">
        <v>3.6158000000000001</v>
      </c>
      <c r="Z30" s="1601">
        <v>3.6602999999999999</v>
      </c>
      <c r="AA30" s="1601">
        <v>3.7793999999999999</v>
      </c>
      <c r="AB30" s="1601">
        <v>3.8874</v>
      </c>
      <c r="AC30" s="1601">
        <v>3.9068999999999998</v>
      </c>
      <c r="AD30" s="1601">
        <v>3.8660999999999999</v>
      </c>
      <c r="AE30" s="1601">
        <v>4.0503999999999998</v>
      </c>
      <c r="AF30" s="1601">
        <v>4.3354999999999997</v>
      </c>
      <c r="AG30" s="1601">
        <v>4.5019</v>
      </c>
    </row>
    <row r="31" spans="1:33">
      <c r="A31" s="1606"/>
      <c r="B31" s="1601" t="s">
        <v>2332</v>
      </c>
      <c r="C31" s="1611">
        <v>0.38643535086863623</v>
      </c>
      <c r="D31" s="1612"/>
      <c r="E31" s="1602" t="s">
        <v>2333</v>
      </c>
      <c r="F31" s="1601">
        <v>5.04</v>
      </c>
      <c r="H31" s="1602" t="s">
        <v>2333</v>
      </c>
      <c r="I31" s="1601">
        <v>5.2366000000000001</v>
      </c>
      <c r="J31" s="1601">
        <v>4.9156000000000004</v>
      </c>
      <c r="K31" s="1601">
        <v>4.7495000000000003</v>
      </c>
      <c r="L31" s="1601">
        <v>4.7534000000000001</v>
      </c>
      <c r="M31" s="1601">
        <v>4.7321999999999997</v>
      </c>
      <c r="N31" s="1601">
        <v>4.8482000000000003</v>
      </c>
      <c r="O31" s="1601">
        <v>4.8022999999999998</v>
      </c>
      <c r="P31" s="1601">
        <v>4.8259999999999996</v>
      </c>
      <c r="Q31" s="1601">
        <v>4.8144999999999998</v>
      </c>
      <c r="R31" s="1601">
        <v>5.0167999999999999</v>
      </c>
      <c r="S31" s="1601">
        <v>4.9409999999999998</v>
      </c>
      <c r="T31" s="1601">
        <v>5.0444000000000004</v>
      </c>
      <c r="U31" s="1601">
        <v>5.0983999999999998</v>
      </c>
      <c r="V31" s="1601">
        <v>5.1691000000000003</v>
      </c>
      <c r="W31" s="1601">
        <v>5.1402000000000001</v>
      </c>
      <c r="X31" s="1601">
        <v>5.0685000000000002</v>
      </c>
      <c r="Y31" s="1601">
        <v>4.9363999999999999</v>
      </c>
      <c r="Z31" s="1601">
        <v>5.0510999999999999</v>
      </c>
      <c r="AA31" s="1601">
        <v>5.2073</v>
      </c>
      <c r="AB31" s="1601">
        <v>5.2412999999999998</v>
      </c>
      <c r="AC31" s="1601">
        <v>5.1352000000000002</v>
      </c>
      <c r="AD31" s="1601">
        <v>4.9823000000000004</v>
      </c>
      <c r="AE31" s="1601">
        <v>5.1295000000000002</v>
      </c>
      <c r="AF31" s="1601">
        <v>5.4545000000000003</v>
      </c>
      <c r="AG31" s="1601">
        <v>5.6923000000000004</v>
      </c>
    </row>
    <row r="32" spans="1:33">
      <c r="B32" s="1601" t="s">
        <v>2334</v>
      </c>
      <c r="C32" s="1611">
        <v>1.6048386465533568E-2</v>
      </c>
      <c r="D32" s="1612"/>
      <c r="E32" s="1602" t="s">
        <v>2335</v>
      </c>
      <c r="F32" s="1601">
        <v>5.59</v>
      </c>
      <c r="H32" s="1602" t="s">
        <v>2335</v>
      </c>
      <c r="I32" s="1601">
        <v>5.2230999999999996</v>
      </c>
      <c r="J32" s="1601">
        <v>4.6287000000000003</v>
      </c>
      <c r="K32" s="1601">
        <v>3.7284000000000002</v>
      </c>
      <c r="L32" s="1601">
        <v>3.3494000000000002</v>
      </c>
      <c r="M32" s="1601">
        <v>3.0219999999999998</v>
      </c>
      <c r="N32" s="1601">
        <v>3.8677000000000001</v>
      </c>
      <c r="O32" s="1601">
        <v>4.4287999999999998</v>
      </c>
      <c r="P32" s="1601">
        <v>4.6241000000000003</v>
      </c>
      <c r="Q32" s="1601">
        <v>4.2123999999999997</v>
      </c>
      <c r="R32" s="1601">
        <v>5.1292</v>
      </c>
      <c r="S32" s="1601">
        <v>5.6547999999999998</v>
      </c>
      <c r="T32" s="1601">
        <v>6.1524999999999999</v>
      </c>
      <c r="U32" s="1601">
        <v>6.4819000000000004</v>
      </c>
      <c r="V32" s="1601">
        <v>6.5350000000000001</v>
      </c>
      <c r="W32" s="1601">
        <v>5.9286000000000003</v>
      </c>
      <c r="X32" s="1601">
        <v>5.1696</v>
      </c>
      <c r="Y32" s="1601">
        <v>4.3362999999999996</v>
      </c>
      <c r="Z32" s="1601">
        <v>4.3150000000000004</v>
      </c>
      <c r="AA32" s="1601">
        <v>5.3783000000000003</v>
      </c>
      <c r="AB32" s="1601">
        <v>6.3879000000000001</v>
      </c>
      <c r="AC32" s="1601">
        <v>7.2093999999999996</v>
      </c>
      <c r="AD32" s="1601">
        <v>7.7832999999999997</v>
      </c>
      <c r="AE32" s="1601">
        <v>8.3268000000000004</v>
      </c>
      <c r="AF32" s="1601">
        <v>8.7443000000000008</v>
      </c>
      <c r="AG32" s="1601">
        <v>9.3803999999999998</v>
      </c>
    </row>
    <row r="33" spans="1:33">
      <c r="B33" s="1601" t="s">
        <v>2336</v>
      </c>
      <c r="C33" s="1611">
        <v>8.2741169503319149E-6</v>
      </c>
      <c r="D33" s="1612"/>
      <c r="E33" s="1602" t="s">
        <v>2337</v>
      </c>
      <c r="F33" s="1601">
        <v>4.8499999999999996</v>
      </c>
      <c r="H33" s="1602" t="s">
        <v>2337</v>
      </c>
      <c r="I33" s="1601">
        <v>5.1909000000000001</v>
      </c>
      <c r="J33" s="1601">
        <v>4.6459000000000001</v>
      </c>
      <c r="K33" s="1601">
        <v>4.8178999999999998</v>
      </c>
      <c r="L33" s="1601">
        <v>4.3529</v>
      </c>
      <c r="M33" s="1601">
        <v>4.7640000000000002</v>
      </c>
      <c r="N33" s="1601">
        <v>4.3745000000000003</v>
      </c>
      <c r="O33" s="1601">
        <v>4.7980999999999998</v>
      </c>
      <c r="P33" s="1601">
        <v>4.2847999999999997</v>
      </c>
      <c r="Q33" s="1601">
        <v>4.6947000000000001</v>
      </c>
      <c r="R33" s="1601">
        <v>4.4763999999999999</v>
      </c>
      <c r="S33" s="1601">
        <v>4.8270999999999997</v>
      </c>
      <c r="T33" s="1601">
        <v>4.6356000000000002</v>
      </c>
      <c r="U33" s="1601">
        <v>4.9865000000000004</v>
      </c>
      <c r="V33" s="1601">
        <v>4.7960000000000003</v>
      </c>
      <c r="W33" s="1601">
        <v>4.9432999999999998</v>
      </c>
      <c r="X33" s="1601">
        <v>4.6637000000000004</v>
      </c>
      <c r="Y33" s="1601">
        <v>4.6443000000000003</v>
      </c>
      <c r="Z33" s="1601">
        <v>4.6942000000000004</v>
      </c>
      <c r="AA33" s="1601">
        <v>5.0016999999999996</v>
      </c>
      <c r="AB33" s="1601">
        <v>5.0765000000000002</v>
      </c>
      <c r="AC33" s="1601">
        <v>5.0861000000000001</v>
      </c>
      <c r="AD33" s="1601">
        <v>4.9710999999999999</v>
      </c>
      <c r="AE33" s="1601">
        <v>5.1672000000000002</v>
      </c>
      <c r="AF33" s="1601">
        <v>5.4854000000000003</v>
      </c>
      <c r="AG33" s="1601">
        <v>5.7664</v>
      </c>
    </row>
    <row r="34" spans="1:33">
      <c r="A34" s="1606" t="s">
        <v>1011</v>
      </c>
      <c r="B34" s="1606" t="s">
        <v>2338</v>
      </c>
      <c r="C34" s="1609">
        <v>2.9527943615746186</v>
      </c>
      <c r="D34" s="1610"/>
      <c r="E34" s="1602" t="s">
        <v>2339</v>
      </c>
      <c r="F34" s="1606">
        <v>3.59</v>
      </c>
      <c r="G34" s="1606"/>
      <c r="H34" s="1602" t="s">
        <v>2339</v>
      </c>
      <c r="I34" s="1606">
        <v>3.3849</v>
      </c>
      <c r="J34" s="1606">
        <v>3.5082</v>
      </c>
      <c r="K34" s="1606">
        <v>3.2970000000000002</v>
      </c>
      <c r="L34" s="1606">
        <v>3.4735999999999998</v>
      </c>
      <c r="M34" s="1606">
        <v>3.1652999999999998</v>
      </c>
      <c r="N34" s="1606">
        <v>3.4914000000000001</v>
      </c>
      <c r="O34" s="1606">
        <v>3.6749999999999998</v>
      </c>
      <c r="P34" s="1606">
        <v>3.9746999999999999</v>
      </c>
      <c r="Q34" s="1606">
        <v>3.5082</v>
      </c>
      <c r="R34" s="1606">
        <v>3.6876000000000002</v>
      </c>
      <c r="S34" s="1606">
        <v>3.6720000000000002</v>
      </c>
      <c r="T34" s="1606">
        <v>3.7530000000000001</v>
      </c>
      <c r="U34" s="1606">
        <v>3.8632</v>
      </c>
      <c r="V34" s="1606">
        <v>4.0077999999999996</v>
      </c>
      <c r="W34" s="1606">
        <v>3.8677000000000001</v>
      </c>
      <c r="X34" s="1606">
        <v>3.7311000000000001</v>
      </c>
      <c r="Y34" s="1606">
        <v>3.3264</v>
      </c>
      <c r="Z34" s="1606">
        <v>3.0402</v>
      </c>
      <c r="AA34" s="1606">
        <v>3.4279999999999999</v>
      </c>
      <c r="AB34" s="1606">
        <v>3.6846999999999999</v>
      </c>
      <c r="AC34" s="1606">
        <v>3.6366999999999998</v>
      </c>
      <c r="AD34" s="1606">
        <v>3.6017000000000001</v>
      </c>
      <c r="AE34" s="1606">
        <v>3.7004000000000001</v>
      </c>
      <c r="AF34" s="1606">
        <v>3.6116000000000001</v>
      </c>
      <c r="AG34" s="1606">
        <v>3.5787</v>
      </c>
    </row>
    <row r="35" spans="1:33">
      <c r="A35" s="1606"/>
      <c r="B35" s="1601" t="s">
        <v>2340</v>
      </c>
      <c r="C35" s="1611">
        <v>0.86574112222550648</v>
      </c>
      <c r="D35" s="1612"/>
      <c r="E35" s="1602" t="s">
        <v>2341</v>
      </c>
      <c r="F35" s="1601">
        <v>3.46</v>
      </c>
      <c r="H35" s="1602" t="s">
        <v>2341</v>
      </c>
      <c r="I35" s="1601">
        <v>3.0701000000000001</v>
      </c>
      <c r="J35" s="1601">
        <v>3.1848999999999998</v>
      </c>
      <c r="K35" s="1601">
        <v>2.7157</v>
      </c>
      <c r="L35" s="1601">
        <v>3.1869000000000001</v>
      </c>
      <c r="M35" s="1601">
        <v>2.5196999999999998</v>
      </c>
      <c r="N35" s="1601">
        <v>3.3054999999999999</v>
      </c>
      <c r="O35" s="1601">
        <v>3.8389000000000002</v>
      </c>
      <c r="P35" s="1601">
        <v>4.5968999999999998</v>
      </c>
      <c r="Q35" s="1601">
        <v>3.4685000000000001</v>
      </c>
      <c r="R35" s="1601">
        <v>3.7808999999999999</v>
      </c>
      <c r="S35" s="1601">
        <v>3.7625000000000002</v>
      </c>
      <c r="T35" s="1601">
        <v>3.8835999999999999</v>
      </c>
      <c r="U35" s="1601">
        <v>4.1135000000000002</v>
      </c>
      <c r="V35" s="1601">
        <v>4.4238</v>
      </c>
      <c r="W35" s="1601">
        <v>4.0983000000000001</v>
      </c>
      <c r="X35" s="1601">
        <v>3.8296999999999999</v>
      </c>
      <c r="Y35" s="1601">
        <v>2.9348000000000001</v>
      </c>
      <c r="Z35" s="1601">
        <v>2.2004999999999999</v>
      </c>
      <c r="AA35" s="1601">
        <v>3.0709</v>
      </c>
      <c r="AB35" s="1601">
        <v>3.6404999999999998</v>
      </c>
      <c r="AC35" s="1601">
        <v>3.5337999999999998</v>
      </c>
      <c r="AD35" s="1601">
        <v>3.5072999999999999</v>
      </c>
      <c r="AE35" s="1601">
        <v>3.6459999999999999</v>
      </c>
      <c r="AF35" s="1601">
        <v>3.2216</v>
      </c>
      <c r="AG35" s="1601">
        <v>2.9910000000000001</v>
      </c>
    </row>
    <row r="36" spans="1:33">
      <c r="A36" s="1606"/>
      <c r="B36" s="1601" t="s">
        <v>2342</v>
      </c>
      <c r="C36" s="1611">
        <v>1.2587797008869599</v>
      </c>
      <c r="D36" s="1612"/>
      <c r="E36" s="1602" t="s">
        <v>2343</v>
      </c>
      <c r="F36" s="1601">
        <v>3.66</v>
      </c>
      <c r="H36" s="1602" t="s">
        <v>2343</v>
      </c>
      <c r="I36" s="1601">
        <v>3.5028000000000001</v>
      </c>
      <c r="J36" s="1601">
        <v>3.6711999999999998</v>
      </c>
      <c r="K36" s="1601">
        <v>3.5257999999999998</v>
      </c>
      <c r="L36" s="1601">
        <v>3.6286</v>
      </c>
      <c r="M36" s="1601">
        <v>3.3976999999999999</v>
      </c>
      <c r="N36" s="1601">
        <v>3.6122000000000001</v>
      </c>
      <c r="O36" s="1601">
        <v>3.6936</v>
      </c>
      <c r="P36" s="1601">
        <v>3.8639000000000001</v>
      </c>
      <c r="Q36" s="1601">
        <v>3.5413000000000001</v>
      </c>
      <c r="R36" s="1601">
        <v>3.7027999999999999</v>
      </c>
      <c r="S36" s="1601">
        <v>3.6842999999999999</v>
      </c>
      <c r="T36" s="1601">
        <v>3.7545999999999999</v>
      </c>
      <c r="U36" s="1601">
        <v>3.8323999999999998</v>
      </c>
      <c r="V36" s="1601">
        <v>3.9302000000000001</v>
      </c>
      <c r="W36" s="1601">
        <v>3.8315000000000001</v>
      </c>
      <c r="X36" s="1601">
        <v>3.7284999999999999</v>
      </c>
      <c r="Y36" s="1601">
        <v>3.452</v>
      </c>
      <c r="Z36" s="1601">
        <v>3.2900999999999998</v>
      </c>
      <c r="AA36" s="1601">
        <v>3.5539999999999998</v>
      </c>
      <c r="AB36" s="1601">
        <v>3.7235999999999998</v>
      </c>
      <c r="AC36" s="1601">
        <v>3.6825000000000001</v>
      </c>
      <c r="AD36" s="1601">
        <v>3.6392000000000002</v>
      </c>
      <c r="AE36" s="1601">
        <v>3.7271000000000001</v>
      </c>
      <c r="AF36" s="1601">
        <v>3.7288000000000001</v>
      </c>
      <c r="AG36" s="1601">
        <v>3.7517999999999998</v>
      </c>
    </row>
    <row r="37" spans="1:33">
      <c r="B37" s="1601" t="s">
        <v>2344</v>
      </c>
      <c r="C37" s="1611">
        <v>0.19161317974827519</v>
      </c>
      <c r="D37" s="1612"/>
      <c r="E37" s="1602" t="s">
        <v>2345</v>
      </c>
      <c r="F37" s="1601">
        <v>3.37</v>
      </c>
      <c r="H37" s="1602" t="s">
        <v>2345</v>
      </c>
      <c r="I37" s="1601">
        <v>3.1556999999999999</v>
      </c>
      <c r="J37" s="1601">
        <v>3.3248000000000002</v>
      </c>
      <c r="K37" s="1601">
        <v>3.2547999999999999</v>
      </c>
      <c r="L37" s="1601">
        <v>3.3235999999999999</v>
      </c>
      <c r="M37" s="1601">
        <v>3.1802000000000001</v>
      </c>
      <c r="N37" s="1601">
        <v>3.3069999999999999</v>
      </c>
      <c r="O37" s="1601">
        <v>3.3462000000000001</v>
      </c>
      <c r="P37" s="1601">
        <v>3.4518</v>
      </c>
      <c r="Q37" s="1601">
        <v>3.2848000000000002</v>
      </c>
      <c r="R37" s="1601">
        <v>3.3982000000000001</v>
      </c>
      <c r="S37" s="1601">
        <v>3.3856000000000002</v>
      </c>
      <c r="T37" s="1601">
        <v>3.4396</v>
      </c>
      <c r="U37" s="1601">
        <v>3.4891999999999999</v>
      </c>
      <c r="V37" s="1601">
        <v>3.5512000000000001</v>
      </c>
      <c r="W37" s="1601">
        <v>3.4973999999999998</v>
      </c>
      <c r="X37" s="1601">
        <v>3.4304999999999999</v>
      </c>
      <c r="Y37" s="1601">
        <v>3.2682000000000002</v>
      </c>
      <c r="Z37" s="1601">
        <v>3.1833</v>
      </c>
      <c r="AA37" s="1601">
        <v>3.3367</v>
      </c>
      <c r="AB37" s="1601">
        <v>3.4432</v>
      </c>
      <c r="AC37" s="1601">
        <v>3.4232999999999998</v>
      </c>
      <c r="AD37" s="1601">
        <v>3.3936000000000002</v>
      </c>
      <c r="AE37" s="1601">
        <v>3.4624999999999999</v>
      </c>
      <c r="AF37" s="1601">
        <v>3.5007000000000001</v>
      </c>
      <c r="AG37" s="1601">
        <v>3.5398999999999998</v>
      </c>
    </row>
    <row r="38" spans="1:33">
      <c r="A38" s="1606"/>
      <c r="B38" s="1601" t="s">
        <v>2346</v>
      </c>
      <c r="C38" s="1611">
        <v>0.63666035871387694</v>
      </c>
      <c r="D38" s="1612"/>
      <c r="E38" s="1602" t="s">
        <v>2347</v>
      </c>
      <c r="F38" s="1601">
        <v>3.68</v>
      </c>
      <c r="H38" s="1602" t="s">
        <v>2347</v>
      </c>
      <c r="I38" s="1601">
        <v>3.6486999999999998</v>
      </c>
      <c r="J38" s="1601">
        <v>3.6783000000000001</v>
      </c>
      <c r="K38" s="1601">
        <v>3.6402999999999999</v>
      </c>
      <c r="L38" s="1601">
        <v>3.5948000000000002</v>
      </c>
      <c r="M38" s="1601">
        <v>3.5602</v>
      </c>
      <c r="N38" s="1601">
        <v>3.5526</v>
      </c>
      <c r="O38" s="1601">
        <v>3.5200999999999998</v>
      </c>
      <c r="P38" s="1601">
        <v>3.5286</v>
      </c>
      <c r="Q38" s="1601">
        <v>3.5613000000000001</v>
      </c>
      <c r="R38" s="1601">
        <v>3.6185</v>
      </c>
      <c r="S38" s="1601">
        <v>3.6110000000000002</v>
      </c>
      <c r="T38" s="1601">
        <v>3.6671999999999998</v>
      </c>
      <c r="U38" s="1601">
        <v>3.6991000000000001</v>
      </c>
      <c r="V38" s="1601">
        <v>3.7372000000000001</v>
      </c>
      <c r="W38" s="1601">
        <v>3.7361</v>
      </c>
      <c r="X38" s="1601">
        <v>3.69</v>
      </c>
      <c r="Y38" s="1601">
        <v>3.6238999999999999</v>
      </c>
      <c r="Z38" s="1601">
        <v>3.6328999999999998</v>
      </c>
      <c r="AA38" s="1601">
        <v>3.6789000000000001</v>
      </c>
      <c r="AB38" s="1601">
        <v>3.7351000000000001</v>
      </c>
      <c r="AC38" s="1601">
        <v>3.7427999999999999</v>
      </c>
      <c r="AD38" s="1601">
        <v>3.7111000000000001</v>
      </c>
      <c r="AE38" s="1601">
        <v>3.7864</v>
      </c>
      <c r="AF38" s="1601">
        <v>3.923</v>
      </c>
      <c r="AG38" s="1601">
        <v>4.0140000000000002</v>
      </c>
    </row>
    <row r="39" spans="1:33">
      <c r="A39" s="1606" t="s">
        <v>1007</v>
      </c>
      <c r="B39" s="1606" t="s">
        <v>2348</v>
      </c>
      <c r="C39" s="1609">
        <v>0.71959149077754447</v>
      </c>
      <c r="D39" s="1610"/>
      <c r="E39" s="1602" t="s">
        <v>2349</v>
      </c>
      <c r="F39" s="1606">
        <v>4.18</v>
      </c>
      <c r="G39" s="1606"/>
      <c r="H39" s="1602" t="s">
        <v>2349</v>
      </c>
      <c r="I39" s="1606">
        <v>4.3695000000000004</v>
      </c>
      <c r="J39" s="1606">
        <v>4.2549000000000001</v>
      </c>
      <c r="K39" s="1606">
        <v>4.2473999999999998</v>
      </c>
      <c r="L39" s="1606">
        <v>4.08</v>
      </c>
      <c r="M39" s="1606">
        <v>4.1698000000000004</v>
      </c>
      <c r="N39" s="1606">
        <v>4.0117000000000003</v>
      </c>
      <c r="O39" s="1606">
        <v>3.8692000000000002</v>
      </c>
      <c r="P39" s="1606">
        <v>3.7515000000000001</v>
      </c>
      <c r="Q39" s="1606">
        <v>4.0376000000000003</v>
      </c>
      <c r="R39" s="1606">
        <v>4.0500999999999996</v>
      </c>
      <c r="S39" s="1606">
        <v>4.0372000000000003</v>
      </c>
      <c r="T39" s="1606">
        <v>4.0884</v>
      </c>
      <c r="U39" s="1606">
        <v>4.0880000000000001</v>
      </c>
      <c r="V39" s="1606">
        <v>4.0852000000000004</v>
      </c>
      <c r="W39" s="1606">
        <v>4.1483999999999996</v>
      </c>
      <c r="X39" s="1606">
        <v>4.1398000000000001</v>
      </c>
      <c r="Y39" s="1606">
        <v>4.2112999999999996</v>
      </c>
      <c r="Z39" s="1606">
        <v>4.3476999999999997</v>
      </c>
      <c r="AA39" s="1606">
        <v>4.2531999999999996</v>
      </c>
      <c r="AB39" s="1606">
        <v>4.2283999999999997</v>
      </c>
      <c r="AC39" s="1606">
        <v>4.2648999999999999</v>
      </c>
      <c r="AD39" s="1606">
        <v>4.2393000000000001</v>
      </c>
      <c r="AE39" s="1606">
        <v>4.3205999999999998</v>
      </c>
      <c r="AF39" s="1606">
        <v>4.5636000000000001</v>
      </c>
      <c r="AG39" s="1606">
        <v>4.7061000000000002</v>
      </c>
    </row>
    <row r="40" spans="1:33">
      <c r="B40" s="1601" t="s">
        <v>2350</v>
      </c>
      <c r="C40" s="1611">
        <v>0.15132042021176209</v>
      </c>
      <c r="D40" s="1612"/>
      <c r="E40" s="1602" t="s">
        <v>2351</v>
      </c>
      <c r="F40" s="1601">
        <v>3.83</v>
      </c>
      <c r="H40" s="1602" t="s">
        <v>2351</v>
      </c>
      <c r="I40" s="1601">
        <v>3.6825999999999999</v>
      </c>
      <c r="J40" s="1601">
        <v>3.9108000000000001</v>
      </c>
      <c r="K40" s="1601">
        <v>3.7587000000000002</v>
      </c>
      <c r="L40" s="1601">
        <v>3.8687999999999998</v>
      </c>
      <c r="M40" s="1601">
        <v>3.6233</v>
      </c>
      <c r="N40" s="1601">
        <v>3.8496999999999999</v>
      </c>
      <c r="O40" s="1601">
        <v>3.8771</v>
      </c>
      <c r="P40" s="1601">
        <v>3.9782000000000002</v>
      </c>
      <c r="Q40" s="1601">
        <v>3.6231</v>
      </c>
      <c r="R40" s="1601">
        <v>3.8248000000000002</v>
      </c>
      <c r="S40" s="1601">
        <v>3.8071000000000002</v>
      </c>
      <c r="T40" s="1601">
        <v>3.8763000000000001</v>
      </c>
      <c r="U40" s="1601">
        <v>3.9449999999999998</v>
      </c>
      <c r="V40" s="1601">
        <v>4.0210999999999997</v>
      </c>
      <c r="W40" s="1601">
        <v>3.9169</v>
      </c>
      <c r="X40" s="1601">
        <v>3.8302999999999998</v>
      </c>
      <c r="Y40" s="1601">
        <v>3.6002999999999998</v>
      </c>
      <c r="Z40" s="1601">
        <v>3.5152999999999999</v>
      </c>
      <c r="AA40" s="1601">
        <v>3.7846000000000002</v>
      </c>
      <c r="AB40" s="1601">
        <v>3.9140999999999999</v>
      </c>
      <c r="AC40" s="1601">
        <v>3.8548</v>
      </c>
      <c r="AD40" s="1601">
        <v>3.8035999999999999</v>
      </c>
      <c r="AE40" s="1601">
        <v>3.8847999999999998</v>
      </c>
      <c r="AF40" s="1601">
        <v>3.9243999999999999</v>
      </c>
      <c r="AG40" s="1601">
        <v>3.9958999999999998</v>
      </c>
    </row>
    <row r="41" spans="1:33">
      <c r="A41" s="1606"/>
      <c r="B41" s="1601" t="s">
        <v>2352</v>
      </c>
      <c r="C41" s="1611">
        <v>0.5682710705657823</v>
      </c>
      <c r="D41" s="1612"/>
      <c r="E41" s="1602" t="s">
        <v>2353</v>
      </c>
      <c r="F41" s="1601">
        <v>4.2699999999999996</v>
      </c>
      <c r="H41" s="1602" t="s">
        <v>2353</v>
      </c>
      <c r="I41" s="1601">
        <v>4.5523999999999996</v>
      </c>
      <c r="J41" s="1601">
        <v>4.3456999999999999</v>
      </c>
      <c r="K41" s="1601">
        <v>4.3758999999999997</v>
      </c>
      <c r="L41" s="1601">
        <v>4.1353</v>
      </c>
      <c r="M41" s="1601">
        <v>4.3124000000000002</v>
      </c>
      <c r="N41" s="1601">
        <v>4.0536000000000003</v>
      </c>
      <c r="O41" s="1601">
        <v>3.8672</v>
      </c>
      <c r="P41" s="1601">
        <v>3.6928999999999998</v>
      </c>
      <c r="Q41" s="1601">
        <v>4.1449999999999996</v>
      </c>
      <c r="R41" s="1601">
        <v>4.1082999999999998</v>
      </c>
      <c r="S41" s="1601">
        <v>4.0963000000000003</v>
      </c>
      <c r="T41" s="1601">
        <v>4.1428000000000003</v>
      </c>
      <c r="U41" s="1601">
        <v>4.1246</v>
      </c>
      <c r="V41" s="1601">
        <v>4.1016000000000004</v>
      </c>
      <c r="W41" s="1601">
        <v>4.2074999999999996</v>
      </c>
      <c r="X41" s="1601">
        <v>4.2186000000000003</v>
      </c>
      <c r="Y41" s="1601">
        <v>4.3662000000000001</v>
      </c>
      <c r="Z41" s="1601">
        <v>4.5571999999999999</v>
      </c>
      <c r="AA41" s="1601">
        <v>4.37</v>
      </c>
      <c r="AB41" s="1601">
        <v>4.3063000000000002</v>
      </c>
      <c r="AC41" s="1601">
        <v>4.3662000000000001</v>
      </c>
      <c r="AD41" s="1601">
        <v>4.3463000000000003</v>
      </c>
      <c r="AE41" s="1601">
        <v>4.4271000000000003</v>
      </c>
      <c r="AF41" s="1601">
        <v>4.7190000000000003</v>
      </c>
      <c r="AG41" s="1601">
        <v>4.8773999999999997</v>
      </c>
    </row>
    <row r="42" spans="1:33">
      <c r="A42" s="1606"/>
      <c r="B42" s="1606" t="s">
        <v>2354</v>
      </c>
      <c r="C42" s="1609">
        <v>2.9256473049978315</v>
      </c>
      <c r="D42" s="1610"/>
      <c r="E42" s="1602" t="s">
        <v>2355</v>
      </c>
      <c r="F42" s="1606">
        <v>3.91</v>
      </c>
      <c r="G42" s="1606"/>
      <c r="H42" s="1602" t="s">
        <v>2355</v>
      </c>
      <c r="I42" s="1606">
        <v>3.9182000000000001</v>
      </c>
      <c r="J42" s="1606">
        <v>3.8574999999999999</v>
      </c>
      <c r="K42" s="1606">
        <v>3.7471999999999999</v>
      </c>
      <c r="L42" s="1606">
        <v>3.7263000000000002</v>
      </c>
      <c r="M42" s="1606">
        <v>3.6301999999999999</v>
      </c>
      <c r="N42" s="1606">
        <v>3.6846999999999999</v>
      </c>
      <c r="O42" s="1606">
        <v>3.7389999999999999</v>
      </c>
      <c r="P42" s="1606">
        <v>3.8769</v>
      </c>
      <c r="Q42" s="1606">
        <v>3.8174000000000001</v>
      </c>
      <c r="R42" s="1606">
        <v>3.8874</v>
      </c>
      <c r="S42" s="1606">
        <v>3.8900999999999999</v>
      </c>
      <c r="T42" s="1606">
        <v>3.97</v>
      </c>
      <c r="U42" s="1606">
        <v>4.0422000000000002</v>
      </c>
      <c r="V42" s="1606">
        <v>4.1421000000000001</v>
      </c>
      <c r="W42" s="1606">
        <v>4.1223000000000001</v>
      </c>
      <c r="X42" s="1606">
        <v>4.0453999999999999</v>
      </c>
      <c r="Y42" s="1606">
        <v>3.8513999999999999</v>
      </c>
      <c r="Z42" s="1606">
        <v>3.7088999999999999</v>
      </c>
      <c r="AA42" s="1606">
        <v>3.8264</v>
      </c>
      <c r="AB42" s="1606">
        <v>3.9784999999999999</v>
      </c>
      <c r="AC42" s="1606">
        <v>3.9988000000000001</v>
      </c>
      <c r="AD42" s="1606">
        <v>3.9750999999999999</v>
      </c>
      <c r="AE42" s="1606">
        <v>4.0805999999999996</v>
      </c>
      <c r="AF42" s="1606">
        <v>4.1353</v>
      </c>
      <c r="AG42" s="1606">
        <v>4.1261999999999999</v>
      </c>
    </row>
    <row r="43" spans="1:33">
      <c r="A43" s="1606" t="s">
        <v>1013</v>
      </c>
      <c r="B43" s="1601" t="s">
        <v>2356</v>
      </c>
      <c r="C43" s="1611">
        <v>1.087589509326558</v>
      </c>
      <c r="D43" s="1612"/>
      <c r="E43" s="1602" t="s">
        <v>2357</v>
      </c>
      <c r="F43" s="1601">
        <v>3.87</v>
      </c>
      <c r="H43" s="1602" t="s">
        <v>2357</v>
      </c>
      <c r="I43" s="1601">
        <v>3.7898000000000001</v>
      </c>
      <c r="J43" s="1601">
        <v>3.8330000000000002</v>
      </c>
      <c r="K43" s="1601">
        <v>3.7198000000000002</v>
      </c>
      <c r="L43" s="1601">
        <v>3.77</v>
      </c>
      <c r="M43" s="1601">
        <v>3.6240999999999999</v>
      </c>
      <c r="N43" s="1601">
        <v>3.7517</v>
      </c>
      <c r="O43" s="1601">
        <v>3.7757000000000001</v>
      </c>
      <c r="P43" s="1601">
        <v>3.8729</v>
      </c>
      <c r="Q43" s="1601">
        <v>3.6886000000000001</v>
      </c>
      <c r="R43" s="1601">
        <v>3.8317999999999999</v>
      </c>
      <c r="S43" s="1601">
        <v>3.8279999999999998</v>
      </c>
      <c r="T43" s="1601">
        <v>3.8984000000000001</v>
      </c>
      <c r="U43" s="1601">
        <v>3.9588999999999999</v>
      </c>
      <c r="V43" s="1601">
        <v>4.0324999999999998</v>
      </c>
      <c r="W43" s="1601">
        <v>3.9761000000000002</v>
      </c>
      <c r="X43" s="1601">
        <v>3.9182999999999999</v>
      </c>
      <c r="Y43" s="1601">
        <v>3.7597</v>
      </c>
      <c r="Z43" s="1601">
        <v>3.6960000000000002</v>
      </c>
      <c r="AA43" s="1601">
        <v>3.8881000000000001</v>
      </c>
      <c r="AB43" s="1601">
        <v>4.0079000000000002</v>
      </c>
      <c r="AC43" s="1601">
        <v>3.9830000000000001</v>
      </c>
      <c r="AD43" s="1601">
        <v>3.9554999999999998</v>
      </c>
      <c r="AE43" s="1601">
        <v>4.0456000000000003</v>
      </c>
      <c r="AF43" s="1601">
        <v>4.0885999999999996</v>
      </c>
      <c r="AG43" s="1601">
        <v>4.1254</v>
      </c>
    </row>
    <row r="44" spans="1:33">
      <c r="A44" s="1606" t="s">
        <v>1009</v>
      </c>
      <c r="B44" s="1601" t="s">
        <v>2358</v>
      </c>
      <c r="C44" s="1611">
        <v>0.77400668046566801</v>
      </c>
      <c r="D44" s="1612"/>
      <c r="E44" s="1602" t="s">
        <v>2359</v>
      </c>
      <c r="F44" s="1601">
        <v>4.1100000000000003</v>
      </c>
      <c r="H44" s="1602" t="s">
        <v>2359</v>
      </c>
      <c r="I44" s="1601">
        <v>4.3257000000000003</v>
      </c>
      <c r="J44" s="1601">
        <v>4.0376000000000003</v>
      </c>
      <c r="K44" s="1601">
        <v>3.7543000000000002</v>
      </c>
      <c r="L44" s="1601">
        <v>3.7328000000000001</v>
      </c>
      <c r="M44" s="1601">
        <v>3.51</v>
      </c>
      <c r="N44" s="1601">
        <v>3.6642999999999999</v>
      </c>
      <c r="O44" s="1601">
        <v>3.9325999999999999</v>
      </c>
      <c r="P44" s="1601">
        <v>4.3681000000000001</v>
      </c>
      <c r="Q44" s="1601">
        <v>4.1596000000000002</v>
      </c>
      <c r="R44" s="1601">
        <v>4.2232000000000003</v>
      </c>
      <c r="S44" s="1601">
        <v>4.2324999999999999</v>
      </c>
      <c r="T44" s="1601">
        <v>4.3642000000000003</v>
      </c>
      <c r="U44" s="1601">
        <v>4.5232999999999999</v>
      </c>
      <c r="V44" s="1601">
        <v>4.7607999999999997</v>
      </c>
      <c r="W44" s="1601">
        <v>4.7035</v>
      </c>
      <c r="X44" s="1601">
        <v>4.5121000000000002</v>
      </c>
      <c r="Y44" s="1601">
        <v>3.9819</v>
      </c>
      <c r="Z44" s="1601">
        <v>3.4619</v>
      </c>
      <c r="AA44" s="1601">
        <v>3.6844999999999999</v>
      </c>
      <c r="AB44" s="1601">
        <v>4.0620000000000003</v>
      </c>
      <c r="AC44" s="1601">
        <v>4.1264000000000003</v>
      </c>
      <c r="AD44" s="1601">
        <v>4.1003999999999996</v>
      </c>
      <c r="AE44" s="1601">
        <v>4.2710999999999997</v>
      </c>
      <c r="AF44" s="1601">
        <v>4.1844000000000001</v>
      </c>
      <c r="AG44" s="1601">
        <v>3.9683999999999999</v>
      </c>
    </row>
    <row r="45" spans="1:33">
      <c r="A45" s="1606" t="s">
        <v>1001</v>
      </c>
      <c r="B45" s="1601" t="s">
        <v>2360</v>
      </c>
      <c r="C45" s="1611">
        <v>1.0640511152056054</v>
      </c>
      <c r="D45" s="1612"/>
      <c r="E45" s="1602" t="s">
        <v>2361</v>
      </c>
      <c r="F45" s="1601">
        <v>3.8</v>
      </c>
      <c r="H45" s="1602" t="s">
        <v>2361</v>
      </c>
      <c r="I45" s="1601">
        <v>3.7532000000000001</v>
      </c>
      <c r="J45" s="1601">
        <v>3.7507999999999999</v>
      </c>
      <c r="K45" s="1601">
        <v>3.7700999999999998</v>
      </c>
      <c r="L45" s="1601">
        <v>3.6768000000000001</v>
      </c>
      <c r="M45" s="1601">
        <v>3.7246999999999999</v>
      </c>
      <c r="N45" s="1601">
        <v>3.6312000000000002</v>
      </c>
      <c r="O45" s="1601">
        <v>3.5596999999999999</v>
      </c>
      <c r="P45" s="1601">
        <v>3.5198</v>
      </c>
      <c r="Q45" s="1601">
        <v>3.6962999999999999</v>
      </c>
      <c r="R45" s="1601">
        <v>3.6947000000000001</v>
      </c>
      <c r="S45" s="1601">
        <v>3.698</v>
      </c>
      <c r="T45" s="1601">
        <v>3.7473999999999998</v>
      </c>
      <c r="U45" s="1601">
        <v>3.7644000000000002</v>
      </c>
      <c r="V45" s="1601">
        <v>3.7839999999999998</v>
      </c>
      <c r="W45" s="1601">
        <v>3.8269000000000002</v>
      </c>
      <c r="X45" s="1601">
        <v>3.8153999999999999</v>
      </c>
      <c r="Y45" s="1601">
        <v>3.8449</v>
      </c>
      <c r="Z45" s="1601">
        <v>3.9155000000000002</v>
      </c>
      <c r="AA45" s="1601">
        <v>3.8730000000000002</v>
      </c>
      <c r="AB45" s="1601">
        <v>3.883</v>
      </c>
      <c r="AC45" s="1601">
        <v>3.9157999999999999</v>
      </c>
      <c r="AD45" s="1601">
        <v>3.8978000000000002</v>
      </c>
      <c r="AE45" s="1601">
        <v>3.9683000000000002</v>
      </c>
      <c r="AF45" s="1601">
        <v>4.1455000000000002</v>
      </c>
      <c r="AG45" s="1601">
        <v>4.2507999999999999</v>
      </c>
    </row>
    <row r="46" spans="1:33">
      <c r="A46" s="1606" t="s">
        <v>1001</v>
      </c>
      <c r="B46" s="1606" t="s">
        <v>2362</v>
      </c>
      <c r="C46" s="1609">
        <v>1.6383070650020006</v>
      </c>
      <c r="D46" s="1610"/>
      <c r="E46" s="1602" t="s">
        <v>2363</v>
      </c>
      <c r="F46" s="1606">
        <v>4</v>
      </c>
      <c r="G46" s="1606"/>
      <c r="H46" s="1602" t="s">
        <v>2363</v>
      </c>
      <c r="I46" s="1606">
        <v>4.1104000000000003</v>
      </c>
      <c r="J46" s="1606">
        <v>3.9556</v>
      </c>
      <c r="K46" s="1606">
        <v>4.0968999999999998</v>
      </c>
      <c r="L46" s="1606">
        <v>3.8317999999999999</v>
      </c>
      <c r="M46" s="1606">
        <v>4.0964999999999998</v>
      </c>
      <c r="N46" s="1606">
        <v>3.7566999999999999</v>
      </c>
      <c r="O46" s="1606">
        <v>3.5829</v>
      </c>
      <c r="P46" s="1606">
        <v>3.3837999999999999</v>
      </c>
      <c r="Q46" s="1606">
        <v>3.9392999999999998</v>
      </c>
      <c r="R46" s="1606">
        <v>3.8109000000000002</v>
      </c>
      <c r="S46" s="1606">
        <v>3.8197999999999999</v>
      </c>
      <c r="T46" s="1606">
        <v>3.8487</v>
      </c>
      <c r="U46" s="1606">
        <v>3.8148</v>
      </c>
      <c r="V46" s="1606">
        <v>3.7730000000000001</v>
      </c>
      <c r="W46" s="1606">
        <v>3.9165999999999999</v>
      </c>
      <c r="X46" s="1606">
        <v>3.9546999999999999</v>
      </c>
      <c r="Y46" s="1606">
        <v>4.1856999999999998</v>
      </c>
      <c r="Z46" s="1606">
        <v>4.4063999999999997</v>
      </c>
      <c r="AA46" s="1606">
        <v>4.1317000000000004</v>
      </c>
      <c r="AB46" s="1606">
        <v>4.0377999999999998</v>
      </c>
      <c r="AC46" s="1606">
        <v>4.1261000000000001</v>
      </c>
      <c r="AD46" s="1606">
        <v>4.1234999999999999</v>
      </c>
      <c r="AE46" s="1606">
        <v>4.1787999999999998</v>
      </c>
      <c r="AF46" s="1606">
        <v>4.4710999999999999</v>
      </c>
      <c r="AG46" s="1606">
        <v>4.6215999999999999</v>
      </c>
    </row>
    <row r="47" spans="1:33">
      <c r="A47" s="1606"/>
      <c r="B47" s="1601" t="s">
        <v>2364</v>
      </c>
      <c r="C47" s="1611">
        <v>0.89282559541762241</v>
      </c>
      <c r="D47" s="1612"/>
      <c r="E47" s="1602" t="s">
        <v>2365</v>
      </c>
      <c r="F47" s="1601">
        <v>4.0199999999999996</v>
      </c>
      <c r="H47" s="1602" t="s">
        <v>2365</v>
      </c>
      <c r="I47" s="1601">
        <v>4.1497999999999999</v>
      </c>
      <c r="J47" s="1601">
        <v>3.9392</v>
      </c>
      <c r="K47" s="1601">
        <v>4.1166</v>
      </c>
      <c r="L47" s="1601">
        <v>3.8109999999999999</v>
      </c>
      <c r="M47" s="1601">
        <v>4.1318000000000001</v>
      </c>
      <c r="N47" s="1601">
        <v>3.7290999999999999</v>
      </c>
      <c r="O47" s="1601">
        <v>3.5304000000000002</v>
      </c>
      <c r="P47" s="1601">
        <v>3.2944</v>
      </c>
      <c r="Q47" s="1601">
        <v>3.9580000000000002</v>
      </c>
      <c r="R47" s="1601">
        <v>3.8050000000000002</v>
      </c>
      <c r="S47" s="1601">
        <v>3.8182999999999998</v>
      </c>
      <c r="T47" s="1601">
        <v>3.8447</v>
      </c>
      <c r="U47" s="1601">
        <v>3.8008999999999999</v>
      </c>
      <c r="V47" s="1601">
        <v>3.7471999999999999</v>
      </c>
      <c r="W47" s="1601">
        <v>3.9198</v>
      </c>
      <c r="X47" s="1601">
        <v>3.9735</v>
      </c>
      <c r="Y47" s="1601">
        <v>4.2553999999999998</v>
      </c>
      <c r="Z47" s="1601">
        <v>4.5072000000000001</v>
      </c>
      <c r="AA47" s="1601">
        <v>4.1824000000000003</v>
      </c>
      <c r="AB47" s="1601">
        <v>4.0712000000000002</v>
      </c>
      <c r="AC47" s="1601">
        <v>4.1737000000000002</v>
      </c>
      <c r="AD47" s="1601">
        <v>4.1776999999999997</v>
      </c>
      <c r="AE47" s="1601">
        <v>4.2324000000000002</v>
      </c>
      <c r="AF47" s="1601">
        <v>4.5454999999999997</v>
      </c>
      <c r="AG47" s="1601">
        <v>4.7034000000000002</v>
      </c>
    </row>
    <row r="48" spans="1:33">
      <c r="B48" s="1601" t="s">
        <v>2366</v>
      </c>
      <c r="C48" s="1611">
        <v>0.49833520745226206</v>
      </c>
      <c r="D48" s="1612"/>
      <c r="E48" s="1602" t="s">
        <v>2367</v>
      </c>
      <c r="F48" s="1601">
        <v>4.05</v>
      </c>
      <c r="H48" s="1602" t="s">
        <v>2367</v>
      </c>
      <c r="I48" s="1601">
        <v>4.1280999999999999</v>
      </c>
      <c r="J48" s="1601">
        <v>4.0166000000000004</v>
      </c>
      <c r="K48" s="1601">
        <v>4.1093000000000002</v>
      </c>
      <c r="L48" s="1601">
        <v>3.883</v>
      </c>
      <c r="M48" s="1601">
        <v>4.0914000000000001</v>
      </c>
      <c r="N48" s="1601">
        <v>3.823</v>
      </c>
      <c r="O48" s="1601">
        <v>3.6941999999999999</v>
      </c>
      <c r="P48" s="1601">
        <v>3.5554000000000001</v>
      </c>
      <c r="Q48" s="1601">
        <v>3.9904000000000002</v>
      </c>
      <c r="R48" s="1601">
        <v>3.8719999999999999</v>
      </c>
      <c r="S48" s="1601">
        <v>3.8813</v>
      </c>
      <c r="T48" s="1601">
        <v>3.9171999999999998</v>
      </c>
      <c r="U48" s="1601">
        <v>3.9018999999999999</v>
      </c>
      <c r="V48" s="1601">
        <v>3.8834</v>
      </c>
      <c r="W48" s="1601">
        <v>4.0000999999999998</v>
      </c>
      <c r="X48" s="1601">
        <v>4.0206</v>
      </c>
      <c r="Y48" s="1601">
        <v>4.1890000000000001</v>
      </c>
      <c r="Z48" s="1601">
        <v>4.3654000000000002</v>
      </c>
      <c r="AA48" s="1601">
        <v>4.1425999999999998</v>
      </c>
      <c r="AB48" s="1601">
        <v>4.0747999999999998</v>
      </c>
      <c r="AC48" s="1601">
        <v>4.1573000000000002</v>
      </c>
      <c r="AD48" s="1601">
        <v>4.1510999999999996</v>
      </c>
      <c r="AE48" s="1601">
        <v>4.2122000000000002</v>
      </c>
      <c r="AF48" s="1601">
        <v>4.4877000000000002</v>
      </c>
      <c r="AG48" s="1601">
        <v>4.6300999999999997</v>
      </c>
    </row>
    <row r="49" spans="1:33">
      <c r="A49" s="1606"/>
      <c r="B49" s="1601" t="s">
        <v>2368</v>
      </c>
      <c r="C49" s="1611">
        <v>0.24714626213211605</v>
      </c>
      <c r="D49" s="1612"/>
      <c r="E49" s="1602" t="s">
        <v>2369</v>
      </c>
      <c r="F49" s="1601">
        <v>3.83</v>
      </c>
      <c r="H49" s="1602" t="s">
        <v>2369</v>
      </c>
      <c r="I49" s="1601">
        <v>3.9323000000000001</v>
      </c>
      <c r="J49" s="1601">
        <v>3.8919999999999999</v>
      </c>
      <c r="K49" s="1601">
        <v>4.0002000000000004</v>
      </c>
      <c r="L49" s="1601">
        <v>3.8039000000000001</v>
      </c>
      <c r="M49" s="1601">
        <v>3.9788000000000001</v>
      </c>
      <c r="N49" s="1601">
        <v>3.7223999999999999</v>
      </c>
      <c r="O49" s="1601">
        <v>3.5470999999999999</v>
      </c>
      <c r="P49" s="1601">
        <v>3.3595999999999999</v>
      </c>
      <c r="Q49" s="1601">
        <v>3.7677</v>
      </c>
      <c r="R49" s="1601">
        <v>3.7078000000000002</v>
      </c>
      <c r="S49" s="1601">
        <v>3.6999</v>
      </c>
      <c r="T49" s="1601">
        <v>3.7229999999999999</v>
      </c>
      <c r="U49" s="1601">
        <v>3.6867000000000001</v>
      </c>
      <c r="V49" s="1601">
        <v>3.64</v>
      </c>
      <c r="W49" s="1601">
        <v>3.7330999999999999</v>
      </c>
      <c r="X49" s="1601">
        <v>3.7498</v>
      </c>
      <c r="Y49" s="1601">
        <v>3.9228000000000001</v>
      </c>
      <c r="Z49" s="1601">
        <v>4.1203000000000003</v>
      </c>
      <c r="AA49" s="1601">
        <v>3.9218999999999999</v>
      </c>
      <c r="AB49" s="1601">
        <v>3.8372000000000002</v>
      </c>
      <c r="AC49" s="1601">
        <v>3.8839999999999999</v>
      </c>
      <c r="AD49" s="1601">
        <v>3.8637000000000001</v>
      </c>
      <c r="AE49" s="1601">
        <v>3.9085999999999999</v>
      </c>
      <c r="AF49" s="1601">
        <v>4.1576000000000004</v>
      </c>
      <c r="AG49" s="1601">
        <v>4.2961999999999998</v>
      </c>
    </row>
    <row r="50" spans="1:33">
      <c r="A50" s="1606" t="s">
        <v>1001</v>
      </c>
      <c r="B50" s="1606" t="s">
        <v>2370</v>
      </c>
      <c r="C50" s="1609">
        <v>1.7341405595749222</v>
      </c>
      <c r="D50" s="1610"/>
      <c r="E50" s="1602" t="s">
        <v>2371</v>
      </c>
      <c r="F50" s="1606">
        <v>3.39</v>
      </c>
      <c r="G50" s="1606"/>
      <c r="H50" s="1602" t="s">
        <v>2371</v>
      </c>
      <c r="I50" s="1606">
        <v>3.3748999999999998</v>
      </c>
      <c r="J50" s="1606">
        <v>3.3936999999999999</v>
      </c>
      <c r="K50" s="1606">
        <v>3.4262000000000001</v>
      </c>
      <c r="L50" s="1606">
        <v>3.3348</v>
      </c>
      <c r="M50" s="1606">
        <v>3.3934000000000002</v>
      </c>
      <c r="N50" s="1606">
        <v>3.2764000000000002</v>
      </c>
      <c r="O50" s="1606">
        <v>3.1690999999999998</v>
      </c>
      <c r="P50" s="1606">
        <v>3.0785</v>
      </c>
      <c r="Q50" s="1606">
        <v>3.2822</v>
      </c>
      <c r="R50" s="1606">
        <v>3.3028</v>
      </c>
      <c r="S50" s="1606">
        <v>3.2991000000000001</v>
      </c>
      <c r="T50" s="1606">
        <v>3.3300999999999998</v>
      </c>
      <c r="U50" s="1606">
        <v>3.3193000000000001</v>
      </c>
      <c r="V50" s="1606">
        <v>3.3020999999999998</v>
      </c>
      <c r="W50" s="1606">
        <v>3.3473000000000002</v>
      </c>
      <c r="X50" s="1606">
        <v>3.3561000000000001</v>
      </c>
      <c r="Y50" s="1606">
        <v>3.4493</v>
      </c>
      <c r="Z50" s="1606">
        <v>3.5731000000000002</v>
      </c>
      <c r="AA50" s="1606">
        <v>3.4969999999999999</v>
      </c>
      <c r="AB50" s="1606">
        <v>3.4643000000000002</v>
      </c>
      <c r="AC50" s="1606">
        <v>3.4826999999999999</v>
      </c>
      <c r="AD50" s="1606">
        <v>3.4676</v>
      </c>
      <c r="AE50" s="1606">
        <v>3.5118</v>
      </c>
      <c r="AF50" s="1606">
        <v>3.6667000000000001</v>
      </c>
      <c r="AG50" s="1606">
        <v>3.7583000000000002</v>
      </c>
    </row>
    <row r="51" spans="1:33">
      <c r="B51" s="1601" t="s">
        <v>2372</v>
      </c>
      <c r="C51" s="1611">
        <v>1.5043271156487448</v>
      </c>
      <c r="D51" s="1612"/>
      <c r="E51" s="1602" t="s">
        <v>2373</v>
      </c>
      <c r="F51" s="1601">
        <v>3.61</v>
      </c>
      <c r="H51" s="1602" t="s">
        <v>2373</v>
      </c>
      <c r="I51" s="1601">
        <v>3.6309999999999998</v>
      </c>
      <c r="J51" s="1601">
        <v>3.6669999999999998</v>
      </c>
      <c r="K51" s="1601">
        <v>3.6833</v>
      </c>
      <c r="L51" s="1601">
        <v>3.5985</v>
      </c>
      <c r="M51" s="1601">
        <v>3.6276999999999999</v>
      </c>
      <c r="N51" s="1601">
        <v>3.5322</v>
      </c>
      <c r="O51" s="1601">
        <v>3.4319000000000002</v>
      </c>
      <c r="P51" s="1601">
        <v>3.3573</v>
      </c>
      <c r="Q51" s="1601">
        <v>3.5116999999999998</v>
      </c>
      <c r="R51" s="1601">
        <v>3.5430000000000001</v>
      </c>
      <c r="S51" s="1601">
        <v>3.5304000000000002</v>
      </c>
      <c r="T51" s="1601">
        <v>3.5649000000000002</v>
      </c>
      <c r="U51" s="1601">
        <v>3.5585</v>
      </c>
      <c r="V51" s="1601">
        <v>3.5482</v>
      </c>
      <c r="W51" s="1601">
        <v>3.5733999999999999</v>
      </c>
      <c r="X51" s="1601">
        <v>3.5589</v>
      </c>
      <c r="Y51" s="1601">
        <v>3.6052</v>
      </c>
      <c r="Z51" s="1601">
        <v>3.7002999999999999</v>
      </c>
      <c r="AA51" s="1601">
        <v>3.6478999999999999</v>
      </c>
      <c r="AB51" s="1601">
        <v>3.6301999999999999</v>
      </c>
      <c r="AC51" s="1601">
        <v>3.6392000000000002</v>
      </c>
      <c r="AD51" s="1601">
        <v>3.6122000000000001</v>
      </c>
      <c r="AE51" s="1601">
        <v>3.6623999999999999</v>
      </c>
      <c r="AF51" s="1601">
        <v>3.8166000000000002</v>
      </c>
      <c r="AG51" s="1601">
        <v>3.907</v>
      </c>
    </row>
    <row r="52" spans="1:33">
      <c r="B52" s="1601" t="s">
        <v>2374</v>
      </c>
      <c r="C52" s="1611">
        <v>0.22981344392617739</v>
      </c>
      <c r="D52" s="1612"/>
      <c r="E52" s="1602" t="s">
        <v>2375</v>
      </c>
      <c r="F52" s="1601">
        <v>1.67</v>
      </c>
      <c r="H52" s="1602" t="s">
        <v>2375</v>
      </c>
      <c r="I52" s="1601">
        <v>1.6982999999999999</v>
      </c>
      <c r="J52" s="1601">
        <v>1.5708</v>
      </c>
      <c r="K52" s="1601">
        <v>1.6760999999999999</v>
      </c>
      <c r="L52" s="1601">
        <v>1.5041</v>
      </c>
      <c r="M52" s="1601">
        <v>1.7330000000000001</v>
      </c>
      <c r="N52" s="1601">
        <v>1.4305000000000001</v>
      </c>
      <c r="O52" s="1601">
        <v>1.2332000000000001</v>
      </c>
      <c r="P52" s="1601">
        <v>0.98</v>
      </c>
      <c r="Q52" s="1601">
        <v>1.5141</v>
      </c>
      <c r="R52" s="1601">
        <v>1.4158999999999999</v>
      </c>
      <c r="S52" s="1601">
        <v>1.4436</v>
      </c>
      <c r="T52" s="1601">
        <v>1.4081999999999999</v>
      </c>
      <c r="U52" s="1601">
        <v>1.3202</v>
      </c>
      <c r="V52" s="1601">
        <v>1.1992</v>
      </c>
      <c r="W52" s="1601">
        <v>1.371</v>
      </c>
      <c r="X52" s="1601">
        <v>1.5451999999999999</v>
      </c>
      <c r="Y52" s="1601">
        <v>2.0297000000000001</v>
      </c>
      <c r="Z52" s="1601">
        <v>2.3965999999999998</v>
      </c>
      <c r="AA52" s="1601">
        <v>2.0832999999999999</v>
      </c>
      <c r="AB52" s="1601">
        <v>1.8862000000000001</v>
      </c>
      <c r="AC52" s="1601">
        <v>1.9682999999999999</v>
      </c>
      <c r="AD52" s="1601">
        <v>2.0459000000000001</v>
      </c>
      <c r="AE52" s="1601">
        <v>2.0078</v>
      </c>
      <c r="AF52" s="1601">
        <v>2.1453000000000002</v>
      </c>
      <c r="AG52" s="1601">
        <v>2.2254</v>
      </c>
    </row>
    <row r="53" spans="1:33">
      <c r="A53" s="1606" t="s">
        <v>1001</v>
      </c>
      <c r="B53" s="1606" t="s">
        <v>2376</v>
      </c>
      <c r="C53" s="1609">
        <v>1.0322041270400311</v>
      </c>
      <c r="D53" s="1610"/>
      <c r="E53" s="1602" t="s">
        <v>2377</v>
      </c>
      <c r="F53" s="1606">
        <v>4.49</v>
      </c>
      <c r="G53" s="1606"/>
      <c r="H53" s="1602" t="s">
        <v>2377</v>
      </c>
      <c r="I53" s="1606">
        <v>4.4790000000000001</v>
      </c>
      <c r="J53" s="1606">
        <v>4.5008999999999997</v>
      </c>
      <c r="K53" s="1606">
        <v>4.4135</v>
      </c>
      <c r="L53" s="1606">
        <v>4.3400999999999996</v>
      </c>
      <c r="M53" s="1606">
        <v>4.2693000000000003</v>
      </c>
      <c r="N53" s="1606">
        <v>4.2773000000000003</v>
      </c>
      <c r="O53" s="1606">
        <v>4.2026000000000003</v>
      </c>
      <c r="P53" s="1606">
        <v>4.1769999999999996</v>
      </c>
      <c r="Q53" s="1606">
        <v>4.1616999999999997</v>
      </c>
      <c r="R53" s="1606">
        <v>4.2907000000000002</v>
      </c>
      <c r="S53" s="1606">
        <v>4.2888000000000002</v>
      </c>
      <c r="T53" s="1606">
        <v>4.3918999999999997</v>
      </c>
      <c r="U53" s="1606">
        <v>4.4573</v>
      </c>
      <c r="V53" s="1606">
        <v>4.5274000000000001</v>
      </c>
      <c r="W53" s="1606">
        <v>4.5212000000000003</v>
      </c>
      <c r="X53" s="1606">
        <v>4.4598000000000004</v>
      </c>
      <c r="Y53" s="1606">
        <v>4.3602999999999996</v>
      </c>
      <c r="Z53" s="1606">
        <v>4.4352999999999998</v>
      </c>
      <c r="AA53" s="1606">
        <v>4.5792999999999999</v>
      </c>
      <c r="AB53" s="1606">
        <v>4.6836000000000002</v>
      </c>
      <c r="AC53" s="1606">
        <v>4.6901000000000002</v>
      </c>
      <c r="AD53" s="1606">
        <v>4.633</v>
      </c>
      <c r="AE53" s="1606">
        <v>4.7846000000000002</v>
      </c>
      <c r="AF53" s="1606">
        <v>5.0892999999999997</v>
      </c>
      <c r="AG53" s="1606">
        <v>5.3539000000000003</v>
      </c>
    </row>
    <row r="54" spans="1:33">
      <c r="B54" s="1601" t="s">
        <v>2378</v>
      </c>
      <c r="C54" s="1611">
        <v>0.22324955311917191</v>
      </c>
      <c r="D54" s="1612"/>
      <c r="E54" s="1602" t="s">
        <v>2379</v>
      </c>
      <c r="F54" s="1601">
        <v>3.51</v>
      </c>
      <c r="H54" s="1602" t="s">
        <v>2379</v>
      </c>
      <c r="I54" s="1601">
        <v>3.4260000000000002</v>
      </c>
      <c r="J54" s="1601">
        <v>3.5385</v>
      </c>
      <c r="K54" s="1601">
        <v>3.5695999999999999</v>
      </c>
      <c r="L54" s="1601">
        <v>3.5499000000000001</v>
      </c>
      <c r="M54" s="1601">
        <v>3.5390999999999999</v>
      </c>
      <c r="N54" s="1601">
        <v>3.5123000000000002</v>
      </c>
      <c r="O54" s="1601">
        <v>3.4605000000000001</v>
      </c>
      <c r="P54" s="1601">
        <v>3.4342999999999999</v>
      </c>
      <c r="Q54" s="1601">
        <v>3.4756999999999998</v>
      </c>
      <c r="R54" s="1601">
        <v>3.5125000000000002</v>
      </c>
      <c r="S54" s="1601">
        <v>3.4939</v>
      </c>
      <c r="T54" s="1601">
        <v>3.5173999999999999</v>
      </c>
      <c r="U54" s="1601">
        <v>3.5194999999999999</v>
      </c>
      <c r="V54" s="1601">
        <v>3.5226999999999999</v>
      </c>
      <c r="W54" s="1601">
        <v>3.52</v>
      </c>
      <c r="X54" s="1601">
        <v>3.4916999999999998</v>
      </c>
      <c r="Y54" s="1601">
        <v>3.4716999999999998</v>
      </c>
      <c r="Z54" s="1601">
        <v>3.4969999999999999</v>
      </c>
      <c r="AA54" s="1601">
        <v>3.4942000000000002</v>
      </c>
      <c r="AB54" s="1601">
        <v>3.5015000000000001</v>
      </c>
      <c r="AC54" s="1601">
        <v>3.4977999999999998</v>
      </c>
      <c r="AD54" s="1601">
        <v>3.472</v>
      </c>
      <c r="AE54" s="1601">
        <v>3.5053999999999998</v>
      </c>
      <c r="AF54" s="1601">
        <v>3.5912000000000002</v>
      </c>
      <c r="AG54" s="1601">
        <v>3.6473</v>
      </c>
    </row>
    <row r="55" spans="1:33">
      <c r="B55" s="1601" t="s">
        <v>2380</v>
      </c>
      <c r="C55" s="1611">
        <v>0.68573775512284729</v>
      </c>
      <c r="D55" s="1612"/>
      <c r="E55" s="1602" t="s">
        <v>2381</v>
      </c>
      <c r="F55" s="1601">
        <v>4.9000000000000004</v>
      </c>
      <c r="H55" s="1602" t="s">
        <v>2381</v>
      </c>
      <c r="I55" s="1601">
        <v>4.9916999999999998</v>
      </c>
      <c r="J55" s="1601">
        <v>4.9745999999999997</v>
      </c>
      <c r="K55" s="1601">
        <v>4.8440000000000003</v>
      </c>
      <c r="L55" s="1601">
        <v>4.7339000000000002</v>
      </c>
      <c r="M55" s="1601">
        <v>4.6458000000000004</v>
      </c>
      <c r="N55" s="1601">
        <v>4.6496000000000004</v>
      </c>
      <c r="O55" s="1601">
        <v>4.5458999999999996</v>
      </c>
      <c r="P55" s="1601">
        <v>4.4939</v>
      </c>
      <c r="Q55" s="1601">
        <v>4.4678000000000004</v>
      </c>
      <c r="R55" s="1601">
        <v>4.6253000000000002</v>
      </c>
      <c r="S55" s="1601">
        <v>4.6246999999999998</v>
      </c>
      <c r="T55" s="1601">
        <v>4.7527999999999997</v>
      </c>
      <c r="U55" s="1601">
        <v>4.8331999999999997</v>
      </c>
      <c r="V55" s="1601">
        <v>4.9161999999999999</v>
      </c>
      <c r="W55" s="1601">
        <v>4.9065000000000003</v>
      </c>
      <c r="X55" s="1601">
        <v>4.8301999999999996</v>
      </c>
      <c r="Y55" s="1601">
        <v>4.7119999999999997</v>
      </c>
      <c r="Z55" s="1601">
        <v>4.8219000000000003</v>
      </c>
      <c r="AA55" s="1601">
        <v>5.0042</v>
      </c>
      <c r="AB55" s="1601">
        <v>5.1258999999999997</v>
      </c>
      <c r="AC55" s="1601">
        <v>5.1285999999999996</v>
      </c>
      <c r="AD55" s="1601">
        <v>5.0514000000000001</v>
      </c>
      <c r="AE55" s="1601">
        <v>5.2347999999999999</v>
      </c>
      <c r="AF55" s="1601">
        <v>5.6212</v>
      </c>
      <c r="AG55" s="1601">
        <v>5.9604999999999997</v>
      </c>
    </row>
    <row r="56" spans="1:33">
      <c r="B56" s="1601" t="s">
        <v>618</v>
      </c>
      <c r="C56" s="1611">
        <v>0.1232168187980119</v>
      </c>
      <c r="D56" s="1612"/>
      <c r="E56" s="1602" t="s">
        <v>2382</v>
      </c>
      <c r="F56" s="1601">
        <v>3.65</v>
      </c>
      <c r="H56" s="1602" t="s">
        <v>2382</v>
      </c>
      <c r="I56" s="1601">
        <v>3.5337000000000001</v>
      </c>
      <c r="J56" s="1601">
        <v>3.5693999999999999</v>
      </c>
      <c r="K56" s="1601">
        <v>3.4777</v>
      </c>
      <c r="L56" s="1601">
        <v>3.4891000000000001</v>
      </c>
      <c r="M56" s="1601">
        <v>3.3839999999999999</v>
      </c>
      <c r="N56" s="1601">
        <v>3.4550999999999998</v>
      </c>
      <c r="O56" s="1601">
        <v>3.4887000000000001</v>
      </c>
      <c r="P56" s="1601">
        <v>3.6027</v>
      </c>
      <c r="Q56" s="1601">
        <v>3.5322</v>
      </c>
      <c r="R56" s="1601">
        <v>3.6345000000000001</v>
      </c>
      <c r="S56" s="1601">
        <v>3.6334</v>
      </c>
      <c r="T56" s="1601">
        <v>3.7010000000000001</v>
      </c>
      <c r="U56" s="1601">
        <v>3.7593999999999999</v>
      </c>
      <c r="V56" s="1601">
        <v>3.8378000000000001</v>
      </c>
      <c r="W56" s="1601">
        <v>3.8166000000000002</v>
      </c>
      <c r="X56" s="1601">
        <v>3.7625999999999999</v>
      </c>
      <c r="Y56" s="1601">
        <v>3.6158000000000001</v>
      </c>
      <c r="Z56" s="1601">
        <v>3.5184000000000002</v>
      </c>
      <c r="AA56" s="1601">
        <v>3.6318999999999999</v>
      </c>
      <c r="AB56" s="1601">
        <v>3.7479</v>
      </c>
      <c r="AC56" s="1601">
        <v>3.754</v>
      </c>
      <c r="AD56" s="1601">
        <v>3.7378</v>
      </c>
      <c r="AE56" s="1601">
        <v>3.8281000000000001</v>
      </c>
      <c r="AF56" s="1601">
        <v>3.8759000000000001</v>
      </c>
      <c r="AG56" s="1601">
        <v>3.8855</v>
      </c>
    </row>
    <row r="57" spans="1:33">
      <c r="B57" s="1606" t="s">
        <v>2383</v>
      </c>
      <c r="C57" s="1607">
        <v>4.5139585307225376</v>
      </c>
      <c r="D57" s="1608"/>
      <c r="E57" s="1602" t="s">
        <v>2384</v>
      </c>
      <c r="F57" s="1606">
        <v>3.79</v>
      </c>
      <c r="G57" s="1606"/>
      <c r="H57" s="1602" t="s">
        <v>2384</v>
      </c>
      <c r="I57" s="1606">
        <v>3.0629</v>
      </c>
      <c r="J57" s="1606">
        <v>3.6684000000000001</v>
      </c>
      <c r="K57" s="1606">
        <v>3.4417</v>
      </c>
      <c r="L57" s="1606">
        <v>3.6709999999999998</v>
      </c>
      <c r="M57" s="1606">
        <v>3.4350999999999998</v>
      </c>
      <c r="N57" s="1606">
        <v>3.9131</v>
      </c>
      <c r="O57" s="1606">
        <v>4.1662999999999997</v>
      </c>
      <c r="P57" s="1606">
        <v>4.3719000000000001</v>
      </c>
      <c r="Q57" s="1606">
        <v>3.5880000000000001</v>
      </c>
      <c r="R57" s="1606">
        <v>3.7833000000000001</v>
      </c>
      <c r="S57" s="1606">
        <v>3.7925</v>
      </c>
      <c r="T57" s="1606">
        <v>3.8668</v>
      </c>
      <c r="U57" s="1606">
        <v>3.9830999999999999</v>
      </c>
      <c r="V57" s="1606">
        <v>4.0890000000000004</v>
      </c>
      <c r="W57" s="1606">
        <v>3.9232999999999998</v>
      </c>
      <c r="X57" s="1606">
        <v>3.8090000000000002</v>
      </c>
      <c r="Y57" s="1606">
        <v>3.4986999999999999</v>
      </c>
      <c r="Z57" s="1606">
        <v>3.4786999999999999</v>
      </c>
      <c r="AA57" s="1606">
        <v>3.7528999999999999</v>
      </c>
      <c r="AB57" s="1606">
        <v>3.8696000000000002</v>
      </c>
      <c r="AC57" s="1606">
        <v>3.8677999999999999</v>
      </c>
      <c r="AD57" s="1606">
        <v>3.8420999999999998</v>
      </c>
      <c r="AE57" s="1606">
        <v>3.8858000000000001</v>
      </c>
      <c r="AF57" s="1606">
        <v>3.9748999999999999</v>
      </c>
      <c r="AG57" s="1606">
        <v>4.0460000000000003</v>
      </c>
    </row>
    <row r="58" spans="1:33">
      <c r="A58" s="1606" t="s">
        <v>2385</v>
      </c>
      <c r="B58" s="1606" t="s">
        <v>2386</v>
      </c>
      <c r="C58" s="1609">
        <v>1.9055882400229036</v>
      </c>
      <c r="D58" s="1610"/>
      <c r="E58" s="1602" t="s">
        <v>2387</v>
      </c>
      <c r="F58" s="1606">
        <v>2.65</v>
      </c>
      <c r="G58" s="1606"/>
      <c r="H58" s="1602" t="s">
        <v>2387</v>
      </c>
      <c r="I58" s="1606">
        <v>0.52300000000000002</v>
      </c>
      <c r="J58" s="1606">
        <v>2.4281999999999999</v>
      </c>
      <c r="K58" s="1606">
        <v>1.6564000000000001</v>
      </c>
      <c r="L58" s="1606">
        <v>2.7601</v>
      </c>
      <c r="M58" s="1606">
        <v>1.6378999999999999</v>
      </c>
      <c r="N58" s="1606">
        <v>3.5240999999999998</v>
      </c>
      <c r="O58" s="1606">
        <v>4.4884000000000004</v>
      </c>
      <c r="P58" s="1606">
        <v>5.3785999999999996</v>
      </c>
      <c r="Q58" s="1606">
        <v>2.2679</v>
      </c>
      <c r="R58" s="1606">
        <v>3.0287999999999999</v>
      </c>
      <c r="S58" s="1606">
        <v>3.0392999999999999</v>
      </c>
      <c r="T58" s="1606">
        <v>3.161</v>
      </c>
      <c r="U58" s="1606">
        <v>3.5184000000000002</v>
      </c>
      <c r="V58" s="1606">
        <v>3.8597999999999999</v>
      </c>
      <c r="W58" s="1606">
        <v>3.1417999999999999</v>
      </c>
      <c r="X58" s="1606">
        <v>2.8014999999999999</v>
      </c>
      <c r="Y58" s="1606">
        <v>1.5785</v>
      </c>
      <c r="Z58" s="1606">
        <v>1.0867</v>
      </c>
      <c r="AA58" s="1606">
        <v>2.3534000000000002</v>
      </c>
      <c r="AB58" s="1606">
        <v>2.802</v>
      </c>
      <c r="AC58" s="1606">
        <v>2.5790000000000002</v>
      </c>
      <c r="AD58" s="1606">
        <v>2.5133999999999999</v>
      </c>
      <c r="AE58" s="1606">
        <v>2.4716</v>
      </c>
      <c r="AF58" s="1606">
        <v>2.0207999999999999</v>
      </c>
      <c r="AG58" s="1606">
        <v>1.8433999999999999</v>
      </c>
    </row>
    <row r="59" spans="1:33">
      <c r="B59" s="1601" t="s">
        <v>2388</v>
      </c>
      <c r="C59" s="1611">
        <v>1.738869850372627</v>
      </c>
      <c r="D59" s="1612"/>
      <c r="E59" s="1602" t="s">
        <v>2389</v>
      </c>
      <c r="F59" s="1601">
        <v>2.5499999999999998</v>
      </c>
      <c r="H59" s="1602" t="s">
        <v>2389</v>
      </c>
      <c r="I59" s="1601">
        <v>0.57310000000000005</v>
      </c>
      <c r="J59" s="1601">
        <v>2.3395000000000001</v>
      </c>
      <c r="K59" s="1601">
        <v>1.5532999999999999</v>
      </c>
      <c r="L59" s="1601">
        <v>2.5078999999999998</v>
      </c>
      <c r="M59" s="1601">
        <v>1.8018000000000001</v>
      </c>
      <c r="N59" s="1601">
        <v>2.5914000000000001</v>
      </c>
      <c r="O59" s="1601">
        <v>2.6297999999999999</v>
      </c>
      <c r="P59" s="1601">
        <v>2.9346999999999999</v>
      </c>
      <c r="Q59" s="1601">
        <v>2.1311</v>
      </c>
      <c r="R59" s="1601">
        <v>3.8498000000000001</v>
      </c>
      <c r="S59" s="1601">
        <v>3.5398999999999998</v>
      </c>
      <c r="T59" s="1601">
        <v>3.6543000000000001</v>
      </c>
      <c r="U59" s="1601">
        <v>3.7524000000000002</v>
      </c>
      <c r="V59" s="1601">
        <v>3.6842999999999999</v>
      </c>
      <c r="W59" s="1601">
        <v>2.8338000000000001</v>
      </c>
      <c r="X59" s="1601">
        <v>2.3006000000000002</v>
      </c>
      <c r="Y59" s="1601">
        <v>0.86180000000000001</v>
      </c>
      <c r="Z59" s="1601">
        <v>1.1820999999999999</v>
      </c>
      <c r="AA59" s="1601">
        <v>2.5920999999999998</v>
      </c>
      <c r="AB59" s="1601">
        <v>3.3313999999999999</v>
      </c>
      <c r="AC59" s="1601">
        <v>3.0004</v>
      </c>
      <c r="AD59" s="1601">
        <v>2.9096000000000002</v>
      </c>
      <c r="AE59" s="1601">
        <v>2.7869000000000002</v>
      </c>
      <c r="AF59" s="1601">
        <v>2.3271999999999999</v>
      </c>
      <c r="AG59" s="1601">
        <v>2.1072000000000002</v>
      </c>
    </row>
    <row r="60" spans="1:33">
      <c r="B60" s="1601" t="s">
        <v>437</v>
      </c>
      <c r="C60" s="1611">
        <v>0.11936452519531741</v>
      </c>
      <c r="D60" s="1612"/>
      <c r="E60" s="1602" t="s">
        <v>2390</v>
      </c>
      <c r="F60" s="1601">
        <v>0</v>
      </c>
      <c r="H60" s="1602" t="s">
        <v>2390</v>
      </c>
      <c r="N60" s="1601">
        <v>0.41870000000000002</v>
      </c>
      <c r="O60" s="1601">
        <v>-0.46820000000000001</v>
      </c>
      <c r="P60" s="1601">
        <v>0.41980000000000001</v>
      </c>
      <c r="Q60" s="1601">
        <v>-2.1589999999999998</v>
      </c>
      <c r="R60" s="1601">
        <v>-2.2098</v>
      </c>
      <c r="S60" s="1601">
        <v>-0.35270000000000001</v>
      </c>
      <c r="T60" s="1601">
        <v>-0.31209999999999999</v>
      </c>
      <c r="U60" s="1601">
        <v>1.8046</v>
      </c>
      <c r="V60" s="1601">
        <v>3.6842999999999999</v>
      </c>
      <c r="W60" s="1601">
        <v>2.8338000000000001</v>
      </c>
      <c r="X60" s="1601">
        <v>2.4079999999999999</v>
      </c>
      <c r="Y60" s="1601">
        <v>1.4443999999999999</v>
      </c>
      <c r="Z60" s="1601">
        <v>-1.3270999999999999</v>
      </c>
      <c r="AA60" s="1601">
        <v>-0.41720000000000002</v>
      </c>
      <c r="AB60" s="1601">
        <v>-1.5929</v>
      </c>
      <c r="AC60" s="1601">
        <v>-0.34749999999999998</v>
      </c>
      <c r="AD60" s="1601">
        <v>-0.33050000000000002</v>
      </c>
      <c r="AE60" s="1601">
        <v>-1.6028</v>
      </c>
      <c r="AF60" s="1601">
        <v>-0.87170000000000003</v>
      </c>
      <c r="AG60" s="1601">
        <v>-0.77849999999999997</v>
      </c>
    </row>
    <row r="61" spans="1:33">
      <c r="A61" s="1606"/>
      <c r="B61" s="1601" t="s">
        <v>2391</v>
      </c>
      <c r="C61" s="1611">
        <v>1.9935927835777911E-2</v>
      </c>
      <c r="D61" s="1612"/>
      <c r="E61" s="1602" t="s">
        <v>2392</v>
      </c>
      <c r="F61" s="1601">
        <v>1.26</v>
      </c>
      <c r="H61" s="1602" t="s">
        <v>2392</v>
      </c>
      <c r="N61" s="1601">
        <v>0.41870000000000002</v>
      </c>
      <c r="O61" s="1601">
        <v>-0.46820000000000001</v>
      </c>
      <c r="P61" s="1601">
        <v>9.8309999999999995</v>
      </c>
      <c r="Q61" s="1601">
        <v>22.9924</v>
      </c>
      <c r="R61" s="1601">
        <v>-2.2098</v>
      </c>
      <c r="S61" s="1601">
        <v>-0.35270000000000001</v>
      </c>
      <c r="T61" s="1601">
        <v>-0.31209999999999999</v>
      </c>
      <c r="U61" s="1601">
        <v>1.8046</v>
      </c>
      <c r="V61" s="1601">
        <v>3.6842999999999999</v>
      </c>
      <c r="W61" s="1601">
        <v>3.2502</v>
      </c>
      <c r="X61" s="1601">
        <v>4.0926999999999998</v>
      </c>
      <c r="Y61" s="1601">
        <v>2.4883999999999999</v>
      </c>
      <c r="Z61" s="1601">
        <v>-1.9537</v>
      </c>
      <c r="AA61" s="1601">
        <v>-0.61809999999999998</v>
      </c>
      <c r="AB61" s="1601">
        <v>-2.3647</v>
      </c>
      <c r="AC61" s="1601">
        <v>-0.52</v>
      </c>
      <c r="AD61" s="1601">
        <v>-0.49540000000000001</v>
      </c>
      <c r="AE61" s="1601">
        <v>-2.4064000000000001</v>
      </c>
      <c r="AF61" s="1601">
        <v>-1.3194999999999999</v>
      </c>
      <c r="AG61" s="1601">
        <v>-1.1838</v>
      </c>
    </row>
    <row r="62" spans="1:33">
      <c r="A62" s="1606"/>
      <c r="B62" s="1601" t="s">
        <v>2393</v>
      </c>
      <c r="C62" s="1611">
        <v>2.0905603025274791E-2</v>
      </c>
      <c r="D62" s="1612"/>
      <c r="E62" s="1602" t="s">
        <v>2394</v>
      </c>
      <c r="F62" s="1601">
        <v>8.26</v>
      </c>
      <c r="H62" s="1602" t="s">
        <v>2394</v>
      </c>
      <c r="K62" s="1601">
        <v>1.6667000000000001</v>
      </c>
      <c r="L62" s="1601">
        <v>-1.6393</v>
      </c>
      <c r="N62" s="1601">
        <v>112.7354</v>
      </c>
      <c r="O62" s="1601">
        <v>104.34010000000001</v>
      </c>
      <c r="P62" s="1601">
        <v>55.220199999999998</v>
      </c>
      <c r="Q62" s="1601">
        <v>5.9427000000000003</v>
      </c>
      <c r="R62" s="1601">
        <v>-2.2098</v>
      </c>
      <c r="S62" s="1601">
        <v>-0.35270000000000001</v>
      </c>
      <c r="T62" s="1601">
        <v>-0.31209999999999999</v>
      </c>
      <c r="U62" s="1601">
        <v>1.8046</v>
      </c>
      <c r="V62" s="1601">
        <v>3.6842999999999999</v>
      </c>
      <c r="W62" s="1601">
        <v>2.8338000000000001</v>
      </c>
      <c r="X62" s="1601">
        <v>2.4079999999999999</v>
      </c>
      <c r="Y62" s="1601">
        <v>1.4443999999999999</v>
      </c>
      <c r="Z62" s="1601">
        <v>-1.3270999999999999</v>
      </c>
      <c r="AA62" s="1601">
        <v>-0.41720000000000002</v>
      </c>
      <c r="AB62" s="1601">
        <v>-1.5929</v>
      </c>
      <c r="AC62" s="1601">
        <v>-0.34749999999999998</v>
      </c>
      <c r="AD62" s="1601">
        <v>-0.33050000000000002</v>
      </c>
      <c r="AE62" s="1601">
        <v>-1.6028</v>
      </c>
      <c r="AF62" s="1601">
        <v>-0.87170000000000003</v>
      </c>
      <c r="AG62" s="1601">
        <v>-0.77849999999999997</v>
      </c>
    </row>
    <row r="63" spans="1:33">
      <c r="A63" s="1606"/>
      <c r="B63" s="1601" t="s">
        <v>2395</v>
      </c>
      <c r="C63" s="1611">
        <v>2.3619723533862876E-3</v>
      </c>
      <c r="D63" s="1612"/>
      <c r="E63" s="1602" t="s">
        <v>2396</v>
      </c>
      <c r="F63" s="1601">
        <v>0</v>
      </c>
      <c r="H63" s="1602" t="s">
        <v>2396</v>
      </c>
      <c r="N63" s="1601">
        <v>0.41870000000000002</v>
      </c>
      <c r="O63" s="1601">
        <v>-0.46820000000000001</v>
      </c>
      <c r="P63" s="1601">
        <v>0.41980000000000001</v>
      </c>
      <c r="Q63" s="1601">
        <v>-2.1589999999999998</v>
      </c>
      <c r="R63" s="1601">
        <v>-2.2098</v>
      </c>
      <c r="S63" s="1601">
        <v>-0.35270000000000001</v>
      </c>
      <c r="T63" s="1601">
        <v>-0.31209999999999999</v>
      </c>
      <c r="U63" s="1601">
        <v>1.8046</v>
      </c>
      <c r="V63" s="1601">
        <v>3.6842999999999999</v>
      </c>
      <c r="W63" s="1601">
        <v>2.8338000000000001</v>
      </c>
      <c r="X63" s="1601">
        <v>2.4079999999999999</v>
      </c>
      <c r="Y63" s="1601">
        <v>1.4443999999999999</v>
      </c>
      <c r="Z63" s="1601">
        <v>-1.3270999999999999</v>
      </c>
      <c r="AA63" s="1601">
        <v>-0.41720000000000002</v>
      </c>
      <c r="AB63" s="1601">
        <v>-1.5929</v>
      </c>
      <c r="AC63" s="1601">
        <v>-0.34749999999999998</v>
      </c>
      <c r="AD63" s="1601">
        <v>-0.33050000000000002</v>
      </c>
      <c r="AE63" s="1601">
        <v>-1.6028</v>
      </c>
      <c r="AF63" s="1601">
        <v>-0.87170000000000003</v>
      </c>
      <c r="AG63" s="1601">
        <v>-0.77849999999999997</v>
      </c>
    </row>
    <row r="64" spans="1:33">
      <c r="A64" s="1606"/>
      <c r="B64" s="1601" t="s">
        <v>2397</v>
      </c>
      <c r="C64" s="1611">
        <v>4.1503612405199581E-3</v>
      </c>
      <c r="D64" s="1612"/>
      <c r="E64" s="1602" t="s">
        <v>2398</v>
      </c>
      <c r="F64" s="1601">
        <v>13.8</v>
      </c>
      <c r="H64" s="1602" t="s">
        <v>2398</v>
      </c>
      <c r="J64" s="1601">
        <v>134.9537</v>
      </c>
      <c r="K64" s="1601">
        <v>44.630499999999998</v>
      </c>
      <c r="L64" s="1601">
        <v>69.618499999999997</v>
      </c>
      <c r="N64" s="1601">
        <v>0.41870000000000002</v>
      </c>
      <c r="O64" s="1601">
        <v>-0.46820000000000001</v>
      </c>
      <c r="P64" s="1601">
        <v>41.581899999999997</v>
      </c>
      <c r="Q64" s="1601">
        <v>-2.1589999999999998</v>
      </c>
      <c r="R64" s="1601">
        <v>-2.2098</v>
      </c>
      <c r="S64" s="1601">
        <v>-0.35270000000000001</v>
      </c>
      <c r="T64" s="1601">
        <v>-0.31209999999999999</v>
      </c>
      <c r="U64" s="1601">
        <v>1.8046</v>
      </c>
      <c r="V64" s="1601">
        <v>18.433499999999999</v>
      </c>
      <c r="W64" s="1601">
        <v>25.245100000000001</v>
      </c>
      <c r="X64" s="1601">
        <v>31.0303</v>
      </c>
      <c r="Y64" s="1601">
        <v>31.5763</v>
      </c>
      <c r="Z64" s="1601">
        <v>7.641</v>
      </c>
      <c r="AA64" s="1601">
        <v>5.1139000000000001</v>
      </c>
      <c r="AB64" s="1601">
        <v>2.3563000000000001</v>
      </c>
      <c r="AC64" s="1601">
        <v>-0.34749999999999998</v>
      </c>
      <c r="AD64" s="1601">
        <v>-0.33050000000000002</v>
      </c>
      <c r="AE64" s="1601">
        <v>5.9481000000000002</v>
      </c>
      <c r="AF64" s="1601">
        <v>1.4571000000000001</v>
      </c>
      <c r="AG64" s="1601">
        <v>1.4988999999999999</v>
      </c>
    </row>
    <row r="65" spans="1:33">
      <c r="A65" s="1606" t="s">
        <v>1001</v>
      </c>
      <c r="B65" s="1601" t="s">
        <v>2399</v>
      </c>
      <c r="C65" s="1609">
        <v>0.50839956434085687</v>
      </c>
      <c r="D65" s="1610"/>
      <c r="E65" s="1602" t="s">
        <v>2400</v>
      </c>
      <c r="F65" s="1601">
        <v>4.3899999999999997</v>
      </c>
      <c r="H65" s="1602" t="s">
        <v>2400</v>
      </c>
      <c r="I65" s="1601">
        <v>4.5766</v>
      </c>
      <c r="J65" s="1601">
        <v>4.5853000000000002</v>
      </c>
      <c r="K65" s="1601">
        <v>4.4650999999999996</v>
      </c>
      <c r="L65" s="1601">
        <v>4.3855000000000004</v>
      </c>
      <c r="M65" s="1601">
        <v>4.2724000000000002</v>
      </c>
      <c r="N65" s="1601">
        <v>4.2942</v>
      </c>
      <c r="O65" s="1601">
        <v>4.2805999999999997</v>
      </c>
      <c r="P65" s="1601">
        <v>4.3384</v>
      </c>
      <c r="Q65" s="1601">
        <v>4.2625999999999999</v>
      </c>
      <c r="R65" s="1601">
        <v>4.3512000000000004</v>
      </c>
      <c r="S65" s="1601">
        <v>4.3273999999999999</v>
      </c>
      <c r="T65" s="1601">
        <v>4.4189999999999996</v>
      </c>
      <c r="U65" s="1601">
        <v>4.4850000000000003</v>
      </c>
      <c r="V65" s="1601">
        <v>4.5698999999999996</v>
      </c>
      <c r="W65" s="1601">
        <v>4.5270999999999999</v>
      </c>
      <c r="X65" s="1601">
        <v>4.4053000000000004</v>
      </c>
      <c r="Y65" s="1601">
        <v>4.1833</v>
      </c>
      <c r="Z65" s="1601">
        <v>4.1070000000000002</v>
      </c>
      <c r="AA65" s="1601">
        <v>4.2308000000000003</v>
      </c>
      <c r="AB65" s="1601">
        <v>4.3624000000000001</v>
      </c>
      <c r="AC65" s="1601">
        <v>4.3548</v>
      </c>
      <c r="AD65" s="1601">
        <v>4.2736999999999998</v>
      </c>
      <c r="AE65" s="1601">
        <v>4.3933</v>
      </c>
      <c r="AF65" s="1601">
        <v>4.5780000000000003</v>
      </c>
      <c r="AG65" s="1601">
        <v>4.6917999999999997</v>
      </c>
    </row>
    <row r="66" spans="1:33">
      <c r="A66" s="1606" t="s">
        <v>1001</v>
      </c>
      <c r="B66" s="1601" t="s">
        <v>2401</v>
      </c>
      <c r="C66" s="1609">
        <v>2.0999707263587766</v>
      </c>
      <c r="D66" s="1610"/>
      <c r="E66" s="1602" t="s">
        <v>2402</v>
      </c>
      <c r="F66" s="1601">
        <v>4.4800000000000004</v>
      </c>
      <c r="H66" s="1602" t="s">
        <v>2402</v>
      </c>
      <c r="I66" s="1601">
        <v>5.0011999999999999</v>
      </c>
      <c r="J66" s="1601">
        <v>4.5247000000000002</v>
      </c>
      <c r="K66" s="1601">
        <v>4.7145999999999999</v>
      </c>
      <c r="L66" s="1601">
        <v>4.2518000000000002</v>
      </c>
      <c r="M66" s="1601">
        <v>4.6974</v>
      </c>
      <c r="N66" s="1601">
        <v>4.1292</v>
      </c>
      <c r="O66" s="1601">
        <v>3.8856000000000002</v>
      </c>
      <c r="P66" s="1601">
        <v>3.5838999999999999</v>
      </c>
      <c r="Q66" s="1601">
        <v>4.4859999999999998</v>
      </c>
      <c r="R66" s="1601">
        <v>4.2396000000000003</v>
      </c>
      <c r="S66" s="1601">
        <v>4.2488999999999999</v>
      </c>
      <c r="T66" s="1601">
        <v>4.2754000000000003</v>
      </c>
      <c r="U66" s="1601">
        <v>4.2145999999999999</v>
      </c>
      <c r="V66" s="1601">
        <v>4.1448999999999998</v>
      </c>
      <c r="W66" s="1601">
        <v>4.3644999999999996</v>
      </c>
      <c r="X66" s="1601">
        <v>4.4131999999999998</v>
      </c>
      <c r="Y66" s="1601">
        <v>4.7393000000000001</v>
      </c>
      <c r="Z66" s="1601">
        <v>5.0270000000000001</v>
      </c>
      <c r="AA66" s="1601">
        <v>4.5956000000000001</v>
      </c>
      <c r="AB66" s="1601">
        <v>4.4661</v>
      </c>
      <c r="AC66" s="1601">
        <v>4.6002999999999998</v>
      </c>
      <c r="AD66" s="1601">
        <v>4.5975999999999999</v>
      </c>
      <c r="AE66" s="1601">
        <v>4.6604999999999999</v>
      </c>
      <c r="AF66" s="1601">
        <v>5.0431999999999997</v>
      </c>
      <c r="AG66" s="1601">
        <v>5.2198000000000002</v>
      </c>
    </row>
    <row r="67" spans="1:33">
      <c r="A67" s="1606"/>
      <c r="B67" s="1606" t="s">
        <v>2403</v>
      </c>
      <c r="C67" s="1613">
        <v>66.922977805932447</v>
      </c>
      <c r="D67" s="1614"/>
      <c r="E67" s="1602" t="s">
        <v>2404</v>
      </c>
      <c r="F67" s="1606">
        <v>3.91</v>
      </c>
      <c r="G67" s="1606"/>
      <c r="H67" s="1602" t="s">
        <v>2404</v>
      </c>
      <c r="I67" s="1606">
        <v>3.9508000000000001</v>
      </c>
      <c r="J67" s="1606">
        <v>4.0171000000000001</v>
      </c>
      <c r="K67" s="1606">
        <v>3.9773000000000001</v>
      </c>
      <c r="L67" s="1606">
        <v>3.94</v>
      </c>
      <c r="M67" s="1606">
        <v>3.8843999999999999</v>
      </c>
      <c r="N67" s="1606">
        <v>3.8891</v>
      </c>
      <c r="O67" s="1606">
        <v>3.8544999999999998</v>
      </c>
      <c r="P67" s="1606">
        <v>3.8601999999999999</v>
      </c>
      <c r="Q67" s="1606">
        <v>3.8317000000000001</v>
      </c>
      <c r="R67" s="1606">
        <v>3.8900999999999999</v>
      </c>
      <c r="S67" s="1606">
        <v>3.871</v>
      </c>
      <c r="T67" s="1606">
        <v>3.9199000000000002</v>
      </c>
      <c r="U67" s="1606">
        <v>3.9466000000000001</v>
      </c>
      <c r="V67" s="1606">
        <v>3.9807000000000001</v>
      </c>
      <c r="W67" s="1606">
        <v>3.9561000000000002</v>
      </c>
      <c r="X67" s="1606">
        <v>3.8917000000000002</v>
      </c>
      <c r="Y67" s="1606">
        <v>3.7915999999999999</v>
      </c>
      <c r="Z67" s="1606">
        <v>3.7824</v>
      </c>
      <c r="AA67" s="1606">
        <v>3.8437999999999999</v>
      </c>
      <c r="AB67" s="1606">
        <v>3.8988</v>
      </c>
      <c r="AC67" s="1606">
        <v>3.8879000000000001</v>
      </c>
      <c r="AD67" s="1606">
        <v>3.8391000000000002</v>
      </c>
      <c r="AE67" s="1606">
        <v>3.9079999999999999</v>
      </c>
      <c r="AF67" s="1606">
        <v>4.0327999999999999</v>
      </c>
      <c r="AG67" s="1606">
        <v>4.1154999999999999</v>
      </c>
    </row>
    <row r="68" spans="1:33">
      <c r="A68" s="1606" t="s">
        <v>839</v>
      </c>
      <c r="B68" s="1606" t="s">
        <v>2405</v>
      </c>
      <c r="C68" s="1607">
        <v>10.899931367385543</v>
      </c>
      <c r="D68" s="1608"/>
      <c r="E68" s="1602" t="s">
        <v>2406</v>
      </c>
      <c r="F68" s="1606">
        <v>3.91</v>
      </c>
      <c r="G68" s="1606"/>
      <c r="H68" s="1602" t="s">
        <v>2406</v>
      </c>
      <c r="I68" s="1606">
        <v>3.8513000000000002</v>
      </c>
      <c r="J68" s="1606">
        <v>3.9156</v>
      </c>
      <c r="K68" s="1606">
        <v>3.8668</v>
      </c>
      <c r="L68" s="1606">
        <v>3.8452999999999999</v>
      </c>
      <c r="M68" s="1606">
        <v>3.7818999999999998</v>
      </c>
      <c r="N68" s="1606">
        <v>3.8140000000000001</v>
      </c>
      <c r="O68" s="1606">
        <v>3.7927</v>
      </c>
      <c r="P68" s="1606">
        <v>3.8191999999999999</v>
      </c>
      <c r="Q68" s="1606">
        <v>3.7785000000000002</v>
      </c>
      <c r="R68" s="1606">
        <v>3.8622000000000001</v>
      </c>
      <c r="S68" s="1606">
        <v>3.8519999999999999</v>
      </c>
      <c r="T68" s="1606">
        <v>3.9186999999999999</v>
      </c>
      <c r="U68" s="1606">
        <v>3.9618000000000002</v>
      </c>
      <c r="V68" s="1606">
        <v>4.0137999999999998</v>
      </c>
      <c r="W68" s="1606">
        <v>3.9910999999999999</v>
      </c>
      <c r="X68" s="1606">
        <v>3.9251</v>
      </c>
      <c r="Y68" s="1606">
        <v>3.8102</v>
      </c>
      <c r="Z68" s="1606">
        <v>3.7968999999999999</v>
      </c>
      <c r="AA68" s="1606">
        <v>3.8873000000000002</v>
      </c>
      <c r="AB68" s="1606">
        <v>3.9641000000000002</v>
      </c>
      <c r="AC68" s="1606">
        <v>3.9579</v>
      </c>
      <c r="AD68" s="1606">
        <v>3.9106999999999998</v>
      </c>
      <c r="AE68" s="1606">
        <v>3.9975999999999998</v>
      </c>
      <c r="AF68" s="1606">
        <v>4.1391999999999998</v>
      </c>
      <c r="AG68" s="1606">
        <v>4.2378999999999998</v>
      </c>
    </row>
    <row r="69" spans="1:33">
      <c r="A69" s="1606"/>
      <c r="B69" s="1601" t="s">
        <v>2407</v>
      </c>
      <c r="C69" s="1609">
        <v>9.9072626161334156</v>
      </c>
      <c r="D69" s="1610"/>
      <c r="E69" s="1602" t="s">
        <v>2408</v>
      </c>
      <c r="F69" s="1601">
        <v>3.78</v>
      </c>
      <c r="H69" s="1602" t="s">
        <v>2408</v>
      </c>
      <c r="I69" s="1601">
        <v>3.7625000000000002</v>
      </c>
      <c r="J69" s="1601">
        <v>3.7938000000000001</v>
      </c>
      <c r="K69" s="1601">
        <v>3.7241</v>
      </c>
      <c r="L69" s="1601">
        <v>3.6953</v>
      </c>
      <c r="M69" s="1601">
        <v>3.6246999999999998</v>
      </c>
      <c r="N69" s="1601">
        <v>3.6579000000000002</v>
      </c>
      <c r="O69" s="1601">
        <v>3.6427999999999998</v>
      </c>
      <c r="P69" s="1601">
        <v>3.6778</v>
      </c>
      <c r="Q69" s="1601">
        <v>3.6358000000000001</v>
      </c>
      <c r="R69" s="1601">
        <v>3.7198000000000002</v>
      </c>
      <c r="S69" s="1601">
        <v>3.7138</v>
      </c>
      <c r="T69" s="1601">
        <v>3.7812999999999999</v>
      </c>
      <c r="U69" s="1601">
        <v>3.8279000000000001</v>
      </c>
      <c r="V69" s="1601">
        <v>3.8843999999999999</v>
      </c>
      <c r="W69" s="1601">
        <v>3.8656000000000001</v>
      </c>
      <c r="X69" s="1601">
        <v>3.8060999999999998</v>
      </c>
      <c r="Y69" s="1601">
        <v>3.694</v>
      </c>
      <c r="Z69" s="1601">
        <v>3.6753</v>
      </c>
      <c r="AA69" s="1601">
        <v>3.7696000000000001</v>
      </c>
      <c r="AB69" s="1601">
        <v>3.8509000000000002</v>
      </c>
      <c r="AC69" s="1601">
        <v>3.8489</v>
      </c>
      <c r="AD69" s="1601">
        <v>3.8092999999999999</v>
      </c>
      <c r="AE69" s="1601">
        <v>3.8969</v>
      </c>
      <c r="AF69" s="1601">
        <v>4.0273000000000003</v>
      </c>
      <c r="AG69" s="1601">
        <v>4.1165000000000003</v>
      </c>
    </row>
    <row r="70" spans="1:33">
      <c r="A70" s="1606"/>
      <c r="B70" s="1601" t="s">
        <v>2409</v>
      </c>
      <c r="C70" s="1609">
        <v>0.99266875125212717</v>
      </c>
      <c r="D70" s="1610"/>
      <c r="E70" s="1602" t="s">
        <v>2410</v>
      </c>
      <c r="F70" s="1601">
        <v>5.01</v>
      </c>
      <c r="H70" s="1602" t="s">
        <v>2410</v>
      </c>
      <c r="I70" s="1601">
        <v>4.7375999999999996</v>
      </c>
      <c r="J70" s="1601">
        <v>5.1197999999999997</v>
      </c>
      <c r="K70" s="1601">
        <v>5.2595000000000001</v>
      </c>
      <c r="L70" s="1601">
        <v>5.2885</v>
      </c>
      <c r="M70" s="1601">
        <v>5.2718999999999996</v>
      </c>
      <c r="N70" s="1601">
        <v>5.2705000000000002</v>
      </c>
      <c r="O70" s="1601">
        <v>5.1687000000000003</v>
      </c>
      <c r="P70" s="1601">
        <v>5.0983999999999998</v>
      </c>
      <c r="Q70" s="1601">
        <v>5.0521000000000003</v>
      </c>
      <c r="R70" s="1601">
        <v>5.1161000000000003</v>
      </c>
      <c r="S70" s="1601">
        <v>5.0526</v>
      </c>
      <c r="T70" s="1601">
        <v>5.0976999999999997</v>
      </c>
      <c r="U70" s="1601">
        <v>5.0968</v>
      </c>
      <c r="V70" s="1601">
        <v>5.0975000000000001</v>
      </c>
      <c r="W70" s="1601">
        <v>5.0297000000000001</v>
      </c>
      <c r="X70" s="1601">
        <v>4.899</v>
      </c>
      <c r="Y70" s="1601">
        <v>4.7508999999999997</v>
      </c>
      <c r="Z70" s="1601">
        <v>4.7708000000000004</v>
      </c>
      <c r="AA70" s="1601">
        <v>4.8213999999999997</v>
      </c>
      <c r="AB70" s="1601">
        <v>4.8528000000000002</v>
      </c>
      <c r="AC70" s="1601">
        <v>4.8052999999999999</v>
      </c>
      <c r="AD70" s="1601">
        <v>4.6920000000000002</v>
      </c>
      <c r="AE70" s="1601">
        <v>4.7668999999999997</v>
      </c>
      <c r="AF70" s="1601">
        <v>4.9870999999999999</v>
      </c>
      <c r="AG70" s="1601">
        <v>5.1494</v>
      </c>
    </row>
    <row r="71" spans="1:33">
      <c r="A71" s="1606"/>
      <c r="B71" s="1606" t="s">
        <v>2411</v>
      </c>
      <c r="C71" s="1607">
        <v>9.5355213317346443</v>
      </c>
      <c r="D71" s="1608"/>
      <c r="E71" s="1602" t="s">
        <v>2412</v>
      </c>
      <c r="F71" s="1606">
        <v>4.32</v>
      </c>
      <c r="G71" s="1606"/>
      <c r="H71" s="1602" t="s">
        <v>2412</v>
      </c>
      <c r="I71" s="1606">
        <v>4.4481000000000002</v>
      </c>
      <c r="J71" s="1606">
        <v>4.5343</v>
      </c>
      <c r="K71" s="1606">
        <v>4.4878999999999998</v>
      </c>
      <c r="L71" s="1606">
        <v>4.3983999999999996</v>
      </c>
      <c r="M71" s="1606">
        <v>4.3429000000000002</v>
      </c>
      <c r="N71" s="1606">
        <v>4.3029000000000002</v>
      </c>
      <c r="O71" s="1606">
        <v>4.2150999999999996</v>
      </c>
      <c r="P71" s="1606">
        <v>4.1775000000000002</v>
      </c>
      <c r="Q71" s="1606">
        <v>4.194</v>
      </c>
      <c r="R71" s="1606">
        <v>4.2670000000000003</v>
      </c>
      <c r="S71" s="1606">
        <v>4.2393000000000001</v>
      </c>
      <c r="T71" s="1606">
        <v>4.3047000000000004</v>
      </c>
      <c r="U71" s="1606">
        <v>4.3308</v>
      </c>
      <c r="V71" s="1606">
        <v>4.3625999999999996</v>
      </c>
      <c r="W71" s="1606">
        <v>4.3403999999999998</v>
      </c>
      <c r="X71" s="1606">
        <v>4.2579000000000002</v>
      </c>
      <c r="Y71" s="1606">
        <v>4.1555999999999997</v>
      </c>
      <c r="Z71" s="1606">
        <v>4.1848000000000001</v>
      </c>
      <c r="AA71" s="1606">
        <v>4.2332999999999998</v>
      </c>
      <c r="AB71" s="1606">
        <v>4.2804000000000002</v>
      </c>
      <c r="AC71" s="1606">
        <v>4.2656999999999998</v>
      </c>
      <c r="AD71" s="1606">
        <v>4.1924999999999999</v>
      </c>
      <c r="AE71" s="1606">
        <v>4.2858999999999998</v>
      </c>
      <c r="AF71" s="1606">
        <v>4.4950000000000001</v>
      </c>
      <c r="AG71" s="1606">
        <v>4.6336000000000004</v>
      </c>
    </row>
    <row r="72" spans="1:33">
      <c r="A72" s="1606" t="s">
        <v>1882</v>
      </c>
      <c r="B72" s="1601" t="s">
        <v>2413</v>
      </c>
      <c r="C72" s="1609">
        <v>5.5616903034359542</v>
      </c>
      <c r="D72" s="1610"/>
      <c r="E72" s="1602" t="s">
        <v>2414</v>
      </c>
      <c r="F72" s="1601">
        <v>4.1100000000000003</v>
      </c>
      <c r="H72" s="1602" t="s">
        <v>2414</v>
      </c>
      <c r="I72" s="1601">
        <v>4.2198000000000002</v>
      </c>
      <c r="J72" s="1601">
        <v>4.2831000000000001</v>
      </c>
      <c r="K72" s="1601">
        <v>4.2397</v>
      </c>
      <c r="L72" s="1601">
        <v>4.1543999999999999</v>
      </c>
      <c r="M72" s="1601">
        <v>4.1074999999999999</v>
      </c>
      <c r="N72" s="1601">
        <v>4.0641999999999996</v>
      </c>
      <c r="O72" s="1601">
        <v>3.9790999999999999</v>
      </c>
      <c r="P72" s="1601">
        <v>3.9407000000000001</v>
      </c>
      <c r="Q72" s="1601">
        <v>3.9704000000000002</v>
      </c>
      <c r="R72" s="1601">
        <v>4.0408999999999997</v>
      </c>
      <c r="S72" s="1601">
        <v>4.0225</v>
      </c>
      <c r="T72" s="1601">
        <v>4.0871000000000004</v>
      </c>
      <c r="U72" s="1601">
        <v>4.1154999999999999</v>
      </c>
      <c r="V72" s="1601">
        <v>4.1486999999999998</v>
      </c>
      <c r="W72" s="1601">
        <v>4.1380999999999997</v>
      </c>
      <c r="X72" s="1601">
        <v>4.0712000000000002</v>
      </c>
      <c r="Y72" s="1601">
        <v>3.9895999999999998</v>
      </c>
      <c r="Z72" s="1601">
        <v>4.0221</v>
      </c>
      <c r="AA72" s="1601">
        <v>4.0628000000000002</v>
      </c>
      <c r="AB72" s="1601">
        <v>4.1066000000000003</v>
      </c>
      <c r="AC72" s="1601">
        <v>4.0995999999999997</v>
      </c>
      <c r="AD72" s="1601">
        <v>4.0392999999999999</v>
      </c>
      <c r="AE72" s="1601">
        <v>4.1268000000000002</v>
      </c>
      <c r="AF72" s="1601">
        <v>4.3211000000000004</v>
      </c>
      <c r="AG72" s="1601">
        <v>4.4526000000000003</v>
      </c>
    </row>
    <row r="73" spans="1:33">
      <c r="A73" s="1606" t="s">
        <v>839</v>
      </c>
      <c r="B73" s="1601" t="s">
        <v>2415</v>
      </c>
      <c r="C73" s="1609">
        <v>3.9738310282986897</v>
      </c>
      <c r="D73" s="1610"/>
      <c r="E73" s="1602" t="s">
        <v>2416</v>
      </c>
      <c r="F73" s="1601">
        <v>4.59</v>
      </c>
      <c r="H73" s="1602" t="s">
        <v>2416</v>
      </c>
      <c r="I73" s="1601">
        <v>4.7676999999999996</v>
      </c>
      <c r="J73" s="1601">
        <v>4.8841000000000001</v>
      </c>
      <c r="K73" s="1601">
        <v>4.8315000000000001</v>
      </c>
      <c r="L73" s="1601">
        <v>4.7343000000000002</v>
      </c>
      <c r="M73" s="1601">
        <v>4.6650999999999998</v>
      </c>
      <c r="N73" s="1601">
        <v>4.6279000000000003</v>
      </c>
      <c r="O73" s="1601">
        <v>4.5347</v>
      </c>
      <c r="P73" s="1601">
        <v>4.4965000000000002</v>
      </c>
      <c r="Q73" s="1601">
        <v>4.4935999999999998</v>
      </c>
      <c r="R73" s="1601">
        <v>4.5683999999999996</v>
      </c>
      <c r="S73" s="1601">
        <v>4.5269000000000004</v>
      </c>
      <c r="T73" s="1601">
        <v>4.5921000000000003</v>
      </c>
      <c r="U73" s="1601">
        <v>4.6135999999999999</v>
      </c>
      <c r="V73" s="1601">
        <v>4.6421999999999999</v>
      </c>
      <c r="W73" s="1601">
        <v>4.6036999999999999</v>
      </c>
      <c r="X73" s="1601">
        <v>4.4996999999999998</v>
      </c>
      <c r="Y73" s="1601">
        <v>4.3697999999999997</v>
      </c>
      <c r="Z73" s="1601">
        <v>4.3939000000000004</v>
      </c>
      <c r="AA73" s="1601">
        <v>4.4516</v>
      </c>
      <c r="AB73" s="1601">
        <v>4.5022000000000002</v>
      </c>
      <c r="AC73" s="1601">
        <v>4.4767000000000001</v>
      </c>
      <c r="AD73" s="1601">
        <v>4.3864999999999998</v>
      </c>
      <c r="AE73" s="1601">
        <v>4.4866999999999999</v>
      </c>
      <c r="AF73" s="1601">
        <v>4.7138999999999998</v>
      </c>
      <c r="AG73" s="1601">
        <v>4.8604000000000003</v>
      </c>
    </row>
    <row r="74" spans="1:33">
      <c r="A74" s="1606" t="s">
        <v>839</v>
      </c>
      <c r="B74" s="1601" t="s">
        <v>2417</v>
      </c>
      <c r="C74" s="1607">
        <v>9.2716218832755199</v>
      </c>
      <c r="D74" s="1608"/>
      <c r="E74" s="1602" t="s">
        <v>2418</v>
      </c>
      <c r="F74" s="1601">
        <v>4.1500000000000004</v>
      </c>
      <c r="H74" s="1602" t="s">
        <v>2418</v>
      </c>
      <c r="I74" s="1601">
        <v>4.1951000000000001</v>
      </c>
      <c r="J74" s="1601">
        <v>4.3357999999999999</v>
      </c>
      <c r="K74" s="1601">
        <v>4.3329000000000004</v>
      </c>
      <c r="L74" s="1601">
        <v>4.2826000000000004</v>
      </c>
      <c r="M74" s="1601">
        <v>4.2298</v>
      </c>
      <c r="N74" s="1601">
        <v>4.2018000000000004</v>
      </c>
      <c r="O74" s="1601">
        <v>4.1433999999999997</v>
      </c>
      <c r="P74" s="1601">
        <v>4.1349999999999998</v>
      </c>
      <c r="Q74" s="1601">
        <v>4.1185999999999998</v>
      </c>
      <c r="R74" s="1601">
        <v>4.1620999999999997</v>
      </c>
      <c r="S74" s="1601">
        <v>4.1271000000000004</v>
      </c>
      <c r="T74" s="1601">
        <v>4.1731999999999996</v>
      </c>
      <c r="U74" s="1601">
        <v>4.1914999999999996</v>
      </c>
      <c r="V74" s="1601">
        <v>4.2211999999999996</v>
      </c>
      <c r="W74" s="1601">
        <v>4.1924000000000001</v>
      </c>
      <c r="X74" s="1601">
        <v>4.1085000000000003</v>
      </c>
      <c r="Y74" s="1601">
        <v>3.9925999999999999</v>
      </c>
      <c r="Z74" s="1601">
        <v>3.9744000000000002</v>
      </c>
      <c r="AA74" s="1601">
        <v>4.0096999999999996</v>
      </c>
      <c r="AB74" s="1601">
        <v>4.0547000000000004</v>
      </c>
      <c r="AC74" s="1601">
        <v>4.0385</v>
      </c>
      <c r="AD74" s="1601">
        <v>3.9719000000000002</v>
      </c>
      <c r="AE74" s="1601">
        <v>4.0430000000000001</v>
      </c>
      <c r="AF74" s="1601">
        <v>4.1914999999999996</v>
      </c>
      <c r="AG74" s="1601">
        <v>4.2846000000000002</v>
      </c>
    </row>
    <row r="75" spans="1:33">
      <c r="A75" s="1606" t="s">
        <v>839</v>
      </c>
      <c r="B75" s="1601" t="s">
        <v>2419</v>
      </c>
      <c r="C75" s="1607">
        <v>10.258211268898991</v>
      </c>
      <c r="D75" s="1608"/>
      <c r="E75" s="1602" t="s">
        <v>2420</v>
      </c>
      <c r="F75" s="1601">
        <v>4.3099999999999996</v>
      </c>
      <c r="H75" s="1602" t="s">
        <v>2420</v>
      </c>
      <c r="I75" s="1601">
        <v>4.4851999999999999</v>
      </c>
      <c r="J75" s="1601">
        <v>4.5650000000000004</v>
      </c>
      <c r="K75" s="1601">
        <v>4.4728000000000003</v>
      </c>
      <c r="L75" s="1601">
        <v>4.4234</v>
      </c>
      <c r="M75" s="1601">
        <v>4.3076999999999996</v>
      </c>
      <c r="N75" s="1601">
        <v>4.3399000000000001</v>
      </c>
      <c r="O75" s="1601">
        <v>4.3171999999999997</v>
      </c>
      <c r="P75" s="1601">
        <v>4.3532999999999999</v>
      </c>
      <c r="Q75" s="1601">
        <v>4.2427999999999999</v>
      </c>
      <c r="R75" s="1601">
        <v>4.3204000000000002</v>
      </c>
      <c r="S75" s="1601">
        <v>4.2847999999999997</v>
      </c>
      <c r="T75" s="1601">
        <v>4.3465999999999996</v>
      </c>
      <c r="U75" s="1601">
        <v>4.3837999999999999</v>
      </c>
      <c r="V75" s="1601">
        <v>4.4339000000000004</v>
      </c>
      <c r="W75" s="1601">
        <v>4.3712</v>
      </c>
      <c r="X75" s="1601">
        <v>4.2615999999999996</v>
      </c>
      <c r="Y75" s="1601">
        <v>4.0735000000000001</v>
      </c>
      <c r="Z75" s="1601">
        <v>4.0171000000000001</v>
      </c>
      <c r="AA75" s="1601">
        <v>4.1403999999999996</v>
      </c>
      <c r="AB75" s="1601">
        <v>4.2394999999999996</v>
      </c>
      <c r="AC75" s="1601">
        <v>4.2115999999999998</v>
      </c>
      <c r="AD75" s="1601">
        <v>4.1390000000000002</v>
      </c>
      <c r="AE75" s="1601">
        <v>4.226</v>
      </c>
      <c r="AF75" s="1601">
        <v>4.3472999999999997</v>
      </c>
      <c r="AG75" s="1601">
        <v>4.4211</v>
      </c>
    </row>
    <row r="76" spans="1:33">
      <c r="A76" s="1606" t="s">
        <v>839</v>
      </c>
      <c r="B76" s="1601" t="s">
        <v>2421</v>
      </c>
      <c r="C76" s="1607">
        <v>18.110368185234201</v>
      </c>
      <c r="D76" s="1608"/>
      <c r="E76" s="1602" t="s">
        <v>2422</v>
      </c>
      <c r="F76" s="1601">
        <v>3.21</v>
      </c>
      <c r="H76" s="1602" t="s">
        <v>2422</v>
      </c>
      <c r="I76" s="1601">
        <v>3.2336999999999998</v>
      </c>
      <c r="J76" s="1601">
        <v>3.2685</v>
      </c>
      <c r="K76" s="1601">
        <v>3.2469999999999999</v>
      </c>
      <c r="L76" s="1601">
        <v>3.2524999999999999</v>
      </c>
      <c r="M76" s="1601">
        <v>3.2174</v>
      </c>
      <c r="N76" s="1601">
        <v>3.2374000000000001</v>
      </c>
      <c r="O76" s="1601">
        <v>3.234</v>
      </c>
      <c r="P76" s="1601">
        <v>3.2433000000000001</v>
      </c>
      <c r="Q76" s="1601">
        <v>3.2035999999999998</v>
      </c>
      <c r="R76" s="1601">
        <v>3.2241</v>
      </c>
      <c r="S76" s="1601">
        <v>3.2149999999999999</v>
      </c>
      <c r="T76" s="1601">
        <v>3.2212999999999998</v>
      </c>
      <c r="U76" s="1601">
        <v>3.2252999999999998</v>
      </c>
      <c r="V76" s="1601">
        <v>3.2309000000000001</v>
      </c>
      <c r="W76" s="1601">
        <v>3.2143999999999999</v>
      </c>
      <c r="X76" s="1601">
        <v>3.1960000000000002</v>
      </c>
      <c r="Y76" s="1601">
        <v>3.1616</v>
      </c>
      <c r="Z76" s="1601">
        <v>3.1474000000000002</v>
      </c>
      <c r="AA76" s="1601">
        <v>3.1724999999999999</v>
      </c>
      <c r="AB76" s="1601">
        <v>3.1863000000000001</v>
      </c>
      <c r="AC76" s="1601">
        <v>3.1768000000000001</v>
      </c>
      <c r="AD76" s="1601">
        <v>3.1650999999999998</v>
      </c>
      <c r="AE76" s="1601">
        <v>3.1741999999999999</v>
      </c>
      <c r="AF76" s="1601">
        <v>3.1817000000000002</v>
      </c>
      <c r="AG76" s="1601">
        <v>3.1873999999999998</v>
      </c>
    </row>
    <row r="77" spans="1:33">
      <c r="A77" s="1606" t="s">
        <v>839</v>
      </c>
      <c r="B77" s="1601" t="s">
        <v>2423</v>
      </c>
      <c r="C77" s="1607">
        <v>8.8473237694035589</v>
      </c>
      <c r="D77" s="1608"/>
      <c r="E77" s="1602" t="s">
        <v>2424</v>
      </c>
      <c r="F77" s="1601">
        <v>4.04</v>
      </c>
      <c r="H77" s="1602" t="s">
        <v>2424</v>
      </c>
      <c r="I77" s="1601">
        <v>4.1296999999999997</v>
      </c>
      <c r="J77" s="1601">
        <v>4.1303999999999998</v>
      </c>
      <c r="K77" s="1601">
        <v>4.0758000000000001</v>
      </c>
      <c r="L77" s="1601">
        <v>4.0011000000000001</v>
      </c>
      <c r="M77" s="1601">
        <v>3.9670999999999998</v>
      </c>
      <c r="N77" s="1601">
        <v>3.9451999999999998</v>
      </c>
      <c r="O77" s="1601">
        <v>3.8902000000000001</v>
      </c>
      <c r="P77" s="1601">
        <v>3.8778999999999999</v>
      </c>
      <c r="Q77" s="1601">
        <v>3.91</v>
      </c>
      <c r="R77" s="1601">
        <v>3.9748000000000001</v>
      </c>
      <c r="S77" s="1601">
        <v>3.9601000000000002</v>
      </c>
      <c r="T77" s="1601">
        <v>4.0247000000000002</v>
      </c>
      <c r="U77" s="1601">
        <v>4.0575999999999999</v>
      </c>
      <c r="V77" s="1601">
        <v>4.0968999999999998</v>
      </c>
      <c r="W77" s="1601">
        <v>4.0884</v>
      </c>
      <c r="X77" s="1601">
        <v>4.0247999999999999</v>
      </c>
      <c r="Y77" s="1601">
        <v>3.9386000000000001</v>
      </c>
      <c r="Z77" s="1601">
        <v>3.9573999999999998</v>
      </c>
      <c r="AA77" s="1601">
        <v>4.0056000000000003</v>
      </c>
      <c r="AB77" s="1601">
        <v>4.0614999999999997</v>
      </c>
      <c r="AC77" s="1601">
        <v>4.0617999999999999</v>
      </c>
      <c r="AD77" s="1601">
        <v>4.0107999999999997</v>
      </c>
      <c r="AE77" s="1601">
        <v>4.0980999999999996</v>
      </c>
      <c r="AF77" s="1601">
        <v>4.2733999999999996</v>
      </c>
      <c r="AG77" s="1601">
        <v>4.3864999999999998</v>
      </c>
    </row>
    <row r="80" spans="1:33">
      <c r="B80" s="1603" t="s">
        <v>682</v>
      </c>
      <c r="C80" s="1604">
        <v>100</v>
      </c>
      <c r="D80" s="1603"/>
      <c r="E80" s="1602" t="s">
        <v>2283</v>
      </c>
      <c r="F80" s="1603">
        <v>3.9</v>
      </c>
      <c r="G80" s="1603"/>
      <c r="H80" s="1602" t="s">
        <v>2283</v>
      </c>
      <c r="I80" s="1615">
        <v>103.9221</v>
      </c>
      <c r="J80" s="1615">
        <v>108.05393877390001</v>
      </c>
      <c r="K80" s="1615">
        <v>112.27819945632686</v>
      </c>
      <c r="L80" s="1615">
        <v>116.63246030944266</v>
      </c>
      <c r="M80" s="1615">
        <v>121.0769734744546</v>
      </c>
      <c r="N80" s="1615">
        <v>125.72366556245723</v>
      </c>
      <c r="O80" s="1615">
        <v>130.52178353498286</v>
      </c>
      <c r="P80" s="1615">
        <v>135.53003489100368</v>
      </c>
      <c r="Q80" s="1615">
        <v>140.65361233002318</v>
      </c>
      <c r="R80" s="1615">
        <v>146.07496516367158</v>
      </c>
      <c r="S80" s="1615">
        <v>151.68687317532951</v>
      </c>
      <c r="T80" s="1615">
        <v>157.60341966353323</v>
      </c>
      <c r="U80" s="1615">
        <v>163.81078795040114</v>
      </c>
      <c r="V80" s="1615">
        <v>170.33799260707283</v>
      </c>
      <c r="W80" s="1615">
        <v>177.08065170643121</v>
      </c>
      <c r="X80" s="1615">
        <v>183.97634936453133</v>
      </c>
      <c r="Y80" s="1615">
        <v>190.9363586373409</v>
      </c>
      <c r="Z80" s="1615">
        <v>198.14420617590051</v>
      </c>
      <c r="AA80" s="1615">
        <v>205.78365604501232</v>
      </c>
      <c r="AB80" s="1615">
        <v>213.85634308800209</v>
      </c>
      <c r="AC80" s="1615">
        <v>222.23309604675913</v>
      </c>
      <c r="AD80" s="1615">
        <v>230.83796152568965</v>
      </c>
      <c r="AE80" s="1615">
        <v>239.95744603372356</v>
      </c>
      <c r="AF80" s="1615">
        <v>249.75922778930911</v>
      </c>
      <c r="AG80" s="1615">
        <v>260.18792434565171</v>
      </c>
    </row>
    <row r="81" spans="1:33">
      <c r="A81" s="1605" t="s">
        <v>1881</v>
      </c>
      <c r="B81" s="1606" t="s">
        <v>2284</v>
      </c>
      <c r="C81" s="1604">
        <v>2.7126919000919387</v>
      </c>
      <c r="D81" s="1603"/>
      <c r="E81" s="1602" t="s">
        <v>2285</v>
      </c>
      <c r="F81" s="1606">
        <v>3.6</v>
      </c>
      <c r="G81" s="1606"/>
      <c r="H81" s="1602" t="s">
        <v>2285</v>
      </c>
      <c r="I81" s="1615">
        <v>2.8181016819457114</v>
      </c>
      <c r="J81" s="1615">
        <v>2.9241665749491021</v>
      </c>
      <c r="K81" s="1615">
        <v>3.0306003899440994</v>
      </c>
      <c r="L81" s="1615">
        <v>3.1379078885512404</v>
      </c>
      <c r="M81" s="1615">
        <v>3.2469972562967242</v>
      </c>
      <c r="N81" s="1615">
        <v>3.3591647765154948</v>
      </c>
      <c r="O81" s="1615">
        <v>3.4732084206781955</v>
      </c>
      <c r="P81" s="1615">
        <v>3.5905021422529186</v>
      </c>
      <c r="Q81" s="1615">
        <v>3.7120657732831757</v>
      </c>
      <c r="R81" s="1615">
        <v>3.8406814281958912</v>
      </c>
      <c r="S81" s="1615">
        <v>3.9736342971957481</v>
      </c>
      <c r="T81" s="1615">
        <v>4.1139433242297301</v>
      </c>
      <c r="U81" s="1615">
        <v>4.2609098355445134</v>
      </c>
      <c r="V81" s="1615">
        <v>4.415082336124021</v>
      </c>
      <c r="W81" s="1615">
        <v>4.5747493737276104</v>
      </c>
      <c r="X81" s="1615">
        <v>4.73810909911405</v>
      </c>
      <c r="Y81" s="1615">
        <v>4.904047155983223</v>
      </c>
      <c r="Z81" s="1615">
        <v>5.0775621524562213</v>
      </c>
      <c r="AA81" s="1615">
        <v>5.2607656724789944</v>
      </c>
      <c r="AB81" s="1615">
        <v>5.4537305573455246</v>
      </c>
      <c r="AC81" s="1615">
        <v>5.6538442926862045</v>
      </c>
      <c r="AD81" s="1615">
        <v>5.8588526867390058</v>
      </c>
      <c r="AE81" s="1615">
        <v>6.0764036047029979</v>
      </c>
      <c r="AF81" s="1615">
        <v>6.3125873364141993</v>
      </c>
      <c r="AG81" s="1615">
        <v>6.5660945312572574</v>
      </c>
    </row>
    <row r="82" spans="1:33">
      <c r="A82" s="1606"/>
      <c r="B82" s="1601" t="s">
        <v>107</v>
      </c>
      <c r="C82" s="1607">
        <v>2.1961344634140749</v>
      </c>
      <c r="D82" s="1608"/>
      <c r="E82" s="1602" t="s">
        <v>2286</v>
      </c>
      <c r="F82" s="1601">
        <v>3.48</v>
      </c>
      <c r="H82" s="1602" t="s">
        <v>2286</v>
      </c>
      <c r="I82" s="1615">
        <v>2.2786432352045418</v>
      </c>
      <c r="J82" s="1615">
        <v>2.3620279057536169</v>
      </c>
      <c r="K82" s="1615">
        <v>2.4454712655801751</v>
      </c>
      <c r="L82" s="1615">
        <v>2.5293020205642636</v>
      </c>
      <c r="M82" s="1615">
        <v>2.6143447424016957</v>
      </c>
      <c r="N82" s="1615">
        <v>2.701504381768626</v>
      </c>
      <c r="O82" s="1615">
        <v>2.7899030081488587</v>
      </c>
      <c r="P82" s="1615">
        <v>2.8805860155257297</v>
      </c>
      <c r="Q82" s="1615">
        <v>2.9746169848305359</v>
      </c>
      <c r="R82" s="1615">
        <v>3.073936471337043</v>
      </c>
      <c r="S82" s="1615">
        <v>3.1765321750043882</v>
      </c>
      <c r="T82" s="1615">
        <v>3.2846105057267376</v>
      </c>
      <c r="U82" s="1615">
        <v>3.3976635147233463</v>
      </c>
      <c r="V82" s="1615">
        <v>3.5160754858749694</v>
      </c>
      <c r="W82" s="1615">
        <v>3.6387021345203445</v>
      </c>
      <c r="X82" s="1615">
        <v>3.7642155259484893</v>
      </c>
      <c r="Y82" s="1615">
        <v>3.8918713670799807</v>
      </c>
      <c r="Z82" s="1615">
        <v>4.0252730419293812</v>
      </c>
      <c r="AA82" s="1615">
        <v>4.1656665150857943</v>
      </c>
      <c r="AB82" s="1615">
        <v>4.3131311097198317</v>
      </c>
      <c r="AC82" s="1615">
        <v>4.4659280924127662</v>
      </c>
      <c r="AD82" s="1615">
        <v>4.6224276105551869</v>
      </c>
      <c r="AE82" s="1615">
        <v>4.7880676815518211</v>
      </c>
      <c r="AF82" s="1615">
        <v>4.9674239088350705</v>
      </c>
      <c r="AG82" s="1615">
        <v>5.1596234747157164</v>
      </c>
    </row>
    <row r="83" spans="1:33">
      <c r="A83" s="1606"/>
      <c r="B83" s="1601" t="s">
        <v>2287</v>
      </c>
      <c r="C83" s="1607">
        <v>7.9343402863957535E-6</v>
      </c>
      <c r="D83" s="1608"/>
      <c r="E83" s="1602" t="s">
        <v>2288</v>
      </c>
      <c r="F83" s="1601">
        <v>4.8499999999999996</v>
      </c>
      <c r="H83" s="1602" t="s">
        <v>2288</v>
      </c>
      <c r="I83" s="1615">
        <v>8.3462039563222708E-6</v>
      </c>
      <c r="J83" s="1615">
        <v>8.7339602459290472E-6</v>
      </c>
      <c r="K83" s="1615">
        <v>9.1547537166176617E-6</v>
      </c>
      <c r="L83" s="1615">
        <v>9.5532509911483107E-6</v>
      </c>
      <c r="M83" s="1615">
        <v>1.0008367868366616E-5</v>
      </c>
      <c r="N83" s="1615">
        <v>1.0446183920768312E-5</v>
      </c>
      <c r="O83" s="1615">
        <v>1.0947402271470697E-5</v>
      </c>
      <c r="P83" s="1615">
        <v>1.1416476563998673E-5</v>
      </c>
      <c r="Q83" s="1615">
        <v>1.1952445889248719E-5</v>
      </c>
      <c r="R83" s="1615">
        <v>1.2487485177035049E-5</v>
      </c>
      <c r="S83" s="1615">
        <v>1.3090268574015707E-5</v>
      </c>
      <c r="T83" s="1615">
        <v>1.369708106403278E-5</v>
      </c>
      <c r="U83" s="1615">
        <v>1.4380086011290774E-5</v>
      </c>
      <c r="V83" s="1615">
        <v>1.5069754936392281E-5</v>
      </c>
      <c r="W83" s="1615">
        <v>1.5814698132162961E-5</v>
      </c>
      <c r="X83" s="1615">
        <v>1.6552248208952645E-5</v>
      </c>
      <c r="Y83" s="1615">
        <v>1.7320984272521035E-5</v>
      </c>
      <c r="Z83" s="1615">
        <v>1.813406591624172E-5</v>
      </c>
      <c r="AA83" s="1615">
        <v>1.9041077491174382E-5</v>
      </c>
      <c r="AB83" s="1615">
        <v>2.000769779001385E-5</v>
      </c>
      <c r="AC83" s="1615">
        <v>2.1025309307311747E-5</v>
      </c>
      <c r="AD83" s="1615">
        <v>2.2070498458287521E-5</v>
      </c>
      <c r="AE83" s="1615">
        <v>2.3210925254624152E-5</v>
      </c>
      <c r="AF83" s="1615">
        <v>2.4484137348541304E-5</v>
      </c>
      <c r="AG83" s="1615">
        <v>2.5895990644607587E-5</v>
      </c>
    </row>
    <row r="84" spans="1:33">
      <c r="A84" s="1606"/>
      <c r="B84" s="1601" t="s">
        <v>495</v>
      </c>
      <c r="C84" s="1607">
        <v>0.42770901728365462</v>
      </c>
      <c r="D84" s="1608"/>
      <c r="E84" s="1602" t="s">
        <v>2289</v>
      </c>
      <c r="F84" s="1601">
        <v>4.0999999999999996</v>
      </c>
      <c r="H84" s="1602" t="s">
        <v>2289</v>
      </c>
      <c r="I84" s="1615">
        <v>0.44684942351611545</v>
      </c>
      <c r="J84" s="1615">
        <v>0.4656470382151679</v>
      </c>
      <c r="K84" s="1615">
        <v>0.48463239925727675</v>
      </c>
      <c r="L84" s="1615">
        <v>0.50408312060146754</v>
      </c>
      <c r="M84" s="1615">
        <v>0.523917783230894</v>
      </c>
      <c r="N84" s="1615">
        <v>0.54466335569348778</v>
      </c>
      <c r="O84" s="1615">
        <v>0.56608006350271134</v>
      </c>
      <c r="P84" s="1615">
        <v>0.58852004330002239</v>
      </c>
      <c r="Q84" s="1615">
        <v>0.61156825375578117</v>
      </c>
      <c r="R84" s="1615">
        <v>0.63614840501073355</v>
      </c>
      <c r="S84" s="1615">
        <v>0.66162742092822346</v>
      </c>
      <c r="T84" s="1615">
        <v>0.68871047777649941</v>
      </c>
      <c r="U84" s="1615">
        <v>0.71727130128989081</v>
      </c>
      <c r="V84" s="1615">
        <v>0.74748994121323387</v>
      </c>
      <c r="W84" s="1615">
        <v>0.7787230609168877</v>
      </c>
      <c r="X84" s="1615">
        <v>0.81055570220104822</v>
      </c>
      <c r="Y84" s="1615">
        <v>0.84244053185853085</v>
      </c>
      <c r="Z84" s="1615">
        <v>0.87547767975589497</v>
      </c>
      <c r="AA84" s="1615">
        <v>0.91085748375019004</v>
      </c>
      <c r="AB84" s="1615">
        <v>0.94860615044924912</v>
      </c>
      <c r="AC84" s="1615">
        <v>0.9877902247058562</v>
      </c>
      <c r="AD84" s="1615">
        <v>1.0279073491018351</v>
      </c>
      <c r="AE84" s="1615">
        <v>1.0708481786105641</v>
      </c>
      <c r="AF84" s="1615">
        <v>1.1175210964753055</v>
      </c>
      <c r="AG84" s="1615">
        <v>1.1674619967556905</v>
      </c>
    </row>
    <row r="85" spans="1:33">
      <c r="A85" s="1606"/>
      <c r="B85" s="1601" t="s">
        <v>2290</v>
      </c>
      <c r="C85" s="1607">
        <v>8.8840485053923085E-2</v>
      </c>
      <c r="D85" s="1608"/>
      <c r="E85" s="1602" t="s">
        <v>2291</v>
      </c>
      <c r="F85" s="1601">
        <v>4.04</v>
      </c>
      <c r="H85" s="1602" t="s">
        <v>2291</v>
      </c>
      <c r="I85" s="1615">
        <v>9.2601546988680922E-2</v>
      </c>
      <c r="J85" s="1615">
        <v>9.6484422455463292E-2</v>
      </c>
      <c r="K85" s="1615">
        <v>0.10049064864465905</v>
      </c>
      <c r="L85" s="1615">
        <v>0.10451650501066138</v>
      </c>
      <c r="M85" s="1615">
        <v>0.10872966984414616</v>
      </c>
      <c r="N85" s="1615">
        <v>0.1129906768756684</v>
      </c>
      <c r="O85" s="1615">
        <v>0.11721777108826403</v>
      </c>
      <c r="P85" s="1615">
        <v>0.12138720720587359</v>
      </c>
      <c r="Q85" s="1615">
        <v>0.12586979399357209</v>
      </c>
      <c r="R85" s="1615">
        <v>0.13058361777863137</v>
      </c>
      <c r="S85" s="1615">
        <v>0.13545987123372102</v>
      </c>
      <c r="T85" s="1615">
        <v>0.1406051789826627</v>
      </c>
      <c r="U85" s="1615">
        <v>0.14595633088438487</v>
      </c>
      <c r="V85" s="1615">
        <v>0.15149858468072672</v>
      </c>
      <c r="W85" s="1615">
        <v>0.15730325295276879</v>
      </c>
      <c r="X85" s="1615">
        <v>0.16331538328062359</v>
      </c>
      <c r="Y85" s="1615">
        <v>0.16970934385144326</v>
      </c>
      <c r="Z85" s="1615">
        <v>0.17678232017513987</v>
      </c>
      <c r="AA85" s="1615">
        <v>0.18420788475177644</v>
      </c>
      <c r="AB85" s="1615">
        <v>0.19195953675001595</v>
      </c>
      <c r="AC85" s="1615">
        <v>0.20008883117184237</v>
      </c>
      <c r="AD85" s="1615">
        <v>0.20847995648469589</v>
      </c>
      <c r="AE85" s="1615">
        <v>0.21745105749218885</v>
      </c>
      <c r="AF85" s="1615">
        <v>0.22760428226861412</v>
      </c>
      <c r="AG85" s="1615">
        <v>0.2389737989807782</v>
      </c>
    </row>
    <row r="86" spans="1:33">
      <c r="B86" s="1606" t="s">
        <v>2292</v>
      </c>
      <c r="C86" s="1604">
        <v>30.364330293975613</v>
      </c>
      <c r="D86" s="1603"/>
      <c r="E86" s="1602" t="s">
        <v>2293</v>
      </c>
      <c r="F86" s="1606">
        <v>3.9</v>
      </c>
      <c r="G86" s="1606"/>
      <c r="H86" s="1602" t="s">
        <v>2293</v>
      </c>
      <c r="I86" s="1615">
        <v>31.536970365598656</v>
      </c>
      <c r="J86" s="1615">
        <v>32.768110614730894</v>
      </c>
      <c r="K86" s="1615">
        <v>34.007924847949852</v>
      </c>
      <c r="L86" s="1615">
        <v>35.290499725665434</v>
      </c>
      <c r="M86" s="1615">
        <v>36.588096110078425</v>
      </c>
      <c r="N86" s="1615">
        <v>37.963040173799065</v>
      </c>
      <c r="O86" s="1615">
        <v>39.393867157949551</v>
      </c>
      <c r="P86" s="1615">
        <v>40.901234090881339</v>
      </c>
      <c r="Q86" s="1615">
        <v>42.414906962116675</v>
      </c>
      <c r="R86" s="1615">
        <v>44.0304907683037</v>
      </c>
      <c r="S86" s="1615">
        <v>45.707920375103768</v>
      </c>
      <c r="T86" s="1615">
        <v>47.485547106411929</v>
      </c>
      <c r="U86" s="1615">
        <v>49.362460841339967</v>
      </c>
      <c r="V86" s="1615">
        <v>51.34925052774306</v>
      </c>
      <c r="W86" s="1615">
        <v>53.399677450566365</v>
      </c>
      <c r="X86" s="1615">
        <v>55.496736183727563</v>
      </c>
      <c r="Y86" s="1615">
        <v>57.598952550367159</v>
      </c>
      <c r="Z86" s="1615">
        <v>59.77550176934043</v>
      </c>
      <c r="AA86" s="1615">
        <v>62.108300501390708</v>
      </c>
      <c r="AB86" s="1615">
        <v>64.591514572037312</v>
      </c>
      <c r="AC86" s="1615">
        <v>67.176854534297675</v>
      </c>
      <c r="AD86" s="1615">
        <v>69.840954231418849</v>
      </c>
      <c r="AE86" s="1615">
        <v>72.680058861880255</v>
      </c>
      <c r="AF86" s="1615">
        <v>75.744686223850294</v>
      </c>
      <c r="AG86" s="1615">
        <v>79.018068583700199</v>
      </c>
    </row>
    <row r="87" spans="1:33">
      <c r="A87" s="1606" t="s">
        <v>1015</v>
      </c>
      <c r="B87" s="1606" t="s">
        <v>2294</v>
      </c>
      <c r="C87" s="1607">
        <v>7.6049065824572288</v>
      </c>
      <c r="D87" s="1608"/>
      <c r="E87" s="1602" t="s">
        <v>2295</v>
      </c>
      <c r="F87" s="1606">
        <v>4.18</v>
      </c>
      <c r="G87" s="1606"/>
      <c r="H87" s="1602" t="s">
        <v>2295</v>
      </c>
      <c r="I87" s="1615">
        <v>7.929955499604616</v>
      </c>
      <c r="J87" s="1615">
        <v>8.2675019854007861</v>
      </c>
      <c r="K87" s="1615">
        <v>8.6100824651698389</v>
      </c>
      <c r="L87" s="1615">
        <v>8.9610208163676965</v>
      </c>
      <c r="M87" s="1615">
        <v>9.3175708736301512</v>
      </c>
      <c r="N87" s="1615">
        <v>9.6880468091365586</v>
      </c>
      <c r="O87" s="1615">
        <v>10.068079821318557</v>
      </c>
      <c r="P87" s="1615">
        <v>10.465849518899212</v>
      </c>
      <c r="Q87" s="1615">
        <v>10.874833986398755</v>
      </c>
      <c r="R87" s="1615">
        <v>11.312208934497727</v>
      </c>
      <c r="S87" s="1615">
        <v>11.768102266766919</v>
      </c>
      <c r="T87" s="1615">
        <v>12.253960136952657</v>
      </c>
      <c r="U87" s="1615">
        <v>12.76829560578097</v>
      </c>
      <c r="V87" s="1615">
        <v>13.315085096802934</v>
      </c>
      <c r="W87" s="1615">
        <v>13.884012052819131</v>
      </c>
      <c r="X87" s="1615">
        <v>14.468292932037919</v>
      </c>
      <c r="Y87" s="1615">
        <v>15.058498005614542</v>
      </c>
      <c r="Z87" s="1615">
        <v>15.671168055470975</v>
      </c>
      <c r="AA87" s="1615">
        <v>16.327507915970209</v>
      </c>
      <c r="AB87" s="1615">
        <v>17.029443808785683</v>
      </c>
      <c r="AC87" s="1615">
        <v>17.762169687546304</v>
      </c>
      <c r="AD87" s="1615">
        <v>18.517985532090773</v>
      </c>
      <c r="AE87" s="1615">
        <v>19.330480665296786</v>
      </c>
      <c r="AF87" s="1615">
        <v>20.214985469098771</v>
      </c>
      <c r="AG87" s="1615">
        <v>21.166909134838633</v>
      </c>
    </row>
    <row r="88" spans="1:33">
      <c r="A88" s="1606"/>
      <c r="B88" s="1601" t="s">
        <v>2296</v>
      </c>
      <c r="C88" s="1609">
        <v>1.2971689135334363</v>
      </c>
      <c r="D88" s="1610"/>
      <c r="E88" s="1602" t="s">
        <v>2297</v>
      </c>
      <c r="F88" s="1601">
        <v>3.5</v>
      </c>
      <c r="H88" s="1602" t="s">
        <v>2297</v>
      </c>
      <c r="I88" s="1615">
        <v>1.3583472910024139</v>
      </c>
      <c r="J88" s="1615">
        <v>1.4178143770552085</v>
      </c>
      <c r="K88" s="1615">
        <v>1.4753648804342565</v>
      </c>
      <c r="L88" s="1615">
        <v>1.5317075898531605</v>
      </c>
      <c r="M88" s="1615">
        <v>1.5873805656215532</v>
      </c>
      <c r="N88" s="1615">
        <v>1.6437452747456434</v>
      </c>
      <c r="O88" s="1615">
        <v>1.6997969886144699</v>
      </c>
      <c r="P88" s="1615">
        <v>1.7561758551328348</v>
      </c>
      <c r="Q88" s="1615">
        <v>1.8126825694475888</v>
      </c>
      <c r="R88" s="1615">
        <v>1.8735089457479719</v>
      </c>
      <c r="S88" s="1615">
        <v>1.9371351830545185</v>
      </c>
      <c r="T88" s="1615">
        <v>2.0052216104685185</v>
      </c>
      <c r="U88" s="1615">
        <v>2.0770085441232915</v>
      </c>
      <c r="V88" s="1615">
        <v>2.1521567902582164</v>
      </c>
      <c r="W88" s="1615">
        <v>2.2276200159518305</v>
      </c>
      <c r="X88" s="1615">
        <v>2.3012361746189907</v>
      </c>
      <c r="Y88" s="1615">
        <v>2.3704435513344819</v>
      </c>
      <c r="Z88" s="1615">
        <v>2.4406252735588416</v>
      </c>
      <c r="AA88" s="1615">
        <v>2.5163212664182693</v>
      </c>
      <c r="AB88" s="1615">
        <v>2.5983709539523701</v>
      </c>
      <c r="AC88" s="1615">
        <v>2.6837300381606592</v>
      </c>
      <c r="AD88" s="1615">
        <v>2.7704252533134008</v>
      </c>
      <c r="AE88" s="1615">
        <v>2.8623313406668198</v>
      </c>
      <c r="AF88" s="1615">
        <v>2.961141880877979</v>
      </c>
      <c r="AG88" s="1615">
        <v>3.0646249061890218</v>
      </c>
    </row>
    <row r="89" spans="1:33">
      <c r="A89" s="1606"/>
      <c r="B89" s="1601" t="s">
        <v>2298</v>
      </c>
      <c r="C89" s="1609">
        <v>5.2559514970957406E-2</v>
      </c>
      <c r="D89" s="1610"/>
      <c r="E89" s="1602" t="s">
        <v>2299</v>
      </c>
      <c r="F89" s="1601">
        <v>6.12</v>
      </c>
      <c r="H89" s="1602" t="s">
        <v>2299</v>
      </c>
      <c r="I89" s="1615">
        <v>5.4777211145641984E-2</v>
      </c>
      <c r="J89" s="1615">
        <v>5.8050861615338983E-2</v>
      </c>
      <c r="K89" s="1615">
        <v>6.1799670156734349E-2</v>
      </c>
      <c r="L89" s="1615">
        <v>6.6750997930021747E-2</v>
      </c>
      <c r="M89" s="1615">
        <v>7.1285326468410182E-2</v>
      </c>
      <c r="N89" s="1615">
        <v>7.5510978050804603E-2</v>
      </c>
      <c r="O89" s="1615">
        <v>7.943264069587315E-2</v>
      </c>
      <c r="P89" s="1615">
        <v>8.5057663146751408E-2</v>
      </c>
      <c r="Q89" s="1615">
        <v>8.9894297046265143E-2</v>
      </c>
      <c r="R89" s="1615">
        <v>9.4429644120843301E-2</v>
      </c>
      <c r="S89" s="1615">
        <v>9.8830159966518713E-2</v>
      </c>
      <c r="T89" s="1615">
        <v>0.10326773297917538</v>
      </c>
      <c r="U89" s="1615">
        <v>0.10795805014335656</v>
      </c>
      <c r="V89" s="1615">
        <v>0.11422015684192197</v>
      </c>
      <c r="W89" s="1615">
        <v>0.12216828067592395</v>
      </c>
      <c r="X89" s="1615">
        <v>0.13228161528683827</v>
      </c>
      <c r="Y89" s="1615">
        <v>0.1447627825339973</v>
      </c>
      <c r="Z89" s="1615">
        <v>0.15666344136055216</v>
      </c>
      <c r="AA89" s="1615">
        <v>0.16826342921265289</v>
      </c>
      <c r="AB89" s="1615">
        <v>0.17918725930056753</v>
      </c>
      <c r="AC89" s="1615">
        <v>0.18895081468533687</v>
      </c>
      <c r="AD89" s="1615">
        <v>0.19805427598606171</v>
      </c>
      <c r="AE89" s="1615">
        <v>0.20908015558448176</v>
      </c>
      <c r="AF89" s="1615">
        <v>0.22010725207016291</v>
      </c>
      <c r="AG89" s="1615">
        <v>0.23180199058715478</v>
      </c>
    </row>
    <row r="90" spans="1:33">
      <c r="A90" s="1606"/>
      <c r="B90" s="1601" t="s">
        <v>2300</v>
      </c>
      <c r="C90" s="1609">
        <v>6.2551781539528353</v>
      </c>
      <c r="D90" s="1610"/>
      <c r="E90" s="1602" t="s">
        <v>2301</v>
      </c>
      <c r="F90" s="1601">
        <v>4.29</v>
      </c>
      <c r="H90" s="1602" t="s">
        <v>2301</v>
      </c>
      <c r="I90" s="1615">
        <v>6.516832256132683</v>
      </c>
      <c r="J90" s="1615">
        <v>6.7916405555415418</v>
      </c>
      <c r="K90" s="1615">
        <v>7.0729231407898494</v>
      </c>
      <c r="L90" s="1615">
        <v>7.3625664163283346</v>
      </c>
      <c r="M90" s="1615">
        <v>7.6589097145855494</v>
      </c>
      <c r="N90" s="1615">
        <v>7.9687968605473962</v>
      </c>
      <c r="O90" s="1615">
        <v>8.2888556176544217</v>
      </c>
      <c r="P90" s="1615">
        <v>8.6246205810143675</v>
      </c>
      <c r="Q90" s="1615">
        <v>8.9722617873938955</v>
      </c>
      <c r="R90" s="1615">
        <v>9.3442786778846081</v>
      </c>
      <c r="S90" s="1615">
        <v>9.732140997246244</v>
      </c>
      <c r="T90" s="1615">
        <v>10.145474757540288</v>
      </c>
      <c r="U90" s="1615">
        <v>10.583333157126212</v>
      </c>
      <c r="V90" s="1615">
        <v>11.048714066044523</v>
      </c>
      <c r="W90" s="1615">
        <v>11.534227708248718</v>
      </c>
      <c r="X90" s="1615">
        <v>12.034778588103586</v>
      </c>
      <c r="Y90" s="1615">
        <v>12.543296122565316</v>
      </c>
      <c r="Z90" s="1615">
        <v>13.07389009184595</v>
      </c>
      <c r="AA90" s="1615">
        <v>13.642931158093546</v>
      </c>
      <c r="AB90" s="1615">
        <v>14.251897033266209</v>
      </c>
      <c r="AC90" s="1615">
        <v>14.889498402740472</v>
      </c>
      <c r="AD90" s="1615">
        <v>15.54952008793715</v>
      </c>
      <c r="AE90" s="1615">
        <v>16.259091338109986</v>
      </c>
      <c r="AF90" s="1615">
        <v>17.033755744914234</v>
      </c>
      <c r="AG90" s="1615">
        <v>17.870504928371655</v>
      </c>
    </row>
    <row r="91" spans="1:33">
      <c r="B91" s="1606" t="s">
        <v>2302</v>
      </c>
      <c r="C91" s="1607">
        <v>18.245465180795851</v>
      </c>
      <c r="D91" s="1608"/>
      <c r="E91" s="1602" t="s">
        <v>2303</v>
      </c>
      <c r="F91" s="1606">
        <v>3.8</v>
      </c>
      <c r="G91" s="1606"/>
      <c r="H91" s="1602" t="s">
        <v>2303</v>
      </c>
      <c r="I91" s="1615">
        <v>18.954812376094832</v>
      </c>
      <c r="J91" s="1615">
        <v>19.67774892011909</v>
      </c>
      <c r="K91" s="1615">
        <v>20.408993747739636</v>
      </c>
      <c r="L91" s="1615">
        <v>21.157473184444243</v>
      </c>
      <c r="M91" s="1615">
        <v>21.920855974412177</v>
      </c>
      <c r="N91" s="1615">
        <v>22.715991183172029</v>
      </c>
      <c r="O91" s="1615">
        <v>23.53519797321076</v>
      </c>
      <c r="P91" s="1615">
        <v>24.391667362653873</v>
      </c>
      <c r="Q91" s="1615">
        <v>25.279475271319747</v>
      </c>
      <c r="R91" s="1615">
        <v>26.220832371473154</v>
      </c>
      <c r="S91" s="1615">
        <v>27.195932685703497</v>
      </c>
      <c r="T91" s="1615">
        <v>28.226930493818518</v>
      </c>
      <c r="U91" s="1615">
        <v>29.310534128545719</v>
      </c>
      <c r="V91" s="1615">
        <v>30.452707022466885</v>
      </c>
      <c r="W91" s="1615">
        <v>31.636738724207419</v>
      </c>
      <c r="X91" s="1615">
        <v>32.849374919506289</v>
      </c>
      <c r="Y91" s="1615">
        <v>34.075215043377504</v>
      </c>
      <c r="Z91" s="1615">
        <v>35.344584954173406</v>
      </c>
      <c r="AA91" s="1615">
        <v>36.692273978476038</v>
      </c>
      <c r="AB91" s="1615">
        <v>38.12187835722542</v>
      </c>
      <c r="AC91" s="1615">
        <v>39.609394050724354</v>
      </c>
      <c r="AD91" s="1615">
        <v>41.140930881089666</v>
      </c>
      <c r="AE91" s="1615">
        <v>42.77188080400871</v>
      </c>
      <c r="AF91" s="1615">
        <v>44.531558752166433</v>
      </c>
      <c r="AG91" s="1615">
        <v>46.408029574865225</v>
      </c>
    </row>
    <row r="92" spans="1:33">
      <c r="A92" s="1606" t="s">
        <v>1005</v>
      </c>
      <c r="B92" s="1606" t="s">
        <v>2304</v>
      </c>
      <c r="C92" s="1609">
        <v>3.2035411768379154</v>
      </c>
      <c r="D92" s="1610"/>
      <c r="E92" s="1602" t="s">
        <v>2305</v>
      </c>
      <c r="F92" s="1606">
        <v>3.6</v>
      </c>
      <c r="G92" s="1606"/>
      <c r="H92" s="1602" t="s">
        <v>2305</v>
      </c>
      <c r="I92" s="1615">
        <v>3.323420891216367</v>
      </c>
      <c r="J92" s="1615">
        <v>3.446307702089983</v>
      </c>
      <c r="K92" s="1615">
        <v>3.5699370982870571</v>
      </c>
      <c r="L92" s="1615">
        <v>3.695566754712877</v>
      </c>
      <c r="M92" s="1615">
        <v>3.8231488057858298</v>
      </c>
      <c r="N92" s="1615">
        <v>3.9557164906264535</v>
      </c>
      <c r="O92" s="1615">
        <v>4.0900961355295244</v>
      </c>
      <c r="P92" s="1615">
        <v>4.2276624289519242</v>
      </c>
      <c r="Q92" s="1615">
        <v>4.3697626185138558</v>
      </c>
      <c r="R92" s="1615">
        <v>4.521633718320305</v>
      </c>
      <c r="S92" s="1615">
        <v>4.678629362654104</v>
      </c>
      <c r="T92" s="1615">
        <v>4.8447908844687646</v>
      </c>
      <c r="U92" s="1615">
        <v>5.0189901855107237</v>
      </c>
      <c r="V92" s="1615">
        <v>5.2015609724988616</v>
      </c>
      <c r="W92" s="1615">
        <v>5.3902059842884782</v>
      </c>
      <c r="X92" s="1615">
        <v>5.5826956301934043</v>
      </c>
      <c r="Y92" s="1615">
        <v>5.7778387559468154</v>
      </c>
      <c r="Z92" s="1615">
        <v>5.9833044799470398</v>
      </c>
      <c r="AA92" s="1615">
        <v>6.2011206962350327</v>
      </c>
      <c r="AB92" s="1615">
        <v>6.4300722734607261</v>
      </c>
      <c r="AC92" s="1615">
        <v>6.6668082443527306</v>
      </c>
      <c r="AD92" s="1615">
        <v>6.9084933768270052</v>
      </c>
      <c r="AE92" s="1615">
        <v>7.1654824219515927</v>
      </c>
      <c r="AF92" s="1615">
        <v>7.4472793491596834</v>
      </c>
      <c r="AG92" s="1615">
        <v>7.7524316204915014</v>
      </c>
    </row>
    <row r="93" spans="1:33">
      <c r="B93" s="1601" t="s">
        <v>2306</v>
      </c>
      <c r="C93" s="1611">
        <v>1.9748114148936249</v>
      </c>
      <c r="D93" s="1612"/>
      <c r="E93" s="1602" t="s">
        <v>2307</v>
      </c>
      <c r="F93" s="1601">
        <v>3.5</v>
      </c>
      <c r="H93" s="1602" t="s">
        <v>2307</v>
      </c>
      <c r="I93" s="1615">
        <v>2.0422492499008271</v>
      </c>
      <c r="J93" s="1615">
        <v>2.1133542420346245</v>
      </c>
      <c r="K93" s="1615">
        <v>2.1842044429988352</v>
      </c>
      <c r="L93" s="1615">
        <v>2.2581266581676878</v>
      </c>
      <c r="M93" s="1615">
        <v>2.3310280191999735</v>
      </c>
      <c r="N93" s="1615">
        <v>2.4096279529793776</v>
      </c>
      <c r="O93" s="1615">
        <v>2.4916685558944662</v>
      </c>
      <c r="P93" s="1615">
        <v>2.5788794470193288</v>
      </c>
      <c r="Q93" s="1615">
        <v>2.6638999446286622</v>
      </c>
      <c r="R93" s="1615">
        <v>2.7557831815187939</v>
      </c>
      <c r="S93" s="1615">
        <v>2.8507529815202943</v>
      </c>
      <c r="T93" s="1615">
        <v>2.9514900396282768</v>
      </c>
      <c r="U93" s="1615">
        <v>3.0581244232700069</v>
      </c>
      <c r="V93" s="1615">
        <v>3.1713790031613884</v>
      </c>
      <c r="W93" s="1615">
        <v>3.286890140593536</v>
      </c>
      <c r="X93" s="1615">
        <v>3.4037916753338857</v>
      </c>
      <c r="Y93" s="1615">
        <v>3.517655314457155</v>
      </c>
      <c r="Z93" s="1615">
        <v>3.6326861608952186</v>
      </c>
      <c r="AA93" s="1615">
        <v>3.7591762930175903</v>
      </c>
      <c r="AB93" s="1615">
        <v>3.8954426744631849</v>
      </c>
      <c r="AC93" s="1615">
        <v>4.0357370423839765</v>
      </c>
      <c r="AD93" s="1615">
        <v>4.1790823863924134</v>
      </c>
      <c r="AE93" s="1615">
        <v>4.3317150123906236</v>
      </c>
      <c r="AF93" s="1615">
        <v>4.494085017915074</v>
      </c>
      <c r="AG93" s="1615">
        <v>4.6664781192022957</v>
      </c>
    </row>
    <row r="94" spans="1:33">
      <c r="B94" s="1601" t="s">
        <v>2308</v>
      </c>
      <c r="C94" s="1611">
        <v>1.2287297619442896</v>
      </c>
      <c r="D94" s="1612"/>
      <c r="E94" s="1602" t="s">
        <v>2309</v>
      </c>
      <c r="F94" s="1601">
        <v>3.75</v>
      </c>
      <c r="H94" s="1602" t="s">
        <v>2309</v>
      </c>
      <c r="I94" s="1615">
        <v>1.2811707194543098</v>
      </c>
      <c r="J94" s="1615">
        <v>1.3329517964224946</v>
      </c>
      <c r="K94" s="1615">
        <v>1.3857313557536397</v>
      </c>
      <c r="L94" s="1615">
        <v>1.4374385355622312</v>
      </c>
      <c r="M94" s="1615">
        <v>1.4921186974550187</v>
      </c>
      <c r="N94" s="1615">
        <v>1.5460886307419668</v>
      </c>
      <c r="O94" s="1615">
        <v>1.5984283691584744</v>
      </c>
      <c r="P94" s="1615">
        <v>1.6487852565004431</v>
      </c>
      <c r="Q94" s="1615">
        <v>1.7058645532952319</v>
      </c>
      <c r="R94" s="1615">
        <v>1.7658512803118589</v>
      </c>
      <c r="S94" s="1615">
        <v>1.8278750406815325</v>
      </c>
      <c r="T94" s="1615">
        <v>1.8932983441376059</v>
      </c>
      <c r="U94" s="1615">
        <v>1.9608625888465008</v>
      </c>
      <c r="V94" s="1615">
        <v>2.0301790813622245</v>
      </c>
      <c r="W94" s="1615">
        <v>2.1033122224101355</v>
      </c>
      <c r="X94" s="1615">
        <v>2.1788989537468888</v>
      </c>
      <c r="Y94" s="1615">
        <v>2.2601784214185092</v>
      </c>
      <c r="Z94" s="1615">
        <v>2.350610420237885</v>
      </c>
      <c r="AA94" s="1615">
        <v>2.4419386868953876</v>
      </c>
      <c r="AB94" s="1615">
        <v>2.5346224697565019</v>
      </c>
      <c r="AC94" s="1615">
        <v>2.6310597854857973</v>
      </c>
      <c r="AD94" s="1615">
        <v>2.7294009070879</v>
      </c>
      <c r="AE94" s="1615">
        <v>2.8337568213694988</v>
      </c>
      <c r="AF94" s="1615">
        <v>2.9531798350924738</v>
      </c>
      <c r="AG94" s="1615">
        <v>3.0859370813992206</v>
      </c>
    </row>
    <row r="95" spans="1:33">
      <c r="A95" s="1606" t="s">
        <v>1001</v>
      </c>
      <c r="B95" s="1606" t="s">
        <v>2310</v>
      </c>
      <c r="C95" s="1609">
        <v>0.76712129210820812</v>
      </c>
      <c r="D95" s="1610"/>
      <c r="E95" s="1602" t="s">
        <v>2311</v>
      </c>
      <c r="F95" s="1606">
        <v>3.65</v>
      </c>
      <c r="G95" s="1606"/>
      <c r="H95" s="1602" t="s">
        <v>2311</v>
      </c>
      <c r="I95" s="1615">
        <v>0.79517798624577385</v>
      </c>
      <c r="J95" s="1615">
        <v>0.82528978622892879</v>
      </c>
      <c r="K95" s="1615">
        <v>0.8563223327707089</v>
      </c>
      <c r="L95" s="1615">
        <v>0.88826144313839084</v>
      </c>
      <c r="M95" s="1615">
        <v>0.9208712972388875</v>
      </c>
      <c r="N95" s="1615">
        <v>0.9546580651345824</v>
      </c>
      <c r="O95" s="1615">
        <v>0.98899425176327804</v>
      </c>
      <c r="P95" s="1615">
        <v>1.0241826672410155</v>
      </c>
      <c r="Q95" s="1615">
        <v>1.0605032571693835</v>
      </c>
      <c r="R95" s="1615">
        <v>1.0988733255170291</v>
      </c>
      <c r="S95" s="1615">
        <v>1.1383745249493897</v>
      </c>
      <c r="T95" s="1615">
        <v>1.1797430551860506</v>
      </c>
      <c r="U95" s="1615">
        <v>1.2227482287767477</v>
      </c>
      <c r="V95" s="1615">
        <v>1.2674421220349954</v>
      </c>
      <c r="W95" s="1615">
        <v>1.3135225152658216</v>
      </c>
      <c r="X95" s="1615">
        <v>1.3606556436811053</v>
      </c>
      <c r="Y95" s="1615">
        <v>1.408833738712566</v>
      </c>
      <c r="Z95" s="1615">
        <v>1.4592784395609082</v>
      </c>
      <c r="AA95" s="1615">
        <v>1.5120561628845077</v>
      </c>
      <c r="AB95" s="1615">
        <v>1.5670435973039656</v>
      </c>
      <c r="AC95" s="1615">
        <v>1.623795648223926</v>
      </c>
      <c r="AD95" s="1615">
        <v>1.6818771947652476</v>
      </c>
      <c r="AE95" s="1615">
        <v>1.742900745022915</v>
      </c>
      <c r="AF95" s="1615">
        <v>1.8084216127305615</v>
      </c>
      <c r="AG95" s="1615">
        <v>1.8782176448738974</v>
      </c>
    </row>
    <row r="96" spans="1:33">
      <c r="B96" s="1601" t="s">
        <v>2312</v>
      </c>
      <c r="C96" s="1611">
        <v>0.29439356237619191</v>
      </c>
      <c r="D96" s="1612"/>
      <c r="E96" s="1602" t="s">
        <v>2313</v>
      </c>
      <c r="F96" s="1601">
        <v>3.53</v>
      </c>
      <c r="H96" s="1602" t="s">
        <v>2313</v>
      </c>
      <c r="I96" s="1615">
        <v>0.30438734063817646</v>
      </c>
      <c r="J96" s="1615">
        <v>0.31529962680005508</v>
      </c>
      <c r="K96" s="1615">
        <v>0.3264653324839254</v>
      </c>
      <c r="L96" s="1615">
        <v>0.33812830648691361</v>
      </c>
      <c r="M96" s="1615">
        <v>0.34983464658579705</v>
      </c>
      <c r="N96" s="1615">
        <v>0.36220130134260498</v>
      </c>
      <c r="O96" s="1615">
        <v>0.37490913400021031</v>
      </c>
      <c r="P96" s="1615">
        <v>0.38813967733907773</v>
      </c>
      <c r="Q96" s="1615">
        <v>0.40141638314213818</v>
      </c>
      <c r="R96" s="1615">
        <v>0.41556631064789856</v>
      </c>
      <c r="S96" s="1615">
        <v>0.43013398766766064</v>
      </c>
      <c r="T96" s="1615">
        <v>0.44539385114814622</v>
      </c>
      <c r="U96" s="1615">
        <v>0.46131623593284132</v>
      </c>
      <c r="V96" s="1615">
        <v>0.47794576360574842</v>
      </c>
      <c r="W96" s="1615">
        <v>0.49498596391558414</v>
      </c>
      <c r="X96" s="1615">
        <v>0.51238719547703648</v>
      </c>
      <c r="Y96" s="1615">
        <v>0.52991596143430597</v>
      </c>
      <c r="Z96" s="1615">
        <v>0.54797920681171719</v>
      </c>
      <c r="AA96" s="1615">
        <v>0.56719738557381094</v>
      </c>
      <c r="AB96" s="1615">
        <v>0.58739585167148001</v>
      </c>
      <c r="AC96" s="1615">
        <v>0.608177916903617</v>
      </c>
      <c r="AD96" s="1615">
        <v>0.62948238933275069</v>
      </c>
      <c r="AE96" s="1615">
        <v>0.65187370740370598</v>
      </c>
      <c r="AF96" s="1615">
        <v>0.67556019043592697</v>
      </c>
      <c r="AG96" s="1615">
        <v>0.70058631769062585</v>
      </c>
    </row>
    <row r="97" spans="1:33">
      <c r="B97" s="1601" t="s">
        <v>2314</v>
      </c>
      <c r="C97" s="1611">
        <v>0.29948152044843235</v>
      </c>
      <c r="D97" s="1612"/>
      <c r="E97" s="1602" t="s">
        <v>2315</v>
      </c>
      <c r="F97" s="1601">
        <v>3.7</v>
      </c>
      <c r="H97" s="1602" t="s">
        <v>2315</v>
      </c>
      <c r="I97" s="1615">
        <v>0.31075999450852032</v>
      </c>
      <c r="J97" s="1615">
        <v>0.32285508425478643</v>
      </c>
      <c r="K97" s="1615">
        <v>0.33528984782485954</v>
      </c>
      <c r="L97" s="1615">
        <v>0.34807679675135622</v>
      </c>
      <c r="M97" s="1615">
        <v>0.36110496317696272</v>
      </c>
      <c r="N97" s="1615">
        <v>0.37463014957275587</v>
      </c>
      <c r="O97" s="1615">
        <v>0.38840230313134949</v>
      </c>
      <c r="P97" s="1615">
        <v>0.40254908021830266</v>
      </c>
      <c r="Q97" s="1615">
        <v>0.41708593260314597</v>
      </c>
      <c r="R97" s="1615">
        <v>0.43244679041498724</v>
      </c>
      <c r="S97" s="1615">
        <v>0.44825445039181666</v>
      </c>
      <c r="T97" s="1615">
        <v>0.46482103836939742</v>
      </c>
      <c r="U97" s="1615">
        <v>0.4820654340718637</v>
      </c>
      <c r="V97" s="1615">
        <v>0.50001706877126584</v>
      </c>
      <c r="W97" s="1615">
        <v>0.51850469987201464</v>
      </c>
      <c r="X97" s="1615">
        <v>0.53737049337685794</v>
      </c>
      <c r="Y97" s="1615">
        <v>0.5565374241346237</v>
      </c>
      <c r="Z97" s="1615">
        <v>0.5765154480487843</v>
      </c>
      <c r="AA97" s="1615">
        <v>0.59743085198854606</v>
      </c>
      <c r="AB97" s="1615">
        <v>0.61924962413401974</v>
      </c>
      <c r="AC97" s="1615">
        <v>0.64175625172317075</v>
      </c>
      <c r="AD97" s="1615">
        <v>0.66475422875992229</v>
      </c>
      <c r="AE97" s="1615">
        <v>0.68891206218728662</v>
      </c>
      <c r="AF97" s="1615">
        <v>0.71483444526326989</v>
      </c>
      <c r="AG97" s="1615">
        <v>0.74240918398930056</v>
      </c>
    </row>
    <row r="98" spans="1:33">
      <c r="B98" s="1601" t="s">
        <v>2316</v>
      </c>
      <c r="C98" s="1611">
        <v>7.8964947497530108E-2</v>
      </c>
      <c r="D98" s="1612"/>
      <c r="E98" s="1602" t="s">
        <v>2317</v>
      </c>
      <c r="F98" s="1601">
        <v>3.75</v>
      </c>
      <c r="H98" s="1602" t="s">
        <v>2317</v>
      </c>
      <c r="I98" s="1615">
        <v>8.2104593810031906E-2</v>
      </c>
      <c r="J98" s="1615">
        <v>8.5365049334822085E-2</v>
      </c>
      <c r="K98" s="1615">
        <v>8.8775212325649569E-2</v>
      </c>
      <c r="L98" s="1615">
        <v>9.2176723361119164E-2</v>
      </c>
      <c r="M98" s="1615">
        <v>9.5772260809266346E-2</v>
      </c>
      <c r="N98" s="1615">
        <v>9.9330487615113011E-2</v>
      </c>
      <c r="O98" s="1615">
        <v>0.1028414230303568</v>
      </c>
      <c r="P98" s="1615">
        <v>0.10630224259817438</v>
      </c>
      <c r="Q98" s="1615">
        <v>0.11014772622416334</v>
      </c>
      <c r="R98" s="1615">
        <v>0.11414124218614662</v>
      </c>
      <c r="S98" s="1615">
        <v>0.11825957234546497</v>
      </c>
      <c r="T98" s="1615">
        <v>0.12256540337456336</v>
      </c>
      <c r="U98" s="1615">
        <v>0.1269981037530078</v>
      </c>
      <c r="V98" s="1615">
        <v>0.13154641384081803</v>
      </c>
      <c r="W98" s="1615">
        <v>0.13632246948813662</v>
      </c>
      <c r="X98" s="1615">
        <v>0.14126415900708156</v>
      </c>
      <c r="Y98" s="1615">
        <v>0.14654207051590412</v>
      </c>
      <c r="Z98" s="1615">
        <v>0.15227919257660177</v>
      </c>
      <c r="AA98" s="1615">
        <v>0.15807158850383055</v>
      </c>
      <c r="AB98" s="1615">
        <v>0.16398314977069681</v>
      </c>
      <c r="AC98" s="1615">
        <v>0.17013497763434449</v>
      </c>
      <c r="AD98" s="1615">
        <v>0.17644443327991416</v>
      </c>
      <c r="AE98" s="1615">
        <v>0.18307715597133939</v>
      </c>
      <c r="AF98" s="1615">
        <v>0.19040134067312878</v>
      </c>
      <c r="AG98" s="1615">
        <v>0.19832660607730712</v>
      </c>
    </row>
    <row r="99" spans="1:33">
      <c r="B99" s="1601" t="s">
        <v>2318</v>
      </c>
      <c r="C99" s="1611">
        <v>9.4281261786053852E-2</v>
      </c>
      <c r="D99" s="1612"/>
      <c r="E99" s="1602" t="s">
        <v>2319</v>
      </c>
      <c r="F99" s="1601">
        <v>3.75</v>
      </c>
      <c r="H99" s="1602" t="s">
        <v>2319</v>
      </c>
      <c r="I99" s="1615">
        <v>9.792560967913197E-2</v>
      </c>
      <c r="J99" s="1615">
        <v>0.10176977741269597</v>
      </c>
      <c r="K99" s="1615">
        <v>0.10579151547649088</v>
      </c>
      <c r="L99" s="1615">
        <v>0.1098787706769251</v>
      </c>
      <c r="M99" s="1615">
        <v>0.11415810927970861</v>
      </c>
      <c r="N99" s="1615">
        <v>0.11849474753502617</v>
      </c>
      <c r="O99" s="1615">
        <v>0.1228393574533979</v>
      </c>
      <c r="P99" s="1615">
        <v>0.12718971329760997</v>
      </c>
      <c r="Q99" s="1615">
        <v>0.13185147066939396</v>
      </c>
      <c r="R99" s="1615">
        <v>0.13671678993709457</v>
      </c>
      <c r="S99" s="1615">
        <v>0.14172472595249033</v>
      </c>
      <c r="T99" s="1615">
        <v>0.14696145457643486</v>
      </c>
      <c r="U99" s="1615">
        <v>0.15236743168302902</v>
      </c>
      <c r="V99" s="1615">
        <v>0.15793128081836649</v>
      </c>
      <c r="W99" s="1615">
        <v>0.1637073015517366</v>
      </c>
      <c r="X99" s="1615">
        <v>0.16963203250219552</v>
      </c>
      <c r="Y99" s="1615">
        <v>0.17583598482689833</v>
      </c>
      <c r="Z99" s="1615">
        <v>0.18250122366774674</v>
      </c>
      <c r="AA99" s="1615">
        <v>0.18935231960423393</v>
      </c>
      <c r="AB99" s="1615">
        <v>0.19641118472676017</v>
      </c>
      <c r="AC99" s="1615">
        <v>0.20372259107821383</v>
      </c>
      <c r="AD99" s="1615">
        <v>0.21119207988009653</v>
      </c>
      <c r="AE99" s="1615">
        <v>0.21903427538228418</v>
      </c>
      <c r="AF99" s="1615">
        <v>0.22762107608009588</v>
      </c>
      <c r="AG99" s="1615">
        <v>0.23689117202453389</v>
      </c>
    </row>
    <row r="100" spans="1:33">
      <c r="B100" s="1606" t="s">
        <v>2320</v>
      </c>
      <c r="C100" s="1609">
        <v>1.6625963281016436</v>
      </c>
      <c r="D100" s="1610"/>
      <c r="E100" s="1602" t="s">
        <v>2321</v>
      </c>
      <c r="F100" s="1606">
        <v>3.73</v>
      </c>
      <c r="G100" s="1606"/>
      <c r="H100" s="1602" t="s">
        <v>2321</v>
      </c>
      <c r="I100" s="1615">
        <v>1.7258514680005987</v>
      </c>
      <c r="J100" s="1615">
        <v>1.7914079360126014</v>
      </c>
      <c r="K100" s="1615">
        <v>1.8585355741908656</v>
      </c>
      <c r="L100" s="1615">
        <v>1.9270319027776701</v>
      </c>
      <c r="M100" s="1615">
        <v>1.9973473698781246</v>
      </c>
      <c r="N100" s="1615">
        <v>2.0698291085836318</v>
      </c>
      <c r="O100" s="1615">
        <v>2.1439579682784462</v>
      </c>
      <c r="P100" s="1615">
        <v>2.2206816481312588</v>
      </c>
      <c r="Q100" s="1615">
        <v>2.3007905179059458</v>
      </c>
      <c r="R100" s="1615">
        <v>2.3852065220079153</v>
      </c>
      <c r="S100" s="1615">
        <v>2.4724597617894868</v>
      </c>
      <c r="T100" s="1615">
        <v>2.5642943347216334</v>
      </c>
      <c r="U100" s="1615">
        <v>2.6602681787872604</v>
      </c>
      <c r="V100" s="1615">
        <v>2.7607677900454859</v>
      </c>
      <c r="W100" s="1615">
        <v>2.8649426018350619</v>
      </c>
      <c r="X100" s="1615">
        <v>2.9716760384664274</v>
      </c>
      <c r="Y100" s="1615">
        <v>3.0804928716429911</v>
      </c>
      <c r="Z100" s="1615">
        <v>3.1938026409406355</v>
      </c>
      <c r="AA100" s="1615">
        <v>3.3125929363677815</v>
      </c>
      <c r="AB100" s="1615">
        <v>3.4373120604220282</v>
      </c>
      <c r="AC100" s="1615">
        <v>3.5667062356245549</v>
      </c>
      <c r="AD100" s="1615">
        <v>3.6995232424267424</v>
      </c>
      <c r="AE100" s="1615">
        <v>3.8400681304065341</v>
      </c>
      <c r="AF100" s="1615">
        <v>3.9914858568565941</v>
      </c>
      <c r="AG100" s="1615">
        <v>4.1526620557564637</v>
      </c>
    </row>
    <row r="101" spans="1:33">
      <c r="A101" s="1606" t="s">
        <v>1001</v>
      </c>
      <c r="B101" s="1601" t="s">
        <v>2322</v>
      </c>
      <c r="C101" s="1611">
        <v>0.46522532186746401</v>
      </c>
      <c r="D101" s="1612"/>
      <c r="E101" s="1602" t="s">
        <v>2323</v>
      </c>
      <c r="F101" s="1601">
        <v>3.79</v>
      </c>
      <c r="H101" s="1602" t="s">
        <v>2323</v>
      </c>
      <c r="I101" s="1615">
        <v>0.48314580126579876</v>
      </c>
      <c r="J101" s="1615">
        <v>0.50157636414668516</v>
      </c>
      <c r="K101" s="1615">
        <v>0.52053043337142424</v>
      </c>
      <c r="L101" s="1615">
        <v>0.53981816804956895</v>
      </c>
      <c r="M101" s="1615">
        <v>0.55977524572236148</v>
      </c>
      <c r="N101" s="1615">
        <v>0.58022999297630229</v>
      </c>
      <c r="O101" s="1615">
        <v>0.60108287869387755</v>
      </c>
      <c r="P101" s="1615">
        <v>0.62256678294415413</v>
      </c>
      <c r="Q101" s="1615">
        <v>0.64531163779223588</v>
      </c>
      <c r="R101" s="1615">
        <v>0.66922817771209164</v>
      </c>
      <c r="S101" s="1615">
        <v>0.69398828183108363</v>
      </c>
      <c r="T101" s="1615">
        <v>0.72006697348573201</v>
      </c>
      <c r="U101" s="1615">
        <v>0.74732366863308741</v>
      </c>
      <c r="V101" s="1615">
        <v>0.7758602229198418</v>
      </c>
      <c r="W101" s="1615">
        <v>0.80559506596324471</v>
      </c>
      <c r="X101" s="1615">
        <v>0.8361786770474734</v>
      </c>
      <c r="Y101" s="1615">
        <v>0.86763488269932232</v>
      </c>
      <c r="Z101" s="1615">
        <v>0.90062843438372953</v>
      </c>
      <c r="AA101" s="1615">
        <v>0.93503153994875365</v>
      </c>
      <c r="AB101" s="1615">
        <v>0.97107887587685793</v>
      </c>
      <c r="AC101" s="1615">
        <v>1.0086236984548849</v>
      </c>
      <c r="AD101" s="1615">
        <v>1.0472701240848823</v>
      </c>
      <c r="AE101" s="1615">
        <v>1.0882424731494551</v>
      </c>
      <c r="AF101" s="1615">
        <v>1.1326841192679324</v>
      </c>
      <c r="AG101" s="1615">
        <v>1.1802149429647726</v>
      </c>
    </row>
    <row r="102" spans="1:33">
      <c r="A102" s="1606" t="s">
        <v>1003</v>
      </c>
      <c r="B102" s="1601" t="s">
        <v>2324</v>
      </c>
      <c r="C102" s="1611">
        <v>0.7031124785909022</v>
      </c>
      <c r="D102" s="1612"/>
      <c r="E102" s="1602" t="s">
        <v>2325</v>
      </c>
      <c r="F102" s="1601">
        <v>3.84</v>
      </c>
      <c r="H102" s="1602" t="s">
        <v>2325</v>
      </c>
      <c r="I102" s="1615">
        <v>0.73137056910547049</v>
      </c>
      <c r="J102" s="1615">
        <v>0.76048935694383568</v>
      </c>
      <c r="K102" s="1615">
        <v>0.79002296112074955</v>
      </c>
      <c r="L102" s="1615">
        <v>0.82022079878662912</v>
      </c>
      <c r="M102" s="1615">
        <v>0.85093970814278597</v>
      </c>
      <c r="N102" s="1615">
        <v>0.88285930753493003</v>
      </c>
      <c r="O102" s="1615">
        <v>0.91560102781417041</v>
      </c>
      <c r="P102" s="1615">
        <v>0.94967878246838588</v>
      </c>
      <c r="Q102" s="1615">
        <v>0.98477985994719996</v>
      </c>
      <c r="R102" s="1615">
        <v>1.0220271885899828</v>
      </c>
      <c r="S102" s="1615">
        <v>1.0605300188657332</v>
      </c>
      <c r="T102" s="1615">
        <v>1.1011578633584604</v>
      </c>
      <c r="U102" s="1615">
        <v>1.1437385367766688</v>
      </c>
      <c r="V102" s="1615">
        <v>1.1884701509500044</v>
      </c>
      <c r="W102" s="1615">
        <v>1.2346778704189405</v>
      </c>
      <c r="X102" s="1615">
        <v>1.281898125573113</v>
      </c>
      <c r="Y102" s="1615">
        <v>1.3296155013994464</v>
      </c>
      <c r="Z102" s="1615">
        <v>1.379051935356979</v>
      </c>
      <c r="AA102" s="1615">
        <v>1.4314228116540957</v>
      </c>
      <c r="AB102" s="1615">
        <v>1.4867057920629885</v>
      </c>
      <c r="AC102" s="1615">
        <v>1.5439305847052851</v>
      </c>
      <c r="AD102" s="1615">
        <v>1.602573700104146</v>
      </c>
      <c r="AE102" s="1615">
        <v>1.664785611142189</v>
      </c>
      <c r="AF102" s="1615">
        <v>1.7317183166381609</v>
      </c>
      <c r="AG102" s="1615">
        <v>1.8029767936495047</v>
      </c>
    </row>
    <row r="103" spans="1:33">
      <c r="A103" s="1606" t="s">
        <v>1001</v>
      </c>
      <c r="B103" s="1601" t="s">
        <v>2326</v>
      </c>
      <c r="C103" s="1611">
        <v>0.49425852764327738</v>
      </c>
      <c r="D103" s="1612"/>
      <c r="E103" s="1602" t="s">
        <v>2327</v>
      </c>
      <c r="F103" s="1601">
        <v>3.51</v>
      </c>
      <c r="H103" s="1602" t="s">
        <v>2327</v>
      </c>
      <c r="I103" s="1615">
        <v>0.51133417125629732</v>
      </c>
      <c r="J103" s="1615">
        <v>0.52934029276291661</v>
      </c>
      <c r="K103" s="1615">
        <v>0.54797995249197717</v>
      </c>
      <c r="L103" s="1615">
        <v>0.56698992502387635</v>
      </c>
      <c r="M103" s="1615">
        <v>0.58662988903677848</v>
      </c>
      <c r="N103" s="1615">
        <v>0.60673838837318117</v>
      </c>
      <c r="O103" s="1615">
        <v>0.62727284238928316</v>
      </c>
      <c r="P103" s="1615">
        <v>0.64843451900012805</v>
      </c>
      <c r="Q103" s="1615">
        <v>0.67069722134095944</v>
      </c>
      <c r="R103" s="1615">
        <v>0.69395096470207174</v>
      </c>
      <c r="S103" s="1615">
        <v>0.71794084955182236</v>
      </c>
      <c r="T103" s="1615">
        <v>0.74306806134528658</v>
      </c>
      <c r="U103" s="1615">
        <v>0.7692062234711684</v>
      </c>
      <c r="V103" s="1615">
        <v>0.79643612378204787</v>
      </c>
      <c r="W103" s="1615">
        <v>0.82466898793399768</v>
      </c>
      <c r="X103" s="1615">
        <v>0.85359920069971018</v>
      </c>
      <c r="Y103" s="1615">
        <v>0.88324128654320833</v>
      </c>
      <c r="Z103" s="1615">
        <v>0.91412028516204547</v>
      </c>
      <c r="AA103" s="1615">
        <v>0.94613826227013131</v>
      </c>
      <c r="AB103" s="1615">
        <v>0.97952937382216887</v>
      </c>
      <c r="AC103" s="1615">
        <v>1.0141557371867824</v>
      </c>
      <c r="AD103" s="1615">
        <v>1.0496826268161725</v>
      </c>
      <c r="AE103" s="1615">
        <v>1.0870418811871869</v>
      </c>
      <c r="AF103" s="1615">
        <v>1.1270874170482417</v>
      </c>
      <c r="AG103" s="1615">
        <v>1.1694726664537578</v>
      </c>
    </row>
    <row r="104" spans="1:33">
      <c r="A104" s="518"/>
      <c r="B104" s="1606" t="s">
        <v>2328</v>
      </c>
      <c r="C104" s="1609">
        <v>1.6095214747811351</v>
      </c>
      <c r="D104" s="1610"/>
      <c r="E104" s="1602" t="s">
        <v>2329</v>
      </c>
      <c r="F104" s="1606">
        <v>4.1100000000000003</v>
      </c>
      <c r="G104" s="1606"/>
      <c r="H104" s="1602" t="s">
        <v>2329</v>
      </c>
      <c r="I104" s="1615">
        <v>1.6895533205931523</v>
      </c>
      <c r="J104" s="1615">
        <v>1.7607527870762683</v>
      </c>
      <c r="K104" s="1615">
        <v>1.8285576161537882</v>
      </c>
      <c r="L104" s="1615">
        <v>1.8965013314972148</v>
      </c>
      <c r="M104" s="1615">
        <v>1.9655548414783599</v>
      </c>
      <c r="N104" s="1615">
        <v>2.0381309884451069</v>
      </c>
      <c r="O104" s="1615">
        <v>2.1125390745712607</v>
      </c>
      <c r="P104" s="1615">
        <v>2.1903819143910623</v>
      </c>
      <c r="Q104" s="1615">
        <v>2.2715947046309397</v>
      </c>
      <c r="R104" s="1615">
        <v>2.3600324296716315</v>
      </c>
      <c r="S104" s="1615">
        <v>2.4517102494346554</v>
      </c>
      <c r="T104" s="1615">
        <v>2.5501096402957155</v>
      </c>
      <c r="U104" s="1615">
        <v>2.6545595810525877</v>
      </c>
      <c r="V104" s="1615">
        <v>2.7657643910220426</v>
      </c>
      <c r="W104" s="1615">
        <v>2.8815033334931419</v>
      </c>
      <c r="X104" s="1615">
        <v>3.0001924557997248</v>
      </c>
      <c r="Y104" s="1615">
        <v>3.1199721394050735</v>
      </c>
      <c r="Z104" s="1615">
        <v>3.246621168459944</v>
      </c>
      <c r="AA104" s="1615">
        <v>3.383092889276158</v>
      </c>
      <c r="AB104" s="1615">
        <v>3.5287316550666068</v>
      </c>
      <c r="AC104" s="1615">
        <v>3.6805271046726071</v>
      </c>
      <c r="AD104" s="1615">
        <v>3.8365667318023076</v>
      </c>
      <c r="AE104" s="1615">
        <v>4.0062005298489458</v>
      </c>
      <c r="AF104" s="1615">
        <v>4.1954694676811295</v>
      </c>
      <c r="AG104" s="1615">
        <v>4.4020124295750716</v>
      </c>
    </row>
    <row r="105" spans="1:33">
      <c r="B105" s="1601" t="s">
        <v>2330</v>
      </c>
      <c r="C105" s="1611">
        <v>1.2070294633300152</v>
      </c>
      <c r="D105" s="1612"/>
      <c r="E105" s="1602" t="s">
        <v>2331</v>
      </c>
      <c r="F105" s="1601">
        <v>3.73</v>
      </c>
      <c r="H105" s="1602" t="s">
        <v>2331</v>
      </c>
      <c r="I105" s="1615">
        <v>1.2659868174663698</v>
      </c>
      <c r="J105" s="1615">
        <v>1.3164136043796903</v>
      </c>
      <c r="K105" s="1615">
        <v>1.3632963584860687</v>
      </c>
      <c r="L105" s="1615">
        <v>1.4093812285883316</v>
      </c>
      <c r="M105" s="1615">
        <v>1.4557075895720299</v>
      </c>
      <c r="N105" s="1615">
        <v>1.503756129981034</v>
      </c>
      <c r="O105" s="1615">
        <v>1.5525785802531282</v>
      </c>
      <c r="P105" s="1615">
        <v>1.6034395019636405</v>
      </c>
      <c r="Q105" s="1615">
        <v>1.6565277804341547</v>
      </c>
      <c r="R105" s="1615">
        <v>1.7140821816375591</v>
      </c>
      <c r="S105" s="1615">
        <v>1.7736705346000072</v>
      </c>
      <c r="T105" s="1615">
        <v>1.8375829786437836</v>
      </c>
      <c r="U105" s="1615">
        <v>1.9053291503174439</v>
      </c>
      <c r="V105" s="1615">
        <v>1.9774115627322535</v>
      </c>
      <c r="W105" s="1615">
        <v>2.0523831447216843</v>
      </c>
      <c r="X105" s="1615">
        <v>2.1290170789624474</v>
      </c>
      <c r="Y105" s="1615">
        <v>2.2059980785035713</v>
      </c>
      <c r="Z105" s="1615">
        <v>2.2867442261710376</v>
      </c>
      <c r="AA105" s="1615">
        <v>2.3731694374549459</v>
      </c>
      <c r="AB105" s="1615">
        <v>2.4654240261665699</v>
      </c>
      <c r="AC105" s="1615">
        <v>2.5617456774448715</v>
      </c>
      <c r="AD105" s="1615">
        <v>2.6607853270805677</v>
      </c>
      <c r="AE105" s="1615">
        <v>2.7685577759686391</v>
      </c>
      <c r="AF105" s="1615">
        <v>2.8885885983457595</v>
      </c>
      <c r="AG105" s="1615">
        <v>3.0186299684546869</v>
      </c>
    </row>
    <row r="106" spans="1:33">
      <c r="A106" s="1606"/>
      <c r="B106" s="1601" t="s">
        <v>2332</v>
      </c>
      <c r="C106" s="1611">
        <v>0.38643535086863623</v>
      </c>
      <c r="D106" s="1612"/>
      <c r="E106" s="1602" t="s">
        <v>2333</v>
      </c>
      <c r="F106" s="1601">
        <v>5.04</v>
      </c>
      <c r="H106" s="1602" t="s">
        <v>2333</v>
      </c>
      <c r="I106" s="1615">
        <v>0.40667142445222321</v>
      </c>
      <c r="J106" s="1615">
        <v>0.42666176499259667</v>
      </c>
      <c r="K106" s="1615">
        <v>0.44692606552092007</v>
      </c>
      <c r="L106" s="1615">
        <v>0.46817024911939148</v>
      </c>
      <c r="M106" s="1615">
        <v>0.49032500164821935</v>
      </c>
      <c r="N106" s="1615">
        <v>0.51409693837812831</v>
      </c>
      <c r="O106" s="1615">
        <v>0.53878541564986115</v>
      </c>
      <c r="P106" s="1615">
        <v>0.5647871998091234</v>
      </c>
      <c r="Q106" s="1615">
        <v>0.59197887954393369</v>
      </c>
      <c r="R106" s="1615">
        <v>0.62167727597289379</v>
      </c>
      <c r="S106" s="1615">
        <v>0.6523943501787145</v>
      </c>
      <c r="T106" s="1615">
        <v>0.68530373077912954</v>
      </c>
      <c r="U106" s="1615">
        <v>0.72024325618917262</v>
      </c>
      <c r="V106" s="1615">
        <v>0.75747335034484709</v>
      </c>
      <c r="W106" s="1615">
        <v>0.79640899549927291</v>
      </c>
      <c r="X106" s="1615">
        <v>0.83677498543615358</v>
      </c>
      <c r="Y106" s="1615">
        <v>0.87808154581722386</v>
      </c>
      <c r="Z106" s="1615">
        <v>0.92243432277799764</v>
      </c>
      <c r="AA106" s="1615">
        <v>0.97046824526801634</v>
      </c>
      <c r="AB106" s="1615">
        <v>1.0213333974072489</v>
      </c>
      <c r="AC106" s="1615">
        <v>1.0737809100309061</v>
      </c>
      <c r="AD106" s="1615">
        <v>1.1272798963113759</v>
      </c>
      <c r="AE106" s="1615">
        <v>1.1851037185926681</v>
      </c>
      <c r="AF106" s="1615">
        <v>1.2497452009233052</v>
      </c>
      <c r="AG106" s="1615">
        <v>1.3208844469954626</v>
      </c>
    </row>
    <row r="107" spans="1:33">
      <c r="B107" s="1601" t="s">
        <v>2334</v>
      </c>
      <c r="C107" s="1611">
        <v>1.6048386465533568E-2</v>
      </c>
      <c r="D107" s="1612"/>
      <c r="E107" s="1602" t="s">
        <v>2335</v>
      </c>
      <c r="F107" s="1601">
        <v>5.59</v>
      </c>
      <c r="H107" s="1602" t="s">
        <v>2335</v>
      </c>
      <c r="I107" s="1615">
        <v>1.688660973901485E-2</v>
      </c>
      <c r="J107" s="1615">
        <v>1.7668240244004631E-2</v>
      </c>
      <c r="K107" s="1615">
        <v>1.83269829132621E-2</v>
      </c>
      <c r="L107" s="1615">
        <v>1.89408268789589E-2</v>
      </c>
      <c r="M107" s="1615">
        <v>1.9513218667241036E-2</v>
      </c>
      <c r="N107" s="1615">
        <v>2.026793142563392E-2</v>
      </c>
      <c r="O107" s="1615">
        <v>2.1165557572612397E-2</v>
      </c>
      <c r="P107" s="1615">
        <v>2.2144274120327566E-2</v>
      </c>
      <c r="Q107" s="1615">
        <v>2.3077079523372245E-2</v>
      </c>
      <c r="R107" s="1615">
        <v>2.4260749086285054E-2</v>
      </c>
      <c r="S107" s="1615">
        <v>2.5632645925616301E-2</v>
      </c>
      <c r="T107" s="1615">
        <v>2.7209694466189847E-2</v>
      </c>
      <c r="U107" s="1615">
        <v>2.8973399651793807E-2</v>
      </c>
      <c r="V107" s="1615">
        <v>3.0866811319038533E-2</v>
      </c>
      <c r="W107" s="1615">
        <v>3.2696781094899048E-2</v>
      </c>
      <c r="X107" s="1615">
        <v>3.4387073890380947E-2</v>
      </c>
      <c r="Y107" s="1615">
        <v>3.5878200575489537E-2</v>
      </c>
      <c r="Z107" s="1615">
        <v>3.742634493032191E-2</v>
      </c>
      <c r="AA107" s="1615">
        <v>3.9439246039709414E-2</v>
      </c>
      <c r="AB107" s="1615">
        <v>4.1958585637480013E-2</v>
      </c>
      <c r="AC107" s="1615">
        <v>4.4983547910428495E-2</v>
      </c>
      <c r="AD107" s="1615">
        <v>4.8484752394940878E-2</v>
      </c>
      <c r="AE107" s="1615">
        <v>5.2521980757362807E-2</v>
      </c>
      <c r="AF107" s="1615">
        <v>5.7114660320728879E-2</v>
      </c>
      <c r="AG107" s="1615">
        <v>6.2472243917454533E-2</v>
      </c>
    </row>
    <row r="108" spans="1:33">
      <c r="B108" s="1601" t="s">
        <v>2336</v>
      </c>
      <c r="C108" s="1611">
        <v>8.2741169503319149E-6</v>
      </c>
      <c r="D108" s="1612"/>
      <c r="E108" s="1602" t="s">
        <v>2337</v>
      </c>
      <c r="F108" s="1601">
        <v>4.8499999999999996</v>
      </c>
      <c r="H108" s="1602" t="s">
        <v>2337</v>
      </c>
      <c r="I108" s="1615">
        <v>8.7036180871066949E-6</v>
      </c>
      <c r="J108" s="1615">
        <v>9.1079794798155848E-6</v>
      </c>
      <c r="K108" s="1615">
        <v>9.5467928231736194E-6</v>
      </c>
      <c r="L108" s="1615">
        <v>9.9623551679735435E-6</v>
      </c>
      <c r="M108" s="1615">
        <v>1.0436961768175803E-5</v>
      </c>
      <c r="N108" s="1615">
        <v>1.0893526660724653E-5</v>
      </c>
      <c r="O108" s="1615">
        <v>1.1416208963432883E-5</v>
      </c>
      <c r="P108" s="1615">
        <v>1.1905370685098055E-5</v>
      </c>
      <c r="Q108" s="1615">
        <v>1.2464292122651353E-5</v>
      </c>
      <c r="R108" s="1615">
        <v>1.3022243695229718E-5</v>
      </c>
      <c r="S108" s="1615">
        <v>1.3650840420642151E-5</v>
      </c>
      <c r="T108" s="1615">
        <v>1.428363877918144E-5</v>
      </c>
      <c r="U108" s="1615">
        <v>1.4995892426905323E-5</v>
      </c>
      <c r="V108" s="1615">
        <v>1.5715095427699703E-5</v>
      </c>
      <c r="W108" s="1615">
        <v>1.6491939739977182E-5</v>
      </c>
      <c r="X108" s="1615">
        <v>1.7261074333630498E-5</v>
      </c>
      <c r="Y108" s="1615">
        <v>1.8062730408907301E-5</v>
      </c>
      <c r="Z108" s="1615">
        <v>1.8910631099762229E-5</v>
      </c>
      <c r="AA108" s="1615">
        <v>1.9856484135479035E-5</v>
      </c>
      <c r="AB108" s="1615">
        <v>2.0864498552616629E-5</v>
      </c>
      <c r="AC108" s="1615">
        <v>2.1925687813501264E-5</v>
      </c>
      <c r="AD108" s="1615">
        <v>2.3015635680398228E-5</v>
      </c>
      <c r="AE108" s="1615">
        <v>2.4204899607275765E-5</v>
      </c>
      <c r="AF108" s="1615">
        <v>2.553263517033327E-5</v>
      </c>
      <c r="AG108" s="1615">
        <v>2.7004949044795365E-5</v>
      </c>
    </row>
    <row r="109" spans="1:33">
      <c r="A109" s="1606" t="s">
        <v>1011</v>
      </c>
      <c r="B109" s="1606" t="s">
        <v>2338</v>
      </c>
      <c r="C109" s="1609">
        <v>2.9527943615746186</v>
      </c>
      <c r="D109" s="1610"/>
      <c r="E109" s="1602" t="s">
        <v>2339</v>
      </c>
      <c r="F109" s="1606">
        <v>3.59</v>
      </c>
      <c r="G109" s="1606"/>
      <c r="H109" s="1602" t="s">
        <v>2339</v>
      </c>
      <c r="I109" s="1615">
        <v>3.052743497919558</v>
      </c>
      <c r="J109" s="1615">
        <v>3.1598398453135723</v>
      </c>
      <c r="K109" s="1615">
        <v>3.2640197650135607</v>
      </c>
      <c r="L109" s="1615">
        <v>3.3773987555710723</v>
      </c>
      <c r="M109" s="1615">
        <v>3.4843035583811632</v>
      </c>
      <c r="N109" s="1615">
        <v>3.6059545328184837</v>
      </c>
      <c r="O109" s="1615">
        <v>3.7384733618995631</v>
      </c>
      <c r="P109" s="1615">
        <v>3.8870664626149849</v>
      </c>
      <c r="Q109" s="1615">
        <v>4.0234325282564436</v>
      </c>
      <c r="R109" s="1615">
        <v>4.1718006261684275</v>
      </c>
      <c r="S109" s="1615">
        <v>4.3249891451613323</v>
      </c>
      <c r="T109" s="1615">
        <v>4.4873059877792372</v>
      </c>
      <c r="U109" s="1615">
        <v>4.6606595926991243</v>
      </c>
      <c r="V109" s="1615">
        <v>4.8474495078553197</v>
      </c>
      <c r="W109" s="1615">
        <v>5.0349343124706403</v>
      </c>
      <c r="X109" s="1615">
        <v>5.2227927466032327</v>
      </c>
      <c r="Y109" s="1615">
        <v>5.3965237245262427</v>
      </c>
      <c r="Z109" s="1615">
        <v>5.5605888387992897</v>
      </c>
      <c r="AA109" s="1615">
        <v>5.7512058241933302</v>
      </c>
      <c r="AB109" s="1615">
        <v>5.9631205051973826</v>
      </c>
      <c r="AC109" s="1615">
        <v>6.1799813086098956</v>
      </c>
      <c r="AD109" s="1615">
        <v>6.4025656954020977</v>
      </c>
      <c r="AE109" s="1615">
        <v>6.6394862363947569</v>
      </c>
      <c r="AF109" s="1615">
        <v>6.8792779213083906</v>
      </c>
      <c r="AG109" s="1615">
        <v>7.1254666402782538</v>
      </c>
    </row>
    <row r="110" spans="1:33">
      <c r="A110" s="1606"/>
      <c r="B110" s="1601" t="s">
        <v>2340</v>
      </c>
      <c r="C110" s="1611">
        <v>0.86574112222550648</v>
      </c>
      <c r="D110" s="1612"/>
      <c r="E110" s="1602" t="s">
        <v>2341</v>
      </c>
      <c r="F110" s="1601">
        <v>3.46</v>
      </c>
      <c r="H110" s="1602" t="s">
        <v>2341</v>
      </c>
      <c r="I110" s="1615">
        <v>0.89232024041895186</v>
      </c>
      <c r="J110" s="1615">
        <v>0.92073974775605505</v>
      </c>
      <c r="K110" s="1615">
        <v>0.94574427708586628</v>
      </c>
      <c r="L110" s="1615">
        <v>0.97588420145231569</v>
      </c>
      <c r="M110" s="1615">
        <v>1.0004735556763096</v>
      </c>
      <c r="N110" s="1615">
        <v>1.03354420905919</v>
      </c>
      <c r="O110" s="1615">
        <v>1.0732209377007633</v>
      </c>
      <c r="P110" s="1615">
        <v>1.1225558309859296</v>
      </c>
      <c r="Q110" s="1615">
        <v>1.1614916799836768</v>
      </c>
      <c r="R110" s="1615">
        <v>1.2054065189121796</v>
      </c>
      <c r="S110" s="1615">
        <v>1.2507599391862505</v>
      </c>
      <c r="T110" s="1615">
        <v>1.2993344521844878</v>
      </c>
      <c r="U110" s="1615">
        <v>1.3527825748750966</v>
      </c>
      <c r="V110" s="1615">
        <v>1.412626970422421</v>
      </c>
      <c r="W110" s="1615">
        <v>1.4705206615512432</v>
      </c>
      <c r="X110" s="1615">
        <v>1.5268371913266712</v>
      </c>
      <c r="Y110" s="1615">
        <v>1.5716468092177263</v>
      </c>
      <c r="Z110" s="1615">
        <v>1.6062308972545625</v>
      </c>
      <c r="AA110" s="1615">
        <v>1.6555566418783529</v>
      </c>
      <c r="AB110" s="1615">
        <v>1.7158271814259345</v>
      </c>
      <c r="AC110" s="1615">
        <v>1.7764610823631644</v>
      </c>
      <c r="AD110" s="1615">
        <v>1.8387669019048876</v>
      </c>
      <c r="AE110" s="1615">
        <v>1.9058083431483397</v>
      </c>
      <c r="AF110" s="1615">
        <v>1.9672058647312067</v>
      </c>
      <c r="AG110" s="1615">
        <v>2.0260449921453172</v>
      </c>
    </row>
    <row r="111" spans="1:33">
      <c r="A111" s="1606"/>
      <c r="B111" s="1601" t="s">
        <v>2342</v>
      </c>
      <c r="C111" s="1611">
        <v>1.2587797008869599</v>
      </c>
      <c r="D111" s="1612"/>
      <c r="E111" s="1602" t="s">
        <v>2343</v>
      </c>
      <c r="F111" s="1601">
        <v>3.66</v>
      </c>
      <c r="H111" s="1602" t="s">
        <v>2343</v>
      </c>
      <c r="I111" s="1615">
        <v>1.3028722362496283</v>
      </c>
      <c r="J111" s="1615">
        <v>1.3507032817868247</v>
      </c>
      <c r="K111" s="1615">
        <v>1.3983263780960646</v>
      </c>
      <c r="L111" s="1615">
        <v>1.4490660490516585</v>
      </c>
      <c r="M111" s="1615">
        <v>1.4983009662002866</v>
      </c>
      <c r="N111" s="1615">
        <v>1.5524225937013734</v>
      </c>
      <c r="O111" s="1615">
        <v>1.6097628746223274</v>
      </c>
      <c r="P111" s="1615">
        <v>1.6719625023348597</v>
      </c>
      <c r="Q111" s="1615">
        <v>1.7311717104300439</v>
      </c>
      <c r="R111" s="1615">
        <v>1.7952735365238477</v>
      </c>
      <c r="S111" s="1615">
        <v>1.8614167994299957</v>
      </c>
      <c r="T111" s="1615">
        <v>1.9313055545813944</v>
      </c>
      <c r="U111" s="1615">
        <v>2.0053209086551718</v>
      </c>
      <c r="V111" s="1615">
        <v>2.084134031007137</v>
      </c>
      <c r="W111" s="1615">
        <v>2.1639876264051758</v>
      </c>
      <c r="X111" s="1615">
        <v>2.2446719050556929</v>
      </c>
      <c r="Y111" s="1615">
        <v>2.3221579792182157</v>
      </c>
      <c r="Z111" s="1615">
        <v>2.3985592988924744</v>
      </c>
      <c r="AA111" s="1615">
        <v>2.4838040963751129</v>
      </c>
      <c r="AB111" s="1615">
        <v>2.5762910257077367</v>
      </c>
      <c r="AC111" s="1615">
        <v>2.6711629427294246</v>
      </c>
      <c r="AD111" s="1615">
        <v>2.7683719045412336</v>
      </c>
      <c r="AE111" s="1615">
        <v>2.8715518937953899</v>
      </c>
      <c r="AF111" s="1615">
        <v>2.9786263208112325</v>
      </c>
      <c r="AG111" s="1615">
        <v>3.0903784231154283</v>
      </c>
    </row>
    <row r="112" spans="1:33">
      <c r="B112" s="1601" t="s">
        <v>2344</v>
      </c>
      <c r="C112" s="1611">
        <v>0.19161317974827519</v>
      </c>
      <c r="D112" s="1612"/>
      <c r="E112" s="1602" t="s">
        <v>2345</v>
      </c>
      <c r="F112" s="1601">
        <v>3.37</v>
      </c>
      <c r="H112" s="1602" t="s">
        <v>2345</v>
      </c>
      <c r="I112" s="1615">
        <v>0.19765991686159151</v>
      </c>
      <c r="J112" s="1615">
        <v>0.2042317137774057</v>
      </c>
      <c r="K112" s="1615">
        <v>0.2108790475974327</v>
      </c>
      <c r="L112" s="1615">
        <v>0.21788782362338099</v>
      </c>
      <c r="M112" s="1615">
        <v>0.22481709219025178</v>
      </c>
      <c r="N112" s="1615">
        <v>0.23225179342898339</v>
      </c>
      <c r="O112" s="1615">
        <v>0.24002340294070407</v>
      </c>
      <c r="P112" s="1615">
        <v>0.24830853076341131</v>
      </c>
      <c r="Q112" s="1615">
        <v>0.25646496938192787</v>
      </c>
      <c r="R112" s="1615">
        <v>0.26518016197146455</v>
      </c>
      <c r="S112" s="1615">
        <v>0.27415810153517045</v>
      </c>
      <c r="T112" s="1615">
        <v>0.28358804359557421</v>
      </c>
      <c r="U112" s="1615">
        <v>0.29348299761271096</v>
      </c>
      <c r="V112" s="1615">
        <v>0.30390516582393357</v>
      </c>
      <c r="W112" s="1615">
        <v>0.31453394509345983</v>
      </c>
      <c r="X112" s="1615">
        <v>0.32532403207989097</v>
      </c>
      <c r="Y112" s="1615">
        <v>0.335956272096326</v>
      </c>
      <c r="Z112" s="1615">
        <v>0.34665076810596834</v>
      </c>
      <c r="AA112" s="1615">
        <v>0.35821746428536017</v>
      </c>
      <c r="AB112" s="1615">
        <v>0.37055160801563369</v>
      </c>
      <c r="AC112" s="1615">
        <v>0.38323670121283288</v>
      </c>
      <c r="AD112" s="1615">
        <v>0.39624222190519154</v>
      </c>
      <c r="AE112" s="1615">
        <v>0.40996210883865875</v>
      </c>
      <c r="AF112" s="1615">
        <v>0.42431365238277369</v>
      </c>
      <c r="AG112" s="1615">
        <v>0.43933393136347149</v>
      </c>
    </row>
    <row r="113" spans="1:33">
      <c r="A113" s="1606"/>
      <c r="B113" s="1601" t="s">
        <v>2346</v>
      </c>
      <c r="C113" s="1611">
        <v>0.63666035871387694</v>
      </c>
      <c r="D113" s="1612"/>
      <c r="E113" s="1602" t="s">
        <v>2347</v>
      </c>
      <c r="F113" s="1601">
        <v>3.68</v>
      </c>
      <c r="H113" s="1602" t="s">
        <v>2347</v>
      </c>
      <c r="I113" s="1615">
        <v>0.65989018522227016</v>
      </c>
      <c r="J113" s="1615">
        <v>0.68416292590530092</v>
      </c>
      <c r="K113" s="1615">
        <v>0.70906850889703155</v>
      </c>
      <c r="L113" s="1615">
        <v>0.73455810365486207</v>
      </c>
      <c r="M113" s="1615">
        <v>0.76070984126118235</v>
      </c>
      <c r="N113" s="1615">
        <v>0.78773481908182708</v>
      </c>
      <c r="O113" s="1615">
        <v>0.81546387244832652</v>
      </c>
      <c r="P113" s="1615">
        <v>0.84423833065153808</v>
      </c>
      <c r="Q113" s="1615">
        <v>0.87430419032103124</v>
      </c>
      <c r="R113" s="1615">
        <v>0.90594088744779766</v>
      </c>
      <c r="S113" s="1615">
        <v>0.93865441289353768</v>
      </c>
      <c r="T113" s="1615">
        <v>0.97307674752316953</v>
      </c>
      <c r="U113" s="1615">
        <v>1.009071829490799</v>
      </c>
      <c r="V113" s="1615">
        <v>1.046782861902529</v>
      </c>
      <c r="W113" s="1615">
        <v>1.0858917164060693</v>
      </c>
      <c r="X113" s="1615">
        <v>1.1259611207414533</v>
      </c>
      <c r="Y113" s="1615">
        <v>1.1667648257960026</v>
      </c>
      <c r="Z113" s="1615">
        <v>1.2091522251523457</v>
      </c>
      <c r="AA113" s="1615">
        <v>1.2536357263634752</v>
      </c>
      <c r="AB113" s="1615">
        <v>1.3004602743788773</v>
      </c>
      <c r="AC113" s="1615">
        <v>1.3491339015283299</v>
      </c>
      <c r="AD113" s="1615">
        <v>1.3992016097479476</v>
      </c>
      <c r="AE113" s="1615">
        <v>1.4521809794994438</v>
      </c>
      <c r="AF113" s="1615">
        <v>1.5091500393252071</v>
      </c>
      <c r="AG113" s="1615">
        <v>1.5697273219037209</v>
      </c>
    </row>
    <row r="114" spans="1:33">
      <c r="A114" s="1606" t="s">
        <v>1007</v>
      </c>
      <c r="B114" s="1606" t="s">
        <v>2348</v>
      </c>
      <c r="C114" s="1609">
        <v>0.71959149077754447</v>
      </c>
      <c r="D114" s="1610"/>
      <c r="E114" s="1602" t="s">
        <v>2349</v>
      </c>
      <c r="F114" s="1606">
        <v>4.18</v>
      </c>
      <c r="G114" s="1606"/>
      <c r="H114" s="1602" t="s">
        <v>2349</v>
      </c>
      <c r="I114" s="1615">
        <v>0.75103404096706927</v>
      </c>
      <c r="J114" s="1615">
        <v>0.78298978837617705</v>
      </c>
      <c r="K114" s="1615">
        <v>0.81624649664766669</v>
      </c>
      <c r="L114" s="1615">
        <v>0.84954935371089146</v>
      </c>
      <c r="M114" s="1615">
        <v>0.88497386266192823</v>
      </c>
      <c r="N114" s="1615">
        <v>0.92047635911033676</v>
      </c>
      <c r="O114" s="1615">
        <v>0.95609143039703381</v>
      </c>
      <c r="P114" s="1615">
        <v>0.99195920040837848</v>
      </c>
      <c r="Q114" s="1615">
        <v>1.0320105450840671</v>
      </c>
      <c r="R114" s="1615">
        <v>1.0738080041705167</v>
      </c>
      <c r="S114" s="1615">
        <v>1.1171597809148888</v>
      </c>
      <c r="T114" s="1615">
        <v>1.1628337413978129</v>
      </c>
      <c r="U114" s="1615">
        <v>1.2103703847461555</v>
      </c>
      <c r="V114" s="1615">
        <v>1.2598164357038055</v>
      </c>
      <c r="W114" s="1615">
        <v>1.3120786607225423</v>
      </c>
      <c r="X114" s="1615">
        <v>1.3663960931191341</v>
      </c>
      <c r="Y114" s="1615">
        <v>1.4239391317886603</v>
      </c>
      <c r="Z114" s="1615">
        <v>1.4858477334214359</v>
      </c>
      <c r="AA114" s="1615">
        <v>1.5490438092193164</v>
      </c>
      <c r="AB114" s="1615">
        <v>1.6145435776483459</v>
      </c>
      <c r="AC114" s="1615">
        <v>1.68340224669147</v>
      </c>
      <c r="AD114" s="1615">
        <v>1.7547667181354614</v>
      </c>
      <c r="AE114" s="1615">
        <v>1.8305831689592222</v>
      </c>
      <c r="AF114" s="1615">
        <v>1.9141236624578453</v>
      </c>
      <c r="AG114" s="1615">
        <v>2.0042042361367738</v>
      </c>
    </row>
    <row r="115" spans="1:33">
      <c r="B115" s="1601" t="s">
        <v>2350</v>
      </c>
      <c r="C115" s="1611">
        <v>0.15132042021176209</v>
      </c>
      <c r="D115" s="1612"/>
      <c r="E115" s="1602" t="s">
        <v>2351</v>
      </c>
      <c r="F115" s="1601">
        <v>3.83</v>
      </c>
      <c r="H115" s="1602" t="s">
        <v>2351</v>
      </c>
      <c r="I115" s="1615">
        <v>0.15689294600648043</v>
      </c>
      <c r="J115" s="1615">
        <v>0.16302871533890187</v>
      </c>
      <c r="K115" s="1615">
        <v>0.16915647566234518</v>
      </c>
      <c r="L115" s="1615">
        <v>0.17570080139277</v>
      </c>
      <c r="M115" s="1615">
        <v>0.18206696852963422</v>
      </c>
      <c r="N115" s="1615">
        <v>0.18907600061711954</v>
      </c>
      <c r="O115" s="1615">
        <v>0.19640666623704592</v>
      </c>
      <c r="P115" s="1615">
        <v>0.20422011623328806</v>
      </c>
      <c r="Q115" s="1615">
        <v>0.21161921526453631</v>
      </c>
      <c r="R115" s="1615">
        <v>0.21971322700997431</v>
      </c>
      <c r="S115" s="1615">
        <v>0.22807792927547105</v>
      </c>
      <c r="T115" s="1615">
        <v>0.23691891404797616</v>
      </c>
      <c r="U115" s="1615">
        <v>0.24626536520716882</v>
      </c>
      <c r="V115" s="1615">
        <v>0.25616794180751429</v>
      </c>
      <c r="W115" s="1615">
        <v>0.2662017839201728</v>
      </c>
      <c r="X115" s="1615">
        <v>0.27639811084966714</v>
      </c>
      <c r="Y115" s="1615">
        <v>0.28634927203458771</v>
      </c>
      <c r="Z115" s="1615">
        <v>0.29641530799441956</v>
      </c>
      <c r="AA115" s="1615">
        <v>0.30763344174077639</v>
      </c>
      <c r="AB115" s="1615">
        <v>0.31967452228395216</v>
      </c>
      <c r="AC115" s="1615">
        <v>0.33199733576895396</v>
      </c>
      <c r="AD115" s="1615">
        <v>0.34462518643226187</v>
      </c>
      <c r="AE115" s="1615">
        <v>0.35801318567478235</v>
      </c>
      <c r="AF115" s="1615">
        <v>0.37206305513340354</v>
      </c>
      <c r="AG115" s="1615">
        <v>0.38693032275347922</v>
      </c>
    </row>
    <row r="116" spans="1:33">
      <c r="A116" s="1606"/>
      <c r="B116" s="1601" t="s">
        <v>2352</v>
      </c>
      <c r="C116" s="1611">
        <v>0.5682710705657823</v>
      </c>
      <c r="D116" s="1612"/>
      <c r="E116" s="1602" t="s">
        <v>2353</v>
      </c>
      <c r="F116" s="1601">
        <v>4.2699999999999996</v>
      </c>
      <c r="H116" s="1602" t="s">
        <v>2353</v>
      </c>
      <c r="I116" s="1615">
        <v>0.59414104278221891</v>
      </c>
      <c r="J116" s="1615">
        <v>0.61996063007840585</v>
      </c>
      <c r="K116" s="1615">
        <v>0.64708948729000693</v>
      </c>
      <c r="L116" s="1615">
        <v>0.67384857885791061</v>
      </c>
      <c r="M116" s="1615">
        <v>0.70290762497257908</v>
      </c>
      <c r="N116" s="1615">
        <v>0.73140068845846751</v>
      </c>
      <c r="O116" s="1615">
        <v>0.75968541588253335</v>
      </c>
      <c r="P116" s="1615">
        <v>0.78773983860565944</v>
      </c>
      <c r="Q116" s="1615">
        <v>0.82039165491586397</v>
      </c>
      <c r="R116" s="1615">
        <v>0.85409580527477236</v>
      </c>
      <c r="S116" s="1615">
        <v>0.88908213174624295</v>
      </c>
      <c r="T116" s="1615">
        <v>0.92591502630022637</v>
      </c>
      <c r="U116" s="1615">
        <v>0.96410531747500539</v>
      </c>
      <c r="V116" s="1615">
        <v>1.0036490611765601</v>
      </c>
      <c r="W116" s="1615">
        <v>1.0458775954255639</v>
      </c>
      <c r="X116" s="1615">
        <v>1.0899989876661869</v>
      </c>
      <c r="Y116" s="1615">
        <v>1.137590523465668</v>
      </c>
      <c r="Z116" s="1615">
        <v>1.1894327988010454</v>
      </c>
      <c r="AA116" s="1615">
        <v>1.241411012108651</v>
      </c>
      <c r="AB116" s="1615">
        <v>1.2948698945230859</v>
      </c>
      <c r="AC116" s="1615">
        <v>1.351406503857753</v>
      </c>
      <c r="AD116" s="1615">
        <v>1.4101426847349225</v>
      </c>
      <c r="AE116" s="1615">
        <v>1.4725711115308222</v>
      </c>
      <c r="AF116" s="1615">
        <v>1.5420617422839618</v>
      </c>
      <c r="AG116" s="1615">
        <v>1.6172742617021199</v>
      </c>
    </row>
    <row r="117" spans="1:33">
      <c r="A117" s="1606"/>
      <c r="B117" s="1606" t="s">
        <v>2354</v>
      </c>
      <c r="C117" s="1609">
        <v>2.9256473049978315</v>
      </c>
      <c r="D117" s="1610"/>
      <c r="E117" s="1602" t="s">
        <v>2355</v>
      </c>
      <c r="F117" s="1606">
        <v>3.91</v>
      </c>
      <c r="G117" s="1606"/>
      <c r="H117" s="1602" t="s">
        <v>2355</v>
      </c>
      <c r="I117" s="1615">
        <v>3.0402800177022566</v>
      </c>
      <c r="J117" s="1615">
        <v>3.1575588193851214</v>
      </c>
      <c r="K117" s="1615">
        <v>3.2758788634651204</v>
      </c>
      <c r="L117" s="1615">
        <v>3.3979479375544215</v>
      </c>
      <c r="M117" s="1615">
        <v>3.5213002435835223</v>
      </c>
      <c r="N117" s="1615">
        <v>3.6510495936588447</v>
      </c>
      <c r="O117" s="1615">
        <v>3.787562337965749</v>
      </c>
      <c r="P117" s="1615">
        <v>3.9344023422463432</v>
      </c>
      <c r="Q117" s="1615">
        <v>4.0845942172592551</v>
      </c>
      <c r="R117" s="1615">
        <v>4.2433787328609913</v>
      </c>
      <c r="S117" s="1615">
        <v>4.408450408948017</v>
      </c>
      <c r="T117" s="1615">
        <v>4.5834658901832537</v>
      </c>
      <c r="U117" s="1615">
        <v>4.7687387483962409</v>
      </c>
      <c r="V117" s="1615">
        <v>4.9662646760935614</v>
      </c>
      <c r="W117" s="1615">
        <v>5.1709890048361666</v>
      </c>
      <c r="X117" s="1615">
        <v>5.3801761940378086</v>
      </c>
      <c r="Y117" s="1615">
        <v>5.5873882999749807</v>
      </c>
      <c r="Z117" s="1615">
        <v>5.7946189446327523</v>
      </c>
      <c r="AA117" s="1615">
        <v>6.0163442439301802</v>
      </c>
      <c r="AB117" s="1615">
        <v>6.255704499674942</v>
      </c>
      <c r="AC117" s="1615">
        <v>6.5058576112079427</v>
      </c>
      <c r="AD117" s="1615">
        <v>6.7644719571110699</v>
      </c>
      <c r="AE117" s="1615">
        <v>7.0405029997929436</v>
      </c>
      <c r="AF117" s="1615">
        <v>7.3316489203433806</v>
      </c>
      <c r="AG117" s="1615">
        <v>7.6341674180945889</v>
      </c>
    </row>
    <row r="118" spans="1:33">
      <c r="A118" s="1606" t="s">
        <v>1013</v>
      </c>
      <c r="B118" s="1601" t="s">
        <v>2356</v>
      </c>
      <c r="C118" s="1611">
        <v>1.087589509326558</v>
      </c>
      <c r="D118" s="1612"/>
      <c r="E118" s="1602" t="s">
        <v>2357</v>
      </c>
      <c r="F118" s="1601">
        <v>3.87</v>
      </c>
      <c r="H118" s="1602" t="s">
        <v>2357</v>
      </c>
      <c r="I118" s="1615">
        <v>1.1288069765510158</v>
      </c>
      <c r="J118" s="1615">
        <v>1.1720741479622163</v>
      </c>
      <c r="K118" s="1615">
        <v>1.2156729621181148</v>
      </c>
      <c r="L118" s="1615">
        <v>1.2615038327899679</v>
      </c>
      <c r="M118" s="1615">
        <v>1.3072219931941091</v>
      </c>
      <c r="N118" s="1615">
        <v>1.3562650407127725</v>
      </c>
      <c r="O118" s="1615">
        <v>1.4074735398549647</v>
      </c>
      <c r="P118" s="1615">
        <v>1.4619835825800076</v>
      </c>
      <c r="Q118" s="1615">
        <v>1.5159103090070538</v>
      </c>
      <c r="R118" s="1615">
        <v>1.5739969602275863</v>
      </c>
      <c r="S118" s="1615">
        <v>1.6342495638650985</v>
      </c>
      <c r="T118" s="1615">
        <v>1.6979591488628154</v>
      </c>
      <c r="U118" s="1615">
        <v>1.7651796536071456</v>
      </c>
      <c r="V118" s="1615">
        <v>1.8363605231388536</v>
      </c>
      <c r="W118" s="1615">
        <v>1.9093760538993774</v>
      </c>
      <c r="X118" s="1615">
        <v>1.9841911358193167</v>
      </c>
      <c r="Y118" s="1615">
        <v>2.0587907699527159</v>
      </c>
      <c r="Z118" s="1615">
        <v>2.1348836768101687</v>
      </c>
      <c r="AA118" s="1615">
        <v>2.2178900890482245</v>
      </c>
      <c r="AB118" s="1615">
        <v>2.3067809059271882</v>
      </c>
      <c r="AC118" s="1615">
        <v>2.3986599894102683</v>
      </c>
      <c r="AD118" s="1615">
        <v>2.4935389852913916</v>
      </c>
      <c r="AE118" s="1615">
        <v>2.5944175984803404</v>
      </c>
      <c r="AF118" s="1615">
        <v>2.7004929564118076</v>
      </c>
      <c r="AG118" s="1615">
        <v>2.81189909283562</v>
      </c>
    </row>
    <row r="119" spans="1:33">
      <c r="A119" s="1606" t="s">
        <v>1009</v>
      </c>
      <c r="B119" s="1601" t="s">
        <v>2358</v>
      </c>
      <c r="C119" s="1611">
        <v>0.77400668046566801</v>
      </c>
      <c r="D119" s="1612"/>
      <c r="E119" s="1602" t="s">
        <v>2359</v>
      </c>
      <c r="F119" s="1601">
        <v>4.1100000000000003</v>
      </c>
      <c r="H119" s="1602" t="s">
        <v>2359</v>
      </c>
      <c r="I119" s="1615">
        <v>0.80748788744257149</v>
      </c>
      <c r="J119" s="1615">
        <v>0.84009101838595268</v>
      </c>
      <c r="K119" s="1615">
        <v>0.87163055548921664</v>
      </c>
      <c r="L119" s="1615">
        <v>0.90416678086451818</v>
      </c>
      <c r="M119" s="1615">
        <v>0.93590303487286264</v>
      </c>
      <c r="N119" s="1615">
        <v>0.97019732977970896</v>
      </c>
      <c r="O119" s="1615">
        <v>1.0083513099706258</v>
      </c>
      <c r="P119" s="1615">
        <v>1.0523971035414528</v>
      </c>
      <c r="Q119" s="1615">
        <v>1.0961726134603631</v>
      </c>
      <c r="R119" s="1615">
        <v>1.1424661752720211</v>
      </c>
      <c r="S119" s="1615">
        <v>1.1908210561404093</v>
      </c>
      <c r="T119" s="1615">
        <v>1.2427908686724891</v>
      </c>
      <c r="U119" s="1615">
        <v>1.2990060280351519</v>
      </c>
      <c r="V119" s="1615">
        <v>1.3608491070178494</v>
      </c>
      <c r="W119" s="1615">
        <v>1.4248566447664339</v>
      </c>
      <c r="X119" s="1615">
        <v>1.4891476014349401</v>
      </c>
      <c r="Y119" s="1615">
        <v>1.548443969776478</v>
      </c>
      <c r="Z119" s="1615">
        <v>1.6020495515661699</v>
      </c>
      <c r="AA119" s="1615">
        <v>1.6610770672936255</v>
      </c>
      <c r="AB119" s="1615">
        <v>1.7285500177670927</v>
      </c>
      <c r="AC119" s="1615">
        <v>1.799876905700234</v>
      </c>
      <c r="AD119" s="1615">
        <v>1.8736790583415663</v>
      </c>
      <c r="AE119" s="1615">
        <v>1.953705764602393</v>
      </c>
      <c r="AF119" s="1615">
        <v>2.0354566286164153</v>
      </c>
      <c r="AG119" s="1615">
        <v>2.1162316894664293</v>
      </c>
    </row>
    <row r="120" spans="1:33">
      <c r="A120" s="1606" t="s">
        <v>1001</v>
      </c>
      <c r="B120" s="1601" t="s">
        <v>2360</v>
      </c>
      <c r="C120" s="1611">
        <v>1.0640511152056054</v>
      </c>
      <c r="D120" s="1612"/>
      <c r="E120" s="1602" t="s">
        <v>2361</v>
      </c>
      <c r="F120" s="1601">
        <v>3.8</v>
      </c>
      <c r="H120" s="1602" t="s">
        <v>2361</v>
      </c>
      <c r="I120" s="1615">
        <v>1.1039870816615021</v>
      </c>
      <c r="J120" s="1615">
        <v>1.1453954291204618</v>
      </c>
      <c r="K120" s="1615">
        <v>1.1885779821937323</v>
      </c>
      <c r="L120" s="1615">
        <v>1.2322796174430315</v>
      </c>
      <c r="M120" s="1615">
        <v>1.2781783363539321</v>
      </c>
      <c r="N120" s="1615">
        <v>1.3245915481036159</v>
      </c>
      <c r="O120" s="1615">
        <v>1.3717430334414604</v>
      </c>
      <c r="P120" s="1615">
        <v>1.420025644732533</v>
      </c>
      <c r="Q120" s="1615">
        <v>1.4725140526387817</v>
      </c>
      <c r="R120" s="1615">
        <v>1.5269190293416268</v>
      </c>
      <c r="S120" s="1615">
        <v>1.5833844950466802</v>
      </c>
      <c r="T120" s="1615">
        <v>1.6427202456140595</v>
      </c>
      <c r="U120" s="1615">
        <v>1.7045588065399551</v>
      </c>
      <c r="V120" s="1615">
        <v>1.7690593117794271</v>
      </c>
      <c r="W120" s="1615">
        <v>1.8367594425819143</v>
      </c>
      <c r="X120" s="1615">
        <v>1.9068391623541847</v>
      </c>
      <c r="Y120" s="1615">
        <v>1.9801552213075406</v>
      </c>
      <c r="Z120" s="1615">
        <v>2.0576881989978375</v>
      </c>
      <c r="AA120" s="1615">
        <v>2.1373824629450238</v>
      </c>
      <c r="AB120" s="1615">
        <v>2.2203770239811789</v>
      </c>
      <c r="AC120" s="1615">
        <v>2.3073225474862338</v>
      </c>
      <c r="AD120" s="1615">
        <v>2.3972573657421523</v>
      </c>
      <c r="AE120" s="1615">
        <v>2.4923877297868979</v>
      </c>
      <c r="AF120" s="1615">
        <v>2.5957096631252137</v>
      </c>
      <c r="AG120" s="1615">
        <v>2.70604808948534</v>
      </c>
    </row>
    <row r="121" spans="1:33">
      <c r="A121" s="1606" t="s">
        <v>1001</v>
      </c>
      <c r="B121" s="1606" t="s">
        <v>2362</v>
      </c>
      <c r="C121" s="1609">
        <v>1.6383070650020006</v>
      </c>
      <c r="D121" s="1610"/>
      <c r="E121" s="1602" t="s">
        <v>2363</v>
      </c>
      <c r="F121" s="1606">
        <v>4</v>
      </c>
      <c r="G121" s="1606"/>
      <c r="H121" s="1602" t="s">
        <v>2363</v>
      </c>
      <c r="I121" s="1615">
        <v>1.7056480386018429</v>
      </c>
      <c r="J121" s="1615">
        <v>1.7731166524167772</v>
      </c>
      <c r="K121" s="1615">
        <v>1.8457594685496401</v>
      </c>
      <c r="L121" s="1615">
        <v>1.9164852798655254</v>
      </c>
      <c r="M121" s="1615">
        <v>1.9949940993552164</v>
      </c>
      <c r="N121" s="1615">
        <v>2.0699400426856935</v>
      </c>
      <c r="O121" s="1615">
        <v>2.1441039244750795</v>
      </c>
      <c r="P121" s="1615">
        <v>2.2166561130714673</v>
      </c>
      <c r="Q121" s="1615">
        <v>2.3039768473336917</v>
      </c>
      <c r="R121" s="1615">
        <v>2.3917791010087313</v>
      </c>
      <c r="S121" s="1615">
        <v>2.4831402791090627</v>
      </c>
      <c r="T121" s="1615">
        <v>2.5787088990311329</v>
      </c>
      <c r="U121" s="1615">
        <v>2.6770814861113728</v>
      </c>
      <c r="V121" s="1615">
        <v>2.778087770582355</v>
      </c>
      <c r="W121" s="1615">
        <v>2.8868943562049836</v>
      </c>
      <c r="X121" s="1615">
        <v>3.0010623673098222</v>
      </c>
      <c r="Y121" s="1615">
        <v>3.1266778348183095</v>
      </c>
      <c r="Z121" s="1615">
        <v>3.2644517669317437</v>
      </c>
      <c r="AA121" s="1615">
        <v>3.3993291205860627</v>
      </c>
      <c r="AB121" s="1615">
        <v>3.5365872318170868</v>
      </c>
      <c r="AC121" s="1615">
        <v>3.6825103575890914</v>
      </c>
      <c r="AD121" s="1615">
        <v>3.8343586721842771</v>
      </c>
      <c r="AE121" s="1615">
        <v>3.9945888523775133</v>
      </c>
      <c r="AF121" s="1615">
        <v>4.1731909145561641</v>
      </c>
      <c r="AG121" s="1615">
        <v>4.3660591058632923</v>
      </c>
    </row>
    <row r="122" spans="1:33">
      <c r="A122" s="1606"/>
      <c r="B122" s="1601" t="s">
        <v>2364</v>
      </c>
      <c r="C122" s="1611">
        <v>0.89282559541762241</v>
      </c>
      <c r="D122" s="1612"/>
      <c r="E122" s="1602" t="s">
        <v>2365</v>
      </c>
      <c r="F122" s="1601">
        <v>4.0199999999999996</v>
      </c>
      <c r="H122" s="1602" t="s">
        <v>2365</v>
      </c>
      <c r="I122" s="1615">
        <v>0.92987607197626299</v>
      </c>
      <c r="J122" s="1615">
        <v>0.96650575020355201</v>
      </c>
      <c r="K122" s="1615">
        <v>1.0062929259164315</v>
      </c>
      <c r="L122" s="1615">
        <v>1.0446427493231067</v>
      </c>
      <c r="M122" s="1615">
        <v>1.0878052984396389</v>
      </c>
      <c r="N122" s="1615">
        <v>1.1283706458237515</v>
      </c>
      <c r="O122" s="1615">
        <v>1.1682066431039131</v>
      </c>
      <c r="P122" s="1615">
        <v>1.2066920427543284</v>
      </c>
      <c r="Q122" s="1615">
        <v>1.2544529138065446</v>
      </c>
      <c r="R122" s="1615">
        <v>1.3021848471768835</v>
      </c>
      <c r="S122" s="1615">
        <v>1.3519061711966387</v>
      </c>
      <c r="T122" s="1615">
        <v>1.4038829077606356</v>
      </c>
      <c r="U122" s="1615">
        <v>1.4572430932017095</v>
      </c>
      <c r="V122" s="1615">
        <v>1.5118489063901639</v>
      </c>
      <c r="W122" s="1615">
        <v>1.5711103598228457</v>
      </c>
      <c r="X122" s="1615">
        <v>1.6335384299704065</v>
      </c>
      <c r="Y122" s="1615">
        <v>1.7030520243193672</v>
      </c>
      <c r="Z122" s="1615">
        <v>1.7798119851594898</v>
      </c>
      <c r="AA122" s="1615">
        <v>1.8542508416268004</v>
      </c>
      <c r="AB122" s="1615">
        <v>1.9297411018911108</v>
      </c>
      <c r="AC122" s="1615">
        <v>2.0102827062607398</v>
      </c>
      <c r="AD122" s="1615">
        <v>2.0942662868801944</v>
      </c>
      <c r="AE122" s="1615">
        <v>2.1829040132061119</v>
      </c>
      <c r="AF122" s="1615">
        <v>2.282127915126396</v>
      </c>
      <c r="AG122" s="1615">
        <v>2.3894655194864511</v>
      </c>
    </row>
    <row r="123" spans="1:33">
      <c r="B123" s="1601" t="s">
        <v>2366</v>
      </c>
      <c r="C123" s="1611">
        <v>0.49833520745226206</v>
      </c>
      <c r="D123" s="1612"/>
      <c r="E123" s="1602" t="s">
        <v>2367</v>
      </c>
      <c r="F123" s="1601">
        <v>4.05</v>
      </c>
      <c r="H123" s="1602" t="s">
        <v>2367</v>
      </c>
      <c r="I123" s="1615">
        <v>0.51890698315109884</v>
      </c>
      <c r="J123" s="1615">
        <v>0.53974940103634583</v>
      </c>
      <c r="K123" s="1615">
        <v>0.56192932317313238</v>
      </c>
      <c r="L123" s="1615">
        <v>0.58374903879194506</v>
      </c>
      <c r="M123" s="1615">
        <v>0.60763254696507862</v>
      </c>
      <c r="N123" s="1615">
        <v>0.63086233923555357</v>
      </c>
      <c r="O123" s="1615">
        <v>0.65416765577159341</v>
      </c>
      <c r="P123" s="1615">
        <v>0.6774259326048967</v>
      </c>
      <c r="Q123" s="1615">
        <v>0.7044579370195625</v>
      </c>
      <c r="R123" s="1615">
        <v>0.73173454834095997</v>
      </c>
      <c r="S123" s="1615">
        <v>0.76013536136571769</v>
      </c>
      <c r="T123" s="1615">
        <v>0.78991138374113556</v>
      </c>
      <c r="U123" s="1615">
        <v>0.82073293602333086</v>
      </c>
      <c r="V123" s="1615">
        <v>0.8526052788608609</v>
      </c>
      <c r="W123" s="1615">
        <v>0.88671034262057413</v>
      </c>
      <c r="X123" s="1615">
        <v>0.92236141865597687</v>
      </c>
      <c r="Y123" s="1615">
        <v>0.96099913848347573</v>
      </c>
      <c r="Z123" s="1615">
        <v>1.0029505948748334</v>
      </c>
      <c r="AA123" s="1615">
        <v>1.0444988262181183</v>
      </c>
      <c r="AB123" s="1615">
        <v>1.0870600643888542</v>
      </c>
      <c r="AC123" s="1615">
        <v>1.1322524124456921</v>
      </c>
      <c r="AD123" s="1615">
        <v>1.1792533423387253</v>
      </c>
      <c r="AE123" s="1615">
        <v>1.228925851624717</v>
      </c>
      <c r="AF123" s="1615">
        <v>1.2840763570680795</v>
      </c>
      <c r="AG123" s="1615">
        <v>1.3435303764766886</v>
      </c>
    </row>
    <row r="124" spans="1:33">
      <c r="A124" s="1606"/>
      <c r="B124" s="1601" t="s">
        <v>2368</v>
      </c>
      <c r="C124" s="1611">
        <v>0.24714626213211605</v>
      </c>
      <c r="D124" s="1612"/>
      <c r="E124" s="1602" t="s">
        <v>2369</v>
      </c>
      <c r="F124" s="1601">
        <v>3.83</v>
      </c>
      <c r="H124" s="1602" t="s">
        <v>2369</v>
      </c>
      <c r="I124" s="1615">
        <v>0.25686479459793726</v>
      </c>
      <c r="J124" s="1615">
        <v>0.26686197240368897</v>
      </c>
      <c r="K124" s="1615">
        <v>0.27753698502378138</v>
      </c>
      <c r="L124" s="1615">
        <v>0.28809421439710098</v>
      </c>
      <c r="M124" s="1615">
        <v>0.2995569069995328</v>
      </c>
      <c r="N124" s="1615">
        <v>0.31070761330568336</v>
      </c>
      <c r="O124" s="1615">
        <v>0.32172872305724926</v>
      </c>
      <c r="P124" s="1615">
        <v>0.33253752123708058</v>
      </c>
      <c r="Q124" s="1615">
        <v>0.34506653742473004</v>
      </c>
      <c r="R124" s="1615">
        <v>0.35786091449936414</v>
      </c>
      <c r="S124" s="1615">
        <v>0.37110141047492612</v>
      </c>
      <c r="T124" s="1615">
        <v>0.38491751598690765</v>
      </c>
      <c r="U124" s="1615">
        <v>0.39910827004879695</v>
      </c>
      <c r="V124" s="1615">
        <v>0.41363581107857317</v>
      </c>
      <c r="W124" s="1615">
        <v>0.42907724954194737</v>
      </c>
      <c r="X124" s="1615">
        <v>0.44516678824527134</v>
      </c>
      <c r="Y124" s="1615">
        <v>0.46262979101455687</v>
      </c>
      <c r="Z124" s="1615">
        <v>0.48169152629372969</v>
      </c>
      <c r="AA124" s="1615">
        <v>0.50058298626344344</v>
      </c>
      <c r="AB124" s="1615">
        <v>0.51979135661234432</v>
      </c>
      <c r="AC124" s="1615">
        <v>0.53998005290316775</v>
      </c>
      <c r="AD124" s="1615">
        <v>0.5608432622071875</v>
      </c>
      <c r="AE124" s="1615">
        <v>0.58276438195381763</v>
      </c>
      <c r="AF124" s="1615">
        <v>0.60699339389792961</v>
      </c>
      <c r="AG124" s="1615">
        <v>0.63307104408657244</v>
      </c>
    </row>
    <row r="125" spans="1:33">
      <c r="A125" s="1606" t="s">
        <v>1001</v>
      </c>
      <c r="B125" s="1606" t="s">
        <v>2370</v>
      </c>
      <c r="C125" s="1609">
        <v>1.7341405595749222</v>
      </c>
      <c r="D125" s="1610"/>
      <c r="E125" s="1602" t="s">
        <v>2371</v>
      </c>
      <c r="F125" s="1606">
        <v>3.39</v>
      </c>
      <c r="G125" s="1606"/>
      <c r="H125" s="1602" t="s">
        <v>2371</v>
      </c>
      <c r="I125" s="1615">
        <v>1.7926660693200163</v>
      </c>
      <c r="J125" s="1615">
        <v>1.8535037777145298</v>
      </c>
      <c r="K125" s="1615">
        <v>1.9170085241465851</v>
      </c>
      <c r="L125" s="1615">
        <v>1.9809369244098252</v>
      </c>
      <c r="M125" s="1615">
        <v>2.048158038002748</v>
      </c>
      <c r="N125" s="1615">
        <v>2.1152638879598702</v>
      </c>
      <c r="O125" s="1615">
        <v>2.1822987158332063</v>
      </c>
      <c r="P125" s="1615">
        <v>2.2494807818001319</v>
      </c>
      <c r="Q125" s="1615">
        <v>2.3233132400203758</v>
      </c>
      <c r="R125" s="1615">
        <v>2.4000476297117688</v>
      </c>
      <c r="S125" s="1615">
        <v>2.4792276010635899</v>
      </c>
      <c r="T125" s="1615">
        <v>2.5617883594066084</v>
      </c>
      <c r="U125" s="1615">
        <v>2.6468218004203918</v>
      </c>
      <c r="V125" s="1615">
        <v>2.7342225030920737</v>
      </c>
      <c r="W125" s="1615">
        <v>2.8257451329380747</v>
      </c>
      <c r="X125" s="1615">
        <v>2.9205799653446092</v>
      </c>
      <c r="Y125" s="1615">
        <v>3.021319530089241</v>
      </c>
      <c r="Z125" s="1615">
        <v>3.1292742982188595</v>
      </c>
      <c r="AA125" s="1615">
        <v>3.2387050204275729</v>
      </c>
      <c r="AB125" s="1615">
        <v>3.3509034784502454</v>
      </c>
      <c r="AC125" s="1615">
        <v>3.4676053938942317</v>
      </c>
      <c r="AD125" s="1615">
        <v>3.5878480785329079</v>
      </c>
      <c r="AE125" s="1615">
        <v>3.7138461273548264</v>
      </c>
      <c r="AF125" s="1615">
        <v>3.8500217233065457</v>
      </c>
      <c r="AG125" s="1615">
        <v>3.9947170897335753</v>
      </c>
    </row>
    <row r="126" spans="1:33">
      <c r="B126" s="1601" t="s">
        <v>2372</v>
      </c>
      <c r="C126" s="1611">
        <v>1.5043271156487448</v>
      </c>
      <c r="D126" s="1612"/>
      <c r="E126" s="1602" t="s">
        <v>2373</v>
      </c>
      <c r="F126" s="1601">
        <v>3.61</v>
      </c>
      <c r="H126" s="1602" t="s">
        <v>2373</v>
      </c>
      <c r="I126" s="1615">
        <v>1.5589492332179509</v>
      </c>
      <c r="J126" s="1615">
        <v>1.616115901600053</v>
      </c>
      <c r="K126" s="1615">
        <v>1.6756422986036876</v>
      </c>
      <c r="L126" s="1615">
        <v>1.7359402867189413</v>
      </c>
      <c r="M126" s="1615">
        <v>1.7989149925002441</v>
      </c>
      <c r="N126" s="1615">
        <v>1.8624562678653378</v>
      </c>
      <c r="O126" s="1615">
        <v>1.9263739045222084</v>
      </c>
      <c r="P126" s="1615">
        <v>1.9910480556187327</v>
      </c>
      <c r="Q126" s="1615">
        <v>2.0609676901878959</v>
      </c>
      <c r="R126" s="1615">
        <v>2.1339877754512533</v>
      </c>
      <c r="S126" s="1615">
        <v>2.2093260798757846</v>
      </c>
      <c r="T126" s="1615">
        <v>2.2880863452972764</v>
      </c>
      <c r="U126" s="1615">
        <v>2.36950789789468</v>
      </c>
      <c r="V126" s="1615">
        <v>2.4535827771277789</v>
      </c>
      <c r="W126" s="1615">
        <v>2.5412591040856629</v>
      </c>
      <c r="X126" s="1615">
        <v>2.6316999743409677</v>
      </c>
      <c r="Y126" s="1615">
        <v>2.7265780218159081</v>
      </c>
      <c r="Z126" s="1615">
        <v>2.8274695883571619</v>
      </c>
      <c r="AA126" s="1615">
        <v>2.9306128514708427</v>
      </c>
      <c r="AB126" s="1615">
        <v>3.0369999592049375</v>
      </c>
      <c r="AC126" s="1615">
        <v>3.1475224617203237</v>
      </c>
      <c r="AD126" s="1615">
        <v>3.2612172680825853</v>
      </c>
      <c r="AE126" s="1615">
        <v>3.3806560893088418</v>
      </c>
      <c r="AF126" s="1615">
        <v>3.5096822096134028</v>
      </c>
      <c r="AG126" s="1615">
        <v>3.6468054935429981</v>
      </c>
    </row>
    <row r="127" spans="1:33">
      <c r="B127" s="1601" t="s">
        <v>2374</v>
      </c>
      <c r="C127" s="1611">
        <v>0.22981344392617739</v>
      </c>
      <c r="D127" s="1612"/>
      <c r="E127" s="1602" t="s">
        <v>2375</v>
      </c>
      <c r="F127" s="1601">
        <v>1.67</v>
      </c>
      <c r="H127" s="1602" t="s">
        <v>2375</v>
      </c>
      <c r="I127" s="1615">
        <v>0.23371636564437565</v>
      </c>
      <c r="J127" s="1615">
        <v>0.2373875823159175</v>
      </c>
      <c r="K127" s="1615">
        <v>0.2413664355831146</v>
      </c>
      <c r="L127" s="1615">
        <v>0.24499682814072024</v>
      </c>
      <c r="M127" s="1615">
        <v>0.24924262317239895</v>
      </c>
      <c r="N127" s="1615">
        <v>0.25280803889688014</v>
      </c>
      <c r="O127" s="1615">
        <v>0.25592566763255647</v>
      </c>
      <c r="P127" s="1615">
        <v>0.25843373917535556</v>
      </c>
      <c r="Q127" s="1615">
        <v>0.26234668442020964</v>
      </c>
      <c r="R127" s="1615">
        <v>0.26606125112491541</v>
      </c>
      <c r="S127" s="1615">
        <v>0.26990211134615466</v>
      </c>
      <c r="T127" s="1615">
        <v>0.27370287287813116</v>
      </c>
      <c r="U127" s="1615">
        <v>0.27731629820586823</v>
      </c>
      <c r="V127" s="1615">
        <v>0.28064187525395301</v>
      </c>
      <c r="W127" s="1615">
        <v>0.28448947536368474</v>
      </c>
      <c r="X127" s="1615">
        <v>0.28888540673700441</v>
      </c>
      <c r="Y127" s="1615">
        <v>0.29474891383754537</v>
      </c>
      <c r="Z127" s="1615">
        <v>0.30181286630657594</v>
      </c>
      <c r="AA127" s="1615">
        <v>0.30810053375034085</v>
      </c>
      <c r="AB127" s="1615">
        <v>0.31391192601793977</v>
      </c>
      <c r="AC127" s="1615">
        <v>0.32009065445775087</v>
      </c>
      <c r="AD127" s="1615">
        <v>0.32663938915730201</v>
      </c>
      <c r="AE127" s="1615">
        <v>0.33319765481280234</v>
      </c>
      <c r="AF127" s="1615">
        <v>0.34034574410150137</v>
      </c>
      <c r="AG127" s="1615">
        <v>0.34791979829073616</v>
      </c>
    </row>
    <row r="128" spans="1:33">
      <c r="A128" s="1606" t="s">
        <v>1001</v>
      </c>
      <c r="B128" s="1606" t="s">
        <v>2376</v>
      </c>
      <c r="C128" s="1609">
        <v>1.0322041270400311</v>
      </c>
      <c r="D128" s="1610"/>
      <c r="E128" s="1602" t="s">
        <v>2377</v>
      </c>
      <c r="F128" s="1606">
        <v>4.49</v>
      </c>
      <c r="G128" s="1606"/>
      <c r="H128" s="1602" t="s">
        <v>2377</v>
      </c>
      <c r="I128" s="1615">
        <v>1.0784365498901543</v>
      </c>
      <c r="J128" s="1615">
        <v>1.1269759005641602</v>
      </c>
      <c r="K128" s="1615">
        <v>1.1767149819355593</v>
      </c>
      <c r="L128" s="1615">
        <v>1.2277855888665445</v>
      </c>
      <c r="M128" s="1615">
        <v>1.280203439012024</v>
      </c>
      <c r="N128" s="1615">
        <v>1.3349615807088853</v>
      </c>
      <c r="O128" s="1615">
        <v>1.3910646760997567</v>
      </c>
      <c r="P128" s="1615">
        <v>1.4491694476204438</v>
      </c>
      <c r="Q128" s="1615">
        <v>1.5094795325220638</v>
      </c>
      <c r="R128" s="1615">
        <v>1.574246770823988</v>
      </c>
      <c r="S128" s="1615">
        <v>1.6417630663310874</v>
      </c>
      <c r="T128" s="1615">
        <v>1.7138676584412824</v>
      </c>
      <c r="U128" s="1615">
        <v>1.7902598815809856</v>
      </c>
      <c r="V128" s="1615">
        <v>1.8713121074596832</v>
      </c>
      <c r="W128" s="1615">
        <v>1.9559178704621505</v>
      </c>
      <c r="X128" s="1615">
        <v>2.0431478956490214</v>
      </c>
      <c r="Y128" s="1615">
        <v>2.1322352733430057</v>
      </c>
      <c r="Z128" s="1615">
        <v>2.2268063044215882</v>
      </c>
      <c r="AA128" s="1615">
        <v>2.328778445519966</v>
      </c>
      <c r="AB128" s="1615">
        <v>2.4378491127943396</v>
      </c>
      <c r="AC128" s="1615">
        <v>2.5521866740335071</v>
      </c>
      <c r="AD128" s="1615">
        <v>2.6704294826414796</v>
      </c>
      <c r="AE128" s="1615">
        <v>2.7981988516679439</v>
      </c>
      <c r="AF128" s="1615">
        <v>2.9406075858258807</v>
      </c>
      <c r="AG128" s="1615">
        <v>3.0980447753634124</v>
      </c>
    </row>
    <row r="129" spans="1:33">
      <c r="B129" s="1601" t="s">
        <v>2378</v>
      </c>
      <c r="C129" s="1611">
        <v>0.22324955311917191</v>
      </c>
      <c r="D129" s="1612"/>
      <c r="E129" s="1602" t="s">
        <v>2379</v>
      </c>
      <c r="F129" s="1601">
        <v>3.51</v>
      </c>
      <c r="H129" s="1602" t="s">
        <v>2379</v>
      </c>
      <c r="I129" s="1615">
        <v>0.23089808280903473</v>
      </c>
      <c r="J129" s="1615">
        <v>0.23906841146923244</v>
      </c>
      <c r="K129" s="1615">
        <v>0.24760219748503814</v>
      </c>
      <c r="L129" s="1615">
        <v>0.25639182789355952</v>
      </c>
      <c r="M129" s="1615">
        <v>0.26546579107454049</v>
      </c>
      <c r="N129" s="1615">
        <v>0.27478974605445156</v>
      </c>
      <c r="O129" s="1615">
        <v>0.28429884521666587</v>
      </c>
      <c r="P129" s="1615">
        <v>0.29406252045794185</v>
      </c>
      <c r="Q129" s="1615">
        <v>0.30428325148149848</v>
      </c>
      <c r="R129" s="1615">
        <v>0.31497120068978612</v>
      </c>
      <c r="S129" s="1615">
        <v>0.32597597947068657</v>
      </c>
      <c r="T129" s="1615">
        <v>0.33744185857258852</v>
      </c>
      <c r="U129" s="1615">
        <v>0.34931812478505081</v>
      </c>
      <c r="V129" s="1615">
        <v>0.36162355436685378</v>
      </c>
      <c r="W129" s="1615">
        <v>0.37435270348056698</v>
      </c>
      <c r="X129" s="1615">
        <v>0.38742397682799795</v>
      </c>
      <c r="Y129" s="1615">
        <v>0.40087417503153561</v>
      </c>
      <c r="Z129" s="1615">
        <v>0.41489274493238837</v>
      </c>
      <c r="AA129" s="1615">
        <v>0.42938992722581587</v>
      </c>
      <c r="AB129" s="1615">
        <v>0.44442501552762781</v>
      </c>
      <c r="AC129" s="1615">
        <v>0.45997011372075314</v>
      </c>
      <c r="AD129" s="1615">
        <v>0.47594027606913775</v>
      </c>
      <c r="AE129" s="1615">
        <v>0.49262388650646527</v>
      </c>
      <c r="AF129" s="1615">
        <v>0.51031499551868542</v>
      </c>
      <c r="AG129" s="1615">
        <v>0.52892771435023844</v>
      </c>
    </row>
    <row r="130" spans="1:33">
      <c r="B130" s="1601" t="s">
        <v>2380</v>
      </c>
      <c r="C130" s="1611">
        <v>0.68573775512284729</v>
      </c>
      <c r="D130" s="1612"/>
      <c r="E130" s="1602" t="s">
        <v>2381</v>
      </c>
      <c r="F130" s="1601">
        <v>4.9000000000000004</v>
      </c>
      <c r="H130" s="1602" t="s">
        <v>2381</v>
      </c>
      <c r="I130" s="1615">
        <v>0.7199677266453145</v>
      </c>
      <c r="J130" s="1615">
        <v>0.75578324117501239</v>
      </c>
      <c r="K130" s="1615">
        <v>0.79239338137753002</v>
      </c>
      <c r="L130" s="1615">
        <v>0.82990449165856095</v>
      </c>
      <c r="M130" s="1615">
        <v>0.86846019453203449</v>
      </c>
      <c r="N130" s="1615">
        <v>0.90884011973699608</v>
      </c>
      <c r="O130" s="1615">
        <v>0.95015508274012006</v>
      </c>
      <c r="P130" s="1615">
        <v>0.99285410200337842</v>
      </c>
      <c r="Q130" s="1615">
        <v>1.0372128375726855</v>
      </c>
      <c r="R130" s="1615">
        <v>1.085187042948935</v>
      </c>
      <c r="S130" s="1615">
        <v>1.1353736881241943</v>
      </c>
      <c r="T130" s="1615">
        <v>1.189335728773361</v>
      </c>
      <c r="U130" s="1615">
        <v>1.2468187032164351</v>
      </c>
      <c r="V130" s="1615">
        <v>1.3081148043039614</v>
      </c>
      <c r="W130" s="1615">
        <v>1.3722974571771351</v>
      </c>
      <c r="X130" s="1615">
        <v>1.4385821689537053</v>
      </c>
      <c r="Y130" s="1615">
        <v>1.5063681607548038</v>
      </c>
      <c r="Z130" s="1615">
        <v>1.5790037270982398</v>
      </c>
      <c r="AA130" s="1615">
        <v>1.6580202316096897</v>
      </c>
      <c r="AB130" s="1615">
        <v>1.7430086906617708</v>
      </c>
      <c r="AC130" s="1615">
        <v>1.8324006343710502</v>
      </c>
      <c r="AD130" s="1615">
        <v>1.9249625200156693</v>
      </c>
      <c r="AE130" s="1615">
        <v>2.0257304580134496</v>
      </c>
      <c r="AF130" s="1615">
        <v>2.1396008185193014</v>
      </c>
      <c r="AG130" s="1615">
        <v>2.2671317253071441</v>
      </c>
    </row>
    <row r="131" spans="1:33">
      <c r="B131" s="1601" t="s">
        <v>618</v>
      </c>
      <c r="C131" s="1611">
        <v>0.1232168187980119</v>
      </c>
      <c r="D131" s="1612"/>
      <c r="E131" s="1602" t="s">
        <v>2382</v>
      </c>
      <c r="F131" s="1601">
        <v>3.65</v>
      </c>
      <c r="H131" s="1602" t="s">
        <v>2382</v>
      </c>
      <c r="I131" s="1615">
        <v>0.12757093152387725</v>
      </c>
      <c r="J131" s="1615">
        <v>0.1321244483536905</v>
      </c>
      <c r="K131" s="1615">
        <v>0.13671934029408681</v>
      </c>
      <c r="L131" s="1615">
        <v>0.1414896147962878</v>
      </c>
      <c r="M131" s="1615">
        <v>0.1462776233609942</v>
      </c>
      <c r="N131" s="1615">
        <v>0.1513316615257399</v>
      </c>
      <c r="O131" s="1615">
        <v>0.15661116920138837</v>
      </c>
      <c r="P131" s="1615">
        <v>0.1622533997942068</v>
      </c>
      <c r="Q131" s="1615">
        <v>0.16798451438173778</v>
      </c>
      <c r="R131" s="1615">
        <v>0.17408991155694206</v>
      </c>
      <c r="S131" s="1615">
        <v>0.180415294403452</v>
      </c>
      <c r="T131" s="1615">
        <v>0.18709246444932376</v>
      </c>
      <c r="U131" s="1615">
        <v>0.19412601855783163</v>
      </c>
      <c r="V131" s="1615">
        <v>0.2015761868980441</v>
      </c>
      <c r="W131" s="1615">
        <v>0.20926954364719483</v>
      </c>
      <c r="X131" s="1615">
        <v>0.21714351949646415</v>
      </c>
      <c r="Y131" s="1615">
        <v>0.22499499487441729</v>
      </c>
      <c r="Z131" s="1615">
        <v>0.2329112187740788</v>
      </c>
      <c r="AA131" s="1615">
        <v>0.24137032132873457</v>
      </c>
      <c r="AB131" s="1615">
        <v>0.25041663960181421</v>
      </c>
      <c r="AC131" s="1615">
        <v>0.25981728025246631</v>
      </c>
      <c r="AD131" s="1615">
        <v>0.26952873055374299</v>
      </c>
      <c r="AE131" s="1615">
        <v>0.27984655988807083</v>
      </c>
      <c r="AF131" s="1615">
        <v>0.29069313270277258</v>
      </c>
      <c r="AG131" s="1615">
        <v>0.30198801437393885</v>
      </c>
    </row>
    <row r="132" spans="1:33">
      <c r="B132" s="1606" t="s">
        <v>2383</v>
      </c>
      <c r="C132" s="1607">
        <v>4.5139585307225376</v>
      </c>
      <c r="D132" s="1608"/>
      <c r="E132" s="1602" t="s">
        <v>2384</v>
      </c>
      <c r="F132" s="1606">
        <v>3.79</v>
      </c>
      <c r="G132" s="1606"/>
      <c r="H132" s="1602" t="s">
        <v>2384</v>
      </c>
      <c r="I132" s="1615">
        <v>4.6522165665600381</v>
      </c>
      <c r="J132" s="1615">
        <v>4.8228784790877262</v>
      </c>
      <c r="K132" s="1615">
        <v>4.9888674877024881</v>
      </c>
      <c r="L132" s="1615">
        <v>5.1720088131760464</v>
      </c>
      <c r="M132" s="1615">
        <v>5.3496724879174566</v>
      </c>
      <c r="N132" s="1615">
        <v>5.5590105220421551</v>
      </c>
      <c r="O132" s="1615">
        <v>5.7906155774219972</v>
      </c>
      <c r="P132" s="1615">
        <v>6.0437754998513098</v>
      </c>
      <c r="Q132" s="1615">
        <v>6.2606261647859744</v>
      </c>
      <c r="R132" s="1615">
        <v>6.4974844344783227</v>
      </c>
      <c r="S132" s="1615">
        <v>6.7439015316559132</v>
      </c>
      <c r="T132" s="1615">
        <v>7.0046747160819836</v>
      </c>
      <c r="U132" s="1615">
        <v>7.2836779146982451</v>
      </c>
      <c r="V132" s="1615">
        <v>7.5815075046302569</v>
      </c>
      <c r="W132" s="1615">
        <v>7.8789527885594159</v>
      </c>
      <c r="X132" s="1615">
        <v>8.1790621002756438</v>
      </c>
      <c r="Y132" s="1615">
        <v>8.4652229459779882</v>
      </c>
      <c r="Z132" s="1615">
        <v>8.7597026565997229</v>
      </c>
      <c r="AA132" s="1615">
        <v>9.0884455375992541</v>
      </c>
      <c r="AB132" s="1615">
        <v>9.4401320261221962</v>
      </c>
      <c r="AC132" s="1615">
        <v>9.8052574526285508</v>
      </c>
      <c r="AD132" s="1615">
        <v>10.181985249215993</v>
      </c>
      <c r="AE132" s="1615">
        <v>10.577636832030029</v>
      </c>
      <c r="AF132" s="1615">
        <v>10.998087318466391</v>
      </c>
      <c r="AG132" s="1615">
        <v>11.443069931371541</v>
      </c>
    </row>
    <row r="133" spans="1:33">
      <c r="A133" s="1606" t="s">
        <v>2385</v>
      </c>
      <c r="B133" s="1606" t="s">
        <v>2386</v>
      </c>
      <c r="C133" s="1609">
        <v>1.9055882400229036</v>
      </c>
      <c r="D133" s="1610"/>
      <c r="E133" s="1602" t="s">
        <v>2387</v>
      </c>
      <c r="F133" s="1606">
        <v>2.65</v>
      </c>
      <c r="G133" s="1606"/>
      <c r="H133" s="1602" t="s">
        <v>2387</v>
      </c>
      <c r="I133" s="1615">
        <v>1.9155544665182236</v>
      </c>
      <c r="J133" s="1615">
        <v>1.962067960074219</v>
      </c>
      <c r="K133" s="1615">
        <v>1.9945676537648884</v>
      </c>
      <c r="L133" s="1615">
        <v>2.0496197155764531</v>
      </c>
      <c r="M133" s="1615">
        <v>2.0831904368978797</v>
      </c>
      <c r="N133" s="1615">
        <v>2.1566041510845979</v>
      </c>
      <c r="O133" s="1615">
        <v>2.2534011718018787</v>
      </c>
      <c r="P133" s="1615">
        <v>2.3746026072284141</v>
      </c>
      <c r="Q133" s="1615">
        <v>2.4284562197577468</v>
      </c>
      <c r="R133" s="1615">
        <v>2.5020093017417695</v>
      </c>
      <c r="S133" s="1615">
        <v>2.5780528704496066</v>
      </c>
      <c r="T133" s="1615">
        <v>2.6595451216845185</v>
      </c>
      <c r="U133" s="1615">
        <v>2.753118557245867</v>
      </c>
      <c r="V133" s="1615">
        <v>2.8593834273184426</v>
      </c>
      <c r="W133" s="1615">
        <v>2.9492195358379334</v>
      </c>
      <c r="X133" s="1615">
        <v>3.0318419211344327</v>
      </c>
      <c r="Y133" s="1615">
        <v>3.0796995458595395</v>
      </c>
      <c r="Z133" s="1615">
        <v>3.113166640824395</v>
      </c>
      <c r="AA133" s="1615">
        <v>3.1864319045495559</v>
      </c>
      <c r="AB133" s="1615">
        <v>3.2757157265150343</v>
      </c>
      <c r="AC133" s="1615">
        <v>3.3601964351018569</v>
      </c>
      <c r="AD133" s="1615">
        <v>3.444651612301707</v>
      </c>
      <c r="AE133" s="1615">
        <v>3.5297896215513558</v>
      </c>
      <c r="AF133" s="1615">
        <v>3.6011196102236656</v>
      </c>
      <c r="AG133" s="1615">
        <v>3.667502649118529</v>
      </c>
    </row>
    <row r="134" spans="1:33">
      <c r="B134" s="1601" t="s">
        <v>2388</v>
      </c>
      <c r="C134" s="1611">
        <v>1.738869850372627</v>
      </c>
      <c r="D134" s="1612"/>
      <c r="E134" s="1602" t="s">
        <v>2389</v>
      </c>
      <c r="F134" s="1601">
        <v>2.5499999999999998</v>
      </c>
      <c r="H134" s="1602" t="s">
        <v>2389</v>
      </c>
      <c r="I134" s="1615">
        <v>1.7488353134851125</v>
      </c>
      <c r="J134" s="1615">
        <v>1.7897493156440967</v>
      </c>
      <c r="K134" s="1615">
        <v>1.8175494917639965</v>
      </c>
      <c r="L134" s="1615">
        <v>1.8631318154679459</v>
      </c>
      <c r="M134" s="1615">
        <v>1.8967017245190476</v>
      </c>
      <c r="N134" s="1615">
        <v>1.9458528530082342</v>
      </c>
      <c r="O134" s="1615">
        <v>1.9970248913366446</v>
      </c>
      <c r="P134" s="1615">
        <v>2.055631580822701</v>
      </c>
      <c r="Q134" s="1615">
        <v>2.0994391454416137</v>
      </c>
      <c r="R134" s="1615">
        <v>2.1802633536628249</v>
      </c>
      <c r="S134" s="1615">
        <v>2.2574424961191353</v>
      </c>
      <c r="T134" s="1615">
        <v>2.339936217254817</v>
      </c>
      <c r="U134" s="1615">
        <v>2.4277399838710867</v>
      </c>
      <c r="V134" s="1615">
        <v>2.5171852080968491</v>
      </c>
      <c r="W134" s="1615">
        <v>2.5885172025238976</v>
      </c>
      <c r="X134" s="1615">
        <v>2.6480686292851625</v>
      </c>
      <c r="Y134" s="1615">
        <v>2.6708896847323422</v>
      </c>
      <c r="Z134" s="1615">
        <v>2.7024622716955635</v>
      </c>
      <c r="AA134" s="1615">
        <v>2.7725127962401843</v>
      </c>
      <c r="AB134" s="1615">
        <v>2.86487628753413</v>
      </c>
      <c r="AC134" s="1615">
        <v>2.950834035665304</v>
      </c>
      <c r="AD134" s="1615">
        <v>3.0366915027670216</v>
      </c>
      <c r="AE134" s="1615">
        <v>3.1213210582576356</v>
      </c>
      <c r="AF134" s="1615">
        <v>3.1939604419254071</v>
      </c>
      <c r="AG134" s="1615">
        <v>3.2612635763576594</v>
      </c>
    </row>
    <row r="135" spans="1:33">
      <c r="B135" s="1601" t="s">
        <v>437</v>
      </c>
      <c r="C135" s="1611">
        <v>0.11936452519531741</v>
      </c>
      <c r="D135" s="1612"/>
      <c r="E135" s="1602" t="s">
        <v>2390</v>
      </c>
      <c r="F135" s="1601">
        <v>0</v>
      </c>
      <c r="H135" s="1602" t="s">
        <v>2390</v>
      </c>
      <c r="I135" s="1615">
        <v>0.11936452519531741</v>
      </c>
      <c r="J135" s="1615">
        <v>0.11936452519531741</v>
      </c>
      <c r="K135" s="1615">
        <v>0.11936452519531741</v>
      </c>
      <c r="L135" s="1615">
        <v>0.11936452519531741</v>
      </c>
      <c r="M135" s="1615">
        <v>0.11936452519531741</v>
      </c>
      <c r="N135" s="1615">
        <v>0.11986430446231019</v>
      </c>
      <c r="O135" s="1615">
        <v>0.11930309978881766</v>
      </c>
      <c r="P135" s="1615">
        <v>0.1198039342017311</v>
      </c>
      <c r="Q135" s="1615">
        <v>0.11721736726231573</v>
      </c>
      <c r="R135" s="1615">
        <v>0.11462709788055309</v>
      </c>
      <c r="S135" s="1615">
        <v>0.11422280810632839</v>
      </c>
      <c r="T135" s="1615">
        <v>0.11386631872222854</v>
      </c>
      <c r="U135" s="1615">
        <v>0.11592115030988988</v>
      </c>
      <c r="V135" s="1615">
        <v>0.12019203325075714</v>
      </c>
      <c r="W135" s="1615">
        <v>0.12359803508901709</v>
      </c>
      <c r="X135" s="1615">
        <v>0.12657427577396063</v>
      </c>
      <c r="Y135" s="1615">
        <v>0.1284025146132397</v>
      </c>
      <c r="Z135" s="1615">
        <v>0.1266984848418074</v>
      </c>
      <c r="AA135" s="1615">
        <v>0.12616989876304738</v>
      </c>
      <c r="AB135" s="1615">
        <v>0.1241601384456508</v>
      </c>
      <c r="AC135" s="1615">
        <v>0.12372868196455215</v>
      </c>
      <c r="AD135" s="1615">
        <v>0.12331975867065931</v>
      </c>
      <c r="AE135" s="1615">
        <v>0.12134318957868598</v>
      </c>
      <c r="AF135" s="1615">
        <v>0.12028544099512857</v>
      </c>
      <c r="AG135" s="1615">
        <v>0.11934901883698149</v>
      </c>
    </row>
    <row r="136" spans="1:33">
      <c r="A136" s="1606"/>
      <c r="B136" s="1601" t="s">
        <v>2391</v>
      </c>
      <c r="C136" s="1611">
        <v>1.9935927835777911E-2</v>
      </c>
      <c r="D136" s="1612"/>
      <c r="E136" s="1602" t="s">
        <v>2392</v>
      </c>
      <c r="F136" s="1601">
        <v>1.26</v>
      </c>
      <c r="H136" s="1602" t="s">
        <v>2392</v>
      </c>
      <c r="I136" s="1615">
        <v>1.9935927835777911E-2</v>
      </c>
      <c r="J136" s="1615">
        <v>1.9935927835777911E-2</v>
      </c>
      <c r="K136" s="1615">
        <v>1.9935927835777911E-2</v>
      </c>
      <c r="L136" s="1615">
        <v>1.9935927835777911E-2</v>
      </c>
      <c r="M136" s="1615">
        <v>1.9935927835777911E-2</v>
      </c>
      <c r="N136" s="1615">
        <v>2.0019399565626313E-2</v>
      </c>
      <c r="O136" s="1615">
        <v>1.9925668736860053E-2</v>
      </c>
      <c r="P136" s="1615">
        <v>2.1884561230380763E-2</v>
      </c>
      <c r="Q136" s="1615">
        <v>2.691634708671483E-2</v>
      </c>
      <c r="R136" s="1615">
        <v>2.6321549648792606E-2</v>
      </c>
      <c r="S136" s="1615">
        <v>2.6228713543181317E-2</v>
      </c>
      <c r="T136" s="1615">
        <v>2.6146853728213047E-2</v>
      </c>
      <c r="U136" s="1615">
        <v>2.661869985059238E-2</v>
      </c>
      <c r="V136" s="1615">
        <v>2.7599412609187756E-2</v>
      </c>
      <c r="W136" s="1615">
        <v>2.8496448717811578E-2</v>
      </c>
      <c r="X136" s="1615">
        <v>2.9662722874485452E-2</v>
      </c>
      <c r="Y136" s="1615">
        <v>3.0400850070494145E-2</v>
      </c>
      <c r="Z136" s="1615">
        <v>2.9806908662666901E-2</v>
      </c>
      <c r="AA136" s="1615">
        <v>2.9622672160222956E-2</v>
      </c>
      <c r="AB136" s="1615">
        <v>2.8922184831650165E-2</v>
      </c>
      <c r="AC136" s="1615">
        <v>2.8771789470525586E-2</v>
      </c>
      <c r="AD136" s="1615">
        <v>2.8629254025488601E-2</v>
      </c>
      <c r="AE136" s="1615">
        <v>2.7940319656619243E-2</v>
      </c>
      <c r="AF136" s="1615">
        <v>2.7571647138750155E-2</v>
      </c>
      <c r="AG136" s="1615">
        <v>2.724525397992163E-2</v>
      </c>
    </row>
    <row r="137" spans="1:33">
      <c r="A137" s="1606"/>
      <c r="B137" s="1601" t="s">
        <v>2393</v>
      </c>
      <c r="C137" s="1611">
        <v>2.0905603025274791E-2</v>
      </c>
      <c r="D137" s="1612"/>
      <c r="E137" s="1602" t="s">
        <v>2394</v>
      </c>
      <c r="F137" s="1601">
        <v>8.26</v>
      </c>
      <c r="H137" s="1602" t="s">
        <v>2394</v>
      </c>
      <c r="I137" s="1615">
        <v>2.0905603025274791E-2</v>
      </c>
      <c r="J137" s="1615">
        <v>2.0905603025274791E-2</v>
      </c>
      <c r="K137" s="1615">
        <v>2.1254036710897047E-2</v>
      </c>
      <c r="L137" s="1615">
        <v>2.0905619287095313E-2</v>
      </c>
      <c r="M137" s="1615">
        <v>2.0905619287095313E-2</v>
      </c>
      <c r="N137" s="1615">
        <v>4.4473652812879363E-2</v>
      </c>
      <c r="O137" s="1615">
        <v>9.0877506631490509E-2</v>
      </c>
      <c r="P137" s="1615">
        <v>0.14106024754841281</v>
      </c>
      <c r="Q137" s="1615">
        <v>0.14944303487947233</v>
      </c>
      <c r="R137" s="1615">
        <v>0.14614064269470575</v>
      </c>
      <c r="S137" s="1615">
        <v>0.14562520464792153</v>
      </c>
      <c r="T137" s="1615">
        <v>0.14517070838421536</v>
      </c>
      <c r="U137" s="1615">
        <v>0.14779045898771692</v>
      </c>
      <c r="V137" s="1615">
        <v>0.15323550286820137</v>
      </c>
      <c r="W137" s="1615">
        <v>0.15757789054848045</v>
      </c>
      <c r="X137" s="1615">
        <v>0.16137236615288789</v>
      </c>
      <c r="Y137" s="1615">
        <v>0.16370322860960018</v>
      </c>
      <c r="Z137" s="1615">
        <v>0.16153072306272218</v>
      </c>
      <c r="AA137" s="1615">
        <v>0.16085681688610451</v>
      </c>
      <c r="AB137" s="1615">
        <v>0.15829452864992574</v>
      </c>
      <c r="AC137" s="1615">
        <v>0.15774445516286725</v>
      </c>
      <c r="AD137" s="1615">
        <v>0.15722310973855397</v>
      </c>
      <c r="AE137" s="1615">
        <v>0.15470313773566441</v>
      </c>
      <c r="AF137" s="1615">
        <v>0.15335459048402261</v>
      </c>
      <c r="AG137" s="1615">
        <v>0.15216072499710448</v>
      </c>
    </row>
    <row r="138" spans="1:33">
      <c r="A138" s="1606"/>
      <c r="B138" s="1601" t="s">
        <v>2395</v>
      </c>
      <c r="C138" s="1611">
        <v>2.3619723533862876E-3</v>
      </c>
      <c r="D138" s="1612"/>
      <c r="E138" s="1602" t="s">
        <v>2396</v>
      </c>
      <c r="F138" s="1601">
        <v>0</v>
      </c>
      <c r="H138" s="1602" t="s">
        <v>2396</v>
      </c>
      <c r="I138" s="1615">
        <v>2.3619723533862876E-3</v>
      </c>
      <c r="J138" s="1615">
        <v>2.3619723533862876E-3</v>
      </c>
      <c r="K138" s="1615">
        <v>2.3619723533862876E-3</v>
      </c>
      <c r="L138" s="1615">
        <v>2.3619723533862876E-3</v>
      </c>
      <c r="M138" s="1615">
        <v>2.3619723533862876E-3</v>
      </c>
      <c r="N138" s="1615">
        <v>2.3718619316299159E-3</v>
      </c>
      <c r="O138" s="1615">
        <v>2.3607568740660247E-3</v>
      </c>
      <c r="P138" s="1615">
        <v>2.3706673314233535E-3</v>
      </c>
      <c r="Q138" s="1615">
        <v>2.3194846237379234E-3</v>
      </c>
      <c r="R138" s="1615">
        <v>2.2682286525225631E-3</v>
      </c>
      <c r="S138" s="1615">
        <v>2.260228610065116E-3</v>
      </c>
      <c r="T138" s="1615">
        <v>2.2531744365731029E-3</v>
      </c>
      <c r="U138" s="1615">
        <v>2.2938352224555012E-3</v>
      </c>
      <c r="V138" s="1615">
        <v>2.3783469935564293E-3</v>
      </c>
      <c r="W138" s="1615">
        <v>2.4457445906598315E-3</v>
      </c>
      <c r="X138" s="1615">
        <v>2.5046381204029207E-3</v>
      </c>
      <c r="Y138" s="1615">
        <v>2.5408151134140204E-3</v>
      </c>
      <c r="Z138" s="1615">
        <v>2.5070959560439029E-3</v>
      </c>
      <c r="AA138" s="1615">
        <v>2.496636351715288E-3</v>
      </c>
      <c r="AB138" s="1615">
        <v>2.4568674312688151E-3</v>
      </c>
      <c r="AC138" s="1615">
        <v>2.448329816945156E-3</v>
      </c>
      <c r="AD138" s="1615">
        <v>2.4402380869001524E-3</v>
      </c>
      <c r="AE138" s="1615">
        <v>2.4011259508433165E-3</v>
      </c>
      <c r="AF138" s="1615">
        <v>2.3801953359298155E-3</v>
      </c>
      <c r="AG138" s="1615">
        <v>2.3616655152396016E-3</v>
      </c>
    </row>
    <row r="139" spans="1:33">
      <c r="A139" s="1606"/>
      <c r="B139" s="1601" t="s">
        <v>2397</v>
      </c>
      <c r="C139" s="1611">
        <v>4.1503612405199581E-3</v>
      </c>
      <c r="D139" s="1612"/>
      <c r="E139" s="1602" t="s">
        <v>2398</v>
      </c>
      <c r="F139" s="1601">
        <v>13.8</v>
      </c>
      <c r="H139" s="1602" t="s">
        <v>2398</v>
      </c>
      <c r="I139" s="1615">
        <v>4.1503612405199581E-3</v>
      </c>
      <c r="J139" s="1615">
        <v>9.7514272979675395E-3</v>
      </c>
      <c r="K139" s="1615">
        <v>1.4103538058186942E-2</v>
      </c>
      <c r="L139" s="1615">
        <v>2.3922209701225817E-2</v>
      </c>
      <c r="M139" s="1615">
        <v>2.3922209701225817E-2</v>
      </c>
      <c r="N139" s="1615">
        <v>2.4022371993244848E-2</v>
      </c>
      <c r="O139" s="1615">
        <v>2.3909899247572478E-2</v>
      </c>
      <c r="P139" s="1615">
        <v>3.3852089642798816E-2</v>
      </c>
      <c r="Q139" s="1615">
        <v>3.3121223027410787E-2</v>
      </c>
      <c r="R139" s="1615">
        <v>3.2389310240951062E-2</v>
      </c>
      <c r="S139" s="1615">
        <v>3.227507314373123E-2</v>
      </c>
      <c r="T139" s="1615">
        <v>3.2174342640449646E-2</v>
      </c>
      <c r="U139" s="1615">
        <v>3.2754960827739203E-2</v>
      </c>
      <c r="V139" s="1615">
        <v>3.8792846531920507E-2</v>
      </c>
      <c r="W139" s="1615">
        <v>4.8586139431750372E-2</v>
      </c>
      <c r="X139" s="1615">
        <v>6.3662564255840812E-2</v>
      </c>
      <c r="Y139" s="1615">
        <v>8.3764846532957876E-2</v>
      </c>
      <c r="Z139" s="1615">
        <v>9.0165318456541188E-2</v>
      </c>
      <c r="AA139" s="1615">
        <v>9.4776282677090248E-2</v>
      </c>
      <c r="AB139" s="1615">
        <v>9.7009496225810524E-2</v>
      </c>
      <c r="AC139" s="1615">
        <v>9.6672388226425834E-2</v>
      </c>
      <c r="AD139" s="1615">
        <v>9.6352885983337494E-2</v>
      </c>
      <c r="AE139" s="1615">
        <v>0.10208405199451238</v>
      </c>
      <c r="AF139" s="1615">
        <v>0.10357151871612444</v>
      </c>
      <c r="AG139" s="1615">
        <v>0.10512395221016042</v>
      </c>
    </row>
    <row r="140" spans="1:33">
      <c r="A140" s="1606" t="s">
        <v>1001</v>
      </c>
      <c r="B140" s="1601" t="s">
        <v>2399</v>
      </c>
      <c r="C140" s="1609">
        <v>0.50839956434085687</v>
      </c>
      <c r="D140" s="1610"/>
      <c r="E140" s="1602" t="s">
        <v>2400</v>
      </c>
      <c r="F140" s="1601">
        <v>4.3899999999999997</v>
      </c>
      <c r="H140" s="1602" t="s">
        <v>2400</v>
      </c>
      <c r="I140" s="1615">
        <v>0.53166697880248048</v>
      </c>
      <c r="J140" s="1615">
        <v>0.5560455047815106</v>
      </c>
      <c r="K140" s="1615">
        <v>0.5808734926155098</v>
      </c>
      <c r="L140" s="1615">
        <v>0.60634769963416302</v>
      </c>
      <c r="M140" s="1615">
        <v>0.63225329875333303</v>
      </c>
      <c r="N140" s="1615">
        <v>0.65940351990839863</v>
      </c>
      <c r="O140" s="1615">
        <v>0.68762994698159752</v>
      </c>
      <c r="P140" s="1615">
        <v>0.71746208460144723</v>
      </c>
      <c r="Q140" s="1615">
        <v>0.7480446234196686</v>
      </c>
      <c r="R140" s="1615">
        <v>0.78059354107390522</v>
      </c>
      <c r="S140" s="1615">
        <v>0.81437294597033738</v>
      </c>
      <c r="T140" s="1615">
        <v>0.85036008645276651</v>
      </c>
      <c r="U140" s="1615">
        <v>0.88849873633017318</v>
      </c>
      <c r="V140" s="1615">
        <v>0.92910224008172571</v>
      </c>
      <c r="W140" s="1615">
        <v>0.97116362759246555</v>
      </c>
      <c r="X140" s="1615">
        <v>1.0139462988787964</v>
      </c>
      <c r="Y140" s="1615">
        <v>1.0563627143997931</v>
      </c>
      <c r="Z140" s="1615">
        <v>1.0997475310801925</v>
      </c>
      <c r="AA140" s="1615">
        <v>1.1462756496251334</v>
      </c>
      <c r="AB140" s="1615">
        <v>1.1962807785643803</v>
      </c>
      <c r="AC140" s="1615">
        <v>1.2483764139093019</v>
      </c>
      <c r="AD140" s="1615">
        <v>1.3017282767105438</v>
      </c>
      <c r="AE140" s="1615">
        <v>1.3589171050912681</v>
      </c>
      <c r="AF140" s="1615">
        <v>1.4211283301623463</v>
      </c>
      <c r="AG140" s="1615">
        <v>1.4878048291569033</v>
      </c>
    </row>
    <row r="141" spans="1:33">
      <c r="A141" s="1606" t="s">
        <v>1001</v>
      </c>
      <c r="B141" s="1601" t="s">
        <v>2401</v>
      </c>
      <c r="C141" s="1609">
        <v>2.0999707263587766</v>
      </c>
      <c r="D141" s="1610"/>
      <c r="E141" s="1602" t="s">
        <v>2402</v>
      </c>
      <c r="F141" s="1601">
        <v>4.4800000000000004</v>
      </c>
      <c r="H141" s="1602" t="s">
        <v>2402</v>
      </c>
      <c r="I141" s="1615">
        <v>2.2049944623254314</v>
      </c>
      <c r="J141" s="1615">
        <v>2.3047638467622704</v>
      </c>
      <c r="K141" s="1615">
        <v>2.4134242430817241</v>
      </c>
      <c r="L141" s="1615">
        <v>2.5160382150490728</v>
      </c>
      <c r="M141" s="1615">
        <v>2.6342265941627883</v>
      </c>
      <c r="N141" s="1615">
        <v>2.7429990786889582</v>
      </c>
      <c r="O141" s="1615">
        <v>2.8495810508904964</v>
      </c>
      <c r="P141" s="1615">
        <v>2.9517071861733606</v>
      </c>
      <c r="Q141" s="1615">
        <v>3.084120770545097</v>
      </c>
      <c r="R141" s="1615">
        <v>3.2148751547331273</v>
      </c>
      <c r="S141" s="1615">
        <v>3.3514719851825832</v>
      </c>
      <c r="T141" s="1615">
        <v>3.4947608184370793</v>
      </c>
      <c r="U141" s="1615">
        <v>3.6420510078909287</v>
      </c>
      <c r="V141" s="1615">
        <v>3.7930103801169999</v>
      </c>
      <c r="W141" s="1615">
        <v>3.9585563181572061</v>
      </c>
      <c r="X141" s="1615">
        <v>4.1332553255901203</v>
      </c>
      <c r="Y141" s="1615">
        <v>4.329142695235813</v>
      </c>
      <c r="Z141" s="1615">
        <v>4.5467686985253177</v>
      </c>
      <c r="AA141" s="1615">
        <v>4.7557200008347476</v>
      </c>
      <c r="AB141" s="1615">
        <v>4.9681152117920284</v>
      </c>
      <c r="AC141" s="1615">
        <v>5.1966634158800975</v>
      </c>
      <c r="AD141" s="1615">
        <v>5.4355852130886007</v>
      </c>
      <c r="AE141" s="1615">
        <v>5.688910661944595</v>
      </c>
      <c r="AF141" s="1615">
        <v>5.9758138044477853</v>
      </c>
      <c r="AG141" s="1615">
        <v>6.2877393334123504</v>
      </c>
    </row>
    <row r="142" spans="1:33">
      <c r="A142" s="1606"/>
      <c r="B142" s="1606" t="s">
        <v>2403</v>
      </c>
      <c r="C142" s="1613">
        <v>66.922977805932447</v>
      </c>
      <c r="D142" s="1614"/>
      <c r="E142" s="1602" t="s">
        <v>2404</v>
      </c>
      <c r="F142" s="1606">
        <v>3.91</v>
      </c>
      <c r="G142" s="1606"/>
      <c r="H142" s="1602" t="s">
        <v>2404</v>
      </c>
      <c r="I142" s="1615">
        <v>69.566970813089227</v>
      </c>
      <c r="J142" s="1615">
        <v>72.361545597621827</v>
      </c>
      <c r="K142" s="1615">
        <v>75.239581350676048</v>
      </c>
      <c r="L142" s="1615">
        <v>78.204020855892693</v>
      </c>
      <c r="M142" s="1615">
        <v>81.24177784201899</v>
      </c>
      <c r="N142" s="1615">
        <v>84.401351824072947</v>
      </c>
      <c r="O142" s="1615">
        <v>87.654601930131847</v>
      </c>
      <c r="P142" s="1615">
        <v>91.038244873838792</v>
      </c>
      <c r="Q142" s="1615">
        <v>94.526557302669673</v>
      </c>
      <c r="R142" s="1615">
        <v>98.203734908300831</v>
      </c>
      <c r="S142" s="1615">
        <v>102.00520148660115</v>
      </c>
      <c r="T142" s="1615">
        <v>106.00370337967443</v>
      </c>
      <c r="U142" s="1615">
        <v>110.18724553725667</v>
      </c>
      <c r="V142" s="1615">
        <v>114.57346922035823</v>
      </c>
      <c r="W142" s="1615">
        <v>119.10611023618482</v>
      </c>
      <c r="X142" s="1615">
        <v>123.74136272824643</v>
      </c>
      <c r="Y142" s="1615">
        <v>128.43314023745063</v>
      </c>
      <c r="Z142" s="1615">
        <v>133.29099533379198</v>
      </c>
      <c r="AA142" s="1615">
        <v>138.41443461243227</v>
      </c>
      <c r="AB142" s="1615">
        <v>143.8109365891018</v>
      </c>
      <c r="AC142" s="1615">
        <v>149.40216199274951</v>
      </c>
      <c r="AD142" s="1615">
        <v>155.13786039381316</v>
      </c>
      <c r="AE142" s="1615">
        <v>161.20064797800339</v>
      </c>
      <c r="AF142" s="1615">
        <v>167.7015477096603</v>
      </c>
      <c r="AG142" s="1615">
        <v>174.60330490565138</v>
      </c>
    </row>
    <row r="143" spans="1:33">
      <c r="A143" s="1606" t="s">
        <v>839</v>
      </c>
      <c r="B143" s="1606" t="s">
        <v>2405</v>
      </c>
      <c r="C143" s="1607">
        <v>10.899931367385543</v>
      </c>
      <c r="D143" s="1608"/>
      <c r="E143" s="1602" t="s">
        <v>2406</v>
      </c>
      <c r="F143" s="1606">
        <v>3.91</v>
      </c>
      <c r="G143" s="1606"/>
      <c r="H143" s="1602" t="s">
        <v>2406</v>
      </c>
      <c r="I143" s="1615">
        <v>11.319720424137662</v>
      </c>
      <c r="J143" s="1615">
        <v>11.762955397065197</v>
      </c>
      <c r="K143" s="1615">
        <v>12.217805356358912</v>
      </c>
      <c r="L143" s="1615">
        <v>12.687616625726983</v>
      </c>
      <c r="M143" s="1615">
        <v>13.167449598895352</v>
      </c>
      <c r="N143" s="1615">
        <v>13.669656126597221</v>
      </c>
      <c r="O143" s="1615">
        <v>14.188105174510675</v>
      </c>
      <c r="P143" s="1615">
        <v>14.729977287335586</v>
      </c>
      <c r="Q143" s="1615">
        <v>15.286549479137561</v>
      </c>
      <c r="R143" s="1615">
        <v>15.876946593120811</v>
      </c>
      <c r="S143" s="1615">
        <v>16.488526575887828</v>
      </c>
      <c r="T143" s="1615">
        <v>17.134662466817147</v>
      </c>
      <c r="U143" s="1615">
        <v>17.813503524427507</v>
      </c>
      <c r="V143" s="1615">
        <v>18.528501928890979</v>
      </c>
      <c r="W143" s="1615">
        <v>19.267992969374948</v>
      </c>
      <c r="X143" s="1615">
        <v>20.024280961415883</v>
      </c>
      <c r="Y143" s="1615">
        <v>20.787246114607754</v>
      </c>
      <c r="Z143" s="1615">
        <v>21.576517062333295</v>
      </c>
      <c r="AA143" s="1615">
        <v>22.415261010097375</v>
      </c>
      <c r="AB143" s="1615">
        <v>23.303824371798644</v>
      </c>
      <c r="AC143" s="1615">
        <v>24.226166436610065</v>
      </c>
      <c r="AD143" s="1615">
        <v>25.173579127446576</v>
      </c>
      <c r="AE143" s="1615">
        <v>26.179918126645379</v>
      </c>
      <c r="AF143" s="1615">
        <v>27.263557297743489</v>
      </c>
      <c r="AG143" s="1615">
        <v>28.41895959246456</v>
      </c>
    </row>
    <row r="144" spans="1:33">
      <c r="A144" s="1606"/>
      <c r="B144" s="1601" t="s">
        <v>2407</v>
      </c>
      <c r="C144" s="1609">
        <v>9.9072626161334156</v>
      </c>
      <c r="D144" s="1610"/>
      <c r="E144" s="1602" t="s">
        <v>2408</v>
      </c>
      <c r="F144" s="1601">
        <v>3.78</v>
      </c>
      <c r="H144" s="1602" t="s">
        <v>2408</v>
      </c>
      <c r="I144" s="1615">
        <v>10.280023372065436</v>
      </c>
      <c r="J144" s="1615">
        <v>10.670026898754855</v>
      </c>
      <c r="K144" s="1615">
        <v>11.067389370491385</v>
      </c>
      <c r="L144" s="1615">
        <v>11.476362609899153</v>
      </c>
      <c r="M144" s="1615">
        <v>11.892346325420167</v>
      </c>
      <c r="N144" s="1615">
        <v>12.327356461657711</v>
      </c>
      <c r="O144" s="1615">
        <v>12.776417402842977</v>
      </c>
      <c r="P144" s="1615">
        <v>13.246308482084736</v>
      </c>
      <c r="Q144" s="1615">
        <v>13.727917765876372</v>
      </c>
      <c r="R144" s="1615">
        <v>14.238568850931442</v>
      </c>
      <c r="S144" s="1615">
        <v>14.767360820917332</v>
      </c>
      <c r="T144" s="1615">
        <v>15.325759035638681</v>
      </c>
      <c r="U144" s="1615">
        <v>15.912413765763894</v>
      </c>
      <c r="V144" s="1615">
        <v>16.530515566081228</v>
      </c>
      <c r="W144" s="1615">
        <v>17.169519175803664</v>
      </c>
      <c r="X144" s="1615">
        <v>17.823008245153925</v>
      </c>
      <c r="Y144" s="1615">
        <v>18.481390169729909</v>
      </c>
      <c r="Z144" s="1615">
        <v>19.160636702637994</v>
      </c>
      <c r="AA144" s="1615">
        <v>19.882916063780634</v>
      </c>
      <c r="AB144" s="1615">
        <v>20.648587278480761</v>
      </c>
      <c r="AC144" s="1615">
        <v>21.443330754242208</v>
      </c>
      <c r="AD144" s="1615">
        <v>22.260171552663554</v>
      </c>
      <c r="AE144" s="1615">
        <v>23.1276281778993</v>
      </c>
      <c r="AF144" s="1615">
        <v>24.05904714750784</v>
      </c>
      <c r="AG144" s="1615">
        <v>25.049437823334998</v>
      </c>
    </row>
    <row r="145" spans="1:33">
      <c r="A145" s="1606"/>
      <c r="B145" s="1601" t="s">
        <v>2409</v>
      </c>
      <c r="C145" s="1609">
        <v>0.99266875125212717</v>
      </c>
      <c r="D145" s="1610"/>
      <c r="E145" s="1602" t="s">
        <v>2410</v>
      </c>
      <c r="F145" s="1601">
        <v>5.01</v>
      </c>
      <c r="H145" s="1602" t="s">
        <v>2410</v>
      </c>
      <c r="I145" s="1615">
        <v>1.039697426011448</v>
      </c>
      <c r="J145" s="1615">
        <v>1.0929278548283823</v>
      </c>
      <c r="K145" s="1615">
        <v>1.1504103953530811</v>
      </c>
      <c r="L145" s="1615">
        <v>1.2112498491113288</v>
      </c>
      <c r="M145" s="1615">
        <v>1.2751057299066288</v>
      </c>
      <c r="N145" s="1615">
        <v>1.3423101774013577</v>
      </c>
      <c r="O145" s="1615">
        <v>1.4116901635407018</v>
      </c>
      <c r="P145" s="1615">
        <v>1.4836637748386607</v>
      </c>
      <c r="Q145" s="1615">
        <v>1.5586199524072848</v>
      </c>
      <c r="R145" s="1615">
        <v>1.6383605077923939</v>
      </c>
      <c r="S145" s="1615">
        <v>1.7211403108091126</v>
      </c>
      <c r="T145" s="1615">
        <v>1.8088788804332288</v>
      </c>
      <c r="U145" s="1615">
        <v>1.9010738192111494</v>
      </c>
      <c r="V145" s="1615">
        <v>1.9979810571454377</v>
      </c>
      <c r="W145" s="1615">
        <v>2.0984735103766821</v>
      </c>
      <c r="X145" s="1615">
        <v>2.2012777276500359</v>
      </c>
      <c r="Y145" s="1615">
        <v>2.3058582312129614</v>
      </c>
      <c r="Z145" s="1615">
        <v>2.4158661157076695</v>
      </c>
      <c r="AA145" s="1615">
        <v>2.5323446846103992</v>
      </c>
      <c r="AB145" s="1615">
        <v>2.6552343074651725</v>
      </c>
      <c r="AC145" s="1615">
        <v>2.7828262816417961</v>
      </c>
      <c r="AD145" s="1615">
        <v>2.9133964907764294</v>
      </c>
      <c r="AE145" s="1615">
        <v>3.0522751880952508</v>
      </c>
      <c r="AF145" s="1615">
        <v>3.2044952040007488</v>
      </c>
      <c r="AG145" s="1615">
        <v>3.3695074800355633</v>
      </c>
    </row>
    <row r="146" spans="1:33">
      <c r="A146" s="1606"/>
      <c r="B146" s="1606" t="s">
        <v>2411</v>
      </c>
      <c r="C146" s="1607">
        <v>9.5355213317346443</v>
      </c>
      <c r="D146" s="1608"/>
      <c r="E146" s="1602" t="s">
        <v>2412</v>
      </c>
      <c r="F146" s="1606">
        <v>4.32</v>
      </c>
      <c r="G146" s="1606"/>
      <c r="H146" s="1602" t="s">
        <v>2412</v>
      </c>
      <c r="I146" s="1615">
        <v>9.9596708560915328</v>
      </c>
      <c r="J146" s="1615">
        <v>10.41127221171929</v>
      </c>
      <c r="K146" s="1615">
        <v>10.878519697309038</v>
      </c>
      <c r="L146" s="1615">
        <v>11.35700050767548</v>
      </c>
      <c r="M146" s="1615">
        <v>11.850223682723318</v>
      </c>
      <c r="N146" s="1615">
        <v>12.360126957567219</v>
      </c>
      <c r="O146" s="1615">
        <v>12.881118668955637</v>
      </c>
      <c r="P146" s="1615">
        <v>13.419227401351257</v>
      </c>
      <c r="Q146" s="1615">
        <v>13.98202979856393</v>
      </c>
      <c r="R146" s="1615">
        <v>14.578643010068653</v>
      </c>
      <c r="S146" s="1615">
        <v>15.196675423194492</v>
      </c>
      <c r="T146" s="1615">
        <v>15.850846710136747</v>
      </c>
      <c r="U146" s="1615">
        <v>16.537315179459348</v>
      </c>
      <c r="V146" s="1615">
        <v>17.258772091478441</v>
      </c>
      <c r="W146" s="1615">
        <v>18.007871835336971</v>
      </c>
      <c r="X146" s="1615">
        <v>18.774629010213783</v>
      </c>
      <c r="Y146" s="1615">
        <v>19.554827493362225</v>
      </c>
      <c r="Z146" s="1615">
        <v>20.37315791430445</v>
      </c>
      <c r="AA146" s="1615">
        <v>21.235614808290698</v>
      </c>
      <c r="AB146" s="1615">
        <v>22.144584064544773</v>
      </c>
      <c r="AC146" s="1615">
        <v>23.089205586986058</v>
      </c>
      <c r="AD146" s="1615">
        <v>24.057220531220448</v>
      </c>
      <c r="AE146" s="1615">
        <v>25.088288945968024</v>
      </c>
      <c r="AF146" s="1615">
        <v>26.21600753408929</v>
      </c>
      <c r="AG146" s="1615">
        <v>27.430752459188849</v>
      </c>
    </row>
    <row r="147" spans="1:33">
      <c r="A147" s="1606" t="s">
        <v>1882</v>
      </c>
      <c r="B147" s="1601" t="s">
        <v>2413</v>
      </c>
      <c r="C147" s="1609">
        <v>5.5616903034359542</v>
      </c>
      <c r="D147" s="1610"/>
      <c r="E147" s="1602" t="s">
        <v>2414</v>
      </c>
      <c r="F147" s="1601">
        <v>4.1100000000000003</v>
      </c>
      <c r="H147" s="1602" t="s">
        <v>2414</v>
      </c>
      <c r="I147" s="1615">
        <v>5.7963825108603446</v>
      </c>
      <c r="J147" s="1615">
        <v>6.0446473701830046</v>
      </c>
      <c r="K147" s="1615">
        <v>6.3009222847366537</v>
      </c>
      <c r="L147" s="1615">
        <v>6.5626878001337534</v>
      </c>
      <c r="M147" s="1615">
        <v>6.8322502015242472</v>
      </c>
      <c r="N147" s="1615">
        <v>7.109926514214596</v>
      </c>
      <c r="O147" s="1615">
        <v>7.392837600141708</v>
      </c>
      <c r="P147" s="1615">
        <v>7.6841671514504917</v>
      </c>
      <c r="Q147" s="1615">
        <v>7.989259324031682</v>
      </c>
      <c r="R147" s="1615">
        <v>8.3120973040564774</v>
      </c>
      <c r="S147" s="1615">
        <v>8.6464514181121483</v>
      </c>
      <c r="T147" s="1615">
        <v>8.9998405340218106</v>
      </c>
      <c r="U147" s="1615">
        <v>9.3702289711994791</v>
      </c>
      <c r="V147" s="1615">
        <v>9.7589716605276315</v>
      </c>
      <c r="W147" s="1615">
        <v>10.162807666811924</v>
      </c>
      <c r="X147" s="1615">
        <v>10.576555892543171</v>
      </c>
      <c r="Y147" s="1615">
        <v>10.998518166432072</v>
      </c>
      <c r="Z147" s="1615">
        <v>11.440889565604138</v>
      </c>
      <c r="AA147" s="1615">
        <v>11.905710026875504</v>
      </c>
      <c r="AB147" s="1615">
        <v>12.394629914839173</v>
      </c>
      <c r="AC147" s="1615">
        <v>12.902760162827921</v>
      </c>
      <c r="AD147" s="1615">
        <v>13.423941354085027</v>
      </c>
      <c r="AE147" s="1615">
        <v>13.977920565885409</v>
      </c>
      <c r="AF147" s="1615">
        <v>14.581920491457884</v>
      </c>
      <c r="AG147" s="1615">
        <v>15.231195083260539</v>
      </c>
    </row>
    <row r="148" spans="1:33">
      <c r="A148" s="1606" t="s">
        <v>839</v>
      </c>
      <c r="B148" s="1601" t="s">
        <v>2415</v>
      </c>
      <c r="C148" s="1609">
        <v>3.9738310282986897</v>
      </c>
      <c r="D148" s="1610"/>
      <c r="E148" s="1602" t="s">
        <v>2416</v>
      </c>
      <c r="F148" s="1601">
        <v>4.59</v>
      </c>
      <c r="H148" s="1602" t="s">
        <v>2416</v>
      </c>
      <c r="I148" s="1615">
        <v>4.1632913702348864</v>
      </c>
      <c r="J148" s="1615">
        <v>4.3666306840485278</v>
      </c>
      <c r="K148" s="1615">
        <v>4.5776044455483333</v>
      </c>
      <c r="L148" s="1615">
        <v>4.7943219728139281</v>
      </c>
      <c r="M148" s="1615">
        <v>5.0179818871676707</v>
      </c>
      <c r="N148" s="1615">
        <v>5.2502090709239031</v>
      </c>
      <c r="O148" s="1615">
        <v>5.4882903016630893</v>
      </c>
      <c r="P148" s="1615">
        <v>5.7350712750773694</v>
      </c>
      <c r="Q148" s="1615">
        <v>5.9927824378942463</v>
      </c>
      <c r="R148" s="1615">
        <v>6.2665567107870075</v>
      </c>
      <c r="S148" s="1615">
        <v>6.5502374665276246</v>
      </c>
      <c r="T148" s="1615">
        <v>6.8510309212280402</v>
      </c>
      <c r="U148" s="1615">
        <v>7.167110083809817</v>
      </c>
      <c r="V148" s="1615">
        <v>7.4998216681204362</v>
      </c>
      <c r="W148" s="1615">
        <v>7.8450909582556978</v>
      </c>
      <c r="X148" s="1615">
        <v>8.1980965161043287</v>
      </c>
      <c r="Y148" s="1615">
        <v>8.5563369376650549</v>
      </c>
      <c r="Z148" s="1615">
        <v>8.9322938263691185</v>
      </c>
      <c r="AA148" s="1615">
        <v>9.3299238183437669</v>
      </c>
      <c r="AB148" s="1615">
        <v>9.7499756484932387</v>
      </c>
      <c r="AC148" s="1615">
        <v>10.186452808349335</v>
      </c>
      <c r="AD148" s="1615">
        <v>10.633281560787578</v>
      </c>
      <c r="AE148" s="1615">
        <v>11.110365004575435</v>
      </c>
      <c r="AF148" s="1615">
        <v>11.634096500526116</v>
      </c>
      <c r="AG148" s="1615">
        <v>12.199560126837689</v>
      </c>
    </row>
    <row r="149" spans="1:33">
      <c r="A149" s="1606" t="s">
        <v>839</v>
      </c>
      <c r="B149" s="1601" t="s">
        <v>2417</v>
      </c>
      <c r="C149" s="1607">
        <v>9.2716218832755199</v>
      </c>
      <c r="D149" s="1608"/>
      <c r="E149" s="1602" t="s">
        <v>2418</v>
      </c>
      <c r="F149" s="1601">
        <v>4.1500000000000004</v>
      </c>
      <c r="H149" s="1602" t="s">
        <v>2418</v>
      </c>
      <c r="I149" s="1615">
        <v>9.660575692900812</v>
      </c>
      <c r="J149" s="1615">
        <v>10.079438933793606</v>
      </c>
      <c r="K149" s="1615">
        <v>10.516170943355949</v>
      </c>
      <c r="L149" s="1615">
        <v>10.96653648017611</v>
      </c>
      <c r="M149" s="1615">
        <v>11.430399040214599</v>
      </c>
      <c r="N149" s="1615">
        <v>11.910681547086337</v>
      </c>
      <c r="O149" s="1615">
        <v>12.404188726308313</v>
      </c>
      <c r="P149" s="1615">
        <v>12.917101930141161</v>
      </c>
      <c r="Q149" s="1615">
        <v>13.449105690235955</v>
      </c>
      <c r="R149" s="1615">
        <v>14.008870918169265</v>
      </c>
      <c r="S149" s="1615">
        <v>14.58703102983303</v>
      </c>
      <c r="T149" s="1615">
        <v>15.195777008770023</v>
      </c>
      <c r="U149" s="1615">
        <v>15.832708002092616</v>
      </c>
      <c r="V149" s="1615">
        <v>16.501038272276947</v>
      </c>
      <c r="W149" s="1615">
        <v>17.192827800803887</v>
      </c>
      <c r="X149" s="1615">
        <v>17.899195130999914</v>
      </c>
      <c r="Y149" s="1615">
        <v>18.613838395800215</v>
      </c>
      <c r="Z149" s="1615">
        <v>19.353626789002899</v>
      </c>
      <c r="AA149" s="1615">
        <v>20.129649162361549</v>
      </c>
      <c r="AB149" s="1615">
        <v>20.945846046947825</v>
      </c>
      <c r="AC149" s="1615">
        <v>21.791744039553809</v>
      </c>
      <c r="AD149" s="1615">
        <v>22.657290321060849</v>
      </c>
      <c r="AE149" s="1615">
        <v>23.573324568741338</v>
      </c>
      <c r="AF149" s="1615">
        <v>24.56140046804013</v>
      </c>
      <c r="AG149" s="1615">
        <v>25.613758232493776</v>
      </c>
    </row>
    <row r="150" spans="1:33">
      <c r="A150" s="1606" t="s">
        <v>839</v>
      </c>
      <c r="B150" s="1601" t="s">
        <v>2419</v>
      </c>
      <c r="C150" s="1607">
        <v>10.258211268898991</v>
      </c>
      <c r="D150" s="1608"/>
      <c r="E150" s="1602" t="s">
        <v>2420</v>
      </c>
      <c r="F150" s="1601">
        <v>4.3099999999999996</v>
      </c>
      <c r="H150" s="1602" t="s">
        <v>2420</v>
      </c>
      <c r="I150" s="1615">
        <v>10.718312560731647</v>
      </c>
      <c r="J150" s="1615">
        <v>11.207603529129047</v>
      </c>
      <c r="K150" s="1615">
        <v>11.708897219779931</v>
      </c>
      <c r="L150" s="1615">
        <v>12.226828579399678</v>
      </c>
      <c r="M150" s="1615">
        <v>12.753523674114478</v>
      </c>
      <c r="N150" s="1615">
        <v>13.307013848047371</v>
      </c>
      <c r="O150" s="1615">
        <v>13.881504249895272</v>
      </c>
      <c r="P150" s="1615">
        <v>14.485807774405963</v>
      </c>
      <c r="Q150" s="1615">
        <v>15.100411626658458</v>
      </c>
      <c r="R150" s="1615">
        <v>15.752809810576609</v>
      </c>
      <c r="S150" s="1615">
        <v>16.427786205340198</v>
      </c>
      <c r="T150" s="1615">
        <v>17.141836360541514</v>
      </c>
      <c r="U150" s="1615">
        <v>17.893300182914935</v>
      </c>
      <c r="V150" s="1615">
        <v>18.686671219725199</v>
      </c>
      <c r="W150" s="1615">
        <v>19.503502992081827</v>
      </c>
      <c r="X150" s="1615">
        <v>20.334664275592388</v>
      </c>
      <c r="Y150" s="1615">
        <v>21.162996824858645</v>
      </c>
      <c r="Z150" s="1615">
        <v>22.013135570310041</v>
      </c>
      <c r="AA150" s="1615">
        <v>22.924567435463157</v>
      </c>
      <c r="AB150" s="1615">
        <v>23.896454471889616</v>
      </c>
      <c r="AC150" s="1615">
        <v>24.902877548427721</v>
      </c>
      <c r="AD150" s="1615">
        <v>25.933607650157146</v>
      </c>
      <c r="AE150" s="1615">
        <v>27.029561909452788</v>
      </c>
      <c r="AF150" s="1615">
        <v>28.204618054342433</v>
      </c>
      <c r="AG150" s="1615">
        <v>29.451572423142967</v>
      </c>
    </row>
    <row r="151" spans="1:33">
      <c r="A151" s="1606" t="s">
        <v>839</v>
      </c>
      <c r="B151" s="1601" t="s">
        <v>2421</v>
      </c>
      <c r="C151" s="1607">
        <v>18.110368185234201</v>
      </c>
      <c r="D151" s="1608"/>
      <c r="E151" s="1602" t="s">
        <v>2422</v>
      </c>
      <c r="F151" s="1601">
        <v>3.21</v>
      </c>
      <c r="H151" s="1602" t="s">
        <v>2422</v>
      </c>
      <c r="I151" s="1615">
        <v>18.696003161240121</v>
      </c>
      <c r="J151" s="1615">
        <v>19.307082024565254</v>
      </c>
      <c r="K151" s="1615">
        <v>19.93398297790289</v>
      </c>
      <c r="L151" s="1615">
        <v>20.582335774259178</v>
      </c>
      <c r="M151" s="1615">
        <v>21.24455184546019</v>
      </c>
      <c r="N151" s="1615">
        <v>21.932322966905115</v>
      </c>
      <c r="O151" s="1615">
        <v>22.641614291654829</v>
      </c>
      <c r="P151" s="1615">
        <v>23.375949767976067</v>
      </c>
      <c r="Q151" s="1615">
        <v>24.124821694742948</v>
      </c>
      <c r="R151" s="1615">
        <v>24.902630071003156</v>
      </c>
      <c r="S151" s="1615">
        <v>25.703249627785905</v>
      </c>
      <c r="T151" s="1615">
        <v>26.531228408045774</v>
      </c>
      <c r="U151" s="1615">
        <v>27.386940117890475</v>
      </c>
      <c r="V151" s="1615">
        <v>28.271784766159396</v>
      </c>
      <c r="W151" s="1615">
        <v>29.180553015682822</v>
      </c>
      <c r="X151" s="1615">
        <v>30.113163490064043</v>
      </c>
      <c r="Y151" s="1615">
        <v>31.06522126696591</v>
      </c>
      <c r="Z151" s="1615">
        <v>32.042968041122393</v>
      </c>
      <c r="AA151" s="1615">
        <v>33.059531202226999</v>
      </c>
      <c r="AB151" s="1615">
        <v>34.11290704492356</v>
      </c>
      <c r="AC151" s="1615">
        <v>35.196605875926693</v>
      </c>
      <c r="AD151" s="1615">
        <v>36.310613648505651</v>
      </c>
      <c r="AE151" s="1615">
        <v>37.463185146936517</v>
      </c>
      <c r="AF151" s="1615">
        <v>38.655151308756594</v>
      </c>
      <c r="AG151" s="1615">
        <v>39.887245601571898</v>
      </c>
    </row>
    <row r="152" spans="1:33">
      <c r="A152" s="1606" t="s">
        <v>839</v>
      </c>
      <c r="B152" s="1601" t="s">
        <v>2423</v>
      </c>
      <c r="C152" s="1607">
        <v>8.8473237694035589</v>
      </c>
      <c r="D152" s="1608"/>
      <c r="E152" s="1602" t="s">
        <v>2424</v>
      </c>
      <c r="F152" s="1601">
        <v>4.04</v>
      </c>
      <c r="H152" s="1602" t="s">
        <v>2424</v>
      </c>
      <c r="I152" s="1615">
        <v>9.2126916991086176</v>
      </c>
      <c r="J152" s="1615">
        <v>9.5932127170485995</v>
      </c>
      <c r="K152" s="1615">
        <v>9.9842128809700661</v>
      </c>
      <c r="L152" s="1615">
        <v>10.38369122255056</v>
      </c>
      <c r="M152" s="1615">
        <v>10.795622637040363</v>
      </c>
      <c r="N152" s="1615">
        <v>11.22153154131688</v>
      </c>
      <c r="O152" s="1615">
        <v>11.65807156133719</v>
      </c>
      <c r="P152" s="1615">
        <v>12.110159918414283</v>
      </c>
      <c r="Q152" s="1615">
        <v>12.583667171224279</v>
      </c>
      <c r="R152" s="1615">
        <v>13.083842773946101</v>
      </c>
      <c r="S152" s="1615">
        <v>13.60197603163714</v>
      </c>
      <c r="T152" s="1615">
        <v>14.149414760982438</v>
      </c>
      <c r="U152" s="1615">
        <v>14.72354141432406</v>
      </c>
      <c r="V152" s="1615">
        <v>15.326750182527503</v>
      </c>
      <c r="W152" s="1615">
        <v>15.953369036989956</v>
      </c>
      <c r="X152" s="1615">
        <v>16.595460233990728</v>
      </c>
      <c r="Y152" s="1615">
        <v>17.249089030766687</v>
      </c>
      <c r="Z152" s="1615">
        <v>17.931704480070248</v>
      </c>
      <c r="AA152" s="1615">
        <v>18.649976834723944</v>
      </c>
      <c r="AB152" s="1615">
        <v>19.407445643866257</v>
      </c>
      <c r="AC152" s="1615">
        <v>20.195737271028818</v>
      </c>
      <c r="AD152" s="1615">
        <v>21.005747901495244</v>
      </c>
      <c r="AE152" s="1615">
        <v>21.866584456246418</v>
      </c>
      <c r="AF152" s="1615">
        <v>22.801031076399653</v>
      </c>
      <c r="AG152" s="1615">
        <v>23.801198304565926</v>
      </c>
    </row>
    <row r="153" spans="1:33">
      <c r="A153" s="1606"/>
      <c r="C153" s="1607"/>
      <c r="D153" s="1608"/>
      <c r="E153" s="1602"/>
      <c r="H153" s="1602"/>
      <c r="I153" s="1615"/>
      <c r="J153" s="1615"/>
      <c r="K153" s="1615"/>
      <c r="L153" s="1615"/>
      <c r="M153" s="1615"/>
      <c r="N153" s="1615"/>
      <c r="O153" s="1615"/>
      <c r="P153" s="1615"/>
      <c r="Q153" s="1615"/>
      <c r="R153" s="1615"/>
      <c r="S153" s="1615"/>
      <c r="T153" s="1615"/>
      <c r="U153" s="1615"/>
      <c r="V153" s="1615"/>
      <c r="W153" s="1615"/>
      <c r="X153" s="1615"/>
      <c r="Y153" s="1615"/>
      <c r="Z153" s="1615"/>
      <c r="AA153" s="1615"/>
      <c r="AB153" s="1615"/>
      <c r="AC153" s="1615"/>
      <c r="AD153" s="1615"/>
      <c r="AE153" s="1615"/>
      <c r="AF153" s="1615"/>
      <c r="AG153" s="1615"/>
    </row>
    <row r="154" spans="1:33">
      <c r="H154" s="1603" t="s">
        <v>2425</v>
      </c>
    </row>
    <row r="155" spans="1:33">
      <c r="H155" s="1601">
        <v>2005</v>
      </c>
      <c r="I155" s="1601">
        <v>2006</v>
      </c>
      <c r="J155" s="1601">
        <v>2007</v>
      </c>
      <c r="K155" s="1601">
        <v>2008</v>
      </c>
      <c r="L155" s="1601">
        <v>2009</v>
      </c>
      <c r="M155" s="1601">
        <v>2010</v>
      </c>
      <c r="N155" s="1601">
        <v>2011</v>
      </c>
      <c r="O155" s="1601">
        <v>2012</v>
      </c>
      <c r="P155" s="1601">
        <v>2013</v>
      </c>
      <c r="Q155" s="1601">
        <v>2014</v>
      </c>
      <c r="R155" s="1601">
        <v>2015</v>
      </c>
      <c r="S155" s="1601">
        <v>2016</v>
      </c>
      <c r="T155" s="1601">
        <v>2017</v>
      </c>
      <c r="U155" s="1601">
        <v>2018</v>
      </c>
      <c r="V155" s="1601">
        <v>2019</v>
      </c>
      <c r="W155" s="1601">
        <v>2020</v>
      </c>
      <c r="X155" s="1601">
        <v>2021</v>
      </c>
      <c r="Y155" s="1601">
        <v>2022</v>
      </c>
      <c r="Z155" s="1601">
        <v>2023</v>
      </c>
      <c r="AA155" s="1601">
        <v>2024</v>
      </c>
      <c r="AB155" s="1601">
        <v>2025</v>
      </c>
      <c r="AC155" s="1601">
        <v>2026</v>
      </c>
      <c r="AD155" s="1601">
        <v>2027</v>
      </c>
      <c r="AE155" s="1601">
        <v>2028</v>
      </c>
      <c r="AF155" s="1601">
        <v>2029</v>
      </c>
      <c r="AG155" s="1601">
        <v>2030</v>
      </c>
    </row>
    <row r="156" spans="1:33">
      <c r="A156" s="1603" t="s">
        <v>102</v>
      </c>
      <c r="H156" s="1616">
        <v>98.390478525218882</v>
      </c>
      <c r="I156" s="1616">
        <v>102.23251006985399</v>
      </c>
      <c r="J156" s="1616">
        <v>106.29310658982733</v>
      </c>
      <c r="K156" s="1616">
        <v>110.44956786736479</v>
      </c>
      <c r="L156" s="1616">
        <v>114.73591601347154</v>
      </c>
      <c r="M156" s="1616">
        <v>119.11131865191841</v>
      </c>
      <c r="N156" s="1616">
        <v>123.68541251695025</v>
      </c>
      <c r="O156" s="1616">
        <v>128.40915944534362</v>
      </c>
      <c r="P156" s="1616">
        <v>133.33962216093127</v>
      </c>
      <c r="Q156" s="1616">
        <v>138.38198306041605</v>
      </c>
      <c r="R156" s="1616">
        <v>143.71490021346798</v>
      </c>
      <c r="S156" s="1616">
        <v>149.23509074617334</v>
      </c>
      <c r="T156" s="1616">
        <v>155.05316169521325</v>
      </c>
      <c r="U156" s="1616">
        <v>161.15615051636001</v>
      </c>
      <c r="V156" s="1616">
        <v>167.57213003748734</v>
      </c>
      <c r="W156" s="1616">
        <v>174.19907824605201</v>
      </c>
      <c r="X156" s="1616">
        <v>180.97604632229485</v>
      </c>
      <c r="Y156" s="1616">
        <v>187.81624647509278</v>
      </c>
      <c r="Z156" s="1616">
        <v>194.89752235674706</v>
      </c>
      <c r="AA156" s="1616">
        <v>202.4005019457766</v>
      </c>
      <c r="AB156" s="1616">
        <v>210.32751099187055</v>
      </c>
      <c r="AC156" s="1616">
        <v>218.55245372418665</v>
      </c>
      <c r="AD156" s="1616">
        <v>227.00120596333753</v>
      </c>
      <c r="AE156" s="1616">
        <v>235.9510288991475</v>
      </c>
      <c r="AF156" s="1616">
        <v>245.56348161806591</v>
      </c>
      <c r="AG156" s="1616">
        <v>255.78552422971714</v>
      </c>
    </row>
    <row r="157" spans="1:33">
      <c r="A157" s="1605" t="s">
        <v>1881</v>
      </c>
      <c r="H157" s="1616">
        <v>2.7126919000919387</v>
      </c>
      <c r="I157" s="1616">
        <v>2.8181016819457114</v>
      </c>
      <c r="J157" s="1616">
        <v>2.9241665749491021</v>
      </c>
      <c r="K157" s="1616">
        <v>3.0306003899440994</v>
      </c>
      <c r="L157" s="1616">
        <v>3.1379078885512404</v>
      </c>
      <c r="M157" s="1616">
        <v>3.2469972562967242</v>
      </c>
      <c r="N157" s="1616">
        <v>3.3591647765154948</v>
      </c>
      <c r="O157" s="1616">
        <v>3.4732084206781955</v>
      </c>
      <c r="P157" s="1616">
        <v>3.5905021422529186</v>
      </c>
      <c r="Q157" s="1616">
        <v>3.7120657732831757</v>
      </c>
      <c r="R157" s="1616">
        <v>3.8406814281958912</v>
      </c>
      <c r="S157" s="1616">
        <v>3.9736342971957481</v>
      </c>
      <c r="T157" s="1616">
        <v>4.1139433242297301</v>
      </c>
      <c r="U157" s="1616">
        <v>4.2609098355445134</v>
      </c>
      <c r="V157" s="1616">
        <v>4.415082336124021</v>
      </c>
      <c r="W157" s="1616">
        <v>4.5747493737276104</v>
      </c>
      <c r="X157" s="1616">
        <v>4.73810909911405</v>
      </c>
      <c r="Y157" s="1616">
        <v>4.904047155983223</v>
      </c>
      <c r="Z157" s="1616">
        <v>5.0775621524562213</v>
      </c>
      <c r="AA157" s="1616">
        <v>5.2607656724789944</v>
      </c>
      <c r="AB157" s="1616">
        <v>5.4537305573455246</v>
      </c>
      <c r="AC157" s="1616">
        <v>5.6538442926862045</v>
      </c>
      <c r="AD157" s="1616">
        <v>5.8588526867390058</v>
      </c>
      <c r="AE157" s="1616">
        <v>6.0764036047029979</v>
      </c>
      <c r="AF157" s="1616">
        <v>6.3125873364141993</v>
      </c>
      <c r="AG157" s="1616">
        <v>6.5660945312572574</v>
      </c>
    </row>
    <row r="158" spans="1:33">
      <c r="A158" s="1606" t="s">
        <v>1015</v>
      </c>
      <c r="H158" s="1616">
        <v>7.6049065824572288</v>
      </c>
      <c r="I158" s="1616">
        <v>7.929955499604616</v>
      </c>
      <c r="J158" s="1616">
        <v>8.2675019854007861</v>
      </c>
      <c r="K158" s="1616">
        <v>8.6100824651698389</v>
      </c>
      <c r="L158" s="1616">
        <v>8.9610208163676965</v>
      </c>
      <c r="M158" s="1616">
        <v>9.3175708736301512</v>
      </c>
      <c r="N158" s="1616">
        <v>9.6880468091365586</v>
      </c>
      <c r="O158" s="1616">
        <v>10.068079821318557</v>
      </c>
      <c r="P158" s="1616">
        <v>10.465849518899212</v>
      </c>
      <c r="Q158" s="1616">
        <v>10.874833986398755</v>
      </c>
      <c r="R158" s="1616">
        <v>11.312208934497727</v>
      </c>
      <c r="S158" s="1616">
        <v>11.768102266766919</v>
      </c>
      <c r="T158" s="1616">
        <v>12.253960136952657</v>
      </c>
      <c r="U158" s="1616">
        <v>12.76829560578097</v>
      </c>
      <c r="V158" s="1616">
        <v>13.315085096802934</v>
      </c>
      <c r="W158" s="1616">
        <v>13.884012052819131</v>
      </c>
      <c r="X158" s="1616">
        <v>14.468292932037919</v>
      </c>
      <c r="Y158" s="1616">
        <v>15.058498005614542</v>
      </c>
      <c r="Z158" s="1616">
        <v>15.671168055470975</v>
      </c>
      <c r="AA158" s="1616">
        <v>16.327507915970209</v>
      </c>
      <c r="AB158" s="1616">
        <v>17.029443808785683</v>
      </c>
      <c r="AC158" s="1616">
        <v>17.762169687546304</v>
      </c>
      <c r="AD158" s="1616">
        <v>18.517985532090773</v>
      </c>
      <c r="AE158" s="1616">
        <v>19.330480665296786</v>
      </c>
      <c r="AF158" s="1616">
        <v>20.214985469098771</v>
      </c>
      <c r="AG158" s="1616">
        <v>21.166909134838633</v>
      </c>
    </row>
    <row r="159" spans="1:33">
      <c r="A159" s="1606" t="s">
        <v>1005</v>
      </c>
      <c r="H159" s="1616">
        <v>3.2035411768379154</v>
      </c>
      <c r="I159" s="1616">
        <v>3.323420891216367</v>
      </c>
      <c r="J159" s="1616">
        <v>3.446307702089983</v>
      </c>
      <c r="K159" s="1616">
        <v>3.5699370982870571</v>
      </c>
      <c r="L159" s="1616">
        <v>3.695566754712877</v>
      </c>
      <c r="M159" s="1616">
        <v>3.8231488057858298</v>
      </c>
      <c r="N159" s="1616">
        <v>3.9557164906264535</v>
      </c>
      <c r="O159" s="1616">
        <v>4.0900961355295244</v>
      </c>
      <c r="P159" s="1616">
        <v>4.2276624289519242</v>
      </c>
      <c r="Q159" s="1616">
        <v>4.3697626185138558</v>
      </c>
      <c r="R159" s="1616">
        <v>4.521633718320305</v>
      </c>
      <c r="S159" s="1616">
        <v>4.678629362654104</v>
      </c>
      <c r="T159" s="1616">
        <v>4.8447908844687646</v>
      </c>
      <c r="U159" s="1616">
        <v>5.0189901855107237</v>
      </c>
      <c r="V159" s="1616">
        <v>5.2015609724988616</v>
      </c>
      <c r="W159" s="1616">
        <v>5.3902059842884782</v>
      </c>
      <c r="X159" s="1616">
        <v>5.5826956301934043</v>
      </c>
      <c r="Y159" s="1616">
        <v>5.7778387559468154</v>
      </c>
      <c r="Z159" s="1616">
        <v>5.9833044799470398</v>
      </c>
      <c r="AA159" s="1616">
        <v>6.2011206962350327</v>
      </c>
      <c r="AB159" s="1616">
        <v>6.4300722734607261</v>
      </c>
      <c r="AC159" s="1616">
        <v>6.6668082443527306</v>
      </c>
      <c r="AD159" s="1616">
        <v>6.9084933768270052</v>
      </c>
      <c r="AE159" s="1616">
        <v>7.1654824219515927</v>
      </c>
      <c r="AF159" s="1616">
        <v>7.4472793491596834</v>
      </c>
      <c r="AG159" s="1616">
        <v>7.7524316204915014</v>
      </c>
    </row>
    <row r="160" spans="1:33">
      <c r="A160" s="1606" t="s">
        <v>1001</v>
      </c>
      <c r="H160" s="1616">
        <v>9.8036782991411417</v>
      </c>
      <c r="I160" s="1616">
        <v>10.207057139369297</v>
      </c>
      <c r="J160" s="1616">
        <v>10.616007554498241</v>
      </c>
      <c r="K160" s="1616">
        <v>11.047191411156861</v>
      </c>
      <c r="L160" s="1616">
        <v>11.474942861479999</v>
      </c>
      <c r="M160" s="1616">
        <v>11.935290237638069</v>
      </c>
      <c r="N160" s="1616">
        <v>12.388786104539488</v>
      </c>
      <c r="O160" s="1616">
        <v>12.843771320568036</v>
      </c>
      <c r="P160" s="1616">
        <v>13.29968522718468</v>
      </c>
      <c r="Q160" s="1616">
        <v>13.817961182782257</v>
      </c>
      <c r="R160" s="1616">
        <v>14.35051369462434</v>
      </c>
      <c r="S160" s="1616">
        <v>14.903664029035637</v>
      </c>
      <c r="T160" s="1616">
        <v>15.485084157399998</v>
      </c>
      <c r="U160" s="1616">
        <v>16.088549839754812</v>
      </c>
      <c r="V160" s="1616">
        <v>16.714532781849151</v>
      </c>
      <c r="W160" s="1616">
        <v>17.378823317099858</v>
      </c>
      <c r="X160" s="1616">
        <v>18.069264536554844</v>
      </c>
      <c r="Y160" s="1616">
        <v>18.8056031771488</v>
      </c>
      <c r="Z160" s="1616">
        <v>19.598763957282223</v>
      </c>
      <c r="AA160" s="1616">
        <v>20.399416665041901</v>
      </c>
      <c r="AB160" s="1616">
        <v>21.227764684402249</v>
      </c>
      <c r="AC160" s="1616">
        <v>22.101239886658057</v>
      </c>
      <c r="AD160" s="1616">
        <v>23.006037034566265</v>
      </c>
      <c r="AE160" s="1616">
        <v>23.965034427582601</v>
      </c>
      <c r="AF160" s="1616">
        <v>25.024665170470673</v>
      </c>
      <c r="AG160" s="1616">
        <v>26.168318477307302</v>
      </c>
    </row>
    <row r="161" spans="1:39">
      <c r="A161" s="1606" t="s">
        <v>1003</v>
      </c>
      <c r="H161" s="1616">
        <v>0.7031124785909022</v>
      </c>
      <c r="I161" s="1616">
        <v>0.73137056910547049</v>
      </c>
      <c r="J161" s="1616">
        <v>0.76048935694383568</v>
      </c>
      <c r="K161" s="1616">
        <v>0.79002296112074955</v>
      </c>
      <c r="L161" s="1616">
        <v>0.82022079878662912</v>
      </c>
      <c r="M161" s="1616">
        <v>0.85093970814278597</v>
      </c>
      <c r="N161" s="1616">
        <v>0.88285930753493003</v>
      </c>
      <c r="O161" s="1616">
        <v>0.91560102781417041</v>
      </c>
      <c r="P161" s="1616">
        <v>0.94967878246838588</v>
      </c>
      <c r="Q161" s="1616">
        <v>0.98477985994719996</v>
      </c>
      <c r="R161" s="1616">
        <v>1.0220271885899828</v>
      </c>
      <c r="S161" s="1616">
        <v>1.0605300188657332</v>
      </c>
      <c r="T161" s="1616">
        <v>1.1011578633584604</v>
      </c>
      <c r="U161" s="1616">
        <v>1.1437385367766688</v>
      </c>
      <c r="V161" s="1616">
        <v>1.1884701509500044</v>
      </c>
      <c r="W161" s="1616">
        <v>1.2346778704189405</v>
      </c>
      <c r="X161" s="1616">
        <v>1.281898125573113</v>
      </c>
      <c r="Y161" s="1616">
        <v>1.3296155013994464</v>
      </c>
      <c r="Z161" s="1616">
        <v>1.379051935356979</v>
      </c>
      <c r="AA161" s="1616">
        <v>1.4314228116540957</v>
      </c>
      <c r="AB161" s="1616">
        <v>1.4867057920629885</v>
      </c>
      <c r="AC161" s="1616">
        <v>1.5439305847052851</v>
      </c>
      <c r="AD161" s="1616">
        <v>1.602573700104146</v>
      </c>
      <c r="AE161" s="1616">
        <v>1.664785611142189</v>
      </c>
      <c r="AF161" s="1616">
        <v>1.7317183166381609</v>
      </c>
      <c r="AG161" s="1616">
        <v>1.8029767936495047</v>
      </c>
    </row>
    <row r="162" spans="1:39">
      <c r="A162" s="1606" t="s">
        <v>1011</v>
      </c>
      <c r="H162" s="1616">
        <v>2.9527943615746186</v>
      </c>
      <c r="I162" s="1616">
        <v>3.052743497919558</v>
      </c>
      <c r="J162" s="1616">
        <v>3.1598398453135723</v>
      </c>
      <c r="K162" s="1616">
        <v>3.2640197650135607</v>
      </c>
      <c r="L162" s="1616">
        <v>3.3773987555710723</v>
      </c>
      <c r="M162" s="1616">
        <v>3.4843035583811632</v>
      </c>
      <c r="N162" s="1616">
        <v>3.6059545328184837</v>
      </c>
      <c r="O162" s="1616">
        <v>3.7384733618995631</v>
      </c>
      <c r="P162" s="1616">
        <v>3.8870664626149849</v>
      </c>
      <c r="Q162" s="1616">
        <v>4.0234325282564436</v>
      </c>
      <c r="R162" s="1616">
        <v>4.1718006261684275</v>
      </c>
      <c r="S162" s="1616">
        <v>4.3249891451613323</v>
      </c>
      <c r="T162" s="1616">
        <v>4.4873059877792372</v>
      </c>
      <c r="U162" s="1616">
        <v>4.6606595926991243</v>
      </c>
      <c r="V162" s="1616">
        <v>4.8474495078553197</v>
      </c>
      <c r="W162" s="1616">
        <v>5.0349343124706403</v>
      </c>
      <c r="X162" s="1616">
        <v>5.2227927466032327</v>
      </c>
      <c r="Y162" s="1616">
        <v>5.3965237245262427</v>
      </c>
      <c r="Z162" s="1616">
        <v>5.5605888387992897</v>
      </c>
      <c r="AA162" s="1616">
        <v>5.7512058241933302</v>
      </c>
      <c r="AB162" s="1616">
        <v>5.9631205051973826</v>
      </c>
      <c r="AC162" s="1616">
        <v>6.1799813086098956</v>
      </c>
      <c r="AD162" s="1616">
        <v>6.4025656954020977</v>
      </c>
      <c r="AE162" s="1616">
        <v>6.6394862363947569</v>
      </c>
      <c r="AF162" s="1616">
        <v>6.8792779213083906</v>
      </c>
      <c r="AG162" s="1616">
        <v>7.1254666402782538</v>
      </c>
    </row>
    <row r="163" spans="1:39">
      <c r="A163" s="1606" t="s">
        <v>1007</v>
      </c>
      <c r="H163" s="1616">
        <v>0.71959149077754447</v>
      </c>
      <c r="I163" s="1616">
        <v>0.75103404096706927</v>
      </c>
      <c r="J163" s="1616">
        <v>0.78298978837617705</v>
      </c>
      <c r="K163" s="1616">
        <v>0.81624649664766669</v>
      </c>
      <c r="L163" s="1616">
        <v>0.84954935371089146</v>
      </c>
      <c r="M163" s="1616">
        <v>0.88497386266192823</v>
      </c>
      <c r="N163" s="1616">
        <v>0.92047635911033676</v>
      </c>
      <c r="O163" s="1616">
        <v>0.95609143039703381</v>
      </c>
      <c r="P163" s="1616">
        <v>0.99195920040837848</v>
      </c>
      <c r="Q163" s="1616">
        <v>1.0320105450840671</v>
      </c>
      <c r="R163" s="1616">
        <v>1.0738080041705167</v>
      </c>
      <c r="S163" s="1616">
        <v>1.1171597809148888</v>
      </c>
      <c r="T163" s="1616">
        <v>1.1628337413978129</v>
      </c>
      <c r="U163" s="1616">
        <v>1.2103703847461555</v>
      </c>
      <c r="V163" s="1616">
        <v>1.2598164357038055</v>
      </c>
      <c r="W163" s="1616">
        <v>1.3120786607225423</v>
      </c>
      <c r="X163" s="1616">
        <v>1.3663960931191341</v>
      </c>
      <c r="Y163" s="1616">
        <v>1.4239391317886603</v>
      </c>
      <c r="Z163" s="1616">
        <v>1.4858477334214359</v>
      </c>
      <c r="AA163" s="1616">
        <v>1.5490438092193164</v>
      </c>
      <c r="AB163" s="1616">
        <v>1.6145435776483459</v>
      </c>
      <c r="AC163" s="1616">
        <v>1.68340224669147</v>
      </c>
      <c r="AD163" s="1616">
        <v>1.7547667181354614</v>
      </c>
      <c r="AE163" s="1616">
        <v>1.8305831689592222</v>
      </c>
      <c r="AF163" s="1616">
        <v>1.9141236624578453</v>
      </c>
      <c r="AG163" s="1616">
        <v>2.0042042361367738</v>
      </c>
    </row>
    <row r="164" spans="1:39">
      <c r="A164" s="1606" t="s">
        <v>1013</v>
      </c>
      <c r="H164" s="1616">
        <v>1.087589509326558</v>
      </c>
      <c r="I164" s="1616">
        <v>1.1288069765510158</v>
      </c>
      <c r="J164" s="1616">
        <v>1.1720741479622163</v>
      </c>
      <c r="K164" s="1616">
        <v>1.2156729621181148</v>
      </c>
      <c r="L164" s="1616">
        <v>1.2615038327899679</v>
      </c>
      <c r="M164" s="1616">
        <v>1.3072219931941091</v>
      </c>
      <c r="N164" s="1616">
        <v>1.3562650407127725</v>
      </c>
      <c r="O164" s="1616">
        <v>1.4074735398549647</v>
      </c>
      <c r="P164" s="1616">
        <v>1.4619835825800076</v>
      </c>
      <c r="Q164" s="1616">
        <v>1.5159103090070538</v>
      </c>
      <c r="R164" s="1616">
        <v>1.5739969602275863</v>
      </c>
      <c r="S164" s="1616">
        <v>1.6342495638650985</v>
      </c>
      <c r="T164" s="1616">
        <v>1.6979591488628154</v>
      </c>
      <c r="U164" s="1616">
        <v>1.7651796536071456</v>
      </c>
      <c r="V164" s="1616">
        <v>1.8363605231388536</v>
      </c>
      <c r="W164" s="1616">
        <v>1.9093760538993774</v>
      </c>
      <c r="X164" s="1616">
        <v>1.9841911358193167</v>
      </c>
      <c r="Y164" s="1616">
        <v>2.0587907699527159</v>
      </c>
      <c r="Z164" s="1616">
        <v>2.1348836768101687</v>
      </c>
      <c r="AA164" s="1616">
        <v>2.2178900890482245</v>
      </c>
      <c r="AB164" s="1616">
        <v>2.3067809059271882</v>
      </c>
      <c r="AC164" s="1616">
        <v>2.3986599894102683</v>
      </c>
      <c r="AD164" s="1616">
        <v>2.4935389852913916</v>
      </c>
      <c r="AE164" s="1616">
        <v>2.5944175984803404</v>
      </c>
      <c r="AF164" s="1616">
        <v>2.7004929564118076</v>
      </c>
      <c r="AG164" s="1616">
        <v>2.81189909283562</v>
      </c>
    </row>
    <row r="165" spans="1:39">
      <c r="A165" s="1606" t="s">
        <v>1009</v>
      </c>
      <c r="H165" s="1616">
        <v>0.77400668046566801</v>
      </c>
      <c r="I165" s="1616">
        <v>0.80748788744257149</v>
      </c>
      <c r="J165" s="1616">
        <v>0.84009101838595268</v>
      </c>
      <c r="K165" s="1616">
        <v>0.87163055548921664</v>
      </c>
      <c r="L165" s="1616">
        <v>0.90416678086451818</v>
      </c>
      <c r="M165" s="1616">
        <v>0.93590303487286264</v>
      </c>
      <c r="N165" s="1616">
        <v>0.97019732977970896</v>
      </c>
      <c r="O165" s="1616">
        <v>1.0083513099706258</v>
      </c>
      <c r="P165" s="1616">
        <v>1.0523971035414528</v>
      </c>
      <c r="Q165" s="1616">
        <v>1.0961726134603631</v>
      </c>
      <c r="R165" s="1616">
        <v>1.1424661752720211</v>
      </c>
      <c r="S165" s="1616">
        <v>1.1908210561404093</v>
      </c>
      <c r="T165" s="1616">
        <v>1.2427908686724891</v>
      </c>
      <c r="U165" s="1616">
        <v>1.2990060280351519</v>
      </c>
      <c r="V165" s="1616">
        <v>1.3608491070178494</v>
      </c>
      <c r="W165" s="1616">
        <v>1.4248566447664339</v>
      </c>
      <c r="X165" s="1616">
        <v>1.4891476014349401</v>
      </c>
      <c r="Y165" s="1616">
        <v>1.548443969776478</v>
      </c>
      <c r="Z165" s="1616">
        <v>1.6020495515661699</v>
      </c>
      <c r="AA165" s="1616">
        <v>1.6610770672936255</v>
      </c>
      <c r="AB165" s="1616">
        <v>1.7285500177670927</v>
      </c>
      <c r="AC165" s="1616">
        <v>1.799876905700234</v>
      </c>
      <c r="AD165" s="1616">
        <v>1.8736790583415663</v>
      </c>
      <c r="AE165" s="1616">
        <v>1.953705764602393</v>
      </c>
      <c r="AF165" s="1616">
        <v>2.0354566286164153</v>
      </c>
      <c r="AG165" s="1616">
        <v>2.1162316894664293</v>
      </c>
    </row>
    <row r="166" spans="1:39">
      <c r="A166" s="1606" t="s">
        <v>2385</v>
      </c>
      <c r="H166" s="1616">
        <v>1.9055882400229036</v>
      </c>
      <c r="I166" s="1616">
        <v>1.9155544665182236</v>
      </c>
      <c r="J166" s="1616">
        <v>1.962067960074219</v>
      </c>
      <c r="K166" s="1616">
        <v>1.9945676537648884</v>
      </c>
      <c r="L166" s="1616">
        <v>2.0496197155764531</v>
      </c>
      <c r="M166" s="1616">
        <v>2.0831904368978797</v>
      </c>
      <c r="N166" s="1616">
        <v>2.1566041510845979</v>
      </c>
      <c r="O166" s="1616">
        <v>2.2534011718018787</v>
      </c>
      <c r="P166" s="1616">
        <v>2.3746026072284141</v>
      </c>
      <c r="Q166" s="1616">
        <v>2.4284562197577468</v>
      </c>
      <c r="R166" s="1616">
        <v>2.5020093017417695</v>
      </c>
      <c r="S166" s="1616">
        <v>2.5780528704496066</v>
      </c>
      <c r="T166" s="1616">
        <v>2.6595451216845185</v>
      </c>
      <c r="U166" s="1616">
        <v>2.753118557245867</v>
      </c>
      <c r="V166" s="1616">
        <v>2.8593834273184426</v>
      </c>
      <c r="W166" s="1616">
        <v>2.9492195358379334</v>
      </c>
      <c r="X166" s="1616">
        <v>3.0318419211344327</v>
      </c>
      <c r="Y166" s="1616">
        <v>3.0796995458595395</v>
      </c>
      <c r="Z166" s="1616">
        <v>3.113166640824395</v>
      </c>
      <c r="AA166" s="1616">
        <v>3.1864319045495559</v>
      </c>
      <c r="AB166" s="1616">
        <v>3.2757157265150343</v>
      </c>
      <c r="AC166" s="1616">
        <v>3.3601964351018569</v>
      </c>
      <c r="AD166" s="1616">
        <v>3.444651612301707</v>
      </c>
      <c r="AE166" s="1616">
        <v>3.5297896215513558</v>
      </c>
      <c r="AF166" s="1616">
        <v>3.6011196102236656</v>
      </c>
      <c r="AG166" s="1616">
        <v>3.667502649118529</v>
      </c>
    </row>
    <row r="167" spans="1:39">
      <c r="A167" s="1606" t="s">
        <v>839</v>
      </c>
      <c r="H167" s="1616">
        <v>61.361287502496502</v>
      </c>
      <c r="I167" s="1616">
        <v>63.770594908353743</v>
      </c>
      <c r="J167" s="1616">
        <v>66.316923285650233</v>
      </c>
      <c r="K167" s="1616">
        <v>68.938673823916076</v>
      </c>
      <c r="L167" s="1616">
        <v>71.641330654926435</v>
      </c>
      <c r="M167" s="1616">
        <v>74.409528682892656</v>
      </c>
      <c r="N167" s="1616">
        <v>77.291415100876833</v>
      </c>
      <c r="O167" s="1616">
        <v>80.261774305369372</v>
      </c>
      <c r="P167" s="1616">
        <v>83.354067953350423</v>
      </c>
      <c r="Q167" s="1616">
        <v>86.537338099893446</v>
      </c>
      <c r="R167" s="1616">
        <v>89.891656877602955</v>
      </c>
      <c r="S167" s="1616">
        <v>93.358806937011721</v>
      </c>
      <c r="T167" s="1616">
        <v>97.003949926384948</v>
      </c>
      <c r="U167" s="1616">
        <v>100.8171033254594</v>
      </c>
      <c r="V167" s="1616">
        <v>104.81456803770047</v>
      </c>
      <c r="W167" s="1616">
        <v>108.94333677318915</v>
      </c>
      <c r="X167" s="1616">
        <v>113.16486060816729</v>
      </c>
      <c r="Y167" s="1616">
        <v>117.43472857066425</v>
      </c>
      <c r="Z167" s="1616">
        <v>121.850245769208</v>
      </c>
      <c r="AA167" s="1616">
        <v>126.5089094632168</v>
      </c>
      <c r="AB167" s="1616">
        <v>131.41645322791913</v>
      </c>
      <c r="AC167" s="1616">
        <v>136.49958397989644</v>
      </c>
      <c r="AD167" s="1616">
        <v>141.71412020945306</v>
      </c>
      <c r="AE167" s="1616">
        <v>147.22293921259788</v>
      </c>
      <c r="AF167" s="1616">
        <v>153.11985470580842</v>
      </c>
      <c r="AG167" s="1616">
        <v>159.37229428107682</v>
      </c>
    </row>
    <row r="168" spans="1:39">
      <c r="A168" s="1606" t="s">
        <v>1882</v>
      </c>
      <c r="H168" s="1616">
        <v>5.5616903034359542</v>
      </c>
      <c r="I168" s="1616">
        <v>5.7963825108603446</v>
      </c>
      <c r="J168" s="1616">
        <v>6.0446473701830046</v>
      </c>
      <c r="K168" s="1616">
        <v>6.3009222847366537</v>
      </c>
      <c r="L168" s="1616">
        <v>6.5626878001337534</v>
      </c>
      <c r="M168" s="1616">
        <v>6.8322502015242472</v>
      </c>
      <c r="N168" s="1616">
        <v>7.109926514214596</v>
      </c>
      <c r="O168" s="1616">
        <v>7.392837600141708</v>
      </c>
      <c r="P168" s="1616">
        <v>7.6841671514504917</v>
      </c>
      <c r="Q168" s="1616">
        <v>7.989259324031682</v>
      </c>
      <c r="R168" s="1616">
        <v>8.3120973040564774</v>
      </c>
      <c r="S168" s="1616">
        <v>8.6464514181121483</v>
      </c>
      <c r="T168" s="1616">
        <v>8.9998405340218106</v>
      </c>
      <c r="U168" s="1616">
        <v>9.3702289711994791</v>
      </c>
      <c r="V168" s="1616">
        <v>9.7589716605276315</v>
      </c>
      <c r="W168" s="1616">
        <v>10.162807666811924</v>
      </c>
      <c r="X168" s="1616">
        <v>10.576555892543171</v>
      </c>
      <c r="Y168" s="1616">
        <v>10.998518166432072</v>
      </c>
      <c r="Z168" s="1616">
        <v>11.440889565604138</v>
      </c>
      <c r="AA168" s="1616">
        <v>11.905710026875504</v>
      </c>
      <c r="AB168" s="1616">
        <v>12.394629914839173</v>
      </c>
      <c r="AC168" s="1616">
        <v>12.902760162827921</v>
      </c>
      <c r="AD168" s="1616">
        <v>13.423941354085027</v>
      </c>
      <c r="AE168" s="1616">
        <v>13.977920565885409</v>
      </c>
      <c r="AF168" s="1616">
        <v>14.581920491457884</v>
      </c>
      <c r="AG168" s="1616">
        <v>15.231195083260539</v>
      </c>
    </row>
    <row r="170" spans="1:39">
      <c r="H170" s="1603" t="s">
        <v>2426</v>
      </c>
    </row>
    <row r="171" spans="1:39">
      <c r="I171" s="1620">
        <v>2006</v>
      </c>
      <c r="J171" s="1620">
        <v>2007</v>
      </c>
      <c r="K171" s="1620">
        <v>2008</v>
      </c>
      <c r="L171" s="1620">
        <v>2009</v>
      </c>
      <c r="M171" s="1620">
        <v>2010</v>
      </c>
      <c r="N171" s="1620">
        <v>2011</v>
      </c>
      <c r="O171" s="1620">
        <v>2012</v>
      </c>
      <c r="P171" s="1620">
        <v>2013</v>
      </c>
      <c r="Q171" s="1620">
        <v>2014</v>
      </c>
      <c r="R171" s="1620">
        <v>2015</v>
      </c>
      <c r="S171" s="1620">
        <v>2016</v>
      </c>
      <c r="T171" s="1620">
        <v>2017</v>
      </c>
      <c r="U171" s="1620">
        <v>2018</v>
      </c>
      <c r="V171" s="1620">
        <v>2019</v>
      </c>
      <c r="W171" s="1620">
        <v>2020</v>
      </c>
      <c r="X171" s="1620">
        <v>2021</v>
      </c>
      <c r="Y171" s="1620">
        <v>2022</v>
      </c>
      <c r="Z171" s="1620">
        <v>2023</v>
      </c>
      <c r="AA171" s="1620">
        <v>2024</v>
      </c>
      <c r="AB171" s="1620">
        <v>2025</v>
      </c>
      <c r="AC171" s="1620">
        <v>2026</v>
      </c>
      <c r="AD171" s="1620">
        <v>2027</v>
      </c>
      <c r="AE171" s="1620">
        <v>2028</v>
      </c>
      <c r="AF171" s="1620">
        <v>2029</v>
      </c>
      <c r="AG171" s="1620">
        <v>2030</v>
      </c>
      <c r="AH171" s="1620">
        <v>2035</v>
      </c>
      <c r="AI171" s="1620">
        <v>2040</v>
      </c>
      <c r="AJ171" s="1620">
        <v>2045</v>
      </c>
      <c r="AK171" s="1620">
        <v>2050</v>
      </c>
      <c r="AL171" s="1620">
        <v>2060</v>
      </c>
      <c r="AM171" s="1620">
        <v>2070</v>
      </c>
    </row>
    <row r="172" spans="1:39" s="1456" customFormat="1">
      <c r="A172" s="1508" t="s">
        <v>1444</v>
      </c>
      <c r="H172" s="463"/>
      <c r="I172" s="1619">
        <f t="shared" ref="I172:AG172" si="0">I5/100</f>
        <v>3.9220999999999999E-2</v>
      </c>
      <c r="J172" s="1619">
        <f t="shared" si="0"/>
        <v>3.9759000000000003E-2</v>
      </c>
      <c r="K172" s="1619">
        <f t="shared" si="0"/>
        <v>3.9094000000000004E-2</v>
      </c>
      <c r="L172" s="1619">
        <f t="shared" si="0"/>
        <v>3.8780999999999996E-2</v>
      </c>
      <c r="M172" s="1619">
        <f t="shared" si="0"/>
        <v>3.8107000000000002E-2</v>
      </c>
      <c r="N172" s="1619">
        <f t="shared" si="0"/>
        <v>3.8378000000000002E-2</v>
      </c>
      <c r="O172" s="1619">
        <f t="shared" si="0"/>
        <v>3.8163999999999997E-2</v>
      </c>
      <c r="P172" s="1619">
        <f t="shared" si="0"/>
        <v>3.8371000000000002E-2</v>
      </c>
      <c r="Q172" s="1619">
        <f t="shared" si="0"/>
        <v>3.7804000000000004E-2</v>
      </c>
      <c r="R172" s="1619">
        <f t="shared" si="0"/>
        <v>3.8544000000000002E-2</v>
      </c>
      <c r="S172" s="1619">
        <f t="shared" si="0"/>
        <v>3.8418000000000001E-2</v>
      </c>
      <c r="T172" s="1619">
        <f t="shared" si="0"/>
        <v>3.9004999999999998E-2</v>
      </c>
      <c r="U172" s="1619">
        <f t="shared" si="0"/>
        <v>3.9386000000000004E-2</v>
      </c>
      <c r="V172" s="1619">
        <f t="shared" si="0"/>
        <v>3.9845999999999999E-2</v>
      </c>
      <c r="W172" s="1619">
        <f t="shared" si="0"/>
        <v>3.9584000000000001E-2</v>
      </c>
      <c r="X172" s="1619">
        <f t="shared" si="0"/>
        <v>3.8940999999999996E-2</v>
      </c>
      <c r="Y172" s="1619">
        <f t="shared" si="0"/>
        <v>3.7831000000000004E-2</v>
      </c>
      <c r="Z172" s="1619">
        <f t="shared" si="0"/>
        <v>3.7749999999999999E-2</v>
      </c>
      <c r="AA172" s="1619">
        <f t="shared" si="0"/>
        <v>3.8554999999999999E-2</v>
      </c>
      <c r="AB172" s="1619">
        <f t="shared" si="0"/>
        <v>3.9229E-2</v>
      </c>
      <c r="AC172" s="1619">
        <f t="shared" si="0"/>
        <v>3.9169999999999996E-2</v>
      </c>
      <c r="AD172" s="1619">
        <f t="shared" si="0"/>
        <v>3.8719999999999997E-2</v>
      </c>
      <c r="AE172" s="1619">
        <f t="shared" si="0"/>
        <v>3.9505999999999999E-2</v>
      </c>
      <c r="AF172" s="1619">
        <f t="shared" si="0"/>
        <v>4.0848000000000002E-2</v>
      </c>
      <c r="AG172" s="1619">
        <f t="shared" si="0"/>
        <v>4.1755000000000007E-2</v>
      </c>
      <c r="AH172" s="1617">
        <v>4.2699999999999995E-2</v>
      </c>
      <c r="AI172" s="1617">
        <v>3.9E-2</v>
      </c>
      <c r="AJ172" s="1617">
        <v>3.4000000000000002E-2</v>
      </c>
      <c r="AK172" s="1617">
        <v>3.1E-2</v>
      </c>
      <c r="AL172" s="1617">
        <v>2.1999999999999999E-2</v>
      </c>
      <c r="AM172" s="1617">
        <v>8.0000000000000002E-3</v>
      </c>
    </row>
    <row r="173" spans="1:39">
      <c r="A173" s="1506" t="s">
        <v>1881</v>
      </c>
      <c r="I173" s="1507">
        <v>3.8858000000000059E-2</v>
      </c>
      <c r="J173" s="1507">
        <v>3.7636999999999921E-2</v>
      </c>
      <c r="K173" s="1507">
        <v>3.639799999999993E-2</v>
      </c>
      <c r="L173" s="1507">
        <v>3.5408000000000106E-2</v>
      </c>
      <c r="M173" s="1507">
        <v>3.4764999999999935E-2</v>
      </c>
      <c r="N173" s="1507">
        <v>3.4545000000000048E-2</v>
      </c>
      <c r="O173" s="1507">
        <v>3.3949999999999925E-2</v>
      </c>
      <c r="P173" s="1507">
        <v>3.3770999999999995E-2</v>
      </c>
      <c r="Q173" s="1507">
        <v>3.3857000000000026E-2</v>
      </c>
      <c r="R173" s="1507">
        <v>3.4648000000000012E-2</v>
      </c>
      <c r="S173" s="1507">
        <v>3.4616999999999898E-2</v>
      </c>
      <c r="T173" s="1507">
        <v>3.5309999999999953E-2</v>
      </c>
      <c r="U173" s="1507">
        <v>3.5724000000000089E-2</v>
      </c>
      <c r="V173" s="1507">
        <v>3.6183000000000076E-2</v>
      </c>
      <c r="W173" s="1507">
        <v>3.6164000000000085E-2</v>
      </c>
      <c r="X173" s="1507">
        <v>3.5708999999999991E-2</v>
      </c>
      <c r="Y173" s="1507">
        <v>3.5022000000000109E-2</v>
      </c>
      <c r="Z173" s="1507">
        <v>3.5382000000000025E-2</v>
      </c>
      <c r="AA173" s="1507">
        <v>3.608100000000003E-2</v>
      </c>
      <c r="AB173" s="1507">
        <v>3.6680000000000046E-2</v>
      </c>
      <c r="AC173" s="1507">
        <v>3.6693000000000087E-2</v>
      </c>
      <c r="AD173" s="1507">
        <v>3.6259999999999959E-2</v>
      </c>
      <c r="AE173" s="1507">
        <v>3.7131999999999943E-2</v>
      </c>
      <c r="AF173" s="1507">
        <v>3.8869000000000042E-2</v>
      </c>
      <c r="AG173" s="1507">
        <v>4.0159000000000056E-2</v>
      </c>
      <c r="AH173" s="1252">
        <f t="shared" ref="AH173:AM183" si="1">AH187*AH$172</f>
        <v>0</v>
      </c>
      <c r="AI173" s="1252">
        <f t="shared" si="1"/>
        <v>0</v>
      </c>
      <c r="AJ173" s="1252">
        <f t="shared" si="1"/>
        <v>0</v>
      </c>
      <c r="AK173" s="1252">
        <f t="shared" si="1"/>
        <v>0</v>
      </c>
      <c r="AL173" s="1617">
        <f>AL187*AL$172</f>
        <v>0</v>
      </c>
      <c r="AM173" s="1617">
        <f t="shared" si="1"/>
        <v>0</v>
      </c>
    </row>
    <row r="174" spans="1:39">
      <c r="A174" s="1506" t="s">
        <v>1015</v>
      </c>
      <c r="I174" s="1507">
        <v>4.2742000000000058E-2</v>
      </c>
      <c r="J174" s="1507">
        <v>4.2566000000000104E-2</v>
      </c>
      <c r="K174" s="1507">
        <v>4.1436999999999946E-2</v>
      </c>
      <c r="L174" s="1507">
        <v>4.075899999999999E-2</v>
      </c>
      <c r="M174" s="1507">
        <v>3.9789000000000074E-2</v>
      </c>
      <c r="N174" s="1507">
        <v>3.9760999999999935E-2</v>
      </c>
      <c r="O174" s="1507">
        <v>3.9226999999999901E-2</v>
      </c>
      <c r="P174" s="1507">
        <v>3.9508000000000099E-2</v>
      </c>
      <c r="Q174" s="1507">
        <v>3.9077999999999946E-2</v>
      </c>
      <c r="R174" s="1507">
        <v>4.0219000000000005E-2</v>
      </c>
      <c r="S174" s="1507">
        <v>4.030099999999992E-2</v>
      </c>
      <c r="T174" s="1507">
        <v>4.1285999999999934E-2</v>
      </c>
      <c r="U174" s="1507">
        <v>4.1973000000000038E-2</v>
      </c>
      <c r="V174" s="1507">
        <v>4.2823999999999973E-2</v>
      </c>
      <c r="W174" s="1507">
        <v>4.2728000000000099E-2</v>
      </c>
      <c r="X174" s="1507">
        <v>4.2083000000000093E-2</v>
      </c>
      <c r="Y174" s="1507">
        <v>4.0793000000000079E-2</v>
      </c>
      <c r="Z174" s="1507">
        <v>4.0686E-2</v>
      </c>
      <c r="AA174" s="1507">
        <v>4.1881999999999975E-2</v>
      </c>
      <c r="AB174" s="1507">
        <v>4.2991000000000001E-2</v>
      </c>
      <c r="AC174" s="1507">
        <v>4.3026999999999926E-2</v>
      </c>
      <c r="AD174" s="1507">
        <v>4.2551999999999923E-2</v>
      </c>
      <c r="AE174" s="1507">
        <v>4.3876000000000026E-2</v>
      </c>
      <c r="AF174" s="1507">
        <v>4.5757000000000048E-2</v>
      </c>
      <c r="AG174" s="1507">
        <v>4.7090000000000076E-2</v>
      </c>
      <c r="AH174" s="1252">
        <f t="shared" si="1"/>
        <v>0</v>
      </c>
      <c r="AI174" s="1252">
        <f t="shared" si="1"/>
        <v>0</v>
      </c>
      <c r="AJ174" s="1252">
        <f t="shared" si="1"/>
        <v>0</v>
      </c>
      <c r="AK174" s="1252">
        <f t="shared" si="1"/>
        <v>0</v>
      </c>
      <c r="AL174" s="1617">
        <f t="shared" si="1"/>
        <v>0</v>
      </c>
      <c r="AM174" s="1617">
        <f t="shared" si="1"/>
        <v>0</v>
      </c>
    </row>
    <row r="175" spans="1:39">
      <c r="A175" s="1506" t="s">
        <v>1005</v>
      </c>
      <c r="I175" s="1507">
        <v>3.7420999999999927E-2</v>
      </c>
      <c r="J175" s="1507">
        <v>3.6975999999999898E-2</v>
      </c>
      <c r="K175" s="1507">
        <v>3.5873000000000044E-2</v>
      </c>
      <c r="L175" s="1507">
        <v>3.5190999999999972E-2</v>
      </c>
      <c r="M175" s="1507">
        <v>3.4523000000000081E-2</v>
      </c>
      <c r="N175" s="1507">
        <v>3.4675000000000011E-2</v>
      </c>
      <c r="O175" s="1507">
        <v>3.3970999999999973E-2</v>
      </c>
      <c r="P175" s="1507">
        <v>3.3633999999999942E-2</v>
      </c>
      <c r="Q175" s="1507">
        <v>3.3611999999999975E-2</v>
      </c>
      <c r="R175" s="1507">
        <v>3.4755000000000091E-2</v>
      </c>
      <c r="S175" s="1507">
        <v>3.4721000000000002E-2</v>
      </c>
      <c r="T175" s="1507">
        <v>3.5514999999999963E-2</v>
      </c>
      <c r="U175" s="1507">
        <v>3.5956000000000099E-2</v>
      </c>
      <c r="V175" s="1507">
        <v>3.6375999999999964E-2</v>
      </c>
      <c r="W175" s="1507">
        <v>3.6267000000000049E-2</v>
      </c>
      <c r="X175" s="1507">
        <v>3.5711000000000048E-2</v>
      </c>
      <c r="Y175" s="1507">
        <v>3.4955000000000069E-2</v>
      </c>
      <c r="Z175" s="1507">
        <v>3.5560999999999954E-2</v>
      </c>
      <c r="AA175" s="1507">
        <v>3.6404000000000103E-2</v>
      </c>
      <c r="AB175" s="1507">
        <v>3.6920999999999982E-2</v>
      </c>
      <c r="AC175" s="1507">
        <v>3.68170000000001E-2</v>
      </c>
      <c r="AD175" s="1507">
        <v>3.6251999999999951E-2</v>
      </c>
      <c r="AE175" s="1507">
        <v>3.7198999999999982E-2</v>
      </c>
      <c r="AF175" s="1507">
        <v>3.9327000000000112E-2</v>
      </c>
      <c r="AG175" s="1507">
        <v>4.0974999999999984E-2</v>
      </c>
      <c r="AH175" s="1252">
        <f t="shared" si="1"/>
        <v>4.1067879295892756E-2</v>
      </c>
      <c r="AI175" s="1252">
        <f t="shared" si="1"/>
        <v>3.7509304274937177E-2</v>
      </c>
      <c r="AJ175" s="1252">
        <f t="shared" si="1"/>
        <v>3.2700419111483699E-2</v>
      </c>
      <c r="AK175" s="1252">
        <f t="shared" si="1"/>
        <v>2.9815088013411605E-2</v>
      </c>
      <c r="AL175" s="1617">
        <f t="shared" si="1"/>
        <v>2.1159094719195332E-2</v>
      </c>
      <c r="AM175" s="1617">
        <f t="shared" si="1"/>
        <v>7.6942162615255758E-3</v>
      </c>
    </row>
    <row r="176" spans="1:39">
      <c r="A176" s="1506" t="s">
        <v>1001</v>
      </c>
      <c r="I176" s="1507">
        <v>4.1145662670662553E-2</v>
      </c>
      <c r="J176" s="1507">
        <v>4.0065457608892352E-2</v>
      </c>
      <c r="K176" s="1507">
        <v>4.0616385627562757E-2</v>
      </c>
      <c r="L176" s="1507">
        <v>3.8720380086031625E-2</v>
      </c>
      <c r="M176" s="1507">
        <v>4.0117618162910595E-2</v>
      </c>
      <c r="N176" s="1507">
        <v>3.7996216084575263E-2</v>
      </c>
      <c r="O176" s="1507">
        <v>3.6725568767535188E-2</v>
      </c>
      <c r="P176" s="1507">
        <v>3.549688757589009E-2</v>
      </c>
      <c r="Q176" s="1507">
        <v>3.8969039247501502E-2</v>
      </c>
      <c r="R176" s="1507">
        <v>3.854059978874913E-2</v>
      </c>
      <c r="S176" s="1507">
        <v>3.8545681791064101E-2</v>
      </c>
      <c r="T176" s="1507">
        <v>3.9011891789269004E-2</v>
      </c>
      <c r="U176" s="1507">
        <v>3.8970771887373301E-2</v>
      </c>
      <c r="V176" s="1507">
        <v>3.8908599490274476E-2</v>
      </c>
      <c r="W176" s="1507">
        <v>3.9743290699222111E-2</v>
      </c>
      <c r="X176" s="1507">
        <v>3.972888191892876E-2</v>
      </c>
      <c r="Y176" s="1507">
        <v>4.0750891609579121E-2</v>
      </c>
      <c r="Z176" s="1507">
        <v>4.2176832758930916E-2</v>
      </c>
      <c r="AA176" s="1507">
        <v>4.085220422598046E-2</v>
      </c>
      <c r="AB176" s="1507">
        <v>4.0606456202243901E-2</v>
      </c>
      <c r="AC176" s="1507">
        <v>4.114777110270218E-2</v>
      </c>
      <c r="AD176" s="1507">
        <v>4.093875061074792E-2</v>
      </c>
      <c r="AE176" s="1507">
        <v>4.1684597463502948E-2</v>
      </c>
      <c r="AF176" s="1507">
        <v>4.4215698754368926E-2</v>
      </c>
      <c r="AG176" s="1507">
        <v>4.5701043312505574E-2</v>
      </c>
      <c r="AH176" s="1252">
        <f t="shared" si="1"/>
        <v>4.8155741827326133E-2</v>
      </c>
      <c r="AI176" s="1252">
        <f t="shared" si="1"/>
        <v>4.39829960483775E-2</v>
      </c>
      <c r="AJ176" s="1252">
        <f t="shared" si="1"/>
        <v>3.8344150401149621E-2</v>
      </c>
      <c r="AK176" s="1252">
        <f t="shared" si="1"/>
        <v>3.4960843012812888E-2</v>
      </c>
      <c r="AL176" s="1617">
        <f t="shared" si="1"/>
        <v>2.4810920847802693E-2</v>
      </c>
      <c r="AM176" s="1617">
        <f t="shared" si="1"/>
        <v>9.0221530355646153E-3</v>
      </c>
    </row>
    <row r="177" spans="1:39">
      <c r="A177" s="1506" t="s">
        <v>1003</v>
      </c>
      <c r="I177" s="1507">
        <v>4.0189999999999948E-2</v>
      </c>
      <c r="J177" s="1507">
        <v>3.9814000000000016E-2</v>
      </c>
      <c r="K177" s="1507">
        <v>3.8834999999999953E-2</v>
      </c>
      <c r="L177" s="1507">
        <v>3.8224000000000036E-2</v>
      </c>
      <c r="M177" s="1507">
        <v>3.7452000000000041E-2</v>
      </c>
      <c r="N177" s="1507">
        <v>3.7511000000000072E-2</v>
      </c>
      <c r="O177" s="1507">
        <v>3.7085999999999952E-2</v>
      </c>
      <c r="P177" s="1507">
        <v>3.7218999999999891E-2</v>
      </c>
      <c r="Q177" s="1507">
        <v>3.6961000000000022E-2</v>
      </c>
      <c r="R177" s="1507">
        <v>3.782299999999994E-2</v>
      </c>
      <c r="S177" s="1507">
        <v>3.7673000000000068E-2</v>
      </c>
      <c r="T177" s="1507">
        <v>3.8308999999999926E-2</v>
      </c>
      <c r="U177" s="1507">
        <v>3.8669000000000064E-2</v>
      </c>
      <c r="V177" s="1507">
        <v>3.9109999999999978E-2</v>
      </c>
      <c r="W177" s="1507">
        <v>3.8880000000000026E-2</v>
      </c>
      <c r="X177" s="1507">
        <v>3.8245000000000084E-2</v>
      </c>
      <c r="Y177" s="1507">
        <v>3.7223999999999924E-2</v>
      </c>
      <c r="Z177" s="1507">
        <v>3.7180999999999909E-2</v>
      </c>
      <c r="AA177" s="1507">
        <v>3.797600000000001E-2</v>
      </c>
      <c r="AB177" s="1507">
        <v>3.8621000000000016E-2</v>
      </c>
      <c r="AC177" s="1507">
        <v>3.8491000000000053E-2</v>
      </c>
      <c r="AD177" s="1507">
        <v>3.79830000000001E-2</v>
      </c>
      <c r="AE177" s="1507">
        <v>3.8820000000000077E-2</v>
      </c>
      <c r="AF177" s="1507">
        <v>4.0205000000000046E-2</v>
      </c>
      <c r="AG177" s="1507">
        <v>4.1149000000000102E-2</v>
      </c>
      <c r="AH177" s="1252">
        <f t="shared" si="1"/>
        <v>4.1902347024308437E-2</v>
      </c>
      <c r="AI177" s="1252">
        <f t="shared" si="1"/>
        <v>3.8271464495270004E-2</v>
      </c>
      <c r="AJ177" s="1252">
        <f t="shared" si="1"/>
        <v>3.3364866483055908E-2</v>
      </c>
      <c r="AK177" s="1252">
        <f t="shared" si="1"/>
        <v>3.042090767572744E-2</v>
      </c>
      <c r="AL177" s="1617">
        <f t="shared" si="1"/>
        <v>2.1589031253742053E-2</v>
      </c>
      <c r="AM177" s="1617">
        <f t="shared" si="1"/>
        <v>7.8505568195425656E-3</v>
      </c>
    </row>
    <row r="178" spans="1:39">
      <c r="A178" s="1506" t="s">
        <v>1011</v>
      </c>
      <c r="I178" s="1507">
        <v>3.3849000000000018E-2</v>
      </c>
      <c r="J178" s="1507">
        <v>3.5082000000000058E-2</v>
      </c>
      <c r="K178" s="1507">
        <v>3.2969999999999944E-2</v>
      </c>
      <c r="L178" s="1507">
        <v>3.47360000000001E-2</v>
      </c>
      <c r="M178" s="1507">
        <v>3.1652999999999931E-2</v>
      </c>
      <c r="N178" s="1507">
        <v>3.4914000000000112E-2</v>
      </c>
      <c r="O178" s="1507">
        <v>3.675000000000006E-2</v>
      </c>
      <c r="P178" s="1507">
        <v>3.9746999999999977E-2</v>
      </c>
      <c r="Q178" s="1507">
        <v>3.5082000000000058E-2</v>
      </c>
      <c r="R178" s="1507">
        <v>3.6875999999999909E-2</v>
      </c>
      <c r="S178" s="1507">
        <v>3.6720000000000086E-2</v>
      </c>
      <c r="T178" s="1507">
        <v>3.7530000000000063E-2</v>
      </c>
      <c r="U178" s="1507">
        <v>3.8632E-2</v>
      </c>
      <c r="V178" s="1507">
        <v>4.0078000000000058E-2</v>
      </c>
      <c r="W178" s="1507">
        <v>3.8677000000000072E-2</v>
      </c>
      <c r="X178" s="1507">
        <v>3.7311000000000094E-2</v>
      </c>
      <c r="Y178" s="1507">
        <v>3.326399999999996E-2</v>
      </c>
      <c r="Z178" s="1507">
        <v>3.040200000000004E-2</v>
      </c>
      <c r="AA178" s="1507">
        <v>3.4280000000000088E-2</v>
      </c>
      <c r="AB178" s="1507">
        <v>3.6847000000000074E-2</v>
      </c>
      <c r="AC178" s="1507">
        <v>3.6367000000000038E-2</v>
      </c>
      <c r="AD178" s="1507">
        <v>3.6016999999999966E-2</v>
      </c>
      <c r="AE178" s="1507">
        <v>3.7004000000000037E-2</v>
      </c>
      <c r="AF178" s="1507">
        <v>3.6116000000000037E-2</v>
      </c>
      <c r="AG178" s="1507">
        <v>3.5787000000000013E-2</v>
      </c>
      <c r="AH178" s="1252">
        <f t="shared" si="1"/>
        <v>4.6735350244138121E-2</v>
      </c>
      <c r="AI178" s="1252">
        <f t="shared" si="1"/>
        <v>4.2685682892772525E-2</v>
      </c>
      <c r="AJ178" s="1252">
        <f t="shared" si="1"/>
        <v>3.721315944498118E-2</v>
      </c>
      <c r="AK178" s="1252">
        <f t="shared" si="1"/>
        <v>3.3929645376306369E-2</v>
      </c>
      <c r="AL178" s="1617">
        <f t="shared" si="1"/>
        <v>2.4079103170281939E-2</v>
      </c>
      <c r="AM178" s="1617">
        <f t="shared" si="1"/>
        <v>8.7560375164661593E-3</v>
      </c>
    </row>
    <row r="179" spans="1:39">
      <c r="A179" s="1506" t="s">
        <v>1007</v>
      </c>
      <c r="I179" s="1507">
        <v>4.3695000000000039E-2</v>
      </c>
      <c r="J179" s="1507">
        <v>4.2548999999999948E-2</v>
      </c>
      <c r="K179" s="1507">
        <v>4.2473999999999901E-2</v>
      </c>
      <c r="L179" s="1507">
        <v>4.0799999999999947E-2</v>
      </c>
      <c r="M179" s="1507">
        <v>4.1698000000000013E-2</v>
      </c>
      <c r="N179" s="1507">
        <v>4.0116999999999958E-2</v>
      </c>
      <c r="O179" s="1507">
        <v>3.8691999999999949E-2</v>
      </c>
      <c r="P179" s="1507">
        <v>3.7514999999999965E-2</v>
      </c>
      <c r="Q179" s="1507">
        <v>4.0375999999999967E-2</v>
      </c>
      <c r="R179" s="1507">
        <v>4.0500999999999898E-2</v>
      </c>
      <c r="S179" s="1507">
        <v>4.0372000000000074E-2</v>
      </c>
      <c r="T179" s="1507">
        <v>4.088399999999992E-2</v>
      </c>
      <c r="U179" s="1507">
        <v>4.0880000000000027E-2</v>
      </c>
      <c r="V179" s="1507">
        <v>4.085200000000011E-2</v>
      </c>
      <c r="W179" s="1507">
        <v>4.1484000000000076E-2</v>
      </c>
      <c r="X179" s="1507">
        <v>4.1398000000000046E-2</v>
      </c>
      <c r="Y179" s="1507">
        <v>4.2113000000000067E-2</v>
      </c>
      <c r="Z179" s="1507">
        <v>4.3476999999999988E-2</v>
      </c>
      <c r="AA179" s="1507">
        <v>4.2532000000000014E-2</v>
      </c>
      <c r="AB179" s="1507">
        <v>4.2283999999999988E-2</v>
      </c>
      <c r="AC179" s="1507">
        <v>4.2648999999999937E-2</v>
      </c>
      <c r="AD179" s="1507">
        <v>4.2392999999999903E-2</v>
      </c>
      <c r="AE179" s="1507">
        <v>4.3206000000000078E-2</v>
      </c>
      <c r="AF179" s="1507">
        <v>4.563600000000001E-2</v>
      </c>
      <c r="AG179" s="1507">
        <v>4.7061000000000019E-2</v>
      </c>
      <c r="AH179" s="1252">
        <f t="shared" si="1"/>
        <v>4.2080284995808979E-2</v>
      </c>
      <c r="AI179" s="1252">
        <f t="shared" si="1"/>
        <v>3.8433983954017571E-2</v>
      </c>
      <c r="AJ179" s="1252">
        <f t="shared" si="1"/>
        <v>3.3506550113758915E-2</v>
      </c>
      <c r="AK179" s="1252">
        <f t="shared" si="1"/>
        <v>3.0550089809603713E-2</v>
      </c>
      <c r="AL179" s="1617">
        <f t="shared" si="1"/>
        <v>2.1680708897138117E-2</v>
      </c>
      <c r="AM179" s="1617">
        <f t="shared" si="1"/>
        <v>7.8838941444138617E-3</v>
      </c>
    </row>
    <row r="180" spans="1:39">
      <c r="A180" s="1506" t="s">
        <v>1013</v>
      </c>
      <c r="I180" s="1507">
        <v>3.7897999999999987E-2</v>
      </c>
      <c r="J180" s="1507">
        <v>3.8329999999999975E-2</v>
      </c>
      <c r="K180" s="1507">
        <v>3.7198000000000064E-2</v>
      </c>
      <c r="L180" s="1507">
        <v>3.7700000000000067E-2</v>
      </c>
      <c r="M180" s="1507">
        <v>3.6240999999999968E-2</v>
      </c>
      <c r="N180" s="1507">
        <v>3.7517000000000023E-2</v>
      </c>
      <c r="O180" s="1507">
        <v>3.7757000000000041E-2</v>
      </c>
      <c r="P180" s="1507">
        <v>3.8729000000000013E-2</v>
      </c>
      <c r="Q180" s="1507">
        <v>3.6885999999999974E-2</v>
      </c>
      <c r="R180" s="1507">
        <v>3.8318000000000074E-2</v>
      </c>
      <c r="S180" s="1507">
        <v>3.8280000000000092E-2</v>
      </c>
      <c r="T180" s="1507">
        <v>3.8983999999999908E-2</v>
      </c>
      <c r="U180" s="1507">
        <v>3.9589000000000096E-2</v>
      </c>
      <c r="V180" s="1507">
        <v>4.0324999999999944E-2</v>
      </c>
      <c r="W180" s="1507">
        <v>3.9760999999999935E-2</v>
      </c>
      <c r="X180" s="1507">
        <v>3.9182999999999968E-2</v>
      </c>
      <c r="Y180" s="1507">
        <v>3.7597000000000103E-2</v>
      </c>
      <c r="Z180" s="1507">
        <v>3.6960000000000104E-2</v>
      </c>
      <c r="AA180" s="1507">
        <v>3.8880999999999943E-2</v>
      </c>
      <c r="AB180" s="1507">
        <v>4.0078999999999976E-2</v>
      </c>
      <c r="AC180" s="1507">
        <v>3.9830000000000032E-2</v>
      </c>
      <c r="AD180" s="1507">
        <v>3.9555000000000007E-2</v>
      </c>
      <c r="AE180" s="1507">
        <v>4.0456000000000047E-2</v>
      </c>
      <c r="AF180" s="1507">
        <v>4.0885999999999978E-2</v>
      </c>
      <c r="AG180" s="1507">
        <v>4.1253999999999902E-2</v>
      </c>
      <c r="AH180" s="1252">
        <f t="shared" si="1"/>
        <v>3.6596932103939647E-2</v>
      </c>
      <c r="AI180" s="1252">
        <f t="shared" si="1"/>
        <v>3.342576936893786E-2</v>
      </c>
      <c r="AJ180" s="1252">
        <f t="shared" si="1"/>
        <v>2.9140414321638136E-2</v>
      </c>
      <c r="AK180" s="1252">
        <f t="shared" si="1"/>
        <v>2.6569201293258297E-2</v>
      </c>
      <c r="AL180" s="1617">
        <f t="shared" si="1"/>
        <v>1.8855562208118789E-2</v>
      </c>
      <c r="AM180" s="1617">
        <f t="shared" si="1"/>
        <v>6.8565680756795611E-3</v>
      </c>
    </row>
    <row r="181" spans="1:39">
      <c r="A181" s="1506" t="s">
        <v>1009</v>
      </c>
      <c r="I181" s="1507">
        <v>4.3257000000000101E-2</v>
      </c>
      <c r="J181" s="1507">
        <v>4.0375999999999967E-2</v>
      </c>
      <c r="K181" s="1507">
        <v>3.7543000000000104E-2</v>
      </c>
      <c r="L181" s="1507">
        <v>3.7328000000000028E-2</v>
      </c>
      <c r="M181" s="1507">
        <v>3.5099999999999909E-2</v>
      </c>
      <c r="N181" s="1507">
        <v>3.6642999999999981E-2</v>
      </c>
      <c r="O181" s="1507">
        <v>3.9325999999999972E-2</v>
      </c>
      <c r="P181" s="1507">
        <v>4.3681000000000081E-2</v>
      </c>
      <c r="Q181" s="1507">
        <v>4.1595999999999966E-2</v>
      </c>
      <c r="R181" s="1507">
        <v>4.2232000000000047E-2</v>
      </c>
      <c r="S181" s="1507">
        <v>4.2324999999999946E-2</v>
      </c>
      <c r="T181" s="1507">
        <v>4.3641999999999959E-2</v>
      </c>
      <c r="U181" s="1507">
        <v>4.5233000000000079E-2</v>
      </c>
      <c r="V181" s="1507">
        <v>4.7608000000000095E-2</v>
      </c>
      <c r="W181" s="1507">
        <v>4.7034999999999938E-2</v>
      </c>
      <c r="X181" s="1507">
        <v>4.5120999999999967E-2</v>
      </c>
      <c r="Y181" s="1507">
        <v>3.9819000000000049E-2</v>
      </c>
      <c r="Z181" s="1507">
        <v>3.4618999999999955E-2</v>
      </c>
      <c r="AA181" s="1507">
        <v>3.6845000000000017E-2</v>
      </c>
      <c r="AB181" s="1507">
        <v>4.06200000000001E-2</v>
      </c>
      <c r="AC181" s="1507">
        <v>4.1263999999999967E-2</v>
      </c>
      <c r="AD181" s="1507">
        <v>4.100400000000004E-2</v>
      </c>
      <c r="AE181" s="1507">
        <v>4.2710999999999943E-2</v>
      </c>
      <c r="AF181" s="1507">
        <v>4.1843999999999992E-2</v>
      </c>
      <c r="AG181" s="1507">
        <v>3.9684000000000053E-2</v>
      </c>
      <c r="AH181" s="1252">
        <f t="shared" si="1"/>
        <v>4.8126085498742664E-2</v>
      </c>
      <c r="AI181" s="1252">
        <f t="shared" si="1"/>
        <v>4.395590947191954E-2</v>
      </c>
      <c r="AJ181" s="1252">
        <f t="shared" si="1"/>
        <v>3.832053646269909E-2</v>
      </c>
      <c r="AK181" s="1252">
        <f t="shared" si="1"/>
        <v>3.4939312657166814E-2</v>
      </c>
      <c r="AL181" s="1617">
        <f t="shared" si="1"/>
        <v>2.4795641240569995E-2</v>
      </c>
      <c r="AM181" s="1617">
        <f t="shared" si="1"/>
        <v>9.0165968147527253E-3</v>
      </c>
    </row>
    <row r="182" spans="1:39">
      <c r="A182" s="1506" t="s">
        <v>839</v>
      </c>
      <c r="I182" s="1507">
        <v>3.9264290302891913E-2</v>
      </c>
      <c r="J182" s="1507">
        <v>3.9929506396418013E-2</v>
      </c>
      <c r="K182" s="1507">
        <v>3.953365760008265E-2</v>
      </c>
      <c r="L182" s="1507">
        <v>3.9203783320716612E-2</v>
      </c>
      <c r="M182" s="1507">
        <v>3.8639679116231784E-2</v>
      </c>
      <c r="N182" s="1507">
        <v>3.8730072196341503E-2</v>
      </c>
      <c r="O182" s="1507">
        <v>3.8430648482962626E-2</v>
      </c>
      <c r="P182" s="1507">
        <v>3.8527601398592237E-2</v>
      </c>
      <c r="Q182" s="1507">
        <v>3.8189739561655944E-2</v>
      </c>
      <c r="R182" s="1507">
        <v>3.8761520187245546E-2</v>
      </c>
      <c r="S182" s="1507">
        <v>3.8570320982398432E-2</v>
      </c>
      <c r="T182" s="1507">
        <v>3.9044446999334292E-2</v>
      </c>
      <c r="U182" s="1507">
        <v>3.9309259076235614E-2</v>
      </c>
      <c r="V182" s="1507">
        <v>3.9650660258868875E-2</v>
      </c>
      <c r="W182" s="1507">
        <v>3.9391172551544562E-2</v>
      </c>
      <c r="X182" s="1507">
        <v>3.8749720359373629E-2</v>
      </c>
      <c r="Y182" s="1507">
        <v>3.7731394176159894E-2</v>
      </c>
      <c r="Z182" s="1507">
        <v>3.7599756496961678E-2</v>
      </c>
      <c r="AA182" s="1507">
        <v>3.8232698379883301E-2</v>
      </c>
      <c r="AB182" s="1507">
        <v>3.8792080222059377E-2</v>
      </c>
      <c r="AC182" s="1507">
        <v>3.8679561250686723E-2</v>
      </c>
      <c r="AD182" s="1507">
        <v>3.8201847049765369E-2</v>
      </c>
      <c r="AE182" s="1507">
        <v>3.8872760138529694E-2</v>
      </c>
      <c r="AF182" s="1507">
        <v>4.0054325261738466E-2</v>
      </c>
      <c r="AG182" s="1507">
        <v>4.0833630539170107E-2</v>
      </c>
      <c r="AH182" s="1252">
        <f t="shared" si="1"/>
        <v>4.2187661357921097E-2</v>
      </c>
      <c r="AI182" s="1252">
        <f t="shared" si="1"/>
        <v>3.8532056041192572E-2</v>
      </c>
      <c r="AJ182" s="1252">
        <f t="shared" si="1"/>
        <v>3.3592048856424299E-2</v>
      </c>
      <c r="AK182" s="1252">
        <f t="shared" si="1"/>
        <v>3.0628044545563327E-2</v>
      </c>
      <c r="AL182" s="1617">
        <f t="shared" si="1"/>
        <v>2.1736031612980426E-2</v>
      </c>
      <c r="AM182" s="1617">
        <f t="shared" si="1"/>
        <v>7.9040114956292467E-3</v>
      </c>
    </row>
    <row r="183" spans="1:39" ht="12.75" customHeight="1">
      <c r="A183" s="1506" t="s">
        <v>1882</v>
      </c>
      <c r="I183" s="1507">
        <v>4.2197999999999958E-2</v>
      </c>
      <c r="J183" s="1507">
        <v>4.2831000000000063E-2</v>
      </c>
      <c r="K183" s="1507">
        <v>4.2397000000000018E-2</v>
      </c>
      <c r="L183" s="1507">
        <v>4.1544000000000025E-2</v>
      </c>
      <c r="M183" s="1507">
        <v>4.1074999999999973E-2</v>
      </c>
      <c r="N183" s="1507">
        <v>4.0642000000000067E-2</v>
      </c>
      <c r="O183" s="1507">
        <v>3.979099999999991E-2</v>
      </c>
      <c r="P183" s="1507">
        <v>3.940699999999997E-2</v>
      </c>
      <c r="Q183" s="1507">
        <v>3.9703999999999962E-2</v>
      </c>
      <c r="R183" s="1507">
        <v>4.0408999999999917E-2</v>
      </c>
      <c r="S183" s="1507">
        <v>4.0224999999999955E-2</v>
      </c>
      <c r="T183" s="1507">
        <v>4.0871000000000102E-2</v>
      </c>
      <c r="U183" s="1507">
        <v>4.1155000000000053E-2</v>
      </c>
      <c r="V183" s="1507">
        <v>4.1487000000000052E-2</v>
      </c>
      <c r="W183" s="1507">
        <v>4.138099999999989E-2</v>
      </c>
      <c r="X183" s="1507">
        <v>4.0712000000000081E-2</v>
      </c>
      <c r="Y183" s="1507">
        <v>3.9895999999999932E-2</v>
      </c>
      <c r="Z183" s="1507">
        <v>4.0221000000000062E-2</v>
      </c>
      <c r="AA183" s="1507">
        <v>4.0628000000000108E-2</v>
      </c>
      <c r="AB183" s="1507">
        <v>4.1066000000000047E-2</v>
      </c>
      <c r="AC183" s="1507">
        <v>4.0996000000000032E-2</v>
      </c>
      <c r="AD183" s="1507">
        <v>4.0392999999999901E-2</v>
      </c>
      <c r="AE183" s="1507">
        <v>4.1268000000000082E-2</v>
      </c>
      <c r="AF183" s="1507">
        <v>4.321100000000011E-2</v>
      </c>
      <c r="AG183" s="1507">
        <v>4.4526000000000066E-2</v>
      </c>
      <c r="AH183" s="1252">
        <f t="shared" si="1"/>
        <v>4.0582129086337008E-2</v>
      </c>
      <c r="AI183" s="1252">
        <f t="shared" si="1"/>
        <v>3.706564483295418E-2</v>
      </c>
      <c r="AJ183" s="1252">
        <f t="shared" si="1"/>
        <v>3.2313639085139539E-2</v>
      </c>
      <c r="AK183" s="1252">
        <f t="shared" si="1"/>
        <v>2.9462435636450755E-2</v>
      </c>
      <c r="AL183" s="1617">
        <f t="shared" si="1"/>
        <v>2.0908825290384406E-2</v>
      </c>
      <c r="AM183" s="1617">
        <f t="shared" si="1"/>
        <v>7.6032091965034217E-3</v>
      </c>
    </row>
    <row r="184" spans="1:39">
      <c r="H184" s="1456"/>
      <c r="I184" s="1456"/>
      <c r="J184" s="1456"/>
      <c r="K184" s="1456"/>
      <c r="L184" s="1456"/>
      <c r="M184" s="1456"/>
      <c r="N184" s="1456"/>
      <c r="O184" s="1456"/>
      <c r="P184" s="1456"/>
      <c r="Q184" s="1456"/>
      <c r="R184" s="1456"/>
      <c r="S184" s="1456"/>
      <c r="T184" s="1456"/>
      <c r="U184" s="1456"/>
      <c r="V184" s="1456"/>
      <c r="W184" s="1456"/>
      <c r="X184" s="1456"/>
      <c r="Y184" s="1456"/>
      <c r="Z184" s="1456"/>
      <c r="AA184" s="1456"/>
      <c r="AB184" s="1456"/>
      <c r="AC184" s="1456"/>
      <c r="AD184" s="1456"/>
      <c r="AE184" s="1456"/>
      <c r="AF184" s="1456"/>
      <c r="AG184" s="1456"/>
      <c r="AH184" s="1456"/>
      <c r="AI184" s="1456"/>
      <c r="AJ184" s="1456"/>
      <c r="AK184" s="1456"/>
      <c r="AL184" s="1456"/>
      <c r="AM184" s="1456"/>
    </row>
    <row r="186" spans="1:39">
      <c r="H186" s="1456"/>
      <c r="I186" s="1456"/>
      <c r="J186" s="1456"/>
      <c r="K186" s="1456"/>
      <c r="L186" s="1456"/>
      <c r="M186" s="1456"/>
      <c r="N186" s="1456"/>
      <c r="O186" s="1456"/>
      <c r="P186" s="1456"/>
      <c r="Q186" s="1456"/>
      <c r="R186" s="1456"/>
      <c r="S186" s="1456"/>
      <c r="T186" s="1456"/>
      <c r="U186" s="1456"/>
      <c r="V186" s="1456"/>
      <c r="W186" s="1456"/>
      <c r="X186" s="1456"/>
      <c r="Y186" s="1456"/>
      <c r="Z186" s="1456"/>
      <c r="AA186" s="1456"/>
      <c r="AB186" s="1456"/>
      <c r="AC186" s="1456"/>
      <c r="AD186" s="1456"/>
      <c r="AE186" s="1456"/>
      <c r="AF186" s="1456"/>
      <c r="AG186" s="1456"/>
      <c r="AH186" s="1456"/>
      <c r="AI186" s="1456"/>
      <c r="AJ186" s="1456"/>
      <c r="AK186" s="1456"/>
      <c r="AL186" s="1456"/>
      <c r="AM186" s="1456"/>
    </row>
    <row r="188" spans="1:39" s="1456" customFormat="1">
      <c r="A188" s="1618" t="s">
        <v>2427</v>
      </c>
    </row>
    <row r="189" spans="1:39" s="1456" customFormat="1">
      <c r="A189" s="1456" t="s">
        <v>1881</v>
      </c>
      <c r="I189" s="266">
        <v>0.99074475408582285</v>
      </c>
      <c r="J189" s="266">
        <v>0.9466284363288795</v>
      </c>
      <c r="K189" s="266">
        <v>0.93103801094796967</v>
      </c>
      <c r="L189" s="266">
        <v>0.91302441917434074</v>
      </c>
      <c r="M189" s="266">
        <v>0.91229957750544344</v>
      </c>
      <c r="N189" s="266">
        <v>0.90012507165563727</v>
      </c>
      <c r="O189" s="266">
        <v>0.8895818048422578</v>
      </c>
      <c r="P189" s="266">
        <v>0.88011779729483186</v>
      </c>
      <c r="Q189" s="266">
        <v>0.89559305893556296</v>
      </c>
      <c r="R189" s="266">
        <v>0.89892071398920737</v>
      </c>
      <c r="S189" s="266">
        <v>0.90106200218647237</v>
      </c>
      <c r="T189" s="266">
        <v>0.90526855531342021</v>
      </c>
      <c r="U189" s="266">
        <v>0.90702279997969038</v>
      </c>
      <c r="V189" s="266">
        <v>0.90807107363349082</v>
      </c>
      <c r="W189" s="266">
        <v>0.91360145513338931</v>
      </c>
      <c r="X189" s="266">
        <v>0.91700264502709217</v>
      </c>
      <c r="Y189" s="266">
        <v>0.9257487245909467</v>
      </c>
      <c r="Z189" s="266">
        <v>0.93727152317880857</v>
      </c>
      <c r="AA189" s="266">
        <v>0.93583192841395491</v>
      </c>
      <c r="AB189" s="266">
        <v>0.93502255984093519</v>
      </c>
      <c r="AC189" s="266">
        <v>0.93676282869543248</v>
      </c>
      <c r="AD189" s="266">
        <v>0.93646694214875936</v>
      </c>
      <c r="AE189" s="266">
        <v>0.93990786209689525</v>
      </c>
      <c r="AF189" s="266">
        <v>0.95155209557383569</v>
      </c>
      <c r="AG189" s="266">
        <v>0.96177703269069692</v>
      </c>
      <c r="AH189" s="516">
        <v>0.96177703269069692</v>
      </c>
      <c r="AI189" s="516">
        <v>0.96177703269069692</v>
      </c>
      <c r="AJ189" s="516">
        <v>0.96177703269069692</v>
      </c>
      <c r="AK189" s="516">
        <v>0.96177703269069692</v>
      </c>
      <c r="AL189" s="516">
        <v>0.96177703269069692</v>
      </c>
      <c r="AM189" s="516">
        <v>0.96177703269069692</v>
      </c>
    </row>
    <row r="190" spans="1:39" s="1456" customFormat="1">
      <c r="A190" s="1456" t="s">
        <v>1015</v>
      </c>
      <c r="I190" s="266">
        <v>1.0897733357130124</v>
      </c>
      <c r="J190" s="266">
        <v>1.0706003672124575</v>
      </c>
      <c r="K190" s="266">
        <v>1.0599324704558228</v>
      </c>
      <c r="L190" s="266">
        <v>1.0510043578040791</v>
      </c>
      <c r="M190" s="266">
        <v>1.0441388721232339</v>
      </c>
      <c r="N190" s="266">
        <v>1.0360362707801327</v>
      </c>
      <c r="O190" s="266">
        <v>1.0278534744785637</v>
      </c>
      <c r="P190" s="266">
        <v>1.0296317531469104</v>
      </c>
      <c r="Q190" s="266">
        <v>1.0337001375515804</v>
      </c>
      <c r="R190" s="266">
        <v>1.0434568285595685</v>
      </c>
      <c r="S190" s="266">
        <v>1.0490134832630518</v>
      </c>
      <c r="T190" s="266">
        <v>1.0584796820920379</v>
      </c>
      <c r="U190" s="266">
        <v>1.0656832376986756</v>
      </c>
      <c r="V190" s="266">
        <v>1.074737740300155</v>
      </c>
      <c r="W190" s="266">
        <v>1.0794260307194852</v>
      </c>
      <c r="X190" s="266">
        <v>1.0806861662515113</v>
      </c>
      <c r="Y190" s="266">
        <v>1.0782955777008294</v>
      </c>
      <c r="Z190" s="266">
        <v>1.0777748344370861</v>
      </c>
      <c r="AA190" s="266">
        <v>1.0862923096874588</v>
      </c>
      <c r="AB190" s="266">
        <v>1.0958984424787785</v>
      </c>
      <c r="AC190" s="266">
        <v>1.0984682154710219</v>
      </c>
      <c r="AD190" s="266">
        <v>1.0989669421487585</v>
      </c>
      <c r="AE190" s="266">
        <v>1.1106161089454774</v>
      </c>
      <c r="AF190" s="266">
        <v>1.1201772424598522</v>
      </c>
      <c r="AG190" s="266">
        <v>1.1277691294455769</v>
      </c>
      <c r="AH190" s="516">
        <v>1.1277691294455769</v>
      </c>
      <c r="AI190" s="516">
        <v>1.1277691294455769</v>
      </c>
      <c r="AJ190" s="516">
        <v>1.1277691294455769</v>
      </c>
      <c r="AK190" s="516">
        <v>1.1277691294455769</v>
      </c>
      <c r="AL190" s="516">
        <v>1.1277691294455769</v>
      </c>
      <c r="AM190" s="516">
        <v>1.1277691294455769</v>
      </c>
    </row>
    <row r="191" spans="1:39" s="1456" customFormat="1">
      <c r="A191" s="1456" t="s">
        <v>1005</v>
      </c>
      <c r="I191" s="266">
        <v>0.95410621860737688</v>
      </c>
      <c r="J191" s="266">
        <v>0.93000326969993952</v>
      </c>
      <c r="K191" s="266">
        <v>0.91760884023123857</v>
      </c>
      <c r="L191" s="266">
        <v>0.90742889559320228</v>
      </c>
      <c r="M191" s="266">
        <v>0.90594903823444717</v>
      </c>
      <c r="N191" s="266">
        <v>0.9035124289957791</v>
      </c>
      <c r="O191" s="266">
        <v>0.89013206162875946</v>
      </c>
      <c r="P191" s="266">
        <v>0.87654739256208958</v>
      </c>
      <c r="Q191" s="266">
        <v>0.88911226325256509</v>
      </c>
      <c r="R191" s="266">
        <v>0.90169676214196992</v>
      </c>
      <c r="S191" s="266">
        <v>0.90376906658337242</v>
      </c>
      <c r="T191" s="266">
        <v>0.91052429175746608</v>
      </c>
      <c r="U191" s="266">
        <v>0.91291321789468582</v>
      </c>
      <c r="V191" s="266">
        <v>0.91291472167846122</v>
      </c>
      <c r="W191" s="266">
        <v>0.91620351657235366</v>
      </c>
      <c r="X191" s="266">
        <v>0.91705400477645804</v>
      </c>
      <c r="Y191" s="266">
        <v>0.92397769025402621</v>
      </c>
      <c r="Z191" s="266">
        <v>0.94201324503311135</v>
      </c>
      <c r="AA191" s="266">
        <v>0.94420957074309697</v>
      </c>
      <c r="AB191" s="266">
        <v>0.94116597415177505</v>
      </c>
      <c r="AC191" s="266">
        <v>0.93992851672198374</v>
      </c>
      <c r="AD191" s="266">
        <v>0.93626033057851121</v>
      </c>
      <c r="AE191" s="266">
        <v>0.94160380701665525</v>
      </c>
      <c r="AF191" s="266">
        <v>0.96276439482961496</v>
      </c>
      <c r="AG191" s="266">
        <v>0.98131960244282068</v>
      </c>
      <c r="AH191" s="516">
        <v>0.98131960244282068</v>
      </c>
      <c r="AI191" s="516">
        <v>0.98131960244282068</v>
      </c>
      <c r="AJ191" s="516">
        <v>0.98131960244282068</v>
      </c>
      <c r="AK191" s="516">
        <v>0.98131960244282068</v>
      </c>
      <c r="AL191" s="516">
        <v>0.98131960244282068</v>
      </c>
      <c r="AM191" s="516">
        <v>0.98131960244282068</v>
      </c>
    </row>
    <row r="192" spans="1:39" s="1456" customFormat="1">
      <c r="A192" s="1456" t="s">
        <v>1001</v>
      </c>
      <c r="I192" s="266">
        <v>1.0490722488121811</v>
      </c>
      <c r="J192" s="266">
        <v>1.0077078802005168</v>
      </c>
      <c r="K192" s="266">
        <v>1.0389416695033189</v>
      </c>
      <c r="L192" s="266">
        <v>0.99843686563089218</v>
      </c>
      <c r="M192" s="266">
        <v>1.0527624363741725</v>
      </c>
      <c r="N192" s="266">
        <v>0.99005201116721198</v>
      </c>
      <c r="O192" s="266">
        <v>0.96230921202010244</v>
      </c>
      <c r="P192" s="266">
        <v>0.92509675473378561</v>
      </c>
      <c r="Q192" s="266">
        <v>1.0308178829621599</v>
      </c>
      <c r="R192" s="266">
        <v>0.99991178364334599</v>
      </c>
      <c r="S192" s="266">
        <v>1.0033234887569396</v>
      </c>
      <c r="T192" s="266">
        <v>1.0001766898928088</v>
      </c>
      <c r="U192" s="266">
        <v>0.98945746933868117</v>
      </c>
      <c r="V192" s="266">
        <v>0.9764744137497986</v>
      </c>
      <c r="W192" s="266">
        <v>1.004024118310987</v>
      </c>
      <c r="X192" s="266">
        <v>1.020232708942471</v>
      </c>
      <c r="Y192" s="266">
        <v>1.0771825119499647</v>
      </c>
      <c r="Z192" s="266">
        <v>1.1172670929518123</v>
      </c>
      <c r="AA192" s="266">
        <v>1.0595825243413426</v>
      </c>
      <c r="AB192" s="266">
        <v>1.0351132122216702</v>
      </c>
      <c r="AC192" s="266">
        <v>1.0504919862829254</v>
      </c>
      <c r="AD192" s="266">
        <v>1.0573024434593989</v>
      </c>
      <c r="AE192" s="266">
        <v>1.0551459895586226</v>
      </c>
      <c r="AF192" s="266">
        <v>1.0824446424395056</v>
      </c>
      <c r="AG192" s="266">
        <v>1.09450468955827</v>
      </c>
      <c r="AH192" s="516">
        <v>1.09450468955827</v>
      </c>
      <c r="AI192" s="516">
        <v>1.09450468955827</v>
      </c>
      <c r="AJ192" s="516">
        <v>1.09450468955827</v>
      </c>
      <c r="AK192" s="516">
        <v>1.09450468955827</v>
      </c>
      <c r="AL192" s="516">
        <v>1.09450468955827</v>
      </c>
      <c r="AM192" s="516">
        <v>1.09450468955827</v>
      </c>
    </row>
    <row r="193" spans="1:39" s="1456" customFormat="1">
      <c r="A193" s="1456" t="s">
        <v>1003</v>
      </c>
      <c r="I193" s="266">
        <v>1.0247061523163599</v>
      </c>
      <c r="J193" s="266">
        <v>1.0013833345909107</v>
      </c>
      <c r="K193" s="266">
        <v>0.99337494244640989</v>
      </c>
      <c r="L193" s="266">
        <v>0.98563729661432242</v>
      </c>
      <c r="M193" s="266">
        <v>0.98281155693179834</v>
      </c>
      <c r="N193" s="266">
        <v>0.97740893220074188</v>
      </c>
      <c r="O193" s="266">
        <v>0.97175348495964664</v>
      </c>
      <c r="P193" s="266">
        <v>0.96997732662687675</v>
      </c>
      <c r="Q193" s="266">
        <v>0.97770077240503694</v>
      </c>
      <c r="R193" s="266">
        <v>0.98129410543793949</v>
      </c>
      <c r="S193" s="266">
        <v>0.98060804831068948</v>
      </c>
      <c r="T193" s="266">
        <v>0.98215613382899447</v>
      </c>
      <c r="U193" s="266">
        <v>0.98179556187477934</v>
      </c>
      <c r="V193" s="266">
        <v>0.98152888621191536</v>
      </c>
      <c r="W193" s="266">
        <v>0.98221503637833529</v>
      </c>
      <c r="X193" s="266">
        <v>0.98212680722118306</v>
      </c>
      <c r="Y193" s="266">
        <v>0.98395495757447382</v>
      </c>
      <c r="Z193" s="266">
        <v>0.98492715231787842</v>
      </c>
      <c r="AA193" s="266">
        <v>0.98498249254312054</v>
      </c>
      <c r="AB193" s="266">
        <v>0.98450126182161202</v>
      </c>
      <c r="AC193" s="266">
        <v>0.98266530508042016</v>
      </c>
      <c r="AD193" s="266">
        <v>0.98096590909091175</v>
      </c>
      <c r="AE193" s="266">
        <v>0.98263554903052897</v>
      </c>
      <c r="AF193" s="266">
        <v>0.98425871523697717</v>
      </c>
      <c r="AG193" s="266">
        <v>0.98548676805173263</v>
      </c>
      <c r="AH193" s="516">
        <v>0.98548676805173263</v>
      </c>
      <c r="AI193" s="516">
        <v>0.98548676805173263</v>
      </c>
      <c r="AJ193" s="516">
        <v>0.98548676805173263</v>
      </c>
      <c r="AK193" s="516">
        <v>0.98548676805173263</v>
      </c>
      <c r="AL193" s="516">
        <v>0.98548676805173263</v>
      </c>
      <c r="AM193" s="516">
        <v>0.98548676805173263</v>
      </c>
    </row>
    <row r="194" spans="1:39" s="1456" customFormat="1">
      <c r="A194" s="1456" t="s">
        <v>1011</v>
      </c>
      <c r="I194" s="266">
        <v>0.86303255908824406</v>
      </c>
      <c r="J194" s="266">
        <v>0.88236625669659841</v>
      </c>
      <c r="K194" s="266">
        <v>0.84335192101089529</v>
      </c>
      <c r="L194" s="266">
        <v>0.89569634614889004</v>
      </c>
      <c r="M194" s="266">
        <v>0.83063479150812003</v>
      </c>
      <c r="N194" s="266">
        <v>0.9097399551826596</v>
      </c>
      <c r="O194" s="266">
        <v>0.9629493763756436</v>
      </c>
      <c r="P194" s="266">
        <v>1.035860415417893</v>
      </c>
      <c r="Q194" s="266">
        <v>0.92799703735054628</v>
      </c>
      <c r="R194" s="266">
        <v>0.95672478206724543</v>
      </c>
      <c r="S194" s="266">
        <v>0.95580196782758309</v>
      </c>
      <c r="T194" s="266">
        <v>0.96218433534162451</v>
      </c>
      <c r="U194" s="266">
        <v>0.98085614177626557</v>
      </c>
      <c r="V194" s="266">
        <v>1.0058224163027671</v>
      </c>
      <c r="W194" s="266">
        <v>0.97708670169765743</v>
      </c>
      <c r="X194" s="266">
        <v>0.95814180426799767</v>
      </c>
      <c r="Y194" s="266">
        <v>0.87927889825804117</v>
      </c>
      <c r="Z194" s="266">
        <v>0.8053509933774845</v>
      </c>
      <c r="AA194" s="266">
        <v>0.88911943976138219</v>
      </c>
      <c r="AB194" s="266">
        <v>0.93927961457085507</v>
      </c>
      <c r="AC194" s="266">
        <v>0.9284401327546602</v>
      </c>
      <c r="AD194" s="266">
        <v>0.93019111570247848</v>
      </c>
      <c r="AE194" s="266">
        <v>0.93666784792183555</v>
      </c>
      <c r="AF194" s="266">
        <v>0.8841558950254611</v>
      </c>
      <c r="AG194" s="266">
        <v>0.85707100945994508</v>
      </c>
      <c r="AH194" s="516">
        <v>0.85707100945994508</v>
      </c>
      <c r="AI194" s="516">
        <v>0.85707100945994508</v>
      </c>
      <c r="AJ194" s="516">
        <v>0.85707100945994508</v>
      </c>
      <c r="AK194" s="516">
        <v>0.85707100945994508</v>
      </c>
      <c r="AL194" s="516">
        <v>0.85707100945994508</v>
      </c>
      <c r="AM194" s="516">
        <v>0.85707100945994508</v>
      </c>
    </row>
    <row r="195" spans="1:39" s="1456" customFormat="1">
      <c r="A195" s="1456" t="s">
        <v>1007</v>
      </c>
      <c r="I195" s="266">
        <v>1.114071543305883</v>
      </c>
      <c r="J195" s="266">
        <v>1.0701727910661722</v>
      </c>
      <c r="K195" s="266">
        <v>1.0864582800429707</v>
      </c>
      <c r="L195" s="266">
        <v>1.0520615765452141</v>
      </c>
      <c r="M195" s="266">
        <v>1.0942346550502535</v>
      </c>
      <c r="N195" s="266">
        <v>1.0453124185731397</v>
      </c>
      <c r="O195" s="266">
        <v>1.0138350277748651</v>
      </c>
      <c r="P195" s="266">
        <v>0.97769148575747211</v>
      </c>
      <c r="Q195" s="266">
        <v>1.0680351285578236</v>
      </c>
      <c r="R195" s="266">
        <v>1.0507731423827287</v>
      </c>
      <c r="S195" s="266">
        <v>1.0508615753032451</v>
      </c>
      <c r="T195" s="266">
        <v>1.0481733111139577</v>
      </c>
      <c r="U195" s="266">
        <v>1.0379322601939782</v>
      </c>
      <c r="V195" s="266">
        <v>1.0252472017266503</v>
      </c>
      <c r="W195" s="266">
        <v>1.0479991915925646</v>
      </c>
      <c r="X195" s="266">
        <v>1.0630954520941951</v>
      </c>
      <c r="Y195" s="266">
        <v>1.1131875974729735</v>
      </c>
      <c r="Z195" s="266">
        <v>1.151708609271523</v>
      </c>
      <c r="AA195" s="266">
        <v>1.1031513422383612</v>
      </c>
      <c r="AB195" s="266">
        <v>1.077876061077264</v>
      </c>
      <c r="AC195" s="266">
        <v>1.0888179729384717</v>
      </c>
      <c r="AD195" s="266">
        <v>1.0948605371900801</v>
      </c>
      <c r="AE195" s="266">
        <v>1.0936566597478883</v>
      </c>
      <c r="AF195" s="266">
        <v>1.1172150411280848</v>
      </c>
      <c r="AG195" s="266">
        <v>1.1270746018440907</v>
      </c>
      <c r="AH195" s="516">
        <v>1.1270746018440907</v>
      </c>
      <c r="AI195" s="516">
        <v>1.1270746018440907</v>
      </c>
      <c r="AJ195" s="516">
        <v>1.1270746018440907</v>
      </c>
      <c r="AK195" s="516">
        <v>1.1270746018440907</v>
      </c>
      <c r="AL195" s="516">
        <v>1.1270746018440907</v>
      </c>
      <c r="AM195" s="516">
        <v>1.1270746018440907</v>
      </c>
    </row>
    <row r="196" spans="1:39" s="1456" customFormat="1">
      <c r="A196" s="1456" t="s">
        <v>1013</v>
      </c>
      <c r="I196" s="266">
        <v>0.96626807067642306</v>
      </c>
      <c r="J196" s="266">
        <v>0.96405845217434982</v>
      </c>
      <c r="K196" s="266">
        <v>0.95150150918299636</v>
      </c>
      <c r="L196" s="266">
        <v>0.9721255253861445</v>
      </c>
      <c r="M196" s="266">
        <v>0.95103261867898192</v>
      </c>
      <c r="N196" s="266">
        <v>0.97756527177028563</v>
      </c>
      <c r="O196" s="266">
        <v>0.98933549942354171</v>
      </c>
      <c r="P196" s="266">
        <v>1.009329962732272</v>
      </c>
      <c r="Q196" s="266">
        <v>0.97571685535922048</v>
      </c>
      <c r="R196" s="266">
        <v>0.99413657119136756</v>
      </c>
      <c r="S196" s="266">
        <v>0.99640793378104253</v>
      </c>
      <c r="T196" s="266">
        <v>0.99946160748621737</v>
      </c>
      <c r="U196" s="266">
        <v>1.0051541156756232</v>
      </c>
      <c r="V196" s="266">
        <v>1.0120212819354502</v>
      </c>
      <c r="W196" s="266">
        <v>1.0044715036378318</v>
      </c>
      <c r="X196" s="266">
        <v>1.0062145296730944</v>
      </c>
      <c r="Y196" s="266">
        <v>0.99381459649494064</v>
      </c>
      <c r="Z196" s="266">
        <v>0.97907284768212199</v>
      </c>
      <c r="AA196" s="266">
        <v>1.0084554532486045</v>
      </c>
      <c r="AB196" s="266">
        <v>1.0216676438349175</v>
      </c>
      <c r="AC196" s="266">
        <v>1.0168496298187397</v>
      </c>
      <c r="AD196" s="266">
        <v>1.0215650826446283</v>
      </c>
      <c r="AE196" s="266">
        <v>1.0240469802055396</v>
      </c>
      <c r="AF196" s="266">
        <v>1.0009302781041904</v>
      </c>
      <c r="AG196" s="266">
        <v>0.98800143695365572</v>
      </c>
      <c r="AH196" s="516">
        <v>0.98800143695365572</v>
      </c>
      <c r="AI196" s="516">
        <v>0.98800143695365572</v>
      </c>
      <c r="AJ196" s="516">
        <v>0.98800143695365572</v>
      </c>
      <c r="AK196" s="516">
        <v>0.98800143695365572</v>
      </c>
      <c r="AL196" s="516">
        <v>0.98800143695365572</v>
      </c>
      <c r="AM196" s="516">
        <v>0.98800143695365572</v>
      </c>
    </row>
    <row r="197" spans="1:39" s="1456" customFormat="1">
      <c r="A197" s="1456" t="s">
        <v>1009</v>
      </c>
      <c r="I197" s="266">
        <v>1.1029040565003467</v>
      </c>
      <c r="J197" s="266">
        <v>1.0155184989562103</v>
      </c>
      <c r="K197" s="266">
        <v>0.96032639279685117</v>
      </c>
      <c r="L197" s="266">
        <v>0.96253319924705483</v>
      </c>
      <c r="M197" s="266">
        <v>0.92109061327314945</v>
      </c>
      <c r="N197" s="266">
        <v>0.95479180780655526</v>
      </c>
      <c r="O197" s="266">
        <v>1.030447542186353</v>
      </c>
      <c r="P197" s="266">
        <v>1.1383857600792286</v>
      </c>
      <c r="Q197" s="266">
        <v>1.1003068458364185</v>
      </c>
      <c r="R197" s="266">
        <v>1.0956828559568297</v>
      </c>
      <c r="S197" s="266">
        <v>1.1016971211411304</v>
      </c>
      <c r="T197" s="266">
        <v>1.1188821945904361</v>
      </c>
      <c r="U197" s="266">
        <v>1.1484537652973157</v>
      </c>
      <c r="V197" s="266">
        <v>1.1947999799227047</v>
      </c>
      <c r="W197" s="266">
        <v>1.1882326192400954</v>
      </c>
      <c r="X197" s="266">
        <v>1.1587016255360667</v>
      </c>
      <c r="Y197" s="266">
        <v>1.0525494964447157</v>
      </c>
      <c r="Z197" s="266">
        <v>0.91705960264900543</v>
      </c>
      <c r="AA197" s="266">
        <v>0.95564777590455241</v>
      </c>
      <c r="AB197" s="266">
        <v>1.0354584618522038</v>
      </c>
      <c r="AC197" s="266">
        <v>1.0534592800612705</v>
      </c>
      <c r="AD197" s="266">
        <v>1.0589876033057863</v>
      </c>
      <c r="AE197" s="266">
        <v>1.0811269174302622</v>
      </c>
      <c r="AF197" s="266">
        <v>1.0243830787309045</v>
      </c>
      <c r="AG197" s="266">
        <v>0.95040114956292765</v>
      </c>
      <c r="AH197" s="516">
        <v>0.95040114956292765</v>
      </c>
      <c r="AI197" s="516">
        <v>0.95040114956292765</v>
      </c>
      <c r="AJ197" s="516">
        <v>0.95040114956292765</v>
      </c>
      <c r="AK197" s="516">
        <v>0.95040114956292765</v>
      </c>
      <c r="AL197" s="516">
        <v>0.95040114956292765</v>
      </c>
      <c r="AM197" s="516">
        <v>0.95040114956292765</v>
      </c>
    </row>
    <row r="198" spans="1:39" s="1456" customFormat="1">
      <c r="A198" s="1456" t="s">
        <v>2385</v>
      </c>
      <c r="I198" s="266">
        <v>0.13334693149078475</v>
      </c>
      <c r="J198" s="266">
        <v>0.61072964611785796</v>
      </c>
      <c r="K198" s="266">
        <v>0.42369673095615751</v>
      </c>
      <c r="L198" s="266">
        <v>0.71171449936824704</v>
      </c>
      <c r="M198" s="266">
        <v>0.42981604429632142</v>
      </c>
      <c r="N198" s="266">
        <v>0.91826046172286402</v>
      </c>
      <c r="O198" s="266">
        <v>1.1760821716801155</v>
      </c>
      <c r="P198" s="266">
        <v>1.4017356858043806</v>
      </c>
      <c r="Q198" s="266">
        <v>0.59991006242725353</v>
      </c>
      <c r="R198" s="266">
        <v>0.78580323785803474</v>
      </c>
      <c r="S198" s="266">
        <v>0.79111354052787475</v>
      </c>
      <c r="T198" s="266">
        <v>0.81040892193308334</v>
      </c>
      <c r="U198" s="266">
        <v>0.89331234448789165</v>
      </c>
      <c r="V198" s="266">
        <v>0.96867941575063776</v>
      </c>
      <c r="W198" s="266">
        <v>0.79370452708164774</v>
      </c>
      <c r="X198" s="266">
        <v>0.7194216892221541</v>
      </c>
      <c r="Y198" s="266">
        <v>0.4172504031085601</v>
      </c>
      <c r="Z198" s="266">
        <v>0.28786754966887312</v>
      </c>
      <c r="AA198" s="266">
        <v>0.61040072623524688</v>
      </c>
      <c r="AB198" s="266">
        <v>0.71426750618164969</v>
      </c>
      <c r="AC198" s="266">
        <v>0.65841205003829417</v>
      </c>
      <c r="AD198" s="266">
        <v>0.64912190082644605</v>
      </c>
      <c r="AE198" s="266">
        <v>0.62562648711588009</v>
      </c>
      <c r="AF198" s="266">
        <v>0.49471210340775562</v>
      </c>
      <c r="AG198" s="266">
        <v>0.44148006226799325</v>
      </c>
      <c r="AH198" s="516">
        <v>0.44148006226799325</v>
      </c>
      <c r="AI198" s="516">
        <v>0.44148006226799325</v>
      </c>
      <c r="AJ198" s="516">
        <v>0.44148006226799325</v>
      </c>
      <c r="AK198" s="516">
        <v>0.44148006226799325</v>
      </c>
      <c r="AL198" s="516">
        <v>0.44148006226799325</v>
      </c>
      <c r="AM198" s="516">
        <v>0.44148006226799325</v>
      </c>
    </row>
    <row r="199" spans="1:39" s="1456" customFormat="1">
      <c r="A199" s="1456" t="s">
        <v>839</v>
      </c>
      <c r="I199" s="266">
        <v>1.0011037531651898</v>
      </c>
      <c r="J199" s="266">
        <v>1.0042884981115725</v>
      </c>
      <c r="K199" s="266">
        <v>1.0112461656541323</v>
      </c>
      <c r="L199" s="266">
        <v>1.0109018158561309</v>
      </c>
      <c r="M199" s="266">
        <v>1.0139785109358328</v>
      </c>
      <c r="N199" s="266">
        <v>1.0091738026041353</v>
      </c>
      <c r="O199" s="266">
        <v>1.0069869113028673</v>
      </c>
      <c r="P199" s="266">
        <v>1.0040812436108582</v>
      </c>
      <c r="Q199" s="266">
        <v>1.0102036705548603</v>
      </c>
      <c r="R199" s="266">
        <v>1.0056434253644029</v>
      </c>
      <c r="S199" s="266">
        <v>1.0039648337341462</v>
      </c>
      <c r="T199" s="266">
        <v>1.001011331863461</v>
      </c>
      <c r="U199" s="266">
        <v>0.99805156848209031</v>
      </c>
      <c r="V199" s="266">
        <v>0.99509763235629367</v>
      </c>
      <c r="W199" s="266">
        <v>0.99512865176699072</v>
      </c>
      <c r="X199" s="266">
        <v>0.99508796279945644</v>
      </c>
      <c r="Y199" s="266">
        <v>0.99736708456450773</v>
      </c>
      <c r="Z199" s="266">
        <v>0.99602003965461405</v>
      </c>
      <c r="AA199" s="266">
        <v>0.99164047153114521</v>
      </c>
      <c r="AB199" s="266">
        <v>0.98886232690253073</v>
      </c>
      <c r="AC199" s="266">
        <v>0.98747922518985765</v>
      </c>
      <c r="AD199" s="266">
        <v>0.98661795066542801</v>
      </c>
      <c r="AE199" s="266">
        <v>0.98397104587985862</v>
      </c>
      <c r="AF199" s="266">
        <v>0.98057004655646451</v>
      </c>
      <c r="AG199" s="266">
        <v>0.97793391304442823</v>
      </c>
      <c r="AH199" s="516">
        <v>0.97793391304442823</v>
      </c>
      <c r="AI199" s="516">
        <v>0.97793391304442823</v>
      </c>
      <c r="AJ199" s="516">
        <v>0.97793391304442823</v>
      </c>
      <c r="AK199" s="516">
        <v>0.97793391304442823</v>
      </c>
      <c r="AL199" s="516">
        <v>0.97793391304442823</v>
      </c>
      <c r="AM199" s="516">
        <v>0.97793391304442823</v>
      </c>
    </row>
    <row r="200" spans="1:39" s="1456" customFormat="1">
      <c r="A200" s="1456" t="s">
        <v>1882</v>
      </c>
      <c r="I200" s="266">
        <v>1.0759032151143511</v>
      </c>
      <c r="J200" s="266">
        <v>1.0772655247868423</v>
      </c>
      <c r="K200" s="266">
        <v>1.0844886683378527</v>
      </c>
      <c r="L200" s="266">
        <v>1.0712462288233937</v>
      </c>
      <c r="M200" s="266">
        <v>1.0778859527120994</v>
      </c>
      <c r="N200" s="266">
        <v>1.0589921309083346</v>
      </c>
      <c r="O200" s="266">
        <v>1.0426317996017167</v>
      </c>
      <c r="P200" s="266">
        <v>1.026999556957076</v>
      </c>
      <c r="Q200" s="266">
        <v>1.0502592318273187</v>
      </c>
      <c r="R200" s="266">
        <v>1.0483862598588605</v>
      </c>
      <c r="S200" s="266">
        <v>1.0470352438960893</v>
      </c>
      <c r="T200" s="266">
        <v>1.0478400205101936</v>
      </c>
      <c r="U200" s="266">
        <v>1.0449144366018395</v>
      </c>
      <c r="V200" s="266">
        <v>1.0411835566932703</v>
      </c>
      <c r="W200" s="266">
        <v>1.0453971301535947</v>
      </c>
      <c r="X200" s="266">
        <v>1.0454790580621989</v>
      </c>
      <c r="Y200" s="266">
        <v>1.0545848642647546</v>
      </c>
      <c r="Z200" s="266">
        <v>1.0654569536423857</v>
      </c>
      <c r="AA200" s="266">
        <v>1.0537673453508003</v>
      </c>
      <c r="AB200" s="266">
        <v>1.0468276020291123</v>
      </c>
      <c r="AC200" s="266">
        <v>1.0466173091651783</v>
      </c>
      <c r="AD200" s="266">
        <v>1.0432076446280967</v>
      </c>
      <c r="AE200" s="266">
        <v>1.0446008201285901</v>
      </c>
      <c r="AF200" s="266">
        <v>1.0578486094790469</v>
      </c>
      <c r="AG200" s="266">
        <v>1.0663633097832608</v>
      </c>
      <c r="AH200" s="516">
        <v>1.06</v>
      </c>
      <c r="AI200" s="516">
        <v>1.05</v>
      </c>
      <c r="AJ200" s="516">
        <v>1.04</v>
      </c>
      <c r="AK200" s="516">
        <v>1.03</v>
      </c>
      <c r="AL200" s="516">
        <v>1.02</v>
      </c>
      <c r="AM200" s="516">
        <v>1</v>
      </c>
    </row>
    <row r="201" spans="1:39" s="1456" customFormat="1"/>
    <row r="202" spans="1:39" s="1456" customFormat="1"/>
  </sheetData>
  <mergeCells count="1">
    <mergeCell ref="B2:I2"/>
  </mergeCells>
  <pageMargins left="0.7" right="0.7" top="0.75" bottom="0.75" header="0.3" footer="0.3"/>
  <legacyDrawing r:id="rId1"/>
  <extLst>
    <ext xmlns:mx="http://schemas.microsoft.com/office/mac/excel/2008/main" uri="{64002731-A6B0-56B0-2670-7721B7C09600}">
      <mx:PLV Mode="0" OnePage="0" WScale="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enableFormatConditionsCalculation="0">
    <tabColor theme="7" tint="0.39997558519241921"/>
  </sheetPr>
  <dimension ref="A1:AD231"/>
  <sheetViews>
    <sheetView topLeftCell="C94" zoomScale="110" zoomScaleNormal="110" zoomScalePageLayoutView="110" workbookViewId="0">
      <selection activeCell="M28" sqref="M28"/>
    </sheetView>
    <sheetView workbookViewId="1"/>
  </sheetViews>
  <sheetFormatPr baseColWidth="10" defaultColWidth="11.5" defaultRowHeight="13" x14ac:dyDescent="0"/>
  <cols>
    <col min="1" max="1" width="11.5" style="1098" customWidth="1"/>
    <col min="2" max="2" width="39.1640625" style="1098" customWidth="1"/>
    <col min="3" max="3" width="12.5" style="1098" customWidth="1"/>
    <col min="4" max="4" width="9.1640625" style="1098" customWidth="1"/>
    <col min="5" max="5" width="15.33203125" style="1098" customWidth="1"/>
    <col min="6" max="6" width="13.6640625" style="1098" customWidth="1"/>
    <col min="7" max="9" width="11.5" style="1098" customWidth="1"/>
    <col min="10" max="11" width="9.1640625" style="1098" customWidth="1"/>
    <col min="12" max="12" width="35.5" style="1098" customWidth="1"/>
    <col min="13" max="13" width="11.5" style="1098" customWidth="1"/>
    <col min="14" max="14" width="13.33203125" style="1098" customWidth="1"/>
    <col min="15" max="15" width="11.5" style="1098" customWidth="1"/>
    <col min="16" max="16" width="12.5" style="1099" customWidth="1"/>
    <col min="17" max="17" width="43" style="1099" customWidth="1"/>
    <col min="18" max="22" width="11.5" style="1099" customWidth="1"/>
    <col min="23" max="16384" width="11.5" style="1098"/>
  </cols>
  <sheetData>
    <row r="1" spans="2:30" ht="19" thickBot="1">
      <c r="B1" s="982" t="s">
        <v>1449</v>
      </c>
      <c r="C1" s="982"/>
      <c r="D1" s="982"/>
      <c r="E1" s="982"/>
      <c r="F1" s="982"/>
      <c r="G1" s="982"/>
      <c r="H1" s="982"/>
      <c r="I1" s="982"/>
      <c r="J1" s="982"/>
    </row>
    <row r="2" spans="2:30" ht="14" thickTop="1"/>
    <row r="3" spans="2:30" ht="14" thickBot="1">
      <c r="B3" s="983" t="s">
        <v>1450</v>
      </c>
    </row>
    <row r="4" spans="2:30">
      <c r="B4" s="984" t="s">
        <v>1451</v>
      </c>
      <c r="L4" s="1144" t="s">
        <v>1452</v>
      </c>
      <c r="M4" s="985">
        <v>0.08</v>
      </c>
    </row>
    <row r="5" spans="2:30">
      <c r="B5" s="986" t="s">
        <v>382</v>
      </c>
    </row>
    <row r="6" spans="2:30">
      <c r="B6" s="987" t="s">
        <v>1317</v>
      </c>
    </row>
    <row r="7" spans="2:30">
      <c r="B7" s="988" t="s">
        <v>1453</v>
      </c>
    </row>
    <row r="9" spans="2:30" ht="17" thickBot="1">
      <c r="B9" s="989" t="s">
        <v>1454</v>
      </c>
      <c r="C9" s="1063"/>
      <c r="D9" s="1063"/>
      <c r="E9" s="1063"/>
      <c r="F9" s="1063"/>
      <c r="G9" s="1063"/>
      <c r="L9" s="989" t="s">
        <v>1455</v>
      </c>
      <c r="N9" s="1098" t="s">
        <v>1456</v>
      </c>
      <c r="Z9" s="983" t="s">
        <v>1457</v>
      </c>
    </row>
    <row r="10" spans="2:30" ht="15" thickTop="1" thickBot="1">
      <c r="B10" s="983" t="s">
        <v>1458</v>
      </c>
      <c r="C10" s="1064" t="s">
        <v>65</v>
      </c>
      <c r="D10" s="1064" t="s">
        <v>383</v>
      </c>
      <c r="E10" s="1064" t="s">
        <v>412</v>
      </c>
      <c r="F10" s="1063"/>
      <c r="G10" s="1064" t="s">
        <v>1843</v>
      </c>
      <c r="M10" s="1144" t="s">
        <v>89</v>
      </c>
      <c r="N10" s="1144" t="s">
        <v>1459</v>
      </c>
      <c r="O10" s="1144" t="s">
        <v>1460</v>
      </c>
      <c r="P10" s="1156" t="s">
        <v>412</v>
      </c>
      <c r="AA10" s="1098">
        <v>300000</v>
      </c>
    </row>
    <row r="11" spans="2:30" ht="14" thickBot="1">
      <c r="B11" s="1063" t="s">
        <v>1461</v>
      </c>
      <c r="C11" s="1063" t="s">
        <v>1462</v>
      </c>
      <c r="D11" s="562">
        <v>47</v>
      </c>
      <c r="E11" s="1063" t="s">
        <v>1463</v>
      </c>
      <c r="F11" s="1063"/>
      <c r="G11" s="1065">
        <f>SUM(G12:G13)</f>
        <v>831407.60505140794</v>
      </c>
      <c r="L11" s="983" t="s">
        <v>1464</v>
      </c>
      <c r="Q11" s="1155" t="s">
        <v>1844</v>
      </c>
      <c r="R11" s="1136"/>
      <c r="S11" s="1136" t="s">
        <v>89</v>
      </c>
      <c r="Z11" s="1098" t="s">
        <v>1465</v>
      </c>
      <c r="AA11" s="1098">
        <v>0.2089</v>
      </c>
      <c r="AB11" s="1134">
        <v>62670</v>
      </c>
      <c r="AC11" s="1098">
        <v>74.066699999999997</v>
      </c>
      <c r="AD11" s="1134">
        <v>4641.7600889999994</v>
      </c>
    </row>
    <row r="12" spans="2:30">
      <c r="B12" s="1066" t="s">
        <v>105</v>
      </c>
      <c r="C12" s="1067" t="s">
        <v>1462</v>
      </c>
      <c r="D12" s="562">
        <v>1.6</v>
      </c>
      <c r="E12" s="1067"/>
      <c r="F12" s="1067"/>
      <c r="G12" s="1068">
        <f>D12*$D$23*1000</f>
        <v>32054.269110415731</v>
      </c>
      <c r="L12" s="1098" t="s">
        <v>1466</v>
      </c>
      <c r="M12" s="1154">
        <v>555617.60505140806</v>
      </c>
      <c r="N12" s="1129">
        <v>96.25</v>
      </c>
      <c r="O12" s="1134">
        <v>34760.826416028714</v>
      </c>
      <c r="Z12" s="1098" t="s">
        <v>1467</v>
      </c>
      <c r="AA12" s="1098">
        <v>0.1241</v>
      </c>
      <c r="AB12" s="1134"/>
      <c r="AD12" s="1134">
        <v>0</v>
      </c>
    </row>
    <row r="13" spans="2:30">
      <c r="B13" s="1066" t="s">
        <v>1468</v>
      </c>
      <c r="C13" s="1067" t="s">
        <v>1462</v>
      </c>
      <c r="D13" s="562">
        <v>39.9</v>
      </c>
      <c r="E13" s="1067"/>
      <c r="F13" s="1067"/>
      <c r="G13" s="1068">
        <f>D13*$D$23*1000</f>
        <v>799353.33594099223</v>
      </c>
      <c r="L13" s="1098" t="s">
        <v>1469</v>
      </c>
      <c r="M13" s="1134">
        <v>15500</v>
      </c>
      <c r="N13" s="1129">
        <v>56.1</v>
      </c>
      <c r="O13" s="1134">
        <v>869.55</v>
      </c>
      <c r="Q13" s="1099">
        <v>45.86</v>
      </c>
      <c r="R13" s="1134">
        <v>4031</v>
      </c>
      <c r="S13" s="1099">
        <f>R13*Q13</f>
        <v>184861.66</v>
      </c>
      <c r="Z13" s="1098" t="s">
        <v>1470</v>
      </c>
      <c r="AA13" s="1098">
        <v>2.2200000000000001E-2</v>
      </c>
      <c r="AB13" s="1134">
        <v>6660</v>
      </c>
      <c r="AC13" s="1098">
        <v>71.5</v>
      </c>
      <c r="AD13" s="1134">
        <v>476.19</v>
      </c>
    </row>
    <row r="14" spans="2:30">
      <c r="B14" s="1063" t="s">
        <v>1471</v>
      </c>
      <c r="C14" s="1063" t="s">
        <v>1462</v>
      </c>
      <c r="D14" s="562">
        <v>3.7</v>
      </c>
      <c r="E14" s="1063"/>
      <c r="F14" s="1063"/>
      <c r="G14" s="266"/>
      <c r="L14" s="1153" t="s">
        <v>1845</v>
      </c>
      <c r="M14" s="1134">
        <f>SUM(M12:M13)</f>
        <v>571117.60505140806</v>
      </c>
      <c r="N14" s="1129"/>
      <c r="Z14" s="1098" t="s">
        <v>787</v>
      </c>
      <c r="AA14" s="1098">
        <v>1.89E-2</v>
      </c>
      <c r="AB14" s="1134">
        <v>5670</v>
      </c>
      <c r="AC14" s="1098">
        <v>63.07</v>
      </c>
      <c r="AD14" s="1134">
        <v>357.6069</v>
      </c>
    </row>
    <row r="15" spans="2:30">
      <c r="B15" s="1069" t="s">
        <v>1472</v>
      </c>
      <c r="C15" s="1069" t="s">
        <v>1462</v>
      </c>
      <c r="D15" s="1070">
        <v>1.8</v>
      </c>
      <c r="E15" s="1071"/>
      <c r="F15" s="1071"/>
      <c r="G15" s="1072"/>
      <c r="L15" s="1098" t="s">
        <v>1473</v>
      </c>
      <c r="M15" s="1134">
        <v>0</v>
      </c>
      <c r="N15" s="1129">
        <v>56.1</v>
      </c>
      <c r="O15" s="1134">
        <v>0</v>
      </c>
      <c r="Z15" s="1098" t="s">
        <v>1474</v>
      </c>
      <c r="AA15" s="1098">
        <v>2.87E-2</v>
      </c>
      <c r="AB15" s="1134">
        <v>8610</v>
      </c>
      <c r="AC15" s="1098">
        <v>56.1</v>
      </c>
      <c r="AD15" s="1134">
        <v>483.02100000000002</v>
      </c>
    </row>
    <row r="16" spans="2:30">
      <c r="B16" s="1073" t="s">
        <v>1846</v>
      </c>
      <c r="C16" s="1069" t="s">
        <v>89</v>
      </c>
      <c r="D16" s="1074">
        <f>D11*D23*1000</f>
        <v>941594.15511846216</v>
      </c>
      <c r="E16" s="1072">
        <v>958308</v>
      </c>
      <c r="F16" s="1071"/>
      <c r="G16" s="1072"/>
      <c r="L16" s="1098" t="s">
        <v>1475</v>
      </c>
      <c r="M16" s="1134">
        <v>65322.109502146399</v>
      </c>
      <c r="N16" s="1129"/>
      <c r="O16" s="1134">
        <v>8702.9837555200775</v>
      </c>
      <c r="Z16" s="1098" t="s">
        <v>1476</v>
      </c>
      <c r="AA16" s="1098">
        <v>2.2200000000000001E-2</v>
      </c>
      <c r="AB16" s="1134">
        <v>6660</v>
      </c>
      <c r="AC16" s="1098">
        <v>71.5</v>
      </c>
      <c r="AD16" s="1134">
        <v>476.19</v>
      </c>
    </row>
    <row r="17" spans="2:30" ht="14" thickBot="1">
      <c r="B17" s="983" t="s">
        <v>1477</v>
      </c>
      <c r="L17" s="1098" t="s">
        <v>1478</v>
      </c>
      <c r="M17" s="1134">
        <v>65201.495439437887</v>
      </c>
      <c r="N17" s="1129"/>
      <c r="O17" s="1134">
        <v>8686.9141240210338</v>
      </c>
      <c r="Z17" s="1098" t="s">
        <v>1479</v>
      </c>
      <c r="AA17" s="1098">
        <v>0.57499999999999996</v>
      </c>
      <c r="AB17" s="1134">
        <v>172500</v>
      </c>
      <c r="AC17" s="1098">
        <v>69.3</v>
      </c>
      <c r="AD17" s="1134">
        <v>11954.25</v>
      </c>
    </row>
    <row r="18" spans="2:30">
      <c r="B18" s="1098" t="s">
        <v>1480</v>
      </c>
      <c r="C18" s="1098" t="s">
        <v>1481</v>
      </c>
      <c r="D18" s="990">
        <v>18027</v>
      </c>
      <c r="E18" s="1098" t="s">
        <v>1482</v>
      </c>
      <c r="L18" s="1098" t="s">
        <v>1483</v>
      </c>
      <c r="M18" s="1134">
        <v>36659.716698000011</v>
      </c>
      <c r="N18" s="1129"/>
      <c r="O18" s="1134">
        <v>4884.2409000000016</v>
      </c>
      <c r="AB18" s="1134">
        <v>262770</v>
      </c>
      <c r="AD18" s="1134">
        <v>18389.017989</v>
      </c>
    </row>
    <row r="19" spans="2:30">
      <c r="B19" s="1098" t="s">
        <v>1484</v>
      </c>
      <c r="D19" s="991">
        <v>0.65</v>
      </c>
      <c r="E19" s="1098" t="s">
        <v>1485</v>
      </c>
      <c r="L19" s="1098" t="s">
        <v>1486</v>
      </c>
      <c r="M19" s="1134">
        <f>SUM(M16:M18)</f>
        <v>167183.32163958429</v>
      </c>
      <c r="N19" s="1129"/>
      <c r="O19" s="1134">
        <v>22274.13877954111</v>
      </c>
    </row>
    <row r="20" spans="2:30">
      <c r="B20" s="1098" t="s">
        <v>1487</v>
      </c>
      <c r="C20" s="1098" t="s">
        <v>1481</v>
      </c>
      <c r="D20" s="1134">
        <v>27733.846153846152</v>
      </c>
      <c r="L20" s="1098" t="s">
        <v>1488</v>
      </c>
      <c r="M20" s="1134">
        <v>19695.16</v>
      </c>
      <c r="N20" s="1129"/>
      <c r="O20" s="1134">
        <v>5638</v>
      </c>
    </row>
    <row r="21" spans="2:30">
      <c r="B21" s="1098" t="s">
        <v>1489</v>
      </c>
      <c r="C21" s="1098" t="s">
        <v>1481</v>
      </c>
      <c r="D21" s="1134">
        <v>13766.153846153848</v>
      </c>
      <c r="L21" s="1098" t="s">
        <v>1490</v>
      </c>
      <c r="M21" s="1134">
        <v>14639.039999999999</v>
      </c>
      <c r="N21" s="1129"/>
      <c r="O21" s="1134"/>
    </row>
    <row r="22" spans="2:30">
      <c r="B22" s="1098" t="s">
        <v>1491</v>
      </c>
      <c r="C22" s="1098" t="s">
        <v>89</v>
      </c>
      <c r="D22" s="990">
        <v>275790</v>
      </c>
      <c r="E22" s="1098" t="s">
        <v>1482</v>
      </c>
      <c r="L22" s="1098" t="s">
        <v>1492</v>
      </c>
      <c r="N22" s="1129"/>
      <c r="O22" s="992">
        <v>27912.13877954111</v>
      </c>
      <c r="P22" s="1152"/>
      <c r="Q22" s="1152"/>
      <c r="R22" s="1152"/>
    </row>
    <row r="23" spans="2:30">
      <c r="B23" s="1098" t="s">
        <v>1493</v>
      </c>
      <c r="C23" s="1098" t="s">
        <v>1494</v>
      </c>
      <c r="D23" s="1129">
        <v>20.033918194009832</v>
      </c>
      <c r="L23" s="1120" t="s">
        <v>1495</v>
      </c>
      <c r="N23" s="1129"/>
      <c r="O23" s="1134">
        <v>50380</v>
      </c>
      <c r="P23" s="1152"/>
      <c r="Q23" s="1152"/>
      <c r="R23" s="1152"/>
    </row>
    <row r="24" spans="2:30">
      <c r="L24" s="1098" t="s">
        <v>1496</v>
      </c>
      <c r="N24" s="1129"/>
      <c r="O24" s="992">
        <v>28105.86122045889</v>
      </c>
    </row>
    <row r="25" spans="2:30" ht="14" thickBot="1">
      <c r="B25" s="983" t="s">
        <v>1497</v>
      </c>
      <c r="L25" s="1144" t="s">
        <v>1498</v>
      </c>
      <c r="N25" s="1129"/>
    </row>
    <row r="26" spans="2:30">
      <c r="B26" s="1098" t="s">
        <v>1499</v>
      </c>
      <c r="C26" s="1134"/>
      <c r="L26" s="1098" t="s">
        <v>1500</v>
      </c>
      <c r="M26" s="990">
        <v>968.6782907999999</v>
      </c>
      <c r="N26" s="1129">
        <v>74.066699999999997</v>
      </c>
      <c r="O26" s="1134">
        <v>71.746804361196354</v>
      </c>
      <c r="P26" s="1099" t="s">
        <v>1501</v>
      </c>
    </row>
    <row r="27" spans="2:30">
      <c r="B27" s="1098" t="s">
        <v>1502</v>
      </c>
      <c r="C27" s="1098" t="s">
        <v>1503</v>
      </c>
      <c r="D27" s="990">
        <v>2627</v>
      </c>
      <c r="E27" s="1098" t="s">
        <v>1485</v>
      </c>
      <c r="L27" s="1098" t="s">
        <v>175</v>
      </c>
      <c r="M27" s="990">
        <v>56558</v>
      </c>
      <c r="N27" s="1129">
        <v>74.066699999999997</v>
      </c>
      <c r="O27" s="1134">
        <v>4189.0644186</v>
      </c>
    </row>
    <row r="28" spans="2:30">
      <c r="B28" s="1098" t="s">
        <v>1504</v>
      </c>
      <c r="C28" s="1098" t="s">
        <v>1505</v>
      </c>
      <c r="D28" s="562">
        <v>0.35</v>
      </c>
      <c r="E28" s="1098" t="s">
        <v>1485</v>
      </c>
      <c r="L28" s="1098" t="s">
        <v>1506</v>
      </c>
      <c r="M28" s="990">
        <v>19600</v>
      </c>
      <c r="N28" s="1129">
        <v>56.1</v>
      </c>
      <c r="O28" s="1134">
        <v>1099.56</v>
      </c>
      <c r="P28" s="1099" t="s">
        <v>1463</v>
      </c>
    </row>
    <row r="29" spans="2:30">
      <c r="B29" s="1098" t="s">
        <v>1504</v>
      </c>
      <c r="C29" s="1098" t="s">
        <v>1507</v>
      </c>
      <c r="D29" s="1139">
        <v>133.23182337266843</v>
      </c>
      <c r="L29" s="1098" t="s">
        <v>1508</v>
      </c>
      <c r="M29" s="990">
        <v>10300</v>
      </c>
      <c r="N29" s="1129">
        <v>71.5</v>
      </c>
      <c r="O29" s="1134">
        <v>736.45</v>
      </c>
    </row>
    <row r="30" spans="2:30">
      <c r="B30" s="1098" t="s">
        <v>1509</v>
      </c>
      <c r="C30" s="1098" t="s">
        <v>1507</v>
      </c>
      <c r="D30" s="1129">
        <v>96.25</v>
      </c>
      <c r="L30" s="1098" t="s">
        <v>787</v>
      </c>
      <c r="M30" s="990">
        <v>3268</v>
      </c>
      <c r="N30" s="1129">
        <v>63.07</v>
      </c>
      <c r="O30" s="1134">
        <v>206.11276000000001</v>
      </c>
    </row>
    <row r="31" spans="2:30">
      <c r="B31" s="1098" t="s">
        <v>1510</v>
      </c>
      <c r="D31" s="993">
        <v>0.72242500000000009</v>
      </c>
      <c r="L31" s="1098" t="s">
        <v>1511</v>
      </c>
      <c r="M31" s="990">
        <v>128417</v>
      </c>
      <c r="N31" s="1129">
        <v>69.3</v>
      </c>
      <c r="O31" s="1134">
        <v>8899.2981</v>
      </c>
      <c r="X31" s="1098" t="s">
        <v>1512</v>
      </c>
      <c r="Y31" s="1098" t="s">
        <v>1513</v>
      </c>
      <c r="Z31" s="1098" t="s">
        <v>1514</v>
      </c>
      <c r="AA31" s="1098" t="s">
        <v>1515</v>
      </c>
    </row>
    <row r="32" spans="2:30">
      <c r="L32" s="1120" t="s">
        <v>1516</v>
      </c>
      <c r="M32" s="990">
        <v>17315.996640000001</v>
      </c>
      <c r="N32" s="1129">
        <v>71.649568474189863</v>
      </c>
      <c r="O32" s="1134">
        <v>1240.6836869565216</v>
      </c>
      <c r="W32" s="1098" t="s">
        <v>1517</v>
      </c>
      <c r="X32" s="1098">
        <v>26700</v>
      </c>
      <c r="Y32" s="1098">
        <v>0.52173913043478259</v>
      </c>
      <c r="Z32" s="1098">
        <v>1.9130434782608694</v>
      </c>
      <c r="AA32" s="1098">
        <v>71.649568474189863</v>
      </c>
    </row>
    <row r="33" spans="2:17" ht="14" thickBot="1">
      <c r="B33" s="983" t="s">
        <v>1518</v>
      </c>
      <c r="L33" s="1151" t="s">
        <v>1847</v>
      </c>
      <c r="M33" s="1150">
        <f>SUM(M26:M32)</f>
        <v>236427.67493080001</v>
      </c>
      <c r="O33" s="994">
        <v>16371.168965556522</v>
      </c>
      <c r="Q33" s="1150"/>
    </row>
    <row r="34" spans="2:17">
      <c r="B34" s="1098" t="s">
        <v>1519</v>
      </c>
      <c r="C34" s="1098" t="s">
        <v>89</v>
      </c>
      <c r="D34" s="1134">
        <v>199237.59075000003</v>
      </c>
      <c r="L34" s="1120" t="s">
        <v>1520</v>
      </c>
      <c r="M34" s="1134">
        <f>M12+M19+M20+M13</f>
        <v>757996.08669099235</v>
      </c>
      <c r="O34" s="1134"/>
    </row>
    <row r="35" spans="2:17">
      <c r="B35" s="1098" t="s">
        <v>1521</v>
      </c>
      <c r="C35" s="1098" t="s">
        <v>270</v>
      </c>
      <c r="D35" s="520">
        <v>0.23</v>
      </c>
      <c r="E35" s="1098" t="s">
        <v>1485</v>
      </c>
      <c r="M35" s="1134"/>
    </row>
    <row r="36" spans="2:17">
      <c r="B36" s="1098" t="s">
        <v>1522</v>
      </c>
      <c r="D36" s="1134">
        <v>45824.645872500012</v>
      </c>
      <c r="J36" s="1098" t="s">
        <v>1523</v>
      </c>
      <c r="K36" s="1098" t="s">
        <v>792</v>
      </c>
      <c r="L36" s="1144" t="s">
        <v>1524</v>
      </c>
      <c r="N36" s="1124">
        <f>M33/M34</f>
        <v>0.31191147168439542</v>
      </c>
      <c r="O36" s="1140">
        <v>0.436608748060685</v>
      </c>
      <c r="Q36" s="1137" t="s">
        <v>1848</v>
      </c>
    </row>
    <row r="37" spans="2:17">
      <c r="B37" s="1098" t="s">
        <v>1525</v>
      </c>
      <c r="C37" s="1098" t="s">
        <v>215</v>
      </c>
      <c r="D37" s="562">
        <v>130</v>
      </c>
      <c r="E37" s="1098" t="s">
        <v>1526</v>
      </c>
      <c r="J37" s="1098" t="s">
        <v>1456</v>
      </c>
      <c r="L37" s="1144" t="s">
        <v>1527</v>
      </c>
      <c r="O37" s="1099"/>
    </row>
    <row r="38" spans="2:17">
      <c r="B38" s="1098" t="s">
        <v>1528</v>
      </c>
      <c r="C38" s="1098" t="s">
        <v>215</v>
      </c>
      <c r="D38" s="562">
        <v>520</v>
      </c>
      <c r="E38" s="1098" t="s">
        <v>1526</v>
      </c>
      <c r="J38" s="1098" t="s">
        <v>1529</v>
      </c>
      <c r="K38" s="1098" t="s">
        <v>1398</v>
      </c>
      <c r="L38" s="1098" t="s">
        <v>1466</v>
      </c>
      <c r="M38" s="1124">
        <v>0.66693494980413537</v>
      </c>
      <c r="N38" s="1124">
        <f>M12/M34</f>
        <v>0.73300854029067475</v>
      </c>
      <c r="O38" s="1126">
        <f>M12/M34</f>
        <v>0.73300854029067475</v>
      </c>
      <c r="Q38" s="1140">
        <f>M12/M14</f>
        <v>0.97286023077750372</v>
      </c>
    </row>
    <row r="39" spans="2:17">
      <c r="J39" s="1098" t="s">
        <v>1530</v>
      </c>
      <c r="K39" s="1098" t="s">
        <v>1393</v>
      </c>
      <c r="L39" s="1098" t="s">
        <v>1469</v>
      </c>
      <c r="M39" s="1124">
        <v>2.8623703197696224E-2</v>
      </c>
      <c r="N39" s="1124">
        <f>M13/M34</f>
        <v>2.0448654382458298E-2</v>
      </c>
      <c r="O39" s="1126">
        <f>M13/M34</f>
        <v>2.0448654382458298E-2</v>
      </c>
      <c r="P39" s="1126">
        <f>M13/M33</f>
        <v>6.5559160976128086E-2</v>
      </c>
      <c r="Q39" s="1140">
        <f>M13/M14</f>
        <v>2.7139769222496297E-2</v>
      </c>
    </row>
    <row r="40" spans="2:17">
      <c r="B40" s="1098" t="s">
        <v>1531</v>
      </c>
      <c r="C40" s="1098" t="s">
        <v>89</v>
      </c>
      <c r="D40" s="1134">
        <v>9164.9291745000028</v>
      </c>
      <c r="J40" s="1098" t="s">
        <v>1456</v>
      </c>
      <c r="L40" s="1098" t="s">
        <v>1473</v>
      </c>
      <c r="N40" s="1124">
        <v>0</v>
      </c>
      <c r="O40" s="1126"/>
    </row>
    <row r="41" spans="2:17">
      <c r="B41" s="1098" t="s">
        <v>1532</v>
      </c>
      <c r="C41" s="1098" t="s">
        <v>89</v>
      </c>
      <c r="D41" s="1134">
        <v>22889.339935915727</v>
      </c>
      <c r="J41" s="1098" t="s">
        <v>1533</v>
      </c>
      <c r="K41" s="1098" t="s">
        <v>1378</v>
      </c>
      <c r="L41" s="1098" t="s">
        <v>1534</v>
      </c>
      <c r="N41" s="1124">
        <v>0.24103670504137198</v>
      </c>
      <c r="O41" s="1126">
        <f>M19/M34</f>
        <v>0.2205596104980142</v>
      </c>
    </row>
    <row r="42" spans="2:17">
      <c r="J42" s="1098" t="s">
        <v>1535</v>
      </c>
      <c r="K42" s="1098" t="s">
        <v>879</v>
      </c>
      <c r="L42" s="1098" t="s">
        <v>1536</v>
      </c>
      <c r="N42" s="1124">
        <v>6.3404641956796196E-2</v>
      </c>
      <c r="O42" s="1126">
        <f>M20/M34</f>
        <v>2.5983194828852734E-2</v>
      </c>
    </row>
    <row r="43" spans="2:17">
      <c r="B43" s="1098" t="s">
        <v>1537</v>
      </c>
      <c r="C43" s="1098" t="s">
        <v>89</v>
      </c>
      <c r="D43" s="1134">
        <v>167183.32163958432</v>
      </c>
      <c r="J43" s="1098" t="s">
        <v>1456</v>
      </c>
      <c r="L43" s="1144" t="s">
        <v>1538</v>
      </c>
      <c r="O43" s="1126"/>
    </row>
    <row r="44" spans="2:17">
      <c r="B44" s="1098" t="s">
        <v>1539</v>
      </c>
      <c r="C44" s="1098" t="s">
        <v>270</v>
      </c>
      <c r="D44" s="520">
        <v>0.39</v>
      </c>
      <c r="E44" s="1098" t="s">
        <v>1485</v>
      </c>
      <c r="J44" s="1098" t="s">
        <v>1540</v>
      </c>
      <c r="K44" s="1098" t="s">
        <v>1370</v>
      </c>
      <c r="L44" s="1098" t="s">
        <v>1500</v>
      </c>
      <c r="N44" s="1124">
        <v>4.0971442581056649E-3</v>
      </c>
    </row>
    <row r="45" spans="2:17">
      <c r="B45" s="1098" t="s">
        <v>1541</v>
      </c>
      <c r="C45" s="1098" t="s">
        <v>89</v>
      </c>
      <c r="D45" s="1134">
        <v>65201.495439437887</v>
      </c>
      <c r="J45" s="1098" t="s">
        <v>1542</v>
      </c>
      <c r="K45" s="1098" t="s">
        <v>886</v>
      </c>
      <c r="L45" s="1098" t="s">
        <v>175</v>
      </c>
      <c r="N45" s="1124">
        <v>0.23921903396695821</v>
      </c>
    </row>
    <row r="46" spans="2:17">
      <c r="B46" s="1098" t="s">
        <v>1543</v>
      </c>
      <c r="C46" s="1098" t="s">
        <v>89</v>
      </c>
      <c r="D46" s="1134">
        <v>36659.716698000011</v>
      </c>
      <c r="J46" s="1098" t="s">
        <v>1544</v>
      </c>
      <c r="K46" s="1098" t="s">
        <v>1380</v>
      </c>
      <c r="L46" s="1098" t="s">
        <v>1506</v>
      </c>
      <c r="N46" s="1124">
        <f>M28/M33</f>
        <v>8.2900616460136162E-2</v>
      </c>
      <c r="O46" s="1126"/>
    </row>
    <row r="47" spans="2:17">
      <c r="B47" s="1098" t="s">
        <v>1545</v>
      </c>
      <c r="C47" s="1098" t="s">
        <v>89</v>
      </c>
      <c r="D47" s="1134">
        <v>65322.109502146421</v>
      </c>
      <c r="J47" s="1098" t="s">
        <v>1546</v>
      </c>
      <c r="K47" s="1098" t="s">
        <v>884</v>
      </c>
      <c r="L47" s="1098" t="s">
        <v>1508</v>
      </c>
      <c r="N47" s="1124">
        <v>4.3565119874459303E-2</v>
      </c>
    </row>
    <row r="48" spans="2:17">
      <c r="J48" s="1098" t="s">
        <v>1547</v>
      </c>
      <c r="K48" s="1098" t="s">
        <v>887</v>
      </c>
      <c r="L48" s="1098" t="s">
        <v>787</v>
      </c>
      <c r="N48" s="1124">
        <v>1.3822408907741069E-2</v>
      </c>
    </row>
    <row r="49" spans="2:16" ht="14" thickBot="1">
      <c r="B49" s="983" t="s">
        <v>1548</v>
      </c>
      <c r="J49" s="1098" t="s">
        <v>1549</v>
      </c>
      <c r="K49" s="1098" t="s">
        <v>909</v>
      </c>
      <c r="L49" s="1098" t="s">
        <v>1511</v>
      </c>
      <c r="N49" s="1124">
        <v>0.5431555338755768</v>
      </c>
    </row>
    <row r="50" spans="2:16">
      <c r="B50" s="1098" t="s">
        <v>1550</v>
      </c>
      <c r="C50" s="1098" t="s">
        <v>89</v>
      </c>
      <c r="D50" s="990">
        <v>31016</v>
      </c>
      <c r="E50" s="1098" t="s">
        <v>1482</v>
      </c>
      <c r="J50" s="1098" t="s">
        <v>1551</v>
      </c>
      <c r="K50" s="1098" t="s">
        <v>1373</v>
      </c>
      <c r="L50" s="1098" t="s">
        <v>1516</v>
      </c>
      <c r="N50" s="1124">
        <v>7.3240142657022778E-2</v>
      </c>
    </row>
    <row r="51" spans="2:16">
      <c r="B51" s="1098" t="s">
        <v>1552</v>
      </c>
      <c r="C51" s="1098" t="s">
        <v>270</v>
      </c>
      <c r="D51" s="520">
        <v>0.02</v>
      </c>
      <c r="E51" s="1098" t="s">
        <v>1485</v>
      </c>
      <c r="J51" s="1098" t="s">
        <v>1456</v>
      </c>
    </row>
    <row r="52" spans="2:16">
      <c r="B52" s="1098" t="s">
        <v>1553</v>
      </c>
      <c r="C52" s="1098" t="s">
        <v>270</v>
      </c>
      <c r="D52" s="995">
        <v>6.5000000000000002E-2</v>
      </c>
      <c r="J52" s="1098" t="s">
        <v>1554</v>
      </c>
      <c r="K52" s="1098" t="s">
        <v>349</v>
      </c>
      <c r="L52" s="1098" t="s">
        <v>1555</v>
      </c>
      <c r="M52" s="1098" t="s">
        <v>1556</v>
      </c>
      <c r="N52" s="996">
        <v>118.87720516934066</v>
      </c>
    </row>
    <row r="53" spans="2:16">
      <c r="B53" s="1098" t="s">
        <v>1557</v>
      </c>
      <c r="C53" s="1098" t="s">
        <v>270</v>
      </c>
      <c r="D53" s="520">
        <v>0.24</v>
      </c>
      <c r="J53" s="1098" t="s">
        <v>1558</v>
      </c>
      <c r="K53" s="1098" t="s">
        <v>350</v>
      </c>
      <c r="L53" s="1098" t="s">
        <v>1559</v>
      </c>
      <c r="M53" s="1098" t="s">
        <v>1556</v>
      </c>
      <c r="N53" s="997">
        <v>1.493450375906064</v>
      </c>
    </row>
    <row r="54" spans="2:16">
      <c r="B54" s="1098" t="s">
        <v>1560</v>
      </c>
      <c r="C54" s="1098" t="s">
        <v>270</v>
      </c>
      <c r="D54" s="520">
        <v>0.04</v>
      </c>
      <c r="J54" s="1098" t="s">
        <v>1561</v>
      </c>
      <c r="K54" s="1098" t="s">
        <v>793</v>
      </c>
      <c r="L54" s="1098" t="s">
        <v>471</v>
      </c>
      <c r="N54" s="520">
        <v>0.96</v>
      </c>
      <c r="P54" s="1099" t="s">
        <v>1501</v>
      </c>
    </row>
    <row r="55" spans="2:16">
      <c r="B55" s="1098" t="s">
        <v>1562</v>
      </c>
      <c r="C55" s="1098" t="s">
        <v>270</v>
      </c>
      <c r="D55" s="972">
        <v>0.63500000000000001</v>
      </c>
      <c r="J55" s="1098" t="s">
        <v>1563</v>
      </c>
      <c r="K55" s="1098" t="s">
        <v>1564</v>
      </c>
      <c r="L55" s="1098" t="s">
        <v>1565</v>
      </c>
      <c r="M55" s="1098" t="s">
        <v>1566</v>
      </c>
      <c r="N55" s="1254">
        <f>M33/N54/1000</f>
        <v>246.27882805291668</v>
      </c>
    </row>
    <row r="56" spans="2:16">
      <c r="J56" s="1098" t="s">
        <v>1567</v>
      </c>
      <c r="K56" s="1098" t="s">
        <v>1568</v>
      </c>
      <c r="L56" s="1098" t="s">
        <v>1569</v>
      </c>
      <c r="M56" s="1098" t="s">
        <v>1570</v>
      </c>
      <c r="N56" s="996">
        <v>30.129804076467401</v>
      </c>
    </row>
    <row r="57" spans="2:16">
      <c r="B57" s="998" t="s">
        <v>1571</v>
      </c>
      <c r="J57" s="1098" t="s">
        <v>1572</v>
      </c>
      <c r="K57" s="1098" t="s">
        <v>1573</v>
      </c>
      <c r="L57" s="1098" t="s">
        <v>1574</v>
      </c>
      <c r="M57" s="1098" t="s">
        <v>1575</v>
      </c>
      <c r="N57" s="999">
        <v>40.728724354077364</v>
      </c>
    </row>
    <row r="58" spans="2:16">
      <c r="B58" s="1098" t="s">
        <v>167</v>
      </c>
      <c r="C58" s="1098" t="s">
        <v>89</v>
      </c>
      <c r="D58" s="1134">
        <v>620.32000000000005</v>
      </c>
      <c r="J58" s="1098" t="s">
        <v>1576</v>
      </c>
      <c r="K58" s="1098" t="s">
        <v>1577</v>
      </c>
      <c r="L58" s="1098" t="s">
        <v>1578</v>
      </c>
      <c r="M58" s="1098" t="s">
        <v>1575</v>
      </c>
      <c r="N58" s="999">
        <v>56.777002234132354</v>
      </c>
    </row>
    <row r="59" spans="2:16">
      <c r="B59" s="1098" t="s">
        <v>1579</v>
      </c>
      <c r="C59" s="1098" t="s">
        <v>89</v>
      </c>
      <c r="D59" s="1134">
        <v>2016.04</v>
      </c>
      <c r="J59" s="1098" t="s">
        <v>1456</v>
      </c>
    </row>
    <row r="60" spans="2:16" ht="14" thickBot="1">
      <c r="B60" s="1098" t="s">
        <v>105</v>
      </c>
      <c r="C60" s="1098" t="s">
        <v>89</v>
      </c>
      <c r="D60" s="1134">
        <v>7443.84</v>
      </c>
      <c r="L60" s="983" t="s">
        <v>1580</v>
      </c>
      <c r="N60" s="1098" t="s">
        <v>1581</v>
      </c>
    </row>
    <row r="61" spans="2:16">
      <c r="B61" s="1098" t="s">
        <v>1580</v>
      </c>
      <c r="C61" s="1098" t="s">
        <v>89</v>
      </c>
      <c r="D61" s="1134">
        <v>1240.6400000000001</v>
      </c>
      <c r="L61" s="1098" t="s">
        <v>1582</v>
      </c>
      <c r="M61" s="1098" t="s">
        <v>89</v>
      </c>
      <c r="N61" s="1134">
        <v>216343.2875182417</v>
      </c>
    </row>
    <row r="62" spans="2:16">
      <c r="B62" s="1098" t="s">
        <v>1468</v>
      </c>
      <c r="C62" s="1098" t="s">
        <v>89</v>
      </c>
      <c r="D62" s="1134">
        <v>19695.16</v>
      </c>
      <c r="L62" s="1098" t="s">
        <v>1536</v>
      </c>
      <c r="M62" s="1098" t="s">
        <v>89</v>
      </c>
      <c r="N62" s="1134">
        <v>1240.6400000000001</v>
      </c>
    </row>
    <row r="63" spans="2:16">
      <c r="B63" s="1098" t="s">
        <v>1583</v>
      </c>
      <c r="D63" s="1134">
        <v>4083.8996948148151</v>
      </c>
      <c r="L63" s="1098" t="s">
        <v>1584</v>
      </c>
      <c r="M63" s="1098" t="s">
        <v>89</v>
      </c>
      <c r="N63" s="1134">
        <v>217583.92751824172</v>
      </c>
    </row>
    <row r="64" spans="2:16">
      <c r="B64" s="998" t="s">
        <v>1585</v>
      </c>
      <c r="C64" s="1098" t="s">
        <v>89</v>
      </c>
      <c r="D64" s="990">
        <v>18298.8</v>
      </c>
      <c r="E64" s="1098" t="s">
        <v>1586</v>
      </c>
      <c r="L64" s="1144" t="s">
        <v>1498</v>
      </c>
    </row>
    <row r="65" spans="2:16">
      <c r="B65" s="1098" t="s">
        <v>105</v>
      </c>
      <c r="C65" s="1098" t="s">
        <v>89</v>
      </c>
      <c r="D65" s="1134">
        <v>3659.76</v>
      </c>
      <c r="L65" s="1098" t="s">
        <v>175</v>
      </c>
      <c r="M65" s="1098" t="s">
        <v>89</v>
      </c>
      <c r="N65" s="990">
        <v>78363.603915510073</v>
      </c>
      <c r="O65" s="1134"/>
      <c r="P65" s="1099" t="s">
        <v>1587</v>
      </c>
    </row>
    <row r="66" spans="2:16">
      <c r="B66" s="1098" t="s">
        <v>1468</v>
      </c>
      <c r="C66" s="1098" t="s">
        <v>89</v>
      </c>
      <c r="D66" s="1134">
        <v>14639.039999999999</v>
      </c>
      <c r="L66" s="1098" t="s">
        <v>880</v>
      </c>
      <c r="M66" s="1098" t="s">
        <v>89</v>
      </c>
      <c r="N66" s="990">
        <v>7538.9011900219784</v>
      </c>
      <c r="O66" s="1134"/>
    </row>
    <row r="67" spans="2:16">
      <c r="B67" s="1098" t="s">
        <v>1588</v>
      </c>
      <c r="C67" s="1098" t="s">
        <v>270</v>
      </c>
      <c r="D67" s="1149">
        <v>0.39932223482781687</v>
      </c>
      <c r="L67" s="1098" t="s">
        <v>1508</v>
      </c>
      <c r="M67" s="1098" t="s">
        <v>89</v>
      </c>
      <c r="N67" s="990">
        <v>43484.734440000007</v>
      </c>
      <c r="O67" s="1134"/>
    </row>
    <row r="68" spans="2:16">
      <c r="B68" s="1098" t="s">
        <v>1589</v>
      </c>
      <c r="C68" s="1098" t="s">
        <v>270</v>
      </c>
      <c r="D68" s="1149">
        <v>0.28848036549548561</v>
      </c>
      <c r="L68" s="1098" t="s">
        <v>787</v>
      </c>
      <c r="M68" s="1098" t="s">
        <v>89</v>
      </c>
      <c r="N68" s="990">
        <v>539.60618239120879</v>
      </c>
      <c r="O68" s="1134"/>
    </row>
    <row r="69" spans="2:16">
      <c r="L69" s="1098" t="s">
        <v>1511</v>
      </c>
      <c r="M69" s="1098" t="s">
        <v>89</v>
      </c>
      <c r="N69" s="990">
        <v>65892.213079120877</v>
      </c>
      <c r="O69" s="1134"/>
    </row>
    <row r="70" spans="2:16" ht="14" thickBot="1">
      <c r="B70" s="983" t="s">
        <v>1590</v>
      </c>
      <c r="L70" s="1098" t="s">
        <v>1591</v>
      </c>
      <c r="M70" s="1098" t="s">
        <v>89</v>
      </c>
      <c r="N70" s="990">
        <v>7621.8370692764838</v>
      </c>
    </row>
    <row r="71" spans="2:16">
      <c r="B71" s="1098" t="s">
        <v>1592</v>
      </c>
      <c r="C71" s="1098" t="s">
        <v>89</v>
      </c>
      <c r="D71" s="990">
        <v>59500</v>
      </c>
      <c r="E71" s="1098" t="s">
        <v>1463</v>
      </c>
      <c r="L71" s="1120" t="s">
        <v>1849</v>
      </c>
      <c r="M71" s="1098" t="s">
        <v>89</v>
      </c>
      <c r="N71" s="1134">
        <f>SUM(N65:N70)</f>
        <v>203440.89587632063</v>
      </c>
      <c r="O71" s="1148">
        <f>N62/N71</f>
        <v>6.0982822291258086E-3</v>
      </c>
      <c r="P71" s="1099">
        <f>N71/N61</f>
        <v>0.94036148849391421</v>
      </c>
    </row>
    <row r="72" spans="2:16">
      <c r="B72" s="1098" t="s">
        <v>1593</v>
      </c>
      <c r="C72" s="1098" t="s">
        <v>89</v>
      </c>
      <c r="D72" s="990">
        <v>15500</v>
      </c>
      <c r="E72" s="1098" t="s">
        <v>1485</v>
      </c>
      <c r="J72" s="1098" t="s">
        <v>1594</v>
      </c>
      <c r="K72" s="1098" t="s">
        <v>792</v>
      </c>
      <c r="L72" s="1144" t="s">
        <v>1524</v>
      </c>
      <c r="N72" s="1124">
        <v>0.93499964908605038</v>
      </c>
      <c r="O72" s="1148">
        <f>N71/N63</f>
        <v>0.93499964908605038</v>
      </c>
    </row>
    <row r="73" spans="2:16">
      <c r="B73" s="1098" t="s">
        <v>1595</v>
      </c>
      <c r="C73" s="1098" t="s">
        <v>89</v>
      </c>
      <c r="D73" s="990">
        <v>39000</v>
      </c>
      <c r="E73" s="1098" t="s">
        <v>1485</v>
      </c>
      <c r="J73" s="1098" t="s">
        <v>1581</v>
      </c>
      <c r="L73" s="1144" t="s">
        <v>1527</v>
      </c>
    </row>
    <row r="74" spans="2:16">
      <c r="B74" s="1098" t="s">
        <v>1596</v>
      </c>
      <c r="C74" s="1098" t="s">
        <v>89</v>
      </c>
      <c r="D74" s="990">
        <v>4400</v>
      </c>
      <c r="E74" s="1098" t="s">
        <v>1485</v>
      </c>
      <c r="J74" s="1098" t="s">
        <v>1597</v>
      </c>
      <c r="K74" s="1098" t="s">
        <v>1374</v>
      </c>
      <c r="L74" s="1098" t="s">
        <v>1582</v>
      </c>
      <c r="N74" s="1124">
        <v>0.99429810825573961</v>
      </c>
    </row>
    <row r="75" spans="2:16">
      <c r="J75" s="1098" t="s">
        <v>1598</v>
      </c>
      <c r="K75" s="1098" t="s">
        <v>879</v>
      </c>
      <c r="L75" s="1098" t="s">
        <v>1536</v>
      </c>
      <c r="N75" s="1124">
        <v>5.7018917442603284E-3</v>
      </c>
    </row>
    <row r="76" spans="2:16" ht="14" thickBot="1">
      <c r="B76" s="983" t="s">
        <v>1599</v>
      </c>
      <c r="J76" s="1098" t="s">
        <v>1581</v>
      </c>
      <c r="L76" s="1144" t="s">
        <v>1538</v>
      </c>
    </row>
    <row r="77" spans="2:16">
      <c r="B77" s="1098" t="s">
        <v>1600</v>
      </c>
      <c r="C77" s="1098" t="s">
        <v>1601</v>
      </c>
      <c r="D77" s="990">
        <v>4094</v>
      </c>
      <c r="E77" s="1098" t="s">
        <v>1482</v>
      </c>
      <c r="J77" s="1098" t="s">
        <v>1602</v>
      </c>
      <c r="K77" s="1098" t="s">
        <v>886</v>
      </c>
      <c r="L77" s="1098" t="s">
        <v>175</v>
      </c>
      <c r="N77" s="1124">
        <v>0.38519100880852519</v>
      </c>
    </row>
    <row r="78" spans="2:16">
      <c r="B78" s="1098" t="s">
        <v>1603</v>
      </c>
      <c r="C78" s="1098" t="s">
        <v>1604</v>
      </c>
      <c r="D78" s="991">
        <v>42.66</v>
      </c>
      <c r="E78" s="1098" t="s">
        <v>1605</v>
      </c>
      <c r="J78" s="1098" t="s">
        <v>1606</v>
      </c>
      <c r="K78" s="1098" t="s">
        <v>885</v>
      </c>
      <c r="L78" s="1098" t="s">
        <v>880</v>
      </c>
      <c r="N78" s="1124">
        <v>3.70569602416869E-2</v>
      </c>
    </row>
    <row r="79" spans="2:16">
      <c r="B79" s="1098" t="s">
        <v>1607</v>
      </c>
      <c r="C79" s="1098" t="s">
        <v>89</v>
      </c>
      <c r="D79" s="1134">
        <v>174650.03999999998</v>
      </c>
      <c r="J79" s="1098" t="s">
        <v>1608</v>
      </c>
      <c r="K79" s="1098" t="s">
        <v>884</v>
      </c>
      <c r="L79" s="1098" t="s">
        <v>1508</v>
      </c>
      <c r="N79" s="1124">
        <v>0.21374627875427765</v>
      </c>
    </row>
    <row r="80" spans="2:16">
      <c r="B80" s="1098" t="s">
        <v>1600</v>
      </c>
      <c r="C80" s="1098" t="s">
        <v>1609</v>
      </c>
      <c r="D80" s="990">
        <v>5980351.6483516479</v>
      </c>
      <c r="J80" s="1098" t="s">
        <v>1610</v>
      </c>
      <c r="K80" s="1098" t="s">
        <v>887</v>
      </c>
      <c r="L80" s="1098" t="s">
        <v>787</v>
      </c>
      <c r="N80" s="1124">
        <v>2.6523977888853558E-3</v>
      </c>
    </row>
    <row r="81" spans="2:16">
      <c r="B81" s="1098" t="s">
        <v>1611</v>
      </c>
      <c r="C81" s="1098" t="s">
        <v>1612</v>
      </c>
      <c r="D81" s="1000">
        <v>0.84799999999999998</v>
      </c>
      <c r="E81" s="1098" t="s">
        <v>1613</v>
      </c>
      <c r="J81" s="1098" t="s">
        <v>1614</v>
      </c>
      <c r="K81" s="1098" t="s">
        <v>909</v>
      </c>
      <c r="L81" s="1098" t="s">
        <v>1511</v>
      </c>
      <c r="N81" s="1124">
        <v>0.32388872844513639</v>
      </c>
    </row>
    <row r="82" spans="2:16">
      <c r="B82" s="1098" t="s">
        <v>1615</v>
      </c>
      <c r="C82" s="1098" t="s">
        <v>89</v>
      </c>
      <c r="D82" s="1134">
        <v>216343.2875182417</v>
      </c>
      <c r="J82" s="1098" t="s">
        <v>1616</v>
      </c>
      <c r="K82" s="1098" t="s">
        <v>1373</v>
      </c>
      <c r="L82" s="1098" t="s">
        <v>1591</v>
      </c>
      <c r="N82" s="1124">
        <v>3.7464625961488515E-2</v>
      </c>
    </row>
    <row r="83" spans="2:16">
      <c r="J83" s="1098" t="s">
        <v>1617</v>
      </c>
      <c r="K83" s="1098" t="s">
        <v>349</v>
      </c>
      <c r="L83" s="1098" t="s">
        <v>1555</v>
      </c>
      <c r="M83" s="1098" t="s">
        <v>1556</v>
      </c>
      <c r="N83" s="1001">
        <v>6.8668592614205197</v>
      </c>
    </row>
    <row r="84" spans="2:16">
      <c r="J84" s="1098" t="s">
        <v>1618</v>
      </c>
      <c r="K84" s="1098" t="s">
        <v>793</v>
      </c>
      <c r="L84" s="1098" t="s">
        <v>471</v>
      </c>
      <c r="N84" s="520">
        <v>0.95890410958904104</v>
      </c>
      <c r="P84" s="1099" t="s">
        <v>1613</v>
      </c>
    </row>
    <row r="85" spans="2:16">
      <c r="J85" s="1098" t="s">
        <v>1619</v>
      </c>
      <c r="K85" s="1098" t="s">
        <v>1564</v>
      </c>
      <c r="L85" s="1098" t="s">
        <v>253</v>
      </c>
      <c r="M85" s="1098" t="s">
        <v>1566</v>
      </c>
      <c r="N85" s="996">
        <v>212.15979141387726</v>
      </c>
    </row>
    <row r="86" spans="2:16" ht="14" thickBot="1">
      <c r="B86" s="983" t="s">
        <v>1620</v>
      </c>
      <c r="C86" s="1098" t="s">
        <v>1621</v>
      </c>
      <c r="D86" s="1098" t="s">
        <v>1622</v>
      </c>
      <c r="E86" s="1098" t="s">
        <v>1623</v>
      </c>
      <c r="F86" s="1098" t="s">
        <v>1624</v>
      </c>
      <c r="J86" s="1098" t="s">
        <v>1625</v>
      </c>
      <c r="K86" s="1098" t="s">
        <v>1568</v>
      </c>
      <c r="L86" s="1098" t="s">
        <v>1626</v>
      </c>
      <c r="M86" s="1098" t="s">
        <v>1570</v>
      </c>
      <c r="N86" s="996">
        <v>10.509391999999998</v>
      </c>
    </row>
    <row r="87" spans="2:16">
      <c r="B87" s="1098" t="s">
        <v>1579</v>
      </c>
      <c r="C87" s="990">
        <v>17250</v>
      </c>
      <c r="D87" s="990">
        <v>0</v>
      </c>
      <c r="E87" s="990">
        <v>20</v>
      </c>
      <c r="F87" s="990">
        <v>597</v>
      </c>
      <c r="J87" s="1098" t="s">
        <v>1627</v>
      </c>
      <c r="K87" s="1098" t="s">
        <v>1573</v>
      </c>
      <c r="L87" s="1098" t="s">
        <v>1628</v>
      </c>
      <c r="M87" s="1098" t="s">
        <v>1575</v>
      </c>
      <c r="N87" s="999">
        <v>87.828745621166263</v>
      </c>
    </row>
    <row r="88" spans="2:16">
      <c r="B88" s="1098" t="s">
        <v>1580</v>
      </c>
      <c r="C88" s="990">
        <v>0</v>
      </c>
      <c r="D88" s="990">
        <v>0</v>
      </c>
      <c r="E88" s="990">
        <v>1397</v>
      </c>
      <c r="F88" s="990">
        <v>1741</v>
      </c>
      <c r="J88" s="1098" t="s">
        <v>1629</v>
      </c>
      <c r="K88" s="1098" t="s">
        <v>1577</v>
      </c>
      <c r="L88" s="1098" t="s">
        <v>1630</v>
      </c>
      <c r="M88" s="1098" t="s">
        <v>1575</v>
      </c>
      <c r="N88" s="999">
        <v>127.65992778964588</v>
      </c>
    </row>
    <row r="89" spans="2:16">
      <c r="B89" s="1098" t="s">
        <v>1468</v>
      </c>
      <c r="C89" s="990">
        <v>353093</v>
      </c>
      <c r="D89" s="990">
        <v>0</v>
      </c>
      <c r="E89" s="990">
        <v>50380</v>
      </c>
      <c r="F89" s="990">
        <v>5638</v>
      </c>
    </row>
    <row r="90" spans="2:16" ht="14" thickBot="1">
      <c r="B90" s="1098" t="s">
        <v>105</v>
      </c>
      <c r="C90" s="990">
        <v>4932</v>
      </c>
      <c r="D90" s="990">
        <v>2082</v>
      </c>
      <c r="E90" s="990">
        <v>4260</v>
      </c>
      <c r="F90" s="990">
        <v>6402</v>
      </c>
      <c r="L90" s="983" t="s">
        <v>105</v>
      </c>
    </row>
    <row r="91" spans="2:16">
      <c r="L91" s="1144" t="s">
        <v>1631</v>
      </c>
    </row>
    <row r="92" spans="2:16" ht="14" thickBot="1">
      <c r="B92" s="983" t="s">
        <v>1632</v>
      </c>
      <c r="L92" s="1098" t="s">
        <v>1633</v>
      </c>
      <c r="M92" s="1098" t="s">
        <v>89</v>
      </c>
      <c r="N92" s="1134">
        <v>22889.339935915727</v>
      </c>
    </row>
    <row r="93" spans="2:16">
      <c r="B93" s="1098" t="s">
        <v>1634</v>
      </c>
      <c r="D93" s="1129">
        <v>0.93869999999999998</v>
      </c>
      <c r="L93" s="1098" t="s">
        <v>1635</v>
      </c>
      <c r="M93" s="1098" t="s">
        <v>89</v>
      </c>
      <c r="N93" s="1134">
        <v>9164.9291745000028</v>
      </c>
    </row>
    <row r="94" spans="2:16">
      <c r="B94" s="1098" t="s">
        <v>1636</v>
      </c>
      <c r="D94" s="1129">
        <v>0.68469999999999998</v>
      </c>
      <c r="L94" s="1098" t="s">
        <v>1637</v>
      </c>
      <c r="M94" s="1098" t="s">
        <v>89</v>
      </c>
      <c r="N94" s="1134">
        <v>7443.84</v>
      </c>
    </row>
    <row r="95" spans="2:16">
      <c r="B95" s="1098" t="s">
        <v>1638</v>
      </c>
      <c r="D95" s="1129">
        <v>1.1215999999999999</v>
      </c>
      <c r="L95" s="1098" t="s">
        <v>1639</v>
      </c>
      <c r="M95" s="1098" t="s">
        <v>89</v>
      </c>
      <c r="N95" s="1134">
        <v>4400</v>
      </c>
    </row>
    <row r="96" spans="2:16">
      <c r="B96" s="1098" t="s">
        <v>1640</v>
      </c>
      <c r="C96" s="1098" t="s">
        <v>1641</v>
      </c>
      <c r="D96" s="851">
        <v>84.85848</v>
      </c>
      <c r="E96" s="1098" t="s">
        <v>1463</v>
      </c>
      <c r="L96" s="1098" t="s">
        <v>1642</v>
      </c>
      <c r="M96" s="1098" t="s">
        <v>89</v>
      </c>
      <c r="N96" s="1134">
        <v>39000</v>
      </c>
      <c r="O96" s="1134"/>
    </row>
    <row r="97" spans="2:15">
      <c r="B97" s="1098" t="s">
        <v>1640</v>
      </c>
      <c r="C97" s="1098" t="s">
        <v>1575</v>
      </c>
      <c r="D97" s="1129">
        <v>4.2357405664845329</v>
      </c>
      <c r="L97" s="1144" t="s">
        <v>276</v>
      </c>
      <c r="O97" s="1134"/>
    </row>
    <row r="98" spans="2:15">
      <c r="B98" s="1098" t="s">
        <v>1643</v>
      </c>
      <c r="C98" s="1098" t="s">
        <v>1575</v>
      </c>
      <c r="D98" s="851">
        <v>10.2705</v>
      </c>
      <c r="E98" s="1098" t="s">
        <v>1644</v>
      </c>
      <c r="L98" s="1098" t="s">
        <v>1633</v>
      </c>
      <c r="N98" s="1134">
        <v>3049.5884954588896</v>
      </c>
    </row>
    <row r="99" spans="2:15">
      <c r="B99" s="1098" t="s">
        <v>1645</v>
      </c>
      <c r="C99" s="1098" t="s">
        <v>1641</v>
      </c>
      <c r="D99" s="851">
        <v>127.897875</v>
      </c>
      <c r="E99" s="1098" t="s">
        <v>1463</v>
      </c>
      <c r="L99" s="1098" t="s">
        <v>1635</v>
      </c>
      <c r="N99" s="1134">
        <v>882.12443304562521</v>
      </c>
      <c r="O99" s="1134"/>
    </row>
    <row r="100" spans="2:15">
      <c r="B100" s="1098" t="s">
        <v>1645</v>
      </c>
      <c r="C100" s="1098" t="s">
        <v>1575</v>
      </c>
      <c r="D100" s="1129">
        <v>6.3840669489327171</v>
      </c>
      <c r="E100" s="1145"/>
      <c r="L100" s="1098" t="s">
        <v>1646</v>
      </c>
      <c r="N100" s="1134">
        <v>246.84</v>
      </c>
      <c r="O100" s="1134"/>
    </row>
    <row r="101" spans="2:15">
      <c r="B101" s="1098" t="s">
        <v>1647</v>
      </c>
      <c r="C101" s="1098" t="s">
        <v>1575</v>
      </c>
      <c r="D101" s="562">
        <v>16.491252272727269</v>
      </c>
      <c r="E101" s="1098" t="s">
        <v>1463</v>
      </c>
      <c r="L101" s="1098" t="s">
        <v>1648</v>
      </c>
      <c r="M101" s="1098" t="s">
        <v>1649</v>
      </c>
      <c r="N101" s="1147">
        <v>81.447071495485176</v>
      </c>
      <c r="O101" s="1134"/>
    </row>
    <row r="102" spans="2:15">
      <c r="B102" s="1098" t="s">
        <v>1650</v>
      </c>
      <c r="C102" s="1098" t="s">
        <v>1575</v>
      </c>
      <c r="D102" s="851">
        <v>54.775999999999996</v>
      </c>
      <c r="M102" s="1098" t="s">
        <v>1651</v>
      </c>
      <c r="N102" s="1145">
        <v>4.9320000000000004</v>
      </c>
    </row>
    <row r="103" spans="2:15">
      <c r="B103" s="1098" t="s">
        <v>1652</v>
      </c>
      <c r="C103" s="1098" t="s">
        <v>606</v>
      </c>
      <c r="D103" s="562">
        <v>66</v>
      </c>
      <c r="E103" s="1098" t="s">
        <v>1653</v>
      </c>
      <c r="M103" s="1098" t="s">
        <v>1654</v>
      </c>
      <c r="N103" s="1145">
        <v>2.0819999999999999</v>
      </c>
    </row>
    <row r="104" spans="2:15">
      <c r="B104" s="1098" t="s">
        <v>1655</v>
      </c>
      <c r="C104" s="1098" t="s">
        <v>1656</v>
      </c>
      <c r="D104" s="562">
        <v>6.77</v>
      </c>
      <c r="E104" s="1098" t="s">
        <v>1657</v>
      </c>
    </row>
    <row r="105" spans="2:15">
      <c r="B105" s="1098" t="s">
        <v>1658</v>
      </c>
      <c r="C105" s="1098" t="s">
        <v>1659</v>
      </c>
      <c r="D105" s="1145">
        <v>5.8017599999999998</v>
      </c>
    </row>
    <row r="106" spans="2:15">
      <c r="B106" s="1098" t="s">
        <v>1652</v>
      </c>
      <c r="C106" s="1098" t="s">
        <v>1575</v>
      </c>
      <c r="D106" s="1145">
        <v>72.293568503350699</v>
      </c>
      <c r="E106" s="1129">
        <v>109.53570985356167</v>
      </c>
    </row>
    <row r="107" spans="2:15">
      <c r="B107" s="1098" t="s">
        <v>1660</v>
      </c>
      <c r="C107" s="1098" t="s">
        <v>1575</v>
      </c>
      <c r="D107" s="1145">
        <v>109.53570985356167</v>
      </c>
      <c r="F107" s="1145"/>
    </row>
    <row r="108" spans="2:15">
      <c r="B108" s="1098" t="s">
        <v>1661</v>
      </c>
      <c r="C108" s="1098" t="s">
        <v>1575</v>
      </c>
      <c r="D108" s="1129">
        <v>0.1388888888888889</v>
      </c>
      <c r="F108" s="1146"/>
    </row>
    <row r="109" spans="2:15">
      <c r="B109" s="1098" t="s">
        <v>1662</v>
      </c>
      <c r="C109" s="1098" t="s">
        <v>1575</v>
      </c>
      <c r="D109" s="1145">
        <v>0.18647222222222223</v>
      </c>
    </row>
    <row r="110" spans="2:15" ht="14" thickBot="1">
      <c r="B110" s="983" t="s">
        <v>1626</v>
      </c>
    </row>
    <row r="111" spans="2:15">
      <c r="B111" s="1098" t="s">
        <v>1579</v>
      </c>
    </row>
    <row r="112" spans="2:15">
      <c r="B112" s="1098" t="s">
        <v>1663</v>
      </c>
      <c r="C112" s="1098" t="s">
        <v>1570</v>
      </c>
      <c r="D112" s="851">
        <v>10.509391999999998</v>
      </c>
      <c r="E112" s="1098" t="s">
        <v>1360</v>
      </c>
    </row>
    <row r="113" spans="2:16">
      <c r="B113" s="1098" t="s">
        <v>1664</v>
      </c>
      <c r="C113" s="1098" t="s">
        <v>1665</v>
      </c>
      <c r="D113" s="990">
        <v>9678.9357</v>
      </c>
      <c r="E113" s="1098" t="s">
        <v>1463</v>
      </c>
    </row>
    <row r="114" spans="2:16">
      <c r="B114" s="1098" t="s">
        <v>1666</v>
      </c>
      <c r="C114" s="1098" t="s">
        <v>1665</v>
      </c>
      <c r="D114" s="1134">
        <v>2295.033126964111</v>
      </c>
    </row>
    <row r="115" spans="2:16">
      <c r="B115" s="1098" t="s">
        <v>1667</v>
      </c>
      <c r="C115" s="1098" t="s">
        <v>1665</v>
      </c>
      <c r="D115" s="1134">
        <v>255.61441022727269</v>
      </c>
    </row>
    <row r="116" spans="2:16">
      <c r="B116" s="1098" t="s">
        <v>1668</v>
      </c>
      <c r="C116" s="1098" t="s">
        <v>1665</v>
      </c>
      <c r="D116" s="1145">
        <v>4.7686388888888889</v>
      </c>
    </row>
    <row r="117" spans="2:16">
      <c r="B117" s="1098" t="s">
        <v>1669</v>
      </c>
      <c r="C117" s="1098" t="s">
        <v>1665</v>
      </c>
      <c r="D117" s="1002">
        <v>7123.5195239197274</v>
      </c>
    </row>
    <row r="118" spans="2:16">
      <c r="B118" s="1098" t="s">
        <v>105</v>
      </c>
    </row>
    <row r="120" spans="2:16" ht="17" thickBot="1">
      <c r="B120" s="989" t="s">
        <v>1670</v>
      </c>
      <c r="L120" s="989" t="s">
        <v>1671</v>
      </c>
      <c r="N120" s="1098" t="s">
        <v>1672</v>
      </c>
    </row>
    <row r="121" spans="2:16" ht="14" thickTop="1">
      <c r="J121" s="1098" t="s">
        <v>1673</v>
      </c>
      <c r="K121" s="1098" t="s">
        <v>1564</v>
      </c>
      <c r="L121" s="1098" t="s">
        <v>1674</v>
      </c>
      <c r="M121" s="1098" t="s">
        <v>1675</v>
      </c>
      <c r="N121" s="996">
        <v>131.34870829488889</v>
      </c>
    </row>
    <row r="122" spans="2:16">
      <c r="B122" s="1098" t="s">
        <v>253</v>
      </c>
      <c r="C122" s="1098" t="s">
        <v>1676</v>
      </c>
      <c r="D122" s="990">
        <v>80000</v>
      </c>
      <c r="E122" s="1098" t="s">
        <v>1360</v>
      </c>
      <c r="F122" s="1258" t="s">
        <v>1675</v>
      </c>
      <c r="G122" s="1260">
        <f>$H$122*D122*365*N141*0.000001 *Unit.PJ</f>
        <v>159.7824</v>
      </c>
      <c r="H122" s="1257">
        <v>5.7</v>
      </c>
      <c r="J122" s="1098" t="s">
        <v>1677</v>
      </c>
      <c r="K122" s="1098" t="s">
        <v>792</v>
      </c>
      <c r="L122" s="1144" t="s">
        <v>1524</v>
      </c>
      <c r="N122" s="985">
        <v>0.48660874806068538</v>
      </c>
      <c r="P122" s="1099" t="s">
        <v>1678</v>
      </c>
    </row>
    <row r="123" spans="2:16">
      <c r="B123" s="1098" t="s">
        <v>1679</v>
      </c>
      <c r="C123" s="1098" t="s">
        <v>1680</v>
      </c>
      <c r="D123" s="984"/>
      <c r="J123" s="1098" t="s">
        <v>1672</v>
      </c>
      <c r="L123" s="1120" t="s">
        <v>1681</v>
      </c>
      <c r="N123" s="985">
        <v>0.77242500000000014</v>
      </c>
      <c r="P123" s="1099" t="s">
        <v>1682</v>
      </c>
    </row>
    <row r="124" spans="2:16">
      <c r="B124" s="1098" t="s">
        <v>1500</v>
      </c>
      <c r="D124" s="984"/>
      <c r="J124" s="1098" t="s">
        <v>1672</v>
      </c>
      <c r="L124" s="1144" t="s">
        <v>1527</v>
      </c>
    </row>
    <row r="125" spans="2:16">
      <c r="B125" s="1098" t="s">
        <v>175</v>
      </c>
      <c r="D125" s="520">
        <v>0.73</v>
      </c>
      <c r="E125" s="1098" t="s">
        <v>1360</v>
      </c>
      <c r="J125" s="1098" t="s">
        <v>1683</v>
      </c>
      <c r="K125" s="1098" t="s">
        <v>1397</v>
      </c>
      <c r="L125" s="1098" t="s">
        <v>1466</v>
      </c>
      <c r="N125" s="1124">
        <v>0.66693494980413537</v>
      </c>
    </row>
    <row r="126" spans="2:16">
      <c r="B126" s="1098" t="s">
        <v>1506</v>
      </c>
      <c r="D126" s="984"/>
      <c r="J126" s="1098" t="s">
        <v>1684</v>
      </c>
      <c r="K126" s="1098" t="s">
        <v>1393</v>
      </c>
      <c r="L126" s="1098" t="s">
        <v>1469</v>
      </c>
      <c r="N126" s="1124">
        <v>2.8623703197696224E-2</v>
      </c>
    </row>
    <row r="127" spans="2:16">
      <c r="B127" s="1098" t="s">
        <v>1508</v>
      </c>
      <c r="D127" s="984"/>
      <c r="J127" s="1098" t="s">
        <v>1672</v>
      </c>
      <c r="L127" s="1098" t="s">
        <v>1473</v>
      </c>
      <c r="N127" s="1124">
        <v>0</v>
      </c>
    </row>
    <row r="128" spans="2:16">
      <c r="B128" s="1098" t="s">
        <v>787</v>
      </c>
      <c r="D128" s="972">
        <v>3.5000000000000003E-2</v>
      </c>
      <c r="E128" s="1098" t="s">
        <v>1360</v>
      </c>
      <c r="J128" s="1098" t="s">
        <v>1685</v>
      </c>
      <c r="K128" s="1098" t="s">
        <v>1377</v>
      </c>
      <c r="L128" s="1098" t="s">
        <v>1534</v>
      </c>
      <c r="N128" s="1124">
        <v>0.24103670504137198</v>
      </c>
    </row>
    <row r="129" spans="2:14">
      <c r="B129" s="1098" t="s">
        <v>1511</v>
      </c>
      <c r="D129" s="972">
        <v>0.23499999999999999</v>
      </c>
      <c r="E129" s="1098" t="s">
        <v>1360</v>
      </c>
      <c r="J129" s="1098" t="s">
        <v>1686</v>
      </c>
      <c r="K129" s="1098" t="s">
        <v>879</v>
      </c>
      <c r="L129" s="1098" t="s">
        <v>1536</v>
      </c>
      <c r="N129" s="1124">
        <v>6.3404641956796237E-2</v>
      </c>
    </row>
    <row r="130" spans="2:14">
      <c r="B130" s="1098" t="s">
        <v>1516</v>
      </c>
      <c r="D130" s="984"/>
      <c r="J130" s="1098" t="s">
        <v>1672</v>
      </c>
      <c r="L130" s="1144" t="s">
        <v>1687</v>
      </c>
    </row>
    <row r="131" spans="2:14">
      <c r="J131" s="1098" t="s">
        <v>1688</v>
      </c>
      <c r="K131" s="1098" t="s">
        <v>1370</v>
      </c>
      <c r="L131" s="1098" t="s">
        <v>1500</v>
      </c>
      <c r="N131" s="1124">
        <v>0</v>
      </c>
    </row>
    <row r="132" spans="2:14">
      <c r="B132" s="1098" t="s">
        <v>1689</v>
      </c>
      <c r="C132" s="1098" t="s">
        <v>1690</v>
      </c>
      <c r="D132" s="1003">
        <v>40.09480476660066</v>
      </c>
      <c r="E132" s="1098" t="s">
        <v>1360</v>
      </c>
      <c r="J132" s="1098" t="s">
        <v>1691</v>
      </c>
      <c r="K132" s="1098" t="s">
        <v>886</v>
      </c>
      <c r="L132" s="1098" t="s">
        <v>175</v>
      </c>
      <c r="N132" s="1124">
        <v>0.73</v>
      </c>
    </row>
    <row r="133" spans="2:14">
      <c r="J133" s="1098" t="s">
        <v>1692</v>
      </c>
      <c r="K133" s="1098" t="s">
        <v>1380</v>
      </c>
      <c r="L133" s="1098" t="s">
        <v>1506</v>
      </c>
      <c r="N133" s="1124">
        <v>0</v>
      </c>
    </row>
    <row r="134" spans="2:14">
      <c r="J134" s="1098" t="s">
        <v>1693</v>
      </c>
      <c r="K134" s="1098" t="s">
        <v>884</v>
      </c>
      <c r="L134" s="1098" t="s">
        <v>1508</v>
      </c>
      <c r="N134" s="1124">
        <v>0</v>
      </c>
    </row>
    <row r="135" spans="2:14">
      <c r="J135" s="1098" t="s">
        <v>1694</v>
      </c>
      <c r="K135" s="1098" t="s">
        <v>887</v>
      </c>
      <c r="L135" s="1098" t="s">
        <v>787</v>
      </c>
      <c r="N135" s="1124">
        <v>3.5000000000000003E-2</v>
      </c>
    </row>
    <row r="136" spans="2:14">
      <c r="J136" s="1098" t="s">
        <v>1695</v>
      </c>
      <c r="K136" s="1098" t="s">
        <v>909</v>
      </c>
      <c r="L136" s="1098" t="s">
        <v>1511</v>
      </c>
      <c r="N136" s="1124">
        <v>0.23499999999999999</v>
      </c>
    </row>
    <row r="137" spans="2:14">
      <c r="J137" s="1098" t="s">
        <v>1696</v>
      </c>
      <c r="K137" s="1098" t="s">
        <v>1373</v>
      </c>
      <c r="L137" s="1098" t="s">
        <v>1516</v>
      </c>
      <c r="N137" s="1124">
        <v>0</v>
      </c>
    </row>
    <row r="138" spans="2:14">
      <c r="J138" s="1098" t="s">
        <v>1672</v>
      </c>
    </row>
    <row r="139" spans="2:14">
      <c r="J139" s="1098" t="s">
        <v>1697</v>
      </c>
      <c r="K139" s="1098" t="s">
        <v>349</v>
      </c>
      <c r="L139" s="1098" t="s">
        <v>1555</v>
      </c>
      <c r="M139" s="1098" t="s">
        <v>1556</v>
      </c>
      <c r="N139" s="996">
        <v>118.87720516934066</v>
      </c>
    </row>
    <row r="140" spans="2:14">
      <c r="J140" s="1098" t="s">
        <v>1698</v>
      </c>
      <c r="K140" s="1098" t="s">
        <v>350</v>
      </c>
      <c r="L140" s="1098" t="s">
        <v>1559</v>
      </c>
      <c r="M140" s="1098" t="s">
        <v>1556</v>
      </c>
      <c r="N140" s="997">
        <v>1.493450375906064</v>
      </c>
    </row>
    <row r="141" spans="2:14">
      <c r="J141" s="1098" t="s">
        <v>1699</v>
      </c>
      <c r="K141" s="1098" t="s">
        <v>793</v>
      </c>
      <c r="L141" s="1098" t="s">
        <v>471</v>
      </c>
      <c r="N141" s="520">
        <v>0.96</v>
      </c>
    </row>
    <row r="142" spans="2:14">
      <c r="J142" s="1098" t="s">
        <v>1700</v>
      </c>
      <c r="K142" s="1098" t="s">
        <v>908</v>
      </c>
      <c r="L142" s="1098" t="s">
        <v>1701</v>
      </c>
      <c r="N142" s="974">
        <v>2018</v>
      </c>
    </row>
    <row r="143" spans="2:14">
      <c r="J143" s="1098" t="s">
        <v>1702</v>
      </c>
      <c r="K143" s="1098" t="s">
        <v>795</v>
      </c>
      <c r="L143" s="1098" t="s">
        <v>802</v>
      </c>
      <c r="M143" s="1098" t="s">
        <v>1703</v>
      </c>
      <c r="N143" s="996">
        <v>305.25465600000001</v>
      </c>
    </row>
    <row r="144" spans="2:14">
      <c r="J144" s="1098" t="s">
        <v>1704</v>
      </c>
      <c r="K144" s="1098" t="s">
        <v>1568</v>
      </c>
      <c r="L144" s="1098" t="s">
        <v>1705</v>
      </c>
      <c r="M144" s="1098" t="s">
        <v>1703</v>
      </c>
      <c r="N144" s="996">
        <v>30.129804076467401</v>
      </c>
    </row>
    <row r="145" spans="2:19">
      <c r="J145" s="1098" t="s">
        <v>1706</v>
      </c>
      <c r="K145" s="1098" t="s">
        <v>617</v>
      </c>
      <c r="L145" s="1098" t="s">
        <v>617</v>
      </c>
      <c r="M145" s="1098" t="s">
        <v>614</v>
      </c>
      <c r="N145" s="1004">
        <v>50</v>
      </c>
    </row>
    <row r="146" spans="2:19">
      <c r="J146" s="1098" t="s">
        <v>1672</v>
      </c>
      <c r="L146" s="1098" t="s">
        <v>1707</v>
      </c>
      <c r="M146" s="1098" t="s">
        <v>1575</v>
      </c>
      <c r="N146" s="1129">
        <v>4.6275813132022972</v>
      </c>
    </row>
    <row r="147" spans="2:19">
      <c r="J147" s="1098" t="s">
        <v>1708</v>
      </c>
      <c r="K147" s="1098" t="s">
        <v>1573</v>
      </c>
      <c r="L147" s="1098" t="s">
        <v>1574</v>
      </c>
      <c r="M147" s="1098" t="s">
        <v>1575</v>
      </c>
      <c r="N147" s="1005">
        <v>65.631735462595401</v>
      </c>
    </row>
    <row r="148" spans="2:19">
      <c r="J148" s="1098" t="s">
        <v>1672</v>
      </c>
      <c r="L148" s="1098" t="s">
        <v>1709</v>
      </c>
      <c r="M148" s="1098" t="s">
        <v>1575</v>
      </c>
      <c r="N148" s="1129">
        <v>11.634399826943095</v>
      </c>
    </row>
    <row r="149" spans="2:19">
      <c r="J149" s="1098" t="s">
        <v>1710</v>
      </c>
      <c r="K149" s="1098" t="s">
        <v>1577</v>
      </c>
      <c r="L149" s="1098" t="s">
        <v>1578</v>
      </c>
      <c r="M149" s="1098" t="s">
        <v>1575</v>
      </c>
      <c r="N149" s="1005">
        <v>80.03102142213794</v>
      </c>
    </row>
    <row r="151" spans="2:19" ht="17" thickBot="1">
      <c r="B151" s="989" t="s">
        <v>1711</v>
      </c>
      <c r="L151" s="989" t="s">
        <v>1712</v>
      </c>
      <c r="Q151" s="989" t="s">
        <v>1713</v>
      </c>
    </row>
    <row r="152" spans="2:19" ht="14" thickTop="1"/>
    <row r="153" spans="2:19" ht="14" thickBot="1">
      <c r="B153" s="983" t="s">
        <v>1714</v>
      </c>
      <c r="L153" s="983" t="s">
        <v>1715</v>
      </c>
      <c r="N153" s="1098" t="s">
        <v>1716</v>
      </c>
      <c r="Q153" s="1136" t="s">
        <v>1850</v>
      </c>
      <c r="R153" s="1134">
        <f>D169+N71</f>
        <v>923409.73751046113</v>
      </c>
      <c r="S153" s="1143"/>
    </row>
    <row r="154" spans="2:19">
      <c r="B154" s="1098" t="s">
        <v>1717</v>
      </c>
      <c r="C154" s="1098" t="s">
        <v>89</v>
      </c>
      <c r="D154" s="990">
        <v>926356.32638568</v>
      </c>
      <c r="E154" s="1098" t="s">
        <v>1718</v>
      </c>
      <c r="Q154" s="1136" t="s">
        <v>1851</v>
      </c>
      <c r="R154" s="1134">
        <f>(D168*D169) + N70</f>
        <v>22905.298806985556</v>
      </c>
      <c r="S154" s="1138"/>
    </row>
    <row r="155" spans="2:19">
      <c r="B155" s="1098" t="s">
        <v>1719</v>
      </c>
      <c r="C155" s="1098" t="s">
        <v>89</v>
      </c>
      <c r="D155" s="990">
        <v>42660</v>
      </c>
      <c r="Q155" s="1136" t="s">
        <v>1720</v>
      </c>
      <c r="R155" s="1142">
        <f>(D169/R153)*D171 + (N71/R153)*N84</f>
        <v>0.92330204883866607</v>
      </c>
      <c r="S155" s="1141"/>
    </row>
    <row r="156" spans="2:19">
      <c r="B156" s="1098" t="s">
        <v>1721</v>
      </c>
      <c r="C156" s="1098" t="s">
        <v>89</v>
      </c>
      <c r="D156" s="990">
        <v>1105</v>
      </c>
      <c r="E156" s="1098" t="s">
        <v>1722</v>
      </c>
      <c r="J156" s="1098" t="s">
        <v>1723</v>
      </c>
      <c r="K156" s="1098" t="s">
        <v>1380</v>
      </c>
      <c r="L156" s="1098" t="s">
        <v>1724</v>
      </c>
      <c r="N156" s="1124">
        <v>1.4580492089315182E-3</v>
      </c>
      <c r="Q156" s="1136" t="s">
        <v>1852</v>
      </c>
      <c r="R156" s="1099" t="e">
        <f>#REF!+#REF!</f>
        <v>#REF!</v>
      </c>
      <c r="S156" s="1138"/>
    </row>
    <row r="157" spans="2:19">
      <c r="B157" s="1098" t="s">
        <v>1536</v>
      </c>
      <c r="C157" s="1098" t="s">
        <v>89</v>
      </c>
      <c r="D157" s="1006">
        <v>4083.8996948148151</v>
      </c>
      <c r="E157" s="1098" t="s">
        <v>1725</v>
      </c>
      <c r="J157" s="1098" t="s">
        <v>1726</v>
      </c>
      <c r="K157" s="1098" t="s">
        <v>879</v>
      </c>
      <c r="L157" s="1098" t="s">
        <v>1727</v>
      </c>
      <c r="N157" s="1124">
        <v>5.3887119632401899E-3</v>
      </c>
      <c r="Q157" s="1136" t="s">
        <v>1853</v>
      </c>
      <c r="R157" s="1140">
        <f>R153/SUM(S160:S162)</f>
        <v>0.94665400676808076</v>
      </c>
    </row>
    <row r="158" spans="2:19">
      <c r="B158" s="1098" t="s">
        <v>1728</v>
      </c>
      <c r="C158" s="1098" t="s">
        <v>89</v>
      </c>
      <c r="D158" s="1006">
        <v>752673.03886743833</v>
      </c>
      <c r="E158" s="1129"/>
      <c r="F158" s="1139"/>
      <c r="J158" s="1098" t="s">
        <v>1729</v>
      </c>
      <c r="K158" s="1098" t="s">
        <v>1374</v>
      </c>
      <c r="L158" s="1098" t="s">
        <v>1730</v>
      </c>
      <c r="N158" s="1124">
        <v>0.99315323882782824</v>
      </c>
      <c r="Q158" s="1137" t="s">
        <v>1854</v>
      </c>
      <c r="R158" s="1137" t="s">
        <v>270</v>
      </c>
      <c r="S158" s="1138" t="s">
        <v>89</v>
      </c>
    </row>
    <row r="159" spans="2:19">
      <c r="B159" s="1098" t="s">
        <v>1520</v>
      </c>
      <c r="C159" s="1098" t="s">
        <v>89</v>
      </c>
      <c r="D159" s="1134">
        <v>757861.93856225314</v>
      </c>
      <c r="J159" s="1098" t="s">
        <v>1716</v>
      </c>
      <c r="Q159" s="1137" t="s">
        <v>756</v>
      </c>
      <c r="S159" s="1134">
        <f>SUM(S160:S162)</f>
        <v>975445.86608049483</v>
      </c>
    </row>
    <row r="160" spans="2:19">
      <c r="B160" s="1098" t="s">
        <v>1524</v>
      </c>
      <c r="D160" s="1131">
        <v>0.95</v>
      </c>
      <c r="J160" s="1098" t="s">
        <v>1732</v>
      </c>
      <c r="K160" s="1098" t="s">
        <v>792</v>
      </c>
      <c r="L160" s="1098" t="s">
        <v>1524</v>
      </c>
      <c r="N160" s="1124">
        <v>0.95</v>
      </c>
      <c r="Q160" s="1136" t="s">
        <v>1731</v>
      </c>
      <c r="R160" s="1126">
        <f>S160/$R$153</f>
        <v>1.0493893306758661</v>
      </c>
      <c r="S160" s="1134">
        <f>D154+D155</f>
        <v>969016.32638568</v>
      </c>
    </row>
    <row r="161" spans="2:19">
      <c r="B161" s="1098" t="s">
        <v>1733</v>
      </c>
      <c r="J161" s="1098" t="s">
        <v>1716</v>
      </c>
      <c r="L161" s="1098" t="s">
        <v>1733</v>
      </c>
      <c r="Q161" s="1136" t="s">
        <v>4</v>
      </c>
      <c r="R161" s="1135">
        <f>S161/$R$153</f>
        <v>5.7661723485501956E-3</v>
      </c>
      <c r="S161" s="1134">
        <f>(D157+N62)</f>
        <v>5324.5396948148154</v>
      </c>
    </row>
    <row r="162" spans="2:19">
      <c r="B162" s="1098" t="s">
        <v>1734</v>
      </c>
      <c r="D162" s="1130">
        <v>2.8514857409240738E-3</v>
      </c>
      <c r="J162" s="1098" t="s">
        <v>1735</v>
      </c>
      <c r="K162" s="1098" t="s">
        <v>1370</v>
      </c>
      <c r="L162" s="1098" t="s">
        <v>1734</v>
      </c>
      <c r="N162" s="1124">
        <v>2.8514857409240738E-3</v>
      </c>
      <c r="Q162" s="1136" t="s">
        <v>1506</v>
      </c>
      <c r="R162" s="1135">
        <f>S162/$R$153</f>
        <v>1.1966518817303263E-3</v>
      </c>
      <c r="S162" s="1134">
        <f>D156</f>
        <v>1105</v>
      </c>
    </row>
    <row r="163" spans="2:19">
      <c r="B163" s="1098" t="s">
        <v>175</v>
      </c>
      <c r="D163" s="1130">
        <v>0.33216146888997561</v>
      </c>
      <c r="J163" s="1098" t="s">
        <v>1736</v>
      </c>
      <c r="K163" s="1098" t="s">
        <v>886</v>
      </c>
      <c r="L163" s="1098" t="s">
        <v>175</v>
      </c>
      <c r="N163" s="1124">
        <v>0.33216146888997561</v>
      </c>
    </row>
    <row r="164" spans="2:19">
      <c r="B164" s="1098" t="s">
        <v>880</v>
      </c>
      <c r="D164" s="1130">
        <v>0.22843104976229886</v>
      </c>
      <c r="J164" s="1098" t="s">
        <v>1737</v>
      </c>
      <c r="K164" s="1098" t="s">
        <v>885</v>
      </c>
      <c r="L164" s="1098" t="s">
        <v>880</v>
      </c>
      <c r="N164" s="1124">
        <v>0.22843104976229886</v>
      </c>
      <c r="Q164" s="1133" t="s">
        <v>1855</v>
      </c>
      <c r="R164" s="1075">
        <f>S164/R153</f>
        <v>4.9389330675866094E-2</v>
      </c>
      <c r="S164" s="1132">
        <f>S160-R153</f>
        <v>45606.588875218877</v>
      </c>
    </row>
    <row r="165" spans="2:19">
      <c r="B165" s="1098" t="s">
        <v>1738</v>
      </c>
      <c r="D165" s="1130">
        <v>0.10627528143612863</v>
      </c>
      <c r="J165" s="1098" t="s">
        <v>1739</v>
      </c>
      <c r="K165" s="1098" t="s">
        <v>884</v>
      </c>
      <c r="L165" s="1098" t="s">
        <v>1738</v>
      </c>
      <c r="N165" s="1124">
        <v>0.10627528143612863</v>
      </c>
    </row>
    <row r="166" spans="2:19">
      <c r="B166" s="1098" t="s">
        <v>787</v>
      </c>
      <c r="D166" s="1130">
        <v>1.9461796662135593E-2</v>
      </c>
      <c r="J166" s="1098" t="s">
        <v>1740</v>
      </c>
      <c r="K166" s="1098" t="s">
        <v>887</v>
      </c>
      <c r="L166" s="1098" t="s">
        <v>787</v>
      </c>
      <c r="N166" s="1124">
        <v>1.9461796662135593E-2</v>
      </c>
    </row>
    <row r="167" spans="2:19">
      <c r="B167" s="1098" t="s">
        <v>898</v>
      </c>
      <c r="D167" s="1130">
        <v>0.28959096866700185</v>
      </c>
      <c r="J167" s="1098" t="s">
        <v>1741</v>
      </c>
      <c r="K167" s="1098" t="s">
        <v>909</v>
      </c>
      <c r="L167" s="1098" t="s">
        <v>898</v>
      </c>
      <c r="N167" s="1124">
        <v>0.28959096866700185</v>
      </c>
    </row>
    <row r="168" spans="2:19">
      <c r="B168" s="1098" t="s">
        <v>1742</v>
      </c>
      <c r="D168" s="1130">
        <v>2.1227948841535449E-2</v>
      </c>
      <c r="J168" s="1098" t="s">
        <v>1743</v>
      </c>
      <c r="K168" s="1098" t="s">
        <v>1373</v>
      </c>
      <c r="L168" s="1098" t="s">
        <v>1742</v>
      </c>
      <c r="N168" s="1124">
        <v>2.1227948841535449E-2</v>
      </c>
    </row>
    <row r="169" spans="2:19">
      <c r="B169" s="1098" t="s">
        <v>1744</v>
      </c>
      <c r="C169" s="1098" t="s">
        <v>89</v>
      </c>
      <c r="D169" s="1006">
        <f>SUM(D162:D168)*D159*D160</f>
        <v>719968.84163414047</v>
      </c>
      <c r="J169" s="1098" t="s">
        <v>1745</v>
      </c>
      <c r="K169" s="1098" t="s">
        <v>793</v>
      </c>
      <c r="L169" s="1098" t="s">
        <v>471</v>
      </c>
      <c r="N169" s="1124">
        <v>0.91324200913242004</v>
      </c>
    </row>
    <row r="170" spans="2:19">
      <c r="B170" s="1120" t="s">
        <v>1746</v>
      </c>
      <c r="C170" s="1098" t="s">
        <v>89</v>
      </c>
      <c r="D170" s="1006">
        <f>D169*(1-D168)</f>
        <v>704685.37989643135</v>
      </c>
      <c r="J170" s="1098" t="s">
        <v>1747</v>
      </c>
      <c r="K170" s="1098" t="s">
        <v>349</v>
      </c>
      <c r="L170" s="1098" t="s">
        <v>1496</v>
      </c>
      <c r="M170" s="1098" t="s">
        <v>1748</v>
      </c>
      <c r="N170" s="1007">
        <v>2.9</v>
      </c>
    </row>
    <row r="171" spans="2:19">
      <c r="B171" s="1098" t="s">
        <v>471</v>
      </c>
      <c r="C171" s="1098" t="s">
        <v>270</v>
      </c>
      <c r="D171" s="1130">
        <v>0.91324200913242004</v>
      </c>
      <c r="E171" s="1098" t="s">
        <v>1501</v>
      </c>
      <c r="J171" s="1098" t="s">
        <v>1749</v>
      </c>
      <c r="K171" s="1098" t="s">
        <v>1564</v>
      </c>
      <c r="L171" s="1098" t="s">
        <v>253</v>
      </c>
      <c r="N171" s="1008">
        <v>788.36588158938378</v>
      </c>
    </row>
    <row r="172" spans="2:19">
      <c r="B172" s="1098" t="s">
        <v>1750</v>
      </c>
      <c r="C172" s="1098" t="s">
        <v>1570</v>
      </c>
      <c r="D172" s="1009">
        <v>10.509391999999998</v>
      </c>
      <c r="E172" s="1098" t="s">
        <v>1360</v>
      </c>
      <c r="J172" s="1098" t="s">
        <v>1751</v>
      </c>
      <c r="K172" s="1098" t="s">
        <v>1568</v>
      </c>
      <c r="L172" s="1098" t="s">
        <v>1750</v>
      </c>
      <c r="N172" s="1008">
        <v>10.509391999999998</v>
      </c>
    </row>
    <row r="173" spans="2:19">
      <c r="J173" s="1098" t="s">
        <v>1752</v>
      </c>
      <c r="K173" s="1098" t="s">
        <v>1573</v>
      </c>
      <c r="L173" s="1098" t="s">
        <v>1628</v>
      </c>
      <c r="M173" s="1098" t="s">
        <v>1575</v>
      </c>
      <c r="N173" s="999">
        <v>86.607885161421791</v>
      </c>
    </row>
    <row r="174" spans="2:19">
      <c r="J174" s="1098" t="s">
        <v>1753</v>
      </c>
      <c r="K174" s="1098" t="s">
        <v>1577</v>
      </c>
      <c r="L174" s="1098" t="s">
        <v>1630</v>
      </c>
      <c r="M174" s="1098" t="s">
        <v>1575</v>
      </c>
      <c r="N174" s="999">
        <v>120.80023692826251</v>
      </c>
    </row>
    <row r="176" spans="2:19" ht="14" thickBot="1">
      <c r="B176" s="983" t="s">
        <v>1754</v>
      </c>
      <c r="D176" s="1098" t="s">
        <v>1756</v>
      </c>
      <c r="L176" s="983" t="s">
        <v>1754</v>
      </c>
      <c r="N176" s="1098" t="s">
        <v>1755</v>
      </c>
    </row>
    <row r="177" spans="2:14">
      <c r="B177" s="1098" t="s">
        <v>253</v>
      </c>
      <c r="C177" s="1098" t="s">
        <v>1676</v>
      </c>
      <c r="D177" s="990">
        <v>360000</v>
      </c>
      <c r="F177" s="1258" t="s">
        <v>1675</v>
      </c>
      <c r="G177" s="1260">
        <f>$H$122*D177*365*N192*0.000001 *Unit.PJ</f>
        <v>719.02080000000001</v>
      </c>
    </row>
    <row r="178" spans="2:14">
      <c r="B178" s="1098" t="s">
        <v>253</v>
      </c>
      <c r="C178" s="1098" t="s">
        <v>1757</v>
      </c>
      <c r="D178" s="1006">
        <v>798.3204946462364</v>
      </c>
      <c r="J178" s="1098" t="s">
        <v>1758</v>
      </c>
      <c r="K178" s="1098" t="s">
        <v>908</v>
      </c>
      <c r="L178" s="1098" t="s">
        <v>1701</v>
      </c>
      <c r="N178" s="1010">
        <v>2018</v>
      </c>
    </row>
    <row r="179" spans="2:14">
      <c r="B179" s="1098" t="s">
        <v>1759</v>
      </c>
      <c r="C179" s="1098" t="s">
        <v>1760</v>
      </c>
      <c r="D179" s="990">
        <v>85.84</v>
      </c>
      <c r="J179" s="1098" t="s">
        <v>1761</v>
      </c>
      <c r="K179" s="1098" t="s">
        <v>1380</v>
      </c>
      <c r="L179" s="1098" t="s">
        <v>1724</v>
      </c>
      <c r="N179" s="1124">
        <v>0</v>
      </c>
    </row>
    <row r="180" spans="2:14">
      <c r="B180" s="1098" t="s">
        <v>1759</v>
      </c>
      <c r="C180" s="1098" t="s">
        <v>1762</v>
      </c>
      <c r="D180" s="1011">
        <v>58.80040000000001</v>
      </c>
      <c r="J180" s="1098" t="s">
        <v>1763</v>
      </c>
      <c r="K180" s="1098" t="s">
        <v>879</v>
      </c>
      <c r="L180" s="1098" t="s">
        <v>1727</v>
      </c>
      <c r="N180" s="1124">
        <v>0</v>
      </c>
    </row>
    <row r="181" spans="2:14">
      <c r="B181" s="1098" t="s">
        <v>1764</v>
      </c>
      <c r="J181" s="1098" t="s">
        <v>1765</v>
      </c>
      <c r="K181" s="1098" t="s">
        <v>1374</v>
      </c>
      <c r="L181" s="1098" t="s">
        <v>1730</v>
      </c>
      <c r="N181" s="1124">
        <v>1</v>
      </c>
    </row>
    <row r="182" spans="2:14">
      <c r="B182" s="1098" t="s">
        <v>1734</v>
      </c>
      <c r="D182" s="1130">
        <v>0</v>
      </c>
      <c r="J182" s="1098" t="s">
        <v>1755</v>
      </c>
    </row>
    <row r="183" spans="2:14">
      <c r="B183" s="1098" t="s">
        <v>1766</v>
      </c>
      <c r="D183" s="1130">
        <v>0.5</v>
      </c>
      <c r="J183" s="1098" t="s">
        <v>1767</v>
      </c>
      <c r="K183" s="1098" t="s">
        <v>792</v>
      </c>
      <c r="L183" s="1098" t="s">
        <v>1524</v>
      </c>
      <c r="N183" s="1131">
        <v>0.97</v>
      </c>
    </row>
    <row r="184" spans="2:14">
      <c r="B184" s="1098" t="s">
        <v>880</v>
      </c>
      <c r="D184" s="1130">
        <v>0</v>
      </c>
      <c r="J184" s="1098" t="s">
        <v>1755</v>
      </c>
      <c r="L184" s="1098" t="s">
        <v>1764</v>
      </c>
    </row>
    <row r="185" spans="2:14">
      <c r="B185" s="1098" t="s">
        <v>1768</v>
      </c>
      <c r="D185" s="1130">
        <v>0.2</v>
      </c>
      <c r="J185" s="1098" t="s">
        <v>1769</v>
      </c>
      <c r="K185" s="1098" t="s">
        <v>1370</v>
      </c>
      <c r="L185" s="1098" t="s">
        <v>1734</v>
      </c>
      <c r="N185" s="1124">
        <v>0</v>
      </c>
    </row>
    <row r="186" spans="2:14">
      <c r="B186" s="1098" t="s">
        <v>1770</v>
      </c>
      <c r="D186" s="1130">
        <v>0.03</v>
      </c>
      <c r="J186" s="1098" t="s">
        <v>1771</v>
      </c>
      <c r="K186" s="1098" t="s">
        <v>886</v>
      </c>
      <c r="L186" s="1098" t="s">
        <v>1766</v>
      </c>
      <c r="N186" s="1124">
        <v>0.5</v>
      </c>
    </row>
    <row r="187" spans="2:14">
      <c r="B187" s="1098" t="s">
        <v>1772</v>
      </c>
      <c r="D187" s="1130">
        <v>0.5</v>
      </c>
      <c r="J187" s="1098" t="s">
        <v>1773</v>
      </c>
      <c r="K187" s="1098" t="s">
        <v>885</v>
      </c>
      <c r="L187" s="1098" t="s">
        <v>880</v>
      </c>
      <c r="N187" s="1124">
        <v>0</v>
      </c>
    </row>
    <row r="188" spans="2:14">
      <c r="B188" s="1098" t="s">
        <v>1742</v>
      </c>
      <c r="D188" s="1130">
        <v>0</v>
      </c>
      <c r="J188" s="1098" t="s">
        <v>1774</v>
      </c>
      <c r="K188" s="1098" t="s">
        <v>884</v>
      </c>
      <c r="L188" s="1098" t="s">
        <v>1768</v>
      </c>
      <c r="N188" s="1124">
        <v>0.2</v>
      </c>
    </row>
    <row r="189" spans="2:14">
      <c r="J189" s="1098" t="s">
        <v>1775</v>
      </c>
      <c r="K189" s="1098" t="s">
        <v>887</v>
      </c>
      <c r="L189" s="1098" t="s">
        <v>1770</v>
      </c>
      <c r="N189" s="1124">
        <v>0.03</v>
      </c>
    </row>
    <row r="190" spans="2:14">
      <c r="B190" s="1098" t="s">
        <v>471</v>
      </c>
      <c r="C190" s="1098" t="s">
        <v>270</v>
      </c>
      <c r="D190" s="985">
        <v>0.96</v>
      </c>
      <c r="J190" s="1098" t="s">
        <v>1776</v>
      </c>
      <c r="K190" s="1098" t="s">
        <v>909</v>
      </c>
      <c r="L190" s="1098" t="s">
        <v>1772</v>
      </c>
      <c r="N190" s="1124">
        <v>0.5</v>
      </c>
    </row>
    <row r="191" spans="2:14">
      <c r="B191" s="1098" t="s">
        <v>1750</v>
      </c>
      <c r="C191" s="1098" t="s">
        <v>1570</v>
      </c>
      <c r="D191" s="1009">
        <v>10.509391999999998</v>
      </c>
      <c r="J191" s="1098" t="s">
        <v>1777</v>
      </c>
      <c r="K191" s="1098" t="s">
        <v>1373</v>
      </c>
      <c r="L191" s="1098" t="s">
        <v>1742</v>
      </c>
      <c r="N191" s="1124">
        <v>0</v>
      </c>
    </row>
    <row r="192" spans="2:14">
      <c r="J192" s="1098" t="s">
        <v>1778</v>
      </c>
      <c r="K192" s="1098" t="s">
        <v>793</v>
      </c>
      <c r="L192" s="1098" t="s">
        <v>471</v>
      </c>
      <c r="N192" s="1124">
        <v>0.96</v>
      </c>
    </row>
    <row r="193" spans="2:16">
      <c r="J193" s="1098" t="s">
        <v>1779</v>
      </c>
      <c r="K193" s="1098" t="s">
        <v>1564</v>
      </c>
      <c r="L193" s="1098" t="s">
        <v>253</v>
      </c>
      <c r="M193" s="1098" t="s">
        <v>1757</v>
      </c>
      <c r="N193" s="1008">
        <v>798.3204946462364</v>
      </c>
    </row>
    <row r="194" spans="2:16">
      <c r="J194" s="1098" t="s">
        <v>1780</v>
      </c>
      <c r="K194" s="1098" t="s">
        <v>349</v>
      </c>
      <c r="L194" s="1098" t="s">
        <v>1496</v>
      </c>
      <c r="M194" s="1098" t="s">
        <v>1748</v>
      </c>
      <c r="N194" s="1012">
        <v>6.180173335278468</v>
      </c>
    </row>
    <row r="195" spans="2:16">
      <c r="J195" s="1098" t="s">
        <v>1781</v>
      </c>
      <c r="K195" s="1098" t="s">
        <v>1568</v>
      </c>
      <c r="L195" s="1098" t="s">
        <v>1750</v>
      </c>
      <c r="M195" s="1098" t="s">
        <v>1782</v>
      </c>
      <c r="N195" s="1008">
        <v>10.509391999999998</v>
      </c>
    </row>
    <row r="196" spans="2:16">
      <c r="J196" s="1098" t="s">
        <v>1783</v>
      </c>
      <c r="K196" s="1098" t="s">
        <v>795</v>
      </c>
      <c r="L196" s="1098" t="s">
        <v>802</v>
      </c>
      <c r="M196" s="1098" t="s">
        <v>1703</v>
      </c>
      <c r="N196" s="1004">
        <v>73.65513023194589</v>
      </c>
    </row>
    <row r="197" spans="2:16">
      <c r="J197" s="1098" t="s">
        <v>1784</v>
      </c>
      <c r="K197" s="1098" t="s">
        <v>617</v>
      </c>
      <c r="L197" s="1098" t="s">
        <v>617</v>
      </c>
      <c r="M197" s="1098" t="s">
        <v>614</v>
      </c>
      <c r="N197" s="1004">
        <v>50</v>
      </c>
    </row>
    <row r="198" spans="2:16">
      <c r="J198" s="1098" t="s">
        <v>1785</v>
      </c>
      <c r="K198" s="1098" t="s">
        <v>1573</v>
      </c>
      <c r="L198" s="1098" t="s">
        <v>1628</v>
      </c>
      <c r="M198" s="1098" t="s">
        <v>1575</v>
      </c>
      <c r="N198" s="999">
        <v>91.310490798044654</v>
      </c>
    </row>
    <row r="199" spans="2:16">
      <c r="J199" s="1098" t="s">
        <v>1786</v>
      </c>
      <c r="K199" s="1098" t="s">
        <v>1577</v>
      </c>
      <c r="L199" s="1098" t="s">
        <v>1630</v>
      </c>
      <c r="M199" s="1098" t="s">
        <v>1575</v>
      </c>
      <c r="N199" s="999">
        <v>129.70445095290134</v>
      </c>
    </row>
    <row r="201" spans="2:16" ht="14" thickBot="1">
      <c r="B201" s="983" t="s">
        <v>1787</v>
      </c>
      <c r="L201" s="983" t="s">
        <v>1787</v>
      </c>
      <c r="N201" s="1098" t="s">
        <v>1788</v>
      </c>
    </row>
    <row r="202" spans="2:16">
      <c r="B202" s="1098" t="s">
        <v>1520</v>
      </c>
      <c r="D202" s="1122">
        <f>SUM(D203:D205)</f>
        <v>83014.542905148483</v>
      </c>
      <c r="E202" s="1120"/>
      <c r="H202" s="1129"/>
      <c r="J202" s="1098" t="s">
        <v>1789</v>
      </c>
      <c r="K202" s="1098" t="s">
        <v>1393</v>
      </c>
      <c r="L202" s="1098" t="s">
        <v>1790</v>
      </c>
      <c r="N202" s="1124">
        <f>1-N203-N204</f>
        <v>0.98499999999999999</v>
      </c>
      <c r="O202" s="1121">
        <f>D205/$D$206</f>
        <v>1.1379187854800912</v>
      </c>
    </row>
    <row r="203" spans="2:16">
      <c r="B203" s="1098" t="s">
        <v>2003</v>
      </c>
      <c r="D203" s="990">
        <v>4091.5916970099665</v>
      </c>
      <c r="E203" s="1311">
        <v>100</v>
      </c>
      <c r="F203" s="1063" t="s">
        <v>215</v>
      </c>
      <c r="H203" s="1129"/>
      <c r="J203" s="1120"/>
      <c r="K203" s="1120" t="s">
        <v>879</v>
      </c>
      <c r="L203" s="1127" t="s">
        <v>1791</v>
      </c>
      <c r="N203" s="1124">
        <v>0.01</v>
      </c>
      <c r="O203" s="1121">
        <f>D203/$D$206</f>
        <v>7.2489784146085631E-2</v>
      </c>
    </row>
    <row r="204" spans="2:16">
      <c r="B204" s="1098" t="s">
        <v>1728</v>
      </c>
      <c r="D204" s="990">
        <v>14694.603594919436</v>
      </c>
      <c r="H204" s="1128"/>
      <c r="K204" s="1120" t="s">
        <v>1374</v>
      </c>
      <c r="L204" s="1127" t="s">
        <v>1731</v>
      </c>
      <c r="N204" s="1124">
        <v>5.0000000000000001E-3</v>
      </c>
      <c r="O204" s="1121">
        <f>D204/$D$206</f>
        <v>0.26034089459278936</v>
      </c>
    </row>
    <row r="205" spans="2:16">
      <c r="B205" s="1098" t="s">
        <v>1792</v>
      </c>
      <c r="C205" s="1098" t="s">
        <v>89</v>
      </c>
      <c r="D205" s="990">
        <v>64228.347613219084</v>
      </c>
      <c r="E205" s="1098" t="s">
        <v>1794</v>
      </c>
      <c r="H205" s="1120"/>
      <c r="J205" s="1098" t="s">
        <v>1788</v>
      </c>
      <c r="O205" s="1121"/>
    </row>
    <row r="206" spans="2:16">
      <c r="B206" s="1098" t="s">
        <v>1793</v>
      </c>
      <c r="C206" s="1098" t="s">
        <v>89</v>
      </c>
      <c r="D206" s="990">
        <v>56443.700932594205</v>
      </c>
      <c r="E206" s="1098" t="s">
        <v>1794</v>
      </c>
      <c r="J206" s="1098" t="s">
        <v>1795</v>
      </c>
      <c r="K206" s="1098" t="s">
        <v>792</v>
      </c>
      <c r="L206" s="1098" t="s">
        <v>1524</v>
      </c>
      <c r="N206" s="1124">
        <v>0.78054060277173587</v>
      </c>
      <c r="O206" s="1121"/>
      <c r="P206" s="1125"/>
    </row>
    <row r="207" spans="2:16">
      <c r="B207" s="1098" t="s">
        <v>1524</v>
      </c>
      <c r="D207" s="1126">
        <f>D206/D202</f>
        <v>0.67992545591784037</v>
      </c>
      <c r="E207" s="1013">
        <v>0.78054060277173587</v>
      </c>
      <c r="J207" s="1098" t="s">
        <v>1788</v>
      </c>
      <c r="L207" s="1098" t="s">
        <v>1733</v>
      </c>
      <c r="O207" s="1121"/>
      <c r="P207" s="1125"/>
    </row>
    <row r="208" spans="2:16">
      <c r="B208" s="1098" t="s">
        <v>1733</v>
      </c>
      <c r="J208" s="1098" t="s">
        <v>1796</v>
      </c>
      <c r="K208" s="1098" t="s">
        <v>1370</v>
      </c>
      <c r="L208" s="1098" t="s">
        <v>1734</v>
      </c>
      <c r="N208" s="1124">
        <v>0</v>
      </c>
      <c r="O208" s="1121"/>
      <c r="P208" s="1125"/>
    </row>
    <row r="209" spans="2:16">
      <c r="B209" s="1098" t="s">
        <v>1734</v>
      </c>
      <c r="D209" s="990">
        <v>0</v>
      </c>
      <c r="J209" s="1098" t="s">
        <v>1797</v>
      </c>
      <c r="K209" s="1098" t="s">
        <v>886</v>
      </c>
      <c r="L209" s="1098" t="s">
        <v>175</v>
      </c>
      <c r="N209" s="1124">
        <v>0.28767932115906897</v>
      </c>
      <c r="O209" s="1121"/>
      <c r="P209" s="1125"/>
    </row>
    <row r="210" spans="2:16">
      <c r="B210" s="1098" t="s">
        <v>175</v>
      </c>
      <c r="D210" s="990">
        <v>16237.685567994209</v>
      </c>
      <c r="E210" s="1098" t="s">
        <v>1501</v>
      </c>
      <c r="J210" s="1098" t="s">
        <v>1798</v>
      </c>
      <c r="K210" s="1098" t="s">
        <v>885</v>
      </c>
      <c r="L210" s="1098" t="s">
        <v>880</v>
      </c>
      <c r="N210" s="1124">
        <v>1.4527750421242834E-6</v>
      </c>
      <c r="O210" s="1121"/>
      <c r="P210" s="1125"/>
    </row>
    <row r="211" spans="2:16">
      <c r="B211" s="1098" t="s">
        <v>880</v>
      </c>
      <c r="D211" s="990">
        <v>8.2000000000000003E-2</v>
      </c>
      <c r="J211" s="1098" t="s">
        <v>1799</v>
      </c>
      <c r="K211" s="1098" t="s">
        <v>884</v>
      </c>
      <c r="L211" s="1098" t="s">
        <v>1738</v>
      </c>
      <c r="N211" s="1124">
        <v>0.12259168661288511</v>
      </c>
      <c r="O211" s="1121"/>
      <c r="P211" s="1125"/>
    </row>
    <row r="212" spans="2:16">
      <c r="B212" s="1098" t="s">
        <v>1738</v>
      </c>
      <c r="D212" s="990">
        <v>6919.5284959999999</v>
      </c>
      <c r="J212" s="1098" t="s">
        <v>1800</v>
      </c>
      <c r="K212" s="1098" t="s">
        <v>887</v>
      </c>
      <c r="L212" s="1098" t="s">
        <v>787</v>
      </c>
      <c r="N212" s="1124">
        <v>3.6696142945579213E-2</v>
      </c>
      <c r="O212" s="1121"/>
      <c r="P212" s="1125"/>
    </row>
    <row r="213" spans="2:16">
      <c r="B213" s="1098" t="s">
        <v>787</v>
      </c>
      <c r="D213" s="990">
        <v>2071.2661177999998</v>
      </c>
      <c r="J213" s="1098" t="s">
        <v>1801</v>
      </c>
      <c r="K213" s="1098" t="s">
        <v>909</v>
      </c>
      <c r="L213" s="1098" t="s">
        <v>898</v>
      </c>
      <c r="N213" s="1124">
        <v>0.49809089633534509</v>
      </c>
      <c r="O213" s="1121"/>
    </row>
    <row r="214" spans="2:16">
      <c r="B214" s="1098" t="s">
        <v>898</v>
      </c>
      <c r="D214" s="990">
        <v>28114.09359</v>
      </c>
      <c r="J214" s="1098" t="s">
        <v>1802</v>
      </c>
      <c r="K214" s="1098" t="s">
        <v>1373</v>
      </c>
      <c r="L214" s="1098" t="s">
        <v>1742</v>
      </c>
      <c r="N214" s="1124">
        <v>5.4940500172079583E-2</v>
      </c>
      <c r="O214" s="1121"/>
    </row>
    <row r="215" spans="2:16">
      <c r="B215" s="1098" t="s">
        <v>1742</v>
      </c>
      <c r="D215" s="990">
        <v>3101.0451608000003</v>
      </c>
      <c r="J215" s="1098" t="s">
        <v>1803</v>
      </c>
      <c r="K215" s="1098" t="s">
        <v>793</v>
      </c>
      <c r="L215" s="1098" t="s">
        <v>471</v>
      </c>
      <c r="N215" s="1124">
        <v>0.96</v>
      </c>
      <c r="O215" s="1121"/>
    </row>
    <row r="216" spans="2:16">
      <c r="B216" s="1098" t="s">
        <v>471</v>
      </c>
      <c r="C216" s="1098" t="s">
        <v>270</v>
      </c>
      <c r="D216" s="1014">
        <v>0.96</v>
      </c>
      <c r="J216" s="1098" t="s">
        <v>1804</v>
      </c>
      <c r="K216" s="1098" t="s">
        <v>1564</v>
      </c>
      <c r="L216" s="1098" t="s">
        <v>253</v>
      </c>
      <c r="M216" s="1098" t="s">
        <v>1757</v>
      </c>
      <c r="N216" s="1008">
        <v>58.795521804785629</v>
      </c>
      <c r="O216" s="1121"/>
    </row>
    <row r="217" spans="2:16">
      <c r="B217" s="1098" t="s">
        <v>1750</v>
      </c>
      <c r="C217" s="1098" t="s">
        <v>1570</v>
      </c>
      <c r="D217" s="1009">
        <v>25.101407999999996</v>
      </c>
      <c r="E217" s="1098" t="s">
        <v>1360</v>
      </c>
      <c r="J217" s="1098" t="s">
        <v>1805</v>
      </c>
      <c r="K217" s="1098" t="s">
        <v>1568</v>
      </c>
      <c r="L217" s="1098" t="s">
        <v>1750</v>
      </c>
      <c r="M217" s="1098" t="s">
        <v>1782</v>
      </c>
      <c r="N217" s="1008">
        <v>25.101407999999996</v>
      </c>
      <c r="O217" s="1121"/>
    </row>
    <row r="218" spans="2:16">
      <c r="J218" s="1098" t="s">
        <v>1806</v>
      </c>
      <c r="K218" s="1098" t="s">
        <v>1573</v>
      </c>
      <c r="L218" s="1098" t="s">
        <v>1628</v>
      </c>
      <c r="M218" s="1098" t="s">
        <v>1575</v>
      </c>
      <c r="N218" s="999">
        <v>46.229395723080728</v>
      </c>
      <c r="O218" s="1121"/>
    </row>
    <row r="219" spans="2:16">
      <c r="B219" s="1123" t="s">
        <v>1807</v>
      </c>
      <c r="D219" s="1122">
        <f>D206-D215</f>
        <v>53342.655771794205</v>
      </c>
      <c r="J219" s="1098" t="s">
        <v>1808</v>
      </c>
      <c r="K219" s="1098" t="s">
        <v>1577</v>
      </c>
      <c r="L219" s="1098" t="s">
        <v>1630</v>
      </c>
      <c r="M219" s="1098" t="s">
        <v>1575</v>
      </c>
      <c r="N219" s="999">
        <v>95.278410715153925</v>
      </c>
      <c r="O219" s="1121"/>
    </row>
    <row r="220" spans="2:16">
      <c r="B220" s="1120"/>
    </row>
    <row r="223" spans="2:16" ht="17" thickBot="1">
      <c r="B223" s="1015" t="s">
        <v>1809</v>
      </c>
      <c r="D223" s="1098" t="s">
        <v>1456</v>
      </c>
      <c r="E223" s="1098" t="s">
        <v>1581</v>
      </c>
      <c r="F223" s="1098" t="s">
        <v>1716</v>
      </c>
      <c r="G223" s="1098" t="s">
        <v>1788</v>
      </c>
      <c r="H223" s="1098" t="s">
        <v>1672</v>
      </c>
      <c r="I223" s="1098" t="s">
        <v>1755</v>
      </c>
    </row>
    <row r="224" spans="2:16">
      <c r="B224" s="1119"/>
      <c r="C224" s="1118"/>
      <c r="D224" s="1117" t="s">
        <v>1810</v>
      </c>
      <c r="E224" s="1117" t="s">
        <v>1811</v>
      </c>
      <c r="F224" s="1117" t="s">
        <v>1812</v>
      </c>
      <c r="G224" s="1117" t="s">
        <v>1813</v>
      </c>
      <c r="H224" s="1117" t="s">
        <v>1814</v>
      </c>
      <c r="I224" s="1116" t="s">
        <v>1815</v>
      </c>
    </row>
    <row r="225" spans="1:9">
      <c r="B225" s="1115" t="s">
        <v>253</v>
      </c>
      <c r="C225" s="1114" t="s">
        <v>1676</v>
      </c>
      <c r="D225" s="1113">
        <v>150000</v>
      </c>
      <c r="E225" s="1113">
        <v>108000</v>
      </c>
      <c r="F225" s="1113">
        <v>405000</v>
      </c>
      <c r="G225" s="1113">
        <v>45000</v>
      </c>
      <c r="H225" s="1113">
        <v>80000</v>
      </c>
      <c r="I225" s="1112">
        <v>360000</v>
      </c>
    </row>
    <row r="226" spans="1:9">
      <c r="A226" s="1098" t="s">
        <v>1564</v>
      </c>
      <c r="B226" s="1107" t="s">
        <v>1816</v>
      </c>
      <c r="C226" s="1106" t="s">
        <v>1757</v>
      </c>
      <c r="D226" s="1109">
        <v>246.27882805291668</v>
      </c>
      <c r="E226" s="1109">
        <v>212.15979141387726</v>
      </c>
      <c r="F226" s="1109">
        <v>788.36588158938378</v>
      </c>
      <c r="G226" s="1109">
        <v>58.795521804785629</v>
      </c>
      <c r="H226" s="1109">
        <v>131.34870829488889</v>
      </c>
      <c r="I226" s="1108">
        <v>798.3204946462364</v>
      </c>
    </row>
    <row r="227" spans="1:9">
      <c r="A227" s="1098" t="s">
        <v>792</v>
      </c>
      <c r="B227" s="1107" t="s">
        <v>1524</v>
      </c>
      <c r="C227" s="1106" t="s">
        <v>270</v>
      </c>
      <c r="D227" s="1111">
        <v>0.43660874806068539</v>
      </c>
      <c r="E227" s="1111">
        <v>0.93499964908605038</v>
      </c>
      <c r="F227" s="1111">
        <v>0.95</v>
      </c>
      <c r="G227" s="1111">
        <v>0.78054060277173587</v>
      </c>
      <c r="H227" s="1111">
        <v>0.48660874806068538</v>
      </c>
      <c r="I227" s="1110">
        <v>0.97</v>
      </c>
    </row>
    <row r="228" spans="1:9">
      <c r="A228" s="1098" t="s">
        <v>1568</v>
      </c>
      <c r="B228" s="1107" t="s">
        <v>1817</v>
      </c>
      <c r="C228" s="1106" t="s">
        <v>1570</v>
      </c>
      <c r="D228" s="1109">
        <v>30.129804076467401</v>
      </c>
      <c r="E228" s="1109">
        <v>10.509391999999998</v>
      </c>
      <c r="F228" s="1109">
        <v>10.509391999999998</v>
      </c>
      <c r="G228" s="1109">
        <v>25.101407999999996</v>
      </c>
      <c r="H228" s="1109">
        <v>30.129804076467401</v>
      </c>
      <c r="I228" s="1108">
        <v>10.509391999999998</v>
      </c>
    </row>
    <row r="229" spans="1:9">
      <c r="A229" s="1098" t="s">
        <v>795</v>
      </c>
      <c r="B229" s="1107" t="s">
        <v>802</v>
      </c>
      <c r="C229" s="1106" t="s">
        <v>1818</v>
      </c>
      <c r="D229" s="1109">
        <v>0</v>
      </c>
      <c r="E229" s="1109">
        <v>0</v>
      </c>
      <c r="F229" s="1109">
        <v>0</v>
      </c>
      <c r="G229" s="1109">
        <v>0</v>
      </c>
      <c r="H229" s="1109">
        <v>305.25465600000001</v>
      </c>
      <c r="I229" s="1108">
        <v>73.65513023194589</v>
      </c>
    </row>
    <row r="230" spans="1:9">
      <c r="A230" s="1098" t="s">
        <v>1573</v>
      </c>
      <c r="B230" s="1107" t="s">
        <v>1819</v>
      </c>
      <c r="C230" s="1106" t="s">
        <v>1575</v>
      </c>
      <c r="D230" s="1105">
        <v>40.728724354077364</v>
      </c>
      <c r="E230" s="1105">
        <v>87.828745621166263</v>
      </c>
      <c r="F230" s="1105">
        <v>86.607885161421791</v>
      </c>
      <c r="G230" s="1105">
        <v>46.229395723080728</v>
      </c>
      <c r="H230" s="1105">
        <v>65.631735462595401</v>
      </c>
      <c r="I230" s="1104">
        <v>91.310490798044654</v>
      </c>
    </row>
    <row r="231" spans="1:9" ht="14" thickBot="1">
      <c r="A231" s="1098" t="s">
        <v>1577</v>
      </c>
      <c r="B231" s="1103" t="s">
        <v>1820</v>
      </c>
      <c r="C231" s="1102" t="s">
        <v>1575</v>
      </c>
      <c r="D231" s="1101">
        <v>56.777002234132354</v>
      </c>
      <c r="E231" s="1101">
        <v>127.65992778964588</v>
      </c>
      <c r="F231" s="1101">
        <v>120.80023692826251</v>
      </c>
      <c r="G231" s="1101">
        <v>95.278410715153925</v>
      </c>
      <c r="H231" s="1101">
        <v>80.03102142213794</v>
      </c>
      <c r="I231" s="1100">
        <v>129.70445095290134</v>
      </c>
    </row>
  </sheetData>
  <pageMargins left="0.7" right="0.7" top="0.75" bottom="0.75" header="0.3" footer="0.3"/>
  <legacyDrawing r:id="rId1"/>
  <extLst>
    <ext xmlns:mx="http://schemas.microsoft.com/office/mac/excel/2008/main" uri="{64002731-A6B0-56B0-2670-7721B7C09600}">
      <mx:PLV Mode="0" OnePage="0" WScale="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tabColor theme="8" tint="0.39997558519241921"/>
    <pageSetUpPr autoPageBreaks="0"/>
  </sheetPr>
  <dimension ref="A2:AP108"/>
  <sheetViews>
    <sheetView workbookViewId="0">
      <selection activeCell="H33" sqref="H33"/>
    </sheetView>
    <sheetView workbookViewId="1"/>
  </sheetViews>
  <sheetFormatPr baseColWidth="10" defaultColWidth="8.83203125" defaultRowHeight="13" x14ac:dyDescent="0"/>
  <cols>
    <col min="1" max="1" width="3.6640625" customWidth="1"/>
    <col min="2" max="2" width="12.6640625" customWidth="1"/>
    <col min="3" max="3" width="28.5" style="37" bestFit="1" customWidth="1"/>
    <col min="4" max="4" width="23.6640625" customWidth="1"/>
    <col min="5" max="5" width="19" customWidth="1"/>
    <col min="6" max="6" width="13.83203125" bestFit="1" customWidth="1"/>
    <col min="8" max="8" width="10.5" bestFit="1" customWidth="1"/>
    <col min="9" max="9" width="15.1640625" customWidth="1"/>
    <col min="10" max="10" width="13.33203125" bestFit="1" customWidth="1"/>
    <col min="11" max="11" width="17" customWidth="1"/>
    <col min="12" max="12" width="13.5" customWidth="1"/>
    <col min="13" max="13" width="53.6640625" customWidth="1"/>
    <col min="14" max="15" width="10.5" bestFit="1" customWidth="1"/>
    <col min="16" max="16" width="12.6640625" customWidth="1"/>
    <col min="17" max="22" width="8.83203125" customWidth="1"/>
    <col min="25" max="25" width="13.1640625" customWidth="1"/>
  </cols>
  <sheetData>
    <row r="2" spans="1:42" ht="18">
      <c r="B2" s="24" t="s">
        <v>206</v>
      </c>
      <c r="C2" s="24"/>
      <c r="H2" s="24" t="s">
        <v>91</v>
      </c>
    </row>
    <row r="3" spans="1:42" ht="4.5" customHeight="1"/>
    <row r="4" spans="1:42" s="14" customFormat="1" ht="20.25" customHeight="1">
      <c r="B4" s="29" t="s">
        <v>65</v>
      </c>
      <c r="C4" s="29" t="s">
        <v>140</v>
      </c>
      <c r="D4" s="29" t="s">
        <v>141</v>
      </c>
      <c r="E4" s="30" t="s">
        <v>64</v>
      </c>
      <c r="F4" s="30" t="str">
        <f>Preferences.EnergyUnits</f>
        <v>PJ</v>
      </c>
      <c r="H4" s="475">
        <v>1</v>
      </c>
      <c r="I4" s="34" t="s">
        <v>66</v>
      </c>
      <c r="J4" s="14" t="s">
        <v>92</v>
      </c>
      <c r="K4" s="41">
        <f>H4*INDEX(Conversions.Energy.Joules, MATCH(I4, Conversions.Energy.Units, 0))/INDEX(Conversions.Energy.Joules, MATCH(L4, Conversions.Energy.Units, 0))</f>
        <v>3.1688810807659062E-2</v>
      </c>
      <c r="L4" s="34" t="s">
        <v>74</v>
      </c>
    </row>
    <row r="5" spans="1:42" s="14" customFormat="1" ht="15">
      <c r="A5" s="51"/>
      <c r="B5" s="25" t="s">
        <v>66</v>
      </c>
      <c r="C5" s="25" t="s">
        <v>142</v>
      </c>
      <c r="D5" s="31" t="s">
        <v>75</v>
      </c>
      <c r="E5" s="26">
        <f>10^15</f>
        <v>1000000000000000</v>
      </c>
      <c r="F5" s="26">
        <f t="shared" ref="F5:F24" si="0">$E5/INDEX(Conversions.Energy.Joules, MATCH(F$4, Conversions.Energy.Units, 0))</f>
        <v>1</v>
      </c>
    </row>
    <row r="6" spans="1:42" s="14" customFormat="1" ht="15">
      <c r="A6" s="51"/>
      <c r="B6" s="25" t="s">
        <v>89</v>
      </c>
      <c r="C6" s="25" t="s">
        <v>143</v>
      </c>
      <c r="D6" s="31" t="s">
        <v>90</v>
      </c>
      <c r="E6" s="26">
        <f>10^12</f>
        <v>1000000000000</v>
      </c>
      <c r="F6" s="26">
        <f>$E6/INDEX(Conversions.Energy.Joules, MATCH(F$4, Conversions.Energy.Units, 0))</f>
        <v>1E-3</v>
      </c>
      <c r="H6" s="33"/>
      <c r="I6" s="33"/>
      <c r="J6" s="33"/>
      <c r="K6" s="422"/>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row>
    <row r="7" spans="1:42" s="14" customFormat="1" ht="15">
      <c r="A7" s="51"/>
      <c r="B7" s="25" t="s">
        <v>128</v>
      </c>
      <c r="C7" s="25" t="s">
        <v>144</v>
      </c>
      <c r="D7" s="31" t="s">
        <v>129</v>
      </c>
      <c r="E7" s="26">
        <f>10^9</f>
        <v>1000000000</v>
      </c>
      <c r="F7" s="26">
        <f t="shared" si="0"/>
        <v>9.9999999999999995E-7</v>
      </c>
      <c r="H7" s="33"/>
      <c r="I7" s="33"/>
      <c r="J7" s="33"/>
      <c r="K7" s="33"/>
      <c r="L7" s="492"/>
      <c r="M7" s="33"/>
      <c r="N7" s="33"/>
      <c r="O7" s="33"/>
      <c r="P7" s="33"/>
      <c r="Q7" s="33"/>
      <c r="R7" s="33"/>
      <c r="S7" s="33"/>
      <c r="T7" s="33"/>
      <c r="U7" s="33"/>
      <c r="V7" s="33"/>
      <c r="W7" s="33"/>
      <c r="X7" s="33"/>
      <c r="Y7" s="33"/>
      <c r="Z7" s="33"/>
      <c r="AA7" s="33"/>
      <c r="AB7" s="33"/>
      <c r="AC7" s="33"/>
      <c r="AD7" s="33"/>
      <c r="AE7" s="33"/>
      <c r="AF7" s="33"/>
      <c r="AG7" s="33"/>
      <c r="AH7" s="33"/>
      <c r="AI7" s="33"/>
      <c r="AJ7" s="33"/>
      <c r="AK7" s="33"/>
      <c r="AL7" s="33"/>
      <c r="AM7" s="33"/>
      <c r="AN7" s="33"/>
      <c r="AO7" s="33"/>
      <c r="AP7" s="33"/>
    </row>
    <row r="8" spans="1:42" s="48" customFormat="1" ht="15">
      <c r="A8" s="51"/>
      <c r="B8" s="25" t="s">
        <v>239</v>
      </c>
      <c r="C8" s="25" t="s">
        <v>64</v>
      </c>
      <c r="D8" s="31" t="s">
        <v>240</v>
      </c>
      <c r="E8" s="26">
        <v>1</v>
      </c>
      <c r="F8" s="26">
        <f t="shared" si="0"/>
        <v>1.0000000000000001E-15</v>
      </c>
      <c r="H8" s="33"/>
      <c r="I8" s="493"/>
      <c r="J8" s="33"/>
      <c r="K8" s="33"/>
      <c r="L8" s="479"/>
      <c r="M8" s="33"/>
      <c r="N8" s="33"/>
      <c r="O8" s="33"/>
      <c r="P8" s="33"/>
      <c r="Q8" s="33"/>
      <c r="R8" s="33"/>
      <c r="S8" s="33"/>
      <c r="T8" s="33"/>
      <c r="U8" s="33"/>
      <c r="V8" s="33"/>
      <c r="W8" s="33"/>
      <c r="X8" s="33"/>
      <c r="Y8" s="33"/>
      <c r="Z8" s="33"/>
      <c r="AA8" s="33"/>
      <c r="AB8" s="33"/>
      <c r="AC8" s="33"/>
      <c r="AD8" s="33"/>
      <c r="AE8" s="33"/>
      <c r="AF8" s="33"/>
      <c r="AG8" s="33"/>
      <c r="AH8" s="33"/>
      <c r="AI8" s="33"/>
      <c r="AJ8" s="33"/>
      <c r="AK8" s="33"/>
      <c r="AL8" s="33"/>
      <c r="AM8" s="33"/>
      <c r="AN8" s="33"/>
      <c r="AO8" s="33"/>
      <c r="AP8" s="33"/>
    </row>
    <row r="9" spans="1:42" s="14" customFormat="1" ht="15">
      <c r="A9" s="51"/>
      <c r="B9" s="25" t="s">
        <v>136</v>
      </c>
      <c r="C9" s="25" t="s">
        <v>145</v>
      </c>
      <c r="D9" s="31" t="s">
        <v>137</v>
      </c>
      <c r="E9" s="26">
        <f>10^6</f>
        <v>1000000</v>
      </c>
      <c r="F9" s="26">
        <f t="shared" si="0"/>
        <v>1.0000000000000001E-9</v>
      </c>
      <c r="H9" s="33"/>
      <c r="I9" s="33"/>
      <c r="J9" s="33"/>
      <c r="K9" s="33"/>
      <c r="L9" s="468"/>
      <c r="M9" s="468"/>
      <c r="N9" s="468"/>
      <c r="O9" s="468"/>
      <c r="P9" s="468"/>
      <c r="Q9" s="468"/>
      <c r="R9" s="468"/>
      <c r="S9" s="468"/>
      <c r="T9" s="468"/>
      <c r="U9" s="468"/>
      <c r="V9" s="468"/>
      <c r="W9" s="468"/>
      <c r="X9" s="33"/>
      <c r="Y9" s="33"/>
      <c r="Z9" s="33"/>
      <c r="AA9" s="33"/>
      <c r="AB9" s="33"/>
      <c r="AC9" s="33"/>
      <c r="AD9" s="33"/>
      <c r="AE9" s="33"/>
      <c r="AF9" s="33"/>
      <c r="AG9" s="33"/>
      <c r="AH9" s="33"/>
      <c r="AI9" s="33"/>
      <c r="AJ9" s="33"/>
      <c r="AK9" s="33"/>
      <c r="AL9" s="33"/>
      <c r="AM9" s="33"/>
      <c r="AN9" s="33"/>
      <c r="AO9" s="33"/>
      <c r="AP9" s="33"/>
    </row>
    <row r="10" spans="1:42" s="14" customFormat="1" ht="15">
      <c r="A10" s="51"/>
      <c r="B10" s="25" t="s">
        <v>68</v>
      </c>
      <c r="C10" s="25" t="s">
        <v>146</v>
      </c>
      <c r="D10" s="31" t="s">
        <v>76</v>
      </c>
      <c r="E10" s="26">
        <f>10^3*60*60</f>
        <v>3600000</v>
      </c>
      <c r="F10" s="26">
        <f t="shared" si="0"/>
        <v>3.6E-9</v>
      </c>
      <c r="H10" s="33"/>
      <c r="I10" s="33"/>
      <c r="J10" s="33"/>
      <c r="K10" s="494"/>
      <c r="L10" s="468"/>
      <c r="M10" s="469"/>
      <c r="N10" s="469"/>
      <c r="O10" s="469"/>
      <c r="P10" s="469"/>
      <c r="Q10" s="469"/>
      <c r="R10" s="469"/>
      <c r="S10" s="469"/>
      <c r="T10" s="469"/>
      <c r="U10" s="469"/>
      <c r="V10" s="469"/>
      <c r="W10" s="469"/>
      <c r="X10" s="33"/>
      <c r="Y10" s="33"/>
      <c r="Z10" s="33"/>
      <c r="AA10" s="33"/>
      <c r="AB10" s="33"/>
      <c r="AC10" s="33"/>
      <c r="AD10" s="33"/>
      <c r="AE10" s="33"/>
      <c r="AF10" s="33"/>
      <c r="AG10" s="33"/>
      <c r="AH10" s="33"/>
      <c r="AI10" s="33"/>
      <c r="AJ10" s="33"/>
      <c r="AK10" s="33"/>
      <c r="AL10" s="33"/>
      <c r="AM10" s="33"/>
      <c r="AN10" s="33"/>
      <c r="AO10" s="33"/>
      <c r="AP10" s="33"/>
    </row>
    <row r="11" spans="1:42" s="14" customFormat="1" ht="15">
      <c r="A11" s="51"/>
      <c r="B11" s="25" t="s">
        <v>122</v>
      </c>
      <c r="C11" s="25" t="s">
        <v>147</v>
      </c>
      <c r="D11" s="31" t="s">
        <v>123</v>
      </c>
      <c r="E11" s="26">
        <f>1000*60*60*365.25*60000000</f>
        <v>7.8894E+16</v>
      </c>
      <c r="F11" s="26">
        <f t="shared" si="0"/>
        <v>78.894000000000005</v>
      </c>
      <c r="H11" s="33"/>
      <c r="I11" s="33"/>
      <c r="J11" s="33"/>
      <c r="K11" s="33"/>
      <c r="L11" s="468"/>
      <c r="M11" s="469"/>
      <c r="N11" s="469"/>
      <c r="O11" s="469"/>
      <c r="P11" s="469"/>
      <c r="Q11" s="469"/>
      <c r="R11" s="469"/>
      <c r="S11" s="469"/>
      <c r="T11" s="469"/>
      <c r="U11" s="469"/>
      <c r="V11" s="469"/>
      <c r="W11" s="469"/>
      <c r="X11" s="33"/>
      <c r="Y11" s="33"/>
      <c r="Z11" s="33"/>
      <c r="AA11" s="33"/>
      <c r="AB11" s="33"/>
      <c r="AC11" s="33"/>
      <c r="AD11" s="33"/>
      <c r="AE11" s="33"/>
      <c r="AF11" s="33"/>
      <c r="AG11" s="33"/>
      <c r="AH11" s="33"/>
      <c r="AI11" s="33"/>
      <c r="AJ11" s="33"/>
      <c r="AK11" s="33"/>
      <c r="AL11" s="33"/>
      <c r="AM11" s="33"/>
      <c r="AN11" s="33"/>
      <c r="AO11" s="33"/>
      <c r="AP11" s="33"/>
    </row>
    <row r="12" spans="1:42" s="14" customFormat="1" ht="15">
      <c r="A12" s="51"/>
      <c r="B12" s="25" t="s">
        <v>67</v>
      </c>
      <c r="C12" s="25" t="s">
        <v>148</v>
      </c>
      <c r="D12" s="31" t="s">
        <v>77</v>
      </c>
      <c r="E12" s="26">
        <f>10^12*60*60</f>
        <v>3600000000000000</v>
      </c>
      <c r="F12" s="26">
        <f t="shared" si="0"/>
        <v>3.6</v>
      </c>
      <c r="H12" s="33"/>
      <c r="I12" s="33"/>
      <c r="J12" s="33"/>
      <c r="K12" s="33"/>
      <c r="L12" s="468"/>
      <c r="M12" s="469"/>
      <c r="N12" s="469"/>
      <c r="O12" s="469"/>
      <c r="P12" s="469"/>
      <c r="Q12" s="469"/>
      <c r="R12" s="469"/>
      <c r="S12" s="469"/>
      <c r="T12" s="469"/>
      <c r="U12" s="469"/>
      <c r="V12" s="469"/>
      <c r="W12" s="469"/>
      <c r="X12" s="33"/>
      <c r="Y12" s="33"/>
      <c r="Z12" s="33"/>
      <c r="AA12" s="33"/>
      <c r="AB12" s="33"/>
      <c r="AC12" s="33"/>
      <c r="AD12" s="33"/>
      <c r="AE12" s="33"/>
      <c r="AF12" s="33"/>
      <c r="AG12" s="33"/>
      <c r="AH12" s="33"/>
      <c r="AI12" s="33"/>
      <c r="AJ12" s="33"/>
      <c r="AK12" s="33"/>
      <c r="AL12" s="33"/>
      <c r="AM12" s="33"/>
      <c r="AN12" s="33"/>
      <c r="AO12" s="33"/>
      <c r="AP12" s="33"/>
    </row>
    <row r="13" spans="1:42" s="14" customFormat="1" ht="15">
      <c r="A13" s="51"/>
      <c r="B13" s="25" t="s">
        <v>138</v>
      </c>
      <c r="C13" s="25" t="s">
        <v>149</v>
      </c>
      <c r="D13" s="31" t="s">
        <v>139</v>
      </c>
      <c r="E13" s="26">
        <f>10^9*60*60</f>
        <v>3600000000000</v>
      </c>
      <c r="F13" s="26">
        <f t="shared" si="0"/>
        <v>3.5999999999999999E-3</v>
      </c>
      <c r="H13" s="33"/>
      <c r="I13" s="33"/>
      <c r="J13" s="33"/>
      <c r="K13" s="33"/>
      <c r="L13" s="33"/>
      <c r="M13" s="469"/>
      <c r="N13" s="493"/>
      <c r="O13" s="33"/>
      <c r="P13" s="469"/>
      <c r="Q13" s="469"/>
      <c r="R13" s="469"/>
      <c r="S13" s="469"/>
      <c r="T13" s="469"/>
      <c r="U13" s="469"/>
      <c r="V13" s="469"/>
      <c r="W13" s="469"/>
      <c r="X13" s="33"/>
      <c r="Y13" s="33"/>
      <c r="Z13" s="33"/>
      <c r="AA13" s="33"/>
      <c r="AB13" s="33"/>
      <c r="AC13" s="33"/>
      <c r="AD13" s="33"/>
      <c r="AE13" s="33"/>
      <c r="AF13" s="33"/>
      <c r="AG13" s="33"/>
      <c r="AH13" s="33"/>
      <c r="AI13" s="33"/>
      <c r="AJ13" s="33"/>
      <c r="AK13" s="33"/>
      <c r="AL13" s="33"/>
      <c r="AM13" s="33"/>
      <c r="AN13" s="33"/>
      <c r="AO13" s="33"/>
      <c r="AP13" s="33"/>
    </row>
    <row r="14" spans="1:42" s="48" customFormat="1" ht="15">
      <c r="A14" s="51"/>
      <c r="B14" s="25" t="s">
        <v>654</v>
      </c>
      <c r="C14" s="25" t="s">
        <v>655</v>
      </c>
      <c r="D14" s="31" t="s">
        <v>656</v>
      </c>
      <c r="E14" s="26">
        <f>10^6*60*60</f>
        <v>3600000000</v>
      </c>
      <c r="F14" s="26">
        <f t="shared" si="0"/>
        <v>3.5999999999999998E-6</v>
      </c>
      <c r="H14" s="33"/>
      <c r="I14" s="33"/>
      <c r="J14" s="33"/>
      <c r="K14" s="33"/>
      <c r="L14" s="468"/>
      <c r="M14" s="469"/>
      <c r="N14" s="474"/>
      <c r="O14" s="469"/>
      <c r="P14" s="469"/>
      <c r="Q14" s="469"/>
      <c r="R14" s="469"/>
      <c r="S14" s="469"/>
      <c r="T14" s="469"/>
      <c r="U14" s="469"/>
      <c r="V14" s="469"/>
      <c r="W14" s="469"/>
      <c r="X14" s="33"/>
      <c r="Y14" s="495"/>
      <c r="Z14" s="33"/>
      <c r="AA14" s="33"/>
      <c r="AB14" s="33"/>
      <c r="AC14" s="33"/>
      <c r="AD14" s="33"/>
      <c r="AE14" s="33"/>
      <c r="AF14" s="33"/>
      <c r="AG14" s="33"/>
      <c r="AH14" s="33"/>
      <c r="AI14" s="33"/>
      <c r="AJ14" s="33"/>
      <c r="AK14" s="33"/>
      <c r="AL14" s="33"/>
      <c r="AM14" s="33"/>
      <c r="AN14" s="33"/>
      <c r="AO14" s="33"/>
      <c r="AP14" s="33"/>
    </row>
    <row r="15" spans="1:42" s="48" customFormat="1" ht="15">
      <c r="A15" s="51"/>
      <c r="B15" s="25" t="s">
        <v>609</v>
      </c>
      <c r="C15" s="25" t="s">
        <v>610</v>
      </c>
      <c r="D15" s="31" t="s">
        <v>611</v>
      </c>
      <c r="E15" s="26">
        <f>5861520000000000/1000000</f>
        <v>5861520000</v>
      </c>
      <c r="F15" s="26">
        <f t="shared" si="0"/>
        <v>5.8615200000000003E-6</v>
      </c>
      <c r="H15" s="33"/>
      <c r="I15" s="33"/>
      <c r="J15" s="33"/>
      <c r="K15" s="33"/>
      <c r="L15" s="33"/>
      <c r="M15" s="33"/>
      <c r="N15" s="36"/>
      <c r="O15" s="36"/>
      <c r="P15" s="36"/>
      <c r="Q15" s="36"/>
      <c r="R15" s="36"/>
      <c r="S15" s="36"/>
      <c r="T15" s="36"/>
      <c r="U15" s="36"/>
      <c r="V15" s="469"/>
      <c r="W15" s="469"/>
      <c r="X15" s="33"/>
      <c r="Y15" s="33"/>
      <c r="Z15" s="33"/>
      <c r="AA15" s="33"/>
      <c r="AB15" s="33"/>
      <c r="AC15" s="33"/>
      <c r="AD15" s="33"/>
      <c r="AE15" s="33"/>
      <c r="AF15" s="33"/>
      <c r="AG15" s="33"/>
      <c r="AH15" s="33"/>
      <c r="AI15" s="33"/>
      <c r="AJ15" s="33"/>
      <c r="AK15" s="33"/>
      <c r="AL15" s="33"/>
      <c r="AM15" s="33"/>
      <c r="AN15" s="33"/>
      <c r="AO15" s="33"/>
      <c r="AP15" s="33"/>
    </row>
    <row r="16" spans="1:42" s="48" customFormat="1" ht="15">
      <c r="A16" s="51"/>
      <c r="B16" s="25" t="s">
        <v>603</v>
      </c>
      <c r="C16" s="25" t="s">
        <v>604</v>
      </c>
      <c r="D16" s="31" t="s">
        <v>605</v>
      </c>
      <c r="E16" s="26">
        <v>5861520000000000</v>
      </c>
      <c r="F16" s="26">
        <f>$E16/INDEX(Conversions.Energy.Joules, MATCH(F$4, Conversions.Energy.Units, 0))</f>
        <v>5.8615199999999996</v>
      </c>
      <c r="H16" s="33"/>
      <c r="I16" s="33"/>
      <c r="J16" s="33"/>
      <c r="K16" s="33"/>
      <c r="L16" s="469"/>
      <c r="M16" s="469"/>
      <c r="N16" s="472"/>
      <c r="O16" s="472"/>
      <c r="P16" s="472"/>
      <c r="Q16" s="472"/>
      <c r="R16" s="472"/>
      <c r="S16" s="472"/>
      <c r="T16" s="472"/>
      <c r="U16" s="472"/>
      <c r="V16" s="469"/>
      <c r="W16" s="469"/>
      <c r="X16" s="33"/>
      <c r="Y16" s="495"/>
      <c r="Z16" s="33"/>
      <c r="AA16" s="33"/>
      <c r="AB16" s="33"/>
      <c r="AC16" s="33"/>
      <c r="AD16" s="33"/>
      <c r="AE16" s="33"/>
      <c r="AF16" s="33"/>
      <c r="AG16" s="33"/>
      <c r="AH16" s="33"/>
      <c r="AI16" s="33"/>
      <c r="AJ16" s="33"/>
      <c r="AK16" s="33"/>
      <c r="AL16" s="33"/>
      <c r="AM16" s="33"/>
      <c r="AN16" s="33"/>
      <c r="AO16" s="33"/>
      <c r="AP16" s="33"/>
    </row>
    <row r="17" spans="1:42" s="14" customFormat="1" ht="15">
      <c r="A17" s="51"/>
      <c r="B17" s="25" t="s">
        <v>70</v>
      </c>
      <c r="C17" s="25" t="s">
        <v>150</v>
      </c>
      <c r="D17" s="31" t="s">
        <v>78</v>
      </c>
      <c r="E17" s="26">
        <f>41.868*10^9</f>
        <v>41868000000</v>
      </c>
      <c r="F17" s="26">
        <f t="shared" si="0"/>
        <v>4.1868E-5</v>
      </c>
      <c r="H17" s="33"/>
      <c r="I17" s="33"/>
      <c r="J17" s="33"/>
      <c r="K17" s="33"/>
      <c r="L17" s="469"/>
      <c r="M17" s="469"/>
      <c r="N17" s="473"/>
      <c r="O17" s="473"/>
      <c r="P17" s="473"/>
      <c r="Q17" s="473"/>
      <c r="R17" s="473"/>
      <c r="S17" s="473"/>
      <c r="T17" s="473"/>
      <c r="U17" s="473"/>
      <c r="V17" s="469"/>
      <c r="W17" s="469"/>
      <c r="X17" s="33"/>
      <c r="Y17" s="33"/>
      <c r="Z17" s="33"/>
      <c r="AA17" s="33"/>
      <c r="AB17" s="33"/>
      <c r="AC17" s="33"/>
      <c r="AD17" s="33"/>
      <c r="AE17" s="33"/>
      <c r="AF17" s="33"/>
      <c r="AG17" s="33"/>
      <c r="AH17" s="33"/>
      <c r="AI17" s="33"/>
      <c r="AJ17" s="33"/>
      <c r="AK17" s="33"/>
      <c r="AL17" s="33"/>
      <c r="AM17" s="33"/>
      <c r="AN17" s="33"/>
      <c r="AO17" s="33"/>
      <c r="AP17" s="33"/>
    </row>
    <row r="18" spans="1:42" s="14" customFormat="1" ht="15">
      <c r="A18" s="51"/>
      <c r="B18" s="25" t="s">
        <v>108</v>
      </c>
      <c r="C18" s="25" t="s">
        <v>151</v>
      </c>
      <c r="D18" s="31" t="s">
        <v>109</v>
      </c>
      <c r="E18" s="26">
        <f>E17*1000</f>
        <v>41868000000000</v>
      </c>
      <c r="F18" s="26">
        <f t="shared" si="0"/>
        <v>4.1868000000000002E-2</v>
      </c>
      <c r="H18" s="33"/>
      <c r="I18" s="33"/>
      <c r="J18" s="33"/>
      <c r="K18" s="33"/>
      <c r="L18" s="496"/>
      <c r="M18" s="469"/>
      <c r="N18" s="473"/>
      <c r="O18" s="473"/>
      <c r="P18" s="473"/>
      <c r="Q18" s="473"/>
      <c r="R18" s="473"/>
      <c r="S18" s="473"/>
      <c r="T18" s="473"/>
      <c r="U18" s="473"/>
      <c r="V18" s="469"/>
      <c r="W18" s="469"/>
      <c r="X18" s="33"/>
      <c r="Y18" s="33"/>
      <c r="Z18" s="33"/>
      <c r="AA18" s="33"/>
      <c r="AB18" s="33"/>
      <c r="AC18" s="33"/>
      <c r="AD18" s="33"/>
      <c r="AE18" s="33"/>
      <c r="AF18" s="33"/>
      <c r="AG18" s="33"/>
      <c r="AH18" s="33"/>
      <c r="AI18" s="33"/>
      <c r="AJ18" s="33"/>
      <c r="AK18" s="33"/>
      <c r="AL18" s="33"/>
      <c r="AM18" s="33"/>
      <c r="AN18" s="33"/>
      <c r="AO18" s="33"/>
      <c r="AP18" s="33"/>
    </row>
    <row r="19" spans="1:42" s="14" customFormat="1" ht="15">
      <c r="A19" s="51"/>
      <c r="B19" s="25" t="s">
        <v>69</v>
      </c>
      <c r="C19" s="25" t="s">
        <v>152</v>
      </c>
      <c r="D19" s="31" t="s">
        <v>79</v>
      </c>
      <c r="E19" s="26">
        <f>E17*1000000</f>
        <v>4.1868E+16</v>
      </c>
      <c r="F19" s="26">
        <f t="shared" si="0"/>
        <v>41.868000000000002</v>
      </c>
      <c r="H19" s="33"/>
      <c r="I19" s="33"/>
      <c r="J19" s="33"/>
      <c r="K19" s="33"/>
      <c r="L19" s="469"/>
      <c r="M19" s="469"/>
      <c r="N19" s="33"/>
      <c r="O19" s="33"/>
      <c r="P19" s="33"/>
      <c r="Q19" s="33"/>
      <c r="R19" s="33"/>
      <c r="S19" s="33"/>
      <c r="T19" s="33"/>
      <c r="U19" s="33"/>
      <c r="V19" s="469"/>
      <c r="W19" s="469"/>
      <c r="X19" s="33"/>
      <c r="Y19" s="33"/>
      <c r="Z19" s="33"/>
      <c r="AA19" s="33"/>
      <c r="AB19" s="33"/>
      <c r="AC19" s="33"/>
      <c r="AD19" s="33"/>
      <c r="AE19" s="33"/>
      <c r="AF19" s="33"/>
      <c r="AG19" s="33"/>
      <c r="AH19" s="33"/>
      <c r="AI19" s="33"/>
      <c r="AJ19" s="33"/>
      <c r="AK19" s="33"/>
      <c r="AL19" s="33"/>
      <c r="AM19" s="33"/>
      <c r="AN19" s="33"/>
      <c r="AO19" s="33"/>
      <c r="AP19" s="33"/>
    </row>
    <row r="20" spans="1:42" s="14" customFormat="1" ht="15">
      <c r="A20" s="51"/>
      <c r="B20" s="25" t="s">
        <v>71</v>
      </c>
      <c r="C20" s="25" t="s">
        <v>153</v>
      </c>
      <c r="D20" s="31" t="s">
        <v>80</v>
      </c>
      <c r="E20" s="26">
        <f>41.868*10^9/396.83</f>
        <v>105506136.12882091</v>
      </c>
      <c r="F20" s="26">
        <f t="shared" si="0"/>
        <v>1.0550613612882091E-7</v>
      </c>
      <c r="H20" s="33"/>
      <c r="I20" s="33"/>
      <c r="J20" s="33"/>
      <c r="K20" s="33"/>
      <c r="L20" s="468"/>
      <c r="M20" s="469"/>
      <c r="N20" s="473"/>
      <c r="O20" s="473"/>
      <c r="P20" s="473"/>
      <c r="Q20" s="473"/>
      <c r="R20" s="473"/>
      <c r="S20" s="473"/>
      <c r="T20" s="473"/>
      <c r="U20" s="473"/>
      <c r="V20" s="469"/>
      <c r="W20" s="33"/>
      <c r="X20" s="33"/>
      <c r="Y20" s="497"/>
      <c r="Z20" s="33"/>
      <c r="AA20" s="33"/>
      <c r="AB20" s="33"/>
      <c r="AC20" s="33"/>
      <c r="AD20" s="33"/>
      <c r="AE20" s="33"/>
      <c r="AF20" s="33"/>
      <c r="AG20" s="33"/>
      <c r="AH20" s="33"/>
      <c r="AI20" s="33"/>
      <c r="AJ20" s="33"/>
      <c r="AK20" s="33"/>
      <c r="AL20" s="33"/>
      <c r="AM20" s="33"/>
      <c r="AN20" s="33"/>
      <c r="AO20" s="33"/>
      <c r="AP20" s="33"/>
    </row>
    <row r="21" spans="1:42" s="14" customFormat="1" ht="15">
      <c r="A21" s="51"/>
      <c r="B21" s="25" t="s">
        <v>72</v>
      </c>
      <c r="C21" s="25" t="s">
        <v>154</v>
      </c>
      <c r="D21" s="31" t="s">
        <v>81</v>
      </c>
      <c r="E21" s="26">
        <f>E20/100000</f>
        <v>1055.0613612882091</v>
      </c>
      <c r="F21" s="26">
        <f t="shared" si="0"/>
        <v>1.0550613612882092E-12</v>
      </c>
      <c r="H21" s="33"/>
      <c r="I21" s="33"/>
      <c r="J21" s="33"/>
      <c r="K21" s="33"/>
      <c r="L21" s="468"/>
      <c r="M21" s="469"/>
      <c r="N21" s="1759"/>
      <c r="O21" s="1759"/>
      <c r="P21" s="1759"/>
      <c r="Q21" s="1759"/>
      <c r="R21" s="488"/>
      <c r="S21" s="312"/>
      <c r="T21" s="312"/>
      <c r="U21" s="312"/>
      <c r="V21" s="469"/>
      <c r="W21" s="469"/>
      <c r="X21" s="33"/>
      <c r="Y21" s="33"/>
      <c r="Z21" s="33"/>
      <c r="AA21" s="33"/>
      <c r="AB21" s="33"/>
      <c r="AC21" s="33"/>
      <c r="AD21" s="33"/>
      <c r="AE21" s="33"/>
      <c r="AF21" s="33"/>
      <c r="AG21" s="33"/>
      <c r="AH21" s="33"/>
      <c r="AI21" s="33"/>
      <c r="AJ21" s="33"/>
      <c r="AK21" s="33"/>
      <c r="AL21" s="33"/>
      <c r="AM21" s="33"/>
      <c r="AN21" s="33"/>
      <c r="AO21" s="33"/>
      <c r="AP21" s="33"/>
    </row>
    <row r="22" spans="1:42" s="14" customFormat="1" ht="15">
      <c r="A22" s="51"/>
      <c r="B22" s="25" t="s">
        <v>73</v>
      </c>
      <c r="C22" s="25" t="s">
        <v>155</v>
      </c>
      <c r="D22" s="31" t="s">
        <v>82</v>
      </c>
      <c r="E22" s="26">
        <v>4.1840000000000002</v>
      </c>
      <c r="F22" s="26">
        <f t="shared" si="0"/>
        <v>4.1840000000000001E-15</v>
      </c>
      <c r="H22" s="33"/>
      <c r="I22" s="33"/>
      <c r="J22" s="33"/>
      <c r="K22" s="33"/>
      <c r="L22" s="468"/>
      <c r="M22" s="469"/>
      <c r="N22" s="1757"/>
      <c r="O22" s="1758"/>
      <c r="P22" s="1757"/>
      <c r="Q22" s="1758"/>
      <c r="R22" s="1757"/>
      <c r="S22" s="1758"/>
      <c r="T22" s="1757"/>
      <c r="U22" s="1758"/>
      <c r="V22" s="469"/>
      <c r="W22" s="469"/>
      <c r="X22" s="33"/>
      <c r="Y22" s="33"/>
      <c r="Z22" s="33"/>
      <c r="AA22" s="33"/>
      <c r="AB22" s="33"/>
      <c r="AC22" s="33"/>
      <c r="AD22" s="33"/>
      <c r="AE22" s="33"/>
      <c r="AF22" s="33"/>
      <c r="AG22" s="33"/>
      <c r="AH22" s="33"/>
      <c r="AI22" s="33"/>
      <c r="AJ22" s="33"/>
      <c r="AK22" s="33"/>
      <c r="AL22" s="33"/>
      <c r="AM22" s="33"/>
      <c r="AN22" s="33"/>
      <c r="AO22" s="33"/>
      <c r="AP22" s="33"/>
    </row>
    <row r="23" spans="1:42" s="14" customFormat="1" ht="15">
      <c r="A23" s="51"/>
      <c r="B23" s="25" t="s">
        <v>74</v>
      </c>
      <c r="C23" s="25" t="s">
        <v>156</v>
      </c>
      <c r="D23" s="31" t="s">
        <v>83</v>
      </c>
      <c r="E23" s="26">
        <f>10^9*60*60*8765.8</f>
        <v>3.1556879999999996E+16</v>
      </c>
      <c r="F23" s="26">
        <f t="shared" si="0"/>
        <v>31.556879999999996</v>
      </c>
      <c r="H23" s="33"/>
      <c r="I23" s="33"/>
      <c r="J23" s="33"/>
      <c r="K23" s="454"/>
      <c r="L23" s="42"/>
      <c r="M23" s="42"/>
      <c r="N23" s="481"/>
      <c r="O23" s="481"/>
      <c r="P23" s="489"/>
      <c r="Q23" s="489"/>
      <c r="R23" s="481"/>
      <c r="S23" s="481"/>
      <c r="T23" s="481"/>
      <c r="U23" s="481"/>
      <c r="V23" s="469"/>
      <c r="W23" s="469"/>
      <c r="X23" s="33"/>
      <c r="Y23" s="33"/>
      <c r="Z23" s="33"/>
      <c r="AA23" s="33"/>
      <c r="AB23" s="33"/>
      <c r="AC23" s="33"/>
      <c r="AD23" s="33"/>
      <c r="AE23" s="33"/>
      <c r="AF23" s="33"/>
      <c r="AG23" s="33"/>
      <c r="AH23" s="33"/>
      <c r="AI23" s="33"/>
      <c r="AJ23" s="33"/>
      <c r="AK23" s="33"/>
      <c r="AL23" s="33"/>
      <c r="AM23" s="33"/>
      <c r="AN23" s="33"/>
      <c r="AO23" s="33"/>
      <c r="AP23" s="33"/>
    </row>
    <row r="24" spans="1:42" s="48" customFormat="1" ht="15">
      <c r="A24" s="51"/>
      <c r="B24" s="25" t="s">
        <v>1959</v>
      </c>
      <c r="C24" s="25" t="s">
        <v>1961</v>
      </c>
      <c r="D24" s="31" t="s">
        <v>1960</v>
      </c>
      <c r="E24" s="26">
        <f>1050000000000000</f>
        <v>1050000000000000</v>
      </c>
      <c r="F24" s="26">
        <f t="shared" si="0"/>
        <v>1.05</v>
      </c>
      <c r="H24" s="33"/>
      <c r="I24" s="33"/>
      <c r="J24" s="33"/>
      <c r="K24" s="454"/>
      <c r="L24" s="42"/>
      <c r="M24" s="42"/>
      <c r="N24" s="481"/>
      <c r="O24" s="481"/>
      <c r="P24" s="489"/>
      <c r="Q24" s="489"/>
      <c r="R24" s="481"/>
      <c r="S24" s="481"/>
      <c r="T24" s="481"/>
      <c r="U24" s="481"/>
      <c r="V24" s="469"/>
      <c r="W24" s="469"/>
      <c r="X24" s="33"/>
      <c r="Y24" s="33"/>
      <c r="Z24" s="33"/>
      <c r="AA24" s="33"/>
      <c r="AB24" s="33"/>
      <c r="AC24" s="33"/>
      <c r="AD24" s="33"/>
      <c r="AE24" s="33"/>
      <c r="AF24" s="33"/>
      <c r="AG24" s="33"/>
      <c r="AH24" s="33"/>
      <c r="AI24" s="33"/>
      <c r="AJ24" s="33"/>
      <c r="AK24" s="33"/>
      <c r="AL24" s="33"/>
      <c r="AM24" s="33"/>
      <c r="AN24" s="33"/>
      <c r="AO24" s="33"/>
      <c r="AP24" s="33"/>
    </row>
    <row r="25" spans="1:42" s="48" customFormat="1" ht="15">
      <c r="A25" s="51"/>
      <c r="B25" s="27" t="s">
        <v>562</v>
      </c>
      <c r="C25" s="27" t="s">
        <v>566</v>
      </c>
      <c r="D25" s="32" t="s">
        <v>563</v>
      </c>
      <c r="E25" s="28">
        <f>F25*Unit.J</f>
        <v>9.0909090909090923E-17</v>
      </c>
      <c r="F25" s="28">
        <f>1/11</f>
        <v>9.0909090909090912E-2</v>
      </c>
      <c r="H25" s="33"/>
      <c r="I25" s="33"/>
      <c r="J25" s="33"/>
      <c r="K25" s="454"/>
      <c r="L25" s="42"/>
      <c r="M25" s="42"/>
      <c r="N25" s="481"/>
      <c r="O25" s="481"/>
      <c r="P25" s="489"/>
      <c r="Q25" s="489"/>
      <c r="R25" s="481"/>
      <c r="S25" s="481"/>
      <c r="T25" s="481"/>
      <c r="U25" s="481"/>
      <c r="V25" s="469"/>
      <c r="W25" s="469"/>
      <c r="X25" s="33"/>
      <c r="Y25" s="33"/>
      <c r="Z25" s="33"/>
      <c r="AA25" s="33"/>
      <c r="AB25" s="33"/>
      <c r="AC25" s="33"/>
      <c r="AD25" s="33"/>
      <c r="AE25" s="33"/>
      <c r="AF25" s="33"/>
      <c r="AG25" s="33"/>
      <c r="AH25" s="33"/>
      <c r="AI25" s="33"/>
      <c r="AJ25" s="33"/>
      <c r="AK25" s="33"/>
      <c r="AL25" s="33"/>
      <c r="AM25" s="33"/>
      <c r="AN25" s="33"/>
      <c r="AO25" s="33"/>
      <c r="AP25" s="33"/>
    </row>
    <row r="26" spans="1:42">
      <c r="H26" s="36"/>
      <c r="I26" s="36"/>
      <c r="J26" s="36"/>
      <c r="K26" s="36"/>
      <c r="L26" s="468"/>
      <c r="M26" s="469"/>
      <c r="N26" s="469"/>
      <c r="O26" s="469"/>
      <c r="P26" s="469"/>
      <c r="Q26" s="469"/>
      <c r="R26" s="469"/>
      <c r="S26" s="469"/>
      <c r="T26" s="469"/>
      <c r="U26" s="469"/>
      <c r="V26" s="469"/>
      <c r="W26" s="469"/>
      <c r="X26" s="36"/>
      <c r="Y26" s="498"/>
      <c r="Z26" s="36"/>
      <c r="AA26" s="36"/>
      <c r="AB26" s="36"/>
      <c r="AC26" s="36"/>
      <c r="AD26" s="36"/>
      <c r="AE26" s="36"/>
      <c r="AF26" s="36"/>
      <c r="AG26" s="36"/>
      <c r="AH26" s="36"/>
      <c r="AI26" s="36"/>
      <c r="AJ26" s="36"/>
      <c r="AK26" s="36"/>
      <c r="AL26" s="36"/>
      <c r="AM26" s="36"/>
      <c r="AN26" s="36"/>
      <c r="AO26" s="36"/>
      <c r="AP26" s="36"/>
    </row>
    <row r="27" spans="1:42" ht="14">
      <c r="E27" s="23"/>
      <c r="F27" s="23"/>
      <c r="H27" s="36"/>
      <c r="I27" s="36"/>
      <c r="J27" s="36"/>
      <c r="K27" s="36"/>
      <c r="L27" s="468"/>
      <c r="M27" s="469"/>
      <c r="N27" s="469"/>
      <c r="O27" s="36"/>
      <c r="P27" s="451"/>
      <c r="Q27" s="451"/>
      <c r="R27" s="331"/>
      <c r="S27" s="331"/>
      <c r="T27" s="331"/>
      <c r="U27" s="331"/>
      <c r="V27" s="331"/>
      <c r="W27" s="331"/>
      <c r="X27" s="331"/>
      <c r="Y27" s="331"/>
      <c r="Z27" s="331"/>
      <c r="AA27" s="36"/>
      <c r="AB27" s="36"/>
      <c r="AC27" s="36"/>
      <c r="AD27" s="36"/>
      <c r="AE27" s="36"/>
      <c r="AF27" s="36"/>
      <c r="AG27" s="36"/>
      <c r="AH27" s="36"/>
      <c r="AI27" s="36"/>
      <c r="AJ27" s="36"/>
      <c r="AK27" s="36"/>
      <c r="AL27" s="36"/>
      <c r="AM27" s="36"/>
      <c r="AN27" s="36"/>
      <c r="AO27" s="36"/>
      <c r="AP27" s="36"/>
    </row>
    <row r="28" spans="1:42" ht="18">
      <c r="B28" s="24" t="s">
        <v>207</v>
      </c>
      <c r="C28" s="24"/>
      <c r="D28" s="1"/>
      <c r="E28" s="1"/>
      <c r="F28" s="1"/>
      <c r="H28" s="36"/>
      <c r="I28" s="36"/>
      <c r="J28" s="36"/>
      <c r="K28" s="36"/>
      <c r="L28" s="36"/>
      <c r="M28" s="36"/>
      <c r="N28" s="36"/>
      <c r="O28" s="36"/>
      <c r="P28" s="36"/>
      <c r="Q28" s="36"/>
      <c r="R28" s="451"/>
      <c r="S28" s="36"/>
      <c r="T28" s="36"/>
      <c r="U28" s="36"/>
      <c r="V28" s="36"/>
      <c r="W28" s="36"/>
      <c r="X28" s="36"/>
      <c r="Y28" s="36"/>
      <c r="Z28" s="36"/>
      <c r="AA28" s="36"/>
      <c r="AB28" s="36"/>
      <c r="AC28" s="36"/>
      <c r="AD28" s="36"/>
      <c r="AE28" s="36"/>
      <c r="AF28" s="36"/>
      <c r="AG28" s="36"/>
      <c r="AH28" s="36"/>
      <c r="AI28" s="36"/>
      <c r="AJ28" s="36"/>
      <c r="AK28" s="36"/>
      <c r="AL28" s="36"/>
      <c r="AM28" s="36"/>
      <c r="AN28" s="36"/>
      <c r="AO28" s="36"/>
      <c r="AP28" s="36"/>
    </row>
    <row r="29" spans="1:42" ht="18" customHeight="1">
      <c r="B29" s="1"/>
      <c r="C29" s="1"/>
      <c r="D29" s="1"/>
      <c r="E29" s="1"/>
      <c r="F29" s="1"/>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6"/>
      <c r="AN29" s="36"/>
      <c r="AO29" s="36"/>
      <c r="AP29" s="36"/>
    </row>
    <row r="30" spans="1:42" ht="15">
      <c r="A30" s="3"/>
      <c r="B30" s="29" t="s">
        <v>65</v>
      </c>
      <c r="C30" s="29" t="s">
        <v>140</v>
      </c>
      <c r="D30" s="29" t="s">
        <v>141</v>
      </c>
      <c r="E30" s="47" t="s">
        <v>208</v>
      </c>
      <c r="F30" s="47" t="str">
        <f>Preferences.PowerUnits</f>
        <v>GW</v>
      </c>
      <c r="H30" s="36"/>
      <c r="I30" s="455"/>
      <c r="J30" s="36"/>
      <c r="K30" s="36"/>
      <c r="L30" s="36"/>
      <c r="M30" s="36"/>
      <c r="N30" s="36"/>
      <c r="O30" s="36"/>
      <c r="P30" s="36"/>
      <c r="Q30" s="36"/>
      <c r="R30" s="312"/>
      <c r="S30" s="451"/>
      <c r="T30" s="36"/>
      <c r="U30" s="36"/>
      <c r="V30" s="36"/>
      <c r="W30" s="36"/>
      <c r="X30" s="36"/>
      <c r="Y30" s="36"/>
      <c r="Z30" s="36"/>
      <c r="AA30" s="36"/>
      <c r="AB30" s="36"/>
      <c r="AC30" s="36"/>
      <c r="AD30" s="36"/>
      <c r="AE30" s="36"/>
      <c r="AF30" s="36"/>
      <c r="AG30" s="36"/>
      <c r="AH30" s="36"/>
      <c r="AI30" s="36"/>
      <c r="AJ30" s="36"/>
      <c r="AK30" s="36"/>
      <c r="AL30" s="36"/>
      <c r="AM30" s="36"/>
      <c r="AN30" s="36"/>
      <c r="AO30" s="36"/>
      <c r="AP30" s="36"/>
    </row>
    <row r="31" spans="1:42" ht="15">
      <c r="A31" s="3"/>
      <c r="B31" s="25" t="s">
        <v>209</v>
      </c>
      <c r="C31" s="25" t="s">
        <v>211</v>
      </c>
      <c r="D31" s="31" t="s">
        <v>213</v>
      </c>
      <c r="E31" s="26">
        <v>1000000000</v>
      </c>
      <c r="F31" s="26">
        <f t="shared" ref="F31:F36" si="1">$E31/INDEX(Conversions.Power.Watts, MATCH(F$30, Conversions.Power.Units, 0))</f>
        <v>1</v>
      </c>
      <c r="H31" s="36"/>
      <c r="I31" s="36"/>
      <c r="J31" s="36"/>
      <c r="K31" s="36"/>
      <c r="L31" s="36"/>
      <c r="M31" s="36"/>
      <c r="N31" s="36"/>
      <c r="O31" s="36"/>
      <c r="P31" s="36"/>
      <c r="Q31" s="36"/>
      <c r="R31" s="36"/>
      <c r="S31" s="312"/>
      <c r="T31" s="36"/>
      <c r="U31" s="36"/>
      <c r="V31" s="36"/>
      <c r="W31" s="36"/>
      <c r="X31" s="36"/>
      <c r="Y31" s="36"/>
      <c r="Z31" s="36"/>
      <c r="AA31" s="36"/>
      <c r="AB31" s="36"/>
      <c r="AC31" s="36"/>
      <c r="AD31" s="36"/>
      <c r="AE31" s="36"/>
      <c r="AF31" s="36"/>
      <c r="AG31" s="36"/>
      <c r="AH31" s="36"/>
      <c r="AI31" s="36"/>
      <c r="AJ31" s="36"/>
      <c r="AK31" s="36"/>
      <c r="AL31" s="36"/>
      <c r="AM31" s="36"/>
      <c r="AN31" s="36"/>
      <c r="AO31" s="36"/>
      <c r="AP31" s="36"/>
    </row>
    <row r="32" spans="1:42" s="1" customFormat="1" ht="15">
      <c r="A32" s="3"/>
      <c r="B32" s="25" t="s">
        <v>215</v>
      </c>
      <c r="C32" s="25" t="s">
        <v>216</v>
      </c>
      <c r="D32" s="31" t="s">
        <v>217</v>
      </c>
      <c r="E32" s="26">
        <v>1000000</v>
      </c>
      <c r="F32" s="26">
        <f t="shared" si="1"/>
        <v>1E-3</v>
      </c>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6"/>
      <c r="AN32" s="36"/>
      <c r="AO32" s="36"/>
      <c r="AP32" s="36"/>
    </row>
    <row r="33" spans="1:42" ht="15">
      <c r="A33" s="3"/>
      <c r="B33" s="1" t="s">
        <v>210</v>
      </c>
      <c r="C33" s="1" t="s">
        <v>212</v>
      </c>
      <c r="D33" s="31" t="s">
        <v>214</v>
      </c>
      <c r="E33" s="26">
        <v>1000</v>
      </c>
      <c r="F33" s="26">
        <f t="shared" si="1"/>
        <v>9.9999999999999995E-7</v>
      </c>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6"/>
      <c r="AN33" s="36"/>
      <c r="AO33" s="36"/>
      <c r="AP33" s="36"/>
    </row>
    <row r="34" spans="1:42" s="37" customFormat="1" ht="15">
      <c r="A34" s="3"/>
      <c r="B34" s="37" t="s">
        <v>241</v>
      </c>
      <c r="C34" s="37" t="s">
        <v>208</v>
      </c>
      <c r="D34" s="31" t="s">
        <v>242</v>
      </c>
      <c r="E34" s="26">
        <v>1</v>
      </c>
      <c r="F34" s="26">
        <f t="shared" si="1"/>
        <v>1.0000000000000001E-9</v>
      </c>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6"/>
      <c r="AN34" s="36"/>
      <c r="AO34" s="36"/>
      <c r="AP34" s="36"/>
    </row>
    <row r="35" spans="1:42" ht="15">
      <c r="A35" s="3"/>
      <c r="B35" s="286" t="s">
        <v>533</v>
      </c>
      <c r="C35" s="286" t="s">
        <v>534</v>
      </c>
      <c r="D35" s="31" t="s">
        <v>535</v>
      </c>
      <c r="E35" s="26">
        <f>29000000*1000000/(24*60*60)</f>
        <v>335648148.14814812</v>
      </c>
      <c r="F35" s="26">
        <f t="shared" si="1"/>
        <v>0.33564814814814814</v>
      </c>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6"/>
      <c r="AN35" s="36"/>
      <c r="AO35" s="36"/>
      <c r="AP35" s="36"/>
    </row>
    <row r="36" spans="1:42">
      <c r="B36" s="57" t="s">
        <v>218</v>
      </c>
      <c r="C36" s="57" t="s">
        <v>219</v>
      </c>
      <c r="D36" s="58" t="s">
        <v>220</v>
      </c>
      <c r="E36" s="59">
        <f>$E$19/Unit.year</f>
        <v>1326716860.597764</v>
      </c>
      <c r="F36" s="59">
        <f t="shared" si="1"/>
        <v>1.3267168605977639</v>
      </c>
      <c r="H36" s="36"/>
      <c r="I36" s="36"/>
      <c r="J36" s="36"/>
      <c r="K36" s="36"/>
      <c r="L36" s="468"/>
      <c r="M36" s="469"/>
      <c r="N36" s="469"/>
      <c r="O36" s="469"/>
      <c r="P36" s="469"/>
      <c r="Q36" s="469"/>
      <c r="R36" s="469"/>
      <c r="S36" s="469"/>
      <c r="T36" s="469"/>
      <c r="U36" s="469"/>
      <c r="V36" s="469"/>
      <c r="W36" s="469"/>
      <c r="X36" s="36"/>
      <c r="Y36" s="36"/>
      <c r="Z36" s="36"/>
      <c r="AA36" s="36"/>
      <c r="AB36" s="36"/>
      <c r="AC36" s="36"/>
      <c r="AD36" s="36"/>
      <c r="AE36" s="36"/>
      <c r="AF36" s="36"/>
      <c r="AG36" s="36"/>
      <c r="AH36" s="36"/>
      <c r="AI36" s="36"/>
      <c r="AJ36" s="36"/>
      <c r="AK36" s="36"/>
      <c r="AL36" s="36"/>
      <c r="AM36" s="36"/>
      <c r="AN36" s="36"/>
      <c r="AO36" s="36"/>
      <c r="AP36" s="36"/>
    </row>
    <row r="37" spans="1:42">
      <c r="H37" s="36"/>
      <c r="I37" s="36"/>
      <c r="J37" s="36"/>
      <c r="K37" s="36"/>
      <c r="L37" s="468"/>
      <c r="M37" s="469"/>
      <c r="N37" s="469"/>
      <c r="O37" s="469"/>
      <c r="P37" s="469"/>
      <c r="Q37" s="469"/>
      <c r="R37" s="469"/>
      <c r="S37" s="469"/>
      <c r="T37" s="469"/>
      <c r="U37" s="469"/>
      <c r="V37" s="469"/>
      <c r="W37" s="469"/>
      <c r="X37" s="36"/>
      <c r="Y37" s="36"/>
      <c r="Z37" s="36"/>
      <c r="AA37" s="36"/>
      <c r="AB37" s="36"/>
      <c r="AC37" s="36"/>
      <c r="AD37" s="36"/>
      <c r="AE37" s="36"/>
      <c r="AF37" s="36"/>
      <c r="AG37" s="36"/>
      <c r="AH37" s="36"/>
      <c r="AI37" s="36"/>
      <c r="AJ37" s="36"/>
      <c r="AK37" s="36"/>
      <c r="AL37" s="36"/>
      <c r="AM37" s="36"/>
      <c r="AN37" s="36"/>
      <c r="AO37" s="36"/>
      <c r="AP37" s="36"/>
    </row>
    <row r="38" spans="1:42" ht="15" customHeight="1">
      <c r="B38" s="24" t="s">
        <v>221</v>
      </c>
      <c r="C38" s="24"/>
      <c r="D38" s="1"/>
      <c r="E38" s="1"/>
      <c r="F38" s="1"/>
      <c r="H38" s="36"/>
      <c r="I38" s="36"/>
      <c r="J38" s="36"/>
      <c r="K38" s="36"/>
      <c r="L38" s="468"/>
      <c r="M38" s="469"/>
      <c r="N38" s="469"/>
      <c r="O38" s="469"/>
      <c r="P38" s="469"/>
      <c r="Q38" s="469"/>
      <c r="R38" s="469"/>
      <c r="S38" s="469"/>
      <c r="T38" s="469"/>
      <c r="U38" s="469"/>
      <c r="V38" s="469"/>
      <c r="W38" s="469"/>
      <c r="X38" s="36"/>
      <c r="Y38" s="36"/>
      <c r="Z38" s="36"/>
      <c r="AA38" s="36"/>
      <c r="AB38" s="36"/>
      <c r="AC38" s="36"/>
      <c r="AD38" s="36"/>
      <c r="AE38" s="36"/>
      <c r="AF38" s="36"/>
      <c r="AG38" s="36"/>
      <c r="AH38" s="36"/>
      <c r="AI38" s="36"/>
      <c r="AJ38" s="36"/>
      <c r="AK38" s="36"/>
      <c r="AL38" s="36"/>
      <c r="AM38" s="36"/>
      <c r="AN38" s="36"/>
      <c r="AO38" s="36"/>
      <c r="AP38" s="36"/>
    </row>
    <row r="39" spans="1:42" ht="15">
      <c r="A39" s="3"/>
      <c r="B39" s="1"/>
      <c r="C39" s="1"/>
      <c r="D39" s="1"/>
      <c r="E39" s="1"/>
      <c r="F39" s="1"/>
      <c r="H39" s="36"/>
      <c r="I39" s="36"/>
      <c r="J39" s="36"/>
      <c r="K39" s="36"/>
      <c r="L39" s="36"/>
      <c r="M39" s="469"/>
      <c r="N39" s="469"/>
      <c r="O39" s="36"/>
      <c r="P39" s="422"/>
      <c r="Q39" s="469"/>
      <c r="R39" s="469"/>
      <c r="S39" s="480"/>
      <c r="T39" s="469"/>
      <c r="U39" s="469"/>
      <c r="V39" s="36"/>
      <c r="W39" s="469"/>
      <c r="X39" s="36"/>
      <c r="Y39" s="36"/>
      <c r="Z39" s="36"/>
      <c r="AA39" s="36"/>
      <c r="AB39" s="36"/>
      <c r="AC39" s="36"/>
      <c r="AD39" s="36"/>
      <c r="AE39" s="36"/>
      <c r="AF39" s="36"/>
      <c r="AG39" s="36"/>
      <c r="AH39" s="36"/>
      <c r="AI39" s="36"/>
      <c r="AJ39" s="36"/>
      <c r="AK39" s="36"/>
      <c r="AL39" s="36"/>
      <c r="AM39" s="36"/>
      <c r="AN39" s="36"/>
      <c r="AO39" s="36"/>
      <c r="AP39" s="36"/>
    </row>
    <row r="40" spans="1:42" ht="15">
      <c r="A40" s="3"/>
      <c r="B40" s="29" t="s">
        <v>65</v>
      </c>
      <c r="C40" s="29" t="s">
        <v>140</v>
      </c>
      <c r="D40" s="29" t="s">
        <v>141</v>
      </c>
      <c r="E40" s="47"/>
      <c r="F40" s="47" t="s">
        <v>222</v>
      </c>
      <c r="H40" s="36"/>
      <c r="I40" s="36"/>
      <c r="J40" s="36"/>
      <c r="K40" s="36"/>
      <c r="L40" s="33"/>
      <c r="M40" s="469"/>
      <c r="N40" s="469"/>
      <c r="O40" s="477"/>
      <c r="P40" s="469"/>
      <c r="Q40" s="469"/>
      <c r="R40" s="469"/>
      <c r="S40" s="469"/>
      <c r="T40" s="469"/>
      <c r="U40" s="469"/>
      <c r="V40" s="469"/>
      <c r="W40" s="469"/>
      <c r="X40" s="36"/>
      <c r="Y40" s="36"/>
      <c r="Z40" s="36"/>
      <c r="AA40" s="36"/>
      <c r="AB40" s="36"/>
      <c r="AC40" s="36"/>
      <c r="AD40" s="36"/>
      <c r="AE40" s="36"/>
      <c r="AF40" s="36"/>
      <c r="AG40" s="36"/>
      <c r="AH40" s="36"/>
      <c r="AI40" s="36"/>
      <c r="AJ40" s="36"/>
      <c r="AK40" s="36"/>
      <c r="AL40" s="36"/>
      <c r="AM40" s="36"/>
      <c r="AN40" s="36"/>
      <c r="AO40" s="36"/>
      <c r="AP40" s="36"/>
    </row>
    <row r="41" spans="1:42">
      <c r="B41" s="25" t="s">
        <v>223</v>
      </c>
      <c r="C41" s="25" t="s">
        <v>224</v>
      </c>
      <c r="D41" s="31" t="s">
        <v>225</v>
      </c>
      <c r="E41" s="26"/>
      <c r="F41" s="26">
        <f>365.25*Unit.day</f>
        <v>31557600</v>
      </c>
      <c r="H41" s="36"/>
      <c r="I41" s="36"/>
      <c r="J41" s="36"/>
      <c r="K41" s="36"/>
      <c r="L41" s="478"/>
      <c r="M41" s="469"/>
      <c r="N41" s="469"/>
      <c r="O41" s="469"/>
      <c r="P41" s="469"/>
      <c r="Q41" s="469"/>
      <c r="R41" s="469"/>
      <c r="S41" s="469"/>
      <c r="T41" s="469"/>
      <c r="U41" s="469"/>
      <c r="V41" s="469"/>
      <c r="W41" s="469"/>
      <c r="X41" s="36"/>
      <c r="Y41" s="36"/>
      <c r="Z41" s="36"/>
      <c r="AA41" s="36"/>
      <c r="AB41" s="36"/>
      <c r="AC41" s="36"/>
      <c r="AD41" s="36"/>
      <c r="AE41" s="36"/>
      <c r="AF41" s="36"/>
      <c r="AG41" s="36"/>
      <c r="AH41" s="36"/>
      <c r="AI41" s="36"/>
      <c r="AJ41" s="36"/>
      <c r="AK41" s="36"/>
      <c r="AL41" s="36"/>
      <c r="AM41" s="36"/>
      <c r="AN41" s="36"/>
      <c r="AO41" s="36"/>
      <c r="AP41" s="36"/>
    </row>
    <row r="42" spans="1:42">
      <c r="B42" s="25" t="s">
        <v>474</v>
      </c>
      <c r="C42" s="25" t="s">
        <v>472</v>
      </c>
      <c r="D42" s="31" t="s">
        <v>473</v>
      </c>
      <c r="E42" s="35"/>
      <c r="F42" s="235">
        <f>Unit.hour*24</f>
        <v>86400</v>
      </c>
      <c r="H42" s="36"/>
      <c r="I42" s="36"/>
      <c r="J42" s="36"/>
      <c r="K42" s="36"/>
      <c r="L42" s="468"/>
      <c r="M42" s="469"/>
      <c r="N42" s="469"/>
      <c r="O42" s="469"/>
      <c r="P42" s="469"/>
      <c r="Q42" s="469"/>
      <c r="R42" s="469"/>
      <c r="S42" s="469"/>
      <c r="T42" s="469"/>
      <c r="U42" s="469"/>
      <c r="V42" s="469"/>
      <c r="W42" s="469"/>
      <c r="X42" s="36"/>
      <c r="Y42" s="36"/>
      <c r="Z42" s="36"/>
      <c r="AA42" s="36"/>
      <c r="AB42" s="36"/>
      <c r="AC42" s="36"/>
      <c r="AD42" s="36"/>
      <c r="AE42" s="36"/>
      <c r="AF42" s="36"/>
      <c r="AG42" s="36"/>
      <c r="AH42" s="36"/>
      <c r="AI42" s="36"/>
      <c r="AJ42" s="36"/>
      <c r="AK42" s="36"/>
      <c r="AL42" s="36"/>
      <c r="AM42" s="36"/>
      <c r="AN42" s="36"/>
      <c r="AO42" s="36"/>
      <c r="AP42" s="36"/>
    </row>
    <row r="43" spans="1:42">
      <c r="B43" t="s">
        <v>475</v>
      </c>
      <c r="C43" s="37" t="s">
        <v>476</v>
      </c>
      <c r="D43" s="229" t="s">
        <v>477</v>
      </c>
      <c r="F43" s="173">
        <f>Unit.minute*60</f>
        <v>3600</v>
      </c>
      <c r="H43" s="36"/>
      <c r="I43" s="36"/>
      <c r="J43" s="36"/>
      <c r="K43" s="36"/>
      <c r="L43" s="468"/>
      <c r="M43" s="469"/>
      <c r="N43" s="469"/>
      <c r="O43" s="469"/>
      <c r="P43" s="469"/>
      <c r="Q43" s="469"/>
      <c r="R43" s="469"/>
      <c r="S43" s="469"/>
      <c r="T43" s="469"/>
      <c r="U43" s="469"/>
      <c r="V43" s="469"/>
      <c r="W43" s="469"/>
      <c r="X43" s="36"/>
      <c r="Y43" s="36"/>
      <c r="Z43" s="36"/>
      <c r="AA43" s="36"/>
      <c r="AB43" s="36"/>
      <c r="AC43" s="36"/>
      <c r="AD43" s="36"/>
      <c r="AE43" s="36"/>
      <c r="AF43" s="36"/>
      <c r="AG43" s="36"/>
      <c r="AH43" s="36"/>
      <c r="AI43" s="36"/>
      <c r="AJ43" s="36"/>
      <c r="AK43" s="36"/>
      <c r="AL43" s="36"/>
      <c r="AM43" s="36"/>
      <c r="AN43" s="36"/>
      <c r="AO43" s="36"/>
      <c r="AP43" s="36"/>
    </row>
    <row r="44" spans="1:42" ht="15">
      <c r="A44" s="3"/>
      <c r="B44" s="163" t="s">
        <v>478</v>
      </c>
      <c r="C44" s="163" t="s">
        <v>479</v>
      </c>
      <c r="D44" s="236" t="s">
        <v>480</v>
      </c>
      <c r="E44" s="163"/>
      <c r="F44" s="237">
        <v>60</v>
      </c>
      <c r="H44" s="36"/>
      <c r="I44" s="221"/>
      <c r="J44" s="36"/>
      <c r="K44" s="490"/>
      <c r="L44" s="490"/>
      <c r="M44" s="460"/>
      <c r="N44" s="460"/>
      <c r="O44" s="460"/>
      <c r="P44" s="372"/>
      <c r="Q44" s="469"/>
      <c r="R44" s="469"/>
      <c r="S44" s="469"/>
      <c r="T44" s="469"/>
      <c r="U44" s="469"/>
      <c r="V44" s="469"/>
      <c r="W44" s="469"/>
      <c r="X44" s="36"/>
      <c r="Y44" s="36"/>
      <c r="Z44" s="36"/>
      <c r="AA44" s="36"/>
      <c r="AB44" s="36"/>
      <c r="AC44" s="36"/>
      <c r="AD44" s="36"/>
      <c r="AE44" s="36"/>
      <c r="AF44" s="36"/>
      <c r="AG44" s="36"/>
      <c r="AH44" s="36"/>
      <c r="AI44" s="36"/>
      <c r="AJ44" s="36"/>
      <c r="AK44" s="36"/>
      <c r="AL44" s="36"/>
      <c r="AM44" s="36"/>
      <c r="AN44" s="36"/>
      <c r="AO44" s="36"/>
      <c r="AP44" s="36"/>
    </row>
    <row r="45" spans="1:42">
      <c r="H45" s="36"/>
      <c r="I45" s="36"/>
      <c r="J45" s="36"/>
      <c r="K45" s="36"/>
      <c r="L45" s="468"/>
      <c r="M45" s="469"/>
      <c r="N45" s="469"/>
      <c r="O45" s="469"/>
      <c r="P45" s="469"/>
      <c r="Q45" s="469"/>
      <c r="R45" s="469"/>
      <c r="S45" s="469"/>
      <c r="T45" s="469"/>
      <c r="U45" s="469"/>
      <c r="V45" s="469"/>
      <c r="W45" s="469"/>
      <c r="X45" s="36"/>
      <c r="Y45" s="36"/>
      <c r="Z45" s="36"/>
      <c r="AA45" s="36"/>
      <c r="AB45" s="36"/>
      <c r="AC45" s="36"/>
      <c r="AD45" s="36"/>
      <c r="AE45" s="36"/>
      <c r="AF45" s="36"/>
      <c r="AG45" s="36"/>
      <c r="AH45" s="36"/>
      <c r="AI45" s="36"/>
      <c r="AJ45" s="36"/>
      <c r="AK45" s="36"/>
      <c r="AL45" s="36"/>
      <c r="AM45" s="36"/>
      <c r="AN45" s="36"/>
      <c r="AO45" s="36"/>
      <c r="AP45" s="36"/>
    </row>
    <row r="46" spans="1:42" ht="18">
      <c r="B46" s="24" t="s">
        <v>454</v>
      </c>
      <c r="C46" s="24"/>
      <c r="D46" s="37"/>
      <c r="E46" s="37"/>
      <c r="F46" s="37"/>
      <c r="H46" s="36"/>
      <c r="I46" s="36"/>
      <c r="J46" s="36"/>
      <c r="K46" s="36"/>
      <c r="L46" s="468"/>
      <c r="M46" s="469"/>
      <c r="N46" s="469"/>
      <c r="O46" s="469"/>
      <c r="P46" s="469"/>
      <c r="Q46" s="469"/>
      <c r="R46" s="469"/>
      <c r="S46" s="469"/>
      <c r="T46" s="469"/>
      <c r="U46" s="469"/>
      <c r="V46" s="469"/>
      <c r="W46" s="469"/>
      <c r="X46" s="36"/>
      <c r="Y46" s="36"/>
      <c r="Z46" s="36"/>
      <c r="AA46" s="36"/>
      <c r="AB46" s="36"/>
      <c r="AC46" s="36"/>
      <c r="AD46" s="36"/>
      <c r="AE46" s="36"/>
      <c r="AF46" s="36"/>
      <c r="AG46" s="36"/>
      <c r="AH46" s="36"/>
      <c r="AI46" s="36"/>
      <c r="AJ46" s="36"/>
      <c r="AK46" s="36"/>
      <c r="AL46" s="36"/>
      <c r="AM46" s="36"/>
      <c r="AN46" s="36"/>
      <c r="AO46" s="36"/>
      <c r="AP46" s="36"/>
    </row>
    <row r="47" spans="1:42" ht="15">
      <c r="A47" s="3"/>
      <c r="B47" s="37"/>
      <c r="D47" s="37"/>
      <c r="E47" s="37"/>
      <c r="F47" s="37"/>
      <c r="H47" s="36"/>
      <c r="I47" s="36"/>
      <c r="J47" s="36"/>
      <c r="K47" s="36"/>
      <c r="L47" s="468"/>
      <c r="M47" s="469"/>
      <c r="N47" s="469"/>
      <c r="O47" s="469"/>
      <c r="P47" s="469"/>
      <c r="Q47" s="469"/>
      <c r="R47" s="469"/>
      <c r="S47" s="469"/>
      <c r="T47" s="469"/>
      <c r="U47" s="469"/>
      <c r="V47" s="469"/>
      <c r="W47" s="469"/>
      <c r="X47" s="36"/>
      <c r="Y47" s="36"/>
      <c r="Z47" s="36"/>
      <c r="AA47" s="36"/>
      <c r="AB47" s="36"/>
      <c r="AC47" s="36"/>
      <c r="AD47" s="36"/>
      <c r="AE47" s="36"/>
      <c r="AF47" s="36"/>
      <c r="AG47" s="36"/>
      <c r="AH47" s="36"/>
      <c r="AI47" s="36"/>
      <c r="AJ47" s="36"/>
      <c r="AK47" s="36"/>
      <c r="AL47" s="36"/>
      <c r="AM47" s="36"/>
      <c r="AN47" s="36"/>
      <c r="AO47" s="36"/>
      <c r="AP47" s="36"/>
    </row>
    <row r="48" spans="1:42" ht="15">
      <c r="A48" s="3"/>
      <c r="B48" s="29" t="s">
        <v>65</v>
      </c>
      <c r="C48" s="29" t="s">
        <v>140</v>
      </c>
      <c r="D48" s="29" t="s">
        <v>141</v>
      </c>
      <c r="E48" s="47" t="s">
        <v>462</v>
      </c>
      <c r="F48" s="47" t="str">
        <f>Preferences.AreaUnits</f>
        <v>km^2</v>
      </c>
      <c r="H48" s="36"/>
      <c r="I48" s="36"/>
      <c r="J48" s="36"/>
      <c r="K48" s="36"/>
      <c r="L48" s="468"/>
      <c r="M48" s="469"/>
      <c r="N48" s="469"/>
      <c r="O48" s="469"/>
      <c r="P48" s="469"/>
      <c r="Q48" s="469"/>
      <c r="R48" s="469"/>
      <c r="S48" s="469"/>
      <c r="T48" s="469"/>
      <c r="U48" s="469"/>
      <c r="V48" s="469"/>
      <c r="W48" s="469"/>
      <c r="X48" s="36"/>
      <c r="Y48" s="36"/>
      <c r="Z48" s="36"/>
      <c r="AA48" s="36"/>
      <c r="AB48" s="36"/>
      <c r="AC48" s="36"/>
      <c r="AD48" s="36"/>
      <c r="AE48" s="36"/>
      <c r="AF48" s="36"/>
      <c r="AG48" s="36"/>
      <c r="AH48" s="36"/>
      <c r="AI48" s="36"/>
      <c r="AJ48" s="36"/>
      <c r="AK48" s="36"/>
      <c r="AL48" s="36"/>
      <c r="AM48" s="36"/>
      <c r="AN48" s="36"/>
      <c r="AO48" s="36"/>
      <c r="AP48" s="36"/>
    </row>
    <row r="49" spans="1:42" s="37" customFormat="1" ht="15">
      <c r="A49" s="3"/>
      <c r="B49" s="25" t="s">
        <v>455</v>
      </c>
      <c r="C49" s="25" t="s">
        <v>456</v>
      </c>
      <c r="D49" s="31" t="s">
        <v>457</v>
      </c>
      <c r="E49" s="26">
        <f>100^2</f>
        <v>10000</v>
      </c>
      <c r="F49" s="26">
        <f t="shared" ref="F49:F54" si="2">$E49/INDEX(Conversions.Area.m2, MATCH(F$48, Conversions.Area.Units, 0))</f>
        <v>0.01</v>
      </c>
      <c r="H49" s="36"/>
      <c r="I49" s="36"/>
      <c r="J49" s="36"/>
      <c r="K49" s="36"/>
      <c r="L49" s="468"/>
      <c r="M49" s="469"/>
      <c r="N49" s="469"/>
      <c r="O49" s="469"/>
      <c r="P49" s="469"/>
      <c r="Q49" s="469"/>
      <c r="R49" s="469"/>
      <c r="S49" s="469"/>
      <c r="T49" s="469"/>
      <c r="U49" s="469"/>
      <c r="V49" s="469"/>
      <c r="W49" s="469"/>
      <c r="X49" s="36"/>
      <c r="Y49" s="36"/>
      <c r="Z49" s="36"/>
      <c r="AA49" s="36"/>
      <c r="AB49" s="36"/>
      <c r="AC49" s="36"/>
      <c r="AD49" s="36"/>
      <c r="AE49" s="36"/>
      <c r="AF49" s="36"/>
      <c r="AG49" s="36"/>
      <c r="AH49" s="36"/>
      <c r="AI49" s="36"/>
      <c r="AJ49" s="36"/>
      <c r="AK49" s="36"/>
      <c r="AL49" s="36"/>
      <c r="AM49" s="36"/>
      <c r="AN49" s="36"/>
      <c r="AO49" s="36"/>
      <c r="AP49" s="36"/>
    </row>
    <row r="50" spans="1:42" ht="15">
      <c r="A50" s="3"/>
      <c r="B50" s="25" t="s">
        <v>491</v>
      </c>
      <c r="C50" s="25" t="s">
        <v>492</v>
      </c>
      <c r="D50" s="31" t="s">
        <v>493</v>
      </c>
      <c r="E50" s="26">
        <f>E49*1000000</f>
        <v>10000000000</v>
      </c>
      <c r="F50" s="26">
        <f t="shared" si="2"/>
        <v>10000</v>
      </c>
      <c r="H50" s="491"/>
      <c r="I50" s="36"/>
      <c r="J50" s="36"/>
      <c r="K50" s="36"/>
      <c r="L50" s="468"/>
      <c r="M50" s="469"/>
      <c r="N50" s="469"/>
      <c r="O50" s="469"/>
      <c r="P50" s="469"/>
      <c r="Q50" s="469"/>
      <c r="R50" s="469"/>
      <c r="S50" s="469"/>
      <c r="T50" s="469"/>
      <c r="U50" s="469"/>
      <c r="V50" s="469"/>
      <c r="W50" s="469"/>
      <c r="X50" s="36"/>
      <c r="Y50" s="36"/>
      <c r="Z50" s="36"/>
      <c r="AA50" s="36"/>
      <c r="AB50" s="36"/>
      <c r="AC50" s="36"/>
      <c r="AD50" s="36"/>
      <c r="AE50" s="36"/>
      <c r="AF50" s="36"/>
      <c r="AG50" s="36"/>
      <c r="AH50" s="36"/>
      <c r="AI50" s="36"/>
      <c r="AJ50" s="36"/>
      <c r="AK50" s="36"/>
      <c r="AL50" s="36"/>
      <c r="AM50" s="36"/>
      <c r="AN50" s="36"/>
      <c r="AO50" s="36"/>
      <c r="AP50" s="36"/>
    </row>
    <row r="51" spans="1:42" ht="15">
      <c r="A51" s="3"/>
      <c r="B51" s="25" t="s">
        <v>459</v>
      </c>
      <c r="C51" s="25" t="s">
        <v>458</v>
      </c>
      <c r="D51" s="31" t="s">
        <v>460</v>
      </c>
      <c r="E51" s="26">
        <v>4046.8564224000002</v>
      </c>
      <c r="F51" s="26">
        <f t="shared" si="2"/>
        <v>4.0468564224000001E-3</v>
      </c>
      <c r="H51" s="36"/>
      <c r="I51" s="36"/>
      <c r="J51" s="36"/>
      <c r="K51" s="36"/>
      <c r="L51" s="468"/>
      <c r="M51" s="469"/>
      <c r="N51" s="469"/>
      <c r="O51" s="469"/>
      <c r="P51" s="469"/>
      <c r="Q51" s="469"/>
      <c r="R51" s="469"/>
      <c r="S51" s="469"/>
      <c r="T51" s="469"/>
      <c r="U51" s="469"/>
      <c r="V51" s="469"/>
      <c r="W51" s="469"/>
      <c r="X51" s="36"/>
      <c r="Y51" s="36"/>
      <c r="Z51" s="36"/>
      <c r="AA51" s="36"/>
      <c r="AB51" s="36"/>
      <c r="AC51" s="36"/>
      <c r="AD51" s="36"/>
      <c r="AE51" s="36"/>
      <c r="AF51" s="36"/>
      <c r="AG51" s="36"/>
      <c r="AH51" s="36"/>
      <c r="AI51" s="36"/>
      <c r="AJ51" s="36"/>
      <c r="AK51" s="36"/>
      <c r="AL51" s="36"/>
      <c r="AM51" s="36"/>
      <c r="AN51" s="36"/>
      <c r="AO51" s="36"/>
      <c r="AP51" s="36"/>
    </row>
    <row r="52" spans="1:42" s="37" customFormat="1" ht="15">
      <c r="A52" s="3"/>
      <c r="B52" s="37" t="s">
        <v>461</v>
      </c>
      <c r="C52" s="37" t="s">
        <v>463</v>
      </c>
      <c r="D52" s="31" t="s">
        <v>465</v>
      </c>
      <c r="E52" s="26">
        <f>1000^2</f>
        <v>1000000</v>
      </c>
      <c r="F52" s="26">
        <f t="shared" si="2"/>
        <v>1</v>
      </c>
      <c r="H52" s="36"/>
      <c r="I52" s="36"/>
      <c r="J52" s="36"/>
      <c r="K52" s="36"/>
      <c r="L52" s="468"/>
      <c r="M52" s="469"/>
      <c r="N52" s="469"/>
      <c r="O52" s="469"/>
      <c r="P52" s="469"/>
      <c r="Q52" s="469"/>
      <c r="R52" s="469"/>
      <c r="S52" s="469"/>
      <c r="T52" s="469"/>
      <c r="U52" s="469"/>
      <c r="V52" s="469"/>
      <c r="W52" s="469"/>
      <c r="X52" s="36"/>
      <c r="Y52" s="36"/>
      <c r="Z52" s="36"/>
      <c r="AA52" s="36"/>
      <c r="AB52" s="36"/>
      <c r="AC52" s="36"/>
      <c r="AD52" s="36"/>
      <c r="AE52" s="36"/>
      <c r="AF52" s="36"/>
      <c r="AG52" s="36"/>
      <c r="AH52" s="36"/>
      <c r="AI52" s="36"/>
      <c r="AJ52" s="36"/>
      <c r="AK52" s="36"/>
      <c r="AL52" s="36"/>
      <c r="AM52" s="36"/>
      <c r="AN52" s="36"/>
      <c r="AO52" s="36"/>
      <c r="AP52" s="36"/>
    </row>
    <row r="53" spans="1:42" ht="15">
      <c r="A53" s="3"/>
      <c r="B53" s="37" t="s">
        <v>462</v>
      </c>
      <c r="C53" s="37" t="s">
        <v>464</v>
      </c>
      <c r="D53" s="31" t="s">
        <v>466</v>
      </c>
      <c r="E53" s="26">
        <v>1</v>
      </c>
      <c r="F53" s="26">
        <f t="shared" si="2"/>
        <v>9.9999999999999995E-7</v>
      </c>
      <c r="H53" s="36"/>
      <c r="I53" s="36"/>
      <c r="J53" s="36"/>
      <c r="K53" s="36"/>
      <c r="L53" s="468"/>
      <c r="M53" s="469"/>
      <c r="N53" s="469"/>
      <c r="O53" s="469"/>
      <c r="P53" s="469"/>
      <c r="Q53" s="469"/>
      <c r="R53" s="469"/>
      <c r="S53" s="469"/>
      <c r="T53" s="469"/>
      <c r="U53" s="469"/>
      <c r="V53" s="469"/>
      <c r="W53" s="469"/>
      <c r="X53" s="36"/>
      <c r="Y53" s="36"/>
      <c r="Z53" s="36"/>
      <c r="AA53" s="36"/>
      <c r="AB53" s="36"/>
      <c r="AC53" s="36"/>
      <c r="AD53" s="36"/>
      <c r="AE53" s="36"/>
      <c r="AF53" s="36"/>
      <c r="AG53" s="36"/>
      <c r="AH53" s="36"/>
      <c r="AI53" s="36"/>
      <c r="AJ53" s="36"/>
      <c r="AK53" s="36"/>
      <c r="AL53" s="36"/>
      <c r="AM53" s="36"/>
      <c r="AN53" s="36"/>
      <c r="AO53" s="36"/>
      <c r="AP53" s="36"/>
    </row>
    <row r="54" spans="1:42" s="37" customFormat="1" ht="15">
      <c r="A54" s="3"/>
      <c r="B54" s="57" t="s">
        <v>467</v>
      </c>
      <c r="C54" s="57" t="s">
        <v>467</v>
      </c>
      <c r="D54" s="58" t="s">
        <v>468</v>
      </c>
      <c r="E54" s="59">
        <f>20700*E52</f>
        <v>20700000000</v>
      </c>
      <c r="F54" s="59">
        <f t="shared" si="2"/>
        <v>20700</v>
      </c>
      <c r="H54" s="36"/>
      <c r="I54" s="36"/>
      <c r="J54" s="36"/>
      <c r="K54" s="36"/>
      <c r="L54" s="468"/>
      <c r="M54" s="469"/>
      <c r="N54" s="469"/>
      <c r="O54" s="469"/>
      <c r="P54" s="469"/>
      <c r="Q54" s="469"/>
      <c r="R54" s="469"/>
      <c r="S54" s="469"/>
      <c r="T54" s="469"/>
      <c r="U54" s="469"/>
      <c r="V54" s="469"/>
      <c r="W54" s="469"/>
      <c r="X54" s="36"/>
      <c r="Y54" s="36"/>
      <c r="Z54" s="36"/>
      <c r="AA54" s="36"/>
      <c r="AB54" s="36"/>
      <c r="AC54" s="36"/>
      <c r="AD54" s="36"/>
      <c r="AE54" s="36"/>
      <c r="AF54" s="36"/>
      <c r="AG54" s="36"/>
      <c r="AH54" s="36"/>
      <c r="AI54" s="36"/>
      <c r="AJ54" s="36"/>
      <c r="AK54" s="36"/>
      <c r="AL54" s="36"/>
      <c r="AM54" s="36"/>
      <c r="AN54" s="36"/>
      <c r="AO54" s="36"/>
      <c r="AP54" s="36"/>
    </row>
    <row r="55" spans="1:42">
      <c r="B55" s="35"/>
      <c r="C55" s="35"/>
      <c r="D55" s="229"/>
      <c r="E55" s="230"/>
      <c r="F55" s="230"/>
      <c r="H55" s="36"/>
      <c r="I55" s="36"/>
      <c r="J55" s="36"/>
      <c r="K55" s="36"/>
      <c r="L55" s="468"/>
      <c r="M55" s="469"/>
      <c r="N55" s="469"/>
      <c r="O55" s="469"/>
      <c r="P55" s="469"/>
      <c r="Q55" s="469"/>
      <c r="R55" s="469"/>
      <c r="S55" s="469"/>
      <c r="T55" s="469"/>
      <c r="U55" s="469"/>
      <c r="V55" s="469"/>
      <c r="W55" s="469"/>
      <c r="X55" s="36"/>
      <c r="Y55" s="36"/>
      <c r="Z55" s="36"/>
      <c r="AA55" s="36"/>
      <c r="AB55" s="36"/>
      <c r="AC55" s="36"/>
      <c r="AD55" s="36"/>
      <c r="AE55" s="36"/>
      <c r="AF55" s="36"/>
      <c r="AG55" s="36"/>
      <c r="AH55" s="36"/>
      <c r="AI55" s="36"/>
      <c r="AJ55" s="36"/>
      <c r="AK55" s="36"/>
      <c r="AL55" s="36"/>
      <c r="AM55" s="36"/>
      <c r="AN55" s="36"/>
      <c r="AO55" s="36"/>
      <c r="AP55" s="36"/>
    </row>
    <row r="56" spans="1:42" s="37" customFormat="1" ht="18">
      <c r="B56" s="24" t="s">
        <v>481</v>
      </c>
      <c r="F56"/>
      <c r="H56" s="36"/>
      <c r="I56" s="36"/>
      <c r="J56" s="36"/>
      <c r="K56" s="36"/>
      <c r="L56" s="468"/>
      <c r="M56" s="469"/>
      <c r="N56" s="469"/>
      <c r="O56" s="469"/>
      <c r="P56" s="469"/>
      <c r="Q56" s="469"/>
      <c r="R56" s="469"/>
      <c r="S56" s="469"/>
      <c r="T56" s="469"/>
      <c r="U56" s="469"/>
      <c r="V56" s="469"/>
      <c r="W56" s="469"/>
      <c r="X56" s="36"/>
      <c r="Y56" s="36"/>
      <c r="Z56" s="36"/>
      <c r="AA56" s="36"/>
      <c r="AB56" s="36"/>
      <c r="AC56" s="36"/>
      <c r="AD56" s="36"/>
      <c r="AE56" s="36"/>
      <c r="AF56" s="36"/>
      <c r="AG56" s="36"/>
      <c r="AH56" s="36"/>
      <c r="AI56" s="36"/>
      <c r="AJ56" s="36"/>
      <c r="AK56" s="36"/>
      <c r="AL56" s="36"/>
      <c r="AM56" s="36"/>
      <c r="AN56" s="36"/>
      <c r="AO56" s="36"/>
      <c r="AP56" s="36"/>
    </row>
    <row r="57" spans="1:42" ht="4.5" customHeight="1">
      <c r="A57" s="3"/>
      <c r="B57" s="24"/>
      <c r="D57" s="37"/>
      <c r="E57" s="37"/>
      <c r="F57" s="37"/>
      <c r="H57" s="36"/>
      <c r="I57" s="36"/>
      <c r="J57" s="36"/>
      <c r="K57" s="36"/>
      <c r="L57" s="468"/>
      <c r="M57" s="469"/>
      <c r="N57" s="469"/>
      <c r="O57" s="469"/>
      <c r="P57" s="469"/>
      <c r="Q57" s="469"/>
      <c r="R57" s="469"/>
      <c r="S57" s="469"/>
      <c r="T57" s="469"/>
      <c r="U57" s="469"/>
      <c r="V57" s="469"/>
      <c r="W57" s="469"/>
      <c r="X57" s="36"/>
      <c r="Y57" s="36"/>
      <c r="Z57" s="36"/>
      <c r="AA57" s="36"/>
      <c r="AB57" s="36"/>
      <c r="AC57" s="36"/>
      <c r="AD57" s="36"/>
      <c r="AE57" s="36"/>
      <c r="AF57" s="36"/>
      <c r="AG57" s="36"/>
      <c r="AH57" s="36"/>
      <c r="AI57" s="36"/>
      <c r="AJ57" s="36"/>
      <c r="AK57" s="36"/>
      <c r="AL57" s="36"/>
      <c r="AM57" s="36"/>
      <c r="AN57" s="36"/>
      <c r="AO57" s="36"/>
      <c r="AP57" s="36"/>
    </row>
    <row r="58" spans="1:42" ht="15">
      <c r="A58" s="3"/>
      <c r="B58" s="29" t="s">
        <v>484</v>
      </c>
      <c r="C58" s="29" t="s">
        <v>140</v>
      </c>
      <c r="D58" s="29" t="s">
        <v>141</v>
      </c>
      <c r="E58" s="47" t="s">
        <v>486</v>
      </c>
      <c r="F58" s="29" t="s">
        <v>485</v>
      </c>
      <c r="H58" s="36"/>
      <c r="I58" s="36"/>
      <c r="J58" s="36"/>
      <c r="K58" s="36"/>
      <c r="L58" s="468"/>
      <c r="M58" s="469"/>
      <c r="N58" s="469"/>
      <c r="O58" s="469"/>
      <c r="P58" s="469"/>
      <c r="Q58" s="469"/>
      <c r="R58" s="469"/>
      <c r="S58" s="469"/>
      <c r="T58" s="469"/>
      <c r="U58" s="469"/>
      <c r="V58" s="469"/>
      <c r="W58" s="469"/>
      <c r="X58" s="36"/>
      <c r="Y58" s="36"/>
      <c r="Z58" s="36"/>
      <c r="AA58" s="36"/>
      <c r="AB58" s="36"/>
      <c r="AC58" s="36"/>
      <c r="AD58" s="36"/>
      <c r="AE58" s="36"/>
      <c r="AF58" s="36"/>
      <c r="AG58" s="36"/>
      <c r="AH58" s="36"/>
      <c r="AI58" s="36"/>
      <c r="AJ58" s="36"/>
      <c r="AK58" s="36"/>
      <c r="AL58" s="36"/>
      <c r="AM58" s="36"/>
      <c r="AN58" s="36"/>
      <c r="AO58" s="36"/>
      <c r="AP58" s="36"/>
    </row>
    <row r="59" spans="1:42" ht="15">
      <c r="A59" s="3"/>
      <c r="B59" s="25" t="str">
        <f>Preferences.EnergyUnits</f>
        <v>PJ</v>
      </c>
      <c r="C59" s="25" t="s">
        <v>482</v>
      </c>
      <c r="D59" s="31" t="s">
        <v>483</v>
      </c>
      <c r="E59" s="238">
        <f>(1/Unit.J)*(1/Unit.year)*Unit.W</f>
        <v>3.1688087814028945E-2</v>
      </c>
      <c r="F59" s="239" t="str">
        <f>Preferences.PowerUnits</f>
        <v>GW</v>
      </c>
      <c r="H59" s="36"/>
      <c r="I59" s="36"/>
      <c r="J59" s="36"/>
      <c r="K59" s="36"/>
      <c r="L59" s="468"/>
      <c r="M59" s="469"/>
      <c r="N59" s="469"/>
      <c r="O59" s="469"/>
      <c r="P59" s="469"/>
      <c r="Q59" s="469"/>
      <c r="R59" s="469"/>
      <c r="S59" s="469"/>
      <c r="T59" s="469"/>
      <c r="U59" s="469"/>
      <c r="V59" s="469"/>
      <c r="W59" s="469"/>
      <c r="X59" s="36"/>
      <c r="Y59" s="36"/>
      <c r="Z59" s="36"/>
      <c r="AA59" s="36"/>
      <c r="AB59" s="36"/>
      <c r="AC59" s="36"/>
      <c r="AD59" s="36"/>
      <c r="AE59" s="36"/>
      <c r="AF59" s="36"/>
      <c r="AG59" s="36"/>
      <c r="AH59" s="36"/>
      <c r="AI59" s="36"/>
      <c r="AJ59" s="36"/>
      <c r="AK59" s="36"/>
      <c r="AL59" s="36"/>
      <c r="AM59" s="36"/>
      <c r="AN59" s="36"/>
      <c r="AO59" s="36"/>
      <c r="AP59" s="36"/>
    </row>
    <row r="60" spans="1:42" ht="15">
      <c r="A60" s="3"/>
      <c r="B60" s="239" t="str">
        <f>Preferences.PowerUnits</f>
        <v>GW</v>
      </c>
      <c r="C60" s="25" t="s">
        <v>487</v>
      </c>
      <c r="D60" s="31" t="s">
        <v>488</v>
      </c>
      <c r="E60">
        <f>(1/Unit.W)*Unit.year*Unit.J</f>
        <v>31.557599999999997</v>
      </c>
      <c r="F60" s="67" t="str">
        <f>Preferences.EnergyUnits</f>
        <v>PJ</v>
      </c>
      <c r="H60" s="36"/>
      <c r="I60" s="36"/>
      <c r="J60" s="36"/>
      <c r="K60" s="36"/>
      <c r="L60" s="468"/>
      <c r="M60" s="469"/>
      <c r="N60" s="469"/>
      <c r="O60" s="469"/>
      <c r="P60" s="469"/>
      <c r="Q60" s="469"/>
      <c r="R60" s="469"/>
      <c r="S60" s="469"/>
      <c r="T60" s="469"/>
      <c r="U60" s="469"/>
      <c r="V60" s="469"/>
      <c r="W60" s="469"/>
      <c r="X60" s="36"/>
      <c r="Y60" s="36"/>
      <c r="Z60" s="36"/>
      <c r="AA60" s="36"/>
      <c r="AB60" s="36"/>
      <c r="AC60" s="36"/>
      <c r="AD60" s="36"/>
      <c r="AE60" s="36"/>
      <c r="AF60" s="36"/>
      <c r="AG60" s="36"/>
      <c r="AH60" s="36"/>
      <c r="AI60" s="36"/>
      <c r="AJ60" s="36"/>
      <c r="AK60" s="36"/>
      <c r="AL60" s="36"/>
      <c r="AM60" s="36"/>
      <c r="AN60" s="36"/>
      <c r="AO60" s="36"/>
      <c r="AP60" s="36"/>
    </row>
    <row r="61" spans="1:42">
      <c r="B61" s="241" t="str">
        <f>Preferences.PowerUnits</f>
        <v>GW</v>
      </c>
      <c r="C61" s="163" t="s">
        <v>489</v>
      </c>
      <c r="D61" s="32" t="s">
        <v>490</v>
      </c>
      <c r="E61" s="163">
        <f>Unit.J/Unit.W</f>
        <v>9.9999999999999995E-7</v>
      </c>
      <c r="F61" s="242" t="str">
        <f>Preferences.EnergyUnits&amp;"/s"</f>
        <v>PJ/s</v>
      </c>
      <c r="L61" s="468"/>
      <c r="M61" s="469"/>
      <c r="N61" s="469"/>
      <c r="O61" s="469"/>
      <c r="P61" s="469"/>
      <c r="Q61" s="469"/>
      <c r="R61" s="469"/>
      <c r="S61" s="469"/>
      <c r="T61" s="469"/>
      <c r="U61" s="469"/>
      <c r="V61" s="469"/>
      <c r="W61" s="469"/>
      <c r="X61" s="36"/>
    </row>
    <row r="62" spans="1:42" s="370" customFormat="1">
      <c r="L62" s="468"/>
      <c r="M62" s="469"/>
      <c r="N62" s="469"/>
      <c r="O62" s="469"/>
      <c r="P62" s="469"/>
      <c r="Q62" s="469"/>
      <c r="R62" s="469"/>
      <c r="S62" s="469"/>
      <c r="T62" s="469"/>
      <c r="U62" s="469"/>
      <c r="V62" s="469"/>
      <c r="W62" s="469"/>
      <c r="X62" s="36"/>
    </row>
    <row r="63" spans="1:42" s="370" customFormat="1" ht="18">
      <c r="B63" s="24" t="s">
        <v>622</v>
      </c>
      <c r="C63" s="24"/>
      <c r="L63" s="468"/>
      <c r="M63" s="469"/>
      <c r="N63" s="469"/>
      <c r="O63" s="469"/>
      <c r="P63" s="469"/>
      <c r="Q63" s="469"/>
      <c r="R63" s="469"/>
      <c r="S63" s="469"/>
      <c r="T63" s="469"/>
      <c r="U63" s="469"/>
      <c r="V63" s="469"/>
      <c r="W63" s="469"/>
      <c r="X63" s="36"/>
    </row>
    <row r="64" spans="1:42" s="370" customFormat="1" ht="4.5" customHeight="1">
      <c r="L64" s="468"/>
      <c r="M64" s="469"/>
      <c r="N64" s="469"/>
      <c r="O64" s="469"/>
      <c r="P64" s="469"/>
      <c r="Q64" s="469"/>
      <c r="R64" s="469"/>
      <c r="S64" s="469"/>
      <c r="T64" s="469"/>
      <c r="U64" s="469"/>
      <c r="V64" s="469"/>
      <c r="W64" s="469"/>
      <c r="X64" s="36"/>
    </row>
    <row r="65" spans="2:24" s="370" customFormat="1">
      <c r="B65" s="29" t="s">
        <v>484</v>
      </c>
      <c r="C65" s="29" t="s">
        <v>140</v>
      </c>
      <c r="D65" s="29" t="s">
        <v>141</v>
      </c>
      <c r="E65" s="47" t="s">
        <v>486</v>
      </c>
      <c r="F65" s="29" t="s">
        <v>485</v>
      </c>
      <c r="L65" s="468"/>
      <c r="M65" s="469"/>
      <c r="N65" s="469"/>
      <c r="O65" s="469"/>
      <c r="P65" s="469"/>
      <c r="Q65" s="469"/>
      <c r="R65" s="469"/>
      <c r="S65" s="469"/>
      <c r="T65" s="469"/>
      <c r="U65" s="469"/>
      <c r="V65" s="469"/>
      <c r="W65" s="469"/>
      <c r="X65" s="36"/>
    </row>
    <row r="66" spans="2:24" s="370" customFormat="1">
      <c r="B66" s="370" t="s">
        <v>623</v>
      </c>
      <c r="C66" s="370" t="s">
        <v>624</v>
      </c>
      <c r="D66" s="370" t="s">
        <v>625</v>
      </c>
      <c r="E66" s="370">
        <v>4.5460900000000004</v>
      </c>
      <c r="F66" s="370" t="s">
        <v>626</v>
      </c>
      <c r="L66" s="468"/>
      <c r="M66" s="469"/>
      <c r="N66" s="469"/>
      <c r="O66" s="469"/>
      <c r="P66" s="469"/>
      <c r="Q66" s="469"/>
      <c r="R66" s="469"/>
      <c r="S66" s="469"/>
      <c r="T66" s="469"/>
      <c r="U66" s="469"/>
      <c r="V66" s="469"/>
      <c r="W66" s="469"/>
      <c r="X66" s="36"/>
    </row>
    <row r="67" spans="2:24" s="370" customFormat="1">
      <c r="B67" s="163" t="s">
        <v>627</v>
      </c>
      <c r="C67" s="163" t="s">
        <v>628</v>
      </c>
      <c r="D67" s="163" t="s">
        <v>629</v>
      </c>
      <c r="E67" s="163">
        <v>3.7854109999999999</v>
      </c>
      <c r="F67" s="163" t="s">
        <v>626</v>
      </c>
      <c r="L67" s="468"/>
      <c r="M67" s="469"/>
      <c r="N67" s="469"/>
      <c r="O67" s="469"/>
      <c r="P67" s="469"/>
      <c r="Q67" s="469"/>
      <c r="R67" s="469"/>
      <c r="S67" s="469"/>
      <c r="T67" s="469"/>
      <c r="U67" s="469"/>
      <c r="V67" s="469"/>
      <c r="W67" s="469"/>
      <c r="X67" s="36"/>
    </row>
    <row r="68" spans="2:24" s="370" customFormat="1">
      <c r="L68" s="468"/>
      <c r="M68" s="469"/>
      <c r="N68" s="469"/>
      <c r="O68" s="469"/>
      <c r="P68" s="469"/>
      <c r="Q68" s="469"/>
      <c r="R68" s="469"/>
      <c r="S68" s="469"/>
      <c r="T68" s="469"/>
      <c r="U68" s="469"/>
      <c r="V68" s="469"/>
      <c r="W68" s="469"/>
      <c r="X68" s="36"/>
    </row>
    <row r="69" spans="2:24" ht="18">
      <c r="B69" s="1567" t="s">
        <v>582</v>
      </c>
      <c r="C69" s="24"/>
      <c r="D69" s="100" t="s">
        <v>2265</v>
      </c>
      <c r="E69" s="316"/>
      <c r="F69" s="316"/>
      <c r="L69" s="468"/>
      <c r="M69" s="469"/>
      <c r="N69" s="469"/>
      <c r="O69" s="469"/>
      <c r="P69" s="469"/>
      <c r="Q69" s="469"/>
      <c r="R69" s="469"/>
      <c r="S69" s="469"/>
      <c r="T69" s="469"/>
      <c r="U69" s="469"/>
      <c r="V69" s="469"/>
      <c r="W69" s="469"/>
      <c r="X69" s="36"/>
    </row>
    <row r="70" spans="2:24">
      <c r="B70" s="316"/>
      <c r="C70" s="316"/>
      <c r="D70" s="316"/>
      <c r="E70" s="316"/>
      <c r="F70" s="316"/>
      <c r="L70" s="468"/>
      <c r="M70" s="469"/>
      <c r="N70" s="469"/>
      <c r="O70" s="469"/>
      <c r="P70" s="469"/>
      <c r="Q70" s="469"/>
      <c r="R70" s="469"/>
      <c r="S70" s="469"/>
      <c r="T70" s="469"/>
      <c r="U70" s="469"/>
      <c r="V70" s="469"/>
      <c r="W70" s="469"/>
      <c r="X70" s="36"/>
    </row>
    <row r="71" spans="2:24">
      <c r="B71" s="322" t="s">
        <v>65</v>
      </c>
      <c r="C71" s="323" t="s">
        <v>140</v>
      </c>
      <c r="D71" s="323" t="s">
        <v>141</v>
      </c>
      <c r="E71" s="324" t="str">
        <f>Preferences.moneyunits</f>
        <v>$2010</v>
      </c>
      <c r="F71" s="325" t="s">
        <v>583</v>
      </c>
      <c r="L71" s="468"/>
      <c r="M71" s="469"/>
      <c r="N71" s="469"/>
      <c r="O71" s="469"/>
      <c r="P71" s="469"/>
      <c r="Q71" s="469"/>
      <c r="R71" s="469"/>
      <c r="S71" s="469"/>
      <c r="T71" s="469"/>
      <c r="U71" s="469"/>
      <c r="V71" s="469"/>
      <c r="W71" s="469"/>
      <c r="X71" s="36"/>
    </row>
    <row r="72" spans="2:24">
      <c r="B72" s="302" t="s">
        <v>584</v>
      </c>
      <c r="C72" s="25" t="s">
        <v>585</v>
      </c>
      <c r="D72" s="31" t="s">
        <v>586</v>
      </c>
      <c r="E72" s="235">
        <f t="shared" ref="E72:E79" si="3">$F72/INDEX(Conversions.Money.GBP, MATCH(E$71, Conversions.Money.Units, 0))</f>
        <v>1546000000000</v>
      </c>
      <c r="F72" s="326">
        <v>1000000000000</v>
      </c>
      <c r="L72" s="468"/>
      <c r="M72" s="469"/>
      <c r="N72" s="469"/>
      <c r="O72" s="469"/>
      <c r="P72" s="469"/>
      <c r="Q72" s="469"/>
      <c r="R72" s="469"/>
      <c r="S72" s="469"/>
      <c r="T72" s="469"/>
      <c r="U72" s="469"/>
      <c r="V72" s="469"/>
      <c r="W72" s="469"/>
      <c r="X72" s="36"/>
    </row>
    <row r="73" spans="2:24">
      <c r="B73" s="302" t="s">
        <v>587</v>
      </c>
      <c r="C73" s="25" t="s">
        <v>588</v>
      </c>
      <c r="D73" s="31" t="s">
        <v>589</v>
      </c>
      <c r="E73" s="235">
        <f t="shared" si="3"/>
        <v>1546000000</v>
      </c>
      <c r="F73" s="326">
        <v>1000000000</v>
      </c>
      <c r="L73" s="468"/>
      <c r="M73" s="469"/>
      <c r="N73" s="469"/>
      <c r="O73" s="469"/>
      <c r="P73" s="469"/>
      <c r="Q73" s="469"/>
      <c r="R73" s="469"/>
      <c r="S73" s="469"/>
      <c r="T73" s="469"/>
      <c r="U73" s="469"/>
      <c r="V73" s="469"/>
      <c r="W73" s="469"/>
      <c r="X73" s="36"/>
    </row>
    <row r="74" spans="2:24">
      <c r="B74" s="302" t="s">
        <v>590</v>
      </c>
      <c r="C74" s="25" t="s">
        <v>591</v>
      </c>
      <c r="D74" s="31" t="s">
        <v>592</v>
      </c>
      <c r="E74" s="235">
        <f t="shared" si="3"/>
        <v>1546000</v>
      </c>
      <c r="F74" s="326">
        <v>1000000</v>
      </c>
      <c r="L74" s="468"/>
      <c r="M74" s="469"/>
      <c r="N74" s="469"/>
      <c r="O74" s="469"/>
      <c r="P74" s="469"/>
      <c r="Q74" s="469"/>
      <c r="R74" s="469"/>
      <c r="S74" s="469"/>
      <c r="T74" s="469"/>
      <c r="U74" s="469"/>
      <c r="V74" s="469"/>
      <c r="W74" s="469"/>
      <c r="X74" s="36"/>
    </row>
    <row r="75" spans="2:24">
      <c r="B75" s="302" t="s">
        <v>593</v>
      </c>
      <c r="C75" s="25" t="s">
        <v>594</v>
      </c>
      <c r="D75" s="31" t="s">
        <v>595</v>
      </c>
      <c r="E75" s="235">
        <f t="shared" si="3"/>
        <v>1546</v>
      </c>
      <c r="F75" s="326">
        <v>1000</v>
      </c>
      <c r="L75" s="468"/>
      <c r="M75" s="469"/>
      <c r="N75" s="469"/>
      <c r="O75" s="469"/>
      <c r="P75" s="469"/>
      <c r="Q75" s="469"/>
      <c r="R75" s="469"/>
      <c r="S75" s="469"/>
      <c r="T75" s="469"/>
      <c r="U75" s="469"/>
      <c r="V75" s="469"/>
      <c r="W75" s="469"/>
      <c r="X75" s="36"/>
    </row>
    <row r="76" spans="2:24">
      <c r="B76" s="302" t="s">
        <v>619</v>
      </c>
      <c r="C76" s="25" t="s">
        <v>620</v>
      </c>
      <c r="D76" s="31" t="s">
        <v>621</v>
      </c>
      <c r="E76" s="235">
        <f t="shared" si="3"/>
        <v>0.97232704402515724</v>
      </c>
      <c r="F76" s="326">
        <f>1/1.59</f>
        <v>0.62893081761006286</v>
      </c>
      <c r="L76" s="468"/>
      <c r="M76" s="469"/>
      <c r="N76" s="469"/>
      <c r="O76" s="469"/>
      <c r="P76" s="469"/>
      <c r="Q76" s="469"/>
      <c r="R76" s="469"/>
      <c r="S76" s="469"/>
      <c r="T76" s="469"/>
      <c r="U76" s="469"/>
      <c r="V76" s="469"/>
      <c r="W76" s="469"/>
      <c r="X76" s="36"/>
    </row>
    <row r="77" spans="2:24">
      <c r="B77" s="302" t="s">
        <v>729</v>
      </c>
      <c r="C77" s="25" t="s">
        <v>607</v>
      </c>
      <c r="D77" s="31" t="s">
        <v>608</v>
      </c>
      <c r="E77" s="235">
        <f t="shared" si="3"/>
        <v>0.96625000000000005</v>
      </c>
      <c r="F77" s="326">
        <f>1/1.6</f>
        <v>0.625</v>
      </c>
      <c r="L77" s="468"/>
      <c r="M77" s="469"/>
      <c r="N77" s="469"/>
      <c r="O77" s="469"/>
      <c r="P77" s="469"/>
      <c r="Q77" s="469"/>
      <c r="R77" s="469"/>
      <c r="S77" s="469"/>
      <c r="T77" s="469"/>
      <c r="U77" s="469"/>
      <c r="V77" s="469"/>
      <c r="W77" s="469"/>
      <c r="X77" s="36"/>
    </row>
    <row r="78" spans="2:24" s="426" customFormat="1">
      <c r="B78" s="302" t="s">
        <v>730</v>
      </c>
      <c r="C78" s="25" t="s">
        <v>731</v>
      </c>
      <c r="D78" s="31" t="s">
        <v>732</v>
      </c>
      <c r="E78" s="235">
        <f t="shared" si="3"/>
        <v>1</v>
      </c>
      <c r="F78" s="326">
        <f>1/1.546</f>
        <v>0.64683053040103489</v>
      </c>
      <c r="L78" s="468"/>
      <c r="M78" s="469"/>
      <c r="N78" s="469"/>
      <c r="O78" s="469"/>
      <c r="P78" s="469"/>
      <c r="Q78" s="469"/>
      <c r="R78" s="469"/>
      <c r="S78" s="469"/>
      <c r="T78" s="469"/>
      <c r="U78" s="469"/>
      <c r="V78" s="469"/>
      <c r="W78" s="469"/>
      <c r="X78" s="36"/>
    </row>
    <row r="79" spans="2:24">
      <c r="B79" s="327" t="s">
        <v>583</v>
      </c>
      <c r="C79" s="27" t="s">
        <v>596</v>
      </c>
      <c r="D79" s="32" t="s">
        <v>597</v>
      </c>
      <c r="E79" s="237">
        <f t="shared" si="3"/>
        <v>1.546</v>
      </c>
      <c r="F79" s="328">
        <v>1</v>
      </c>
      <c r="L79" s="468"/>
      <c r="M79" s="469"/>
      <c r="N79" s="469"/>
      <c r="O79" s="469"/>
      <c r="P79" s="469"/>
      <c r="Q79" s="469"/>
      <c r="R79" s="469"/>
      <c r="S79" s="469"/>
      <c r="T79" s="469"/>
      <c r="U79" s="469"/>
      <c r="V79" s="469"/>
      <c r="W79" s="469"/>
      <c r="X79" s="36"/>
    </row>
    <row r="80" spans="2:24">
      <c r="L80" s="468"/>
      <c r="M80" s="469"/>
      <c r="N80" s="469"/>
      <c r="O80" s="469"/>
      <c r="P80" s="469"/>
      <c r="Q80" s="469"/>
      <c r="R80" s="469"/>
      <c r="S80" s="469"/>
      <c r="T80" s="469"/>
      <c r="U80" s="469"/>
      <c r="V80" s="469"/>
      <c r="W80" s="469"/>
      <c r="X80" s="36"/>
    </row>
    <row r="81" spans="2:24" ht="18">
      <c r="B81" s="1567" t="s">
        <v>677</v>
      </c>
      <c r="C81" s="100"/>
      <c r="D81" s="1568" t="s">
        <v>2264</v>
      </c>
      <c r="E81" s="316"/>
      <c r="F81" s="316"/>
      <c r="L81" s="468"/>
      <c r="M81" s="469"/>
      <c r="N81" s="469"/>
      <c r="O81" s="469"/>
      <c r="P81" s="469"/>
      <c r="Q81" s="469"/>
      <c r="R81" s="469"/>
      <c r="S81" s="469"/>
      <c r="T81" s="469"/>
      <c r="U81" s="469"/>
      <c r="V81" s="469"/>
      <c r="W81" s="469"/>
      <c r="X81" s="36"/>
    </row>
    <row r="82" spans="2:24">
      <c r="B82" s="316"/>
      <c r="C82" s="316"/>
      <c r="D82" s="316"/>
      <c r="E82" s="316"/>
      <c r="F82" s="316"/>
      <c r="L82" s="468"/>
      <c r="M82" s="469"/>
      <c r="N82" s="469"/>
      <c r="O82" s="469"/>
      <c r="P82" s="469"/>
      <c r="Q82" s="469"/>
      <c r="R82" s="469"/>
      <c r="S82" s="469"/>
      <c r="T82" s="469"/>
      <c r="U82" s="469"/>
      <c r="V82" s="469"/>
      <c r="W82" s="469"/>
      <c r="X82" s="36"/>
    </row>
    <row r="83" spans="2:24">
      <c r="B83" s="375" t="s">
        <v>678</v>
      </c>
      <c r="C83" s="244"/>
      <c r="D83" s="256"/>
      <c r="E83" s="316"/>
      <c r="F83" s="316"/>
      <c r="L83" s="468"/>
      <c r="M83" s="469"/>
      <c r="N83" s="469"/>
      <c r="O83" s="469"/>
      <c r="P83" s="469"/>
      <c r="Q83" s="469"/>
      <c r="R83" s="469"/>
      <c r="S83" s="469"/>
      <c r="T83" s="469"/>
      <c r="U83" s="469"/>
      <c r="V83" s="469"/>
      <c r="W83" s="469"/>
      <c r="X83" s="36"/>
    </row>
    <row r="84" spans="2:24">
      <c r="B84" s="257"/>
      <c r="C84" s="425"/>
      <c r="D84" s="258"/>
      <c r="E84" s="316"/>
      <c r="F84" s="316"/>
      <c r="L84" s="468"/>
      <c r="M84" s="469"/>
      <c r="N84" s="469"/>
      <c r="O84" s="469"/>
      <c r="P84" s="469"/>
      <c r="Q84" s="469"/>
      <c r="R84" s="469"/>
      <c r="S84" s="469"/>
      <c r="T84" s="469"/>
      <c r="U84" s="469"/>
      <c r="V84" s="469"/>
      <c r="W84" s="469"/>
      <c r="X84" s="36"/>
    </row>
    <row r="85" spans="2:24">
      <c r="B85" s="257" t="s">
        <v>658</v>
      </c>
      <c r="C85" s="425">
        <v>57.915999999999997</v>
      </c>
      <c r="D85" s="258">
        <f t="shared" ref="D85:D106" si="4">1+(($C$105-C85)/C85)</f>
        <v>1.7266385800124318</v>
      </c>
      <c r="E85" s="316"/>
      <c r="F85" s="316"/>
      <c r="L85" s="468"/>
      <c r="M85" s="469"/>
      <c r="N85" s="469"/>
      <c r="O85" s="469"/>
      <c r="P85" s="469"/>
      <c r="Q85" s="469"/>
      <c r="R85" s="469"/>
      <c r="S85" s="469"/>
      <c r="T85" s="469"/>
      <c r="U85" s="469"/>
      <c r="V85" s="469"/>
      <c r="W85" s="469"/>
      <c r="X85" s="36"/>
    </row>
    <row r="86" spans="2:24">
      <c r="B86" s="257" t="s">
        <v>659</v>
      </c>
      <c r="C86" s="425">
        <v>61.656999999999996</v>
      </c>
      <c r="D86" s="258">
        <f t="shared" si="4"/>
        <v>1.6218758616215516</v>
      </c>
      <c r="E86" s="316"/>
      <c r="F86" s="316"/>
      <c r="L86" s="468"/>
      <c r="M86" s="469"/>
      <c r="N86" s="469"/>
      <c r="O86" s="469"/>
      <c r="P86" s="469"/>
      <c r="Q86" s="469"/>
      <c r="R86" s="469"/>
      <c r="S86" s="469"/>
      <c r="T86" s="469"/>
      <c r="U86" s="469"/>
      <c r="V86" s="469"/>
      <c r="W86" s="469"/>
      <c r="X86" s="36"/>
    </row>
    <row r="87" spans="2:24">
      <c r="B87" s="257" t="s">
        <v>660</v>
      </c>
      <c r="C87" s="425">
        <v>63.975000000000001</v>
      </c>
      <c r="D87" s="258">
        <f t="shared" si="4"/>
        <v>1.5631105900742477</v>
      </c>
      <c r="E87" s="316"/>
      <c r="F87" s="316"/>
      <c r="L87" s="468"/>
      <c r="M87" s="469"/>
      <c r="N87" s="469"/>
      <c r="O87" s="469"/>
      <c r="P87" s="469"/>
      <c r="Q87" s="469"/>
      <c r="R87" s="469"/>
      <c r="S87" s="469"/>
      <c r="T87" s="469"/>
      <c r="U87" s="469"/>
      <c r="V87" s="469"/>
      <c r="W87" s="469"/>
      <c r="X87" s="36"/>
    </row>
    <row r="88" spans="2:24">
      <c r="B88" s="257" t="s">
        <v>661</v>
      </c>
      <c r="C88" s="425">
        <v>65.814999999999998</v>
      </c>
      <c r="D88" s="258">
        <f t="shared" si="4"/>
        <v>1.5194104687381298</v>
      </c>
      <c r="E88" s="316"/>
      <c r="F88" s="316"/>
      <c r="L88" s="468"/>
      <c r="M88" s="469"/>
      <c r="N88" s="469"/>
      <c r="O88" s="469"/>
      <c r="P88" s="469"/>
      <c r="Q88" s="469"/>
      <c r="R88" s="469"/>
      <c r="S88" s="469"/>
      <c r="T88" s="469"/>
      <c r="U88" s="469"/>
      <c r="V88" s="469"/>
      <c r="W88" s="469"/>
      <c r="X88" s="36"/>
    </row>
    <row r="89" spans="2:24">
      <c r="B89" s="257" t="s">
        <v>662</v>
      </c>
      <c r="C89" s="425">
        <v>66.855999999999995</v>
      </c>
      <c r="D89" s="258">
        <f t="shared" si="4"/>
        <v>1.4957520641378486</v>
      </c>
      <c r="E89" s="316"/>
      <c r="F89" s="316"/>
      <c r="L89" s="468"/>
      <c r="M89" s="469"/>
      <c r="N89" s="469"/>
      <c r="O89" s="469"/>
      <c r="P89" s="469"/>
      <c r="Q89" s="469"/>
      <c r="R89" s="469"/>
      <c r="S89" s="469"/>
      <c r="T89" s="469"/>
      <c r="U89" s="469"/>
      <c r="V89" s="469"/>
      <c r="W89" s="469"/>
      <c r="X89" s="36"/>
    </row>
    <row r="90" spans="2:24">
      <c r="B90" s="257" t="s">
        <v>663</v>
      </c>
      <c r="C90" s="425">
        <v>68.647000000000006</v>
      </c>
      <c r="D90" s="258">
        <f t="shared" si="4"/>
        <v>1.4567278977959706</v>
      </c>
      <c r="E90" s="316"/>
      <c r="F90" s="316"/>
      <c r="L90" s="468"/>
      <c r="M90" s="469"/>
      <c r="N90" s="469"/>
      <c r="O90" s="469"/>
      <c r="P90" s="469"/>
      <c r="Q90" s="469"/>
      <c r="R90" s="469"/>
      <c r="S90" s="469"/>
      <c r="T90" s="469"/>
      <c r="U90" s="469"/>
      <c r="V90" s="469"/>
      <c r="W90" s="469"/>
      <c r="X90" s="36"/>
    </row>
    <row r="91" spans="2:24">
      <c r="B91" s="257" t="s">
        <v>664</v>
      </c>
      <c r="C91" s="425">
        <v>71.131</v>
      </c>
      <c r="D91" s="258">
        <f t="shared" si="4"/>
        <v>1.4058567994264104</v>
      </c>
      <c r="E91" s="330"/>
      <c r="F91" s="330"/>
      <c r="L91" s="468"/>
      <c r="M91" s="469"/>
      <c r="N91" s="469"/>
      <c r="O91" s="469"/>
      <c r="P91" s="469"/>
      <c r="Q91" s="469"/>
      <c r="R91" s="469"/>
      <c r="S91" s="469"/>
      <c r="T91" s="469"/>
      <c r="U91" s="469"/>
      <c r="V91" s="469"/>
      <c r="W91" s="469"/>
      <c r="X91" s="36"/>
    </row>
    <row r="92" spans="2:24">
      <c r="B92" s="257" t="s">
        <v>665</v>
      </c>
      <c r="C92" s="425">
        <v>73.114000000000004</v>
      </c>
      <c r="D92" s="258">
        <f t="shared" si="4"/>
        <v>1.3677271110867959</v>
      </c>
      <c r="E92" s="370"/>
      <c r="F92" s="370"/>
      <c r="L92" s="468"/>
      <c r="M92" s="469"/>
      <c r="N92" s="469"/>
      <c r="O92" s="469"/>
      <c r="P92" s="469"/>
      <c r="Q92" s="469"/>
      <c r="R92" s="469"/>
      <c r="S92" s="469"/>
      <c r="T92" s="469"/>
      <c r="U92" s="469"/>
      <c r="V92" s="469"/>
      <c r="W92" s="469"/>
      <c r="X92" s="36"/>
    </row>
    <row r="93" spans="2:24">
      <c r="B93" s="257" t="s">
        <v>666</v>
      </c>
      <c r="C93" s="425">
        <v>74.734999999999999</v>
      </c>
      <c r="D93" s="258">
        <f t="shared" si="4"/>
        <v>1.3380611493945274</v>
      </c>
      <c r="E93" s="329"/>
      <c r="F93" s="329"/>
      <c r="L93" s="468"/>
      <c r="M93" s="469"/>
      <c r="N93" s="469"/>
      <c r="O93" s="469"/>
      <c r="P93" s="469"/>
      <c r="Q93" s="469"/>
      <c r="R93" s="469"/>
      <c r="S93" s="469"/>
      <c r="T93" s="469"/>
      <c r="U93" s="469"/>
      <c r="V93" s="469"/>
      <c r="W93" s="469"/>
      <c r="X93" s="36"/>
    </row>
    <row r="94" spans="2:24">
      <c r="B94" s="257" t="s">
        <v>667</v>
      </c>
      <c r="C94" s="425">
        <v>76.304000000000002</v>
      </c>
      <c r="D94" s="258">
        <f t="shared" si="4"/>
        <v>1.3105472845460264</v>
      </c>
      <c r="E94" s="316"/>
      <c r="F94" s="316"/>
      <c r="L94" s="468"/>
      <c r="M94" s="469"/>
      <c r="N94" s="469"/>
      <c r="O94" s="469"/>
      <c r="P94" s="469"/>
      <c r="Q94" s="469"/>
      <c r="R94" s="469"/>
      <c r="S94" s="469"/>
      <c r="T94" s="469"/>
      <c r="U94" s="469"/>
      <c r="V94" s="469"/>
      <c r="W94" s="469"/>
      <c r="X94" s="36"/>
    </row>
    <row r="95" spans="2:24">
      <c r="B95" s="257" t="s">
        <v>668</v>
      </c>
      <c r="C95" s="425">
        <v>77.207999999999998</v>
      </c>
      <c r="D95" s="258">
        <f t="shared" si="4"/>
        <v>1.2952025696818983</v>
      </c>
      <c r="E95" s="316"/>
      <c r="F95" s="316"/>
      <c r="L95" s="468"/>
      <c r="M95" s="469"/>
      <c r="N95" s="469"/>
      <c r="O95" s="469"/>
      <c r="P95" s="469"/>
      <c r="Q95" s="469"/>
      <c r="R95" s="469"/>
      <c r="S95" s="469"/>
      <c r="T95" s="469"/>
      <c r="U95" s="469"/>
      <c r="V95" s="469"/>
      <c r="W95" s="469"/>
      <c r="X95" s="36"/>
    </row>
    <row r="96" spans="2:24">
      <c r="B96" s="257" t="s">
        <v>669</v>
      </c>
      <c r="C96" s="425">
        <v>78.849000000000004</v>
      </c>
      <c r="D96" s="258">
        <f t="shared" si="4"/>
        <v>1.2682469023069411</v>
      </c>
      <c r="E96" s="316"/>
      <c r="F96" s="316"/>
      <c r="L96" s="36"/>
      <c r="M96" s="36"/>
      <c r="N96" s="36"/>
      <c r="O96" s="36"/>
      <c r="P96" s="36"/>
      <c r="Q96" s="36"/>
      <c r="R96" s="36"/>
      <c r="S96" s="36"/>
      <c r="T96" s="36"/>
      <c r="U96" s="36"/>
      <c r="V96" s="36"/>
      <c r="W96" s="36"/>
      <c r="X96" s="36"/>
    </row>
    <row r="97" spans="2:24">
      <c r="B97" s="257" t="s">
        <v>670</v>
      </c>
      <c r="C97" s="425">
        <v>81.290999999999997</v>
      </c>
      <c r="D97" s="258">
        <f t="shared" si="4"/>
        <v>1.2301484789214059</v>
      </c>
      <c r="E97" s="316"/>
      <c r="F97" s="316"/>
      <c r="L97" s="36"/>
      <c r="M97" s="36"/>
      <c r="N97" s="36"/>
      <c r="O97" s="36"/>
      <c r="P97" s="36"/>
      <c r="Q97" s="36"/>
      <c r="R97" s="36"/>
      <c r="S97" s="36"/>
      <c r="T97" s="36"/>
      <c r="U97" s="36"/>
      <c r="V97" s="36"/>
      <c r="W97" s="36"/>
      <c r="X97" s="36"/>
    </row>
    <row r="98" spans="2:24">
      <c r="B98" s="257" t="s">
        <v>671</v>
      </c>
      <c r="C98" s="425">
        <v>83.789000000000001</v>
      </c>
      <c r="D98" s="258">
        <f t="shared" si="4"/>
        <v>1.1934740837102722</v>
      </c>
      <c r="E98" s="316"/>
      <c r="F98" s="316"/>
    </row>
    <row r="99" spans="2:24">
      <c r="B99" s="257" t="s">
        <v>672</v>
      </c>
      <c r="C99" s="425">
        <v>85.9</v>
      </c>
      <c r="D99" s="258">
        <f t="shared" si="4"/>
        <v>1.1641443538998835</v>
      </c>
      <c r="E99" s="316"/>
      <c r="F99" s="316"/>
    </row>
    <row r="100" spans="2:24">
      <c r="B100" s="257" t="s">
        <v>673</v>
      </c>
      <c r="C100" s="425">
        <v>87.644999999999996</v>
      </c>
      <c r="D100" s="258">
        <f t="shared" si="4"/>
        <v>1.1409663985395631</v>
      </c>
      <c r="E100" s="373"/>
      <c r="F100" s="373"/>
    </row>
    <row r="101" spans="2:24">
      <c r="B101" s="257" t="s">
        <v>674</v>
      </c>
      <c r="C101" s="425">
        <v>90.32</v>
      </c>
      <c r="D101" s="258">
        <f t="shared" si="4"/>
        <v>1.1071744906997343</v>
      </c>
      <c r="E101" s="373"/>
      <c r="F101" s="373"/>
    </row>
    <row r="102" spans="2:24">
      <c r="B102" s="257" t="s">
        <v>202</v>
      </c>
      <c r="C102" s="425">
        <v>93.022999999999996</v>
      </c>
      <c r="D102" s="258">
        <f t="shared" si="4"/>
        <v>1.0750029562581298</v>
      </c>
      <c r="E102" s="316"/>
      <c r="F102" s="316"/>
    </row>
    <row r="103" spans="2:24">
      <c r="B103" s="257" t="s">
        <v>675</v>
      </c>
      <c r="C103" s="425">
        <v>95.783000000000001</v>
      </c>
      <c r="D103" s="258">
        <f t="shared" si="4"/>
        <v>1.0440266017978137</v>
      </c>
      <c r="E103" s="316"/>
      <c r="F103" s="316"/>
    </row>
    <row r="104" spans="2:24">
      <c r="B104" s="257" t="s">
        <v>676</v>
      </c>
      <c r="C104" s="425">
        <v>97.167000000000002</v>
      </c>
      <c r="D104" s="258">
        <f t="shared" si="4"/>
        <v>1.0291559891732789</v>
      </c>
      <c r="E104" s="316"/>
      <c r="F104" s="316"/>
    </row>
    <row r="105" spans="2:24">
      <c r="B105" s="257" t="s">
        <v>203</v>
      </c>
      <c r="C105" s="425">
        <v>100</v>
      </c>
      <c r="D105" s="258">
        <f t="shared" si="4"/>
        <v>1</v>
      </c>
      <c r="E105" s="316"/>
      <c r="F105" s="316"/>
    </row>
    <row r="106" spans="2:24" s="426" customFormat="1">
      <c r="B106" s="427">
        <v>2011</v>
      </c>
      <c r="C106" s="428">
        <v>103</v>
      </c>
      <c r="D106" s="429">
        <f t="shared" si="4"/>
        <v>0.970873786407767</v>
      </c>
    </row>
    <row r="107" spans="2:24">
      <c r="B107" s="316"/>
      <c r="C107" s="316"/>
      <c r="D107" s="316"/>
      <c r="E107" s="316"/>
      <c r="F107" s="316"/>
    </row>
    <row r="108" spans="2:24">
      <c r="B108" s="374"/>
      <c r="C108" s="316"/>
      <c r="D108" s="316"/>
      <c r="E108" s="316"/>
      <c r="F108" s="316"/>
    </row>
  </sheetData>
  <mergeCells count="6">
    <mergeCell ref="T22:U22"/>
    <mergeCell ref="N21:O21"/>
    <mergeCell ref="P21:Q21"/>
    <mergeCell ref="N22:O22"/>
    <mergeCell ref="P22:Q22"/>
    <mergeCell ref="R22:S22"/>
  </mergeCells>
  <dataValidations count="1">
    <dataValidation type="list" allowBlank="1" showInputMessage="1" showErrorMessage="1" sqref="I4 L4">
      <formula1>Conversions.Energy.Units</formula1>
    </dataValidation>
  </dataValidations>
  <pageMargins left="0.7" right="0.7" top="0.75" bottom="0.75" header="0.3" footer="0.3"/>
  <pageSetup paperSize="9" orientation="portrait" horizontalDpi="4294967292" verticalDpi="4294967292"/>
  <extLst>
    <ext xmlns:mx="http://schemas.microsoft.com/office/mac/excel/2008/main" uri="{64002731-A6B0-56B0-2670-7721B7C09600}">
      <mx:PLV Mode="0" OnePage="0" WScale="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2" enableFormatConditionsCalculation="0">
    <tabColor theme="8" tint="0.39997558519241921"/>
    <pageSetUpPr autoPageBreaks="0"/>
  </sheetPr>
  <dimension ref="A1:AW142"/>
  <sheetViews>
    <sheetView topLeftCell="A103" zoomScale="85" zoomScaleNormal="85" zoomScalePageLayoutView="85" workbookViewId="0">
      <selection activeCell="C142" sqref="C142"/>
    </sheetView>
    <sheetView tabSelected="1" workbookViewId="1">
      <selection activeCell="C5" sqref="C5"/>
    </sheetView>
  </sheetViews>
  <sheetFormatPr baseColWidth="10" defaultColWidth="8.83203125" defaultRowHeight="13" x14ac:dyDescent="0"/>
  <cols>
    <col min="1" max="1" width="2.83203125" style="902" customWidth="1"/>
    <col min="2" max="2" width="35" style="902" customWidth="1"/>
    <col min="3" max="3" width="26.33203125" style="902" customWidth="1"/>
    <col min="4" max="4" width="14.5" style="902" customWidth="1"/>
    <col min="5" max="5" width="18.6640625" style="902" bestFit="1" customWidth="1"/>
    <col min="6" max="8" width="14.1640625" style="902" customWidth="1"/>
    <col min="9" max="9" width="11.5" style="902" bestFit="1" customWidth="1"/>
    <col min="10" max="10" width="17" style="902" customWidth="1"/>
    <col min="11" max="11" width="12.33203125" style="902" bestFit="1" customWidth="1"/>
    <col min="12" max="13" width="8.83203125" style="902"/>
    <col min="14" max="14" width="13.5" style="902" customWidth="1"/>
    <col min="15" max="15" width="13.1640625" style="902" customWidth="1"/>
    <col min="16" max="18" width="8.83203125" style="902"/>
    <col min="19" max="19" width="20.5" style="902" customWidth="1"/>
    <col min="20" max="20" width="10.83203125" style="902" customWidth="1"/>
    <col min="21" max="21" width="10.5" style="902" customWidth="1"/>
    <col min="22" max="22" width="8.83203125" style="902"/>
    <col min="23" max="23" width="11.5" style="902" customWidth="1"/>
    <col min="24" max="24" width="8.83203125" style="902"/>
    <col min="25" max="25" width="11.5" style="902" customWidth="1"/>
    <col min="26" max="26" width="8.83203125" style="902"/>
    <col min="27" max="27" width="9.5" style="902" customWidth="1"/>
    <col min="28" max="28" width="8.83203125" style="902"/>
    <col min="29" max="29" width="11.6640625" style="902" customWidth="1"/>
    <col min="30" max="16384" width="8.83203125" style="902"/>
  </cols>
  <sheetData>
    <row r="1" spans="1:48">
      <c r="B1" s="902" t="s">
        <v>712</v>
      </c>
      <c r="AG1" s="902" t="s">
        <v>1441</v>
      </c>
      <c r="AL1" s="902">
        <v>7</v>
      </c>
      <c r="AM1" s="902">
        <v>8</v>
      </c>
      <c r="AN1" s="902">
        <v>9</v>
      </c>
      <c r="AO1" s="902">
        <v>10</v>
      </c>
      <c r="AP1" s="902">
        <v>11</v>
      </c>
      <c r="AQ1" s="902">
        <v>12</v>
      </c>
      <c r="AR1" s="902">
        <v>13</v>
      </c>
      <c r="AS1" s="902">
        <v>14</v>
      </c>
      <c r="AT1" s="902">
        <v>15</v>
      </c>
      <c r="AU1" s="902">
        <v>16</v>
      </c>
      <c r="AV1" s="902">
        <v>17</v>
      </c>
    </row>
    <row r="2" spans="1:48">
      <c r="AF2" s="902">
        <v>16</v>
      </c>
      <c r="AG2" s="902" t="s">
        <v>1440</v>
      </c>
      <c r="AH2" s="902" t="s">
        <v>1439</v>
      </c>
      <c r="AI2" s="902" t="s">
        <v>1438</v>
      </c>
      <c r="AJ2" s="902" t="s">
        <v>1437</v>
      </c>
      <c r="AK2" s="902" t="s">
        <v>1436</v>
      </c>
      <c r="AL2" s="902" t="s">
        <v>1435</v>
      </c>
      <c r="AM2" s="902" t="s">
        <v>1434</v>
      </c>
      <c r="AN2" s="902" t="s">
        <v>1433</v>
      </c>
      <c r="AO2" s="902" t="s">
        <v>1432</v>
      </c>
      <c r="AP2" s="902" t="s">
        <v>1431</v>
      </c>
      <c r="AQ2" s="902" t="s">
        <v>1430</v>
      </c>
      <c r="AR2" s="902" t="s">
        <v>1429</v>
      </c>
      <c r="AS2" s="902" t="s">
        <v>1428</v>
      </c>
      <c r="AT2" s="902" t="s">
        <v>1427</v>
      </c>
      <c r="AU2" s="902" t="s">
        <v>1426</v>
      </c>
      <c r="AV2" s="902" t="s">
        <v>1425</v>
      </c>
    </row>
    <row r="3" spans="1:48">
      <c r="AG3" s="902" t="s">
        <v>1424</v>
      </c>
      <c r="AH3" s="902" t="s">
        <v>1423</v>
      </c>
      <c r="AI3" s="902" t="s">
        <v>1422</v>
      </c>
      <c r="AJ3" s="902" t="s">
        <v>1421</v>
      </c>
      <c r="AK3" s="902" t="s">
        <v>1420</v>
      </c>
      <c r="AL3" s="902" t="s">
        <v>1419</v>
      </c>
      <c r="AM3" s="902" t="s">
        <v>1418</v>
      </c>
      <c r="AN3" s="902" t="s">
        <v>1417</v>
      </c>
      <c r="AO3" s="902" t="s">
        <v>1416</v>
      </c>
      <c r="AP3" s="902" t="s">
        <v>1415</v>
      </c>
      <c r="AQ3" s="902" t="s">
        <v>1414</v>
      </c>
      <c r="AR3" s="902" t="s">
        <v>1413</v>
      </c>
      <c r="AS3" s="902" t="s">
        <v>1412</v>
      </c>
      <c r="AT3" s="902" t="s">
        <v>1411</v>
      </c>
      <c r="AU3" s="902" t="s">
        <v>1410</v>
      </c>
      <c r="AV3" s="902" t="s">
        <v>1409</v>
      </c>
    </row>
    <row r="4" spans="1:48" ht="18" customHeight="1">
      <c r="B4" s="925" t="s">
        <v>135</v>
      </c>
      <c r="O4" s="925"/>
      <c r="AF4" s="902" t="s">
        <v>1408</v>
      </c>
      <c r="AG4" s="902">
        <v>0</v>
      </c>
      <c r="AH4" s="902">
        <v>0</v>
      </c>
      <c r="AI4" s="902">
        <v>0</v>
      </c>
      <c r="AJ4" s="902">
        <v>0</v>
      </c>
      <c r="AK4" s="902">
        <v>0</v>
      </c>
      <c r="AL4" s="902">
        <v>0</v>
      </c>
      <c r="AM4" s="902">
        <v>0</v>
      </c>
      <c r="AN4" s="902">
        <v>0</v>
      </c>
      <c r="AO4" s="902">
        <v>0</v>
      </c>
      <c r="AP4" s="902">
        <v>0</v>
      </c>
      <c r="AQ4" s="902">
        <v>0</v>
      </c>
      <c r="AR4" s="902">
        <v>0</v>
      </c>
      <c r="AS4" s="902">
        <v>0</v>
      </c>
      <c r="AT4" s="902">
        <v>0</v>
      </c>
      <c r="AU4" s="902">
        <v>0</v>
      </c>
      <c r="AV4" s="902">
        <v>0</v>
      </c>
    </row>
    <row r="5" spans="1:48" ht="20.25" customHeight="1">
      <c r="B5" s="903"/>
      <c r="C5" s="902" t="str">
        <f>Preferences.EnergyUnits</f>
        <v>PJ</v>
      </c>
      <c r="E5" s="903"/>
      <c r="N5" s="903"/>
      <c r="O5" s="903"/>
      <c r="AF5" s="902" t="s">
        <v>1407</v>
      </c>
      <c r="AG5" s="902">
        <v>0</v>
      </c>
      <c r="AH5" s="902">
        <v>0</v>
      </c>
      <c r="AI5" s="902">
        <v>0</v>
      </c>
      <c r="AJ5" s="902">
        <v>0</v>
      </c>
      <c r="AK5" s="902">
        <v>0</v>
      </c>
      <c r="AL5" s="902">
        <v>0</v>
      </c>
      <c r="AM5" s="902">
        <v>0</v>
      </c>
      <c r="AN5" s="902">
        <v>0</v>
      </c>
      <c r="AO5" s="902">
        <v>0</v>
      </c>
      <c r="AP5" s="902">
        <v>0</v>
      </c>
      <c r="AQ5" s="902">
        <v>0</v>
      </c>
      <c r="AR5" s="902">
        <v>0</v>
      </c>
      <c r="AS5" s="902">
        <v>0</v>
      </c>
      <c r="AT5" s="902">
        <v>0</v>
      </c>
      <c r="AU5" s="902">
        <v>0</v>
      </c>
      <c r="AV5" s="902">
        <v>0</v>
      </c>
    </row>
    <row r="6" spans="1:48" ht="18.75" customHeight="1">
      <c r="B6" s="903"/>
      <c r="E6" s="925" t="s">
        <v>173</v>
      </c>
      <c r="K6" s="940" t="str">
        <f>"per " &amp; Preferences.EnergyUnits</f>
        <v>per PJ</v>
      </c>
      <c r="N6" s="925" t="s">
        <v>179</v>
      </c>
      <c r="O6" s="903"/>
      <c r="AF6" s="902" t="s">
        <v>1406</v>
      </c>
      <c r="AG6" s="902">
        <v>0</v>
      </c>
      <c r="AH6" s="902">
        <v>0</v>
      </c>
      <c r="AI6" s="902">
        <v>0</v>
      </c>
      <c r="AJ6" s="902">
        <v>0</v>
      </c>
      <c r="AK6" s="902">
        <v>0</v>
      </c>
      <c r="AL6" s="902">
        <v>0</v>
      </c>
      <c r="AM6" s="902">
        <v>0</v>
      </c>
      <c r="AN6" s="902">
        <v>0</v>
      </c>
      <c r="AO6" s="902">
        <v>0</v>
      </c>
      <c r="AP6" s="902">
        <v>0</v>
      </c>
      <c r="AQ6" s="902">
        <v>0</v>
      </c>
      <c r="AR6" s="902">
        <v>0</v>
      </c>
      <c r="AS6" s="902">
        <v>0</v>
      </c>
      <c r="AT6" s="902">
        <v>0</v>
      </c>
      <c r="AU6" s="902">
        <v>0</v>
      </c>
      <c r="AV6" s="902">
        <v>0</v>
      </c>
    </row>
    <row r="7" spans="1:48" ht="18.75" customHeight="1">
      <c r="B7" s="947" t="s">
        <v>131</v>
      </c>
      <c r="C7" s="957" t="str">
        <f>Preferences.EnergyUnits &amp; " / kg"</f>
        <v>PJ / kg</v>
      </c>
      <c r="E7" s="29" t="s">
        <v>176</v>
      </c>
      <c r="F7" s="47" t="s">
        <v>192</v>
      </c>
      <c r="G7" s="47" t="s">
        <v>193</v>
      </c>
      <c r="H7" s="47" t="s">
        <v>194</v>
      </c>
      <c r="I7" s="948" t="s">
        <v>1405</v>
      </c>
      <c r="J7" s="948" t="s">
        <v>1404</v>
      </c>
      <c r="K7" s="948"/>
      <c r="N7" s="947" t="s">
        <v>13</v>
      </c>
      <c r="O7" s="947" t="s">
        <v>180</v>
      </c>
      <c r="AF7" s="902" t="s">
        <v>889</v>
      </c>
      <c r="AG7" s="902">
        <v>0</v>
      </c>
      <c r="AH7" s="902">
        <v>0</v>
      </c>
      <c r="AI7" s="902">
        <v>0</v>
      </c>
      <c r="AJ7" s="902">
        <v>0</v>
      </c>
      <c r="AK7" s="902">
        <v>0</v>
      </c>
      <c r="AL7" s="902">
        <v>0</v>
      </c>
      <c r="AM7" s="902">
        <v>0</v>
      </c>
      <c r="AN7" s="902">
        <v>0</v>
      </c>
      <c r="AO7" s="902">
        <v>0</v>
      </c>
      <c r="AP7" s="902">
        <v>0</v>
      </c>
      <c r="AQ7" s="902">
        <v>0</v>
      </c>
      <c r="AR7" s="902">
        <v>0</v>
      </c>
      <c r="AS7" s="902">
        <v>0</v>
      </c>
      <c r="AT7" s="902">
        <v>0</v>
      </c>
      <c r="AU7" s="902">
        <v>0</v>
      </c>
      <c r="AV7" s="902">
        <v>0</v>
      </c>
    </row>
    <row r="8" spans="1:48" ht="15">
      <c r="A8" s="942"/>
      <c r="B8" s="938" t="s">
        <v>127</v>
      </c>
      <c r="C8" s="952">
        <v>2.6100000000000002E-8</v>
      </c>
      <c r="E8" s="25" t="s">
        <v>174</v>
      </c>
      <c r="F8" s="39">
        <f xml:space="preserve"> 1/Unit.PJ *  0.09625</f>
        <v>9.6250000000000002E-2</v>
      </c>
      <c r="G8" s="1057">
        <f xml:space="preserve"> 1/Unit.PJ * 0.000001 * GWP.CH4</f>
        <v>2.0999999999999999E-5</v>
      </c>
      <c r="H8" s="1057">
        <f xml:space="preserve"> 1/Unit.PJ * 0.0000014 *GWP.N2O</f>
        <v>4.3399999999999998E-4</v>
      </c>
      <c r="N8" s="938" t="s">
        <v>181</v>
      </c>
      <c r="O8" s="938">
        <v>1</v>
      </c>
      <c r="AF8" s="902" t="s">
        <v>1403</v>
      </c>
      <c r="AG8" s="902">
        <v>0</v>
      </c>
      <c r="AH8" s="902">
        <v>0</v>
      </c>
      <c r="AI8" s="902">
        <v>0</v>
      </c>
      <c r="AJ8" s="902">
        <v>0</v>
      </c>
      <c r="AK8" s="902">
        <v>0</v>
      </c>
      <c r="AL8" s="902">
        <v>0</v>
      </c>
      <c r="AM8" s="902">
        <v>0</v>
      </c>
      <c r="AN8" s="902">
        <v>0</v>
      </c>
      <c r="AO8" s="902">
        <v>0</v>
      </c>
      <c r="AP8" s="902">
        <v>0</v>
      </c>
      <c r="AQ8" s="902">
        <v>0</v>
      </c>
      <c r="AR8" s="902">
        <v>0</v>
      </c>
      <c r="AS8" s="902">
        <v>0</v>
      </c>
      <c r="AT8" s="902">
        <v>0</v>
      </c>
      <c r="AU8" s="902">
        <v>0</v>
      </c>
      <c r="AV8" s="902">
        <v>0</v>
      </c>
    </row>
    <row r="9" spans="1:48" ht="15">
      <c r="A9" s="942"/>
      <c r="B9" s="938" t="s">
        <v>130</v>
      </c>
      <c r="C9" s="952">
        <v>2.9799999999999999E-8</v>
      </c>
      <c r="E9" s="1056" t="s">
        <v>1326</v>
      </c>
      <c r="F9" s="39">
        <f xml:space="preserve"> 1/Unit.PJ * 0.0946</f>
        <v>9.4600000000000004E-2</v>
      </c>
      <c r="G9" s="39">
        <f xml:space="preserve"> 1/Unit.PJ *  0.000001 * GWP.CH4</f>
        <v>2.0999999999999999E-5</v>
      </c>
      <c r="H9" s="39">
        <f xml:space="preserve"> 1/Unit.PJ * 0.0000015 * GWP.N2O</f>
        <v>4.6500000000000003E-4</v>
      </c>
      <c r="I9" s="950">
        <f>((E60/1000)/Unit.PJ)*GWP.SOX</f>
        <v>7.9031250000000007E-6</v>
      </c>
      <c r="J9" s="950">
        <f>((E61/1000)/Unit.PJ)*GWP.NOX</f>
        <v>3.1250000000000001E-6</v>
      </c>
      <c r="N9" s="938" t="s">
        <v>182</v>
      </c>
      <c r="O9" s="938">
        <v>21</v>
      </c>
      <c r="AF9" s="902" t="s">
        <v>888</v>
      </c>
      <c r="AG9" s="902">
        <v>0</v>
      </c>
      <c r="AH9" s="902">
        <v>0</v>
      </c>
      <c r="AI9" s="902">
        <v>0</v>
      </c>
      <c r="AJ9" s="902">
        <v>0</v>
      </c>
      <c r="AK9" s="902">
        <v>0</v>
      </c>
      <c r="AL9" s="902">
        <v>0</v>
      </c>
      <c r="AM9" s="902">
        <v>0</v>
      </c>
      <c r="AN9" s="902">
        <v>0</v>
      </c>
      <c r="AO9" s="902">
        <v>0</v>
      </c>
      <c r="AP9" s="902">
        <v>0</v>
      </c>
      <c r="AQ9" s="902">
        <v>0</v>
      </c>
      <c r="AR9" s="902">
        <v>0</v>
      </c>
      <c r="AS9" s="902">
        <v>0</v>
      </c>
      <c r="AT9" s="902">
        <v>0</v>
      </c>
      <c r="AU9" s="902">
        <v>0</v>
      </c>
      <c r="AV9" s="902">
        <v>0</v>
      </c>
    </row>
    <row r="10" spans="1:48" ht="15">
      <c r="A10" s="942"/>
      <c r="B10" s="938" t="s">
        <v>125</v>
      </c>
      <c r="C10" s="952">
        <v>2.48E-8</v>
      </c>
      <c r="E10" s="25" t="s">
        <v>121</v>
      </c>
      <c r="F10" s="39">
        <f xml:space="preserve"> 1/Unit.PJ * 0.0561</f>
        <v>5.6099999999999997E-2</v>
      </c>
      <c r="G10" s="39">
        <f xml:space="preserve"> 1/Unit.PJ * 0.000001 * GWP.CH4</f>
        <v>2.0999999999999999E-5</v>
      </c>
      <c r="H10" s="39">
        <f xml:space="preserve"> 1/Unit.PJ * 0.0000001 * GWP.N2O</f>
        <v>3.1000000000000001E-5</v>
      </c>
      <c r="I10" s="950">
        <f>((H60/1000)/Unit.PJ)*GWP.SOX</f>
        <v>1.4593749999999999E-6</v>
      </c>
      <c r="J10" s="950">
        <f>((H61/1000)/Unit.PJ)*GWP.NOX</f>
        <v>3.1250000000000001E-6</v>
      </c>
      <c r="N10" s="938" t="s">
        <v>183</v>
      </c>
      <c r="O10" s="938">
        <v>310</v>
      </c>
      <c r="AF10" s="902" t="s">
        <v>882</v>
      </c>
      <c r="AG10" s="902">
        <v>96.25</v>
      </c>
      <c r="AH10" s="902">
        <v>1E-3</v>
      </c>
      <c r="AI10" s="902">
        <v>1.4E-3</v>
      </c>
      <c r="AJ10" s="902">
        <v>0.62619999999999998</v>
      </c>
      <c r="AK10" s="902">
        <v>0.3</v>
      </c>
      <c r="AL10" s="902">
        <v>0.02</v>
      </c>
      <c r="AM10" s="902">
        <v>5.0000000000000001E-3</v>
      </c>
      <c r="AN10" s="902">
        <v>0</v>
      </c>
      <c r="AO10" s="902">
        <v>0</v>
      </c>
      <c r="AP10" s="902">
        <v>0</v>
      </c>
      <c r="AQ10" s="902">
        <v>0</v>
      </c>
      <c r="AR10" s="902">
        <v>0</v>
      </c>
      <c r="AS10" s="902">
        <v>0</v>
      </c>
      <c r="AT10" s="902">
        <v>0</v>
      </c>
      <c r="AU10" s="902">
        <v>0</v>
      </c>
      <c r="AV10" s="902">
        <v>0</v>
      </c>
    </row>
    <row r="11" spans="1:48" ht="15">
      <c r="A11" s="942"/>
      <c r="B11" s="945" t="s">
        <v>126</v>
      </c>
      <c r="C11" s="955">
        <v>3.2600000000000001E-8</v>
      </c>
      <c r="E11" s="25" t="s">
        <v>119</v>
      </c>
      <c r="F11" s="1058">
        <f>(44/12)*6.273/1000/1000000/Unit.therm</f>
        <v>0.21800627758670105</v>
      </c>
      <c r="G11" s="168">
        <v>0</v>
      </c>
      <c r="H11" s="168">
        <v>0</v>
      </c>
      <c r="N11" s="938" t="s">
        <v>184</v>
      </c>
      <c r="O11" s="966" t="s">
        <v>187</v>
      </c>
      <c r="AF11" s="902" t="s">
        <v>883</v>
      </c>
      <c r="AG11" s="902">
        <v>94.6</v>
      </c>
      <c r="AH11" s="902">
        <v>1E-3</v>
      </c>
      <c r="AI11" s="902">
        <v>1.5E-3</v>
      </c>
      <c r="AJ11" s="902">
        <v>0</v>
      </c>
      <c r="AK11" s="902">
        <v>0</v>
      </c>
      <c r="AL11" s="902">
        <v>0</v>
      </c>
      <c r="AM11" s="902">
        <v>0</v>
      </c>
      <c r="AN11" s="902">
        <v>0</v>
      </c>
      <c r="AO11" s="902">
        <v>0</v>
      </c>
      <c r="AP11" s="902">
        <v>0</v>
      </c>
      <c r="AQ11" s="902">
        <v>0</v>
      </c>
      <c r="AR11" s="902">
        <v>0</v>
      </c>
      <c r="AS11" s="902">
        <v>0</v>
      </c>
      <c r="AT11" s="902">
        <v>0</v>
      </c>
      <c r="AU11" s="902">
        <v>0</v>
      </c>
      <c r="AV11" s="902">
        <v>0</v>
      </c>
    </row>
    <row r="12" spans="1:48" ht="15">
      <c r="A12" s="942"/>
      <c r="B12" s="938"/>
      <c r="C12" s="946"/>
      <c r="E12" s="25" t="s">
        <v>2515</v>
      </c>
      <c r="F12" s="1665">
        <f>(E57/1000)*Unit.PJ</f>
        <v>7.4066699999999999E-2</v>
      </c>
      <c r="G12" s="39">
        <f xml:space="preserve"> 1/Unit.PJ * 0.000003 * GWP.CH4</f>
        <v>6.3E-5</v>
      </c>
      <c r="H12" s="39">
        <f xml:space="preserve"> 1/Unit.PJ * 0.0000006 *GWP.N2O</f>
        <v>1.8599999999999999E-4</v>
      </c>
      <c r="N12" s="938" t="s">
        <v>185</v>
      </c>
      <c r="O12" s="966" t="s">
        <v>188</v>
      </c>
      <c r="AF12" s="902" t="s">
        <v>1402</v>
      </c>
      <c r="AG12" s="902">
        <v>96.25</v>
      </c>
      <c r="AH12" s="902">
        <v>1E-3</v>
      </c>
      <c r="AI12" s="902">
        <v>1.4E-3</v>
      </c>
      <c r="AJ12" s="902">
        <v>0.62619999999999998</v>
      </c>
      <c r="AK12" s="902">
        <v>0.3</v>
      </c>
      <c r="AL12" s="902">
        <v>0.02</v>
      </c>
      <c r="AM12" s="902">
        <v>5.0000000000000001E-3</v>
      </c>
      <c r="AN12" s="902">
        <v>0</v>
      </c>
      <c r="AO12" s="902">
        <v>0</v>
      </c>
      <c r="AP12" s="902">
        <v>0</v>
      </c>
      <c r="AQ12" s="902">
        <v>0</v>
      </c>
      <c r="AR12" s="902">
        <v>0</v>
      </c>
      <c r="AS12" s="902">
        <v>0</v>
      </c>
      <c r="AT12" s="902">
        <v>0</v>
      </c>
      <c r="AU12" s="902">
        <v>0</v>
      </c>
      <c r="AV12" s="902">
        <v>0</v>
      </c>
    </row>
    <row r="13" spans="1:48" ht="15">
      <c r="A13" s="942"/>
      <c r="B13" s="961" t="s">
        <v>278</v>
      </c>
      <c r="C13" s="960" t="str">
        <f>Preferences.EnergyUnits &amp; " / kg"</f>
        <v>PJ / kg</v>
      </c>
      <c r="E13" s="33" t="s">
        <v>1838</v>
      </c>
      <c r="F13" s="39">
        <f xml:space="preserve"> 1/Unit.PJ * 0.0774</f>
        <v>7.7399999999999997E-2</v>
      </c>
      <c r="G13" s="39">
        <f xml:space="preserve"> 1/Unit.PJ * 0.000003 * GWP.CH4</f>
        <v>6.3E-5</v>
      </c>
      <c r="H13" s="39">
        <f xml:space="preserve"> 1/Unit.PJ * 0.0000006 * GWP.N2O</f>
        <v>1.8599999999999999E-4</v>
      </c>
      <c r="N13" s="949" t="s">
        <v>773</v>
      </c>
      <c r="O13" s="964">
        <f>1/32</f>
        <v>3.125E-2</v>
      </c>
      <c r="AF13" s="902" t="s">
        <v>1401</v>
      </c>
      <c r="AG13" s="902">
        <v>96.25</v>
      </c>
      <c r="AH13" s="902">
        <v>1E-3</v>
      </c>
      <c r="AI13" s="902">
        <v>1.4E-3</v>
      </c>
      <c r="AJ13" s="902">
        <v>0.62619999999999998</v>
      </c>
      <c r="AK13" s="902">
        <v>0.3</v>
      </c>
      <c r="AL13" s="902">
        <v>0.02</v>
      </c>
      <c r="AM13" s="902">
        <v>5.0000000000000001E-3</v>
      </c>
      <c r="AN13" s="902">
        <v>0</v>
      </c>
      <c r="AO13" s="902">
        <v>0</v>
      </c>
      <c r="AP13" s="902">
        <v>0</v>
      </c>
      <c r="AQ13" s="902">
        <v>0</v>
      </c>
      <c r="AR13" s="902">
        <v>0</v>
      </c>
      <c r="AS13" s="902">
        <v>0</v>
      </c>
      <c r="AT13" s="902">
        <v>0</v>
      </c>
      <c r="AU13" s="902">
        <v>0</v>
      </c>
      <c r="AV13" s="902">
        <v>0</v>
      </c>
    </row>
    <row r="14" spans="1:48" ht="15">
      <c r="A14" s="942"/>
      <c r="B14" s="965" t="s">
        <v>334</v>
      </c>
      <c r="C14" s="952">
        <v>4.5654068825728568E-8</v>
      </c>
      <c r="E14" s="27" t="s">
        <v>787</v>
      </c>
      <c r="F14" s="40">
        <f xml:space="preserve"> 1/Unit.PJ * 0.0631</f>
        <v>6.3100000000000003E-2</v>
      </c>
      <c r="G14" s="40">
        <f xml:space="preserve"> 1/Unit.PJ * 0.000003 * GWP.CH4</f>
        <v>6.3E-5</v>
      </c>
      <c r="H14" s="40">
        <f xml:space="preserve"> 1/Unit.PJ * 0.0000001 * GWP.N2O</f>
        <v>3.1000000000000001E-5</v>
      </c>
      <c r="N14" s="949" t="s">
        <v>719</v>
      </c>
      <c r="O14" s="964">
        <f>1/32</f>
        <v>3.125E-2</v>
      </c>
      <c r="AF14" s="902" t="s">
        <v>1400</v>
      </c>
      <c r="AG14" s="902">
        <v>0</v>
      </c>
      <c r="AH14" s="902">
        <v>0</v>
      </c>
      <c r="AI14" s="902">
        <v>0</v>
      </c>
      <c r="AJ14" s="902">
        <v>0</v>
      </c>
      <c r="AK14" s="902">
        <v>0</v>
      </c>
      <c r="AL14" s="902">
        <v>0</v>
      </c>
      <c r="AM14" s="902">
        <v>0</v>
      </c>
      <c r="AN14" s="902">
        <v>0</v>
      </c>
      <c r="AO14" s="902">
        <v>96.25</v>
      </c>
      <c r="AP14" s="902">
        <v>1E-3</v>
      </c>
      <c r="AQ14" s="902">
        <v>1.4E-3</v>
      </c>
      <c r="AR14" s="902">
        <v>0.62619999999999998</v>
      </c>
      <c r="AS14" s="902">
        <v>0.3</v>
      </c>
      <c r="AT14" s="902">
        <v>0.02</v>
      </c>
      <c r="AU14" s="902">
        <v>5.0000000000000001E-3</v>
      </c>
      <c r="AV14" s="902">
        <v>0</v>
      </c>
    </row>
    <row r="15" spans="1:48" ht="17">
      <c r="A15" s="942"/>
      <c r="B15" s="938" t="s">
        <v>279</v>
      </c>
      <c r="C15" s="952">
        <v>4.6057503582440446E-8</v>
      </c>
      <c r="E15" s="938" t="s">
        <v>121</v>
      </c>
      <c r="F15" s="952">
        <f>0.184/1000000000/Unit.kWh</f>
        <v>5.1111111111111107E-2</v>
      </c>
      <c r="G15" s="952">
        <f>(5.49 / 57516) * EF.NaturalGas.CO2 * GWP.CH4</f>
        <v>1.124516482370123E-4</v>
      </c>
      <c r="H15" s="952">
        <f>(0.4 / 57516) *EF.NaturalGas.CO2 * GWP.N2O</f>
        <v>1.209472146880868E-4</v>
      </c>
      <c r="N15" s="945" t="s">
        <v>186</v>
      </c>
      <c r="O15" s="963">
        <v>23900</v>
      </c>
      <c r="AF15" s="902" t="s">
        <v>1399</v>
      </c>
      <c r="AG15" s="902">
        <v>96.25</v>
      </c>
      <c r="AH15" s="902">
        <v>1E-3</v>
      </c>
      <c r="AI15" s="902">
        <v>1.4E-3</v>
      </c>
      <c r="AJ15" s="902">
        <v>0.62619999999999998</v>
      </c>
      <c r="AK15" s="902">
        <v>0.3</v>
      </c>
      <c r="AL15" s="902">
        <v>0.02</v>
      </c>
      <c r="AM15" s="902">
        <v>5.0000000000000001E-3</v>
      </c>
      <c r="AN15" s="902">
        <v>0</v>
      </c>
      <c r="AO15" s="902">
        <v>0</v>
      </c>
      <c r="AP15" s="902">
        <v>0</v>
      </c>
      <c r="AQ15" s="902">
        <v>0</v>
      </c>
      <c r="AR15" s="902">
        <v>0</v>
      </c>
      <c r="AS15" s="902">
        <v>0</v>
      </c>
      <c r="AT15" s="902">
        <v>0</v>
      </c>
      <c r="AU15" s="902">
        <v>0</v>
      </c>
      <c r="AV15" s="902">
        <v>0</v>
      </c>
    </row>
    <row r="16" spans="1:48" ht="15">
      <c r="A16" s="942"/>
      <c r="B16" s="938" t="s">
        <v>282</v>
      </c>
      <c r="C16" s="952">
        <v>4.7093080557851468E-8</v>
      </c>
      <c r="E16" s="938" t="s">
        <v>119</v>
      </c>
      <c r="F16" s="952">
        <f>(44/12)*6.273/1000/1000000/Unit.therm</f>
        <v>0.21800627758670105</v>
      </c>
      <c r="G16" s="952"/>
      <c r="H16" s="952"/>
      <c r="N16" s="958" t="s">
        <v>189</v>
      </c>
      <c r="AF16" s="902" t="s">
        <v>1398</v>
      </c>
      <c r="AG16" s="902">
        <v>0</v>
      </c>
      <c r="AH16" s="902">
        <v>0</v>
      </c>
      <c r="AI16" s="902">
        <v>0</v>
      </c>
      <c r="AJ16" s="902">
        <v>0</v>
      </c>
      <c r="AK16" s="902">
        <v>0</v>
      </c>
      <c r="AL16" s="902">
        <v>0</v>
      </c>
      <c r="AM16" s="902">
        <v>0</v>
      </c>
      <c r="AN16" s="902">
        <v>0</v>
      </c>
      <c r="AO16" s="902">
        <v>0</v>
      </c>
      <c r="AP16" s="902">
        <v>0</v>
      </c>
      <c r="AQ16" s="902">
        <v>0</v>
      </c>
      <c r="AR16" s="902">
        <v>0</v>
      </c>
      <c r="AS16" s="902">
        <v>0</v>
      </c>
      <c r="AT16" s="902">
        <v>0</v>
      </c>
      <c r="AU16" s="902">
        <v>0</v>
      </c>
      <c r="AV16" s="902">
        <v>0</v>
      </c>
    </row>
    <row r="17" spans="1:48" ht="15">
      <c r="A17" s="942"/>
      <c r="B17" s="938" t="s">
        <v>283</v>
      </c>
      <c r="C17" s="952">
        <v>4.5546736463231571E-8</v>
      </c>
      <c r="E17" s="163" t="s">
        <v>1880</v>
      </c>
      <c r="F17" s="40">
        <f xml:space="preserve"> 1/Unit.PJ * 0.0917</f>
        <v>9.1700000000000004E-2</v>
      </c>
      <c r="G17" s="40">
        <f xml:space="preserve"> 1/Unit.PJ * 0.00003 * GWP.CH4</f>
        <v>6.3000000000000003E-4</v>
      </c>
      <c r="H17" s="40">
        <f xml:space="preserve"> 1/Unit.PJ * 0.000004 * GWP.N2O</f>
        <v>1.24E-3</v>
      </c>
      <c r="N17" s="903" t="s">
        <v>190</v>
      </c>
      <c r="AF17" s="902" t="s">
        <v>1397</v>
      </c>
      <c r="AG17" s="902">
        <v>0</v>
      </c>
      <c r="AH17" s="902">
        <v>0</v>
      </c>
      <c r="AI17" s="902">
        <v>0</v>
      </c>
      <c r="AJ17" s="902">
        <v>0</v>
      </c>
      <c r="AK17" s="902">
        <v>0</v>
      </c>
      <c r="AL17" s="902">
        <v>0</v>
      </c>
      <c r="AM17" s="902">
        <v>0</v>
      </c>
      <c r="AN17" s="902">
        <v>0</v>
      </c>
      <c r="AO17" s="902">
        <v>0</v>
      </c>
      <c r="AP17" s="902">
        <v>0</v>
      </c>
      <c r="AQ17" s="902">
        <v>0</v>
      </c>
      <c r="AR17" s="902">
        <v>0</v>
      </c>
      <c r="AS17" s="902">
        <v>0</v>
      </c>
      <c r="AT17" s="902">
        <v>0</v>
      </c>
      <c r="AU17" s="902">
        <v>0</v>
      </c>
      <c r="AV17" s="902">
        <v>0</v>
      </c>
    </row>
    <row r="18" spans="1:48" ht="15">
      <c r="A18" s="942"/>
      <c r="B18" s="945" t="s">
        <v>291</v>
      </c>
      <c r="C18" s="955">
        <v>4.617795199018882E-8</v>
      </c>
      <c r="E18" s="962" t="s">
        <v>1877</v>
      </c>
      <c r="F18" s="39">
        <f>(D57/1000)*Unit.PJ</f>
        <v>9.459999999999999E-2</v>
      </c>
      <c r="G18" s="39">
        <f>(D58/1000)*Unit.PJ</f>
        <v>1.0000000000000001E-5</v>
      </c>
      <c r="H18" s="39">
        <f>(D59/1000)*Unit.PJ</f>
        <v>1.3999999999999999E-6</v>
      </c>
      <c r="AF18" s="902" t="s">
        <v>879</v>
      </c>
      <c r="AG18" s="902">
        <v>0</v>
      </c>
      <c r="AH18" s="902">
        <v>0</v>
      </c>
      <c r="AI18" s="902">
        <v>0</v>
      </c>
      <c r="AJ18" s="902">
        <v>0</v>
      </c>
      <c r="AK18" s="902">
        <v>0</v>
      </c>
      <c r="AL18" s="902">
        <v>0</v>
      </c>
      <c r="AM18" s="902">
        <v>0</v>
      </c>
      <c r="AN18" s="902">
        <v>0</v>
      </c>
      <c r="AO18" s="902">
        <v>0</v>
      </c>
      <c r="AP18" s="902">
        <v>0</v>
      </c>
      <c r="AQ18" s="902">
        <v>0</v>
      </c>
      <c r="AR18" s="902">
        <v>0</v>
      </c>
      <c r="AS18" s="902">
        <v>0</v>
      </c>
      <c r="AT18" s="902">
        <v>0</v>
      </c>
      <c r="AU18" s="902">
        <v>0</v>
      </c>
      <c r="AV18" s="902">
        <v>0</v>
      </c>
    </row>
    <row r="19" spans="1:48" ht="15" customHeight="1">
      <c r="B19" s="938"/>
      <c r="C19" s="946"/>
      <c r="E19" s="1084" t="s">
        <v>2517</v>
      </c>
      <c r="F19" s="1664">
        <f>(H57/1000)*Unit.PJ</f>
        <v>6.93E-2</v>
      </c>
      <c r="G19" s="39">
        <f>(H58/1000)*Unit.PJ</f>
        <v>5.0000000000000004E-6</v>
      </c>
      <c r="H19" s="39">
        <f>(H59/1000)*Unit.PJ</f>
        <v>0</v>
      </c>
      <c r="AF19" s="902" t="s">
        <v>1396</v>
      </c>
      <c r="AG19" s="902">
        <v>0</v>
      </c>
      <c r="AH19" s="902">
        <v>0</v>
      </c>
      <c r="AI19" s="902">
        <v>0</v>
      </c>
      <c r="AJ19" s="902">
        <v>0</v>
      </c>
      <c r="AK19" s="902">
        <v>0</v>
      </c>
      <c r="AL19" s="902">
        <v>0</v>
      </c>
      <c r="AM19" s="902">
        <v>0</v>
      </c>
      <c r="AN19" s="902">
        <v>0</v>
      </c>
      <c r="AO19" s="902">
        <v>0</v>
      </c>
      <c r="AP19" s="902">
        <v>0</v>
      </c>
      <c r="AQ19" s="902">
        <v>0</v>
      </c>
      <c r="AR19" s="902">
        <v>0</v>
      </c>
      <c r="AS19" s="902">
        <v>0</v>
      </c>
      <c r="AT19" s="902">
        <v>0</v>
      </c>
      <c r="AU19" s="902">
        <v>0</v>
      </c>
      <c r="AV19" s="902">
        <v>0</v>
      </c>
    </row>
    <row r="20" spans="1:48" ht="15">
      <c r="A20" s="942"/>
      <c r="B20" s="961" t="s">
        <v>132</v>
      </c>
      <c r="C20" s="960" t="str">
        <f>Preferences.EnergyUnits &amp; " / cubic metre"</f>
        <v>PJ / cubic metre</v>
      </c>
      <c r="E20" s="1084" t="s">
        <v>2516</v>
      </c>
      <c r="AF20" s="902" t="s">
        <v>1395</v>
      </c>
      <c r="AG20" s="902">
        <v>0</v>
      </c>
      <c r="AH20" s="902">
        <v>0</v>
      </c>
      <c r="AI20" s="902">
        <v>0</v>
      </c>
      <c r="AJ20" s="902">
        <v>0</v>
      </c>
      <c r="AK20" s="902">
        <v>0</v>
      </c>
      <c r="AL20" s="902">
        <v>0</v>
      </c>
      <c r="AM20" s="902">
        <v>0</v>
      </c>
      <c r="AN20" s="902">
        <v>0</v>
      </c>
      <c r="AO20" s="902">
        <v>0</v>
      </c>
      <c r="AP20" s="902">
        <v>0</v>
      </c>
      <c r="AQ20" s="902">
        <v>0</v>
      </c>
      <c r="AR20" s="902">
        <v>0</v>
      </c>
      <c r="AS20" s="902">
        <v>0</v>
      </c>
      <c r="AT20" s="902">
        <v>0</v>
      </c>
      <c r="AU20" s="902">
        <v>0</v>
      </c>
      <c r="AV20" s="902">
        <v>0</v>
      </c>
    </row>
    <row r="21" spans="1:48" ht="15">
      <c r="A21" s="942"/>
      <c r="B21" s="959" t="s">
        <v>335</v>
      </c>
      <c r="C21" s="952">
        <v>3.9661056040492302E-8</v>
      </c>
      <c r="E21" s="958"/>
      <c r="AF21" s="902" t="s">
        <v>1394</v>
      </c>
      <c r="AG21" s="902">
        <v>0</v>
      </c>
      <c r="AH21" s="902">
        <v>0</v>
      </c>
      <c r="AI21" s="902">
        <v>0</v>
      </c>
      <c r="AJ21" s="902">
        <v>0</v>
      </c>
      <c r="AK21" s="902">
        <v>0</v>
      </c>
      <c r="AL21" s="902">
        <v>0</v>
      </c>
      <c r="AM21" s="902">
        <v>0</v>
      </c>
      <c r="AN21" s="902">
        <v>0</v>
      </c>
      <c r="AO21" s="902">
        <v>0</v>
      </c>
      <c r="AP21" s="902">
        <v>0</v>
      </c>
      <c r="AQ21" s="902">
        <v>0</v>
      </c>
      <c r="AR21" s="902">
        <v>0</v>
      </c>
      <c r="AS21" s="902">
        <v>0</v>
      </c>
      <c r="AT21" s="902">
        <v>0</v>
      </c>
      <c r="AU21" s="902">
        <v>0</v>
      </c>
      <c r="AV21" s="902">
        <v>0</v>
      </c>
    </row>
    <row r="22" spans="1:48" ht="15">
      <c r="A22" s="942"/>
      <c r="B22" s="938" t="s">
        <v>133</v>
      </c>
      <c r="C22" s="952">
        <v>3.9400000000000002E-8</v>
      </c>
      <c r="E22" s="903"/>
      <c r="AF22" s="902" t="s">
        <v>1393</v>
      </c>
      <c r="AG22" s="902">
        <v>0</v>
      </c>
      <c r="AH22" s="902">
        <v>0</v>
      </c>
      <c r="AI22" s="902">
        <v>0</v>
      </c>
      <c r="AJ22" s="902">
        <v>0</v>
      </c>
      <c r="AK22" s="902">
        <v>0</v>
      </c>
      <c r="AL22" s="902">
        <v>0</v>
      </c>
      <c r="AM22" s="902">
        <v>0</v>
      </c>
      <c r="AN22" s="902">
        <v>0</v>
      </c>
      <c r="AO22" s="902">
        <v>0</v>
      </c>
      <c r="AP22" s="902">
        <v>0</v>
      </c>
      <c r="AQ22" s="902">
        <v>0</v>
      </c>
      <c r="AR22" s="902">
        <v>0</v>
      </c>
      <c r="AS22" s="902">
        <v>0</v>
      </c>
      <c r="AT22" s="902">
        <v>0</v>
      </c>
      <c r="AU22" s="902">
        <v>0</v>
      </c>
      <c r="AV22" s="902">
        <v>0</v>
      </c>
    </row>
    <row r="23" spans="1:48" ht="15">
      <c r="A23" s="942"/>
      <c r="B23" s="938" t="s">
        <v>120</v>
      </c>
      <c r="C23" s="952">
        <v>1.8000000000000002E-8</v>
      </c>
      <c r="E23" s="903"/>
      <c r="AF23" s="902" t="s">
        <v>1392</v>
      </c>
      <c r="AG23" s="902">
        <v>0</v>
      </c>
      <c r="AH23" s="902">
        <v>0</v>
      </c>
      <c r="AI23" s="902">
        <v>0</v>
      </c>
      <c r="AJ23" s="902">
        <v>0</v>
      </c>
      <c r="AK23" s="902">
        <v>0</v>
      </c>
      <c r="AL23" s="902">
        <v>0</v>
      </c>
      <c r="AM23" s="902">
        <v>0</v>
      </c>
      <c r="AN23" s="902">
        <v>0</v>
      </c>
      <c r="AO23" s="902">
        <v>0</v>
      </c>
      <c r="AP23" s="902">
        <v>0</v>
      </c>
      <c r="AQ23" s="902">
        <v>0</v>
      </c>
      <c r="AR23" s="902">
        <v>0</v>
      </c>
      <c r="AS23" s="902">
        <v>0</v>
      </c>
      <c r="AT23" s="902">
        <v>0</v>
      </c>
      <c r="AU23" s="902">
        <v>0</v>
      </c>
      <c r="AV23" s="902">
        <v>0</v>
      </c>
    </row>
    <row r="24" spans="1:48" ht="15">
      <c r="A24" s="942"/>
      <c r="B24" s="938" t="s">
        <v>119</v>
      </c>
      <c r="C24" s="952">
        <v>3.0000000000000004E-9</v>
      </c>
      <c r="E24" s="903"/>
      <c r="AF24" s="902" t="s">
        <v>869</v>
      </c>
      <c r="AG24" s="902">
        <v>56.1</v>
      </c>
      <c r="AH24" s="902">
        <v>1E-3</v>
      </c>
      <c r="AI24" s="902">
        <v>1E-4</v>
      </c>
      <c r="AJ24" s="902">
        <v>0</v>
      </c>
      <c r="AK24" s="902">
        <v>0.15</v>
      </c>
      <c r="AL24" s="902">
        <v>0.02</v>
      </c>
      <c r="AM24" s="902">
        <v>5.0000000000000001E-3</v>
      </c>
      <c r="AN24" s="902">
        <v>0</v>
      </c>
      <c r="AO24" s="902">
        <v>0</v>
      </c>
      <c r="AP24" s="902">
        <v>0</v>
      </c>
      <c r="AQ24" s="902">
        <v>0</v>
      </c>
      <c r="AR24" s="902">
        <v>0</v>
      </c>
      <c r="AS24" s="902">
        <v>0</v>
      </c>
      <c r="AT24" s="902">
        <v>0</v>
      </c>
      <c r="AU24" s="902">
        <v>0</v>
      </c>
      <c r="AV24" s="902">
        <v>0</v>
      </c>
    </row>
    <row r="25" spans="1:48" ht="15">
      <c r="A25" s="942"/>
      <c r="B25" s="938" t="s">
        <v>113</v>
      </c>
      <c r="C25" s="952">
        <v>2.3000000000000001E-8</v>
      </c>
      <c r="N25" s="944" t="s">
        <v>2274</v>
      </c>
      <c r="AF25" s="902" t="s">
        <v>1391</v>
      </c>
      <c r="AG25" s="902">
        <v>56.1</v>
      </c>
      <c r="AH25" s="902">
        <v>1E-3</v>
      </c>
      <c r="AI25" s="902">
        <v>1E-4</v>
      </c>
      <c r="AJ25" s="902">
        <v>0</v>
      </c>
      <c r="AK25" s="902">
        <v>0.15</v>
      </c>
      <c r="AL25" s="902">
        <v>0.02</v>
      </c>
      <c r="AM25" s="902">
        <v>5.0000000000000001E-3</v>
      </c>
      <c r="AN25" s="902">
        <v>0</v>
      </c>
      <c r="AO25" s="902">
        <v>0</v>
      </c>
      <c r="AP25" s="902">
        <v>0</v>
      </c>
      <c r="AQ25" s="902">
        <v>0</v>
      </c>
      <c r="AR25" s="902">
        <v>0</v>
      </c>
      <c r="AS25" s="902">
        <v>0</v>
      </c>
      <c r="AT25" s="902">
        <v>0</v>
      </c>
      <c r="AU25" s="902">
        <v>0</v>
      </c>
      <c r="AV25" s="902">
        <v>0</v>
      </c>
    </row>
    <row r="26" spans="1:48" ht="15">
      <c r="A26" s="942"/>
      <c r="B26" s="945" t="s">
        <v>134</v>
      </c>
      <c r="C26" s="955">
        <v>2.3000000000000001E-8</v>
      </c>
      <c r="E26" s="958"/>
      <c r="AF26" s="902" t="s">
        <v>1390</v>
      </c>
      <c r="AG26" s="902">
        <v>0</v>
      </c>
      <c r="AH26" s="902">
        <v>0</v>
      </c>
      <c r="AI26" s="902">
        <v>0</v>
      </c>
      <c r="AJ26" s="902">
        <v>0</v>
      </c>
      <c r="AK26" s="902">
        <v>0</v>
      </c>
      <c r="AL26" s="902">
        <v>0</v>
      </c>
      <c r="AM26" s="902">
        <v>0</v>
      </c>
      <c r="AN26" s="902">
        <v>0</v>
      </c>
      <c r="AO26" s="902">
        <v>56.1</v>
      </c>
      <c r="AP26" s="902">
        <v>1E-3</v>
      </c>
      <c r="AQ26" s="902">
        <v>1E-4</v>
      </c>
      <c r="AR26" s="902">
        <v>0</v>
      </c>
      <c r="AS26" s="902">
        <v>0.15</v>
      </c>
      <c r="AT26" s="902">
        <v>0.02</v>
      </c>
      <c r="AU26" s="902">
        <v>5.0000000000000001E-3</v>
      </c>
      <c r="AV26" s="902">
        <v>0</v>
      </c>
    </row>
    <row r="27" spans="1:48">
      <c r="B27" s="958" t="s">
        <v>189</v>
      </c>
      <c r="E27" s="903"/>
      <c r="AF27" s="902" t="s">
        <v>1389</v>
      </c>
      <c r="AG27" s="902">
        <v>56.1</v>
      </c>
      <c r="AH27" s="902">
        <v>1E-3</v>
      </c>
      <c r="AI27" s="902">
        <v>1E-4</v>
      </c>
      <c r="AJ27" s="902">
        <v>0</v>
      </c>
      <c r="AK27" s="902">
        <v>0.15</v>
      </c>
      <c r="AL27" s="902">
        <v>0.02</v>
      </c>
      <c r="AM27" s="902">
        <v>5.0000000000000001E-3</v>
      </c>
      <c r="AN27" s="902">
        <v>0</v>
      </c>
      <c r="AO27" s="902">
        <v>0</v>
      </c>
      <c r="AP27" s="902">
        <v>0</v>
      </c>
      <c r="AQ27" s="902">
        <v>0</v>
      </c>
      <c r="AR27" s="902">
        <v>0</v>
      </c>
      <c r="AS27" s="902">
        <v>0</v>
      </c>
      <c r="AT27" s="902">
        <v>0</v>
      </c>
      <c r="AU27" s="902">
        <v>0</v>
      </c>
      <c r="AV27" s="902">
        <v>0</v>
      </c>
    </row>
    <row r="28" spans="1:48">
      <c r="B28" s="903" t="s">
        <v>280</v>
      </c>
      <c r="E28" s="903"/>
      <c r="AF28" s="902" t="s">
        <v>1388</v>
      </c>
      <c r="AG28" s="902">
        <v>56.1</v>
      </c>
      <c r="AH28" s="902">
        <v>1E-3</v>
      </c>
      <c r="AI28" s="902">
        <v>1E-4</v>
      </c>
      <c r="AJ28" s="902">
        <v>0</v>
      </c>
      <c r="AK28" s="902">
        <v>0.15</v>
      </c>
      <c r="AL28" s="902">
        <v>0.02</v>
      </c>
      <c r="AM28" s="902">
        <v>5.0000000000000001E-3</v>
      </c>
      <c r="AN28" s="902">
        <v>0</v>
      </c>
      <c r="AO28" s="902">
        <v>0</v>
      </c>
      <c r="AP28" s="902">
        <v>0</v>
      </c>
      <c r="AQ28" s="902">
        <v>0</v>
      </c>
      <c r="AR28" s="902">
        <v>0</v>
      </c>
      <c r="AS28" s="902">
        <v>0</v>
      </c>
      <c r="AT28" s="902">
        <v>0</v>
      </c>
      <c r="AU28" s="902">
        <v>0</v>
      </c>
      <c r="AV28" s="902">
        <v>0</v>
      </c>
    </row>
    <row r="29" spans="1:48">
      <c r="B29" s="903"/>
      <c r="E29" s="903"/>
    </row>
    <row r="30" spans="1:48">
      <c r="E30" s="903"/>
    </row>
    <row r="31" spans="1:48">
      <c r="B31" s="961" t="s">
        <v>2437</v>
      </c>
      <c r="C31" s="960" t="s">
        <v>2275</v>
      </c>
      <c r="E31" s="903"/>
    </row>
    <row r="32" spans="1:48">
      <c r="B32" s="1590" t="s">
        <v>2438</v>
      </c>
      <c r="C32" s="1590">
        <v>38.1</v>
      </c>
      <c r="E32" s="903"/>
    </row>
    <row r="33" spans="1:48">
      <c r="B33" s="1590" t="s">
        <v>2439</v>
      </c>
      <c r="C33" s="1590">
        <v>34.200000000000003</v>
      </c>
      <c r="E33" s="903"/>
    </row>
    <row r="34" spans="1:48">
      <c r="B34" s="1590" t="s">
        <v>2440</v>
      </c>
      <c r="C34" s="1590">
        <v>2.7</v>
      </c>
      <c r="E34" s="903"/>
    </row>
    <row r="35" spans="1:48">
      <c r="B35" s="1590" t="s">
        <v>2441</v>
      </c>
      <c r="C35" s="1590">
        <v>9.3000000000000007</v>
      </c>
      <c r="E35" s="903"/>
      <c r="N35" s="1590"/>
      <c r="O35" s="1590"/>
    </row>
    <row r="36" spans="1:48">
      <c r="B36" s="1590" t="s">
        <v>2442</v>
      </c>
      <c r="C36" s="1590">
        <v>33</v>
      </c>
      <c r="E36" s="903"/>
      <c r="AF36" s="902" t="s">
        <v>1387</v>
      </c>
      <c r="AG36" s="902">
        <v>56.1</v>
      </c>
      <c r="AH36" s="902">
        <v>1E-3</v>
      </c>
      <c r="AI36" s="902">
        <v>1E-4</v>
      </c>
      <c r="AJ36" s="902">
        <v>0</v>
      </c>
      <c r="AK36" s="902">
        <v>0.15</v>
      </c>
      <c r="AL36" s="902">
        <v>0.02</v>
      </c>
      <c r="AM36" s="902">
        <v>5.0000000000000001E-3</v>
      </c>
      <c r="AN36" s="902">
        <v>0</v>
      </c>
      <c r="AO36" s="902">
        <v>0</v>
      </c>
      <c r="AP36" s="902">
        <v>0</v>
      </c>
      <c r="AQ36" s="902">
        <v>0</v>
      </c>
      <c r="AR36" s="902">
        <v>0</v>
      </c>
      <c r="AS36" s="902">
        <v>0</v>
      </c>
      <c r="AT36" s="902">
        <v>0</v>
      </c>
      <c r="AU36" s="902">
        <v>0</v>
      </c>
      <c r="AV36" s="902">
        <v>0</v>
      </c>
    </row>
    <row r="37" spans="1:48">
      <c r="B37" s="1590" t="s">
        <v>2443</v>
      </c>
      <c r="C37" s="1590">
        <v>21.2</v>
      </c>
      <c r="AF37" s="902" t="s">
        <v>1386</v>
      </c>
      <c r="AG37" s="902">
        <v>56.1</v>
      </c>
      <c r="AH37" s="902">
        <v>1E-3</v>
      </c>
      <c r="AI37" s="902">
        <v>1E-4</v>
      </c>
      <c r="AJ37" s="902">
        <v>0</v>
      </c>
      <c r="AK37" s="902">
        <v>0.15</v>
      </c>
      <c r="AL37" s="902">
        <v>0.02</v>
      </c>
      <c r="AM37" s="902">
        <v>5.0000000000000001E-3</v>
      </c>
      <c r="AN37" s="902">
        <v>0</v>
      </c>
      <c r="AO37" s="902">
        <v>0</v>
      </c>
      <c r="AP37" s="902">
        <v>0</v>
      </c>
      <c r="AQ37" s="902">
        <v>0</v>
      </c>
      <c r="AR37" s="902">
        <v>0</v>
      </c>
      <c r="AS37" s="902">
        <v>0</v>
      </c>
      <c r="AT37" s="902">
        <v>0</v>
      </c>
      <c r="AU37" s="902">
        <v>0</v>
      </c>
      <c r="AV37" s="902">
        <v>0</v>
      </c>
    </row>
    <row r="38" spans="1:48">
      <c r="B38" s="1621" t="s">
        <v>2444</v>
      </c>
      <c r="C38" s="1621">
        <v>1</v>
      </c>
      <c r="AF38" s="902" t="s">
        <v>1385</v>
      </c>
      <c r="AG38" s="902">
        <v>56.1</v>
      </c>
      <c r="AH38" s="902">
        <v>1E-3</v>
      </c>
      <c r="AI38" s="902">
        <v>1E-4</v>
      </c>
      <c r="AJ38" s="902">
        <v>0</v>
      </c>
      <c r="AK38" s="902">
        <v>0.15</v>
      </c>
      <c r="AL38" s="902">
        <v>0.02</v>
      </c>
      <c r="AM38" s="902">
        <v>5.0000000000000001E-3</v>
      </c>
      <c r="AN38" s="902">
        <v>0</v>
      </c>
      <c r="AO38" s="902">
        <v>0</v>
      </c>
      <c r="AP38" s="902">
        <v>0</v>
      </c>
      <c r="AQ38" s="902">
        <v>0</v>
      </c>
      <c r="AR38" s="902">
        <v>0</v>
      </c>
      <c r="AS38" s="902">
        <v>0</v>
      </c>
      <c r="AT38" s="902">
        <v>0</v>
      </c>
      <c r="AU38" s="902">
        <v>0</v>
      </c>
      <c r="AV38" s="902">
        <v>0</v>
      </c>
    </row>
    <row r="39" spans="1:48">
      <c r="B39" s="1590" t="s">
        <v>2445</v>
      </c>
      <c r="C39" s="1590"/>
    </row>
    <row r="40" spans="1:48">
      <c r="B40" s="1590"/>
      <c r="C40" s="1590"/>
    </row>
    <row r="41" spans="1:48">
      <c r="B41" s="1590"/>
      <c r="C41" s="1590"/>
    </row>
    <row r="42" spans="1:48">
      <c r="B42" s="1590"/>
      <c r="C42" s="1590"/>
    </row>
    <row r="43" spans="1:48" ht="18">
      <c r="B43" s="925" t="s">
        <v>284</v>
      </c>
      <c r="E43" s="902" t="s">
        <v>748</v>
      </c>
      <c r="AF43" s="902" t="s">
        <v>1384</v>
      </c>
      <c r="AG43" s="902">
        <v>56.1</v>
      </c>
      <c r="AH43" s="902">
        <v>1E-3</v>
      </c>
      <c r="AI43" s="902">
        <v>1E-4</v>
      </c>
      <c r="AJ43" s="902">
        <v>0</v>
      </c>
      <c r="AK43" s="902">
        <v>0.15</v>
      </c>
      <c r="AL43" s="902">
        <v>0.02</v>
      </c>
      <c r="AM43" s="902">
        <v>5.0000000000000001E-3</v>
      </c>
      <c r="AN43" s="902">
        <v>0</v>
      </c>
      <c r="AO43" s="902">
        <v>0</v>
      </c>
      <c r="AP43" s="902">
        <v>0</v>
      </c>
      <c r="AQ43" s="902">
        <v>0</v>
      </c>
      <c r="AR43" s="902">
        <v>0</v>
      </c>
      <c r="AS43" s="902">
        <v>0</v>
      </c>
      <c r="AT43" s="902">
        <v>0</v>
      </c>
      <c r="AU43" s="902">
        <v>0</v>
      </c>
      <c r="AV43" s="902">
        <v>0</v>
      </c>
    </row>
    <row r="44" spans="1:48" ht="12.75" customHeight="1">
      <c r="B44" s="903"/>
      <c r="AF44" s="902" t="s">
        <v>1383</v>
      </c>
      <c r="AG44" s="902">
        <v>56.1</v>
      </c>
      <c r="AH44" s="902">
        <v>1E-3</v>
      </c>
      <c r="AI44" s="902">
        <v>1E-4</v>
      </c>
      <c r="AJ44" s="902">
        <v>0</v>
      </c>
      <c r="AK44" s="902">
        <v>0.15</v>
      </c>
      <c r="AL44" s="902">
        <v>0.02</v>
      </c>
      <c r="AM44" s="902">
        <v>5.0000000000000001E-3</v>
      </c>
      <c r="AN44" s="902">
        <v>0</v>
      </c>
      <c r="AO44" s="902">
        <v>0</v>
      </c>
      <c r="AP44" s="902">
        <v>0</v>
      </c>
      <c r="AQ44" s="902">
        <v>0</v>
      </c>
      <c r="AR44" s="902">
        <v>0</v>
      </c>
      <c r="AS44" s="902">
        <v>0</v>
      </c>
      <c r="AT44" s="902">
        <v>0</v>
      </c>
      <c r="AU44" s="902">
        <v>0</v>
      </c>
      <c r="AV44" s="902">
        <v>0</v>
      </c>
    </row>
    <row r="45" spans="1:48" ht="15">
      <c r="A45" s="942"/>
      <c r="B45" s="947" t="s">
        <v>285</v>
      </c>
      <c r="C45" s="957" t="s">
        <v>281</v>
      </c>
      <c r="E45" s="902" t="s">
        <v>749</v>
      </c>
      <c r="F45" s="902" t="s">
        <v>717</v>
      </c>
      <c r="G45" s="902" t="s">
        <v>719</v>
      </c>
      <c r="H45" s="902" t="s">
        <v>720</v>
      </c>
      <c r="I45" s="902" t="s">
        <v>718</v>
      </c>
      <c r="AF45" s="902" t="s">
        <v>1382</v>
      </c>
      <c r="AG45" s="902">
        <v>56.1</v>
      </c>
      <c r="AH45" s="902">
        <v>1E-3</v>
      </c>
      <c r="AI45" s="902">
        <v>1E-4</v>
      </c>
      <c r="AJ45" s="902">
        <v>0</v>
      </c>
      <c r="AK45" s="902">
        <v>0.15</v>
      </c>
      <c r="AL45" s="902">
        <v>0.02</v>
      </c>
      <c r="AM45" s="902">
        <v>5.0000000000000001E-3</v>
      </c>
      <c r="AN45" s="902">
        <v>0</v>
      </c>
      <c r="AO45" s="902">
        <v>0</v>
      </c>
      <c r="AP45" s="902">
        <v>0</v>
      </c>
      <c r="AQ45" s="902">
        <v>0</v>
      </c>
      <c r="AR45" s="902">
        <v>0</v>
      </c>
      <c r="AS45" s="902">
        <v>0</v>
      </c>
      <c r="AT45" s="902">
        <v>0</v>
      </c>
      <c r="AU45" s="902">
        <v>0</v>
      </c>
      <c r="AV45" s="902">
        <v>0</v>
      </c>
    </row>
    <row r="46" spans="1:48" ht="15">
      <c r="A46" s="942"/>
      <c r="B46" s="938" t="s">
        <v>287</v>
      </c>
      <c r="C46" s="952">
        <f>(1/1362)*1000</f>
        <v>0.73421439060205573</v>
      </c>
      <c r="E46" s="902" t="s">
        <v>411</v>
      </c>
      <c r="F46" s="956">
        <v>4.1883435413393535</v>
      </c>
      <c r="G46" s="956">
        <v>0.76884878586155336</v>
      </c>
      <c r="H46" s="956">
        <v>1.1643824604548389E-2</v>
      </c>
      <c r="I46" s="956">
        <v>15.32101270801348</v>
      </c>
      <c r="AF46" s="902" t="s">
        <v>1381</v>
      </c>
      <c r="AG46" s="902">
        <v>56.1</v>
      </c>
      <c r="AH46" s="902">
        <v>1E-3</v>
      </c>
      <c r="AI46" s="902">
        <v>1E-4</v>
      </c>
      <c r="AJ46" s="902">
        <v>0</v>
      </c>
      <c r="AK46" s="902">
        <v>0.15</v>
      </c>
      <c r="AL46" s="902">
        <v>0.02</v>
      </c>
      <c r="AM46" s="902">
        <v>5.0000000000000001E-3</v>
      </c>
      <c r="AN46" s="902">
        <v>0</v>
      </c>
      <c r="AO46" s="902">
        <v>0</v>
      </c>
      <c r="AP46" s="902">
        <v>0</v>
      </c>
      <c r="AQ46" s="902">
        <v>0</v>
      </c>
      <c r="AR46" s="902">
        <v>0</v>
      </c>
      <c r="AS46" s="902">
        <v>0</v>
      </c>
      <c r="AT46" s="902">
        <v>0</v>
      </c>
      <c r="AU46" s="902">
        <v>0</v>
      </c>
      <c r="AV46" s="902">
        <v>0</v>
      </c>
    </row>
    <row r="47" spans="1:48" ht="15">
      <c r="A47" s="942"/>
      <c r="B47" s="938" t="s">
        <v>650</v>
      </c>
      <c r="C47" s="952">
        <v>0.78900000000000003</v>
      </c>
      <c r="E47" s="902" t="s">
        <v>114</v>
      </c>
      <c r="F47" s="956">
        <v>4.6844827796160651</v>
      </c>
      <c r="G47" s="956">
        <v>0.23047708742545636</v>
      </c>
      <c r="H47" s="956">
        <v>1.3065148833871658E-2</v>
      </c>
      <c r="I47" s="956">
        <v>8.5906552123944682</v>
      </c>
      <c r="AF47" s="902" t="s">
        <v>1380</v>
      </c>
      <c r="AG47" s="902">
        <v>56.1</v>
      </c>
      <c r="AH47" s="902">
        <v>1E-3</v>
      </c>
      <c r="AI47" s="902">
        <v>1E-4</v>
      </c>
      <c r="AJ47" s="902">
        <v>0</v>
      </c>
      <c r="AK47" s="902">
        <v>0.15</v>
      </c>
      <c r="AL47" s="902">
        <v>0.02</v>
      </c>
      <c r="AM47" s="902">
        <v>5.0000000000000001E-3</v>
      </c>
      <c r="AN47" s="902">
        <v>0</v>
      </c>
      <c r="AO47" s="902">
        <v>0</v>
      </c>
      <c r="AP47" s="902">
        <v>0</v>
      </c>
      <c r="AQ47" s="902">
        <v>0</v>
      </c>
      <c r="AR47" s="902">
        <v>0</v>
      </c>
      <c r="AS47" s="902">
        <v>0</v>
      </c>
      <c r="AT47" s="902">
        <v>0</v>
      </c>
      <c r="AU47" s="902">
        <v>0</v>
      </c>
      <c r="AV47" s="902">
        <v>0</v>
      </c>
    </row>
    <row r="48" spans="1:48" ht="15">
      <c r="A48" s="942"/>
      <c r="B48" s="938" t="s">
        <v>651</v>
      </c>
      <c r="C48" s="952">
        <f>AVERAGE(775,840)/1000</f>
        <v>0.8075</v>
      </c>
      <c r="E48" s="902" t="s">
        <v>13</v>
      </c>
      <c r="F48" s="956">
        <v>10.039877780604778</v>
      </c>
      <c r="G48" s="956">
        <v>0.57381656809661186</v>
      </c>
      <c r="H48" s="956">
        <v>0</v>
      </c>
      <c r="I48" s="956">
        <v>1.6277314142584762</v>
      </c>
      <c r="AF48" s="902" t="s">
        <v>1379</v>
      </c>
      <c r="AG48" s="902">
        <v>0</v>
      </c>
      <c r="AH48" s="902">
        <v>0</v>
      </c>
      <c r="AI48" s="902">
        <v>0</v>
      </c>
      <c r="AJ48" s="902">
        <v>0</v>
      </c>
      <c r="AK48" s="902">
        <v>0</v>
      </c>
      <c r="AL48" s="902">
        <v>0</v>
      </c>
      <c r="AM48" s="902">
        <v>0</v>
      </c>
      <c r="AN48" s="902">
        <v>0</v>
      </c>
      <c r="AO48" s="902">
        <v>0</v>
      </c>
      <c r="AP48" s="902">
        <v>0</v>
      </c>
      <c r="AQ48" s="902">
        <v>0</v>
      </c>
      <c r="AR48" s="902">
        <v>0</v>
      </c>
      <c r="AS48" s="902">
        <v>0</v>
      </c>
      <c r="AT48" s="902">
        <v>0</v>
      </c>
      <c r="AU48" s="902">
        <v>0</v>
      </c>
      <c r="AV48" s="902">
        <v>0</v>
      </c>
    </row>
    <row r="49" spans="1:48" ht="15">
      <c r="A49" s="942"/>
      <c r="B49" s="945" t="s">
        <v>288</v>
      </c>
      <c r="C49" s="955">
        <f>(1/1198)*1000</f>
        <v>0.8347245409015025</v>
      </c>
      <c r="AF49" s="902" t="s">
        <v>1378</v>
      </c>
      <c r="AG49" s="902">
        <v>0</v>
      </c>
      <c r="AH49" s="902">
        <v>0</v>
      </c>
      <c r="AI49" s="902">
        <v>0</v>
      </c>
      <c r="AJ49" s="902">
        <v>0</v>
      </c>
      <c r="AK49" s="902">
        <v>0</v>
      </c>
      <c r="AL49" s="902">
        <v>0</v>
      </c>
      <c r="AM49" s="902">
        <v>0</v>
      </c>
      <c r="AN49" s="902">
        <v>0</v>
      </c>
      <c r="AO49" s="902">
        <v>0</v>
      </c>
      <c r="AP49" s="902">
        <v>0</v>
      </c>
      <c r="AQ49" s="902">
        <v>0</v>
      </c>
      <c r="AR49" s="902">
        <v>0</v>
      </c>
      <c r="AS49" s="902">
        <v>0</v>
      </c>
      <c r="AT49" s="902">
        <v>0</v>
      </c>
      <c r="AU49" s="902">
        <v>0</v>
      </c>
      <c r="AV49" s="902">
        <v>0</v>
      </c>
    </row>
    <row r="50" spans="1:48">
      <c r="B50" s="949" t="s">
        <v>189</v>
      </c>
      <c r="AF50" s="902" t="s">
        <v>1377</v>
      </c>
      <c r="AG50" s="902">
        <v>0</v>
      </c>
      <c r="AH50" s="902">
        <v>0</v>
      </c>
      <c r="AI50" s="902">
        <v>0</v>
      </c>
      <c r="AJ50" s="902">
        <v>0</v>
      </c>
      <c r="AK50" s="902">
        <v>0</v>
      </c>
      <c r="AL50" s="902">
        <v>0</v>
      </c>
      <c r="AM50" s="902">
        <v>0</v>
      </c>
      <c r="AN50" s="902">
        <v>0</v>
      </c>
      <c r="AO50" s="902">
        <v>0</v>
      </c>
      <c r="AP50" s="902">
        <v>0</v>
      </c>
      <c r="AQ50" s="902">
        <v>0</v>
      </c>
      <c r="AR50" s="902">
        <v>0</v>
      </c>
      <c r="AS50" s="902">
        <v>0</v>
      </c>
      <c r="AT50" s="902">
        <v>0</v>
      </c>
      <c r="AU50" s="902">
        <v>0</v>
      </c>
      <c r="AV50" s="902">
        <v>0</v>
      </c>
    </row>
    <row r="51" spans="1:48">
      <c r="B51" s="954" t="s">
        <v>286</v>
      </c>
      <c r="AF51" s="902" t="s">
        <v>1376</v>
      </c>
      <c r="AG51" s="902">
        <v>0</v>
      </c>
      <c r="AH51" s="902">
        <v>0</v>
      </c>
      <c r="AI51" s="902">
        <v>0</v>
      </c>
      <c r="AJ51" s="902">
        <v>0</v>
      </c>
      <c r="AK51" s="902">
        <v>0</v>
      </c>
      <c r="AL51" s="902">
        <v>0</v>
      </c>
      <c r="AM51" s="902">
        <v>0</v>
      </c>
      <c r="AN51" s="902">
        <v>0</v>
      </c>
      <c r="AO51" s="902">
        <v>0</v>
      </c>
      <c r="AP51" s="902">
        <v>0</v>
      </c>
      <c r="AQ51" s="902">
        <v>0</v>
      </c>
      <c r="AR51" s="902">
        <v>0</v>
      </c>
      <c r="AS51" s="902">
        <v>0</v>
      </c>
      <c r="AT51" s="902">
        <v>0</v>
      </c>
      <c r="AU51" s="902">
        <v>0</v>
      </c>
      <c r="AV51" s="902">
        <v>0</v>
      </c>
    </row>
    <row r="52" spans="1:48">
      <c r="AF52" s="902" t="s">
        <v>1375</v>
      </c>
      <c r="AG52" s="902">
        <v>0</v>
      </c>
      <c r="AH52" s="902">
        <v>0</v>
      </c>
      <c r="AI52" s="902">
        <v>0</v>
      </c>
      <c r="AJ52" s="902">
        <v>0</v>
      </c>
      <c r="AK52" s="902">
        <v>0</v>
      </c>
      <c r="AL52" s="902">
        <v>0</v>
      </c>
      <c r="AM52" s="902">
        <v>0</v>
      </c>
      <c r="AN52" s="902">
        <v>0</v>
      </c>
      <c r="AO52" s="902">
        <v>0</v>
      </c>
      <c r="AP52" s="902">
        <v>0</v>
      </c>
      <c r="AQ52" s="902">
        <v>0</v>
      </c>
      <c r="AR52" s="902">
        <v>0</v>
      </c>
      <c r="AS52" s="902">
        <v>0</v>
      </c>
      <c r="AT52" s="902">
        <v>0</v>
      </c>
      <c r="AU52" s="902">
        <v>0</v>
      </c>
      <c r="AV52" s="902">
        <v>0</v>
      </c>
    </row>
    <row r="54" spans="1:48">
      <c r="B54" s="902" t="s">
        <v>768</v>
      </c>
      <c r="L54" s="940" t="s">
        <v>769</v>
      </c>
    </row>
    <row r="55" spans="1:48">
      <c r="B55" s="1676" t="s">
        <v>116</v>
      </c>
      <c r="C55" s="1677" t="s">
        <v>728</v>
      </c>
      <c r="D55" s="1671" t="s">
        <v>898</v>
      </c>
      <c r="E55" s="1591" t="s">
        <v>175</v>
      </c>
      <c r="F55" s="1677" t="s">
        <v>4</v>
      </c>
      <c r="G55" s="915" t="s">
        <v>13</v>
      </c>
      <c r="H55" s="1668" t="s">
        <v>2524</v>
      </c>
      <c r="I55" s="1591" t="s">
        <v>880</v>
      </c>
      <c r="J55" s="1668" t="s">
        <v>651</v>
      </c>
      <c r="K55" s="1591" t="s">
        <v>2522</v>
      </c>
      <c r="L55" s="1678" t="s">
        <v>86</v>
      </c>
    </row>
    <row r="56" spans="1:48">
      <c r="B56" s="1673" t="s">
        <v>2523</v>
      </c>
      <c r="C56" s="1666" t="s">
        <v>364</v>
      </c>
      <c r="D56" s="1671" t="s">
        <v>1370</v>
      </c>
      <c r="E56" s="1591" t="s">
        <v>886</v>
      </c>
      <c r="F56" s="1668" t="s">
        <v>879</v>
      </c>
      <c r="G56" s="1591" t="s">
        <v>869</v>
      </c>
      <c r="H56" s="1668" t="s">
        <v>909</v>
      </c>
      <c r="I56" s="1591" t="s">
        <v>885</v>
      </c>
      <c r="J56" s="1668" t="s">
        <v>884</v>
      </c>
      <c r="K56" s="1591" t="s">
        <v>887</v>
      </c>
      <c r="L56" s="1675" t="s">
        <v>2521</v>
      </c>
    </row>
    <row r="57" spans="1:48">
      <c r="B57" s="1674" t="s">
        <v>770</v>
      </c>
      <c r="C57" s="1672" t="s">
        <v>349</v>
      </c>
      <c r="D57" s="1669">
        <v>94.6</v>
      </c>
      <c r="E57" s="1669">
        <v>74.066699999999997</v>
      </c>
      <c r="F57" s="1669">
        <v>0</v>
      </c>
      <c r="G57" s="1669">
        <v>56.1</v>
      </c>
      <c r="H57" s="1669">
        <v>69.3</v>
      </c>
      <c r="I57" s="1669">
        <v>77.366699999999994</v>
      </c>
      <c r="J57" s="1669">
        <v>71.866699999999994</v>
      </c>
      <c r="K57" s="1669"/>
      <c r="L57" s="1670"/>
    </row>
    <row r="58" spans="1:48">
      <c r="B58" s="1674" t="s">
        <v>182</v>
      </c>
      <c r="C58" s="1669" t="s">
        <v>350</v>
      </c>
      <c r="D58" s="1669">
        <v>0.01</v>
      </c>
      <c r="E58" s="1669">
        <v>5.0000000000000001E-3</v>
      </c>
      <c r="F58" s="1669">
        <v>0</v>
      </c>
      <c r="G58" s="1669">
        <v>5.0000000000000001E-3</v>
      </c>
      <c r="H58" s="1669">
        <v>5.0000000000000001E-3</v>
      </c>
      <c r="I58" s="1669">
        <v>0.01</v>
      </c>
      <c r="J58" s="1669"/>
      <c r="K58" s="1669"/>
      <c r="L58" s="1670"/>
    </row>
    <row r="59" spans="1:48">
      <c r="B59" s="1674" t="s">
        <v>771</v>
      </c>
      <c r="C59" s="1669" t="s">
        <v>351</v>
      </c>
      <c r="D59" s="1669">
        <v>1.4E-3</v>
      </c>
      <c r="E59" s="1669"/>
      <c r="F59" s="1669">
        <v>0</v>
      </c>
      <c r="G59" s="1669"/>
      <c r="H59" s="1669"/>
      <c r="I59" s="1669"/>
      <c r="J59" s="1669"/>
      <c r="K59" s="1669"/>
      <c r="L59" s="1670"/>
    </row>
    <row r="60" spans="1:48">
      <c r="B60" s="1674" t="s">
        <v>772</v>
      </c>
      <c r="C60" s="1669" t="s">
        <v>773</v>
      </c>
      <c r="D60" s="1669">
        <v>0.45440000000000003</v>
      </c>
      <c r="E60" s="1669">
        <v>0.25290000000000001</v>
      </c>
      <c r="F60" s="1669">
        <v>0</v>
      </c>
      <c r="G60" s="1669">
        <v>0</v>
      </c>
      <c r="H60" s="1669">
        <v>4.6699999999999998E-2</v>
      </c>
      <c r="I60" s="1669">
        <v>1.5290999999999999</v>
      </c>
      <c r="J60" s="1669"/>
      <c r="K60" s="1669"/>
      <c r="L60" s="1670"/>
    </row>
    <row r="61" spans="1:48">
      <c r="B61" s="918" t="s">
        <v>774</v>
      </c>
      <c r="C61" s="1667" t="s">
        <v>719</v>
      </c>
      <c r="D61" s="1667">
        <v>0.1</v>
      </c>
      <c r="E61" s="1667">
        <v>0.1</v>
      </c>
      <c r="F61" s="1667">
        <v>0</v>
      </c>
      <c r="G61" s="1667">
        <v>0.05</v>
      </c>
      <c r="H61" s="1667">
        <v>0.1</v>
      </c>
      <c r="I61" s="1667">
        <v>0.1</v>
      </c>
      <c r="J61" s="1667"/>
      <c r="K61" s="1667"/>
      <c r="L61" s="919"/>
    </row>
    <row r="62" spans="1:48">
      <c r="B62" s="1084" t="s">
        <v>2526</v>
      </c>
    </row>
    <row r="63" spans="1:48">
      <c r="B63" s="1084" t="s">
        <v>2525</v>
      </c>
    </row>
    <row r="72" spans="1:49" ht="18">
      <c r="B72" s="925" t="s">
        <v>360</v>
      </c>
      <c r="AF72" s="902" t="s">
        <v>1370</v>
      </c>
      <c r="AG72" s="902">
        <v>70</v>
      </c>
      <c r="AH72" s="902">
        <v>3.0000000000000001E-3</v>
      </c>
      <c r="AI72" s="902">
        <v>5.9999999999999995E-4</v>
      </c>
      <c r="AJ72" s="902">
        <v>4.6699999999999998E-2</v>
      </c>
      <c r="AK72" s="902">
        <v>0.3</v>
      </c>
      <c r="AL72" s="902">
        <v>0.1</v>
      </c>
      <c r="AM72" s="902">
        <v>0.05</v>
      </c>
      <c r="AN72" s="902">
        <v>0</v>
      </c>
      <c r="AO72" s="902">
        <v>0</v>
      </c>
      <c r="AP72" s="902">
        <v>0</v>
      </c>
      <c r="AQ72" s="902">
        <v>0</v>
      </c>
      <c r="AR72" s="902">
        <v>0</v>
      </c>
      <c r="AS72" s="902">
        <v>0</v>
      </c>
      <c r="AT72" s="902">
        <v>0</v>
      </c>
      <c r="AU72" s="902">
        <v>0</v>
      </c>
      <c r="AV72" s="902">
        <v>0</v>
      </c>
    </row>
    <row r="73" spans="1:49">
      <c r="B73" s="902" t="s">
        <v>510</v>
      </c>
      <c r="I73" s="940" t="str">
        <f>"Mt CO2e per " &amp; Preferences.EnergyUnits</f>
        <v>Mt CO2e per PJ</v>
      </c>
      <c r="AF73" s="902" t="s">
        <v>1374</v>
      </c>
      <c r="AG73" s="902">
        <v>73.3</v>
      </c>
      <c r="AH73" s="902">
        <v>3.0000000000000001E-3</v>
      </c>
      <c r="AI73" s="902">
        <v>5.9999999999999995E-4</v>
      </c>
      <c r="AJ73" s="902">
        <v>0</v>
      </c>
      <c r="AK73" s="902">
        <v>0</v>
      </c>
      <c r="AL73" s="902">
        <v>0</v>
      </c>
      <c r="AM73" s="902">
        <v>0</v>
      </c>
      <c r="AN73" s="902">
        <v>0</v>
      </c>
      <c r="AO73" s="902">
        <v>0</v>
      </c>
      <c r="AP73" s="902">
        <v>0</v>
      </c>
      <c r="AQ73" s="902">
        <v>0</v>
      </c>
      <c r="AR73" s="902">
        <v>0</v>
      </c>
      <c r="AS73" s="902">
        <v>0</v>
      </c>
      <c r="AT73" s="902">
        <v>0</v>
      </c>
      <c r="AU73" s="902">
        <v>0</v>
      </c>
      <c r="AV73" s="902">
        <v>0</v>
      </c>
    </row>
    <row r="74" spans="1:49" ht="13.5" customHeight="1">
      <c r="AF74" s="902" t="s">
        <v>886</v>
      </c>
      <c r="AG74" s="902">
        <v>74.066699999999997</v>
      </c>
      <c r="AH74" s="902">
        <v>3.0000000000000001E-3</v>
      </c>
      <c r="AI74" s="902">
        <v>5.9999999999999995E-4</v>
      </c>
      <c r="AJ74" s="902">
        <v>0.25290000000000001</v>
      </c>
      <c r="AK74" s="902">
        <v>0.2</v>
      </c>
      <c r="AL74" s="902">
        <v>1.4999999999999999E-2</v>
      </c>
      <c r="AM74" s="902">
        <v>5.0000000000000001E-3</v>
      </c>
      <c r="AN74" s="902">
        <v>0</v>
      </c>
      <c r="AO74" s="902">
        <v>0</v>
      </c>
      <c r="AP74" s="902">
        <v>0</v>
      </c>
      <c r="AQ74" s="902">
        <v>0</v>
      </c>
      <c r="AR74" s="902">
        <v>0</v>
      </c>
      <c r="AS74" s="902">
        <v>0</v>
      </c>
      <c r="AT74" s="902">
        <v>0</v>
      </c>
      <c r="AU74" s="902">
        <v>0</v>
      </c>
      <c r="AV74" s="902">
        <v>0</v>
      </c>
    </row>
    <row r="75" spans="1:49" ht="17">
      <c r="A75" s="953"/>
      <c r="B75" s="1060" t="s">
        <v>1876</v>
      </c>
      <c r="C75" s="941" t="s">
        <v>59</v>
      </c>
      <c r="D75" s="1084" t="s">
        <v>1354</v>
      </c>
      <c r="E75" s="1084" t="s">
        <v>1858</v>
      </c>
      <c r="F75" s="941" t="s">
        <v>349</v>
      </c>
      <c r="G75" s="941" t="s">
        <v>350</v>
      </c>
      <c r="H75" s="941" t="s">
        <v>351</v>
      </c>
      <c r="I75" s="941" t="s">
        <v>556</v>
      </c>
      <c r="J75" s="941" t="s">
        <v>197</v>
      </c>
      <c r="AG75" s="902" t="s">
        <v>909</v>
      </c>
      <c r="AH75" s="902">
        <v>69.3</v>
      </c>
      <c r="AI75" s="902">
        <v>3.0000000000000001E-3</v>
      </c>
      <c r="AJ75" s="902">
        <v>5.9999999999999995E-4</v>
      </c>
      <c r="AK75" s="902">
        <v>4.6699999999999998E-2</v>
      </c>
      <c r="AL75" s="902">
        <v>0.6</v>
      </c>
      <c r="AM75" s="902">
        <v>8</v>
      </c>
      <c r="AN75" s="902">
        <v>1.5</v>
      </c>
      <c r="AO75" s="902">
        <v>0</v>
      </c>
      <c r="AP75" s="902">
        <v>0</v>
      </c>
      <c r="AQ75" s="902">
        <v>0</v>
      </c>
      <c r="AR75" s="902">
        <v>0</v>
      </c>
      <c r="AS75" s="902">
        <v>0</v>
      </c>
      <c r="AT75" s="902">
        <v>0</v>
      </c>
      <c r="AU75" s="902">
        <v>0</v>
      </c>
      <c r="AV75" s="902">
        <v>0</v>
      </c>
      <c r="AW75" s="902">
        <v>0</v>
      </c>
    </row>
    <row r="76" spans="1:49" ht="15">
      <c r="A76" s="942"/>
      <c r="B76" s="941" t="s">
        <v>25</v>
      </c>
      <c r="C76" s="941" t="str">
        <f>INDEX(Vectors[Description], MATCH(EF[UK Vector],Vectors[Code], 0))</f>
        <v>Conversion losses</v>
      </c>
      <c r="F76" s="951">
        <v>0</v>
      </c>
      <c r="G76" s="951">
        <v>0</v>
      </c>
      <c r="H76" s="951">
        <v>0</v>
      </c>
      <c r="I76" s="951">
        <f>SUM(EF[[#This Row],[SATIM Code]:[N2O]])</f>
        <v>0</v>
      </c>
      <c r="J76" s="941"/>
      <c r="P76" s="1595"/>
      <c r="Q76" s="1595"/>
      <c r="R76" s="1595"/>
      <c r="AG76" s="902" t="s">
        <v>885</v>
      </c>
      <c r="AH76" s="902">
        <v>77.400000000000006</v>
      </c>
      <c r="AI76" s="902">
        <v>3.0000000000000001E-3</v>
      </c>
      <c r="AJ76" s="902">
        <v>5.9999999999999995E-4</v>
      </c>
      <c r="AK76" s="902">
        <v>1.5290999999999999</v>
      </c>
      <c r="AL76" s="902">
        <v>0.2</v>
      </c>
      <c r="AM76" s="902">
        <v>0.01</v>
      </c>
      <c r="AN76" s="902">
        <v>5.0000000000000001E-3</v>
      </c>
      <c r="AO76" s="902">
        <v>0</v>
      </c>
      <c r="AP76" s="902">
        <v>0</v>
      </c>
      <c r="AQ76" s="902">
        <v>0</v>
      </c>
      <c r="AR76" s="902">
        <v>0</v>
      </c>
      <c r="AS76" s="902">
        <v>0</v>
      </c>
      <c r="AT76" s="902">
        <v>0</v>
      </c>
      <c r="AU76" s="902">
        <v>0</v>
      </c>
      <c r="AV76" s="902">
        <v>0</v>
      </c>
      <c r="AW76" s="902">
        <v>0</v>
      </c>
    </row>
    <row r="77" spans="1:49" ht="15">
      <c r="A77" s="942"/>
      <c r="B77" s="941" t="s">
        <v>26</v>
      </c>
      <c r="C77" s="941" t="str">
        <f>INDEX(Vectors[Description], MATCH(EF[UK Vector],Vectors[Code], 0))</f>
        <v>Distribution losses and own use</v>
      </c>
      <c r="F77" s="951">
        <v>0</v>
      </c>
      <c r="G77" s="951">
        <v>0</v>
      </c>
      <c r="H77" s="951">
        <v>0</v>
      </c>
      <c r="I77" s="951">
        <f>SUM(EF[[#This Row],[SATIM Code]:[N2O]])</f>
        <v>0</v>
      </c>
      <c r="J77" s="941"/>
      <c r="P77" s="1595"/>
      <c r="Q77" s="1456"/>
      <c r="R77" s="1595"/>
      <c r="AG77" s="902" t="s">
        <v>884</v>
      </c>
      <c r="AH77" s="902">
        <v>72.900000000000006</v>
      </c>
      <c r="AI77" s="902">
        <v>3.0000000000000001E-3</v>
      </c>
      <c r="AJ77" s="902">
        <v>5.9999999999999995E-4</v>
      </c>
      <c r="AK77" s="902">
        <v>4.5900000000000003E-2</v>
      </c>
      <c r="AL77" s="902">
        <v>0.2</v>
      </c>
      <c r="AM77" s="902">
        <v>0.01</v>
      </c>
      <c r="AN77" s="902">
        <v>5.0000000000000001E-3</v>
      </c>
      <c r="AO77" s="902">
        <v>0</v>
      </c>
      <c r="AP77" s="902">
        <v>0</v>
      </c>
      <c r="AQ77" s="902">
        <v>0</v>
      </c>
      <c r="AR77" s="902">
        <v>0</v>
      </c>
      <c r="AS77" s="902">
        <v>0</v>
      </c>
      <c r="AT77" s="902">
        <v>0</v>
      </c>
      <c r="AU77" s="902">
        <v>0</v>
      </c>
      <c r="AV77" s="902">
        <v>0</v>
      </c>
      <c r="AW77" s="902">
        <v>0</v>
      </c>
    </row>
    <row r="78" spans="1:49" ht="15">
      <c r="A78" s="942"/>
      <c r="B78" s="941" t="s">
        <v>47</v>
      </c>
      <c r="C78" s="941" t="str">
        <f>INDEX(Vectors[Description], MATCH(EF[UK Vector],Vectors[Code], 0))</f>
        <v>Unallocated</v>
      </c>
      <c r="F78" s="951">
        <v>0</v>
      </c>
      <c r="G78" s="951">
        <v>0</v>
      </c>
      <c r="H78" s="951">
        <v>0</v>
      </c>
      <c r="I78" s="951">
        <f>SUM(EF[[#This Row],[SATIM Code]:[N2O]])</f>
        <v>0</v>
      </c>
      <c r="J78" s="941"/>
      <c r="P78" s="1595"/>
      <c r="Q78" s="1595"/>
      <c r="R78" s="1595"/>
      <c r="AG78" s="902" t="s">
        <v>887</v>
      </c>
      <c r="AH78" s="902">
        <v>63.1</v>
      </c>
      <c r="AI78" s="902">
        <v>3.0000000000000001E-3</v>
      </c>
      <c r="AJ78" s="902">
        <v>1E-4</v>
      </c>
      <c r="AK78" s="902">
        <v>5.4089999999999998</v>
      </c>
      <c r="AL78" s="902">
        <v>1.2460000000000001E-2</v>
      </c>
      <c r="AM78" s="902">
        <v>0.182</v>
      </c>
      <c r="AN78" s="902">
        <v>2.3699999999999999E-2</v>
      </c>
      <c r="AO78" s="902">
        <v>0</v>
      </c>
      <c r="AP78" s="902">
        <v>0</v>
      </c>
      <c r="AQ78" s="902">
        <v>0</v>
      </c>
      <c r="AR78" s="902">
        <v>0</v>
      </c>
      <c r="AS78" s="902">
        <v>0</v>
      </c>
      <c r="AT78" s="902">
        <v>0</v>
      </c>
      <c r="AU78" s="902">
        <v>0</v>
      </c>
      <c r="AV78" s="902">
        <v>0</v>
      </c>
      <c r="AW78" s="902">
        <v>0</v>
      </c>
    </row>
    <row r="79" spans="1:49" ht="15">
      <c r="A79" s="942"/>
      <c r="B79" s="941" t="s">
        <v>27</v>
      </c>
      <c r="C79" s="941" t="str">
        <f>INDEX(Vectors[Description], MATCH(EF[UK Vector],Vectors[Code], 0))</f>
        <v>Road transport</v>
      </c>
      <c r="F79" s="951">
        <v>0</v>
      </c>
      <c r="G79" s="951">
        <v>0</v>
      </c>
      <c r="H79" s="951">
        <v>0</v>
      </c>
      <c r="I79" s="951">
        <f>SUM(EF[[#This Row],[SATIM Code]:[N2O]])</f>
        <v>0</v>
      </c>
      <c r="J79" s="941"/>
      <c r="P79" s="1595"/>
      <c r="Q79" s="1595"/>
      <c r="R79" s="1595"/>
      <c r="AG79" s="902" t="s">
        <v>1373</v>
      </c>
      <c r="AH79" s="902">
        <v>0</v>
      </c>
      <c r="AI79" s="902">
        <v>0</v>
      </c>
      <c r="AJ79" s="902">
        <v>0</v>
      </c>
      <c r="AK79" s="902">
        <v>0</v>
      </c>
      <c r="AL79" s="902">
        <v>0</v>
      </c>
      <c r="AM79" s="902">
        <v>0</v>
      </c>
      <c r="AN79" s="902">
        <v>0</v>
      </c>
      <c r="AO79" s="902">
        <v>0</v>
      </c>
      <c r="AP79" s="902">
        <v>0</v>
      </c>
      <c r="AQ79" s="902">
        <v>0</v>
      </c>
      <c r="AR79" s="902">
        <v>0</v>
      </c>
      <c r="AS79" s="902">
        <v>0</v>
      </c>
      <c r="AT79" s="902">
        <v>0</v>
      </c>
      <c r="AU79" s="902">
        <v>0</v>
      </c>
      <c r="AV79" s="902">
        <v>0</v>
      </c>
      <c r="AW79" s="902">
        <v>0</v>
      </c>
    </row>
    <row r="80" spans="1:49" ht="15">
      <c r="A80" s="942"/>
      <c r="B80" s="941" t="s">
        <v>28</v>
      </c>
      <c r="C80" s="941" t="str">
        <f>INDEX(Vectors[Description], MATCH(EF[UK Vector],Vectors[Code], 0))</f>
        <v>Rail transport</v>
      </c>
      <c r="F80" s="951">
        <v>0</v>
      </c>
      <c r="G80" s="951">
        <v>0</v>
      </c>
      <c r="H80" s="951">
        <v>0</v>
      </c>
      <c r="I80" s="951">
        <f>SUM(EF[[#This Row],[SATIM Code]:[N2O]])</f>
        <v>0</v>
      </c>
      <c r="J80" s="941"/>
      <c r="P80" s="1456"/>
      <c r="Q80" s="1456"/>
      <c r="R80" s="1456"/>
      <c r="AG80" s="902" t="s">
        <v>1372</v>
      </c>
      <c r="AH80" s="902">
        <v>0</v>
      </c>
      <c r="AI80" s="902">
        <v>0</v>
      </c>
      <c r="AJ80" s="902">
        <v>0</v>
      </c>
      <c r="AK80" s="902">
        <v>0</v>
      </c>
      <c r="AL80" s="902">
        <v>0</v>
      </c>
      <c r="AM80" s="902">
        <v>0</v>
      </c>
      <c r="AN80" s="902">
        <v>0</v>
      </c>
      <c r="AO80" s="902">
        <v>0</v>
      </c>
      <c r="AP80" s="902">
        <v>0</v>
      </c>
      <c r="AQ80" s="902">
        <v>0</v>
      </c>
      <c r="AR80" s="902">
        <v>0</v>
      </c>
      <c r="AS80" s="902">
        <v>0</v>
      </c>
      <c r="AT80" s="902">
        <v>0</v>
      </c>
      <c r="AU80" s="902">
        <v>0</v>
      </c>
      <c r="AV80" s="902">
        <v>0</v>
      </c>
      <c r="AW80" s="902">
        <v>0</v>
      </c>
    </row>
    <row r="81" spans="1:49" ht="15">
      <c r="A81" s="942"/>
      <c r="B81" s="941" t="s">
        <v>29</v>
      </c>
      <c r="C81" s="941" t="str">
        <f>INDEX(Vectors[Description], MATCH(EF[UK Vector],Vectors[Code], 0))</f>
        <v>Domestic aviation</v>
      </c>
      <c r="F81" s="951">
        <v>0</v>
      </c>
      <c r="G81" s="951">
        <v>0</v>
      </c>
      <c r="H81" s="951">
        <v>0</v>
      </c>
      <c r="I81" s="951">
        <f>SUM(EF[[#This Row],[SATIM Code]:[N2O]])</f>
        <v>0</v>
      </c>
      <c r="J81" s="941"/>
      <c r="AG81" s="902" t="s">
        <v>1371</v>
      </c>
      <c r="AH81" s="902">
        <v>0</v>
      </c>
      <c r="AI81" s="902">
        <v>0</v>
      </c>
      <c r="AJ81" s="902">
        <v>0</v>
      </c>
      <c r="AK81" s="902">
        <v>0</v>
      </c>
      <c r="AL81" s="902">
        <v>0</v>
      </c>
      <c r="AM81" s="902">
        <v>0</v>
      </c>
      <c r="AN81" s="902">
        <v>0</v>
      </c>
      <c r="AO81" s="902">
        <v>0</v>
      </c>
      <c r="AP81" s="902">
        <v>0</v>
      </c>
      <c r="AQ81" s="902">
        <v>0</v>
      </c>
      <c r="AR81" s="902">
        <v>0</v>
      </c>
      <c r="AS81" s="902">
        <v>0</v>
      </c>
      <c r="AT81" s="902">
        <v>0</v>
      </c>
      <c r="AU81" s="902">
        <v>0</v>
      </c>
      <c r="AV81" s="902">
        <v>0</v>
      </c>
      <c r="AW81" s="902">
        <v>0</v>
      </c>
    </row>
    <row r="82" spans="1:49" ht="15">
      <c r="A82" s="942"/>
      <c r="B82" s="941" t="s">
        <v>30</v>
      </c>
      <c r="C82" s="941" t="str">
        <f>INDEX(Vectors[Description], MATCH(EF[UK Vector],Vectors[Code], 0))</f>
        <v>National navigation</v>
      </c>
      <c r="F82" s="951">
        <v>0</v>
      </c>
      <c r="G82" s="951">
        <v>0</v>
      </c>
      <c r="H82" s="951">
        <v>0</v>
      </c>
      <c r="I82" s="951">
        <f>SUM(EF[[#This Row],[SATIM Code]:[N2O]])</f>
        <v>0</v>
      </c>
      <c r="J82" s="941"/>
      <c r="AG82" s="902" t="s">
        <v>890</v>
      </c>
      <c r="AH82" s="902">
        <v>74.066699999999997</v>
      </c>
      <c r="AI82" s="902">
        <v>3.0000000000000001E-3</v>
      </c>
      <c r="AJ82" s="902">
        <v>5.9999999999999995E-4</v>
      </c>
      <c r="AK82" s="902">
        <v>0.25290000000000001</v>
      </c>
      <c r="AL82" s="902">
        <v>0.2</v>
      </c>
      <c r="AM82" s="902">
        <v>1.4999999999999999E-2</v>
      </c>
      <c r="AN82" s="902">
        <v>5.0000000000000001E-3</v>
      </c>
      <c r="AO82" s="902">
        <v>0</v>
      </c>
      <c r="AP82" s="902">
        <v>0</v>
      </c>
      <c r="AQ82" s="902">
        <v>0</v>
      </c>
      <c r="AR82" s="902">
        <v>0</v>
      </c>
      <c r="AS82" s="902">
        <v>0</v>
      </c>
      <c r="AT82" s="902">
        <v>0</v>
      </c>
      <c r="AU82" s="902">
        <v>0</v>
      </c>
      <c r="AV82" s="902">
        <v>0</v>
      </c>
      <c r="AW82" s="902">
        <v>0</v>
      </c>
    </row>
    <row r="83" spans="1:49" ht="15">
      <c r="A83" s="942"/>
      <c r="B83" s="941" t="s">
        <v>308</v>
      </c>
      <c r="C83" s="941" t="str">
        <f>INDEX(Vectors[Description], MATCH(EF[UK Vector],Vectors[Code], 0))</f>
        <v>International aviation</v>
      </c>
      <c r="F83" s="951">
        <v>0</v>
      </c>
      <c r="G83" s="951">
        <v>0</v>
      </c>
      <c r="H83" s="951">
        <v>0</v>
      </c>
      <c r="I83" s="951">
        <f>SUM(EF[[#This Row],[SATIM Code]:[N2O]])</f>
        <v>0</v>
      </c>
      <c r="J83" s="941"/>
    </row>
    <row r="84" spans="1:49" ht="15">
      <c r="A84" s="942"/>
      <c r="B84" s="941" t="s">
        <v>309</v>
      </c>
      <c r="C84" s="941" t="str">
        <f>INDEX(Vectors[Description], MATCH(EF[UK Vector],Vectors[Code], 0))</f>
        <v>International shipping</v>
      </c>
      <c r="F84" s="951">
        <v>0</v>
      </c>
      <c r="G84" s="951">
        <v>0</v>
      </c>
      <c r="H84" s="951">
        <v>0</v>
      </c>
      <c r="I84" s="951">
        <f>SUM(EF[[#This Row],[SATIM Code]:[N2O]])</f>
        <v>0</v>
      </c>
      <c r="J84" s="941"/>
    </row>
    <row r="85" spans="1:49" ht="15">
      <c r="A85" s="942"/>
      <c r="B85" s="941" t="s">
        <v>12</v>
      </c>
      <c r="C85" s="941" t="str">
        <f>INDEX(Vectors[Description], MATCH(EF[UK Vector],Vectors[Code], 0))</f>
        <v>Industry</v>
      </c>
      <c r="F85" s="951">
        <v>0</v>
      </c>
      <c r="G85" s="951">
        <v>0</v>
      </c>
      <c r="H85" s="951">
        <v>0</v>
      </c>
      <c r="I85" s="951">
        <f>SUM(EF[[#This Row],[SATIM Code]:[N2O]])</f>
        <v>0</v>
      </c>
      <c r="J85" s="941"/>
    </row>
    <row r="86" spans="1:49" ht="15">
      <c r="A86" s="942"/>
      <c r="B86" s="941" t="s">
        <v>5</v>
      </c>
      <c r="C86" s="941" t="str">
        <f>INDEX(Vectors[Description], MATCH(EF[UK Vector],Vectors[Code], 0))</f>
        <v>Space Heating</v>
      </c>
      <c r="F86" s="951">
        <v>0</v>
      </c>
      <c r="G86" s="951">
        <v>0</v>
      </c>
      <c r="H86" s="951">
        <v>0</v>
      </c>
      <c r="I86" s="951">
        <f>SUM(EF[[#This Row],[SATIM Code]:[N2O]])</f>
        <v>0</v>
      </c>
      <c r="J86" s="941"/>
    </row>
    <row r="87" spans="1:49" ht="15">
      <c r="A87" s="942"/>
      <c r="B87" s="941" t="s">
        <v>43</v>
      </c>
      <c r="C87" s="941" t="str">
        <f>INDEX(Vectors[Description], MATCH(EF[UK Vector],Vectors[Code], 0))</f>
        <v>Lighting</v>
      </c>
      <c r="F87" s="951">
        <v>0</v>
      </c>
      <c r="G87" s="951">
        <v>0</v>
      </c>
      <c r="H87" s="951">
        <v>0</v>
      </c>
      <c r="I87" s="951">
        <f>SUM(EF[[#This Row],[SATIM Code]:[N2O]])</f>
        <v>0</v>
      </c>
      <c r="J87" s="941"/>
    </row>
    <row r="88" spans="1:49" ht="15">
      <c r="A88" s="942"/>
      <c r="B88" s="941" t="s">
        <v>31</v>
      </c>
      <c r="C88" s="941" t="str">
        <f>INDEX(Vectors[Description], MATCH(EF[UK Vector],Vectors[Code], 0))</f>
        <v>Food consumption [UNUSED]</v>
      </c>
      <c r="F88" s="951">
        <v>0</v>
      </c>
      <c r="G88" s="951">
        <v>0</v>
      </c>
      <c r="H88" s="951">
        <v>0</v>
      </c>
      <c r="I88" s="951">
        <f>SUM(EF[[#This Row],[SATIM Code]:[N2O]])</f>
        <v>0</v>
      </c>
      <c r="J88" s="941"/>
    </row>
    <row r="89" spans="1:49" ht="15">
      <c r="A89" s="942"/>
      <c r="B89" s="941" t="s">
        <v>6</v>
      </c>
      <c r="C89" s="941" t="str">
        <f>INDEX(Vectors[Description], MATCH(EF[UK Vector],Vectors[Code], 0))</f>
        <v>Nuclear fission</v>
      </c>
      <c r="F89" s="951">
        <v>0</v>
      </c>
      <c r="G89" s="951">
        <v>0</v>
      </c>
      <c r="H89" s="951">
        <v>0</v>
      </c>
      <c r="I89" s="951">
        <f>SUM(EF[[#This Row],[SATIM Code]:[N2O]])</f>
        <v>0</v>
      </c>
      <c r="J89" s="941"/>
    </row>
    <row r="90" spans="1:49" ht="15">
      <c r="A90" s="942"/>
      <c r="B90" s="941" t="s">
        <v>24</v>
      </c>
      <c r="C90" s="941" t="str">
        <f>INDEX(Vectors[Description], MATCH(EF[UK Vector],Vectors[Code], 0))</f>
        <v>Solar</v>
      </c>
      <c r="F90" s="951">
        <v>0</v>
      </c>
      <c r="G90" s="951">
        <v>0</v>
      </c>
      <c r="H90" s="951">
        <v>0</v>
      </c>
      <c r="I90" s="951">
        <f>SUM(EF[[#This Row],[SATIM Code]:[N2O]])</f>
        <v>0</v>
      </c>
      <c r="J90" s="941"/>
    </row>
    <row r="91" spans="1:49" ht="15">
      <c r="A91" s="942"/>
      <c r="B91" s="941" t="s">
        <v>7</v>
      </c>
      <c r="C91" s="941" t="str">
        <f>INDEX(Vectors[Description], MATCH(EF[UK Vector],Vectors[Code], 0))</f>
        <v>Wind</v>
      </c>
      <c r="F91" s="951">
        <v>0</v>
      </c>
      <c r="G91" s="951">
        <v>0</v>
      </c>
      <c r="H91" s="951">
        <v>0</v>
      </c>
      <c r="I91" s="951">
        <f>SUM(EF[[#This Row],[SATIM Code]:[N2O]])</f>
        <v>0</v>
      </c>
      <c r="J91" s="941"/>
    </row>
    <row r="92" spans="1:49" ht="15">
      <c r="A92" s="942"/>
      <c r="B92" s="941" t="s">
        <v>8</v>
      </c>
      <c r="C92" s="941" t="str">
        <f>INDEX(Vectors[Description], MATCH(EF[UK Vector],Vectors[Code], 0))</f>
        <v>Tidal</v>
      </c>
      <c r="F92" s="951">
        <v>0</v>
      </c>
      <c r="G92" s="951">
        <v>0</v>
      </c>
      <c r="H92" s="951">
        <v>0</v>
      </c>
      <c r="I92" s="951">
        <f>SUM(EF[[#This Row],[SATIM Code]:[N2O]])</f>
        <v>0</v>
      </c>
      <c r="J92" s="941"/>
    </row>
    <row r="93" spans="1:49" ht="15">
      <c r="A93" s="942"/>
      <c r="B93" s="941" t="s">
        <v>9</v>
      </c>
      <c r="C93" s="941" t="str">
        <f>INDEX(Vectors[Description], MATCH(EF[UK Vector],Vectors[Code], 0))</f>
        <v>Wave</v>
      </c>
      <c r="F93" s="951">
        <v>0</v>
      </c>
      <c r="G93" s="951">
        <v>0</v>
      </c>
      <c r="H93" s="951">
        <v>0</v>
      </c>
      <c r="I93" s="951">
        <f>SUM(EF[[#This Row],[SATIM Code]:[N2O]])</f>
        <v>0</v>
      </c>
      <c r="J93" s="941"/>
    </row>
    <row r="94" spans="1:49" ht="15">
      <c r="A94" s="942"/>
      <c r="B94" s="941" t="s">
        <v>10</v>
      </c>
      <c r="C94" s="941" t="str">
        <f>INDEX(Vectors[Description], MATCH(EF[UK Vector],Vectors[Code], 0))</f>
        <v>Geothermal</v>
      </c>
      <c r="F94" s="951">
        <v>0</v>
      </c>
      <c r="G94" s="951">
        <v>0</v>
      </c>
      <c r="H94" s="951">
        <v>0</v>
      </c>
      <c r="I94" s="951">
        <f>SUM(EF[[#This Row],[SATIM Code]:[N2O]])</f>
        <v>0</v>
      </c>
      <c r="J94" s="941"/>
    </row>
    <row r="95" spans="1:49" ht="15">
      <c r="A95" s="942"/>
      <c r="B95" s="941" t="s">
        <v>11</v>
      </c>
      <c r="C95" s="941" t="str">
        <f>INDEX(Vectors[Description], MATCH(EF[UK Vector],Vectors[Code], 0))</f>
        <v>Hydro</v>
      </c>
      <c r="F95" s="951">
        <v>0</v>
      </c>
      <c r="G95" s="951">
        <v>0</v>
      </c>
      <c r="H95" s="951">
        <v>0</v>
      </c>
      <c r="I95" s="951">
        <f>SUM(EF[[#This Row],[SATIM Code]:[N2O]])</f>
        <v>0</v>
      </c>
      <c r="J95" s="941"/>
    </row>
    <row r="96" spans="1:49" ht="15">
      <c r="A96" s="942"/>
      <c r="B96" s="941" t="s">
        <v>84</v>
      </c>
      <c r="C96" s="941" t="str">
        <f>INDEX(Vectors[Description], MATCH(EF[UK Vector],Vectors[Code], 0))</f>
        <v>Environmental heat</v>
      </c>
      <c r="F96" s="951">
        <v>0</v>
      </c>
      <c r="G96" s="951">
        <v>0</v>
      </c>
      <c r="H96" s="951">
        <v>0</v>
      </c>
      <c r="I96" s="951">
        <f>SUM(EF[[#This Row],[SATIM Code]:[N2O]])</f>
        <v>0</v>
      </c>
      <c r="J96" s="941"/>
    </row>
    <row r="97" spans="1:12" ht="15">
      <c r="A97" s="942"/>
      <c r="B97" s="941" t="s">
        <v>332</v>
      </c>
      <c r="C97" s="941" t="str">
        <f>INDEX(Vectors[Description], MATCH(EF[UK Vector],Vectors[Code], 0))</f>
        <v>Agriculture</v>
      </c>
      <c r="F97" s="951">
        <v>0</v>
      </c>
      <c r="G97" s="951">
        <v>0</v>
      </c>
      <c r="H97" s="951">
        <v>0</v>
      </c>
      <c r="I97" s="951">
        <f>SUM(EF[[#This Row],[SATIM Code]:[N2O]])</f>
        <v>0</v>
      </c>
      <c r="J97" s="941"/>
    </row>
    <row r="98" spans="1:12" ht="15">
      <c r="A98" s="942"/>
      <c r="B98" s="941" t="s">
        <v>42</v>
      </c>
      <c r="C98" s="941" t="str">
        <f>INDEX(Vectors[Description], MATCH(EF[UK Vector],Vectors[Code], 0))</f>
        <v>Waste</v>
      </c>
      <c r="F98" s="951">
        <v>0</v>
      </c>
      <c r="G98" s="951">
        <v>0</v>
      </c>
      <c r="H98" s="951">
        <v>0</v>
      </c>
      <c r="I98" s="951">
        <f>SUM(EF[[#This Row],[SATIM Code]:[N2O]])</f>
        <v>0</v>
      </c>
      <c r="J98" s="941"/>
    </row>
    <row r="99" spans="1:12" ht="15">
      <c r="A99" s="942"/>
      <c r="B99" s="941" t="s">
        <v>45</v>
      </c>
      <c r="C99" s="941" t="str">
        <f>INDEX(Vectors[Description], MATCH(EF[UK Vector],Vectors[Code], 0))</f>
        <v xml:space="preserve">Biomass </v>
      </c>
      <c r="F99" s="951">
        <v>0</v>
      </c>
      <c r="G99" s="951">
        <v>0</v>
      </c>
      <c r="H99" s="951">
        <v>0</v>
      </c>
      <c r="I99" s="951">
        <f>SUM(EF[[#This Row],[SATIM Code]:[N2O]])</f>
        <v>0</v>
      </c>
      <c r="J99" s="941"/>
    </row>
    <row r="100" spans="1:12" ht="15">
      <c r="A100" s="942"/>
      <c r="B100" s="941" t="s">
        <v>46</v>
      </c>
      <c r="C100" s="941" t="str">
        <f>INDEX(Vectors[Description], MATCH(EF[UK Vector],Vectors[Code], 0))</f>
        <v>Electricity oversupply (imports)</v>
      </c>
      <c r="F100" s="951">
        <v>0</v>
      </c>
      <c r="G100" s="951">
        <v>0</v>
      </c>
      <c r="H100" s="951">
        <v>0</v>
      </c>
      <c r="I100" s="951">
        <f>SUM(EF[[#This Row],[SATIM Code]:[N2O]])</f>
        <v>0</v>
      </c>
      <c r="J100" s="941"/>
    </row>
    <row r="101" spans="1:12" ht="15">
      <c r="A101" s="942"/>
      <c r="B101" s="941" t="s">
        <v>259</v>
      </c>
      <c r="C101" s="941" t="str">
        <f>INDEX(Vectors[Description], MATCH(EF[UK Vector],Vectors[Code], 0))</f>
        <v>Petroleum products oversupply</v>
      </c>
      <c r="F101" s="951">
        <v>0</v>
      </c>
      <c r="G101" s="951">
        <v>0</v>
      </c>
      <c r="H101" s="951">
        <v>0</v>
      </c>
      <c r="I101" s="951">
        <f>SUM(EF[[#This Row],[SATIM Code]:[N2O]])</f>
        <v>0</v>
      </c>
      <c r="J101" s="941"/>
    </row>
    <row r="102" spans="1:12" ht="15">
      <c r="A102" s="942"/>
      <c r="B102" s="941" t="s">
        <v>316</v>
      </c>
      <c r="C102" s="941" t="str">
        <f>INDEX(Vectors[Description], MATCH(EF[UK Vector],Vectors[Code], 0))</f>
        <v>Coal oversupply (imports)</v>
      </c>
      <c r="F102" s="951">
        <v>0</v>
      </c>
      <c r="G102" s="951">
        <v>0</v>
      </c>
      <c r="H102" s="951">
        <v>0</v>
      </c>
      <c r="I102" s="951">
        <f>SUM(EF[[#This Row],[SATIM Code]:[N2O]])</f>
        <v>0</v>
      </c>
      <c r="J102" s="941"/>
    </row>
    <row r="103" spans="1:12" ht="15">
      <c r="A103" s="942"/>
      <c r="B103" s="941" t="s">
        <v>317</v>
      </c>
      <c r="C103" s="941" t="str">
        <f>INDEX(Vectors[Description], MATCH(EF[UK Vector],Vectors[Code], 0))</f>
        <v>Oil and petroleum products oversupply (imports)</v>
      </c>
      <c r="F103" s="951">
        <v>0</v>
      </c>
      <c r="G103" s="951">
        <v>0</v>
      </c>
      <c r="H103" s="951">
        <v>0</v>
      </c>
      <c r="I103" s="951">
        <f>SUM(EF[[#This Row],[SATIM Code]:[N2O]])</f>
        <v>0</v>
      </c>
      <c r="J103" s="941"/>
    </row>
    <row r="104" spans="1:12" ht="15">
      <c r="A104" s="942"/>
      <c r="B104" s="941" t="s">
        <v>318</v>
      </c>
      <c r="C104" s="941" t="str">
        <f>INDEX(Vectors[Description], MATCH(EF[UK Vector],Vectors[Code], 0))</f>
        <v>Gas oversupply (imports)</v>
      </c>
      <c r="F104" s="951">
        <v>0</v>
      </c>
      <c r="G104" s="951">
        <v>0</v>
      </c>
      <c r="H104" s="951">
        <v>0</v>
      </c>
      <c r="I104" s="951">
        <f>SUM(EF[[#This Row],[SATIM Code]:[N2O]])</f>
        <v>0</v>
      </c>
      <c r="J104" s="941"/>
    </row>
    <row r="105" spans="1:12" ht="15">
      <c r="A105" s="942"/>
      <c r="B105" s="1094" t="s">
        <v>320</v>
      </c>
      <c r="C105" s="941" t="str">
        <f>INDEX(Vectors[Description], MATCH(EF[UK Vector],Vectors[Code], 0))</f>
        <v>Coal reserves</v>
      </c>
      <c r="D105" s="1090"/>
      <c r="E105" s="1090"/>
      <c r="F105" s="1082">
        <f>EF.IndustrialCoal.CO2</f>
        <v>9.6250000000000002E-2</v>
      </c>
      <c r="G105" s="1082">
        <f>EF.IndustrialCoal.CH4</f>
        <v>2.0999999999999999E-5</v>
      </c>
      <c r="H105" s="1082">
        <f>EF.IndustrialCoal.N2O</f>
        <v>4.3399999999999998E-4</v>
      </c>
      <c r="I105" s="951">
        <f>SUM(EF[[#This Row],[SATIM Code]:[N2O]])</f>
        <v>9.6704999999999999E-2</v>
      </c>
      <c r="J105" s="941" t="s">
        <v>361</v>
      </c>
    </row>
    <row r="106" spans="1:12" ht="15">
      <c r="A106" s="942"/>
      <c r="B106" s="1092" t="s">
        <v>321</v>
      </c>
      <c r="C106" s="941" t="str">
        <f>INDEX(Vectors[Description], MATCH(EF[UK Vector],Vectors[Code], 0))</f>
        <v>Oil reserves</v>
      </c>
      <c r="D106" s="1089"/>
      <c r="E106" s="1089"/>
      <c r="F106" s="1081">
        <f>EF.Diesel.CO2</f>
        <v>7.4066699999999999E-2</v>
      </c>
      <c r="G106" s="1081">
        <f>EF.Diesel.CH4</f>
        <v>6.3E-5</v>
      </c>
      <c r="H106" s="1081">
        <f>EF.Diesel.N2O</f>
        <v>1.8599999999999999E-4</v>
      </c>
      <c r="I106" s="951">
        <f>SUM(EF[[#This Row],[SATIM Code]:[N2O]])</f>
        <v>7.4315699999999998E-2</v>
      </c>
      <c r="J106" s="941" t="s">
        <v>362</v>
      </c>
    </row>
    <row r="107" spans="1:12" ht="15">
      <c r="A107" s="942"/>
      <c r="B107" s="1094" t="s">
        <v>322</v>
      </c>
      <c r="C107" s="941" t="str">
        <f>INDEX(Vectors[Description], MATCH(EF[UK Vector],Vectors[Code], 0))</f>
        <v>Gas reserves</v>
      </c>
      <c r="D107" s="1090"/>
      <c r="E107" s="1090"/>
      <c r="F107" s="1082">
        <f>EF.NaturalGas.CO2</f>
        <v>5.6099999999999997E-2</v>
      </c>
      <c r="G107" s="1082">
        <f>EF.NaturalGas.CH4</f>
        <v>2.0999999999999999E-5</v>
      </c>
      <c r="H107" s="1082">
        <f>EF.NaturalGas.N2O</f>
        <v>3.1000000000000001E-5</v>
      </c>
      <c r="I107" s="951">
        <f>SUM(EF[[#This Row],[SATIM Code]:[N2O]])</f>
        <v>5.6152000000000001E-2</v>
      </c>
      <c r="J107" s="941" t="s">
        <v>363</v>
      </c>
    </row>
    <row r="108" spans="1:12" ht="15">
      <c r="A108" s="942"/>
      <c r="B108" s="1092" t="s">
        <v>50</v>
      </c>
      <c r="C108" s="941" t="str">
        <f>INDEX(Vectors[Description], MATCH(EF[UK Vector],Vectors[Code], 0))</f>
        <v>Coal and fossil waste</v>
      </c>
      <c r="D108" s="1089"/>
      <c r="E108" s="1089"/>
      <c r="F108" s="1081">
        <f>EF.IndustrialCoal.CO2</f>
        <v>9.6250000000000002E-2</v>
      </c>
      <c r="G108" s="1081">
        <f>EF.IndustrialCoal.CH4</f>
        <v>2.0999999999999999E-5</v>
      </c>
      <c r="H108" s="1081">
        <f>EF.IndustrialCoal.N2O</f>
        <v>4.3399999999999998E-4</v>
      </c>
      <c r="I108" s="951">
        <f>SUM(EF[[#This Row],[SATIM Code]:[N2O]])</f>
        <v>9.6704999999999999E-2</v>
      </c>
      <c r="J108" s="941" t="s">
        <v>361</v>
      </c>
    </row>
    <row r="109" spans="1:12" ht="15">
      <c r="A109" s="942"/>
      <c r="B109" s="1094" t="s">
        <v>51</v>
      </c>
      <c r="C109" s="941" t="str">
        <f>INDEX(Vectors[Description], MATCH(EF[UK Vector],Vectors[Code], 0))</f>
        <v>Oil and petroleum products</v>
      </c>
      <c r="D109" s="1090"/>
      <c r="E109" s="1090"/>
      <c r="F109" s="1082">
        <f>EF.Diesel.CO2</f>
        <v>7.4066699999999999E-2</v>
      </c>
      <c r="G109" s="1082">
        <f>EF.Diesel.CH4</f>
        <v>6.3E-5</v>
      </c>
      <c r="H109" s="1082">
        <f>EF.Diesel.N2O</f>
        <v>1.8599999999999999E-4</v>
      </c>
      <c r="I109" s="951">
        <f>SUM(EF[[#This Row],[SATIM Code]:[N2O]])</f>
        <v>7.4315699999999998E-2</v>
      </c>
      <c r="J109" s="941" t="s">
        <v>362</v>
      </c>
    </row>
    <row r="110" spans="1:12" ht="15">
      <c r="A110" s="942"/>
      <c r="B110" s="1092" t="s">
        <v>38</v>
      </c>
      <c r="C110" s="941" t="str">
        <f>INDEX(Vectors[Description], MATCH(EF[UK Vector],Vectors[Code], 0))</f>
        <v>Gaseous hydrocarbons</v>
      </c>
      <c r="D110" s="1089" t="s">
        <v>869</v>
      </c>
      <c r="E110" s="1089" t="s">
        <v>378</v>
      </c>
      <c r="F110" s="1081">
        <f>EF.NaturalGas.CO2</f>
        <v>5.6099999999999997E-2</v>
      </c>
      <c r="G110" s="1081">
        <f>EF.NaturalGas.CH4</f>
        <v>2.0999999999999999E-5</v>
      </c>
      <c r="H110" s="1081">
        <f>EF.NaturalGas.N2O</f>
        <v>3.1000000000000001E-5</v>
      </c>
      <c r="I110" s="951">
        <f>SUM(EF[[#This Row],[SATIM Code]:[N2O]])</f>
        <v>5.6152000000000001E-2</v>
      </c>
      <c r="J110" s="941" t="s">
        <v>363</v>
      </c>
    </row>
    <row r="111" spans="1:12" ht="15">
      <c r="A111" s="942"/>
      <c r="B111" s="1094" t="s">
        <v>33</v>
      </c>
      <c r="C111" s="941" t="str">
        <f>INDEX(Vectors[Description], MATCH(EF[UK Vector],Vectors[Code], 0))</f>
        <v>Electricity (delivered to end user)</v>
      </c>
      <c r="D111" s="1090" t="s">
        <v>879</v>
      </c>
      <c r="E111" s="1090" t="s">
        <v>2451</v>
      </c>
      <c r="F111" s="1095">
        <v>0</v>
      </c>
      <c r="G111" s="1095">
        <v>0</v>
      </c>
      <c r="H111" s="1095">
        <v>0</v>
      </c>
      <c r="I111" s="951">
        <f>SUM(EF[[#This Row],[SATIM Code]:[N2O]])</f>
        <v>0</v>
      </c>
      <c r="J111" s="941"/>
      <c r="L111" s="950"/>
    </row>
    <row r="112" spans="1:12" ht="15">
      <c r="A112" s="942"/>
      <c r="B112" s="1092" t="s">
        <v>34</v>
      </c>
      <c r="C112" s="941" t="str">
        <f>INDEX(Vectors[Description], MATCH(EF[UK Vector],Vectors[Code], 0))</f>
        <v>Electricity (supplied to grid)</v>
      </c>
      <c r="D112" s="1089"/>
      <c r="E112" s="1089"/>
      <c r="F112" s="1093">
        <v>0</v>
      </c>
      <c r="G112" s="1093">
        <v>0</v>
      </c>
      <c r="H112" s="1093">
        <v>0</v>
      </c>
      <c r="I112" s="951">
        <f>SUM(EF[[#This Row],[SATIM Code]:[N2O]])</f>
        <v>0</v>
      </c>
      <c r="J112" s="941"/>
      <c r="L112" s="950"/>
    </row>
    <row r="113" spans="1:10" ht="15">
      <c r="A113" s="942"/>
      <c r="B113" s="1094" t="s">
        <v>35</v>
      </c>
      <c r="C113" s="941" t="str">
        <f>INDEX(Vectors[Description], MATCH(EF[UK Vector],Vectors[Code], 0))</f>
        <v>Solid hydrocarbons</v>
      </c>
      <c r="D113" s="1076" t="s">
        <v>882</v>
      </c>
      <c r="E113" s="1076" t="s">
        <v>101</v>
      </c>
      <c r="F113" s="1082">
        <f>EF.IndustrialCoal.CO2</f>
        <v>9.6250000000000002E-2</v>
      </c>
      <c r="G113" s="1082">
        <f>EF.IndustrialCoal.CH4</f>
        <v>2.0999999999999999E-5</v>
      </c>
      <c r="H113" s="1082">
        <f>EF.IndustrialCoal.N2O</f>
        <v>4.3399999999999998E-4</v>
      </c>
      <c r="I113" s="951">
        <f>SUM(EF[[#This Row],[SATIM Code]:[N2O]])</f>
        <v>9.6704999999999999E-2</v>
      </c>
      <c r="J113" s="941" t="s">
        <v>361</v>
      </c>
    </row>
    <row r="114" spans="1:10" ht="15">
      <c r="A114" s="942"/>
      <c r="B114" s="1092" t="s">
        <v>35</v>
      </c>
      <c r="C114" s="941" t="str">
        <f>INDEX(Vectors[Description], MATCH(EF[UK Vector],Vectors[Code], 0))</f>
        <v>Solid hydrocarbons</v>
      </c>
      <c r="D114" s="1077" t="s">
        <v>883</v>
      </c>
      <c r="E114" s="1077" t="s">
        <v>130</v>
      </c>
      <c r="F114" s="1081">
        <f>EF.CokingCoal.CO2</f>
        <v>9.4600000000000004E-2</v>
      </c>
      <c r="G114" s="1081">
        <f>EF.CokingCoal.CH4</f>
        <v>2.0999999999999999E-5</v>
      </c>
      <c r="H114" s="1081">
        <f>EF.CokingCoal.N2O</f>
        <v>4.6500000000000003E-4</v>
      </c>
      <c r="I114" s="951">
        <f>SUM(EF[[#This Row],[SATIM Code]:[N2O]])</f>
        <v>9.508599999999999E-2</v>
      </c>
      <c r="J114" s="941" t="s">
        <v>1839</v>
      </c>
    </row>
    <row r="115" spans="1:10" ht="15">
      <c r="A115" s="942"/>
      <c r="B115" s="1094" t="s">
        <v>37</v>
      </c>
      <c r="C115" s="941" t="str">
        <f>INDEX(Vectors[Description], MATCH(EF[UK Vector],Vectors[Code], 0))</f>
        <v>Liquid hydrocarbons</v>
      </c>
      <c r="D115" s="1076" t="s">
        <v>884</v>
      </c>
      <c r="E115" s="1076" t="s">
        <v>2452</v>
      </c>
      <c r="F115" s="1082">
        <f>EF.Diesel.CO2</f>
        <v>7.4066699999999999E-2</v>
      </c>
      <c r="G115" s="1082">
        <f>EF.Diesel.CH4</f>
        <v>6.3E-5</v>
      </c>
      <c r="H115" s="1082">
        <f>EF.Diesel.N2O</f>
        <v>1.8599999999999999E-4</v>
      </c>
      <c r="I115" s="951">
        <f>SUM(EF[[#This Row],[SATIM Code]:[N2O]])</f>
        <v>7.4315699999999998E-2</v>
      </c>
      <c r="J115" s="941" t="s">
        <v>362</v>
      </c>
    </row>
    <row r="116" spans="1:10" ht="15">
      <c r="A116" s="942"/>
      <c r="B116" s="1094" t="s">
        <v>37</v>
      </c>
      <c r="C116" s="941" t="str">
        <f>INDEX(Vectors[Description], MATCH(EF[UK Vector],Vectors[Code], 0))</f>
        <v>Liquid hydrocarbons</v>
      </c>
      <c r="D116" s="1090" t="s">
        <v>2436</v>
      </c>
      <c r="E116" s="1090" t="s">
        <v>2271</v>
      </c>
      <c r="F116" s="1082"/>
      <c r="G116" s="1082"/>
      <c r="H116" s="1082"/>
      <c r="I116" s="1249">
        <f>SUM(EF[[#This Row],[SATIM Code]:[N2O]])</f>
        <v>0</v>
      </c>
      <c r="J116" s="941"/>
    </row>
    <row r="117" spans="1:10" ht="15">
      <c r="A117" s="942"/>
      <c r="B117" s="1092" t="s">
        <v>37</v>
      </c>
      <c r="C117" s="941" t="str">
        <f>INDEX(Vectors[Description], MATCH(EF[UK Vector],Vectors[Code], 0))</f>
        <v>Liquid hydrocarbons</v>
      </c>
      <c r="D117" s="1077" t="s">
        <v>885</v>
      </c>
      <c r="E117" s="1077" t="s">
        <v>2277</v>
      </c>
      <c r="F117" s="1081">
        <f>EF.HFO.CO2</f>
        <v>7.7399999999999997E-2</v>
      </c>
      <c r="G117" s="1081">
        <f>EF.HFO.CH4</f>
        <v>6.3E-5</v>
      </c>
      <c r="H117" s="1081">
        <f>EF.HFO.N2O</f>
        <v>1.8599999999999999E-4</v>
      </c>
      <c r="I117" s="951">
        <f>SUM(EF[[#This Row],[SATIM Code]:[N2O]])</f>
        <v>7.7648999999999996E-2</v>
      </c>
      <c r="J117" s="941" t="s">
        <v>362</v>
      </c>
    </row>
    <row r="118" spans="1:10" ht="15">
      <c r="A118" s="942"/>
      <c r="B118" s="1094" t="s">
        <v>37</v>
      </c>
      <c r="C118" s="941" t="str">
        <f>INDEX(Vectors[Description], MATCH(EF[UK Vector],Vectors[Code], 0))</f>
        <v>Liquid hydrocarbons</v>
      </c>
      <c r="D118" s="1076" t="s">
        <v>886</v>
      </c>
      <c r="E118" s="1076" t="s">
        <v>175</v>
      </c>
      <c r="F118" s="1082">
        <f>EF.Diesel.CO2</f>
        <v>7.4066699999999999E-2</v>
      </c>
      <c r="G118" s="1082">
        <f>EF.Diesel.CH4</f>
        <v>6.3E-5</v>
      </c>
      <c r="H118" s="1082">
        <f>EF.Diesel.N2O</f>
        <v>1.8599999999999999E-4</v>
      </c>
      <c r="I118" s="951">
        <f>SUM(EF[[#This Row],[SATIM Code]:[N2O]])</f>
        <v>7.4315699999999998E-2</v>
      </c>
      <c r="J118" s="941" t="s">
        <v>362</v>
      </c>
    </row>
    <row r="119" spans="1:10" ht="15">
      <c r="A119" s="942"/>
      <c r="B119" s="1094" t="s">
        <v>37</v>
      </c>
      <c r="C119" s="941" t="str">
        <f>INDEX(Vectors[Description], MATCH(EF[UK Vector],Vectors[Code], 0))</f>
        <v>Liquid hydrocarbons</v>
      </c>
      <c r="D119" s="1090" t="s">
        <v>909</v>
      </c>
      <c r="E119" s="1090" t="s">
        <v>898</v>
      </c>
      <c r="F119" s="1082">
        <f>EF.Gasoline.CO2</f>
        <v>6.93E-2</v>
      </c>
      <c r="G119" s="1082">
        <f>EF.Gasoline.CH4</f>
        <v>5.0000000000000004E-6</v>
      </c>
      <c r="H119" s="1082">
        <f>EF.Gasoline.N2O</f>
        <v>0</v>
      </c>
      <c r="I119" s="1249">
        <f>SUM(EF[[#This Row],[SATIM Code]:[N2O]])</f>
        <v>6.9305000000000005E-2</v>
      </c>
      <c r="J119" s="1060" t="s">
        <v>898</v>
      </c>
    </row>
    <row r="120" spans="1:10" ht="15">
      <c r="A120" s="942"/>
      <c r="B120" s="1094" t="s">
        <v>37</v>
      </c>
      <c r="C120" s="941" t="str">
        <f>INDEX(Vectors[Description], MATCH(EF[UK Vector],Vectors[Code], 0))</f>
        <v>Liquid hydrocarbons</v>
      </c>
      <c r="D120" s="1090" t="s">
        <v>1370</v>
      </c>
      <c r="E120" s="1090" t="s">
        <v>1877</v>
      </c>
      <c r="F120" s="1082">
        <f>EF.OAG.CO2</f>
        <v>9.459999999999999E-2</v>
      </c>
      <c r="G120" s="1082">
        <f>EF.OAG.CH4</f>
        <v>1.0000000000000001E-5</v>
      </c>
      <c r="H120" s="1082">
        <f>EF.OAG.N2O</f>
        <v>1.3999999999999999E-6</v>
      </c>
      <c r="I120" s="1249">
        <f>SUM(EF[[#This Row],[SATIM Code]:[N2O]])</f>
        <v>9.4611399999999984E-2</v>
      </c>
      <c r="J120" s="1060" t="s">
        <v>1879</v>
      </c>
    </row>
    <row r="121" spans="1:10" ht="15">
      <c r="A121" s="942"/>
      <c r="B121" s="1092" t="s">
        <v>37</v>
      </c>
      <c r="C121" s="941" t="str">
        <f>INDEX(Vectors[Description], MATCH(EF[UK Vector],Vectors[Code], 0))</f>
        <v>Liquid hydrocarbons</v>
      </c>
      <c r="D121" s="1077" t="s">
        <v>887</v>
      </c>
      <c r="E121" s="1077" t="s">
        <v>2453</v>
      </c>
      <c r="F121" s="1081">
        <f>EF.LPG.CO2</f>
        <v>6.3100000000000003E-2</v>
      </c>
      <c r="G121" s="1081">
        <f>EF.LPG.CH4</f>
        <v>6.3E-5</v>
      </c>
      <c r="H121" s="1081">
        <f>EF.LPG.N2O</f>
        <v>3.1000000000000001E-5</v>
      </c>
      <c r="I121" s="951">
        <f>SUM(EF[[#This Row],[SATIM Code]:[N2O]])</f>
        <v>6.3194E-2</v>
      </c>
      <c r="J121" s="941"/>
    </row>
    <row r="122" spans="1:10" ht="15">
      <c r="A122" s="942"/>
      <c r="B122" s="1092" t="s">
        <v>87</v>
      </c>
      <c r="C122" s="941" t="str">
        <f>INDEX(Vectors[Description], MATCH(EF[UK Vector],Vectors[Code], 0))</f>
        <v>Blast furnace gas</v>
      </c>
      <c r="D122" s="1089"/>
      <c r="E122" s="1089"/>
      <c r="F122" s="1081">
        <f>EF.BlastFurnaceGas.CO2</f>
        <v>0.21800627758670105</v>
      </c>
      <c r="G122" s="1093">
        <v>0</v>
      </c>
      <c r="H122" s="1093">
        <v>0</v>
      </c>
      <c r="I122" s="951">
        <f>SUM(EF[[#This Row],[SATIM Code]:[N2O]])</f>
        <v>0.21800627758670105</v>
      </c>
      <c r="J122" s="941"/>
    </row>
    <row r="123" spans="1:10" ht="15">
      <c r="A123" s="942"/>
      <c r="B123" s="1094" t="s">
        <v>249</v>
      </c>
      <c r="C123" s="941" t="str">
        <f>INDEX(Vectors[Description], MATCH(EF[UK Vector],Vectors[Code], 0))</f>
        <v>Heat transport</v>
      </c>
      <c r="D123" s="1090"/>
      <c r="E123" s="1090"/>
      <c r="F123" s="1095">
        <v>0</v>
      </c>
      <c r="G123" s="1095">
        <v>0</v>
      </c>
      <c r="H123" s="1095">
        <v>0</v>
      </c>
      <c r="I123" s="951">
        <f>SUM(EF[[#This Row],[SATIM Code]:[N2O]])</f>
        <v>0</v>
      </c>
      <c r="J123" s="941"/>
    </row>
    <row r="124" spans="1:10" ht="15">
      <c r="A124" s="942"/>
      <c r="B124" s="1092" t="s">
        <v>250</v>
      </c>
      <c r="C124" s="941" t="str">
        <f>INDEX(Vectors[Description], MATCH(EF[UK Vector],Vectors[Code], 0))</f>
        <v>Edible biomass</v>
      </c>
      <c r="D124" s="1089"/>
      <c r="E124" s="1089"/>
      <c r="F124" s="1093">
        <v>0</v>
      </c>
      <c r="G124" s="1093">
        <v>0</v>
      </c>
      <c r="H124" s="1093">
        <v>0</v>
      </c>
      <c r="I124" s="951">
        <f>SUM(EF[[#This Row],[SATIM Code]:[N2O]])</f>
        <v>0</v>
      </c>
      <c r="J124" s="941"/>
    </row>
    <row r="125" spans="1:10" ht="15">
      <c r="A125" s="942"/>
      <c r="B125" s="1094" t="s">
        <v>251</v>
      </c>
      <c r="C125" s="941" t="str">
        <f>INDEX(Vectors[Description], MATCH(EF[UK Vector],Vectors[Code], 0))</f>
        <v>Dry biomass and waste</v>
      </c>
      <c r="D125" s="1090" t="s">
        <v>888</v>
      </c>
      <c r="E125" s="1090"/>
      <c r="F125" s="1095">
        <v>0</v>
      </c>
      <c r="G125" s="1095">
        <v>0</v>
      </c>
      <c r="H125" s="1095">
        <v>0</v>
      </c>
      <c r="I125" s="951">
        <f>SUM(EF[[#This Row],[SATIM Code]:[N2O]])</f>
        <v>0</v>
      </c>
      <c r="J125" s="941"/>
    </row>
    <row r="126" spans="1:10" ht="15">
      <c r="A126" s="942"/>
      <c r="B126" s="1092" t="s">
        <v>251</v>
      </c>
      <c r="C126" s="941" t="str">
        <f>INDEX(Vectors[Description], MATCH(EF[UK Vector],Vectors[Code], 0))</f>
        <v>Dry biomass and waste</v>
      </c>
      <c r="D126" s="1089" t="s">
        <v>889</v>
      </c>
      <c r="E126" s="1089"/>
      <c r="F126" s="1093"/>
      <c r="G126" s="1093"/>
      <c r="H126" s="1093"/>
      <c r="I126" s="951">
        <f>SUM(EF[[#This Row],[SATIM Code]:[N2O]])</f>
        <v>0</v>
      </c>
      <c r="J126" s="941"/>
    </row>
    <row r="127" spans="1:10">
      <c r="B127" s="1094" t="s">
        <v>295</v>
      </c>
      <c r="C127" s="941" t="str">
        <f>INDEX(Vectors[Description], MATCH(EF[UK Vector],Vectors[Code], 0))</f>
        <v>Wet biomass and waste</v>
      </c>
      <c r="D127" s="1090"/>
      <c r="E127" s="1090"/>
      <c r="F127" s="1095">
        <v>0</v>
      </c>
      <c r="G127" s="1095">
        <v>0</v>
      </c>
      <c r="H127" s="1095">
        <v>0</v>
      </c>
      <c r="I127" s="951">
        <f>SUM(EF[[#This Row],[SATIM Code]:[N2O]])</f>
        <v>0</v>
      </c>
      <c r="J127" s="941"/>
    </row>
    <row r="128" spans="1:10">
      <c r="B128" s="1092" t="s">
        <v>388</v>
      </c>
      <c r="C128" s="941" t="str">
        <f>INDEX(Vectors[Description], MATCH(EF[UK Vector],Vectors[Code], 0))</f>
        <v>Domestic solar thermal</v>
      </c>
      <c r="D128" s="1089"/>
      <c r="E128" s="1089"/>
      <c r="F128" s="1093">
        <v>0</v>
      </c>
      <c r="G128" s="1093">
        <v>0</v>
      </c>
      <c r="H128" s="1093">
        <v>0</v>
      </c>
      <c r="I128" s="951">
        <f>SUM(EF[[#This Row],[SATIM Code]:[N2O]])</f>
        <v>0</v>
      </c>
      <c r="J128" s="941"/>
    </row>
    <row r="129" spans="2:13">
      <c r="B129" s="1094" t="s">
        <v>415</v>
      </c>
      <c r="C129" s="941" t="str">
        <f>INDEX(Vectors[Description], MATCH(EF[UK Vector],Vectors[Code], 0))</f>
        <v>Hydrogen</v>
      </c>
      <c r="D129" s="1090"/>
      <c r="E129" s="1090"/>
      <c r="F129" s="1095"/>
      <c r="G129" s="1095"/>
      <c r="H129" s="1095"/>
      <c r="I129" s="951">
        <f>SUM(EF[[#This Row],[SATIM Code]:[N2O]])</f>
        <v>0</v>
      </c>
      <c r="J129" s="941"/>
    </row>
    <row r="130" spans="2:13">
      <c r="B130" s="1092" t="s">
        <v>445</v>
      </c>
      <c r="C130" s="941" t="str">
        <f>INDEX(Vectors[Description], MATCH(EF[UK Vector],Vectors[Code], 0))</f>
        <v>Energy crops (second generation)</v>
      </c>
      <c r="D130" s="1089"/>
      <c r="E130" s="1089"/>
      <c r="F130" s="1093"/>
      <c r="G130" s="1093"/>
      <c r="H130" s="1093"/>
      <c r="I130" s="951">
        <f>SUM(EF[[#This Row],[SATIM Code]:[N2O]])</f>
        <v>0</v>
      </c>
      <c r="J130" s="941"/>
    </row>
    <row r="131" spans="2:13">
      <c r="B131" s="1094" t="s">
        <v>501</v>
      </c>
      <c r="C131" s="941" t="str">
        <f>INDEX(Vectors[Description], MATCH(EF[UK Vector],Vectors[Code], 0))</f>
        <v>Energy crops (first generation)</v>
      </c>
      <c r="D131" s="1090"/>
      <c r="E131" s="1090"/>
      <c r="F131" s="1095"/>
      <c r="G131" s="1095"/>
      <c r="H131" s="1095"/>
      <c r="I131" s="951">
        <f>SUM(EF[[#This Row],[SATIM Code]:[N2O]])</f>
        <v>0</v>
      </c>
      <c r="J131" s="941" t="s">
        <v>1863</v>
      </c>
    </row>
    <row r="132" spans="2:13">
      <c r="B132" s="1092" t="s">
        <v>504</v>
      </c>
      <c r="C132" s="941" t="str">
        <f>INDEX(Vectors[Description], MATCH(EF[UK Vector],Vectors[Code], 0))</f>
        <v>Gaseous waste</v>
      </c>
      <c r="D132" s="1089"/>
      <c r="E132" s="1089"/>
      <c r="F132" s="1093"/>
      <c r="G132" s="1093"/>
      <c r="H132" s="1093"/>
      <c r="I132" s="951">
        <f>SUM(EF[[#This Row],[SATIM Code]:[N2O]])</f>
        <v>0</v>
      </c>
    </row>
    <row r="133" spans="2:13">
      <c r="B133" s="1096" t="s">
        <v>897</v>
      </c>
      <c r="C133" s="941" t="str">
        <f>INDEX(Vectors[Description], MATCH(EF[UK Vector],Vectors[Code], 0))</f>
        <v>Other Waste</v>
      </c>
      <c r="D133" s="1091" t="s">
        <v>890</v>
      </c>
      <c r="E133" s="1091"/>
      <c r="F133" s="1097">
        <f>EF.WASTE.IND.CO2</f>
        <v>9.1700000000000004E-2</v>
      </c>
      <c r="G133" s="1097">
        <f>EF.WASTE.IND.CH4</f>
        <v>6.3000000000000003E-4</v>
      </c>
      <c r="H133" s="1097">
        <f>EF.WASTE.IND.N2O</f>
        <v>1.24E-3</v>
      </c>
      <c r="I133" s="951">
        <f>SUM(EF[[#This Row],[SATIM Code]:[N2O]])</f>
        <v>9.3570000000000014E-2</v>
      </c>
      <c r="L133" s="1061"/>
      <c r="M133" s="1061"/>
    </row>
    <row r="134" spans="2:13">
      <c r="K134" s="1061"/>
      <c r="L134" s="1061"/>
    </row>
    <row r="135" spans="2:13" ht="18">
      <c r="B135" s="1078" t="s">
        <v>1857</v>
      </c>
      <c r="K135" s="1061"/>
      <c r="L135" s="1061"/>
    </row>
    <row r="136" spans="2:13">
      <c r="B136" s="1061"/>
      <c r="C136" s="1061"/>
      <c r="D136" s="1061"/>
      <c r="E136" s="1061"/>
      <c r="F136" s="1061"/>
      <c r="G136" s="1061"/>
      <c r="H136" s="1061"/>
      <c r="I136" s="1061" t="str">
        <f>"Mt CO2e per " &amp; Preferences.EnergyUnits &amp;" out"</f>
        <v>Mt CO2e per PJ out</v>
      </c>
      <c r="K136" s="1061"/>
      <c r="L136" s="1061"/>
    </row>
    <row r="137" spans="2:13" ht="14" thickBot="1">
      <c r="B137" s="1079" t="s">
        <v>59</v>
      </c>
      <c r="C137" s="1079" t="s">
        <v>1354</v>
      </c>
      <c r="D137" s="1079" t="s">
        <v>1858</v>
      </c>
      <c r="E137" s="1079" t="s">
        <v>349</v>
      </c>
      <c r="F137" s="1079" t="s">
        <v>350</v>
      </c>
      <c r="G137" s="1079" t="s">
        <v>351</v>
      </c>
      <c r="H137" s="1079" t="s">
        <v>556</v>
      </c>
      <c r="I137" s="1080" t="s">
        <v>197</v>
      </c>
      <c r="K137" s="1061"/>
      <c r="L137" s="1061"/>
    </row>
    <row r="138" spans="2:13" ht="14" thickTop="1">
      <c r="B138" s="1077" t="s">
        <v>101</v>
      </c>
      <c r="C138" s="1077" t="s">
        <v>882</v>
      </c>
      <c r="D138" s="1077" t="s">
        <v>101</v>
      </c>
      <c r="E138" s="1081">
        <f>55/1000 /Unit.PJ</f>
        <v>5.5E-2</v>
      </c>
      <c r="F138" s="1081">
        <f>0.0061/1000/Unit.PJ * GWP.CH4</f>
        <v>1.281E-4</v>
      </c>
      <c r="G138" s="1081">
        <f>0/1000 /Unit.PJ * GWP.N2O</f>
        <v>0</v>
      </c>
      <c r="H138" s="1081">
        <f>SUM(E138:G138)</f>
        <v>5.5128099999999999E-2</v>
      </c>
      <c r="I138" s="1077" t="s">
        <v>1859</v>
      </c>
      <c r="K138" s="1061"/>
      <c r="L138" s="1061"/>
    </row>
    <row r="139" spans="2:13">
      <c r="B139" s="1076" t="s">
        <v>378</v>
      </c>
      <c r="C139" s="1076" t="s">
        <v>869</v>
      </c>
      <c r="D139" s="1076" t="s">
        <v>378</v>
      </c>
      <c r="E139" s="1082">
        <f>28/1000 /Unit.PJ</f>
        <v>2.8000000000000001E-2</v>
      </c>
      <c r="F139" s="1082">
        <f>0.0045/1000/Unit.PJ * GWP.CH4</f>
        <v>9.449999999999998E-5</v>
      </c>
      <c r="G139" s="1082">
        <f>0/1000 /Unit.PJ * GWP.N2O</f>
        <v>0</v>
      </c>
      <c r="H139" s="1082">
        <f>SUM(E139:G139)</f>
        <v>2.8094500000000001E-2</v>
      </c>
      <c r="I139" s="1083" t="s">
        <v>1859</v>
      </c>
      <c r="K139" s="1061"/>
      <c r="L139" s="1061"/>
    </row>
    <row r="140" spans="2:13">
      <c r="B140" s="1061"/>
      <c r="C140" s="1061"/>
      <c r="D140" s="1061"/>
      <c r="E140" s="1061"/>
      <c r="F140" s="1061"/>
      <c r="G140" s="1061"/>
      <c r="H140" s="1061"/>
      <c r="I140" s="1061"/>
    </row>
    <row r="141" spans="2:13">
      <c r="B141" s="1061"/>
      <c r="C141" s="1061"/>
      <c r="D141" s="1061"/>
      <c r="E141" s="1061"/>
      <c r="F141" s="1061"/>
      <c r="G141" s="1061"/>
      <c r="H141" s="1061"/>
    </row>
    <row r="142" spans="2:13">
      <c r="B142" s="1084" t="s">
        <v>2633</v>
      </c>
      <c r="C142" s="902">
        <f>1*10^-10</f>
        <v>1E-10</v>
      </c>
    </row>
  </sheetData>
  <conditionalFormatting sqref="M76:N131">
    <cfRule type="duplicateValues" dxfId="156" priority="357"/>
  </conditionalFormatting>
  <pageMargins left="0.7" right="0.7" top="0.75" bottom="0.75" header="0.3" footer="0.3"/>
  <pageSetup paperSize="9" orientation="portrait"/>
  <drawing r:id="rId1"/>
  <legacyDrawing r:id="rId2"/>
  <tableParts count="3">
    <tablePart r:id="rId3"/>
    <tablePart r:id="rId4"/>
    <tablePart r:id="rId5"/>
  </tableParts>
  <extLst>
    <ext xmlns:mx="http://schemas.microsoft.com/office/mac/excel/2008/main" uri="{64002731-A6B0-56B0-2670-7721B7C09600}">
      <mx:PLV Mode="0" OnePage="0" WScale="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dimension ref="A1:BS92"/>
  <sheetViews>
    <sheetView zoomScale="85" zoomScaleNormal="85" zoomScalePageLayoutView="85" workbookViewId="0">
      <pane xSplit="2" topLeftCell="C1" activePane="topRight" state="frozen"/>
      <selection pane="topRight" activeCell="C49" sqref="C49"/>
    </sheetView>
    <sheetView workbookViewId="1"/>
  </sheetViews>
  <sheetFormatPr baseColWidth="10" defaultColWidth="8.83203125" defaultRowHeight="13" x14ac:dyDescent="0"/>
  <cols>
    <col min="1" max="1" width="33.83203125" customWidth="1"/>
    <col min="2" max="2" width="26.5" customWidth="1"/>
    <col min="5" max="5" width="12.5" bestFit="1" customWidth="1"/>
    <col min="9" max="9" width="21.5" customWidth="1"/>
    <col min="10" max="12" width="8.83203125" style="1456"/>
    <col min="13" max="13" width="14.1640625" style="1456" customWidth="1"/>
    <col min="18" max="18" width="19.5" customWidth="1"/>
    <col min="19" max="19" width="14.83203125" customWidth="1"/>
  </cols>
  <sheetData>
    <row r="1" spans="1:71">
      <c r="AE1" t="s">
        <v>2280</v>
      </c>
    </row>
    <row r="3" spans="1:71">
      <c r="A3" t="s">
        <v>2168</v>
      </c>
      <c r="B3" t="s">
        <v>2623</v>
      </c>
      <c r="E3" t="s">
        <v>385</v>
      </c>
      <c r="F3" t="s">
        <v>2148</v>
      </c>
      <c r="G3" t="s">
        <v>2149</v>
      </c>
      <c r="H3" t="s">
        <v>2150</v>
      </c>
      <c r="I3" t="s">
        <v>2151</v>
      </c>
      <c r="J3" s="1456" t="s">
        <v>2208</v>
      </c>
      <c r="K3" s="1456" t="s">
        <v>2210</v>
      </c>
      <c r="L3" s="1456" t="s">
        <v>2213</v>
      </c>
      <c r="M3" s="1456" t="s">
        <v>2215</v>
      </c>
      <c r="N3" t="s">
        <v>2152</v>
      </c>
      <c r="O3" t="s">
        <v>2153</v>
      </c>
      <c r="P3" t="s">
        <v>2154</v>
      </c>
      <c r="Q3" t="s">
        <v>2155</v>
      </c>
      <c r="R3" t="s">
        <v>2156</v>
      </c>
      <c r="S3" t="s">
        <v>2157</v>
      </c>
      <c r="T3" t="s">
        <v>2158</v>
      </c>
      <c r="U3" t="s">
        <v>2159</v>
      </c>
      <c r="V3" t="s">
        <v>2160</v>
      </c>
      <c r="W3" t="s">
        <v>2161</v>
      </c>
      <c r="X3" t="s">
        <v>2162</v>
      </c>
      <c r="Y3" t="s">
        <v>2163</v>
      </c>
      <c r="Z3" t="s">
        <v>2164</v>
      </c>
      <c r="AA3" t="s">
        <v>2165</v>
      </c>
      <c r="AB3" t="s">
        <v>2166</v>
      </c>
      <c r="AC3" t="s">
        <v>2167</v>
      </c>
      <c r="AE3" t="s">
        <v>2204</v>
      </c>
      <c r="AG3" t="s">
        <v>215</v>
      </c>
    </row>
    <row r="4" spans="1:71">
      <c r="AE4">
        <v>2010</v>
      </c>
      <c r="AF4">
        <v>2011</v>
      </c>
      <c r="AG4" s="1456">
        <v>2012</v>
      </c>
      <c r="AH4" s="1456">
        <v>2013</v>
      </c>
      <c r="AI4" s="1456">
        <v>2014</v>
      </c>
      <c r="AJ4" s="1456">
        <v>2015</v>
      </c>
      <c r="AK4" s="1456">
        <v>2016</v>
      </c>
      <c r="AL4" s="1456">
        <v>2017</v>
      </c>
      <c r="AM4" s="1456">
        <v>2018</v>
      </c>
      <c r="AN4" s="1456">
        <v>2019</v>
      </c>
      <c r="AO4" s="1456">
        <v>2020</v>
      </c>
      <c r="AP4" s="1456">
        <v>2021</v>
      </c>
      <c r="AQ4" s="1456">
        <v>2022</v>
      </c>
      <c r="AR4" s="1456">
        <v>2023</v>
      </c>
      <c r="AS4" s="1456">
        <v>2024</v>
      </c>
      <c r="AT4" s="1456">
        <v>2025</v>
      </c>
      <c r="AU4" s="1456">
        <v>2026</v>
      </c>
      <c r="AV4" s="1456">
        <v>2027</v>
      </c>
      <c r="AW4" s="1456">
        <v>2028</v>
      </c>
      <c r="AX4" s="1456">
        <v>2029</v>
      </c>
      <c r="AY4" s="1456">
        <v>2030</v>
      </c>
      <c r="AZ4" s="1456">
        <v>2031</v>
      </c>
      <c r="BA4" s="1456">
        <v>2032</v>
      </c>
      <c r="BB4" s="1456">
        <v>2033</v>
      </c>
      <c r="BC4" s="1456">
        <v>2034</v>
      </c>
      <c r="BD4" s="1456">
        <v>2035</v>
      </c>
      <c r="BE4" s="1456">
        <v>2036</v>
      </c>
      <c r="BF4" s="1456">
        <v>2037</v>
      </c>
      <c r="BG4" s="1456">
        <v>2038</v>
      </c>
      <c r="BH4" s="1456">
        <v>2039</v>
      </c>
      <c r="BI4" s="1456">
        <v>2040</v>
      </c>
      <c r="BJ4" s="1456">
        <v>2041</v>
      </c>
      <c r="BK4" s="1456">
        <v>2042</v>
      </c>
      <c r="BL4" s="1456">
        <v>2043</v>
      </c>
      <c r="BM4" s="1456">
        <v>2044</v>
      </c>
      <c r="BN4" s="1456">
        <v>2045</v>
      </c>
      <c r="BO4" s="1456">
        <v>2046</v>
      </c>
      <c r="BP4" s="1456">
        <v>2047</v>
      </c>
      <c r="BQ4" s="1456">
        <v>2048</v>
      </c>
      <c r="BR4" s="1456">
        <v>2049</v>
      </c>
      <c r="BS4" s="1456">
        <v>2050</v>
      </c>
    </row>
    <row r="5" spans="1:71">
      <c r="N5" t="s">
        <v>2169</v>
      </c>
      <c r="O5" t="s">
        <v>2170</v>
      </c>
      <c r="P5" t="s">
        <v>2171</v>
      </c>
      <c r="Q5" t="s">
        <v>2172</v>
      </c>
    </row>
    <row r="6" spans="1:71">
      <c r="A6" t="s">
        <v>2173</v>
      </c>
      <c r="B6" t="s">
        <v>1982</v>
      </c>
      <c r="E6" s="266">
        <v>0.27937794947449784</v>
      </c>
      <c r="F6">
        <v>1769</v>
      </c>
      <c r="G6" s="423">
        <v>8</v>
      </c>
      <c r="H6">
        <v>190</v>
      </c>
      <c r="I6">
        <v>1520</v>
      </c>
      <c r="J6" s="99">
        <f t="shared" ref="J6:J23" si="0">I6/$I$37</f>
        <v>4.3590478921709204E-2</v>
      </c>
      <c r="K6" s="99"/>
      <c r="L6" s="99"/>
      <c r="M6" s="99"/>
      <c r="R6" s="508">
        <v>7.9600000000000004E-2</v>
      </c>
      <c r="S6" s="508">
        <v>0.1699</v>
      </c>
      <c r="T6">
        <v>1</v>
      </c>
      <c r="U6" s="508">
        <v>0.76402404000000002</v>
      </c>
      <c r="V6" s="508">
        <v>0.83010000000000006</v>
      </c>
      <c r="W6">
        <v>7</v>
      </c>
      <c r="X6">
        <v>127</v>
      </c>
      <c r="Y6">
        <v>1986</v>
      </c>
      <c r="Z6">
        <v>39</v>
      </c>
      <c r="AA6">
        <v>2025</v>
      </c>
      <c r="AB6">
        <v>2025</v>
      </c>
      <c r="AC6">
        <v>2565.3333333333326</v>
      </c>
      <c r="AE6">
        <v>1520</v>
      </c>
      <c r="AF6">
        <v>1520</v>
      </c>
      <c r="AG6">
        <v>1520</v>
      </c>
      <c r="AH6">
        <v>1520</v>
      </c>
      <c r="AI6">
        <v>1520</v>
      </c>
      <c r="AJ6">
        <v>1520</v>
      </c>
      <c r="AK6">
        <v>1520</v>
      </c>
      <c r="AL6">
        <v>1520</v>
      </c>
      <c r="AM6">
        <v>1520</v>
      </c>
      <c r="AN6">
        <v>1520</v>
      </c>
      <c r="AO6">
        <v>1520</v>
      </c>
      <c r="AP6">
        <v>1520</v>
      </c>
      <c r="AQ6">
        <v>1520</v>
      </c>
      <c r="AR6">
        <v>1520</v>
      </c>
      <c r="AS6">
        <v>1520</v>
      </c>
      <c r="AT6">
        <v>1520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row>
    <row r="7" spans="1:71">
      <c r="A7" t="s">
        <v>2174</v>
      </c>
      <c r="B7" t="s">
        <v>1982</v>
      </c>
      <c r="E7" s="266">
        <v>0.27000492758992856</v>
      </c>
      <c r="F7">
        <v>0</v>
      </c>
      <c r="G7" s="266">
        <v>1.9578947368421054</v>
      </c>
      <c r="H7">
        <v>190</v>
      </c>
      <c r="I7">
        <v>372</v>
      </c>
      <c r="J7" s="99">
        <f t="shared" si="0"/>
        <v>1.0668196157155148E-2</v>
      </c>
      <c r="K7" s="99"/>
      <c r="L7" s="99"/>
      <c r="M7" s="99"/>
      <c r="N7">
        <v>380</v>
      </c>
      <c r="O7">
        <v>376</v>
      </c>
      <c r="P7">
        <v>0</v>
      </c>
      <c r="Q7">
        <v>0</v>
      </c>
      <c r="R7" s="508">
        <v>7.9600000000000004E-2</v>
      </c>
      <c r="S7" s="508">
        <v>0.1699</v>
      </c>
      <c r="T7">
        <v>1</v>
      </c>
      <c r="U7" s="508">
        <v>0.76402404000000002</v>
      </c>
      <c r="V7" s="508">
        <v>0.83010000000000006</v>
      </c>
      <c r="W7">
        <v>4.3899999999999997</v>
      </c>
      <c r="X7">
        <v>204</v>
      </c>
      <c r="Y7">
        <v>1988</v>
      </c>
      <c r="Z7">
        <v>50</v>
      </c>
      <c r="AA7">
        <v>2029</v>
      </c>
      <c r="AB7">
        <v>2029</v>
      </c>
      <c r="AC7">
        <v>2248.25</v>
      </c>
      <c r="AE7">
        <v>752</v>
      </c>
      <c r="AF7">
        <v>1132</v>
      </c>
      <c r="AG7">
        <v>1128</v>
      </c>
      <c r="AH7">
        <v>752</v>
      </c>
      <c r="AI7">
        <v>752</v>
      </c>
      <c r="AJ7">
        <v>752</v>
      </c>
      <c r="AK7">
        <v>752</v>
      </c>
      <c r="AL7">
        <v>752</v>
      </c>
      <c r="AM7">
        <v>752</v>
      </c>
      <c r="AN7">
        <v>752</v>
      </c>
      <c r="AO7">
        <v>752</v>
      </c>
      <c r="AP7">
        <v>752</v>
      </c>
      <c r="AQ7">
        <v>752</v>
      </c>
      <c r="AR7">
        <v>752</v>
      </c>
      <c r="AS7">
        <v>752</v>
      </c>
      <c r="AT7">
        <v>752</v>
      </c>
      <c r="AU7">
        <v>752</v>
      </c>
      <c r="AV7">
        <v>752</v>
      </c>
      <c r="AW7">
        <v>752</v>
      </c>
      <c r="AX7">
        <v>752</v>
      </c>
      <c r="AY7">
        <v>0</v>
      </c>
      <c r="AZ7">
        <v>0</v>
      </c>
      <c r="BA7">
        <v>0</v>
      </c>
      <c r="BB7">
        <v>0</v>
      </c>
      <c r="BC7">
        <v>0</v>
      </c>
      <c r="BD7">
        <v>0</v>
      </c>
      <c r="BE7">
        <v>0</v>
      </c>
      <c r="BF7">
        <v>0</v>
      </c>
      <c r="BG7">
        <v>0</v>
      </c>
      <c r="BH7">
        <v>0</v>
      </c>
      <c r="BI7">
        <v>0</v>
      </c>
      <c r="BJ7">
        <v>0</v>
      </c>
      <c r="BK7">
        <v>0</v>
      </c>
      <c r="BL7">
        <v>0</v>
      </c>
      <c r="BM7">
        <v>0</v>
      </c>
      <c r="BN7">
        <v>0</v>
      </c>
      <c r="BO7">
        <v>0</v>
      </c>
      <c r="BP7">
        <v>0</v>
      </c>
      <c r="BQ7">
        <v>0</v>
      </c>
      <c r="BR7">
        <v>0</v>
      </c>
      <c r="BS7">
        <v>0</v>
      </c>
    </row>
    <row r="8" spans="1:71">
      <c r="A8" t="s">
        <v>2175</v>
      </c>
      <c r="B8" t="s">
        <v>1982</v>
      </c>
      <c r="E8" s="266">
        <v>0.2549934445435299</v>
      </c>
      <c r="F8">
        <v>0</v>
      </c>
      <c r="G8" s="423">
        <v>2</v>
      </c>
      <c r="H8">
        <v>101</v>
      </c>
      <c r="I8">
        <v>202</v>
      </c>
      <c r="J8" s="99">
        <f t="shared" si="0"/>
        <v>5.7929452251218811E-3</v>
      </c>
      <c r="K8" s="99"/>
      <c r="L8" s="99"/>
      <c r="M8" s="99"/>
      <c r="N8">
        <v>0</v>
      </c>
      <c r="O8">
        <v>303</v>
      </c>
      <c r="P8">
        <v>303</v>
      </c>
      <c r="Q8">
        <v>101</v>
      </c>
      <c r="R8" s="508">
        <v>7.9600000000000004E-2</v>
      </c>
      <c r="S8" s="508">
        <v>0.1699</v>
      </c>
      <c r="T8">
        <v>1</v>
      </c>
      <c r="U8" s="508">
        <v>0.76402404000000002</v>
      </c>
      <c r="V8" s="508">
        <v>0.83010000000000006</v>
      </c>
      <c r="W8">
        <v>2.65</v>
      </c>
      <c r="X8">
        <v>187</v>
      </c>
      <c r="Y8">
        <v>1989</v>
      </c>
      <c r="Z8">
        <v>50</v>
      </c>
      <c r="AA8">
        <v>2024</v>
      </c>
      <c r="AB8">
        <v>2024</v>
      </c>
      <c r="AC8">
        <v>3032.083333333333</v>
      </c>
      <c r="AE8">
        <v>202</v>
      </c>
      <c r="AF8">
        <v>202</v>
      </c>
      <c r="AG8">
        <v>505</v>
      </c>
      <c r="AH8">
        <v>505</v>
      </c>
      <c r="AI8">
        <v>505</v>
      </c>
      <c r="AJ8">
        <v>505</v>
      </c>
      <c r="AK8">
        <v>505</v>
      </c>
      <c r="AL8">
        <v>505</v>
      </c>
      <c r="AM8">
        <v>505</v>
      </c>
      <c r="AN8">
        <v>505</v>
      </c>
      <c r="AO8">
        <v>505</v>
      </c>
      <c r="AP8">
        <v>505</v>
      </c>
      <c r="AQ8">
        <v>505</v>
      </c>
      <c r="AR8">
        <v>505</v>
      </c>
      <c r="AS8">
        <v>505</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row>
    <row r="9" spans="1:71">
      <c r="A9" t="s">
        <v>2176</v>
      </c>
      <c r="B9" t="s">
        <v>1980</v>
      </c>
      <c r="E9" s="266">
        <v>0.32328965181255487</v>
      </c>
      <c r="F9">
        <v>12683</v>
      </c>
      <c r="G9" s="423">
        <v>6</v>
      </c>
      <c r="H9">
        <v>380</v>
      </c>
      <c r="I9">
        <v>2280</v>
      </c>
      <c r="J9" s="99">
        <f t="shared" si="0"/>
        <v>6.5385718382563809E-2</v>
      </c>
      <c r="K9" s="99"/>
      <c r="L9" s="99"/>
      <c r="M9" s="99"/>
      <c r="R9" s="508">
        <v>8.9499999999999996E-2</v>
      </c>
      <c r="S9" s="508">
        <v>7.1499999999999994E-2</v>
      </c>
      <c r="T9">
        <v>1</v>
      </c>
      <c r="U9" s="508">
        <v>0.84539924999999994</v>
      </c>
      <c r="V9" s="508">
        <v>0.92849999999999999</v>
      </c>
      <c r="W9">
        <v>10</v>
      </c>
      <c r="X9">
        <v>314</v>
      </c>
      <c r="Y9">
        <v>1975</v>
      </c>
      <c r="Z9">
        <v>50</v>
      </c>
      <c r="AA9">
        <v>2023</v>
      </c>
      <c r="AB9">
        <v>2023</v>
      </c>
      <c r="AC9">
        <v>2124.1666666666661</v>
      </c>
      <c r="AE9">
        <v>2280</v>
      </c>
      <c r="AF9">
        <v>2280</v>
      </c>
      <c r="AG9">
        <v>2280</v>
      </c>
      <c r="AH9">
        <v>2280</v>
      </c>
      <c r="AI9">
        <v>2280</v>
      </c>
      <c r="AJ9">
        <v>2280</v>
      </c>
      <c r="AK9">
        <v>2280</v>
      </c>
      <c r="AL9">
        <v>2280</v>
      </c>
      <c r="AM9">
        <v>2280</v>
      </c>
      <c r="AN9">
        <v>2280</v>
      </c>
      <c r="AO9">
        <v>2280</v>
      </c>
      <c r="AP9">
        <v>2280</v>
      </c>
      <c r="AQ9">
        <v>2280</v>
      </c>
      <c r="AR9">
        <v>2280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row>
    <row r="10" spans="1:71">
      <c r="A10" t="s">
        <v>2177</v>
      </c>
      <c r="B10" t="s">
        <v>1980</v>
      </c>
      <c r="E10" s="266">
        <v>0.34709818684584648</v>
      </c>
      <c r="F10">
        <v>25246</v>
      </c>
      <c r="G10" s="423">
        <v>6</v>
      </c>
      <c r="H10">
        <v>575</v>
      </c>
      <c r="I10">
        <v>3450</v>
      </c>
      <c r="J10" s="99">
        <f t="shared" si="0"/>
        <v>9.8938915973616287E-2</v>
      </c>
      <c r="K10" s="99"/>
      <c r="L10" s="99"/>
      <c r="M10" s="99"/>
      <c r="R10" s="508">
        <v>8.9800000000000005E-2</v>
      </c>
      <c r="S10" s="508">
        <v>4.7399999999999998E-2</v>
      </c>
      <c r="T10">
        <v>1</v>
      </c>
      <c r="U10" s="508">
        <v>0.86705652</v>
      </c>
      <c r="V10" s="508">
        <v>0.9526</v>
      </c>
      <c r="W10">
        <v>3</v>
      </c>
      <c r="X10">
        <v>169</v>
      </c>
      <c r="Y10">
        <v>1980</v>
      </c>
      <c r="Z10">
        <v>50</v>
      </c>
      <c r="AA10">
        <v>2032</v>
      </c>
      <c r="AB10">
        <v>2032</v>
      </c>
      <c r="AC10">
        <v>2064.0000000000005</v>
      </c>
      <c r="AE10">
        <v>3450</v>
      </c>
      <c r="AF10">
        <v>3450</v>
      </c>
      <c r="AG10">
        <v>3450</v>
      </c>
      <c r="AH10">
        <v>3450</v>
      </c>
      <c r="AI10">
        <v>3450</v>
      </c>
      <c r="AJ10">
        <v>3450</v>
      </c>
      <c r="AK10">
        <v>3450</v>
      </c>
      <c r="AL10">
        <v>3450</v>
      </c>
      <c r="AM10">
        <v>3450</v>
      </c>
      <c r="AN10">
        <v>3450</v>
      </c>
      <c r="AO10">
        <v>3450</v>
      </c>
      <c r="AP10">
        <v>3450</v>
      </c>
      <c r="AQ10">
        <v>3450</v>
      </c>
      <c r="AR10">
        <v>3450</v>
      </c>
      <c r="AS10">
        <v>3450</v>
      </c>
      <c r="AT10">
        <v>3450</v>
      </c>
      <c r="AU10">
        <v>3450</v>
      </c>
      <c r="AV10">
        <v>3450</v>
      </c>
      <c r="AW10">
        <v>3450</v>
      </c>
      <c r="AX10">
        <v>3450</v>
      </c>
      <c r="AY10">
        <v>3450</v>
      </c>
      <c r="AZ10">
        <v>3450</v>
      </c>
      <c r="BA10">
        <v>3450</v>
      </c>
      <c r="BB10">
        <v>0</v>
      </c>
      <c r="BC10">
        <v>0</v>
      </c>
      <c r="BD10">
        <v>0</v>
      </c>
      <c r="BE10">
        <v>0</v>
      </c>
      <c r="BF10">
        <v>0</v>
      </c>
      <c r="BG10">
        <v>0</v>
      </c>
      <c r="BH10">
        <v>0</v>
      </c>
      <c r="BI10">
        <v>0</v>
      </c>
      <c r="BJ10">
        <v>0</v>
      </c>
      <c r="BK10">
        <v>0</v>
      </c>
      <c r="BL10">
        <v>0</v>
      </c>
      <c r="BM10">
        <v>0</v>
      </c>
      <c r="BN10">
        <v>0</v>
      </c>
      <c r="BO10">
        <v>0</v>
      </c>
      <c r="BP10">
        <v>0</v>
      </c>
      <c r="BQ10">
        <v>0</v>
      </c>
      <c r="BR10">
        <v>0</v>
      </c>
      <c r="BS10">
        <v>0</v>
      </c>
    </row>
    <row r="11" spans="1:71">
      <c r="A11" t="s">
        <v>2178</v>
      </c>
      <c r="B11" t="s">
        <v>1982</v>
      </c>
      <c r="E11" s="266">
        <v>0.31618998099346896</v>
      </c>
      <c r="F11">
        <v>11718</v>
      </c>
      <c r="G11" s="423">
        <v>10</v>
      </c>
      <c r="H11">
        <v>187</v>
      </c>
      <c r="I11">
        <v>1870</v>
      </c>
      <c r="J11" s="99">
        <f t="shared" si="0"/>
        <v>5.362776025236593E-2</v>
      </c>
      <c r="K11" s="99"/>
      <c r="L11" s="99"/>
      <c r="M11" s="99"/>
      <c r="R11" s="508">
        <v>7.3700000000000002E-2</v>
      </c>
      <c r="S11" s="508">
        <v>9.1499999999999998E-2</v>
      </c>
      <c r="T11">
        <v>1</v>
      </c>
      <c r="U11" s="508">
        <v>0.84154355000000003</v>
      </c>
      <c r="V11" s="508">
        <v>0.90849999999999997</v>
      </c>
      <c r="W11">
        <v>8</v>
      </c>
      <c r="X11">
        <v>351</v>
      </c>
      <c r="Y11">
        <v>1970</v>
      </c>
      <c r="Z11">
        <v>50</v>
      </c>
      <c r="AA11">
        <v>2022</v>
      </c>
      <c r="AB11">
        <v>2022</v>
      </c>
      <c r="AC11">
        <v>2399.083333333333</v>
      </c>
      <c r="AE11">
        <v>1870</v>
      </c>
      <c r="AF11">
        <v>1870</v>
      </c>
      <c r="AG11">
        <v>1870</v>
      </c>
      <c r="AH11">
        <v>1870</v>
      </c>
      <c r="AI11">
        <v>1870</v>
      </c>
      <c r="AJ11">
        <v>1870</v>
      </c>
      <c r="AK11">
        <v>1870</v>
      </c>
      <c r="AL11">
        <v>1870</v>
      </c>
      <c r="AM11">
        <v>1870</v>
      </c>
      <c r="AN11">
        <v>1870</v>
      </c>
      <c r="AO11">
        <v>1870</v>
      </c>
      <c r="AP11">
        <v>1870</v>
      </c>
      <c r="AQ11">
        <v>1870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row>
    <row r="12" spans="1:71">
      <c r="A12" t="s">
        <v>2179</v>
      </c>
      <c r="B12" t="s">
        <v>1981</v>
      </c>
      <c r="E12" s="266">
        <v>0.34980238594377411</v>
      </c>
      <c r="F12">
        <v>27934</v>
      </c>
      <c r="G12" s="423">
        <v>6</v>
      </c>
      <c r="H12">
        <v>640</v>
      </c>
      <c r="I12">
        <v>3840</v>
      </c>
      <c r="J12" s="99">
        <f t="shared" si="0"/>
        <v>0.11012331517063378</v>
      </c>
      <c r="K12" s="99"/>
      <c r="L12" s="99"/>
      <c r="M12" s="99"/>
      <c r="R12" s="508">
        <v>5.8900000000000001E-2</v>
      </c>
      <c r="S12" s="508">
        <v>3.2000000000000001E-2</v>
      </c>
      <c r="T12">
        <v>1</v>
      </c>
      <c r="U12" s="508">
        <v>0.91098480000000004</v>
      </c>
      <c r="V12" s="508">
        <v>0.96799999999999997</v>
      </c>
      <c r="W12">
        <v>4</v>
      </c>
      <c r="X12">
        <v>122</v>
      </c>
      <c r="Y12">
        <v>1988</v>
      </c>
      <c r="Z12">
        <v>50</v>
      </c>
      <c r="AB12">
        <v>2038</v>
      </c>
      <c r="AC12">
        <v>144.08333333333331</v>
      </c>
      <c r="AE12">
        <v>3840</v>
      </c>
      <c r="AF12">
        <v>3840</v>
      </c>
      <c r="AG12">
        <v>3840</v>
      </c>
      <c r="AH12">
        <v>3840</v>
      </c>
      <c r="AI12">
        <v>3840</v>
      </c>
      <c r="AJ12">
        <v>3840</v>
      </c>
      <c r="AK12">
        <v>3840</v>
      </c>
      <c r="AL12">
        <v>3840</v>
      </c>
      <c r="AM12">
        <v>3840</v>
      </c>
      <c r="AN12">
        <v>3840</v>
      </c>
      <c r="AO12">
        <v>3840</v>
      </c>
      <c r="AP12">
        <v>3840</v>
      </c>
      <c r="AQ12">
        <v>3840</v>
      </c>
      <c r="AR12">
        <v>3840</v>
      </c>
      <c r="AS12">
        <v>3840</v>
      </c>
      <c r="AT12">
        <v>3840</v>
      </c>
      <c r="AU12">
        <v>3840</v>
      </c>
      <c r="AV12">
        <v>3840</v>
      </c>
      <c r="AW12">
        <v>3840</v>
      </c>
      <c r="AX12">
        <v>3840</v>
      </c>
      <c r="AY12">
        <v>3840</v>
      </c>
      <c r="AZ12">
        <v>3840</v>
      </c>
      <c r="BA12">
        <v>3840</v>
      </c>
      <c r="BB12">
        <v>3840</v>
      </c>
      <c r="BC12">
        <v>3840</v>
      </c>
      <c r="BD12">
        <v>3840</v>
      </c>
      <c r="BE12">
        <v>3840</v>
      </c>
      <c r="BF12">
        <v>3840</v>
      </c>
      <c r="BG12">
        <v>3840</v>
      </c>
      <c r="BH12">
        <v>0</v>
      </c>
      <c r="BI12">
        <v>0</v>
      </c>
      <c r="BJ12">
        <v>0</v>
      </c>
      <c r="BK12">
        <v>0</v>
      </c>
      <c r="BL12">
        <v>0</v>
      </c>
      <c r="BM12">
        <v>0</v>
      </c>
      <c r="BN12">
        <v>0</v>
      </c>
      <c r="BO12">
        <v>0</v>
      </c>
      <c r="BP12">
        <v>0</v>
      </c>
      <c r="BQ12">
        <v>0</v>
      </c>
      <c r="BR12">
        <v>0</v>
      </c>
      <c r="BS12">
        <v>0</v>
      </c>
    </row>
    <row r="13" spans="1:71">
      <c r="A13" t="s">
        <v>2180</v>
      </c>
      <c r="B13" t="s">
        <v>1980</v>
      </c>
      <c r="E13" s="266">
        <v>0.35881411933559587</v>
      </c>
      <c r="F13">
        <v>19209</v>
      </c>
      <c r="G13" s="423">
        <v>6</v>
      </c>
      <c r="H13">
        <v>475</v>
      </c>
      <c r="I13">
        <v>2850</v>
      </c>
      <c r="J13" s="99">
        <f t="shared" si="0"/>
        <v>8.1732147978204758E-2</v>
      </c>
      <c r="K13" s="99"/>
      <c r="L13" s="99"/>
      <c r="M13" s="99"/>
      <c r="R13" s="508">
        <v>6.9800000000000001E-2</v>
      </c>
      <c r="S13" s="508">
        <v>9.3799999999999994E-2</v>
      </c>
      <c r="T13">
        <v>1</v>
      </c>
      <c r="U13" s="508">
        <v>0.84294723999999999</v>
      </c>
      <c r="V13" s="508">
        <v>0.90620000000000001</v>
      </c>
      <c r="W13">
        <v>8</v>
      </c>
      <c r="X13">
        <v>298</v>
      </c>
      <c r="Y13">
        <v>1976</v>
      </c>
      <c r="Z13">
        <v>50</v>
      </c>
      <c r="AA13">
        <v>2028</v>
      </c>
      <c r="AB13">
        <v>2028</v>
      </c>
      <c r="AC13">
        <v>2215</v>
      </c>
      <c r="AE13">
        <v>2850</v>
      </c>
      <c r="AF13">
        <v>2850</v>
      </c>
      <c r="AG13">
        <v>2850</v>
      </c>
      <c r="AH13">
        <v>2850</v>
      </c>
      <c r="AI13">
        <v>2850</v>
      </c>
      <c r="AJ13">
        <v>2850</v>
      </c>
      <c r="AK13">
        <v>2850</v>
      </c>
      <c r="AL13">
        <v>2850</v>
      </c>
      <c r="AM13">
        <v>2850</v>
      </c>
      <c r="AN13">
        <v>2850</v>
      </c>
      <c r="AO13">
        <v>2850</v>
      </c>
      <c r="AP13">
        <v>2850</v>
      </c>
      <c r="AQ13">
        <v>2850</v>
      </c>
      <c r="AR13">
        <v>2850</v>
      </c>
      <c r="AS13">
        <v>2850</v>
      </c>
      <c r="AT13">
        <v>2850</v>
      </c>
      <c r="AU13">
        <v>2850</v>
      </c>
      <c r="AV13">
        <v>2850</v>
      </c>
      <c r="AW13">
        <v>2850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row>
    <row r="14" spans="1:71">
      <c r="A14" t="s">
        <v>2181</v>
      </c>
      <c r="B14" t="s">
        <v>1980</v>
      </c>
      <c r="E14" s="266">
        <v>0.35284068605950958</v>
      </c>
      <c r="F14">
        <v>24868</v>
      </c>
      <c r="G14" s="423">
        <v>6</v>
      </c>
      <c r="H14">
        <v>593</v>
      </c>
      <c r="I14">
        <v>3558</v>
      </c>
      <c r="J14" s="99">
        <f t="shared" si="0"/>
        <v>0.10203613421279037</v>
      </c>
      <c r="K14" s="99"/>
      <c r="L14" s="99"/>
      <c r="M14" s="99"/>
      <c r="R14" s="508">
        <v>8.0500000000000002E-2</v>
      </c>
      <c r="S14" s="508">
        <v>6.8099999999999994E-2</v>
      </c>
      <c r="T14">
        <v>1</v>
      </c>
      <c r="U14" s="508">
        <v>0.85688204999999995</v>
      </c>
      <c r="V14" s="508">
        <v>0.93189999999999995</v>
      </c>
      <c r="W14">
        <v>8</v>
      </c>
      <c r="X14">
        <v>129</v>
      </c>
      <c r="Y14">
        <v>1985</v>
      </c>
      <c r="Z14">
        <v>50</v>
      </c>
      <c r="AA14">
        <v>2036</v>
      </c>
      <c r="AB14">
        <v>2036</v>
      </c>
      <c r="AC14">
        <v>1817.5833333333333</v>
      </c>
      <c r="AE14">
        <v>3558</v>
      </c>
      <c r="AF14">
        <v>3558</v>
      </c>
      <c r="AG14">
        <v>3558</v>
      </c>
      <c r="AH14">
        <v>3558</v>
      </c>
      <c r="AI14">
        <v>3558</v>
      </c>
      <c r="AJ14">
        <v>3558</v>
      </c>
      <c r="AK14">
        <v>3558</v>
      </c>
      <c r="AL14">
        <v>3558</v>
      </c>
      <c r="AM14">
        <v>3558</v>
      </c>
      <c r="AN14">
        <v>3558</v>
      </c>
      <c r="AO14">
        <v>3558</v>
      </c>
      <c r="AP14">
        <v>3558</v>
      </c>
      <c r="AQ14">
        <v>3558</v>
      </c>
      <c r="AR14">
        <v>3558</v>
      </c>
      <c r="AS14">
        <v>3558</v>
      </c>
      <c r="AT14">
        <v>3558</v>
      </c>
      <c r="AU14">
        <v>3558</v>
      </c>
      <c r="AV14">
        <v>3558</v>
      </c>
      <c r="AW14">
        <v>3558</v>
      </c>
      <c r="AX14">
        <v>3558</v>
      </c>
      <c r="AY14">
        <v>3558</v>
      </c>
      <c r="AZ14">
        <v>3558</v>
      </c>
      <c r="BA14">
        <v>3558</v>
      </c>
      <c r="BB14">
        <v>3558</v>
      </c>
      <c r="BC14">
        <v>3558</v>
      </c>
      <c r="BD14">
        <v>3558</v>
      </c>
      <c r="BE14">
        <v>3558</v>
      </c>
      <c r="BF14">
        <v>0</v>
      </c>
      <c r="BG14">
        <v>0</v>
      </c>
      <c r="BH14">
        <v>0</v>
      </c>
      <c r="BI14">
        <v>0</v>
      </c>
      <c r="BJ14">
        <v>0</v>
      </c>
      <c r="BK14">
        <v>0</v>
      </c>
      <c r="BL14">
        <v>0</v>
      </c>
      <c r="BM14">
        <v>0</v>
      </c>
      <c r="BN14">
        <v>0</v>
      </c>
      <c r="BO14">
        <v>0</v>
      </c>
      <c r="BP14">
        <v>0</v>
      </c>
      <c r="BQ14">
        <v>0</v>
      </c>
      <c r="BR14">
        <v>0</v>
      </c>
      <c r="BS14">
        <v>0</v>
      </c>
    </row>
    <row r="15" spans="1:71">
      <c r="A15" t="s">
        <v>2182</v>
      </c>
      <c r="B15" t="s">
        <v>1981</v>
      </c>
      <c r="E15" s="266">
        <v>0.3495157507816774</v>
      </c>
      <c r="F15">
        <v>8569.6049960967994</v>
      </c>
      <c r="G15" s="423">
        <v>3</v>
      </c>
      <c r="H15">
        <v>617</v>
      </c>
      <c r="I15">
        <v>1851</v>
      </c>
      <c r="J15" s="99">
        <f t="shared" si="0"/>
        <v>5.3082879265844568E-2</v>
      </c>
      <c r="K15" s="99"/>
      <c r="L15" s="99"/>
      <c r="M15" s="99"/>
      <c r="R15" s="508">
        <v>5.7799999999999997E-2</v>
      </c>
      <c r="S15" s="508">
        <v>5.7799999999999997E-2</v>
      </c>
      <c r="T15">
        <v>1</v>
      </c>
      <c r="U15" s="508">
        <v>0.88774084000000009</v>
      </c>
      <c r="V15" s="508">
        <v>0.94220000000000004</v>
      </c>
      <c r="W15">
        <v>7</v>
      </c>
      <c r="X15">
        <v>134</v>
      </c>
      <c r="Y15">
        <v>1996</v>
      </c>
      <c r="Z15">
        <v>50</v>
      </c>
      <c r="AB15">
        <v>2046</v>
      </c>
      <c r="AC15">
        <v>130</v>
      </c>
      <c r="AE15">
        <v>1851</v>
      </c>
      <c r="AF15">
        <v>1851</v>
      </c>
      <c r="AG15">
        <v>1851</v>
      </c>
      <c r="AH15">
        <v>1851</v>
      </c>
      <c r="AI15">
        <v>1851</v>
      </c>
      <c r="AJ15">
        <v>1851</v>
      </c>
      <c r="AK15">
        <v>1851</v>
      </c>
      <c r="AL15">
        <v>1851</v>
      </c>
      <c r="AM15">
        <v>1851</v>
      </c>
      <c r="AN15">
        <v>1851</v>
      </c>
      <c r="AO15">
        <v>1851</v>
      </c>
      <c r="AP15">
        <v>1851</v>
      </c>
      <c r="AQ15">
        <v>1851</v>
      </c>
      <c r="AR15">
        <v>1851</v>
      </c>
      <c r="AS15">
        <v>1851</v>
      </c>
      <c r="AT15">
        <v>1851</v>
      </c>
      <c r="AU15">
        <v>1851</v>
      </c>
      <c r="AV15">
        <v>1851</v>
      </c>
      <c r="AW15">
        <v>1851</v>
      </c>
      <c r="AX15">
        <v>1851</v>
      </c>
      <c r="AY15">
        <v>1851</v>
      </c>
      <c r="AZ15">
        <v>1851</v>
      </c>
      <c r="BA15">
        <v>1851</v>
      </c>
      <c r="BB15">
        <v>1851</v>
      </c>
      <c r="BC15">
        <v>1851</v>
      </c>
      <c r="BD15">
        <v>1851</v>
      </c>
      <c r="BE15">
        <v>1851</v>
      </c>
      <c r="BF15">
        <v>1851</v>
      </c>
      <c r="BG15">
        <v>1851</v>
      </c>
      <c r="BH15">
        <v>1851</v>
      </c>
      <c r="BI15">
        <v>1851</v>
      </c>
      <c r="BJ15">
        <v>1851</v>
      </c>
      <c r="BK15">
        <v>1851</v>
      </c>
      <c r="BL15">
        <v>1851</v>
      </c>
      <c r="BM15">
        <v>1851</v>
      </c>
      <c r="BN15">
        <v>1851</v>
      </c>
      <c r="BO15">
        <v>1851</v>
      </c>
      <c r="BP15">
        <v>0</v>
      </c>
      <c r="BQ15">
        <v>0</v>
      </c>
      <c r="BR15">
        <v>0</v>
      </c>
      <c r="BS15">
        <v>0</v>
      </c>
    </row>
    <row r="16" spans="1:71">
      <c r="A16" t="s">
        <v>2183</v>
      </c>
      <c r="B16" t="s">
        <v>1980</v>
      </c>
      <c r="E16" s="266">
        <v>0.37605491237398242</v>
      </c>
      <c r="F16">
        <v>9222.3950039032006</v>
      </c>
      <c r="G16" s="423">
        <v>3</v>
      </c>
      <c r="H16">
        <v>664</v>
      </c>
      <c r="I16">
        <v>1992</v>
      </c>
      <c r="J16" s="99">
        <f t="shared" si="0"/>
        <v>5.7126469744766276E-2</v>
      </c>
      <c r="K16" s="99"/>
      <c r="L16" s="99"/>
      <c r="M16" s="99"/>
      <c r="R16" s="508">
        <v>6.7799999999999999E-2</v>
      </c>
      <c r="S16" s="508">
        <v>5.8299999999999998E-2</v>
      </c>
      <c r="T16">
        <v>1</v>
      </c>
      <c r="U16" s="508">
        <v>0.87785274000000002</v>
      </c>
      <c r="V16" s="508">
        <v>0.94169999999999998</v>
      </c>
      <c r="W16">
        <v>13</v>
      </c>
      <c r="X16">
        <v>90</v>
      </c>
      <c r="Y16">
        <v>1996</v>
      </c>
      <c r="Z16">
        <v>50</v>
      </c>
      <c r="AB16">
        <v>2046</v>
      </c>
      <c r="AC16">
        <v>1800</v>
      </c>
      <c r="AE16">
        <v>1992</v>
      </c>
      <c r="AF16">
        <v>1992</v>
      </c>
      <c r="AG16">
        <v>1992</v>
      </c>
      <c r="AH16">
        <v>1992</v>
      </c>
      <c r="AI16">
        <v>1992</v>
      </c>
      <c r="AJ16">
        <v>1992</v>
      </c>
      <c r="AK16">
        <v>1992</v>
      </c>
      <c r="AL16">
        <v>1992</v>
      </c>
      <c r="AM16">
        <v>1992</v>
      </c>
      <c r="AN16">
        <v>1992</v>
      </c>
      <c r="AO16">
        <v>1992</v>
      </c>
      <c r="AP16">
        <v>1992</v>
      </c>
      <c r="AQ16">
        <v>1992</v>
      </c>
      <c r="AR16">
        <v>1992</v>
      </c>
      <c r="AS16">
        <v>1992</v>
      </c>
      <c r="AT16">
        <v>1992</v>
      </c>
      <c r="AU16">
        <v>1992</v>
      </c>
      <c r="AV16">
        <v>1992</v>
      </c>
      <c r="AW16">
        <v>1992</v>
      </c>
      <c r="AX16">
        <v>1992</v>
      </c>
      <c r="AY16">
        <v>1992</v>
      </c>
      <c r="AZ16">
        <v>1992</v>
      </c>
      <c r="BA16">
        <v>1992</v>
      </c>
      <c r="BB16">
        <v>1992</v>
      </c>
      <c r="BC16">
        <v>1992</v>
      </c>
      <c r="BD16">
        <v>1992</v>
      </c>
      <c r="BE16">
        <v>1992</v>
      </c>
      <c r="BF16">
        <v>1992</v>
      </c>
      <c r="BG16">
        <v>1992</v>
      </c>
      <c r="BH16">
        <v>1992</v>
      </c>
      <c r="BI16">
        <v>1992</v>
      </c>
      <c r="BJ16">
        <v>1992</v>
      </c>
      <c r="BK16">
        <v>1992</v>
      </c>
      <c r="BL16">
        <v>1992</v>
      </c>
      <c r="BM16">
        <v>1992</v>
      </c>
      <c r="BN16">
        <v>1992</v>
      </c>
      <c r="BO16">
        <v>1992</v>
      </c>
      <c r="BP16">
        <v>0</v>
      </c>
      <c r="BQ16">
        <v>0</v>
      </c>
      <c r="BR16">
        <v>0</v>
      </c>
      <c r="BS16">
        <v>0</v>
      </c>
    </row>
    <row r="17" spans="1:71">
      <c r="A17" t="s">
        <v>2184</v>
      </c>
      <c r="B17" t="s">
        <v>1981</v>
      </c>
      <c r="E17" s="266">
        <v>0.3536818278276862</v>
      </c>
      <c r="F17">
        <v>28212</v>
      </c>
      <c r="G17" s="423">
        <v>6</v>
      </c>
      <c r="H17">
        <v>615</v>
      </c>
      <c r="I17">
        <v>3690</v>
      </c>
      <c r="J17" s="99">
        <f t="shared" si="0"/>
        <v>0.1058216231717809</v>
      </c>
      <c r="K17" s="99"/>
      <c r="L17" s="99"/>
      <c r="M17" s="99"/>
      <c r="R17" s="508">
        <v>7.8E-2</v>
      </c>
      <c r="S17" s="508">
        <v>5.4899999999999997E-2</v>
      </c>
      <c r="T17">
        <v>1</v>
      </c>
      <c r="U17" s="508">
        <v>0.87138220000000011</v>
      </c>
      <c r="V17" s="508">
        <v>0.94510000000000005</v>
      </c>
      <c r="W17">
        <v>6</v>
      </c>
      <c r="X17">
        <v>200</v>
      </c>
      <c r="Y17">
        <v>1987</v>
      </c>
      <c r="Z17">
        <v>50</v>
      </c>
      <c r="AB17">
        <v>2037</v>
      </c>
      <c r="AC17">
        <v>111.08333333333336</v>
      </c>
      <c r="AE17">
        <v>3690</v>
      </c>
      <c r="AF17">
        <v>3690</v>
      </c>
      <c r="AG17">
        <v>3690</v>
      </c>
      <c r="AH17">
        <v>3690</v>
      </c>
      <c r="AI17">
        <v>3690</v>
      </c>
      <c r="AJ17">
        <v>3690</v>
      </c>
      <c r="AK17">
        <v>3690</v>
      </c>
      <c r="AL17">
        <v>3690</v>
      </c>
      <c r="AM17">
        <v>3690</v>
      </c>
      <c r="AN17">
        <v>3690</v>
      </c>
      <c r="AO17">
        <v>3690</v>
      </c>
      <c r="AP17">
        <v>3690</v>
      </c>
      <c r="AQ17">
        <v>3690</v>
      </c>
      <c r="AR17">
        <v>3690</v>
      </c>
      <c r="AS17">
        <v>3690</v>
      </c>
      <c r="AT17">
        <v>3690</v>
      </c>
      <c r="AU17">
        <v>3690</v>
      </c>
      <c r="AV17">
        <v>3690</v>
      </c>
      <c r="AW17">
        <v>3690</v>
      </c>
      <c r="AX17">
        <v>3690</v>
      </c>
      <c r="AY17">
        <v>3690</v>
      </c>
      <c r="AZ17">
        <v>3690</v>
      </c>
      <c r="BA17">
        <v>3690</v>
      </c>
      <c r="BB17">
        <v>3690</v>
      </c>
      <c r="BC17">
        <v>3690</v>
      </c>
      <c r="BD17">
        <v>3690</v>
      </c>
      <c r="BE17">
        <v>3690</v>
      </c>
      <c r="BF17">
        <v>3690</v>
      </c>
      <c r="BG17">
        <v>0</v>
      </c>
      <c r="BH17">
        <v>0</v>
      </c>
      <c r="BI17">
        <v>0</v>
      </c>
      <c r="BJ17">
        <v>0</v>
      </c>
      <c r="BK17">
        <v>0</v>
      </c>
      <c r="BL17">
        <v>0</v>
      </c>
      <c r="BM17">
        <v>0</v>
      </c>
      <c r="BN17">
        <v>0</v>
      </c>
      <c r="BO17">
        <v>0</v>
      </c>
      <c r="BP17">
        <v>0</v>
      </c>
      <c r="BQ17">
        <v>0</v>
      </c>
      <c r="BR17">
        <v>0</v>
      </c>
      <c r="BS17">
        <v>0</v>
      </c>
    </row>
    <row r="18" spans="1:71">
      <c r="A18" t="s">
        <v>2185</v>
      </c>
      <c r="B18" t="s">
        <v>1980</v>
      </c>
      <c r="E18" s="266">
        <v>0.35207617363614491</v>
      </c>
      <c r="F18">
        <v>25388</v>
      </c>
      <c r="G18" s="423">
        <v>6</v>
      </c>
      <c r="H18">
        <v>575</v>
      </c>
      <c r="I18">
        <v>3450</v>
      </c>
      <c r="J18" s="99">
        <f t="shared" si="0"/>
        <v>9.8938915973616287E-2</v>
      </c>
      <c r="K18" s="99"/>
      <c r="L18" s="99"/>
      <c r="M18" s="99"/>
      <c r="R18" s="508">
        <v>5.4600000000000003E-2</v>
      </c>
      <c r="S18" s="508">
        <v>6.7299999999999999E-2</v>
      </c>
      <c r="T18">
        <v>1</v>
      </c>
      <c r="U18" s="508">
        <v>0.88177457999999997</v>
      </c>
      <c r="V18" s="508">
        <v>0.93269999999999997</v>
      </c>
      <c r="W18">
        <v>10</v>
      </c>
      <c r="X18">
        <v>188</v>
      </c>
      <c r="Y18">
        <v>1979</v>
      </c>
      <c r="Z18">
        <v>50</v>
      </c>
      <c r="AA18">
        <v>2031</v>
      </c>
      <c r="AB18">
        <v>2031</v>
      </c>
      <c r="AC18">
        <v>1963.5833333333335</v>
      </c>
      <c r="AE18">
        <v>3450</v>
      </c>
      <c r="AF18">
        <v>3450</v>
      </c>
      <c r="AG18">
        <v>3450</v>
      </c>
      <c r="AH18">
        <v>3450</v>
      </c>
      <c r="AI18">
        <v>3450</v>
      </c>
      <c r="AJ18">
        <v>3450</v>
      </c>
      <c r="AK18">
        <v>3450</v>
      </c>
      <c r="AL18">
        <v>3450</v>
      </c>
      <c r="AM18">
        <v>3450</v>
      </c>
      <c r="AN18">
        <v>3450</v>
      </c>
      <c r="AO18">
        <v>3450</v>
      </c>
      <c r="AP18">
        <v>3450</v>
      </c>
      <c r="AQ18">
        <v>3450</v>
      </c>
      <c r="AR18">
        <v>3450</v>
      </c>
      <c r="AS18">
        <v>3450</v>
      </c>
      <c r="AT18">
        <v>3450</v>
      </c>
      <c r="AU18">
        <v>3450</v>
      </c>
      <c r="AV18">
        <v>3450</v>
      </c>
      <c r="AW18">
        <v>3450</v>
      </c>
      <c r="AX18">
        <v>3450</v>
      </c>
      <c r="AY18">
        <v>3450</v>
      </c>
      <c r="AZ18">
        <v>3450</v>
      </c>
      <c r="BA18">
        <v>0</v>
      </c>
      <c r="BB18">
        <v>0</v>
      </c>
      <c r="BC18">
        <v>0</v>
      </c>
      <c r="BD18">
        <v>0</v>
      </c>
      <c r="BE18">
        <v>0</v>
      </c>
      <c r="BF18">
        <v>0</v>
      </c>
      <c r="BG18">
        <v>0</v>
      </c>
      <c r="BH18">
        <v>0</v>
      </c>
      <c r="BI18">
        <v>0</v>
      </c>
      <c r="BJ18">
        <v>0</v>
      </c>
      <c r="BK18">
        <v>0</v>
      </c>
      <c r="BL18">
        <v>0</v>
      </c>
      <c r="BM18">
        <v>0</v>
      </c>
      <c r="BN18">
        <v>0</v>
      </c>
      <c r="BO18">
        <v>0</v>
      </c>
      <c r="BP18">
        <v>0</v>
      </c>
      <c r="BQ18">
        <v>0</v>
      </c>
      <c r="BR18">
        <v>0</v>
      </c>
      <c r="BS18">
        <v>0</v>
      </c>
    </row>
    <row r="19" spans="1:71">
      <c r="A19" t="s">
        <v>2186</v>
      </c>
      <c r="B19" t="s">
        <v>1980</v>
      </c>
      <c r="E19" s="266">
        <v>0.37498046976719962</v>
      </c>
      <c r="F19">
        <v>18374</v>
      </c>
      <c r="G19" s="423">
        <v>6</v>
      </c>
      <c r="H19">
        <v>585</v>
      </c>
      <c r="I19">
        <v>3510</v>
      </c>
      <c r="J19" s="99">
        <f t="shared" si="0"/>
        <v>0.10065959277315745</v>
      </c>
      <c r="K19" s="99"/>
      <c r="L19" s="99"/>
      <c r="M19" s="99"/>
      <c r="R19" s="508">
        <v>0.1009</v>
      </c>
      <c r="S19" s="508">
        <v>4.65E-2</v>
      </c>
      <c r="T19">
        <v>1</v>
      </c>
      <c r="U19" s="508">
        <v>0.85729185000000008</v>
      </c>
      <c r="V19" s="508">
        <v>0.95350000000000001</v>
      </c>
      <c r="W19">
        <v>7</v>
      </c>
      <c r="X19">
        <v>127</v>
      </c>
      <c r="Y19">
        <v>1985</v>
      </c>
      <c r="Z19">
        <v>50</v>
      </c>
      <c r="AB19">
        <v>2035</v>
      </c>
      <c r="AC19">
        <v>1965.9166666666661</v>
      </c>
      <c r="AE19">
        <v>3510</v>
      </c>
      <c r="AF19">
        <v>3510</v>
      </c>
      <c r="AG19">
        <v>3510</v>
      </c>
      <c r="AH19">
        <v>3510</v>
      </c>
      <c r="AI19">
        <v>3510</v>
      </c>
      <c r="AJ19">
        <v>3510</v>
      </c>
      <c r="AK19">
        <v>3510</v>
      </c>
      <c r="AL19">
        <v>3510</v>
      </c>
      <c r="AM19">
        <v>3510</v>
      </c>
      <c r="AN19">
        <v>3510</v>
      </c>
      <c r="AO19">
        <v>3510</v>
      </c>
      <c r="AP19">
        <v>3510</v>
      </c>
      <c r="AQ19">
        <v>3510</v>
      </c>
      <c r="AR19">
        <v>3510</v>
      </c>
      <c r="AS19">
        <v>3510</v>
      </c>
      <c r="AT19">
        <v>3510</v>
      </c>
      <c r="AU19">
        <v>3510</v>
      </c>
      <c r="AV19">
        <v>3510</v>
      </c>
      <c r="AW19">
        <v>3510</v>
      </c>
      <c r="AX19">
        <v>3510</v>
      </c>
      <c r="AY19">
        <v>3510</v>
      </c>
      <c r="AZ19">
        <v>3510</v>
      </c>
      <c r="BA19">
        <v>3510</v>
      </c>
      <c r="BB19">
        <v>3510</v>
      </c>
      <c r="BC19">
        <v>3510</v>
      </c>
      <c r="BD19">
        <v>3510</v>
      </c>
      <c r="BE19">
        <v>0</v>
      </c>
      <c r="BF19">
        <v>0</v>
      </c>
      <c r="BG19">
        <v>0</v>
      </c>
      <c r="BH19">
        <v>0</v>
      </c>
      <c r="BI19">
        <v>0</v>
      </c>
      <c r="BJ19">
        <v>0</v>
      </c>
      <c r="BK19">
        <v>0</v>
      </c>
      <c r="BL19">
        <v>0</v>
      </c>
      <c r="BM19">
        <v>0</v>
      </c>
      <c r="BN19">
        <v>0</v>
      </c>
      <c r="BO19">
        <v>0</v>
      </c>
      <c r="BP19">
        <v>0</v>
      </c>
      <c r="BQ19">
        <v>0</v>
      </c>
      <c r="BR19">
        <v>0</v>
      </c>
      <c r="BS19">
        <v>0</v>
      </c>
    </row>
    <row r="20" spans="1:71">
      <c r="A20" t="s">
        <v>2187</v>
      </c>
      <c r="B20" t="s">
        <v>1983</v>
      </c>
      <c r="E20" s="266">
        <v>0.23964620232330339</v>
      </c>
      <c r="F20">
        <v>230.76909448818898</v>
      </c>
      <c r="G20" s="423">
        <v>2</v>
      </c>
      <c r="H20">
        <v>25</v>
      </c>
      <c r="I20">
        <v>50</v>
      </c>
      <c r="J20" s="99">
        <f t="shared" si="0"/>
        <v>1.4338973329509608E-3</v>
      </c>
      <c r="K20" s="99"/>
      <c r="L20" s="99"/>
      <c r="M20" s="99"/>
      <c r="R20" s="508">
        <v>0.1009</v>
      </c>
      <c r="S20" s="508">
        <v>9.3799999999999994E-2</v>
      </c>
      <c r="T20">
        <v>1</v>
      </c>
      <c r="U20" s="508">
        <v>0.81476442000000004</v>
      </c>
      <c r="V20" s="508">
        <v>0.90620000000000001</v>
      </c>
      <c r="W20">
        <v>18</v>
      </c>
      <c r="X20">
        <v>371</v>
      </c>
      <c r="Y20">
        <v>1982</v>
      </c>
      <c r="Z20">
        <v>50</v>
      </c>
      <c r="AA20">
        <v>2015</v>
      </c>
      <c r="AB20">
        <v>2015</v>
      </c>
      <c r="AC20">
        <v>2565.3333333333326</v>
      </c>
      <c r="AE20">
        <v>50</v>
      </c>
      <c r="AF20">
        <v>50</v>
      </c>
      <c r="AG20">
        <v>50</v>
      </c>
      <c r="AH20">
        <v>50</v>
      </c>
      <c r="AI20">
        <v>50</v>
      </c>
      <c r="AJ20">
        <v>50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row>
    <row r="21" spans="1:71">
      <c r="A21" t="s">
        <v>2188</v>
      </c>
      <c r="B21" t="s">
        <v>1983</v>
      </c>
      <c r="E21" s="266">
        <v>0.24929297741682618</v>
      </c>
      <c r="F21">
        <v>941.537905511811</v>
      </c>
      <c r="G21" s="423">
        <v>3</v>
      </c>
      <c r="H21">
        <v>51</v>
      </c>
      <c r="I21">
        <v>155</v>
      </c>
      <c r="J21" s="99">
        <f t="shared" si="0"/>
        <v>4.4450817321479786E-3</v>
      </c>
      <c r="K21" s="99"/>
      <c r="L21" s="99"/>
      <c r="M21" s="99"/>
      <c r="R21" s="508">
        <v>0.1009</v>
      </c>
      <c r="S21" s="508">
        <v>9.3799999999999994E-2</v>
      </c>
      <c r="T21">
        <v>1</v>
      </c>
      <c r="U21" s="508">
        <v>0.81476442000000004</v>
      </c>
      <c r="V21" s="508">
        <v>0.90620000000000001</v>
      </c>
      <c r="W21">
        <v>18</v>
      </c>
      <c r="X21">
        <v>302</v>
      </c>
      <c r="Y21">
        <v>1982</v>
      </c>
      <c r="Z21">
        <v>50</v>
      </c>
      <c r="AB21">
        <v>2032</v>
      </c>
      <c r="AC21">
        <v>2565.3333333333326</v>
      </c>
      <c r="AE21">
        <v>155</v>
      </c>
      <c r="AF21">
        <v>155</v>
      </c>
      <c r="AG21">
        <v>155</v>
      </c>
      <c r="AH21">
        <v>155</v>
      </c>
      <c r="AI21">
        <v>155</v>
      </c>
      <c r="AJ21">
        <v>155</v>
      </c>
      <c r="AK21">
        <v>155</v>
      </c>
      <c r="AL21">
        <v>155</v>
      </c>
      <c r="AM21">
        <v>155</v>
      </c>
      <c r="AN21">
        <v>155</v>
      </c>
      <c r="AO21">
        <v>155</v>
      </c>
      <c r="AP21">
        <v>155</v>
      </c>
      <c r="AQ21">
        <v>155</v>
      </c>
      <c r="AR21">
        <v>155</v>
      </c>
      <c r="AS21">
        <v>155</v>
      </c>
      <c r="AT21">
        <v>155</v>
      </c>
      <c r="AU21">
        <v>155</v>
      </c>
      <c r="AV21">
        <v>155</v>
      </c>
      <c r="AW21">
        <v>155</v>
      </c>
      <c r="AX21">
        <v>155</v>
      </c>
      <c r="AY21">
        <v>155</v>
      </c>
      <c r="AZ21">
        <v>155</v>
      </c>
      <c r="BA21">
        <v>155</v>
      </c>
      <c r="BB21">
        <v>0</v>
      </c>
      <c r="BC21">
        <v>0</v>
      </c>
      <c r="BD21">
        <v>0</v>
      </c>
      <c r="BE21">
        <v>0</v>
      </c>
      <c r="BF21">
        <v>0</v>
      </c>
      <c r="BG21">
        <v>0</v>
      </c>
      <c r="BH21">
        <v>0</v>
      </c>
      <c r="BI21">
        <v>0</v>
      </c>
      <c r="BJ21">
        <v>0</v>
      </c>
      <c r="BK21">
        <v>0</v>
      </c>
      <c r="BL21">
        <v>0</v>
      </c>
      <c r="BM21">
        <v>0</v>
      </c>
      <c r="BN21">
        <v>0</v>
      </c>
      <c r="BO21">
        <v>0</v>
      </c>
      <c r="BP21">
        <v>0</v>
      </c>
      <c r="BQ21">
        <v>0</v>
      </c>
      <c r="BR21">
        <v>0</v>
      </c>
      <c r="BS21">
        <v>0</v>
      </c>
    </row>
    <row r="22" spans="1:71">
      <c r="A22" t="s">
        <v>2189</v>
      </c>
      <c r="B22" t="s">
        <v>1983</v>
      </c>
      <c r="E22" s="266">
        <v>0.23460448778834769</v>
      </c>
      <c r="F22">
        <v>130</v>
      </c>
      <c r="G22" s="423">
        <v>3</v>
      </c>
      <c r="H22">
        <v>25</v>
      </c>
      <c r="I22">
        <v>75</v>
      </c>
      <c r="J22" s="99">
        <f t="shared" si="0"/>
        <v>2.1508459994264411E-3</v>
      </c>
      <c r="K22" s="99"/>
      <c r="L22" s="99"/>
      <c r="M22" s="99"/>
      <c r="R22" s="508">
        <v>0.1009</v>
      </c>
      <c r="S22" s="508">
        <v>9.3799999999999994E-2</v>
      </c>
      <c r="T22">
        <v>1</v>
      </c>
      <c r="U22" s="508">
        <v>0.81476442000000004</v>
      </c>
      <c r="V22" s="508">
        <v>0.90620000000000001</v>
      </c>
      <c r="W22">
        <v>18</v>
      </c>
      <c r="X22">
        <v>697</v>
      </c>
      <c r="Y22">
        <v>1982</v>
      </c>
      <c r="Z22">
        <v>50</v>
      </c>
      <c r="AA22">
        <v>2016</v>
      </c>
      <c r="AB22">
        <v>2016</v>
      </c>
      <c r="AC22">
        <v>2565.3333333333326</v>
      </c>
      <c r="AE22">
        <v>75</v>
      </c>
      <c r="AF22">
        <v>75</v>
      </c>
      <c r="AG22">
        <v>75</v>
      </c>
      <c r="AH22">
        <v>75</v>
      </c>
      <c r="AI22">
        <v>75</v>
      </c>
      <c r="AJ22">
        <v>75</v>
      </c>
      <c r="AK22">
        <v>75</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row>
    <row r="23" spans="1:71">
      <c r="A23" t="s">
        <v>2190</v>
      </c>
      <c r="B23" t="s">
        <v>1983</v>
      </c>
      <c r="E23" s="266">
        <v>0.24929297741682618</v>
      </c>
      <c r="F23">
        <v>816</v>
      </c>
      <c r="G23" s="423">
        <v>3</v>
      </c>
      <c r="H23">
        <v>51</v>
      </c>
      <c r="I23">
        <v>155</v>
      </c>
      <c r="J23" s="99">
        <f t="shared" si="0"/>
        <v>4.4450817321479786E-3</v>
      </c>
      <c r="K23" s="99"/>
      <c r="L23" s="99"/>
      <c r="M23" s="99"/>
      <c r="R23" s="508">
        <v>0.1009</v>
      </c>
      <c r="S23" s="508">
        <v>9.3799999999999994E-2</v>
      </c>
      <c r="T23">
        <v>1</v>
      </c>
      <c r="U23" s="508">
        <v>0.81476442000000004</v>
      </c>
      <c r="V23" s="508">
        <v>0.90620000000000001</v>
      </c>
      <c r="W23">
        <v>17</v>
      </c>
      <c r="X23">
        <v>241</v>
      </c>
      <c r="Y23">
        <v>1982</v>
      </c>
      <c r="Z23">
        <v>50</v>
      </c>
      <c r="AB23">
        <v>2032</v>
      </c>
      <c r="AC23">
        <v>2565.3333333333326</v>
      </c>
      <c r="AE23">
        <v>155</v>
      </c>
      <c r="AF23">
        <v>155</v>
      </c>
      <c r="AG23">
        <v>155</v>
      </c>
      <c r="AH23">
        <v>155</v>
      </c>
      <c r="AI23">
        <v>155</v>
      </c>
      <c r="AJ23">
        <v>155</v>
      </c>
      <c r="AK23">
        <v>155</v>
      </c>
      <c r="AL23">
        <v>155</v>
      </c>
      <c r="AM23">
        <v>155</v>
      </c>
      <c r="AN23">
        <v>155</v>
      </c>
      <c r="AO23">
        <v>155</v>
      </c>
      <c r="AP23">
        <v>155</v>
      </c>
      <c r="AQ23">
        <v>155</v>
      </c>
      <c r="AR23">
        <v>155</v>
      </c>
      <c r="AS23">
        <v>155</v>
      </c>
      <c r="AT23">
        <v>155</v>
      </c>
      <c r="AU23">
        <v>155</v>
      </c>
      <c r="AV23">
        <v>155</v>
      </c>
      <c r="AW23">
        <v>155</v>
      </c>
      <c r="AX23">
        <v>155</v>
      </c>
      <c r="AY23">
        <v>155</v>
      </c>
      <c r="AZ23">
        <v>155</v>
      </c>
      <c r="BA23">
        <v>155</v>
      </c>
      <c r="BB23">
        <v>0</v>
      </c>
      <c r="BC23">
        <v>0</v>
      </c>
      <c r="BD23">
        <v>0</v>
      </c>
      <c r="BE23">
        <v>0</v>
      </c>
      <c r="BF23">
        <v>0</v>
      </c>
      <c r="BG23">
        <v>0</v>
      </c>
      <c r="BH23">
        <v>0</v>
      </c>
      <c r="BI23">
        <v>0</v>
      </c>
      <c r="BJ23">
        <v>0</v>
      </c>
      <c r="BK23">
        <v>0</v>
      </c>
      <c r="BL23">
        <v>0</v>
      </c>
      <c r="BM23">
        <v>0</v>
      </c>
      <c r="BN23">
        <v>0</v>
      </c>
      <c r="BO23">
        <v>0</v>
      </c>
      <c r="BP23">
        <v>0</v>
      </c>
      <c r="BQ23">
        <v>0</v>
      </c>
      <c r="BR23">
        <v>0</v>
      </c>
      <c r="BS23">
        <v>0</v>
      </c>
    </row>
    <row r="24" spans="1:71">
      <c r="A24" t="s">
        <v>2191</v>
      </c>
      <c r="B24" t="s">
        <v>2191</v>
      </c>
      <c r="E24" s="266">
        <v>0.25429035508469455</v>
      </c>
      <c r="F24">
        <v>632</v>
      </c>
      <c r="G24" s="423">
        <v>3</v>
      </c>
      <c r="H24">
        <v>51</v>
      </c>
      <c r="I24">
        <v>130</v>
      </c>
      <c r="J24" s="99"/>
      <c r="K24" s="99"/>
      <c r="L24" s="99"/>
      <c r="M24" s="99">
        <f>I24/SUM($I$24:$I$25)</f>
        <v>0.2</v>
      </c>
      <c r="R24" s="508">
        <v>8.9800000000000005E-2</v>
      </c>
      <c r="S24" s="508">
        <v>7.1499999999999994E-2</v>
      </c>
      <c r="T24">
        <v>1</v>
      </c>
      <c r="U24" s="508">
        <v>0.84512069999999995</v>
      </c>
      <c r="V24" s="508">
        <v>0.92849999999999999</v>
      </c>
      <c r="W24">
        <v>14</v>
      </c>
      <c r="X24">
        <v>138</v>
      </c>
      <c r="Y24">
        <v>1982</v>
      </c>
      <c r="Z24">
        <v>50</v>
      </c>
      <c r="AA24">
        <v>2015</v>
      </c>
      <c r="AB24">
        <v>2015</v>
      </c>
      <c r="AC24">
        <v>2565.3333333333326</v>
      </c>
      <c r="AE24">
        <v>130</v>
      </c>
      <c r="AF24">
        <v>130</v>
      </c>
      <c r="AG24">
        <v>130</v>
      </c>
      <c r="AH24">
        <v>130</v>
      </c>
      <c r="AI24">
        <v>130</v>
      </c>
      <c r="AJ24">
        <v>130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row>
    <row r="25" spans="1:71">
      <c r="A25" t="s">
        <v>2192</v>
      </c>
      <c r="B25" t="s">
        <v>2192</v>
      </c>
      <c r="E25" s="266">
        <v>0.25429035508469455</v>
      </c>
      <c r="F25">
        <v>3880</v>
      </c>
      <c r="G25" s="423">
        <v>10</v>
      </c>
      <c r="H25">
        <v>52</v>
      </c>
      <c r="I25">
        <v>520</v>
      </c>
      <c r="L25" s="508"/>
      <c r="M25" s="99">
        <f>I25/SUM($I$24:$I$25)</f>
        <v>0.8</v>
      </c>
      <c r="R25" s="508">
        <v>8.9800000000000005E-2</v>
      </c>
      <c r="S25" s="508">
        <v>7.1499999999999994E-2</v>
      </c>
      <c r="T25">
        <v>1</v>
      </c>
      <c r="U25" s="508">
        <v>0.84512069999999995</v>
      </c>
      <c r="V25" s="508">
        <v>0.92849999999999999</v>
      </c>
      <c r="W25">
        <v>14</v>
      </c>
      <c r="X25">
        <v>138</v>
      </c>
      <c r="Y25">
        <v>1982</v>
      </c>
      <c r="Z25">
        <v>50</v>
      </c>
      <c r="AB25">
        <v>2032</v>
      </c>
      <c r="AC25">
        <v>2565.3333333333326</v>
      </c>
      <c r="AE25">
        <v>520</v>
      </c>
      <c r="AF25">
        <v>520</v>
      </c>
      <c r="AG25">
        <v>520</v>
      </c>
      <c r="AH25">
        <v>520</v>
      </c>
      <c r="AI25">
        <v>520</v>
      </c>
      <c r="AJ25">
        <v>520</v>
      </c>
      <c r="AK25">
        <v>520</v>
      </c>
      <c r="AL25">
        <v>520</v>
      </c>
      <c r="AM25">
        <v>520</v>
      </c>
      <c r="AN25">
        <v>520</v>
      </c>
      <c r="AO25">
        <v>520</v>
      </c>
      <c r="AP25">
        <v>520</v>
      </c>
      <c r="AQ25">
        <v>520</v>
      </c>
      <c r="AR25">
        <v>520</v>
      </c>
      <c r="AS25">
        <v>520</v>
      </c>
      <c r="AT25">
        <v>520</v>
      </c>
      <c r="AU25">
        <v>520</v>
      </c>
      <c r="AV25">
        <v>520</v>
      </c>
      <c r="AW25">
        <v>520</v>
      </c>
      <c r="AX25">
        <v>520</v>
      </c>
      <c r="AY25">
        <v>520</v>
      </c>
      <c r="AZ25">
        <v>520</v>
      </c>
      <c r="BA25">
        <v>520</v>
      </c>
      <c r="BB25">
        <v>0</v>
      </c>
      <c r="BC25">
        <v>0</v>
      </c>
      <c r="BD25">
        <v>0</v>
      </c>
      <c r="BE25">
        <v>0</v>
      </c>
      <c r="BF25">
        <v>0</v>
      </c>
      <c r="BG25">
        <v>0</v>
      </c>
      <c r="BH25">
        <v>0</v>
      </c>
      <c r="BI25">
        <v>0</v>
      </c>
      <c r="BJ25">
        <v>0</v>
      </c>
      <c r="BK25">
        <v>0</v>
      </c>
      <c r="BL25">
        <v>0</v>
      </c>
      <c r="BM25">
        <v>0</v>
      </c>
      <c r="BN25">
        <v>0</v>
      </c>
      <c r="BO25">
        <v>0</v>
      </c>
      <c r="BP25">
        <v>0</v>
      </c>
      <c r="BQ25">
        <v>0</v>
      </c>
      <c r="BR25">
        <v>0</v>
      </c>
      <c r="BS25">
        <v>0</v>
      </c>
    </row>
    <row r="26" spans="1:71">
      <c r="A26" t="s">
        <v>2193</v>
      </c>
      <c r="B26" t="s">
        <v>2194</v>
      </c>
      <c r="E26" s="266">
        <v>0.28001988141158024</v>
      </c>
      <c r="F26">
        <v>36</v>
      </c>
      <c r="G26" s="423">
        <v>3</v>
      </c>
      <c r="H26">
        <v>57</v>
      </c>
      <c r="I26">
        <v>171</v>
      </c>
      <c r="L26" s="508">
        <f>I26/SUM($I$26:$I$29)</f>
        <v>7.1249999999999994E-2</v>
      </c>
      <c r="M26" s="508"/>
      <c r="R26" s="508">
        <v>3.4799999999999998E-2</v>
      </c>
      <c r="S26" s="508">
        <v>4.5499999999999999E-2</v>
      </c>
      <c r="T26">
        <v>1</v>
      </c>
      <c r="U26" s="508">
        <v>0.09</v>
      </c>
      <c r="V26" s="508">
        <v>0.95450000000000002</v>
      </c>
      <c r="W26">
        <v>101</v>
      </c>
      <c r="X26">
        <v>67</v>
      </c>
      <c r="Y26">
        <v>1976</v>
      </c>
      <c r="Z26">
        <v>50</v>
      </c>
      <c r="AB26">
        <v>2026</v>
      </c>
      <c r="AE26">
        <v>171</v>
      </c>
      <c r="AF26">
        <v>171</v>
      </c>
      <c r="AG26">
        <v>171</v>
      </c>
      <c r="AH26">
        <v>171</v>
      </c>
      <c r="AI26">
        <v>171</v>
      </c>
      <c r="AJ26">
        <v>171</v>
      </c>
      <c r="AK26">
        <v>171</v>
      </c>
      <c r="AL26">
        <v>171</v>
      </c>
      <c r="AM26">
        <v>171</v>
      </c>
      <c r="AN26">
        <v>171</v>
      </c>
      <c r="AO26">
        <v>171</v>
      </c>
      <c r="AP26">
        <v>171</v>
      </c>
      <c r="AQ26">
        <v>171</v>
      </c>
      <c r="AR26">
        <v>171</v>
      </c>
      <c r="AS26">
        <v>171</v>
      </c>
      <c r="AT26">
        <v>171</v>
      </c>
      <c r="AU26">
        <v>171</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row>
    <row r="27" spans="1:71">
      <c r="A27" t="s">
        <v>2195</v>
      </c>
      <c r="B27" t="s">
        <v>2194</v>
      </c>
      <c r="E27" s="266">
        <v>0.32710144506149508</v>
      </c>
      <c r="F27">
        <v>0</v>
      </c>
      <c r="G27" s="423">
        <v>9</v>
      </c>
      <c r="H27">
        <v>147</v>
      </c>
      <c r="I27">
        <v>1323</v>
      </c>
      <c r="L27" s="508">
        <f>I27/SUM($I$26:$I$29)</f>
        <v>0.55125000000000002</v>
      </c>
      <c r="M27" s="508"/>
      <c r="R27" s="508">
        <v>7.3599999999999999E-2</v>
      </c>
      <c r="S27" s="508">
        <v>5.2499999999999998E-2</v>
      </c>
      <c r="T27">
        <v>1</v>
      </c>
      <c r="U27" s="508">
        <v>0.09</v>
      </c>
      <c r="V27" s="508">
        <v>0.94750000000000001</v>
      </c>
      <c r="W27">
        <v>268</v>
      </c>
      <c r="X27">
        <v>65</v>
      </c>
      <c r="Y27">
        <v>2007</v>
      </c>
      <c r="Z27">
        <v>50</v>
      </c>
      <c r="AB27">
        <v>2057</v>
      </c>
      <c r="AE27">
        <v>1323</v>
      </c>
      <c r="AF27">
        <v>1323</v>
      </c>
      <c r="AG27">
        <v>1323</v>
      </c>
      <c r="AH27">
        <v>1323</v>
      </c>
      <c r="AI27">
        <v>1323</v>
      </c>
      <c r="AJ27">
        <v>1323</v>
      </c>
      <c r="AK27">
        <v>1323</v>
      </c>
      <c r="AL27">
        <v>1323</v>
      </c>
      <c r="AM27">
        <v>1323</v>
      </c>
      <c r="AN27">
        <v>1323</v>
      </c>
      <c r="AO27">
        <v>1323</v>
      </c>
      <c r="AP27">
        <v>1323</v>
      </c>
      <c r="AQ27">
        <v>1323</v>
      </c>
      <c r="AR27">
        <v>1323</v>
      </c>
      <c r="AS27">
        <v>1323</v>
      </c>
      <c r="AT27">
        <v>1323</v>
      </c>
      <c r="AU27">
        <v>1323</v>
      </c>
      <c r="AV27">
        <v>1323</v>
      </c>
      <c r="AW27">
        <v>1323</v>
      </c>
      <c r="AX27">
        <v>1323</v>
      </c>
      <c r="AY27">
        <v>1323</v>
      </c>
      <c r="AZ27">
        <v>1323</v>
      </c>
      <c r="BA27">
        <v>1323</v>
      </c>
      <c r="BB27">
        <v>1323</v>
      </c>
      <c r="BC27">
        <v>1323</v>
      </c>
      <c r="BD27">
        <v>1323</v>
      </c>
      <c r="BE27">
        <v>1323</v>
      </c>
      <c r="BF27">
        <v>1323</v>
      </c>
      <c r="BG27">
        <v>1323</v>
      </c>
      <c r="BH27">
        <v>1323</v>
      </c>
      <c r="BI27">
        <v>1323</v>
      </c>
      <c r="BJ27">
        <v>1323</v>
      </c>
      <c r="BK27">
        <v>1323</v>
      </c>
      <c r="BL27">
        <v>1323</v>
      </c>
      <c r="BM27">
        <v>1323</v>
      </c>
      <c r="BN27">
        <v>1323</v>
      </c>
      <c r="BO27">
        <v>1323</v>
      </c>
      <c r="BP27">
        <v>1323</v>
      </c>
      <c r="BQ27">
        <v>1323</v>
      </c>
      <c r="BR27">
        <v>1323</v>
      </c>
      <c r="BS27">
        <v>1323</v>
      </c>
    </row>
    <row r="28" spans="1:71">
      <c r="A28" t="s">
        <v>2000</v>
      </c>
      <c r="B28" t="s">
        <v>2194</v>
      </c>
      <c r="E28" s="266">
        <v>0.33529746240360786</v>
      </c>
      <c r="F28">
        <v>0</v>
      </c>
      <c r="G28" s="423">
        <v>5</v>
      </c>
      <c r="H28">
        <v>147</v>
      </c>
      <c r="I28">
        <v>735</v>
      </c>
      <c r="L28" s="508">
        <f>I28/SUM($I$26:$I$29)</f>
        <v>0.30625000000000002</v>
      </c>
      <c r="M28" s="508"/>
      <c r="R28" s="508">
        <v>7.3599999999999999E-2</v>
      </c>
      <c r="S28" s="508">
        <v>5.2499999999999998E-2</v>
      </c>
      <c r="T28">
        <v>1</v>
      </c>
      <c r="U28" s="508">
        <v>0.09</v>
      </c>
      <c r="V28" s="508">
        <v>0.94750000000000001</v>
      </c>
      <c r="W28">
        <v>268</v>
      </c>
      <c r="X28">
        <v>67</v>
      </c>
      <c r="Y28">
        <v>2007</v>
      </c>
      <c r="Z28">
        <v>50</v>
      </c>
      <c r="AB28">
        <v>2057</v>
      </c>
      <c r="AE28">
        <v>735</v>
      </c>
      <c r="AF28">
        <v>735</v>
      </c>
      <c r="AG28">
        <v>735</v>
      </c>
      <c r="AH28">
        <v>735</v>
      </c>
      <c r="AI28">
        <v>735</v>
      </c>
      <c r="AJ28">
        <v>735</v>
      </c>
      <c r="AK28">
        <v>735</v>
      </c>
      <c r="AL28">
        <v>735</v>
      </c>
      <c r="AM28">
        <v>735</v>
      </c>
      <c r="AN28">
        <v>735</v>
      </c>
      <c r="AO28">
        <v>735</v>
      </c>
      <c r="AP28">
        <v>735</v>
      </c>
      <c r="AQ28">
        <v>735</v>
      </c>
      <c r="AR28">
        <v>735</v>
      </c>
      <c r="AS28">
        <v>735</v>
      </c>
      <c r="AT28">
        <v>735</v>
      </c>
      <c r="AU28">
        <v>735</v>
      </c>
      <c r="AV28">
        <v>735</v>
      </c>
      <c r="AW28">
        <v>735</v>
      </c>
      <c r="AX28">
        <v>735</v>
      </c>
      <c r="AY28">
        <v>735</v>
      </c>
      <c r="AZ28">
        <v>735</v>
      </c>
      <c r="BA28">
        <v>735</v>
      </c>
      <c r="BB28">
        <v>735</v>
      </c>
      <c r="BC28">
        <v>735</v>
      </c>
      <c r="BD28">
        <v>735</v>
      </c>
      <c r="BE28">
        <v>735</v>
      </c>
      <c r="BF28">
        <v>735</v>
      </c>
      <c r="BG28">
        <v>735</v>
      </c>
      <c r="BH28">
        <v>735</v>
      </c>
      <c r="BI28">
        <v>735</v>
      </c>
      <c r="BJ28">
        <v>735</v>
      </c>
      <c r="BK28">
        <v>735</v>
      </c>
      <c r="BL28">
        <v>735</v>
      </c>
      <c r="BM28">
        <v>735</v>
      </c>
      <c r="BN28">
        <v>735</v>
      </c>
      <c r="BO28">
        <v>735</v>
      </c>
      <c r="BP28">
        <v>735</v>
      </c>
      <c r="BQ28">
        <v>735</v>
      </c>
      <c r="BR28">
        <v>735</v>
      </c>
      <c r="BS28">
        <v>735</v>
      </c>
    </row>
    <row r="29" spans="1:71">
      <c r="A29" t="s">
        <v>2196</v>
      </c>
      <c r="B29" t="s">
        <v>2194</v>
      </c>
      <c r="E29" s="266">
        <v>0.28001988141158024</v>
      </c>
      <c r="F29">
        <v>22</v>
      </c>
      <c r="G29" s="423">
        <v>3</v>
      </c>
      <c r="H29">
        <v>57</v>
      </c>
      <c r="I29">
        <v>171</v>
      </c>
      <c r="L29" s="508">
        <f>I29/SUM($I$26:$I$29)</f>
        <v>7.1249999999999994E-2</v>
      </c>
      <c r="M29" s="508"/>
      <c r="R29" s="508">
        <v>3.2599999999999997E-2</v>
      </c>
      <c r="S29" s="508">
        <v>4.3499999999999997E-2</v>
      </c>
      <c r="T29">
        <v>1</v>
      </c>
      <c r="U29" s="508">
        <v>0.09</v>
      </c>
      <c r="V29" s="508">
        <v>0.95650000000000002</v>
      </c>
      <c r="W29">
        <v>106</v>
      </c>
      <c r="X29">
        <v>71</v>
      </c>
      <c r="Y29">
        <v>1976</v>
      </c>
      <c r="Z29">
        <v>50</v>
      </c>
      <c r="AB29">
        <v>2026</v>
      </c>
      <c r="AE29">
        <v>171</v>
      </c>
      <c r="AF29">
        <v>171</v>
      </c>
      <c r="AG29">
        <v>171</v>
      </c>
      <c r="AH29">
        <v>171</v>
      </c>
      <c r="AI29">
        <v>171</v>
      </c>
      <c r="AJ29">
        <v>171</v>
      </c>
      <c r="AK29">
        <v>171</v>
      </c>
      <c r="AL29">
        <v>171</v>
      </c>
      <c r="AM29">
        <v>171</v>
      </c>
      <c r="AN29">
        <v>171</v>
      </c>
      <c r="AO29">
        <v>171</v>
      </c>
      <c r="AP29">
        <v>171</v>
      </c>
      <c r="AQ29">
        <v>171</v>
      </c>
      <c r="AR29">
        <v>171</v>
      </c>
      <c r="AS29">
        <v>171</v>
      </c>
      <c r="AT29">
        <v>171</v>
      </c>
      <c r="AU29">
        <v>171</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row>
    <row r="30" spans="1:71">
      <c r="A30" t="s">
        <v>2197</v>
      </c>
      <c r="B30" t="s">
        <v>2198</v>
      </c>
      <c r="E30" s="266">
        <v>1</v>
      </c>
      <c r="F30">
        <v>7146</v>
      </c>
      <c r="G30" s="423">
        <v>5</v>
      </c>
      <c r="H30">
        <v>299.5</v>
      </c>
      <c r="I30">
        <v>1497.5</v>
      </c>
      <c r="R30" s="508">
        <v>0.26</v>
      </c>
      <c r="S30" s="508">
        <v>0.1</v>
      </c>
      <c r="T30">
        <v>1</v>
      </c>
      <c r="U30" s="508">
        <v>0.66600000000000004</v>
      </c>
      <c r="V30" s="508">
        <v>0.9</v>
      </c>
      <c r="X30">
        <v>106</v>
      </c>
      <c r="Y30">
        <v>1984</v>
      </c>
      <c r="Z30">
        <v>100</v>
      </c>
      <c r="AB30">
        <v>2084</v>
      </c>
      <c r="AE30">
        <v>1497.5</v>
      </c>
      <c r="AF30">
        <v>1497.5</v>
      </c>
      <c r="AG30">
        <v>1497.5</v>
      </c>
      <c r="AH30">
        <v>1497.5</v>
      </c>
      <c r="AI30">
        <v>1497.5</v>
      </c>
      <c r="AJ30">
        <v>1497.5</v>
      </c>
      <c r="AK30">
        <v>1497.5</v>
      </c>
      <c r="AL30">
        <v>1497.5</v>
      </c>
      <c r="AM30">
        <v>1497.5</v>
      </c>
      <c r="AN30">
        <v>1497.5</v>
      </c>
      <c r="AO30">
        <v>1497.5</v>
      </c>
      <c r="AP30">
        <v>1497.5</v>
      </c>
      <c r="AQ30">
        <v>1497.5</v>
      </c>
      <c r="AR30">
        <v>1497.5</v>
      </c>
      <c r="AS30">
        <v>1497.5</v>
      </c>
      <c r="AT30">
        <v>1497.5</v>
      </c>
      <c r="AU30">
        <v>1497.5</v>
      </c>
      <c r="AV30">
        <v>1497.5</v>
      </c>
      <c r="AW30">
        <v>1497.5</v>
      </c>
      <c r="AX30">
        <v>1497.5</v>
      </c>
      <c r="AY30">
        <v>1497.5</v>
      </c>
      <c r="AZ30">
        <v>1497.5</v>
      </c>
      <c r="BA30">
        <v>1497.5</v>
      </c>
      <c r="BB30">
        <v>1497.5</v>
      </c>
      <c r="BC30">
        <v>1497.5</v>
      </c>
      <c r="BD30">
        <v>1497.5</v>
      </c>
      <c r="BE30">
        <v>1497.5</v>
      </c>
      <c r="BF30">
        <v>1497.5</v>
      </c>
      <c r="BG30">
        <v>1497.5</v>
      </c>
      <c r="BH30">
        <v>1497.5</v>
      </c>
      <c r="BI30">
        <v>1497.5</v>
      </c>
      <c r="BJ30">
        <v>1497.5</v>
      </c>
      <c r="BK30">
        <v>1497.5</v>
      </c>
      <c r="BL30">
        <v>1497.5</v>
      </c>
      <c r="BM30">
        <v>1497.5</v>
      </c>
      <c r="BN30">
        <v>1497.5</v>
      </c>
      <c r="BO30">
        <v>1497.5</v>
      </c>
      <c r="BP30">
        <v>1497.5</v>
      </c>
      <c r="BQ30">
        <v>1497.5</v>
      </c>
      <c r="BR30">
        <v>1497.5</v>
      </c>
      <c r="BS30">
        <v>1497.5</v>
      </c>
    </row>
    <row r="31" spans="1:71">
      <c r="A31" t="s">
        <v>2199</v>
      </c>
      <c r="B31" t="s">
        <v>2200</v>
      </c>
      <c r="E31" s="266">
        <v>1</v>
      </c>
      <c r="F31" t="s">
        <v>112</v>
      </c>
      <c r="G31" s="423">
        <v>1</v>
      </c>
      <c r="H31">
        <v>70</v>
      </c>
      <c r="I31">
        <v>70</v>
      </c>
      <c r="K31" s="99">
        <f>I31/SUM($I$31:$I$33)</f>
        <v>0.1044776119402985</v>
      </c>
      <c r="L31" s="99"/>
      <c r="M31" s="99"/>
      <c r="R31" s="508">
        <v>3.9100000000000003E-2</v>
      </c>
      <c r="S31" s="508">
        <v>8.5000000000000006E-2</v>
      </c>
      <c r="T31">
        <v>1</v>
      </c>
      <c r="U31" s="508">
        <v>0.87922350000000005</v>
      </c>
      <c r="V31" s="508">
        <v>0.91500000000000004</v>
      </c>
      <c r="X31">
        <v>114</v>
      </c>
      <c r="Y31">
        <v>1976</v>
      </c>
      <c r="Z31">
        <v>100</v>
      </c>
      <c r="AA31">
        <v>2021</v>
      </c>
      <c r="AB31">
        <v>2021</v>
      </c>
      <c r="AE31">
        <v>70</v>
      </c>
      <c r="AF31">
        <v>70</v>
      </c>
      <c r="AG31">
        <v>70</v>
      </c>
      <c r="AH31">
        <v>70</v>
      </c>
      <c r="AI31">
        <v>70</v>
      </c>
      <c r="AJ31">
        <v>70</v>
      </c>
      <c r="AK31">
        <v>70</v>
      </c>
      <c r="AL31">
        <v>70</v>
      </c>
      <c r="AM31">
        <v>70</v>
      </c>
      <c r="AN31">
        <v>70</v>
      </c>
      <c r="AO31">
        <v>70</v>
      </c>
      <c r="AP31">
        <v>70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row>
    <row r="32" spans="1:71">
      <c r="A32" t="s">
        <v>2201</v>
      </c>
      <c r="B32" t="s">
        <v>2200</v>
      </c>
      <c r="E32" s="266">
        <v>1</v>
      </c>
      <c r="F32">
        <v>1325</v>
      </c>
      <c r="G32" s="423">
        <v>4</v>
      </c>
      <c r="H32">
        <v>90</v>
      </c>
      <c r="I32">
        <v>360</v>
      </c>
      <c r="K32" s="99">
        <f>I32/SUM($I$31:$I$33)</f>
        <v>0.53731343283582089</v>
      </c>
      <c r="L32" s="99"/>
      <c r="M32" s="99"/>
      <c r="R32" s="508">
        <v>4.8500000000000001E-2</v>
      </c>
      <c r="S32" s="508">
        <v>4.99E-2</v>
      </c>
      <c r="T32">
        <v>1</v>
      </c>
      <c r="U32" s="508">
        <v>0.90402014999999991</v>
      </c>
      <c r="V32" s="508">
        <v>0.95009999999999994</v>
      </c>
      <c r="X32">
        <v>115</v>
      </c>
      <c r="Y32">
        <v>1971</v>
      </c>
      <c r="Z32">
        <v>100</v>
      </c>
      <c r="AB32">
        <v>2071</v>
      </c>
      <c r="AE32">
        <v>360</v>
      </c>
      <c r="AF32">
        <v>360</v>
      </c>
      <c r="AG32">
        <v>360</v>
      </c>
      <c r="AH32">
        <v>360</v>
      </c>
      <c r="AI32">
        <v>360</v>
      </c>
      <c r="AJ32">
        <v>360</v>
      </c>
      <c r="AK32">
        <v>360</v>
      </c>
      <c r="AL32">
        <v>360</v>
      </c>
      <c r="AM32">
        <v>360</v>
      </c>
      <c r="AN32">
        <v>360</v>
      </c>
      <c r="AO32">
        <v>360</v>
      </c>
      <c r="AP32">
        <v>360</v>
      </c>
      <c r="AQ32">
        <v>360</v>
      </c>
      <c r="AR32">
        <v>360</v>
      </c>
      <c r="AS32">
        <v>360</v>
      </c>
      <c r="AT32">
        <v>360</v>
      </c>
      <c r="AU32">
        <v>360</v>
      </c>
      <c r="AV32">
        <v>360</v>
      </c>
      <c r="AW32">
        <v>360</v>
      </c>
      <c r="AX32">
        <v>360</v>
      </c>
      <c r="AY32">
        <v>360</v>
      </c>
      <c r="AZ32">
        <v>360</v>
      </c>
      <c r="BA32">
        <v>360</v>
      </c>
      <c r="BB32">
        <v>360</v>
      </c>
      <c r="BC32">
        <v>360</v>
      </c>
      <c r="BD32">
        <v>360</v>
      </c>
      <c r="BE32">
        <v>360</v>
      </c>
      <c r="BF32">
        <v>360</v>
      </c>
      <c r="BG32">
        <v>360</v>
      </c>
      <c r="BH32">
        <v>360</v>
      </c>
      <c r="BI32">
        <v>360</v>
      </c>
      <c r="BJ32">
        <v>360</v>
      </c>
      <c r="BK32">
        <v>360</v>
      </c>
      <c r="BL32">
        <v>360</v>
      </c>
      <c r="BM32">
        <v>360</v>
      </c>
      <c r="BN32">
        <v>360</v>
      </c>
      <c r="BO32">
        <v>360</v>
      </c>
      <c r="BP32">
        <v>360</v>
      </c>
      <c r="BQ32">
        <v>360</v>
      </c>
      <c r="BR32">
        <v>360</v>
      </c>
      <c r="BS32">
        <v>360</v>
      </c>
    </row>
    <row r="33" spans="1:71">
      <c r="A33" t="s">
        <v>2202</v>
      </c>
      <c r="B33" t="s">
        <v>2200</v>
      </c>
      <c r="E33" s="266">
        <v>1</v>
      </c>
      <c r="F33">
        <v>1409</v>
      </c>
      <c r="G33" s="423">
        <v>2</v>
      </c>
      <c r="H33">
        <v>120</v>
      </c>
      <c r="I33">
        <v>240</v>
      </c>
      <c r="K33" s="99">
        <f>I33/SUM($I$31:$I$33)</f>
        <v>0.35820895522388058</v>
      </c>
      <c r="L33" s="99"/>
      <c r="M33" s="99"/>
      <c r="R33" s="508">
        <v>3.9100000000000003E-2</v>
      </c>
      <c r="S33" s="508">
        <v>8.5000000000000006E-2</v>
      </c>
      <c r="T33">
        <v>1</v>
      </c>
      <c r="U33" s="508">
        <v>0.87922350000000005</v>
      </c>
      <c r="V33" s="508">
        <v>0.91500000000000004</v>
      </c>
      <c r="X33">
        <v>115</v>
      </c>
      <c r="Y33">
        <v>1977</v>
      </c>
      <c r="Z33">
        <v>100</v>
      </c>
      <c r="AB33">
        <v>2077</v>
      </c>
      <c r="AE33">
        <v>240</v>
      </c>
      <c r="AF33">
        <v>240</v>
      </c>
      <c r="AG33">
        <v>240</v>
      </c>
      <c r="AH33">
        <v>240</v>
      </c>
      <c r="AI33">
        <v>240</v>
      </c>
      <c r="AJ33">
        <v>240</v>
      </c>
      <c r="AK33">
        <v>240</v>
      </c>
      <c r="AL33">
        <v>240</v>
      </c>
      <c r="AM33">
        <v>240</v>
      </c>
      <c r="AN33">
        <v>240</v>
      </c>
      <c r="AO33">
        <v>240</v>
      </c>
      <c r="AP33">
        <v>240</v>
      </c>
      <c r="AQ33">
        <v>240</v>
      </c>
      <c r="AR33">
        <v>240</v>
      </c>
      <c r="AS33">
        <v>240</v>
      </c>
      <c r="AT33">
        <v>240</v>
      </c>
      <c r="AU33">
        <v>240</v>
      </c>
      <c r="AV33">
        <v>240</v>
      </c>
      <c r="AW33">
        <v>240</v>
      </c>
      <c r="AX33">
        <v>240</v>
      </c>
      <c r="AY33">
        <v>240</v>
      </c>
      <c r="AZ33">
        <v>240</v>
      </c>
      <c r="BA33">
        <v>240</v>
      </c>
      <c r="BB33">
        <v>240</v>
      </c>
      <c r="BC33">
        <v>240</v>
      </c>
      <c r="BD33">
        <v>240</v>
      </c>
      <c r="BE33">
        <v>240</v>
      </c>
      <c r="BF33">
        <v>240</v>
      </c>
      <c r="BG33">
        <v>240</v>
      </c>
      <c r="BH33">
        <v>240</v>
      </c>
      <c r="BI33">
        <v>240</v>
      </c>
      <c r="BJ33">
        <v>240</v>
      </c>
      <c r="BK33">
        <v>240</v>
      </c>
      <c r="BL33">
        <v>240</v>
      </c>
      <c r="BM33">
        <v>240</v>
      </c>
      <c r="BN33">
        <v>240</v>
      </c>
      <c r="BO33">
        <v>240</v>
      </c>
      <c r="BP33">
        <v>240</v>
      </c>
      <c r="BQ33">
        <v>240</v>
      </c>
      <c r="BR33">
        <v>240</v>
      </c>
      <c r="BS33">
        <v>240</v>
      </c>
    </row>
    <row r="34" spans="1:71">
      <c r="A34" t="s">
        <v>1996</v>
      </c>
      <c r="B34" t="s">
        <v>2203</v>
      </c>
      <c r="E34" s="266">
        <v>0.32001521850150205</v>
      </c>
      <c r="F34">
        <v>13668</v>
      </c>
      <c r="G34" s="423">
        <v>2</v>
      </c>
      <c r="H34">
        <v>900</v>
      </c>
      <c r="I34">
        <v>1800</v>
      </c>
      <c r="R34" s="508">
        <v>0.1123</v>
      </c>
      <c r="S34" s="508">
        <v>8.7099999999999997E-2</v>
      </c>
      <c r="T34">
        <v>1</v>
      </c>
      <c r="U34" s="508">
        <v>0.81038133000000012</v>
      </c>
      <c r="V34" s="508">
        <v>0.91290000000000004</v>
      </c>
      <c r="W34">
        <v>10</v>
      </c>
      <c r="X34">
        <v>416</v>
      </c>
      <c r="Y34">
        <v>1984</v>
      </c>
      <c r="Z34">
        <v>50</v>
      </c>
      <c r="AB34">
        <v>2034</v>
      </c>
      <c r="AC34">
        <v>0</v>
      </c>
      <c r="AE34">
        <v>1800</v>
      </c>
      <c r="AF34">
        <v>1800</v>
      </c>
      <c r="AG34">
        <v>1800</v>
      </c>
      <c r="AH34">
        <v>1800</v>
      </c>
      <c r="AI34">
        <v>1800</v>
      </c>
      <c r="AJ34">
        <v>1800</v>
      </c>
      <c r="AK34">
        <v>1800</v>
      </c>
      <c r="AL34">
        <v>1800</v>
      </c>
      <c r="AM34">
        <v>1800</v>
      </c>
      <c r="AN34">
        <v>1800</v>
      </c>
      <c r="AO34">
        <v>1800</v>
      </c>
      <c r="AP34">
        <v>1800</v>
      </c>
      <c r="AQ34">
        <v>1800</v>
      </c>
      <c r="AR34">
        <v>1800</v>
      </c>
      <c r="AS34">
        <v>1800</v>
      </c>
      <c r="AT34">
        <v>1800</v>
      </c>
      <c r="AU34">
        <v>1800</v>
      </c>
      <c r="AV34">
        <v>1800</v>
      </c>
      <c r="AW34">
        <v>1800</v>
      </c>
      <c r="AX34">
        <v>1800</v>
      </c>
      <c r="AY34">
        <v>1800</v>
      </c>
      <c r="AZ34">
        <v>1800</v>
      </c>
      <c r="BA34">
        <v>1800</v>
      </c>
      <c r="BB34">
        <v>1800</v>
      </c>
      <c r="BC34">
        <v>1800</v>
      </c>
      <c r="BD34">
        <v>900</v>
      </c>
      <c r="BE34">
        <v>0</v>
      </c>
      <c r="BF34">
        <v>0</v>
      </c>
      <c r="BG34">
        <v>0</v>
      </c>
      <c r="BH34">
        <v>0</v>
      </c>
      <c r="BI34">
        <v>0</v>
      </c>
      <c r="BJ34">
        <v>0</v>
      </c>
      <c r="BK34">
        <v>0</v>
      </c>
      <c r="BL34">
        <v>0</v>
      </c>
      <c r="BM34">
        <v>0</v>
      </c>
      <c r="BN34">
        <v>0</v>
      </c>
      <c r="BO34">
        <v>0</v>
      </c>
      <c r="BP34">
        <v>0</v>
      </c>
      <c r="BQ34">
        <v>0</v>
      </c>
      <c r="BR34">
        <v>0</v>
      </c>
      <c r="BS34">
        <v>0</v>
      </c>
    </row>
    <row r="36" spans="1:71">
      <c r="I36">
        <f>SUM(I6:I34)</f>
        <v>41887.5</v>
      </c>
    </row>
    <row r="37" spans="1:71">
      <c r="H37" t="s">
        <v>2205</v>
      </c>
      <c r="I37">
        <f>SUM(I6:I23)</f>
        <v>34870</v>
      </c>
    </row>
    <row r="38" spans="1:71" s="1456" customFormat="1">
      <c r="A38" s="1459" t="s">
        <v>2218</v>
      </c>
    </row>
    <row r="39" spans="1:71" s="1456" customFormat="1">
      <c r="A39" s="1463" t="s">
        <v>104</v>
      </c>
      <c r="E39" s="508">
        <v>0.73000000000000009</v>
      </c>
      <c r="R39" s="99">
        <v>5.1277215189873417E-2</v>
      </c>
      <c r="S39" s="99">
        <v>6.8025316455696191E-2</v>
      </c>
      <c r="T39" s="1456">
        <v>1</v>
      </c>
      <c r="U39" s="99">
        <v>0.24500000000000002</v>
      </c>
      <c r="V39" s="99">
        <v>0.93197468354430379</v>
      </c>
      <c r="W39" s="1456">
        <v>3.3670886075949369</v>
      </c>
      <c r="X39" s="1456">
        <v>59.417721518987342</v>
      </c>
      <c r="Y39" s="1456">
        <v>10172.750227200009</v>
      </c>
      <c r="Z39" s="1456">
        <v>30</v>
      </c>
      <c r="AA39" s="1456">
        <v>836.68453071478507</v>
      </c>
      <c r="AB39" s="1456">
        <v>502.01071842887103</v>
      </c>
      <c r="AC39" s="1456">
        <v>0</v>
      </c>
      <c r="AE39" s="1456">
        <v>1580</v>
      </c>
      <c r="AF39" s="1456">
        <v>1580</v>
      </c>
      <c r="AG39" s="1456">
        <v>1580</v>
      </c>
      <c r="AH39" s="1456">
        <v>1580</v>
      </c>
      <c r="AI39" s="1456">
        <v>1580</v>
      </c>
      <c r="AJ39" s="1456">
        <v>1580</v>
      </c>
      <c r="AK39" s="1456">
        <v>1580</v>
      </c>
      <c r="AL39" s="1456">
        <v>1580</v>
      </c>
      <c r="AM39" s="1456">
        <v>1580</v>
      </c>
      <c r="AN39" s="1456">
        <v>1580</v>
      </c>
      <c r="AO39" s="1456">
        <v>1580</v>
      </c>
      <c r="AP39" s="1456">
        <v>1580</v>
      </c>
      <c r="AQ39" s="1456">
        <v>1580</v>
      </c>
      <c r="AR39" s="1456">
        <v>1580</v>
      </c>
      <c r="AS39" s="1456">
        <v>1580</v>
      </c>
      <c r="AT39" s="1456">
        <v>1580</v>
      </c>
      <c r="AU39" s="1456">
        <v>1580</v>
      </c>
      <c r="AV39" s="1456">
        <v>1580</v>
      </c>
      <c r="AW39" s="1456">
        <v>1580</v>
      </c>
      <c r="AX39" s="1456">
        <v>1580</v>
      </c>
      <c r="AY39" s="1456">
        <v>1580</v>
      </c>
      <c r="AZ39" s="1456">
        <v>1580</v>
      </c>
      <c r="BA39" s="1456">
        <v>1580</v>
      </c>
      <c r="BB39" s="1456">
        <v>1580</v>
      </c>
      <c r="BC39" s="1456">
        <v>1580</v>
      </c>
      <c r="BD39" s="1456">
        <v>1580</v>
      </c>
      <c r="BE39" s="1456">
        <v>1580</v>
      </c>
      <c r="BF39" s="1456">
        <v>1580</v>
      </c>
      <c r="BG39" s="1456">
        <v>1580</v>
      </c>
      <c r="BH39" s="1456">
        <v>1580</v>
      </c>
      <c r="BI39" s="1456">
        <v>1580</v>
      </c>
      <c r="BJ39" s="1456">
        <v>1580</v>
      </c>
      <c r="BK39" s="1456">
        <v>1580</v>
      </c>
      <c r="BL39" s="1456">
        <v>1580</v>
      </c>
      <c r="BM39" s="1456">
        <v>1580</v>
      </c>
      <c r="BN39" s="1456">
        <v>1580</v>
      </c>
      <c r="BO39" s="1456">
        <v>1580</v>
      </c>
      <c r="BP39" s="1456">
        <v>1580</v>
      </c>
      <c r="BQ39" s="1456">
        <v>1580</v>
      </c>
      <c r="BR39" s="1456">
        <v>1580</v>
      </c>
      <c r="BS39" s="1456">
        <v>1580</v>
      </c>
    </row>
    <row r="40" spans="1:71" s="1456" customFormat="1">
      <c r="A40" s="1463" t="s">
        <v>2216</v>
      </c>
      <c r="E40" s="508">
        <v>0.25</v>
      </c>
      <c r="R40" s="99">
        <v>0</v>
      </c>
      <c r="S40" s="99">
        <v>8.9999999999999983E-2</v>
      </c>
      <c r="T40" s="1456">
        <v>1</v>
      </c>
      <c r="U40" s="99">
        <v>0.624</v>
      </c>
      <c r="V40" s="99">
        <v>0.91</v>
      </c>
      <c r="W40" s="1456">
        <v>0</v>
      </c>
      <c r="X40" s="1456">
        <v>0</v>
      </c>
      <c r="Y40" s="1456">
        <v>30480.278400000028</v>
      </c>
      <c r="Z40" s="1456">
        <v>30</v>
      </c>
      <c r="AA40" s="1456">
        <v>2506.9304622236268</v>
      </c>
      <c r="AB40" s="1456">
        <v>1504.1582773341761</v>
      </c>
      <c r="AC40" s="1456">
        <v>0</v>
      </c>
      <c r="AE40" s="1456">
        <v>228</v>
      </c>
      <c r="AF40" s="1456">
        <v>228</v>
      </c>
      <c r="AG40" s="1456">
        <v>228</v>
      </c>
      <c r="AH40" s="1456">
        <v>228</v>
      </c>
      <c r="AI40" s="1456">
        <v>228</v>
      </c>
      <c r="AJ40" s="1456">
        <v>228</v>
      </c>
      <c r="AK40" s="1456">
        <v>228</v>
      </c>
      <c r="AL40" s="1456">
        <v>228</v>
      </c>
      <c r="AM40" s="1456">
        <v>228</v>
      </c>
      <c r="AN40" s="1456">
        <v>228</v>
      </c>
      <c r="AO40" s="1456">
        <v>228</v>
      </c>
      <c r="AP40" s="1456">
        <v>228</v>
      </c>
      <c r="AQ40" s="1456">
        <v>228</v>
      </c>
      <c r="AR40" s="1456">
        <v>228</v>
      </c>
      <c r="AS40" s="1456">
        <v>228</v>
      </c>
      <c r="AT40" s="1456">
        <v>228</v>
      </c>
      <c r="AU40" s="1456">
        <v>228</v>
      </c>
      <c r="AV40" s="1456">
        <v>228</v>
      </c>
      <c r="AW40" s="1456">
        <v>228</v>
      </c>
      <c r="AX40" s="1456">
        <v>228</v>
      </c>
      <c r="AY40" s="1456">
        <v>228</v>
      </c>
      <c r="AZ40" s="1456">
        <v>228</v>
      </c>
      <c r="BA40" s="1456">
        <v>228</v>
      </c>
      <c r="BB40" s="1456">
        <v>228</v>
      </c>
      <c r="BC40" s="1456">
        <v>228</v>
      </c>
      <c r="BD40" s="1456">
        <v>228</v>
      </c>
      <c r="BE40" s="1456">
        <v>228</v>
      </c>
      <c r="BF40" s="1456">
        <v>228</v>
      </c>
      <c r="BG40" s="1456">
        <v>228</v>
      </c>
      <c r="BH40" s="1456">
        <v>228</v>
      </c>
      <c r="BI40" s="1456">
        <v>228</v>
      </c>
      <c r="BJ40" s="1456">
        <v>228</v>
      </c>
      <c r="BK40" s="1456">
        <v>228</v>
      </c>
      <c r="BL40" s="1456">
        <v>228</v>
      </c>
      <c r="BM40" s="1456">
        <v>228</v>
      </c>
      <c r="BN40" s="1456">
        <v>228</v>
      </c>
      <c r="BO40" s="1456">
        <v>228</v>
      </c>
      <c r="BP40" s="1456">
        <v>228</v>
      </c>
      <c r="BQ40" s="1456">
        <v>228</v>
      </c>
      <c r="BR40" s="1456">
        <v>228</v>
      </c>
      <c r="BS40" s="1456">
        <v>228</v>
      </c>
    </row>
    <row r="41" spans="1:71" s="1456" customFormat="1">
      <c r="A41" s="1463" t="s">
        <v>1325</v>
      </c>
      <c r="E41" s="508">
        <v>0.25</v>
      </c>
      <c r="R41" s="99">
        <v>0</v>
      </c>
      <c r="S41" s="99">
        <v>0.09</v>
      </c>
      <c r="T41" s="1456">
        <v>1</v>
      </c>
      <c r="U41" s="99">
        <v>0.624</v>
      </c>
      <c r="V41" s="99">
        <v>0.91</v>
      </c>
      <c r="W41" s="1456">
        <v>31.1</v>
      </c>
      <c r="X41" s="1456">
        <v>972</v>
      </c>
      <c r="Y41" s="1456">
        <v>30480.278400000028</v>
      </c>
      <c r="Z41" s="1456">
        <v>30</v>
      </c>
      <c r="AA41" s="1456">
        <v>2506.9304622236268</v>
      </c>
      <c r="AB41" s="1456">
        <v>1504.1582773341761</v>
      </c>
      <c r="AC41" s="1456">
        <v>210</v>
      </c>
      <c r="AE41" s="1456">
        <v>100</v>
      </c>
      <c r="AF41" s="1456">
        <v>100</v>
      </c>
      <c r="AG41" s="1456">
        <v>100</v>
      </c>
      <c r="AH41" s="1456">
        <v>100</v>
      </c>
      <c r="AI41" s="1456">
        <v>100</v>
      </c>
      <c r="AJ41" s="1456">
        <v>100</v>
      </c>
      <c r="AK41" s="1456">
        <v>100</v>
      </c>
      <c r="AL41" s="1456">
        <v>100</v>
      </c>
      <c r="AM41" s="1456">
        <v>100</v>
      </c>
      <c r="AN41" s="1456">
        <v>100</v>
      </c>
      <c r="AO41" s="1456">
        <v>100</v>
      </c>
      <c r="AP41" s="1456">
        <v>100</v>
      </c>
      <c r="AQ41" s="1456">
        <v>100</v>
      </c>
      <c r="AR41" s="1456">
        <v>100</v>
      </c>
      <c r="AS41" s="1456">
        <v>100</v>
      </c>
      <c r="AT41" s="1456">
        <v>100</v>
      </c>
      <c r="AU41" s="1456">
        <v>100</v>
      </c>
      <c r="AV41" s="1456">
        <v>100</v>
      </c>
      <c r="AW41" s="1456">
        <v>100</v>
      </c>
      <c r="AX41" s="1456">
        <v>100</v>
      </c>
      <c r="AY41" s="1456">
        <v>100</v>
      </c>
      <c r="AZ41" s="1456">
        <v>100</v>
      </c>
      <c r="BA41" s="1456">
        <v>100</v>
      </c>
      <c r="BB41" s="1456">
        <v>100</v>
      </c>
      <c r="BC41" s="1456">
        <v>100</v>
      </c>
      <c r="BD41" s="1456">
        <v>100</v>
      </c>
      <c r="BE41" s="1456">
        <v>100</v>
      </c>
      <c r="BF41" s="1456">
        <v>100</v>
      </c>
      <c r="BG41" s="1456">
        <v>100</v>
      </c>
      <c r="BH41" s="1456">
        <v>100</v>
      </c>
      <c r="BI41" s="1456">
        <v>100</v>
      </c>
      <c r="BJ41" s="1456">
        <v>100</v>
      </c>
      <c r="BK41" s="1456">
        <v>100</v>
      </c>
      <c r="BL41" s="1456">
        <v>100</v>
      </c>
      <c r="BM41" s="1456">
        <v>100</v>
      </c>
      <c r="BN41" s="1456">
        <v>100</v>
      </c>
      <c r="BO41" s="1456">
        <v>100</v>
      </c>
      <c r="BP41" s="1456">
        <v>100</v>
      </c>
      <c r="BQ41" s="1456">
        <v>100</v>
      </c>
      <c r="BR41" s="1456">
        <v>100</v>
      </c>
      <c r="BS41" s="1456">
        <v>100</v>
      </c>
    </row>
    <row r="42" spans="1:71" s="1456" customFormat="1">
      <c r="A42" s="1463" t="s">
        <v>2217</v>
      </c>
      <c r="E42" s="508">
        <v>0.25</v>
      </c>
      <c r="R42" s="99">
        <v>0</v>
      </c>
      <c r="S42" s="99">
        <v>0.09</v>
      </c>
      <c r="T42" s="1456">
        <v>1</v>
      </c>
      <c r="U42" s="99">
        <v>0.624</v>
      </c>
      <c r="V42" s="99">
        <v>0.91</v>
      </c>
      <c r="W42" s="1456">
        <v>0</v>
      </c>
      <c r="X42" s="1456">
        <v>0</v>
      </c>
      <c r="Y42" s="1456">
        <v>30480.278400000028</v>
      </c>
      <c r="Z42" s="1456">
        <v>30</v>
      </c>
      <c r="AA42" s="1456">
        <v>2506.9304622236268</v>
      </c>
      <c r="AB42" s="1456">
        <v>1504.1582773341761</v>
      </c>
      <c r="AC42" s="1456">
        <v>0</v>
      </c>
      <c r="AE42" s="1456">
        <v>99</v>
      </c>
      <c r="AF42" s="1456">
        <v>99</v>
      </c>
      <c r="AG42" s="1456">
        <v>99</v>
      </c>
      <c r="AH42" s="1456">
        <v>99</v>
      </c>
      <c r="AI42" s="1456">
        <v>99</v>
      </c>
      <c r="AJ42" s="1456">
        <v>99</v>
      </c>
      <c r="AK42" s="1456">
        <v>99</v>
      </c>
      <c r="AL42" s="1456">
        <v>99</v>
      </c>
      <c r="AM42" s="1456">
        <v>99</v>
      </c>
      <c r="AN42" s="1456">
        <v>99</v>
      </c>
      <c r="AO42" s="1456">
        <v>99</v>
      </c>
      <c r="AP42" s="1456">
        <v>99</v>
      </c>
      <c r="AQ42" s="1456">
        <v>99</v>
      </c>
      <c r="AR42" s="1456">
        <v>99</v>
      </c>
      <c r="AS42" s="1456">
        <v>99</v>
      </c>
      <c r="AT42" s="1456">
        <v>99</v>
      </c>
      <c r="AU42" s="1456">
        <v>99</v>
      </c>
      <c r="AV42" s="1456">
        <v>99</v>
      </c>
      <c r="AW42" s="1456">
        <v>99</v>
      </c>
      <c r="AX42" s="1456">
        <v>99</v>
      </c>
      <c r="AY42" s="1456">
        <v>99</v>
      </c>
      <c r="AZ42" s="1456">
        <v>99</v>
      </c>
      <c r="BA42" s="1456">
        <v>99</v>
      </c>
      <c r="BB42" s="1456">
        <v>99</v>
      </c>
      <c r="BC42" s="1456">
        <v>99</v>
      </c>
      <c r="BD42" s="1456">
        <v>99</v>
      </c>
      <c r="BE42" s="1456">
        <v>99</v>
      </c>
      <c r="BF42" s="1456">
        <v>99</v>
      </c>
      <c r="BG42" s="1456">
        <v>99</v>
      </c>
      <c r="BH42" s="1456">
        <v>99</v>
      </c>
      <c r="BI42" s="1456">
        <v>99</v>
      </c>
      <c r="BJ42" s="1456">
        <v>99</v>
      </c>
      <c r="BK42" s="1456">
        <v>99</v>
      </c>
      <c r="BL42" s="1456">
        <v>99</v>
      </c>
      <c r="BM42" s="1456">
        <v>99</v>
      </c>
      <c r="BN42" s="1456">
        <v>99</v>
      </c>
      <c r="BO42" s="1456">
        <v>99</v>
      </c>
      <c r="BP42" s="1456">
        <v>99</v>
      </c>
      <c r="BQ42" s="1456">
        <v>99</v>
      </c>
      <c r="BR42" s="1456">
        <v>99</v>
      </c>
      <c r="BS42" s="1456">
        <v>99</v>
      </c>
    </row>
    <row r="43" spans="1:71" s="1456" customFormat="1"/>
    <row r="44" spans="1:71" s="1456" customFormat="1">
      <c r="E44" s="1456" t="s">
        <v>385</v>
      </c>
      <c r="I44" s="1456" t="s">
        <v>253</v>
      </c>
    </row>
    <row r="45" spans="1:71" s="1456" customFormat="1">
      <c r="A45" s="1456" t="s">
        <v>1980</v>
      </c>
      <c r="E45" s="99">
        <v>0.34373917124015496</v>
      </c>
      <c r="F45" s="1456" t="s">
        <v>2622</v>
      </c>
      <c r="I45" s="1456">
        <f>SUMIF($B$6:$B$23,$A$45:$A$48,$I$6:$I$23)</f>
        <v>21090</v>
      </c>
      <c r="J45" s="1456">
        <f>I45/$I$49</f>
        <v>0.60481789503871519</v>
      </c>
    </row>
    <row r="46" spans="1:71" s="1456" customFormat="1">
      <c r="A46" s="1456" t="s">
        <v>1981</v>
      </c>
      <c r="E46" s="99">
        <v>0.33987446430143281</v>
      </c>
      <c r="I46" s="1456">
        <f>SUMIF($B$6:$B$23,$A$45:$A$48,$I$6:$I$23)</f>
        <v>9381</v>
      </c>
      <c r="J46" s="1456">
        <f>I46/$I$49</f>
        <v>0.26902781760825922</v>
      </c>
    </row>
    <row r="47" spans="1:71" s="1456" customFormat="1">
      <c r="A47" s="1456" t="s">
        <v>1982</v>
      </c>
      <c r="E47" s="99">
        <v>0.28506238865415229</v>
      </c>
      <c r="I47" s="1456">
        <f>SUMIF($B$6:$B$23,$A$45:$A$48,$I$6:$I$23)</f>
        <v>3964</v>
      </c>
      <c r="J47" s="1456">
        <f>I47/$I$49</f>
        <v>0.11367938055635217</v>
      </c>
    </row>
    <row r="48" spans="1:71">
      <c r="A48" t="s">
        <v>1983</v>
      </c>
      <c r="E48" s="99">
        <v>0.24565165448162612</v>
      </c>
      <c r="I48" s="1456">
        <f>SUMIF($B$6:$B$23,$A$45:$A$48,$I$6:$I$23)</f>
        <v>435</v>
      </c>
      <c r="J48" s="1456">
        <f>I48/$I$49</f>
        <v>1.2474906796673358E-2</v>
      </c>
    </row>
    <row r="49" spans="1:71">
      <c r="I49">
        <f>SUM(I45:I48)</f>
        <v>34870</v>
      </c>
    </row>
    <row r="51" spans="1:71">
      <c r="U51" t="s">
        <v>2211</v>
      </c>
    </row>
    <row r="52" spans="1:71">
      <c r="A52" s="1459" t="s">
        <v>1809</v>
      </c>
      <c r="E52" t="s">
        <v>2206</v>
      </c>
      <c r="U52" s="1456" t="s">
        <v>2159</v>
      </c>
      <c r="V52" s="1456" t="s">
        <v>2160</v>
      </c>
    </row>
    <row r="53" spans="1:71">
      <c r="B53" t="s">
        <v>2207</v>
      </c>
      <c r="E53" s="99">
        <f>SUMPRODUCT(E45:E48,J45:J48)</f>
        <v>0.33480548463983872</v>
      </c>
      <c r="I53">
        <f>I37</f>
        <v>34870</v>
      </c>
      <c r="U53" s="99">
        <f>SUMPRODUCT(U6:U23,$J$6:$J$23)</f>
        <v>0.86190725983022654</v>
      </c>
      <c r="V53" s="99">
        <f>SUMPRODUCT(V6:V23,$J$6:$J$23)</f>
        <v>0.93266874677373102</v>
      </c>
      <c r="AE53">
        <f>SUM(AE6:AE23)</f>
        <v>35250</v>
      </c>
      <c r="AF53" s="1456">
        <f t="shared" ref="AF53:BS53" si="1">SUM(AF6:AF23)</f>
        <v>35630</v>
      </c>
      <c r="AG53" s="1456">
        <f t="shared" si="1"/>
        <v>35929</v>
      </c>
      <c r="AH53" s="1456">
        <f t="shared" si="1"/>
        <v>35553</v>
      </c>
      <c r="AI53" s="1456">
        <f t="shared" si="1"/>
        <v>35553</v>
      </c>
      <c r="AJ53" s="1456">
        <f t="shared" si="1"/>
        <v>35553</v>
      </c>
      <c r="AK53" s="1456">
        <f t="shared" si="1"/>
        <v>35503</v>
      </c>
      <c r="AL53" s="1456">
        <f t="shared" si="1"/>
        <v>35428</v>
      </c>
      <c r="AM53" s="1456">
        <f t="shared" si="1"/>
        <v>35428</v>
      </c>
      <c r="AN53" s="1456">
        <f t="shared" si="1"/>
        <v>35428</v>
      </c>
      <c r="AO53" s="1456">
        <f t="shared" si="1"/>
        <v>35428</v>
      </c>
      <c r="AP53" s="1456">
        <f t="shared" si="1"/>
        <v>35428</v>
      </c>
      <c r="AQ53" s="1456">
        <f t="shared" si="1"/>
        <v>35428</v>
      </c>
      <c r="AR53" s="1456">
        <f t="shared" si="1"/>
        <v>33558</v>
      </c>
      <c r="AS53" s="1456">
        <f t="shared" si="1"/>
        <v>31278</v>
      </c>
      <c r="AT53" s="1456">
        <f t="shared" si="1"/>
        <v>30773</v>
      </c>
      <c r="AU53" s="1456">
        <f t="shared" si="1"/>
        <v>29253</v>
      </c>
      <c r="AV53" s="1456">
        <f t="shared" si="1"/>
        <v>29253</v>
      </c>
      <c r="AW53" s="1456">
        <f t="shared" si="1"/>
        <v>29253</v>
      </c>
      <c r="AX53" s="1456">
        <f t="shared" si="1"/>
        <v>26403</v>
      </c>
      <c r="AY53" s="1456">
        <f t="shared" si="1"/>
        <v>25651</v>
      </c>
      <c r="AZ53" s="1456">
        <f t="shared" si="1"/>
        <v>25651</v>
      </c>
      <c r="BA53" s="1456">
        <f t="shared" si="1"/>
        <v>22201</v>
      </c>
      <c r="BB53" s="1456">
        <f t="shared" si="1"/>
        <v>18441</v>
      </c>
      <c r="BC53" s="1456">
        <f t="shared" si="1"/>
        <v>18441</v>
      </c>
      <c r="BD53" s="1456">
        <f t="shared" si="1"/>
        <v>18441</v>
      </c>
      <c r="BE53" s="1456">
        <f t="shared" si="1"/>
        <v>14931</v>
      </c>
      <c r="BF53" s="1456">
        <f t="shared" si="1"/>
        <v>11373</v>
      </c>
      <c r="BG53" s="1456">
        <f t="shared" si="1"/>
        <v>7683</v>
      </c>
      <c r="BH53" s="1456">
        <f t="shared" si="1"/>
        <v>3843</v>
      </c>
      <c r="BI53" s="1456">
        <f t="shared" si="1"/>
        <v>3843</v>
      </c>
      <c r="BJ53" s="1456">
        <f t="shared" si="1"/>
        <v>3843</v>
      </c>
      <c r="BK53" s="1456">
        <f t="shared" si="1"/>
        <v>3843</v>
      </c>
      <c r="BL53" s="1456">
        <f t="shared" si="1"/>
        <v>3843</v>
      </c>
      <c r="BM53" s="1456">
        <f t="shared" si="1"/>
        <v>3843</v>
      </c>
      <c r="BN53" s="1456">
        <f t="shared" si="1"/>
        <v>3843</v>
      </c>
      <c r="BO53" s="1456">
        <f t="shared" si="1"/>
        <v>3843</v>
      </c>
      <c r="BP53" s="1456">
        <f t="shared" si="1"/>
        <v>0</v>
      </c>
      <c r="BQ53" s="1456">
        <f t="shared" si="1"/>
        <v>0</v>
      </c>
      <c r="BR53" s="1456">
        <f t="shared" si="1"/>
        <v>0</v>
      </c>
      <c r="BS53" s="1456">
        <f t="shared" si="1"/>
        <v>0</v>
      </c>
    </row>
    <row r="54" spans="1:71">
      <c r="B54" s="1463" t="s">
        <v>0</v>
      </c>
      <c r="E54" s="508">
        <f>E34</f>
        <v>0.32001521850150205</v>
      </c>
      <c r="I54">
        <f>I34</f>
        <v>1800</v>
      </c>
      <c r="U54" s="99">
        <f>U34</f>
        <v>0.81038133000000012</v>
      </c>
      <c r="V54" s="99">
        <f>V34</f>
        <v>0.91290000000000004</v>
      </c>
      <c r="AE54">
        <f>AE34</f>
        <v>1800</v>
      </c>
      <c r="AF54" s="1456">
        <f t="shared" ref="AF54:BS54" si="2">AF34</f>
        <v>1800</v>
      </c>
      <c r="AG54" s="1456">
        <f t="shared" si="2"/>
        <v>1800</v>
      </c>
      <c r="AH54" s="1456">
        <f t="shared" si="2"/>
        <v>1800</v>
      </c>
      <c r="AI54" s="1456">
        <f t="shared" si="2"/>
        <v>1800</v>
      </c>
      <c r="AJ54" s="1456">
        <f t="shared" si="2"/>
        <v>1800</v>
      </c>
      <c r="AK54" s="1456">
        <f t="shared" si="2"/>
        <v>1800</v>
      </c>
      <c r="AL54" s="1456">
        <f t="shared" si="2"/>
        <v>1800</v>
      </c>
      <c r="AM54" s="1456">
        <f t="shared" si="2"/>
        <v>1800</v>
      </c>
      <c r="AN54" s="1456">
        <f t="shared" si="2"/>
        <v>1800</v>
      </c>
      <c r="AO54" s="1456">
        <f t="shared" si="2"/>
        <v>1800</v>
      </c>
      <c r="AP54" s="1456">
        <f t="shared" si="2"/>
        <v>1800</v>
      </c>
      <c r="AQ54" s="1456">
        <f t="shared" si="2"/>
        <v>1800</v>
      </c>
      <c r="AR54" s="1456">
        <f t="shared" si="2"/>
        <v>1800</v>
      </c>
      <c r="AS54" s="1456">
        <f t="shared" si="2"/>
        <v>1800</v>
      </c>
      <c r="AT54" s="1456">
        <f t="shared" si="2"/>
        <v>1800</v>
      </c>
      <c r="AU54" s="1456">
        <f t="shared" si="2"/>
        <v>1800</v>
      </c>
      <c r="AV54" s="1456">
        <f t="shared" si="2"/>
        <v>1800</v>
      </c>
      <c r="AW54" s="1456">
        <f t="shared" si="2"/>
        <v>1800</v>
      </c>
      <c r="AX54" s="1456">
        <f t="shared" si="2"/>
        <v>1800</v>
      </c>
      <c r="AY54" s="1456">
        <f t="shared" si="2"/>
        <v>1800</v>
      </c>
      <c r="AZ54" s="1456">
        <f t="shared" si="2"/>
        <v>1800</v>
      </c>
      <c r="BA54" s="1456">
        <f t="shared" si="2"/>
        <v>1800</v>
      </c>
      <c r="BB54" s="1456">
        <f t="shared" si="2"/>
        <v>1800</v>
      </c>
      <c r="BC54" s="1456">
        <f t="shared" si="2"/>
        <v>1800</v>
      </c>
      <c r="BD54" s="1456">
        <f t="shared" si="2"/>
        <v>900</v>
      </c>
      <c r="BE54" s="1456">
        <f t="shared" si="2"/>
        <v>0</v>
      </c>
      <c r="BF54" s="1456">
        <f t="shared" si="2"/>
        <v>0</v>
      </c>
      <c r="BG54" s="1456">
        <f t="shared" si="2"/>
        <v>0</v>
      </c>
      <c r="BH54" s="1456">
        <f t="shared" si="2"/>
        <v>0</v>
      </c>
      <c r="BI54" s="1456">
        <f t="shared" si="2"/>
        <v>0</v>
      </c>
      <c r="BJ54" s="1456">
        <f t="shared" si="2"/>
        <v>0</v>
      </c>
      <c r="BK54" s="1456">
        <f t="shared" si="2"/>
        <v>0</v>
      </c>
      <c r="BL54" s="1456">
        <f t="shared" si="2"/>
        <v>0</v>
      </c>
      <c r="BM54" s="1456">
        <f t="shared" si="2"/>
        <v>0</v>
      </c>
      <c r="BN54" s="1456">
        <f t="shared" si="2"/>
        <v>0</v>
      </c>
      <c r="BO54" s="1456">
        <f t="shared" si="2"/>
        <v>0</v>
      </c>
      <c r="BP54" s="1456">
        <f t="shared" si="2"/>
        <v>0</v>
      </c>
      <c r="BQ54" s="1456">
        <f t="shared" si="2"/>
        <v>0</v>
      </c>
      <c r="BR54" s="1456">
        <f t="shared" si="2"/>
        <v>0</v>
      </c>
      <c r="BS54" s="1456">
        <f t="shared" si="2"/>
        <v>0</v>
      </c>
    </row>
    <row r="55" spans="1:71">
      <c r="B55" s="1463" t="s">
        <v>2209</v>
      </c>
      <c r="E55" s="508"/>
      <c r="I55">
        <f>SUM(I31:I33)</f>
        <v>670</v>
      </c>
      <c r="U55" s="99">
        <f>SUMPRODUCT(U31:U33,$K$31:$K$33)</f>
        <v>0.89254707313432835</v>
      </c>
      <c r="V55" s="99">
        <f>SUMPRODUCT(V31:V33,$K$31:$K$33)</f>
        <v>0.93385970149253716</v>
      </c>
      <c r="AE55">
        <f>SUM(AE31:AE33)</f>
        <v>670</v>
      </c>
      <c r="AF55" s="1456">
        <f t="shared" ref="AF55:BS55" si="3">SUM(AF31:AF33)</f>
        <v>670</v>
      </c>
      <c r="AG55" s="1456">
        <f t="shared" si="3"/>
        <v>670</v>
      </c>
      <c r="AH55" s="1456">
        <f t="shared" si="3"/>
        <v>670</v>
      </c>
      <c r="AI55" s="1456">
        <f t="shared" si="3"/>
        <v>670</v>
      </c>
      <c r="AJ55" s="1456">
        <f t="shared" si="3"/>
        <v>670</v>
      </c>
      <c r="AK55" s="1456">
        <f t="shared" si="3"/>
        <v>670</v>
      </c>
      <c r="AL55" s="1456">
        <f t="shared" si="3"/>
        <v>670</v>
      </c>
      <c r="AM55" s="1456">
        <f t="shared" si="3"/>
        <v>670</v>
      </c>
      <c r="AN55" s="1456">
        <f t="shared" si="3"/>
        <v>670</v>
      </c>
      <c r="AO55" s="1456">
        <f t="shared" si="3"/>
        <v>670</v>
      </c>
      <c r="AP55" s="1456">
        <f t="shared" si="3"/>
        <v>670</v>
      </c>
      <c r="AQ55" s="1456">
        <f t="shared" si="3"/>
        <v>600</v>
      </c>
      <c r="AR55" s="1456">
        <f t="shared" si="3"/>
        <v>600</v>
      </c>
      <c r="AS55" s="1456">
        <f t="shared" si="3"/>
        <v>600</v>
      </c>
      <c r="AT55" s="1456">
        <f t="shared" si="3"/>
        <v>600</v>
      </c>
      <c r="AU55" s="1456">
        <f t="shared" si="3"/>
        <v>600</v>
      </c>
      <c r="AV55" s="1456">
        <f t="shared" si="3"/>
        <v>600</v>
      </c>
      <c r="AW55" s="1456">
        <f t="shared" si="3"/>
        <v>600</v>
      </c>
      <c r="AX55" s="1456">
        <f t="shared" si="3"/>
        <v>600</v>
      </c>
      <c r="AY55" s="1456">
        <f t="shared" si="3"/>
        <v>600</v>
      </c>
      <c r="AZ55" s="1456">
        <f t="shared" si="3"/>
        <v>600</v>
      </c>
      <c r="BA55" s="1456">
        <f t="shared" si="3"/>
        <v>600</v>
      </c>
      <c r="BB55" s="1456">
        <f t="shared" si="3"/>
        <v>600</v>
      </c>
      <c r="BC55" s="1456">
        <f t="shared" si="3"/>
        <v>600</v>
      </c>
      <c r="BD55" s="1456">
        <f t="shared" si="3"/>
        <v>600</v>
      </c>
      <c r="BE55" s="1456">
        <f t="shared" si="3"/>
        <v>600</v>
      </c>
      <c r="BF55" s="1456">
        <f t="shared" si="3"/>
        <v>600</v>
      </c>
      <c r="BG55" s="1456">
        <f t="shared" si="3"/>
        <v>600</v>
      </c>
      <c r="BH55" s="1456">
        <f t="shared" si="3"/>
        <v>600</v>
      </c>
      <c r="BI55" s="1456">
        <f t="shared" si="3"/>
        <v>600</v>
      </c>
      <c r="BJ55" s="1456">
        <f t="shared" si="3"/>
        <v>600</v>
      </c>
      <c r="BK55" s="1456">
        <f t="shared" si="3"/>
        <v>600</v>
      </c>
      <c r="BL55" s="1456">
        <f t="shared" si="3"/>
        <v>600</v>
      </c>
      <c r="BM55" s="1456">
        <f t="shared" si="3"/>
        <v>600</v>
      </c>
      <c r="BN55" s="1456">
        <f t="shared" si="3"/>
        <v>600</v>
      </c>
      <c r="BO55" s="1456">
        <f t="shared" si="3"/>
        <v>600</v>
      </c>
      <c r="BP55" s="1456">
        <f t="shared" si="3"/>
        <v>600</v>
      </c>
      <c r="BQ55" s="1456">
        <f t="shared" si="3"/>
        <v>600</v>
      </c>
      <c r="BR55" s="1456">
        <f t="shared" si="3"/>
        <v>600</v>
      </c>
      <c r="BS55" s="1456">
        <f t="shared" si="3"/>
        <v>600</v>
      </c>
    </row>
    <row r="56" spans="1:71">
      <c r="B56" s="1463" t="s">
        <v>2212</v>
      </c>
      <c r="E56" s="508"/>
      <c r="I56">
        <f>I30</f>
        <v>1497.5</v>
      </c>
      <c r="U56" s="508">
        <f>U30</f>
        <v>0.66600000000000004</v>
      </c>
      <c r="V56" s="508">
        <f>V30</f>
        <v>0.9</v>
      </c>
      <c r="AE56">
        <f>AE30</f>
        <v>1497.5</v>
      </c>
      <c r="AF56" s="1456">
        <f t="shared" ref="AF56:BS56" si="4">AF30</f>
        <v>1497.5</v>
      </c>
      <c r="AG56" s="1456">
        <f t="shared" si="4"/>
        <v>1497.5</v>
      </c>
      <c r="AH56" s="1456">
        <f t="shared" si="4"/>
        <v>1497.5</v>
      </c>
      <c r="AI56" s="1456">
        <f t="shared" si="4"/>
        <v>1497.5</v>
      </c>
      <c r="AJ56" s="1456">
        <f t="shared" si="4"/>
        <v>1497.5</v>
      </c>
      <c r="AK56" s="1456">
        <f t="shared" si="4"/>
        <v>1497.5</v>
      </c>
      <c r="AL56" s="1456">
        <f t="shared" si="4"/>
        <v>1497.5</v>
      </c>
      <c r="AM56" s="1456">
        <f t="shared" si="4"/>
        <v>1497.5</v>
      </c>
      <c r="AN56" s="1456">
        <f t="shared" si="4"/>
        <v>1497.5</v>
      </c>
      <c r="AO56" s="1456">
        <f t="shared" si="4"/>
        <v>1497.5</v>
      </c>
      <c r="AP56" s="1456">
        <f t="shared" si="4"/>
        <v>1497.5</v>
      </c>
      <c r="AQ56" s="1456">
        <f t="shared" si="4"/>
        <v>1497.5</v>
      </c>
      <c r="AR56" s="1456">
        <f t="shared" si="4"/>
        <v>1497.5</v>
      </c>
      <c r="AS56" s="1456">
        <f t="shared" si="4"/>
        <v>1497.5</v>
      </c>
      <c r="AT56" s="1456">
        <f t="shared" si="4"/>
        <v>1497.5</v>
      </c>
      <c r="AU56" s="1456">
        <f t="shared" si="4"/>
        <v>1497.5</v>
      </c>
      <c r="AV56" s="1456">
        <f t="shared" si="4"/>
        <v>1497.5</v>
      </c>
      <c r="AW56" s="1456">
        <f t="shared" si="4"/>
        <v>1497.5</v>
      </c>
      <c r="AX56" s="1456">
        <f t="shared" si="4"/>
        <v>1497.5</v>
      </c>
      <c r="AY56" s="1456">
        <f t="shared" si="4"/>
        <v>1497.5</v>
      </c>
      <c r="AZ56" s="1456">
        <f t="shared" si="4"/>
        <v>1497.5</v>
      </c>
      <c r="BA56" s="1456">
        <f t="shared" si="4"/>
        <v>1497.5</v>
      </c>
      <c r="BB56" s="1456">
        <f t="shared" si="4"/>
        <v>1497.5</v>
      </c>
      <c r="BC56" s="1456">
        <f t="shared" si="4"/>
        <v>1497.5</v>
      </c>
      <c r="BD56" s="1456">
        <f t="shared" si="4"/>
        <v>1497.5</v>
      </c>
      <c r="BE56" s="1456">
        <f t="shared" si="4"/>
        <v>1497.5</v>
      </c>
      <c r="BF56" s="1456">
        <f t="shared" si="4"/>
        <v>1497.5</v>
      </c>
      <c r="BG56" s="1456">
        <f t="shared" si="4"/>
        <v>1497.5</v>
      </c>
      <c r="BH56" s="1456">
        <f t="shared" si="4"/>
        <v>1497.5</v>
      </c>
      <c r="BI56" s="1456">
        <f t="shared" si="4"/>
        <v>1497.5</v>
      </c>
      <c r="BJ56" s="1456">
        <f t="shared" si="4"/>
        <v>1497.5</v>
      </c>
      <c r="BK56" s="1456">
        <f t="shared" si="4"/>
        <v>1497.5</v>
      </c>
      <c r="BL56" s="1456">
        <f t="shared" si="4"/>
        <v>1497.5</v>
      </c>
      <c r="BM56" s="1456">
        <f t="shared" si="4"/>
        <v>1497.5</v>
      </c>
      <c r="BN56" s="1456">
        <f t="shared" si="4"/>
        <v>1497.5</v>
      </c>
      <c r="BO56" s="1456">
        <f t="shared" si="4"/>
        <v>1497.5</v>
      </c>
      <c r="BP56" s="1456">
        <f t="shared" si="4"/>
        <v>1497.5</v>
      </c>
      <c r="BQ56" s="1456">
        <f t="shared" si="4"/>
        <v>1497.5</v>
      </c>
      <c r="BR56" s="1456">
        <f t="shared" si="4"/>
        <v>1497.5</v>
      </c>
      <c r="BS56" s="1456">
        <f t="shared" si="4"/>
        <v>1497.5</v>
      </c>
    </row>
    <row r="57" spans="1:71">
      <c r="B57" s="1463" t="s">
        <v>1975</v>
      </c>
      <c r="E57" s="508">
        <f>SUMPRODUCT(E26:E29,L26:L29)</f>
        <v>0.32290235255240424</v>
      </c>
      <c r="I57">
        <f>SUM(I26:I29)</f>
        <v>2400</v>
      </c>
      <c r="U57" s="508">
        <f>SUMPRODUCT($L$26:$L$29,U26:U29)</f>
        <v>0.09</v>
      </c>
      <c r="V57" s="508">
        <f>SUMPRODUCT($L$26:$L$29,V26:V29)</f>
        <v>0.94864000000000004</v>
      </c>
      <c r="AE57">
        <f>SUM(AE26:AE29)</f>
        <v>2400</v>
      </c>
      <c r="AF57" s="1456">
        <f t="shared" ref="AF57:BS57" si="5">SUM(AF26:AF29)</f>
        <v>2400</v>
      </c>
      <c r="AG57" s="1456">
        <f t="shared" si="5"/>
        <v>2400</v>
      </c>
      <c r="AH57" s="1456">
        <f t="shared" si="5"/>
        <v>2400</v>
      </c>
      <c r="AI57" s="1456">
        <f t="shared" si="5"/>
        <v>2400</v>
      </c>
      <c r="AJ57" s="1456">
        <f t="shared" si="5"/>
        <v>2400</v>
      </c>
      <c r="AK57" s="1456">
        <f t="shared" si="5"/>
        <v>2400</v>
      </c>
      <c r="AL57" s="1456">
        <f t="shared" si="5"/>
        <v>2400</v>
      </c>
      <c r="AM57" s="1456">
        <f t="shared" si="5"/>
        <v>2400</v>
      </c>
      <c r="AN57" s="1456">
        <f t="shared" si="5"/>
        <v>2400</v>
      </c>
      <c r="AO57" s="1456">
        <f t="shared" si="5"/>
        <v>2400</v>
      </c>
      <c r="AP57" s="1456">
        <f t="shared" si="5"/>
        <v>2400</v>
      </c>
      <c r="AQ57" s="1456">
        <f t="shared" si="5"/>
        <v>2400</v>
      </c>
      <c r="AR57" s="1456">
        <f t="shared" si="5"/>
        <v>2400</v>
      </c>
      <c r="AS57" s="1456">
        <f t="shared" si="5"/>
        <v>2400</v>
      </c>
      <c r="AT57" s="1456">
        <f t="shared" si="5"/>
        <v>2400</v>
      </c>
      <c r="AU57" s="1456">
        <f t="shared" si="5"/>
        <v>2400</v>
      </c>
      <c r="AV57" s="1456">
        <f t="shared" si="5"/>
        <v>2058</v>
      </c>
      <c r="AW57" s="1456">
        <f t="shared" si="5"/>
        <v>2058</v>
      </c>
      <c r="AX57" s="1456">
        <f t="shared" si="5"/>
        <v>2058</v>
      </c>
      <c r="AY57" s="1456">
        <f t="shared" si="5"/>
        <v>2058</v>
      </c>
      <c r="AZ57" s="1456">
        <f t="shared" si="5"/>
        <v>2058</v>
      </c>
      <c r="BA57" s="1456">
        <f t="shared" si="5"/>
        <v>2058</v>
      </c>
      <c r="BB57" s="1456">
        <f t="shared" si="5"/>
        <v>2058</v>
      </c>
      <c r="BC57" s="1456">
        <f t="shared" si="5"/>
        <v>2058</v>
      </c>
      <c r="BD57" s="1456">
        <f t="shared" si="5"/>
        <v>2058</v>
      </c>
      <c r="BE57" s="1456">
        <f t="shared" si="5"/>
        <v>2058</v>
      </c>
      <c r="BF57" s="1456">
        <f t="shared" si="5"/>
        <v>2058</v>
      </c>
      <c r="BG57" s="1456">
        <f t="shared" si="5"/>
        <v>2058</v>
      </c>
      <c r="BH57" s="1456">
        <f t="shared" si="5"/>
        <v>2058</v>
      </c>
      <c r="BI57" s="1456">
        <f t="shared" si="5"/>
        <v>2058</v>
      </c>
      <c r="BJ57" s="1456">
        <f t="shared" si="5"/>
        <v>2058</v>
      </c>
      <c r="BK57" s="1456">
        <f t="shared" si="5"/>
        <v>2058</v>
      </c>
      <c r="BL57" s="1456">
        <f t="shared" si="5"/>
        <v>2058</v>
      </c>
      <c r="BM57" s="1456">
        <f t="shared" si="5"/>
        <v>2058</v>
      </c>
      <c r="BN57" s="1456">
        <f t="shared" si="5"/>
        <v>2058</v>
      </c>
      <c r="BO57" s="1456">
        <f t="shared" si="5"/>
        <v>2058</v>
      </c>
      <c r="BP57" s="1456">
        <f t="shared" si="5"/>
        <v>2058</v>
      </c>
      <c r="BQ57" s="1456">
        <f t="shared" si="5"/>
        <v>2058</v>
      </c>
      <c r="BR57" s="1456">
        <f t="shared" si="5"/>
        <v>2058</v>
      </c>
      <c r="BS57" s="1456">
        <f t="shared" si="5"/>
        <v>2058</v>
      </c>
    </row>
    <row r="58" spans="1:71">
      <c r="B58" s="1464" t="s">
        <v>2214</v>
      </c>
      <c r="E58" s="508">
        <f>SUMPRODUCT(E24:E25,M24:M25)</f>
        <v>0.25429035508469455</v>
      </c>
      <c r="I58">
        <f>SUM(I24:I25)</f>
        <v>650</v>
      </c>
      <c r="U58" s="508">
        <f>SUMPRODUCT(U24:U25,$M$24:$M$25)</f>
        <v>0.84512069999999995</v>
      </c>
      <c r="V58" s="508">
        <f>SUMPRODUCT(V24:V25,$M$24:$M$25)</f>
        <v>0.92849999999999999</v>
      </c>
      <c r="AE58">
        <f>SUM(AE24:AE25)</f>
        <v>650</v>
      </c>
      <c r="AF58" s="1456">
        <f t="shared" ref="AF58:BS58" si="6">SUM(AF24:AF25)</f>
        <v>650</v>
      </c>
      <c r="AG58" s="1456">
        <f t="shared" si="6"/>
        <v>650</v>
      </c>
      <c r="AH58" s="1456">
        <f t="shared" si="6"/>
        <v>650</v>
      </c>
      <c r="AI58" s="1456">
        <f t="shared" si="6"/>
        <v>650</v>
      </c>
      <c r="AJ58" s="1456">
        <f t="shared" si="6"/>
        <v>650</v>
      </c>
      <c r="AK58" s="1456">
        <f t="shared" si="6"/>
        <v>520</v>
      </c>
      <c r="AL58" s="1456">
        <f t="shared" si="6"/>
        <v>520</v>
      </c>
      <c r="AM58" s="1456">
        <f t="shared" si="6"/>
        <v>520</v>
      </c>
      <c r="AN58" s="1456">
        <f t="shared" si="6"/>
        <v>520</v>
      </c>
      <c r="AO58" s="1456">
        <f t="shared" si="6"/>
        <v>520</v>
      </c>
      <c r="AP58" s="1456">
        <f t="shared" si="6"/>
        <v>520</v>
      </c>
      <c r="AQ58" s="1456">
        <f t="shared" si="6"/>
        <v>520</v>
      </c>
      <c r="AR58" s="1456">
        <f t="shared" si="6"/>
        <v>520</v>
      </c>
      <c r="AS58" s="1456">
        <f t="shared" si="6"/>
        <v>520</v>
      </c>
      <c r="AT58" s="1456">
        <f t="shared" si="6"/>
        <v>520</v>
      </c>
      <c r="AU58" s="1456">
        <f t="shared" si="6"/>
        <v>520</v>
      </c>
      <c r="AV58" s="1456">
        <f t="shared" si="6"/>
        <v>520</v>
      </c>
      <c r="AW58" s="1456">
        <f t="shared" si="6"/>
        <v>520</v>
      </c>
      <c r="AX58" s="1456">
        <f t="shared" si="6"/>
        <v>520</v>
      </c>
      <c r="AY58" s="1456">
        <f t="shared" si="6"/>
        <v>520</v>
      </c>
      <c r="AZ58" s="1456">
        <f t="shared" si="6"/>
        <v>520</v>
      </c>
      <c r="BA58" s="1456">
        <f t="shared" si="6"/>
        <v>520</v>
      </c>
      <c r="BB58" s="1456">
        <f t="shared" si="6"/>
        <v>0</v>
      </c>
      <c r="BC58" s="1456">
        <f t="shared" si="6"/>
        <v>0</v>
      </c>
      <c r="BD58" s="1456">
        <f t="shared" si="6"/>
        <v>0</v>
      </c>
      <c r="BE58" s="1456">
        <f t="shared" si="6"/>
        <v>0</v>
      </c>
      <c r="BF58" s="1456">
        <f t="shared" si="6"/>
        <v>0</v>
      </c>
      <c r="BG58" s="1456">
        <f t="shared" si="6"/>
        <v>0</v>
      </c>
      <c r="BH58" s="1456">
        <f t="shared" si="6"/>
        <v>0</v>
      </c>
      <c r="BI58" s="1456">
        <f t="shared" si="6"/>
        <v>0</v>
      </c>
      <c r="BJ58" s="1456">
        <f t="shared" si="6"/>
        <v>0</v>
      </c>
      <c r="BK58" s="1456">
        <f t="shared" si="6"/>
        <v>0</v>
      </c>
      <c r="BL58" s="1456">
        <f t="shared" si="6"/>
        <v>0</v>
      </c>
      <c r="BM58" s="1456">
        <f t="shared" si="6"/>
        <v>0</v>
      </c>
      <c r="BN58" s="1456">
        <f t="shared" si="6"/>
        <v>0</v>
      </c>
      <c r="BO58" s="1456">
        <f t="shared" si="6"/>
        <v>0</v>
      </c>
      <c r="BP58" s="1456">
        <f t="shared" si="6"/>
        <v>0</v>
      </c>
      <c r="BQ58" s="1456">
        <f t="shared" si="6"/>
        <v>0</v>
      </c>
      <c r="BR58" s="1456">
        <f t="shared" si="6"/>
        <v>0</v>
      </c>
      <c r="BS58" s="1456">
        <f t="shared" si="6"/>
        <v>0</v>
      </c>
    </row>
    <row r="61" spans="1:71">
      <c r="A61" s="1459"/>
      <c r="AC61" t="s">
        <v>209</v>
      </c>
      <c r="AE61" s="1459">
        <v>2010</v>
      </c>
      <c r="AF61" s="1459">
        <v>2015</v>
      </c>
      <c r="AG61" s="1459">
        <v>2020</v>
      </c>
      <c r="AH61" s="1459">
        <v>2025</v>
      </c>
      <c r="AI61" s="1459">
        <v>2030</v>
      </c>
      <c r="AJ61" s="1459">
        <v>2035</v>
      </c>
      <c r="AK61" s="1459">
        <v>2040</v>
      </c>
      <c r="AL61" s="1459">
        <v>2045</v>
      </c>
      <c r="AM61" s="1459">
        <v>2050</v>
      </c>
    </row>
    <row r="62" spans="1:71">
      <c r="B62" s="1456" t="s">
        <v>2207</v>
      </c>
      <c r="E62" s="508">
        <f t="shared" ref="E62:E67" si="7">SUMIF($B$53:$B$58,$B$62:$B$67,E$53:E$58)</f>
        <v>0.33480548463983872</v>
      </c>
      <c r="F62" s="1456"/>
      <c r="G62" s="1456"/>
      <c r="H62" s="1456"/>
      <c r="I62" s="1456">
        <f t="shared" ref="I62:I67" si="8">SUMIF($B$53:$B$58,$B$62:$B$67,I$53:I$58)</f>
        <v>34870</v>
      </c>
      <c r="N62" s="1456"/>
      <c r="O62" s="1456"/>
      <c r="P62" s="1456"/>
      <c r="Q62" s="1456"/>
      <c r="R62" s="1456"/>
      <c r="S62" s="1456"/>
      <c r="T62" s="1456"/>
      <c r="U62" s="508">
        <f t="shared" ref="U62:V67" si="9">SUMIF($B$53:$B$58,$B$62:$B$67,U$53:U$58)</f>
        <v>0.86190725983022654</v>
      </c>
      <c r="V62" s="508">
        <f t="shared" si="9"/>
        <v>0.93266874677373102</v>
      </c>
      <c r="W62" s="1456"/>
      <c r="X62" s="1456"/>
      <c r="Y62" s="1456"/>
      <c r="Z62" s="1456"/>
      <c r="AA62" s="1456"/>
      <c r="AB62" s="1456"/>
      <c r="AC62" s="1456"/>
      <c r="AD62" s="1456"/>
      <c r="AE62" s="1456">
        <f t="shared" ref="AE62:AM62" si="10">INDEX($AE53:$BS53,1,MATCH(AE$61,$AE$4:$BS$4))*Unit.MW</f>
        <v>35.25</v>
      </c>
      <c r="AF62" s="1456">
        <f t="shared" si="10"/>
        <v>35.552999999999997</v>
      </c>
      <c r="AG62" s="1456">
        <f t="shared" si="10"/>
        <v>35.427999999999997</v>
      </c>
      <c r="AH62" s="1456">
        <f t="shared" si="10"/>
        <v>30.773</v>
      </c>
      <c r="AI62" s="1456">
        <f t="shared" si="10"/>
        <v>25.651</v>
      </c>
      <c r="AJ62" s="1456">
        <f t="shared" si="10"/>
        <v>18.440999999999999</v>
      </c>
      <c r="AK62" s="1456">
        <f t="shared" si="10"/>
        <v>3.843</v>
      </c>
      <c r="AL62" s="1456">
        <f t="shared" si="10"/>
        <v>3.843</v>
      </c>
      <c r="AM62" s="1456">
        <f t="shared" si="10"/>
        <v>0</v>
      </c>
      <c r="AN62" s="1456"/>
      <c r="AO62" s="1456"/>
      <c r="AP62" s="1456"/>
      <c r="AQ62" s="1456"/>
      <c r="AR62" s="1456"/>
      <c r="AS62" s="1456"/>
      <c r="AT62" s="1456"/>
      <c r="AU62" s="1456"/>
      <c r="AV62" s="1456"/>
      <c r="AW62" s="1456"/>
      <c r="AX62" s="1456"/>
      <c r="AY62" s="1456"/>
      <c r="AZ62" s="1456"/>
      <c r="BA62" s="1456"/>
      <c r="BB62" s="1456"/>
      <c r="BC62" s="1456"/>
      <c r="BD62" s="1456"/>
      <c r="BE62" s="1456"/>
      <c r="BF62" s="1456"/>
      <c r="BG62" s="1456"/>
      <c r="BH62" s="1456"/>
      <c r="BI62" s="1456"/>
      <c r="BJ62" s="1456"/>
      <c r="BK62" s="1456"/>
      <c r="BL62" s="1456"/>
      <c r="BM62" s="1456"/>
      <c r="BN62" s="1456"/>
      <c r="BO62" s="1456"/>
      <c r="BP62" s="1456"/>
      <c r="BQ62" s="1456"/>
      <c r="BR62" s="1456"/>
      <c r="BS62" s="1456"/>
    </row>
    <row r="63" spans="1:71">
      <c r="B63" s="1463" t="s">
        <v>0</v>
      </c>
      <c r="E63" s="508">
        <f t="shared" si="7"/>
        <v>0.32001521850150205</v>
      </c>
      <c r="F63" s="1456"/>
      <c r="G63" s="1456"/>
      <c r="H63" s="1456"/>
      <c r="I63" s="1456">
        <f t="shared" si="8"/>
        <v>1800</v>
      </c>
      <c r="N63" s="1456"/>
      <c r="O63" s="1456"/>
      <c r="P63" s="1456"/>
      <c r="Q63" s="1456"/>
      <c r="R63" s="1456"/>
      <c r="S63" s="1456"/>
      <c r="T63" s="1456"/>
      <c r="U63" s="508">
        <f t="shared" si="9"/>
        <v>0.81038133000000012</v>
      </c>
      <c r="V63" s="508">
        <f t="shared" si="9"/>
        <v>0.91290000000000004</v>
      </c>
      <c r="W63" s="1456"/>
      <c r="X63" s="1456"/>
      <c r="Y63" s="1456"/>
      <c r="Z63" s="1456"/>
      <c r="AA63" s="1456"/>
      <c r="AB63" s="1456"/>
      <c r="AC63" s="1456"/>
      <c r="AD63" s="1456"/>
      <c r="AE63" s="1456">
        <f t="shared" ref="AE63:AM63" si="11">INDEX($AE54:$BS54,1,MATCH(AE$61,$AE$4:$BS$4))*Unit.MW</f>
        <v>1.8</v>
      </c>
      <c r="AF63" s="1456">
        <f t="shared" si="11"/>
        <v>1.8</v>
      </c>
      <c r="AG63" s="1456">
        <f t="shared" si="11"/>
        <v>1.8</v>
      </c>
      <c r="AH63" s="1456">
        <f t="shared" si="11"/>
        <v>1.8</v>
      </c>
      <c r="AI63" s="1456">
        <f t="shared" si="11"/>
        <v>1.8</v>
      </c>
      <c r="AJ63" s="1456">
        <f t="shared" si="11"/>
        <v>0.9</v>
      </c>
      <c r="AK63" s="1456">
        <f t="shared" si="11"/>
        <v>0</v>
      </c>
      <c r="AL63" s="1456">
        <f t="shared" si="11"/>
        <v>0</v>
      </c>
      <c r="AM63" s="1456">
        <f t="shared" si="11"/>
        <v>0</v>
      </c>
      <c r="AN63" s="1456"/>
      <c r="AO63" s="1456"/>
      <c r="AP63" s="1456"/>
      <c r="AQ63" s="1456"/>
      <c r="AR63" s="1456"/>
      <c r="AS63" s="1456"/>
      <c r="AT63" s="1456"/>
      <c r="AU63" s="1456"/>
      <c r="AV63" s="1456"/>
      <c r="AW63" s="1456"/>
      <c r="AX63" s="1456"/>
      <c r="AY63" s="1456"/>
      <c r="AZ63" s="1456"/>
      <c r="BA63" s="1456"/>
      <c r="BB63" s="1456"/>
      <c r="BC63" s="1456"/>
      <c r="BD63" s="1456"/>
      <c r="BE63" s="1456"/>
      <c r="BF63" s="1456"/>
      <c r="BG63" s="1456"/>
      <c r="BH63" s="1456"/>
      <c r="BI63" s="1456"/>
      <c r="BJ63" s="1456"/>
      <c r="BK63" s="1456"/>
      <c r="BL63" s="1456"/>
      <c r="BM63" s="1456"/>
      <c r="BN63" s="1456"/>
      <c r="BO63" s="1456"/>
      <c r="BP63" s="1456"/>
      <c r="BQ63" s="1456"/>
      <c r="BR63" s="1456"/>
      <c r="BS63" s="1456"/>
    </row>
    <row r="64" spans="1:71">
      <c r="B64" s="1463" t="s">
        <v>2209</v>
      </c>
      <c r="E64" s="508">
        <f t="shared" si="7"/>
        <v>0</v>
      </c>
      <c r="F64" s="1456"/>
      <c r="G64" s="1456"/>
      <c r="H64" s="1456"/>
      <c r="I64" s="1456">
        <f t="shared" si="8"/>
        <v>670</v>
      </c>
      <c r="N64" s="1456"/>
      <c r="O64" s="1456"/>
      <c r="P64" s="1456"/>
      <c r="Q64" s="1456"/>
      <c r="R64" s="1456"/>
      <c r="S64" s="1456"/>
      <c r="T64" s="1456"/>
      <c r="U64" s="508">
        <f t="shared" si="9"/>
        <v>0.89254707313432835</v>
      </c>
      <c r="V64" s="508">
        <f t="shared" si="9"/>
        <v>0.93385970149253716</v>
      </c>
      <c r="W64" s="1456"/>
      <c r="X64" s="1456"/>
      <c r="Y64" s="1456"/>
      <c r="Z64" s="1456"/>
      <c r="AA64" s="1456"/>
      <c r="AB64" s="1456"/>
      <c r="AC64" s="1456"/>
      <c r="AD64" s="1456"/>
      <c r="AE64" s="1456">
        <f t="shared" ref="AE64:AM64" si="12">INDEX($AE55:$BS55,1,MATCH(AE$61,$AE$4:$BS$4))*Unit.MW</f>
        <v>0.67</v>
      </c>
      <c r="AF64" s="1456">
        <f t="shared" si="12"/>
        <v>0.67</v>
      </c>
      <c r="AG64" s="1456">
        <f t="shared" si="12"/>
        <v>0.67</v>
      </c>
      <c r="AH64" s="1456">
        <f t="shared" si="12"/>
        <v>0.6</v>
      </c>
      <c r="AI64" s="1456">
        <f t="shared" si="12"/>
        <v>0.6</v>
      </c>
      <c r="AJ64" s="1456">
        <f t="shared" si="12"/>
        <v>0.6</v>
      </c>
      <c r="AK64" s="1456">
        <f t="shared" si="12"/>
        <v>0.6</v>
      </c>
      <c r="AL64" s="1456">
        <f t="shared" si="12"/>
        <v>0.6</v>
      </c>
      <c r="AM64" s="1456">
        <f t="shared" si="12"/>
        <v>0.6</v>
      </c>
      <c r="AN64" s="1456"/>
      <c r="AO64" s="1456"/>
      <c r="AP64" s="1456"/>
      <c r="AQ64" s="1456"/>
      <c r="AR64" s="1456"/>
      <c r="AS64" s="1456"/>
      <c r="AT64" s="1456"/>
      <c r="AU64" s="1456"/>
      <c r="AV64" s="1456"/>
      <c r="AW64" s="1456"/>
      <c r="AX64" s="1456"/>
      <c r="AY64" s="1456"/>
      <c r="AZ64" s="1456"/>
      <c r="BA64" s="1456"/>
      <c r="BB64" s="1456"/>
      <c r="BC64" s="1456"/>
      <c r="BD64" s="1456"/>
      <c r="BE64" s="1456"/>
      <c r="BF64" s="1456"/>
      <c r="BG64" s="1456"/>
      <c r="BH64" s="1456"/>
      <c r="BI64" s="1456"/>
      <c r="BJ64" s="1456"/>
      <c r="BK64" s="1456"/>
      <c r="BL64" s="1456"/>
      <c r="BM64" s="1456"/>
      <c r="BN64" s="1456"/>
      <c r="BO64" s="1456"/>
      <c r="BP64" s="1456"/>
      <c r="BQ64" s="1456"/>
      <c r="BR64" s="1456"/>
      <c r="BS64" s="1456"/>
    </row>
    <row r="65" spans="1:71">
      <c r="B65" s="1463" t="s">
        <v>2212</v>
      </c>
      <c r="E65" s="508">
        <f t="shared" si="7"/>
        <v>0</v>
      </c>
      <c r="F65" s="1456"/>
      <c r="G65" s="1456"/>
      <c r="H65" s="1456"/>
      <c r="I65" s="1456">
        <f t="shared" si="8"/>
        <v>1497.5</v>
      </c>
      <c r="N65" s="1456"/>
      <c r="O65" s="1456"/>
      <c r="P65" s="1456"/>
      <c r="Q65" s="1456"/>
      <c r="R65" s="1456"/>
      <c r="S65" s="1456"/>
      <c r="T65" s="1456"/>
      <c r="U65" s="508">
        <f t="shared" si="9"/>
        <v>0.66600000000000004</v>
      </c>
      <c r="V65" s="508">
        <f t="shared" si="9"/>
        <v>0.9</v>
      </c>
      <c r="W65" s="1456"/>
      <c r="X65" s="1456"/>
      <c r="Y65" s="1456"/>
      <c r="Z65" s="1456"/>
      <c r="AA65" s="1456"/>
      <c r="AB65" s="1456"/>
      <c r="AC65" s="1456"/>
      <c r="AD65" s="1456"/>
      <c r="AE65" s="1456">
        <f t="shared" ref="AE65:AM65" si="13">INDEX($AE56:$BS56,1,MATCH(AE$61,$AE$4:$BS$4))*Unit.MW</f>
        <v>1.4975000000000001</v>
      </c>
      <c r="AF65" s="1456">
        <f t="shared" si="13"/>
        <v>1.4975000000000001</v>
      </c>
      <c r="AG65" s="1456">
        <f t="shared" si="13"/>
        <v>1.4975000000000001</v>
      </c>
      <c r="AH65" s="1456">
        <f t="shared" si="13"/>
        <v>1.4975000000000001</v>
      </c>
      <c r="AI65" s="1456">
        <f t="shared" si="13"/>
        <v>1.4975000000000001</v>
      </c>
      <c r="AJ65" s="1456">
        <f t="shared" si="13"/>
        <v>1.4975000000000001</v>
      </c>
      <c r="AK65" s="1456">
        <f t="shared" si="13"/>
        <v>1.4975000000000001</v>
      </c>
      <c r="AL65" s="1456">
        <f t="shared" si="13"/>
        <v>1.4975000000000001</v>
      </c>
      <c r="AM65" s="1456">
        <f t="shared" si="13"/>
        <v>1.4975000000000001</v>
      </c>
      <c r="AN65" s="1456"/>
      <c r="AO65" s="1456"/>
      <c r="AP65" s="1456"/>
      <c r="AQ65" s="1456"/>
      <c r="AR65" s="1456"/>
      <c r="AS65" s="1456"/>
      <c r="AT65" s="1456"/>
      <c r="AU65" s="1456"/>
      <c r="AV65" s="1456"/>
      <c r="AW65" s="1456"/>
      <c r="AX65" s="1456"/>
      <c r="AY65" s="1456"/>
      <c r="AZ65" s="1456"/>
      <c r="BA65" s="1456"/>
      <c r="BB65" s="1456"/>
      <c r="BC65" s="1456"/>
      <c r="BD65" s="1456"/>
      <c r="BE65" s="1456"/>
      <c r="BF65" s="1456"/>
      <c r="BG65" s="1456"/>
      <c r="BH65" s="1456"/>
      <c r="BI65" s="1456"/>
      <c r="BJ65" s="1456"/>
      <c r="BK65" s="1456"/>
      <c r="BL65" s="1456"/>
      <c r="BM65" s="1456"/>
      <c r="BN65" s="1456"/>
      <c r="BO65" s="1456"/>
      <c r="BP65" s="1456"/>
      <c r="BQ65" s="1456"/>
      <c r="BR65" s="1456"/>
      <c r="BS65" s="1456"/>
    </row>
    <row r="66" spans="1:71">
      <c r="B66" s="1463" t="s">
        <v>1975</v>
      </c>
      <c r="E66" s="508">
        <f t="shared" si="7"/>
        <v>0.32290235255240424</v>
      </c>
      <c r="F66" s="1456"/>
      <c r="G66" s="1456"/>
      <c r="H66" s="1456"/>
      <c r="I66" s="1456">
        <f t="shared" si="8"/>
        <v>2400</v>
      </c>
      <c r="N66" s="1456"/>
      <c r="O66" s="1456"/>
      <c r="P66" s="1456"/>
      <c r="Q66" s="1456"/>
      <c r="R66" s="1456"/>
      <c r="S66" s="1456"/>
      <c r="T66" s="1456"/>
      <c r="U66" s="508">
        <f t="shared" si="9"/>
        <v>0.09</v>
      </c>
      <c r="V66" s="508">
        <f t="shared" si="9"/>
        <v>0.94864000000000004</v>
      </c>
      <c r="W66" s="1456"/>
      <c r="X66" s="1456"/>
      <c r="Y66" s="1456"/>
      <c r="Z66" s="1456"/>
      <c r="AA66" s="1456"/>
      <c r="AB66" s="1456"/>
      <c r="AC66" s="1456"/>
      <c r="AD66" s="1456"/>
      <c r="AE66" s="1456">
        <f t="shared" ref="AE66:AM66" si="14">INDEX($AE57:$BS57,1,MATCH(AE$61,$AE$4:$BS$4))*Unit.MW</f>
        <v>2.4</v>
      </c>
      <c r="AF66" s="1456">
        <f t="shared" si="14"/>
        <v>2.4</v>
      </c>
      <c r="AG66" s="1456">
        <f t="shared" si="14"/>
        <v>2.4</v>
      </c>
      <c r="AH66" s="1456">
        <f t="shared" si="14"/>
        <v>2.4</v>
      </c>
      <c r="AI66" s="1456">
        <f t="shared" si="14"/>
        <v>2.0579999999999998</v>
      </c>
      <c r="AJ66" s="1456">
        <f t="shared" si="14"/>
        <v>2.0579999999999998</v>
      </c>
      <c r="AK66" s="1456">
        <f t="shared" si="14"/>
        <v>2.0579999999999998</v>
      </c>
      <c r="AL66" s="1456">
        <f t="shared" si="14"/>
        <v>2.0579999999999998</v>
      </c>
      <c r="AM66" s="1456">
        <f t="shared" si="14"/>
        <v>2.0579999999999998</v>
      </c>
      <c r="AN66" s="1456"/>
      <c r="AO66" s="1456"/>
      <c r="AP66" s="1456"/>
      <c r="AQ66" s="1456"/>
      <c r="AR66" s="1456"/>
      <c r="AS66" s="1456"/>
      <c r="AT66" s="1456"/>
      <c r="AU66" s="1456"/>
      <c r="AV66" s="1456"/>
      <c r="AW66" s="1456"/>
      <c r="AX66" s="1456"/>
      <c r="AY66" s="1456"/>
      <c r="AZ66" s="1456"/>
      <c r="BA66" s="1456"/>
      <c r="BB66" s="1456"/>
      <c r="BC66" s="1456"/>
      <c r="BD66" s="1456"/>
      <c r="BE66" s="1456"/>
      <c r="BF66" s="1456"/>
      <c r="BG66" s="1456"/>
      <c r="BH66" s="1456"/>
      <c r="BI66" s="1456"/>
      <c r="BJ66" s="1456"/>
      <c r="BK66" s="1456"/>
      <c r="BL66" s="1456"/>
      <c r="BM66" s="1456"/>
      <c r="BN66" s="1456"/>
      <c r="BO66" s="1456"/>
      <c r="BP66" s="1456"/>
      <c r="BQ66" s="1456"/>
      <c r="BR66" s="1456"/>
      <c r="BS66" s="1456"/>
    </row>
    <row r="67" spans="1:71">
      <c r="B67" s="1464" t="s">
        <v>2214</v>
      </c>
      <c r="E67" s="508">
        <f t="shared" si="7"/>
        <v>0.25429035508469455</v>
      </c>
      <c r="F67" s="1456"/>
      <c r="G67" s="1456"/>
      <c r="H67" s="1456"/>
      <c r="I67" s="1456">
        <f t="shared" si="8"/>
        <v>650</v>
      </c>
      <c r="N67" s="1456"/>
      <c r="O67" s="1456"/>
      <c r="P67" s="1456"/>
      <c r="Q67" s="1456"/>
      <c r="R67" s="1456"/>
      <c r="S67" s="1456"/>
      <c r="T67" s="1456"/>
      <c r="U67" s="508">
        <f t="shared" si="9"/>
        <v>0.84512069999999995</v>
      </c>
      <c r="V67" s="508">
        <f t="shared" si="9"/>
        <v>0.92849999999999999</v>
      </c>
      <c r="W67" s="1456"/>
      <c r="X67" s="1456"/>
      <c r="Y67" s="1456"/>
      <c r="Z67" s="1456"/>
      <c r="AA67" s="1456"/>
      <c r="AB67" s="1456"/>
      <c r="AC67" s="1456"/>
      <c r="AD67" s="1456"/>
      <c r="AE67" s="1456">
        <f t="shared" ref="AE67:AM67" si="15">INDEX($AE58:$BS58,1,MATCH(AE$61,$AE$4:$BS$4))*Unit.MW</f>
        <v>0.65</v>
      </c>
      <c r="AF67" s="1456">
        <f t="shared" si="15"/>
        <v>0.65</v>
      </c>
      <c r="AG67" s="1456">
        <f t="shared" si="15"/>
        <v>0.52</v>
      </c>
      <c r="AH67" s="1456">
        <f t="shared" si="15"/>
        <v>0.52</v>
      </c>
      <c r="AI67" s="1456">
        <f t="shared" si="15"/>
        <v>0.52</v>
      </c>
      <c r="AJ67" s="1456">
        <f t="shared" si="15"/>
        <v>0</v>
      </c>
      <c r="AK67" s="1456">
        <f t="shared" si="15"/>
        <v>0</v>
      </c>
      <c r="AL67" s="1456">
        <f t="shared" si="15"/>
        <v>0</v>
      </c>
      <c r="AM67" s="1456">
        <f t="shared" si="15"/>
        <v>0</v>
      </c>
      <c r="AN67" s="1456"/>
      <c r="AO67" s="1456"/>
      <c r="AP67" s="1456"/>
      <c r="AQ67" s="1456"/>
      <c r="AR67" s="1456"/>
      <c r="AS67" s="1456"/>
      <c r="AT67" s="1456"/>
      <c r="AU67" s="1456"/>
      <c r="AV67" s="1456"/>
      <c r="AW67" s="1456"/>
      <c r="AX67" s="1456"/>
      <c r="AY67" s="1456"/>
      <c r="AZ67" s="1456"/>
      <c r="BA67" s="1456"/>
      <c r="BB67" s="1456"/>
      <c r="BC67" s="1456"/>
      <c r="BD67" s="1456"/>
      <c r="BE67" s="1456"/>
      <c r="BF67" s="1456"/>
      <c r="BG67" s="1456"/>
      <c r="BH67" s="1456"/>
      <c r="BI67" s="1456"/>
      <c r="BJ67" s="1456"/>
      <c r="BK67" s="1456"/>
      <c r="BL67" s="1456"/>
      <c r="BM67" s="1456"/>
      <c r="BN67" s="1456"/>
      <c r="BO67" s="1456"/>
      <c r="BP67" s="1456"/>
      <c r="BQ67" s="1456"/>
      <c r="BR67" s="1456"/>
      <c r="BS67" s="1456"/>
    </row>
    <row r="68" spans="1:71">
      <c r="AF68" s="1456"/>
      <c r="AG68" s="1456"/>
      <c r="AH68" s="1456"/>
      <c r="AI68" s="1456"/>
      <c r="AJ68" s="1456"/>
      <c r="AK68" s="1456"/>
      <c r="AL68" s="1456"/>
      <c r="AM68" s="1456"/>
    </row>
    <row r="71" spans="1:71">
      <c r="A71" s="1598"/>
    </row>
    <row r="72" spans="1:71">
      <c r="A72" s="1598"/>
    </row>
    <row r="73" spans="1:71">
      <c r="A73" s="1598"/>
    </row>
    <row r="74" spans="1:71">
      <c r="A74" s="1598"/>
    </row>
    <row r="75" spans="1:71">
      <c r="A75" s="1598"/>
    </row>
    <row r="76" spans="1:71">
      <c r="A76" s="1598"/>
    </row>
    <row r="77" spans="1:71">
      <c r="A77" s="1598"/>
    </row>
    <row r="78" spans="1:71">
      <c r="A78" s="1598"/>
    </row>
    <row r="79" spans="1:71">
      <c r="A79" s="1599"/>
    </row>
    <row r="80" spans="1:71">
      <c r="A80" s="1599"/>
    </row>
    <row r="81" spans="1:9">
      <c r="A81" s="1599"/>
    </row>
    <row r="82" spans="1:9">
      <c r="A82" s="1598"/>
    </row>
    <row r="83" spans="1:9">
      <c r="A83" s="1598"/>
    </row>
    <row r="84" spans="1:9">
      <c r="A84" s="1598"/>
    </row>
    <row r="85" spans="1:9">
      <c r="A85" s="1598"/>
    </row>
    <row r="86" spans="1:9">
      <c r="A86" s="1600"/>
    </row>
    <row r="87" spans="1:9">
      <c r="A87" s="1598"/>
    </row>
    <row r="88" spans="1:9">
      <c r="A88" s="1598"/>
    </row>
    <row r="89" spans="1:9">
      <c r="A89" s="1598"/>
    </row>
    <row r="90" spans="1:9">
      <c r="A90" s="1598"/>
    </row>
    <row r="91" spans="1:9">
      <c r="I91" s="1456"/>
    </row>
    <row r="92" spans="1:9">
      <c r="I92" s="1456"/>
    </row>
  </sheetData>
  <conditionalFormatting sqref="A71:A90">
    <cfRule type="cellIs" dxfId="129" priority="1" operator="equal">
      <formula>"source"</formula>
    </cfRule>
  </conditionalFormatting>
  <pageMargins left="0.7" right="0.7" top="0.75" bottom="0.75" header="0.3" footer="0.3"/>
  <pageSetup paperSize="9" orientation="portrait"/>
  <extLst>
    <ext xmlns:mx="http://schemas.microsoft.com/office/mac/excel/2008/main" uri="{64002731-A6B0-56B0-2670-7721B7C09600}">
      <mx:PLV Mode="0" OnePage="0" WScale="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0" enableFormatConditionsCalculation="0">
    <tabColor rgb="FFFF0000"/>
  </sheetPr>
  <dimension ref="A1:CT107"/>
  <sheetViews>
    <sheetView topLeftCell="A37" zoomScale="85" zoomScaleNormal="85" zoomScalePageLayoutView="85" workbookViewId="0">
      <pane xSplit="1" topLeftCell="B1" activePane="topRight" state="frozen"/>
      <selection activeCell="S126" sqref="S126"/>
      <selection pane="topRight" activeCell="B44" sqref="B44"/>
    </sheetView>
    <sheetView workbookViewId="1"/>
  </sheetViews>
  <sheetFormatPr baseColWidth="10" defaultColWidth="8.83203125" defaultRowHeight="12" x14ac:dyDescent="0"/>
  <cols>
    <col min="1" max="1" width="52.6640625" style="858" customWidth="1"/>
    <col min="2" max="2" width="15.33203125" style="858" customWidth="1"/>
    <col min="3" max="3" width="20.6640625" style="858" customWidth="1"/>
    <col min="4" max="4" width="15.83203125" style="858" customWidth="1"/>
    <col min="5" max="6" width="10" style="858" customWidth="1"/>
    <col min="7" max="7" width="13.5" style="858" customWidth="1"/>
    <col min="8" max="8" width="10" style="858" customWidth="1"/>
    <col min="9" max="9" width="12" style="858" customWidth="1"/>
    <col min="10" max="25" width="10" style="858" customWidth="1"/>
    <col min="26" max="26" width="11.6640625" style="858" customWidth="1"/>
    <col min="27" max="30" width="10" style="858" customWidth="1"/>
    <col min="31" max="61" width="8.83203125" style="858"/>
    <col min="62" max="62" width="11.5" style="858" customWidth="1"/>
    <col min="63" max="16384" width="8.83203125" style="858"/>
  </cols>
  <sheetData>
    <row r="1" spans="1:30" s="855" customFormat="1" ht="15">
      <c r="A1" s="852" t="s">
        <v>757</v>
      </c>
      <c r="B1" s="1760" t="s">
        <v>758</v>
      </c>
      <c r="C1" s="1760"/>
      <c r="D1" s="1760"/>
      <c r="E1" s="853" t="s">
        <v>836</v>
      </c>
      <c r="F1" s="853"/>
      <c r="G1" s="854"/>
      <c r="H1" s="852"/>
      <c r="I1" s="854"/>
      <c r="J1" s="852"/>
    </row>
    <row r="2" spans="1:30">
      <c r="A2" s="856"/>
      <c r="B2" s="856"/>
      <c r="C2" s="856"/>
      <c r="D2" s="856"/>
      <c r="E2" s="856"/>
      <c r="F2" s="856"/>
      <c r="G2" s="857"/>
      <c r="H2" s="856"/>
      <c r="I2" s="856"/>
      <c r="J2" s="856"/>
      <c r="K2" s="857"/>
      <c r="L2" s="856"/>
      <c r="M2" s="856"/>
      <c r="N2" s="856"/>
      <c r="V2" s="856"/>
      <c r="W2" s="856"/>
      <c r="X2" s="856"/>
      <c r="Y2" s="856"/>
      <c r="Z2" s="856"/>
      <c r="AA2" s="856"/>
      <c r="AB2" s="857"/>
      <c r="AC2" s="856"/>
      <c r="AD2" s="856"/>
    </row>
    <row r="3" spans="1:30">
      <c r="A3" s="859"/>
      <c r="B3" s="859"/>
      <c r="C3" s="860" t="s">
        <v>760</v>
      </c>
      <c r="D3" s="860"/>
      <c r="E3" s="860"/>
      <c r="F3" s="860"/>
      <c r="G3" s="860"/>
      <c r="H3" s="860"/>
      <c r="I3" s="860"/>
      <c r="J3" s="861"/>
      <c r="K3" s="862"/>
      <c r="L3" s="855"/>
      <c r="M3" s="855"/>
      <c r="N3" s="855"/>
      <c r="V3" s="856"/>
      <c r="W3" s="856"/>
      <c r="X3" s="856"/>
      <c r="Y3" s="856"/>
      <c r="Z3" s="856"/>
      <c r="AA3" s="856"/>
      <c r="AB3" s="856"/>
      <c r="AC3" s="856"/>
      <c r="AD3" s="857"/>
    </row>
    <row r="4" spans="1:30">
      <c r="A4" s="863" t="s">
        <v>762</v>
      </c>
      <c r="B4" s="859"/>
      <c r="C4" s="859"/>
      <c r="D4" s="859"/>
      <c r="E4" s="859"/>
      <c r="F4" s="859"/>
      <c r="G4" s="859"/>
      <c r="H4" s="859"/>
      <c r="I4" s="859"/>
      <c r="J4" s="859"/>
      <c r="K4" s="856"/>
      <c r="L4" s="864"/>
      <c r="M4" s="864"/>
      <c r="N4" s="864"/>
      <c r="V4" s="864"/>
      <c r="W4" s="864"/>
      <c r="X4" s="864"/>
      <c r="Y4" s="864"/>
      <c r="Z4" s="864"/>
      <c r="AA4" s="864"/>
      <c r="AB4" s="864"/>
      <c r="AC4" s="864"/>
      <c r="AD4" s="864"/>
    </row>
    <row r="5" spans="1:30">
      <c r="A5" s="860" t="s">
        <v>40</v>
      </c>
      <c r="B5" s="859"/>
      <c r="C5" s="864" t="s">
        <v>101</v>
      </c>
      <c r="D5" s="857" t="s">
        <v>175</v>
      </c>
      <c r="E5" s="857" t="s">
        <v>4</v>
      </c>
      <c r="F5" s="857" t="s">
        <v>13</v>
      </c>
      <c r="G5" s="857" t="s">
        <v>898</v>
      </c>
      <c r="H5" s="857" t="s">
        <v>880</v>
      </c>
      <c r="I5" s="857" t="s">
        <v>786</v>
      </c>
      <c r="J5" s="857" t="s">
        <v>787</v>
      </c>
      <c r="K5" s="856" t="s">
        <v>102</v>
      </c>
      <c r="L5" s="864"/>
      <c r="M5" s="855"/>
      <c r="N5" s="856"/>
      <c r="V5" s="856"/>
      <c r="W5" s="856"/>
      <c r="X5" s="856"/>
      <c r="Y5" s="856"/>
      <c r="Z5" s="856"/>
      <c r="AA5" s="856"/>
      <c r="AB5" s="856"/>
      <c r="AC5" s="857"/>
      <c r="AD5" s="856"/>
    </row>
    <row r="6" spans="1:30">
      <c r="A6" s="854" t="s">
        <v>766</v>
      </c>
      <c r="B6" s="857"/>
      <c r="C6" s="856" t="s">
        <v>1988</v>
      </c>
      <c r="D6" s="856" t="s">
        <v>1989</v>
      </c>
      <c r="E6" s="856" t="s">
        <v>1990</v>
      </c>
      <c r="F6" s="856" t="s">
        <v>1991</v>
      </c>
      <c r="G6" s="856" t="s">
        <v>1992</v>
      </c>
      <c r="H6" s="856" t="s">
        <v>1993</v>
      </c>
      <c r="I6" s="856" t="s">
        <v>1994</v>
      </c>
      <c r="J6" s="856" t="s">
        <v>1995</v>
      </c>
      <c r="M6" s="864"/>
      <c r="N6" s="864"/>
      <c r="V6" s="864"/>
      <c r="W6" s="864"/>
      <c r="X6" s="864"/>
      <c r="Y6" s="864"/>
      <c r="Z6" s="864"/>
      <c r="AA6" s="864"/>
      <c r="AB6" s="864"/>
      <c r="AC6" s="864"/>
      <c r="AD6" s="864"/>
    </row>
    <row r="7" spans="1:30">
      <c r="A7" s="854"/>
      <c r="B7" s="865" t="s">
        <v>66</v>
      </c>
      <c r="C7" s="531">
        <v>76.302000000000007</v>
      </c>
      <c r="D7" s="531">
        <v>1.742</v>
      </c>
      <c r="E7" s="531">
        <v>103.8</v>
      </c>
      <c r="F7" s="531">
        <v>0.86399999999999999</v>
      </c>
      <c r="G7" s="531">
        <v>0.23699999999999999</v>
      </c>
      <c r="H7" s="531">
        <v>17.766999999999999</v>
      </c>
      <c r="I7" s="531">
        <v>1.329</v>
      </c>
      <c r="J7" s="531">
        <v>3.29</v>
      </c>
      <c r="K7" s="531">
        <f>SUM(C7:J7)</f>
        <v>205.33099999999999</v>
      </c>
      <c r="L7" s="866"/>
      <c r="M7" s="864" t="s">
        <v>2620</v>
      </c>
      <c r="N7" s="864"/>
      <c r="V7" s="864"/>
      <c r="W7" s="864"/>
      <c r="X7" s="864"/>
      <c r="Y7" s="864"/>
      <c r="Z7" s="864"/>
      <c r="AA7" s="864"/>
      <c r="AB7" s="864"/>
      <c r="AC7" s="855"/>
      <c r="AD7" s="864"/>
    </row>
    <row r="8" spans="1:30">
      <c r="A8" s="863"/>
      <c r="B8" s="859"/>
      <c r="C8" s="510"/>
      <c r="D8" s="510"/>
      <c r="E8" s="510"/>
      <c r="F8" s="510"/>
      <c r="G8" s="510"/>
      <c r="H8" s="510"/>
      <c r="I8" s="510"/>
      <c r="J8" s="510"/>
      <c r="K8" s="856"/>
      <c r="L8" s="864"/>
      <c r="M8" s="864" t="s">
        <v>2621</v>
      </c>
      <c r="N8" s="864"/>
      <c r="V8" s="864"/>
      <c r="W8" s="864"/>
      <c r="X8" s="864"/>
      <c r="Y8" s="864"/>
      <c r="Z8" s="864"/>
      <c r="AA8" s="864"/>
      <c r="AB8" s="864"/>
      <c r="AC8" s="864"/>
      <c r="AD8" s="864"/>
    </row>
    <row r="9" spans="1:30">
      <c r="A9" s="863"/>
      <c r="B9" s="859"/>
      <c r="C9" s="859"/>
      <c r="D9" s="859"/>
      <c r="E9" s="859"/>
      <c r="F9" s="859"/>
      <c r="G9" s="859"/>
      <c r="H9" s="859"/>
      <c r="I9" s="859"/>
      <c r="J9" s="859"/>
      <c r="K9" s="856"/>
      <c r="L9" s="864"/>
      <c r="M9" s="864"/>
      <c r="N9" s="864"/>
      <c r="V9" s="864"/>
      <c r="W9" s="864"/>
      <c r="X9" s="864"/>
      <c r="Y9" s="864"/>
      <c r="Z9" s="864"/>
      <c r="AA9" s="864"/>
      <c r="AB9" s="864"/>
      <c r="AC9" s="864"/>
      <c r="AD9" s="864"/>
    </row>
    <row r="10" spans="1:30">
      <c r="A10" s="867" t="s">
        <v>778</v>
      </c>
      <c r="B10" s="868" t="s">
        <v>63</v>
      </c>
      <c r="C10" s="869"/>
      <c r="D10" s="869"/>
      <c r="E10" s="869"/>
      <c r="F10" s="869"/>
      <c r="G10" s="869"/>
      <c r="H10" s="869"/>
      <c r="I10" s="869"/>
      <c r="J10" s="869"/>
      <c r="K10" s="856"/>
      <c r="L10" s="864"/>
      <c r="M10" s="864"/>
      <c r="N10" s="864"/>
      <c r="V10" s="864"/>
      <c r="W10" s="864"/>
      <c r="X10" s="864"/>
      <c r="Y10" s="864"/>
      <c r="Z10" s="864"/>
      <c r="AA10" s="864"/>
      <c r="AB10" s="864"/>
      <c r="AC10" s="864"/>
      <c r="AD10" s="864"/>
    </row>
    <row r="11" spans="1:30">
      <c r="A11" s="870" t="s">
        <v>438</v>
      </c>
      <c r="B11" s="857" t="s">
        <v>409</v>
      </c>
      <c r="C11" s="869"/>
      <c r="D11" s="870"/>
      <c r="E11" s="869"/>
      <c r="F11" s="869"/>
      <c r="G11" s="869"/>
      <c r="H11" s="869"/>
      <c r="I11" s="869"/>
      <c r="J11" s="869"/>
      <c r="K11" s="856"/>
      <c r="L11" s="864"/>
      <c r="M11" s="864"/>
      <c r="N11" s="864"/>
      <c r="V11" s="864"/>
      <c r="W11" s="864"/>
      <c r="X11" s="864"/>
      <c r="Y11" s="864"/>
      <c r="Z11" s="864"/>
      <c r="AA11" s="864"/>
      <c r="AB11" s="864"/>
      <c r="AC11" s="864"/>
      <c r="AD11" s="864"/>
    </row>
    <row r="12" spans="1:30">
      <c r="A12" s="871" t="s">
        <v>780</v>
      </c>
      <c r="B12" s="857" t="s">
        <v>638</v>
      </c>
      <c r="C12" s="869"/>
      <c r="D12" s="870"/>
      <c r="E12" s="869"/>
      <c r="F12" s="869"/>
      <c r="G12" s="869"/>
      <c r="H12" s="869"/>
      <c r="I12" s="869"/>
      <c r="J12" s="869"/>
      <c r="K12" s="856"/>
      <c r="L12" s="864"/>
      <c r="M12" s="864"/>
      <c r="N12" s="864"/>
      <c r="V12" s="864"/>
      <c r="W12" s="864"/>
      <c r="X12" s="864"/>
      <c r="Y12" s="864"/>
      <c r="Z12" s="864"/>
      <c r="AA12" s="864"/>
      <c r="AB12" s="864"/>
      <c r="AC12" s="864"/>
      <c r="AD12" s="864"/>
    </row>
    <row r="13" spans="1:30">
      <c r="A13" s="871" t="s">
        <v>93</v>
      </c>
      <c r="B13" s="857" t="s">
        <v>779</v>
      </c>
      <c r="C13" s="869"/>
      <c r="D13" s="870"/>
      <c r="E13" s="869"/>
      <c r="F13" s="869"/>
      <c r="G13" s="869"/>
      <c r="H13" s="869"/>
      <c r="I13" s="869"/>
      <c r="J13" s="869"/>
      <c r="K13" s="856"/>
      <c r="L13" s="864"/>
      <c r="M13" s="864"/>
      <c r="N13" s="864"/>
      <c r="V13" s="864"/>
      <c r="W13" s="864"/>
      <c r="X13" s="864"/>
      <c r="Y13" s="864"/>
      <c r="Z13" s="864"/>
      <c r="AA13" s="864"/>
      <c r="AB13" s="864"/>
      <c r="AC13" s="864"/>
      <c r="AD13" s="864"/>
    </row>
    <row r="14" spans="1:30">
      <c r="A14" s="871" t="s">
        <v>96</v>
      </c>
      <c r="B14" s="857" t="s">
        <v>636</v>
      </c>
      <c r="C14" s="869"/>
      <c r="D14" s="870"/>
      <c r="E14" s="869"/>
      <c r="F14" s="869"/>
      <c r="G14" s="869"/>
      <c r="H14" s="869"/>
      <c r="I14" s="869"/>
      <c r="J14" s="869"/>
      <c r="K14" s="856"/>
      <c r="L14" s="864"/>
      <c r="M14" s="864"/>
      <c r="N14" s="864"/>
      <c r="V14" s="864"/>
      <c r="W14" s="864"/>
      <c r="X14" s="864"/>
      <c r="Y14" s="864"/>
      <c r="Z14" s="864"/>
      <c r="AA14" s="864"/>
      <c r="AB14" s="864"/>
      <c r="AC14" s="864"/>
      <c r="AD14" s="864"/>
    </row>
    <row r="15" spans="1:30">
      <c r="A15" s="871" t="s">
        <v>99</v>
      </c>
      <c r="B15" s="857" t="s">
        <v>763</v>
      </c>
      <c r="C15" s="869"/>
      <c r="D15" s="870"/>
      <c r="E15" s="869"/>
      <c r="F15" s="869"/>
      <c r="G15" s="869"/>
      <c r="H15" s="869"/>
      <c r="I15" s="869"/>
      <c r="J15" s="869"/>
      <c r="K15" s="856"/>
      <c r="L15" s="864"/>
      <c r="M15" s="864"/>
      <c r="N15" s="864"/>
      <c r="O15" s="864"/>
      <c r="P15" s="864"/>
      <c r="Q15" s="864"/>
      <c r="R15" s="864"/>
      <c r="S15" s="864"/>
      <c r="T15" s="864"/>
      <c r="U15" s="864"/>
      <c r="V15" s="864"/>
      <c r="W15" s="864"/>
      <c r="X15" s="864"/>
      <c r="Y15" s="864"/>
      <c r="Z15" s="864"/>
      <c r="AA15" s="864"/>
      <c r="AB15" s="864"/>
      <c r="AC15" s="864"/>
      <c r="AD15" s="864"/>
    </row>
    <row r="16" spans="1:30">
      <c r="A16" s="871" t="s">
        <v>781</v>
      </c>
      <c r="B16" s="857" t="s">
        <v>241</v>
      </c>
      <c r="C16" s="869"/>
      <c r="D16" s="869"/>
      <c r="E16" s="869"/>
      <c r="F16" s="869"/>
      <c r="G16" s="869"/>
      <c r="H16" s="869"/>
      <c r="I16" s="869"/>
      <c r="J16" s="869"/>
      <c r="K16" s="856"/>
      <c r="L16" s="864"/>
      <c r="M16" s="864"/>
      <c r="N16" s="864"/>
      <c r="O16" s="864"/>
      <c r="P16" s="864"/>
      <c r="Q16" s="864"/>
      <c r="R16" s="864"/>
      <c r="S16" s="864"/>
      <c r="T16" s="864"/>
      <c r="U16" s="864"/>
      <c r="V16" s="864"/>
      <c r="W16" s="864"/>
      <c r="X16" s="864"/>
      <c r="Y16" s="864"/>
      <c r="Z16" s="864"/>
      <c r="AA16" s="864"/>
      <c r="AB16" s="864"/>
      <c r="AC16" s="864"/>
      <c r="AD16" s="864"/>
    </row>
    <row r="17" spans="1:30">
      <c r="A17" s="872" t="s">
        <v>1363</v>
      </c>
      <c r="B17" s="857" t="s">
        <v>417</v>
      </c>
      <c r="C17" s="869"/>
      <c r="D17" s="870"/>
      <c r="E17" s="869"/>
      <c r="F17" s="869"/>
      <c r="G17" s="869"/>
      <c r="H17" s="869"/>
      <c r="I17" s="869"/>
      <c r="J17" s="869"/>
      <c r="K17" s="856"/>
      <c r="L17" s="864"/>
      <c r="M17" s="864"/>
      <c r="N17" s="864"/>
      <c r="O17" s="864"/>
      <c r="P17" s="864"/>
      <c r="Q17" s="864"/>
      <c r="R17" s="864"/>
      <c r="S17" s="864"/>
      <c r="T17" s="864"/>
      <c r="U17" s="864"/>
      <c r="V17" s="864"/>
      <c r="W17" s="864"/>
      <c r="X17" s="864"/>
      <c r="Y17" s="864"/>
      <c r="Z17" s="864"/>
      <c r="AA17" s="864"/>
      <c r="AB17" s="864"/>
      <c r="AC17" s="864"/>
      <c r="AD17" s="864"/>
    </row>
    <row r="18" spans="1:30">
      <c r="A18" s="872" t="s">
        <v>1364</v>
      </c>
      <c r="B18" s="857" t="s">
        <v>875</v>
      </c>
      <c r="C18" s="869"/>
      <c r="D18" s="870"/>
      <c r="E18" s="869"/>
      <c r="F18" s="869"/>
      <c r="G18" s="869"/>
      <c r="H18" s="869"/>
      <c r="I18" s="869"/>
      <c r="J18" s="869"/>
      <c r="K18" s="856"/>
      <c r="L18" s="864"/>
      <c r="M18" s="864"/>
      <c r="N18" s="864"/>
      <c r="O18" s="864"/>
      <c r="P18" s="864"/>
      <c r="Q18" s="864"/>
      <c r="R18" s="864"/>
      <c r="S18" s="864"/>
      <c r="T18" s="864"/>
      <c r="U18" s="864"/>
      <c r="V18" s="864"/>
      <c r="W18" s="864"/>
      <c r="X18" s="864"/>
      <c r="Y18" s="864"/>
      <c r="Z18" s="864"/>
      <c r="AA18" s="864"/>
      <c r="AB18" s="864"/>
      <c r="AC18" s="864"/>
      <c r="AD18" s="864"/>
    </row>
    <row r="19" spans="1:30">
      <c r="A19" s="871" t="s">
        <v>97</v>
      </c>
      <c r="B19" s="857" t="s">
        <v>782</v>
      </c>
      <c r="C19" s="873"/>
      <c r="D19" s="873"/>
      <c r="E19" s="873"/>
      <c r="F19" s="873"/>
      <c r="G19" s="873"/>
      <c r="H19" s="873"/>
      <c r="I19" s="873"/>
      <c r="J19" s="873"/>
      <c r="K19" s="856"/>
      <c r="L19" s="864"/>
      <c r="M19" s="864"/>
      <c r="N19" s="864"/>
      <c r="O19" s="864"/>
      <c r="P19" s="864"/>
      <c r="Q19" s="864"/>
      <c r="R19" s="864"/>
      <c r="S19" s="864"/>
      <c r="T19" s="864"/>
      <c r="U19" s="864"/>
      <c r="V19" s="864"/>
      <c r="W19" s="864"/>
      <c r="X19" s="864"/>
      <c r="Y19" s="864"/>
      <c r="Z19" s="864"/>
      <c r="AA19" s="864"/>
      <c r="AB19" s="864"/>
      <c r="AC19" s="864"/>
      <c r="AD19" s="864"/>
    </row>
    <row r="20" spans="1:30">
      <c r="C20" s="873"/>
      <c r="D20" s="873"/>
      <c r="E20" s="873"/>
      <c r="F20" s="873"/>
      <c r="G20" s="873"/>
      <c r="H20" s="873"/>
      <c r="I20" s="873"/>
      <c r="J20" s="873"/>
      <c r="K20" s="856"/>
      <c r="L20" s="864"/>
      <c r="M20" s="864"/>
      <c r="N20" s="864"/>
      <c r="O20" s="864"/>
      <c r="P20" s="864"/>
      <c r="Q20" s="864"/>
      <c r="R20" s="864"/>
      <c r="S20" s="864"/>
      <c r="T20" s="864"/>
      <c r="U20" s="864"/>
      <c r="V20" s="864"/>
      <c r="W20" s="864"/>
      <c r="X20" s="864"/>
      <c r="Y20" s="864"/>
      <c r="Z20" s="864"/>
      <c r="AA20" s="864"/>
      <c r="AB20" s="864"/>
      <c r="AC20" s="864"/>
      <c r="AD20" s="864"/>
    </row>
    <row r="21" spans="1:30">
      <c r="A21" s="855"/>
      <c r="B21" s="864"/>
      <c r="C21" s="860" t="s">
        <v>840</v>
      </c>
      <c r="D21" s="860"/>
      <c r="E21" s="860"/>
      <c r="F21" s="860"/>
      <c r="G21" s="860"/>
      <c r="H21" s="860"/>
      <c r="I21" s="860"/>
      <c r="J21" s="860"/>
      <c r="K21" s="856"/>
      <c r="L21" s="864"/>
      <c r="M21" s="864"/>
      <c r="N21" s="864"/>
      <c r="O21" s="864"/>
      <c r="P21" s="864"/>
      <c r="Q21" s="864"/>
      <c r="R21" s="864"/>
      <c r="S21" s="864"/>
      <c r="T21" s="864"/>
      <c r="U21" s="864"/>
      <c r="V21" s="864"/>
      <c r="W21" s="864"/>
      <c r="X21" s="864"/>
      <c r="Y21" s="864"/>
      <c r="Z21" s="864"/>
      <c r="AA21" s="864"/>
      <c r="AB21" s="864"/>
      <c r="AC21" s="864"/>
      <c r="AD21" s="864"/>
    </row>
    <row r="22" spans="1:30">
      <c r="A22" s="867" t="s">
        <v>783</v>
      </c>
      <c r="B22" s="867" t="s">
        <v>784</v>
      </c>
      <c r="C22" s="864" t="s">
        <v>101</v>
      </c>
      <c r="D22" s="857" t="s">
        <v>175</v>
      </c>
      <c r="E22" s="857" t="s">
        <v>4</v>
      </c>
      <c r="F22" s="857" t="s">
        <v>13</v>
      </c>
      <c r="G22" s="857" t="s">
        <v>898</v>
      </c>
      <c r="H22" s="857" t="s">
        <v>880</v>
      </c>
      <c r="I22" s="857" t="s">
        <v>786</v>
      </c>
      <c r="J22" s="857" t="s">
        <v>787</v>
      </c>
      <c r="K22" s="856"/>
      <c r="L22" s="864"/>
      <c r="M22" s="864"/>
      <c r="N22" s="864"/>
      <c r="O22" s="864"/>
      <c r="P22" s="864"/>
      <c r="Q22" s="864"/>
      <c r="R22" s="864"/>
      <c r="S22" s="864"/>
      <c r="T22" s="864"/>
      <c r="U22" s="864"/>
      <c r="V22" s="864"/>
      <c r="W22" s="864"/>
      <c r="X22" s="864"/>
      <c r="Y22" s="864"/>
      <c r="Z22" s="864"/>
      <c r="AA22" s="864"/>
      <c r="AB22" s="864"/>
      <c r="AC22" s="864"/>
      <c r="AD22" s="864"/>
    </row>
    <row r="23" spans="1:30">
      <c r="A23" s="875" t="s">
        <v>2485</v>
      </c>
      <c r="B23" s="876" t="s">
        <v>857</v>
      </c>
      <c r="C23" s="532"/>
      <c r="D23" s="532"/>
      <c r="E23" s="532">
        <v>0.29990938050486199</v>
      </c>
      <c r="F23" s="532"/>
      <c r="G23" s="532"/>
      <c r="H23" s="532"/>
      <c r="I23" s="532"/>
      <c r="J23" s="533"/>
      <c r="K23" s="856"/>
      <c r="L23" s="864"/>
      <c r="M23" s="864"/>
      <c r="N23" s="864"/>
      <c r="O23" s="864"/>
      <c r="P23" s="864"/>
      <c r="Q23" s="864"/>
      <c r="R23" s="864"/>
      <c r="S23" s="864"/>
      <c r="T23" s="864"/>
      <c r="U23" s="864"/>
      <c r="V23" s="864"/>
      <c r="W23" s="864"/>
      <c r="X23" s="864"/>
      <c r="Y23" s="864"/>
      <c r="Z23" s="864"/>
      <c r="AA23" s="864"/>
      <c r="AB23" s="864"/>
      <c r="AC23" s="864"/>
      <c r="AD23" s="864"/>
    </row>
    <row r="24" spans="1:30">
      <c r="A24" s="875" t="s">
        <v>2486</v>
      </c>
      <c r="B24" s="876" t="s">
        <v>856</v>
      </c>
      <c r="C24" s="532">
        <v>0.54317126346240241</v>
      </c>
      <c r="D24" s="532"/>
      <c r="E24" s="532">
        <v>4.8460639087098543E-2</v>
      </c>
      <c r="F24" s="532"/>
      <c r="G24" s="532"/>
      <c r="H24" s="532"/>
      <c r="I24" s="532"/>
      <c r="J24" s="532"/>
      <c r="K24" s="856"/>
      <c r="L24" s="864"/>
      <c r="M24" s="864"/>
      <c r="N24" s="864"/>
      <c r="O24" s="864"/>
      <c r="P24" s="864"/>
      <c r="Q24" s="864"/>
      <c r="R24" s="864"/>
      <c r="S24" s="864"/>
      <c r="T24" s="864"/>
      <c r="U24" s="864"/>
      <c r="V24" s="864"/>
      <c r="W24" s="864"/>
      <c r="X24" s="864"/>
      <c r="Y24" s="864"/>
      <c r="Z24" s="864"/>
      <c r="AA24" s="864"/>
      <c r="AB24" s="864"/>
      <c r="AC24" s="864"/>
      <c r="AD24" s="864"/>
    </row>
    <row r="25" spans="1:30">
      <c r="A25" s="875" t="s">
        <v>2487</v>
      </c>
      <c r="B25" s="876" t="s">
        <v>858</v>
      </c>
      <c r="C25" s="532"/>
      <c r="D25" s="532"/>
      <c r="E25" s="532"/>
      <c r="F25" s="532"/>
      <c r="G25" s="532"/>
      <c r="H25" s="532"/>
      <c r="I25" s="532"/>
      <c r="J25" s="532">
        <v>0.10103470669450876</v>
      </c>
      <c r="K25" s="856"/>
      <c r="L25" s="864"/>
      <c r="M25" s="864"/>
      <c r="N25" s="864"/>
      <c r="O25" s="864"/>
      <c r="P25" s="864"/>
      <c r="Q25" s="864"/>
      <c r="R25" s="864"/>
      <c r="S25" s="864"/>
      <c r="T25" s="864"/>
      <c r="U25" s="864"/>
      <c r="V25" s="864"/>
      <c r="W25" s="864"/>
      <c r="X25" s="864"/>
      <c r="Y25" s="864"/>
      <c r="Z25" s="864"/>
      <c r="AA25" s="864"/>
      <c r="AB25" s="864"/>
      <c r="AC25" s="864"/>
      <c r="AD25" s="864"/>
    </row>
    <row r="26" spans="1:30">
      <c r="A26" s="875" t="s">
        <v>2488</v>
      </c>
      <c r="B26" s="876" t="s">
        <v>859</v>
      </c>
      <c r="C26" s="532"/>
      <c r="D26" s="532"/>
      <c r="E26" s="532">
        <v>0.37578793840235236</v>
      </c>
      <c r="F26" s="532"/>
      <c r="G26" s="532"/>
      <c r="H26" s="532"/>
      <c r="I26" s="532"/>
      <c r="J26" s="533"/>
      <c r="K26" s="864"/>
      <c r="L26" s="864"/>
      <c r="M26" s="864"/>
      <c r="N26" s="864"/>
      <c r="O26" s="864"/>
      <c r="P26" s="864"/>
      <c r="Q26" s="864"/>
      <c r="R26" s="864"/>
      <c r="S26" s="864"/>
      <c r="T26" s="864"/>
      <c r="U26" s="864"/>
      <c r="V26" s="864"/>
      <c r="W26" s="864"/>
      <c r="X26" s="864"/>
      <c r="Y26" s="864"/>
      <c r="Z26" s="864"/>
      <c r="AA26" s="864"/>
      <c r="AB26" s="864"/>
      <c r="AC26" s="864"/>
      <c r="AD26" s="864"/>
    </row>
    <row r="27" spans="1:30">
      <c r="A27" s="875" t="s">
        <v>2489</v>
      </c>
      <c r="B27" s="876" t="s">
        <v>860</v>
      </c>
      <c r="C27" s="532"/>
      <c r="D27" s="532"/>
      <c r="E27" s="532">
        <v>7.0909534377305433E-2</v>
      </c>
      <c r="F27" s="532"/>
      <c r="G27" s="532"/>
      <c r="H27" s="532"/>
      <c r="I27" s="532"/>
      <c r="J27" s="533"/>
      <c r="K27" s="864"/>
      <c r="L27" s="864"/>
      <c r="M27" s="864"/>
      <c r="N27" s="864"/>
      <c r="O27" s="864"/>
      <c r="P27" s="864"/>
      <c r="Q27" s="864"/>
      <c r="R27" s="864"/>
      <c r="S27" s="864"/>
      <c r="T27" s="864"/>
      <c r="U27" s="864"/>
      <c r="V27" s="864"/>
      <c r="W27" s="864"/>
      <c r="X27" s="864"/>
      <c r="Y27" s="864"/>
      <c r="Z27" s="864"/>
      <c r="AA27" s="864"/>
      <c r="AB27" s="864"/>
      <c r="AC27" s="864"/>
      <c r="AD27" s="864"/>
    </row>
    <row r="28" spans="1:30">
      <c r="A28" s="875" t="s">
        <v>2490</v>
      </c>
      <c r="B28" s="876" t="s">
        <v>861</v>
      </c>
      <c r="C28" s="532">
        <v>0.45611504726363378</v>
      </c>
      <c r="D28" s="532"/>
      <c r="E28" s="532">
        <v>3.2805064257945368E-2</v>
      </c>
      <c r="F28" s="532"/>
      <c r="G28" s="532"/>
      <c r="H28" s="532"/>
      <c r="I28" s="532"/>
      <c r="J28" s="532">
        <v>0.89896529330549124</v>
      </c>
      <c r="K28" s="864"/>
      <c r="L28" s="864"/>
      <c r="M28" s="864"/>
      <c r="N28" s="864"/>
      <c r="O28" s="864"/>
      <c r="P28" s="864"/>
      <c r="Q28" s="864"/>
      <c r="R28" s="864"/>
      <c r="S28" s="864"/>
      <c r="T28" s="864"/>
      <c r="U28" s="864"/>
      <c r="V28" s="864"/>
      <c r="W28" s="864"/>
      <c r="X28" s="864"/>
      <c r="Y28" s="864"/>
      <c r="Z28" s="864"/>
      <c r="AA28" s="864"/>
      <c r="AB28" s="864"/>
      <c r="AC28" s="864"/>
      <c r="AD28" s="864"/>
    </row>
    <row r="29" spans="1:30">
      <c r="A29" s="875" t="s">
        <v>2491</v>
      </c>
      <c r="B29" s="876" t="s">
        <v>1361</v>
      </c>
      <c r="E29" s="877">
        <v>2.58502126682668E-2</v>
      </c>
      <c r="K29" s="864"/>
      <c r="L29" s="864"/>
      <c r="M29" s="864"/>
      <c r="N29" s="864"/>
      <c r="O29" s="864"/>
      <c r="P29" s="864"/>
      <c r="Q29" s="864"/>
      <c r="R29" s="864"/>
      <c r="S29" s="864"/>
      <c r="T29" s="864"/>
      <c r="U29" s="864"/>
      <c r="V29" s="864"/>
      <c r="W29" s="864"/>
      <c r="X29" s="864"/>
      <c r="Y29" s="864"/>
      <c r="Z29" s="864"/>
      <c r="AA29" s="864"/>
      <c r="AB29" s="864"/>
      <c r="AC29" s="864"/>
      <c r="AD29" s="864"/>
    </row>
    <row r="30" spans="1:30">
      <c r="A30" s="875" t="s">
        <v>2492</v>
      </c>
      <c r="B30" s="876" t="s">
        <v>1362</v>
      </c>
      <c r="E30" s="878">
        <v>3.0518651526570909E-2</v>
      </c>
      <c r="K30" s="864"/>
      <c r="L30" s="864"/>
      <c r="M30" s="864"/>
      <c r="N30" s="864"/>
      <c r="O30" s="864"/>
      <c r="P30" s="864"/>
      <c r="Q30" s="864"/>
      <c r="R30" s="864"/>
      <c r="S30" s="864"/>
      <c r="T30" s="864"/>
      <c r="U30" s="864"/>
      <c r="V30" s="864"/>
      <c r="W30" s="864"/>
      <c r="X30" s="864"/>
      <c r="Y30" s="864"/>
      <c r="Z30" s="864"/>
      <c r="AA30" s="864"/>
      <c r="AB30" s="864"/>
      <c r="AC30" s="864"/>
      <c r="AD30" s="864"/>
    </row>
    <row r="31" spans="1:30">
      <c r="A31" s="875" t="s">
        <v>2493</v>
      </c>
      <c r="B31" s="876" t="s">
        <v>862</v>
      </c>
      <c r="C31" s="534"/>
      <c r="D31" s="532">
        <v>1</v>
      </c>
      <c r="E31" s="532">
        <v>0.11575857917559851</v>
      </c>
      <c r="F31" s="532">
        <v>1</v>
      </c>
      <c r="G31" s="532">
        <v>1</v>
      </c>
      <c r="H31" s="532">
        <v>1</v>
      </c>
      <c r="I31" s="532">
        <v>1</v>
      </c>
      <c r="J31" s="532">
        <v>0</v>
      </c>
      <c r="K31" s="864"/>
      <c r="L31" s="864"/>
      <c r="M31" s="864"/>
      <c r="N31" s="864"/>
      <c r="O31" s="864"/>
      <c r="P31" s="864"/>
      <c r="Q31" s="864"/>
      <c r="R31" s="864"/>
      <c r="S31" s="864"/>
      <c r="T31" s="864"/>
      <c r="U31" s="864"/>
      <c r="V31" s="864"/>
      <c r="W31" s="864"/>
      <c r="X31" s="864"/>
      <c r="Y31" s="864"/>
      <c r="Z31" s="864"/>
      <c r="AA31" s="864"/>
      <c r="AB31" s="864"/>
      <c r="AC31" s="864"/>
      <c r="AD31" s="864"/>
    </row>
    <row r="32" spans="1:30">
      <c r="A32" s="875" t="s">
        <v>102</v>
      </c>
      <c r="B32" s="876"/>
      <c r="C32" s="535">
        <f t="shared" ref="C32:J32" si="0">SUM(C23:C31)</f>
        <v>0.99928631072603613</v>
      </c>
      <c r="D32" s="535">
        <f t="shared" si="0"/>
        <v>1</v>
      </c>
      <c r="E32" s="535">
        <f t="shared" si="0"/>
        <v>1</v>
      </c>
      <c r="F32" s="535">
        <f t="shared" si="0"/>
        <v>1</v>
      </c>
      <c r="G32" s="535">
        <f t="shared" si="0"/>
        <v>1</v>
      </c>
      <c r="H32" s="535">
        <f t="shared" si="0"/>
        <v>1</v>
      </c>
      <c r="I32" s="535">
        <f t="shared" si="0"/>
        <v>1</v>
      </c>
      <c r="J32" s="535">
        <f t="shared" si="0"/>
        <v>1</v>
      </c>
      <c r="K32" s="864"/>
      <c r="L32" s="864"/>
      <c r="M32" s="864"/>
      <c r="N32" s="864"/>
      <c r="O32" s="864"/>
      <c r="P32" s="864"/>
      <c r="Q32" s="864"/>
      <c r="R32" s="864"/>
      <c r="S32" s="864"/>
      <c r="T32" s="864"/>
      <c r="U32" s="864"/>
      <c r="V32" s="864"/>
      <c r="W32" s="864"/>
      <c r="X32" s="864"/>
      <c r="Y32" s="864"/>
      <c r="Z32" s="864"/>
      <c r="AA32" s="864"/>
      <c r="AB32" s="864"/>
      <c r="AC32" s="864"/>
      <c r="AD32" s="864"/>
    </row>
    <row r="33" spans="1:98">
      <c r="A33" s="879"/>
      <c r="B33" s="879"/>
      <c r="C33" s="880"/>
      <c r="D33" s="880"/>
      <c r="E33" s="880"/>
      <c r="F33" s="880"/>
      <c r="G33" s="880"/>
      <c r="H33" s="880"/>
      <c r="I33" s="880"/>
      <c r="J33" s="880"/>
      <c r="K33" s="864"/>
      <c r="L33" s="864"/>
      <c r="M33" s="864"/>
      <c r="N33" s="864"/>
      <c r="O33" s="864"/>
      <c r="P33" s="864"/>
      <c r="Q33" s="864"/>
      <c r="R33" s="864"/>
      <c r="S33" s="864"/>
      <c r="T33" s="864"/>
      <c r="U33" s="864"/>
      <c r="V33" s="864"/>
      <c r="W33" s="864"/>
      <c r="X33" s="864"/>
      <c r="Y33" s="864"/>
      <c r="Z33" s="864"/>
      <c r="AA33" s="864"/>
      <c r="AB33" s="864"/>
      <c r="AC33" s="864"/>
      <c r="AD33" s="864"/>
    </row>
    <row r="34" spans="1:98">
      <c r="A34" s="867" t="s">
        <v>785</v>
      </c>
      <c r="B34" s="867" t="s">
        <v>784</v>
      </c>
      <c r="C34" s="864" t="s">
        <v>101</v>
      </c>
      <c r="D34" s="857" t="s">
        <v>175</v>
      </c>
      <c r="E34" s="857" t="s">
        <v>4</v>
      </c>
      <c r="F34" s="857" t="s">
        <v>13</v>
      </c>
      <c r="G34" s="857" t="s">
        <v>898</v>
      </c>
      <c r="H34" s="857" t="s">
        <v>880</v>
      </c>
      <c r="I34" s="857" t="s">
        <v>786</v>
      </c>
      <c r="J34" s="857" t="s">
        <v>787</v>
      </c>
      <c r="K34" s="874" t="s">
        <v>102</v>
      </c>
      <c r="L34" s="864"/>
      <c r="M34" s="864"/>
      <c r="N34" s="864"/>
      <c r="O34" s="864"/>
      <c r="P34" s="864"/>
      <c r="Q34" s="864"/>
      <c r="R34" s="864"/>
      <c r="S34" s="864"/>
      <c r="T34" s="864"/>
      <c r="U34" s="864"/>
      <c r="V34" s="864"/>
      <c r="W34" s="864"/>
      <c r="X34" s="864"/>
      <c r="Y34" s="864"/>
      <c r="Z34" s="864"/>
      <c r="AA34" s="864"/>
      <c r="AB34" s="864"/>
      <c r="AC34" s="864"/>
      <c r="AD34" s="864"/>
    </row>
    <row r="35" spans="1:98">
      <c r="A35" s="875" t="s">
        <v>2485</v>
      </c>
      <c r="B35" s="876" t="s">
        <v>857</v>
      </c>
      <c r="C35" s="510">
        <f t="shared" ref="C35:J41" si="1">C23*C$7</f>
        <v>0</v>
      </c>
      <c r="D35" s="510">
        <f t="shared" si="1"/>
        <v>0</v>
      </c>
      <c r="E35" s="510">
        <f>E23*E$7</f>
        <v>31.130593696404674</v>
      </c>
      <c r="F35" s="510">
        <f t="shared" si="1"/>
        <v>0</v>
      </c>
      <c r="G35" s="510">
        <f t="shared" si="1"/>
        <v>0</v>
      </c>
      <c r="H35" s="510">
        <f t="shared" si="1"/>
        <v>0</v>
      </c>
      <c r="I35" s="510">
        <f t="shared" si="1"/>
        <v>0</v>
      </c>
      <c r="J35" s="510">
        <f t="shared" si="1"/>
        <v>0</v>
      </c>
      <c r="K35" s="513">
        <f t="shared" ref="K35:K42" si="2">SUM(C35:J35)</f>
        <v>31.130593696404674</v>
      </c>
      <c r="L35" s="864"/>
      <c r="M35" s="864"/>
      <c r="N35" s="881"/>
      <c r="O35" s="864"/>
      <c r="P35" s="864"/>
      <c r="Q35" s="864"/>
      <c r="R35" s="864"/>
      <c r="S35" s="864"/>
      <c r="T35" s="864"/>
      <c r="U35" s="864"/>
      <c r="V35" s="864"/>
      <c r="W35" s="864"/>
      <c r="X35" s="864"/>
      <c r="Y35" s="864"/>
      <c r="Z35" s="864"/>
      <c r="AA35" s="864"/>
      <c r="AB35" s="864"/>
      <c r="AC35" s="864"/>
      <c r="AD35" s="864"/>
    </row>
    <row r="36" spans="1:98">
      <c r="A36" s="875" t="s">
        <v>2486</v>
      </c>
      <c r="B36" s="876" t="s">
        <v>856</v>
      </c>
      <c r="C36" s="510">
        <f t="shared" si="1"/>
        <v>41.445053744708233</v>
      </c>
      <c r="D36" s="510">
        <f>D24*D$7</f>
        <v>0</v>
      </c>
      <c r="E36" s="510">
        <f>E24*E$7</f>
        <v>5.030214337240829</v>
      </c>
      <c r="F36" s="510">
        <f t="shared" si="1"/>
        <v>0</v>
      </c>
      <c r="G36" s="510">
        <f t="shared" si="1"/>
        <v>0</v>
      </c>
      <c r="H36" s="510">
        <f t="shared" si="1"/>
        <v>0</v>
      </c>
      <c r="I36" s="510">
        <f t="shared" si="1"/>
        <v>0</v>
      </c>
      <c r="J36" s="510">
        <f t="shared" si="1"/>
        <v>0</v>
      </c>
      <c r="K36" s="513">
        <f t="shared" si="2"/>
        <v>46.475268081949061</v>
      </c>
      <c r="L36" s="864"/>
      <c r="M36" s="864"/>
      <c r="N36" s="864"/>
      <c r="O36" s="864"/>
      <c r="P36" s="864"/>
      <c r="Q36" s="864"/>
      <c r="R36" s="864"/>
      <c r="S36" s="864"/>
      <c r="T36" s="864"/>
      <c r="U36" s="864"/>
      <c r="V36" s="864"/>
      <c r="W36" s="864"/>
      <c r="X36" s="864"/>
      <c r="Y36" s="864"/>
      <c r="Z36" s="864"/>
      <c r="AA36" s="864"/>
      <c r="AB36" s="864"/>
      <c r="AC36" s="864"/>
      <c r="AD36" s="864"/>
    </row>
    <row r="37" spans="1:98">
      <c r="A37" s="875" t="s">
        <v>2487</v>
      </c>
      <c r="B37" s="876" t="s">
        <v>858</v>
      </c>
      <c r="C37" s="510">
        <f t="shared" si="1"/>
        <v>0</v>
      </c>
      <c r="D37" s="510">
        <f>D25*D$7</f>
        <v>0</v>
      </c>
      <c r="E37" s="510">
        <v>0.2</v>
      </c>
      <c r="F37" s="510">
        <f t="shared" si="1"/>
        <v>0</v>
      </c>
      <c r="G37" s="510">
        <f t="shared" si="1"/>
        <v>0</v>
      </c>
      <c r="H37" s="510">
        <f t="shared" si="1"/>
        <v>0</v>
      </c>
      <c r="I37" s="510">
        <f t="shared" si="1"/>
        <v>0</v>
      </c>
      <c r="J37" s="510">
        <f t="shared" si="1"/>
        <v>0.3324041850249338</v>
      </c>
      <c r="K37" s="513">
        <f t="shared" si="2"/>
        <v>0.53240418502493381</v>
      </c>
      <c r="L37" s="864"/>
      <c r="M37" s="864"/>
      <c r="N37" s="864"/>
      <c r="O37" s="864"/>
      <c r="P37" s="864"/>
      <c r="Q37" s="864"/>
      <c r="R37" s="864"/>
      <c r="S37" s="864"/>
      <c r="T37" s="864"/>
      <c r="U37" s="864"/>
      <c r="V37" s="864"/>
      <c r="W37" s="864"/>
      <c r="X37" s="864"/>
      <c r="Y37" s="864"/>
      <c r="Z37" s="864"/>
      <c r="AA37" s="864"/>
      <c r="AB37" s="864"/>
      <c r="AC37" s="864"/>
      <c r="AD37" s="864"/>
    </row>
    <row r="38" spans="1:98">
      <c r="A38" s="875" t="s">
        <v>2488</v>
      </c>
      <c r="B38" s="876" t="s">
        <v>859</v>
      </c>
      <c r="C38" s="510">
        <f t="shared" si="1"/>
        <v>0</v>
      </c>
      <c r="D38" s="510">
        <f>D26*D$7</f>
        <v>0</v>
      </c>
      <c r="E38" s="510">
        <f t="shared" ref="E38:E43" si="3">E26*E$7</f>
        <v>39.006788006164172</v>
      </c>
      <c r="F38" s="510">
        <f t="shared" si="1"/>
        <v>0</v>
      </c>
      <c r="G38" s="510">
        <f t="shared" si="1"/>
        <v>0</v>
      </c>
      <c r="H38" s="510">
        <f t="shared" si="1"/>
        <v>0</v>
      </c>
      <c r="I38" s="510">
        <f t="shared" si="1"/>
        <v>0</v>
      </c>
      <c r="J38" s="510">
        <f t="shared" si="1"/>
        <v>0</v>
      </c>
      <c r="K38" s="513">
        <f t="shared" si="2"/>
        <v>39.006788006164172</v>
      </c>
      <c r="L38" s="864"/>
      <c r="M38" s="864"/>
      <c r="N38" s="864"/>
      <c r="O38" s="864"/>
      <c r="P38" s="864"/>
      <c r="Q38" s="864"/>
      <c r="R38" s="864"/>
      <c r="S38" s="864"/>
      <c r="T38" s="864"/>
      <c r="U38" s="864"/>
      <c r="V38" s="864"/>
      <c r="W38" s="864"/>
      <c r="X38" s="864"/>
      <c r="Y38" s="864"/>
      <c r="Z38" s="864"/>
      <c r="AA38" s="864"/>
      <c r="AB38" s="864"/>
      <c r="AC38" s="864"/>
      <c r="AD38" s="864"/>
    </row>
    <row r="39" spans="1:98">
      <c r="A39" s="875" t="s">
        <v>2489</v>
      </c>
      <c r="B39" s="876" t="s">
        <v>860</v>
      </c>
      <c r="C39" s="510">
        <f t="shared" si="1"/>
        <v>0</v>
      </c>
      <c r="D39" s="510">
        <f>D27*D$7</f>
        <v>0</v>
      </c>
      <c r="E39" s="510">
        <f t="shared" si="3"/>
        <v>7.3604096683643041</v>
      </c>
      <c r="F39" s="510">
        <f t="shared" si="1"/>
        <v>0</v>
      </c>
      <c r="G39" s="510">
        <f t="shared" si="1"/>
        <v>0</v>
      </c>
      <c r="H39" s="510">
        <f t="shared" si="1"/>
        <v>0</v>
      </c>
      <c r="I39" s="510">
        <f t="shared" si="1"/>
        <v>0</v>
      </c>
      <c r="J39" s="510">
        <f t="shared" si="1"/>
        <v>0</v>
      </c>
      <c r="K39" s="513">
        <f t="shared" si="2"/>
        <v>7.3604096683643041</v>
      </c>
      <c r="L39" s="864"/>
      <c r="M39" s="864"/>
      <c r="N39" s="864"/>
      <c r="O39" s="864"/>
      <c r="P39" s="864"/>
      <c r="Q39" s="864"/>
      <c r="R39" s="864"/>
      <c r="S39" s="864"/>
      <c r="T39" s="864"/>
      <c r="U39" s="864"/>
      <c r="V39" s="864"/>
      <c r="W39" s="864"/>
      <c r="X39" s="864"/>
      <c r="Y39" s="864"/>
      <c r="Z39" s="864"/>
      <c r="AA39" s="864"/>
      <c r="AB39" s="864"/>
      <c r="AC39" s="864"/>
      <c r="AD39" s="864"/>
    </row>
    <row r="40" spans="1:98">
      <c r="A40" s="875" t="s">
        <v>2490</v>
      </c>
      <c r="B40" s="876" t="s">
        <v>861</v>
      </c>
      <c r="C40" s="510">
        <f t="shared" si="1"/>
        <v>34.802490336309788</v>
      </c>
      <c r="D40" s="510">
        <f>D28*D$7</f>
        <v>0</v>
      </c>
      <c r="E40" s="510">
        <f t="shared" si="3"/>
        <v>3.4051656699747292</v>
      </c>
      <c r="F40" s="510">
        <f t="shared" si="1"/>
        <v>0</v>
      </c>
      <c r="G40" s="510">
        <f t="shared" si="1"/>
        <v>0</v>
      </c>
      <c r="H40" s="510">
        <f t="shared" si="1"/>
        <v>0</v>
      </c>
      <c r="I40" s="510">
        <f t="shared" si="1"/>
        <v>0</v>
      </c>
      <c r="J40" s="510">
        <f t="shared" si="1"/>
        <v>2.9575958149750661</v>
      </c>
      <c r="K40" s="513">
        <f t="shared" si="2"/>
        <v>41.165251821259581</v>
      </c>
      <c r="L40" s="864"/>
      <c r="M40" s="864"/>
      <c r="N40" s="864"/>
      <c r="O40" s="864"/>
      <c r="P40" s="864"/>
      <c r="Q40" s="864"/>
      <c r="R40" s="864"/>
      <c r="S40" s="864"/>
      <c r="T40" s="864"/>
      <c r="U40" s="864"/>
      <c r="V40" s="864"/>
      <c r="W40" s="864"/>
      <c r="X40" s="864"/>
      <c r="Y40" s="864"/>
      <c r="Z40" s="864"/>
      <c r="AA40" s="864"/>
      <c r="AB40" s="864"/>
      <c r="AC40" s="864"/>
      <c r="AD40" s="864"/>
    </row>
    <row r="41" spans="1:98">
      <c r="A41" s="875" t="s">
        <v>2491</v>
      </c>
      <c r="B41" s="876" t="s">
        <v>1361</v>
      </c>
      <c r="C41" s="510">
        <f t="shared" si="1"/>
        <v>0</v>
      </c>
      <c r="D41" s="510">
        <f t="shared" si="1"/>
        <v>0</v>
      </c>
      <c r="E41" s="510">
        <f>E29*E$7</f>
        <v>2.6832520749660937</v>
      </c>
      <c r="F41" s="510">
        <f t="shared" si="1"/>
        <v>0</v>
      </c>
      <c r="G41" s="510">
        <f t="shared" si="1"/>
        <v>0</v>
      </c>
      <c r="H41" s="510">
        <f t="shared" si="1"/>
        <v>0</v>
      </c>
      <c r="I41" s="510">
        <f t="shared" si="1"/>
        <v>0</v>
      </c>
      <c r="J41" s="510">
        <f t="shared" si="1"/>
        <v>0</v>
      </c>
      <c r="K41" s="513">
        <f t="shared" si="2"/>
        <v>2.6832520749660937</v>
      </c>
      <c r="L41" s="864"/>
      <c r="M41" s="864"/>
      <c r="N41" s="864"/>
      <c r="O41" s="864"/>
      <c r="P41" s="864"/>
      <c r="Q41" s="864"/>
      <c r="R41" s="864"/>
      <c r="S41" s="864"/>
      <c r="T41" s="864"/>
      <c r="U41" s="864"/>
      <c r="V41" s="864"/>
      <c r="W41" s="864"/>
      <c r="X41" s="864"/>
      <c r="Y41" s="864"/>
      <c r="Z41" s="864"/>
      <c r="AA41" s="864"/>
      <c r="AB41" s="864"/>
      <c r="AC41" s="864"/>
      <c r="AD41" s="864"/>
    </row>
    <row r="42" spans="1:98">
      <c r="A42" s="875" t="s">
        <v>2492</v>
      </c>
      <c r="B42" s="876" t="s">
        <v>1362</v>
      </c>
      <c r="C42" s="510"/>
      <c r="D42" s="510"/>
      <c r="E42" s="510">
        <f t="shared" si="3"/>
        <v>3.1678360284580602</v>
      </c>
      <c r="F42" s="510"/>
      <c r="G42" s="510"/>
      <c r="H42" s="510"/>
      <c r="I42" s="510"/>
      <c r="J42" s="510"/>
      <c r="K42" s="513">
        <f t="shared" si="2"/>
        <v>3.1678360284580602</v>
      </c>
      <c r="L42" s="864"/>
      <c r="M42" s="864"/>
      <c r="N42" s="864"/>
      <c r="O42" s="864"/>
      <c r="P42" s="864"/>
      <c r="Q42" s="864"/>
      <c r="R42" s="864"/>
      <c r="S42" s="864"/>
      <c r="T42" s="864"/>
      <c r="U42" s="864"/>
      <c r="V42" s="864"/>
      <c r="W42" s="864"/>
      <c r="X42" s="864"/>
      <c r="Y42" s="864"/>
      <c r="Z42" s="864"/>
      <c r="AA42" s="864"/>
      <c r="AB42" s="864"/>
      <c r="AC42" s="864"/>
      <c r="AD42" s="864"/>
    </row>
    <row r="43" spans="1:98">
      <c r="A43" s="875" t="s">
        <v>2493</v>
      </c>
      <c r="B43" s="876" t="s">
        <v>862</v>
      </c>
      <c r="C43" s="510">
        <f>C31*C$7</f>
        <v>0</v>
      </c>
      <c r="D43" s="510">
        <f>D31*D$7</f>
        <v>1.742</v>
      </c>
      <c r="E43" s="510">
        <f t="shared" si="3"/>
        <v>12.015740518427124</v>
      </c>
      <c r="F43" s="510">
        <f>F31*F$7</f>
        <v>0.86399999999999999</v>
      </c>
      <c r="G43" s="510">
        <f>G31*G$7</f>
        <v>0.23699999999999999</v>
      </c>
      <c r="H43" s="510">
        <f>H31*H$7</f>
        <v>17.766999999999999</v>
      </c>
      <c r="I43" s="510">
        <f>I31*I$7</f>
        <v>1.329</v>
      </c>
      <c r="J43" s="510">
        <f>J31*J$7</f>
        <v>0</v>
      </c>
      <c r="K43" s="513">
        <f>SUM(C43:J43)</f>
        <v>33.954740518427123</v>
      </c>
      <c r="L43" s="864"/>
      <c r="M43" s="864"/>
      <c r="N43" s="864"/>
      <c r="O43" s="864"/>
      <c r="P43" s="864"/>
      <c r="Q43" s="864"/>
      <c r="R43" s="864"/>
      <c r="S43" s="864"/>
      <c r="T43" s="864"/>
      <c r="U43" s="864"/>
      <c r="V43" s="864"/>
      <c r="W43" s="864"/>
      <c r="X43" s="864"/>
      <c r="Y43" s="864"/>
      <c r="Z43" s="864"/>
      <c r="AA43" s="864"/>
      <c r="AB43" s="864"/>
      <c r="AC43" s="864"/>
      <c r="AD43" s="864"/>
    </row>
    <row r="44" spans="1:98">
      <c r="A44" s="882" t="s">
        <v>102</v>
      </c>
      <c r="B44" s="875"/>
      <c r="C44" s="513">
        <f t="shared" ref="C44:K44" si="4">SUM(C35:C43)</f>
        <v>76.24754408101802</v>
      </c>
      <c r="D44" s="513">
        <f t="shared" si="4"/>
        <v>1.742</v>
      </c>
      <c r="E44" s="513">
        <f t="shared" si="4"/>
        <v>103.99999999999999</v>
      </c>
      <c r="F44" s="513">
        <f t="shared" si="4"/>
        <v>0.86399999999999999</v>
      </c>
      <c r="G44" s="513">
        <f t="shared" si="4"/>
        <v>0.23699999999999999</v>
      </c>
      <c r="H44" s="513">
        <f t="shared" si="4"/>
        <v>17.766999999999999</v>
      </c>
      <c r="I44" s="513">
        <f t="shared" si="4"/>
        <v>1.329</v>
      </c>
      <c r="J44" s="513">
        <f t="shared" si="4"/>
        <v>3.29</v>
      </c>
      <c r="K44" s="513">
        <f t="shared" si="4"/>
        <v>205.47654408101798</v>
      </c>
      <c r="L44" s="864"/>
      <c r="M44" s="864"/>
      <c r="N44" s="864"/>
      <c r="O44" s="864"/>
      <c r="P44" s="864"/>
      <c r="Q44" s="864"/>
      <c r="R44" s="864"/>
      <c r="S44" s="864"/>
      <c r="T44" s="864"/>
      <c r="U44" s="864"/>
      <c r="V44" s="864"/>
      <c r="W44" s="864"/>
      <c r="X44" s="864"/>
      <c r="Y44" s="864"/>
      <c r="Z44" s="864"/>
      <c r="AA44" s="864"/>
      <c r="AB44" s="864"/>
      <c r="AC44" s="864"/>
      <c r="AD44" s="864"/>
    </row>
    <row r="45" spans="1:98">
      <c r="A45" s="883"/>
      <c r="B45" s="884"/>
      <c r="C45" s="885"/>
      <c r="D45" s="885"/>
      <c r="E45" s="885"/>
      <c r="F45" s="885"/>
      <c r="G45" s="885"/>
      <c r="H45" s="885"/>
      <c r="I45" s="885"/>
      <c r="J45" s="885"/>
      <c r="K45" s="885"/>
      <c r="L45" s="864"/>
      <c r="M45" s="864"/>
      <c r="N45" s="864"/>
      <c r="O45" s="864"/>
      <c r="P45" s="864"/>
      <c r="Q45" s="864"/>
      <c r="R45" s="864"/>
      <c r="S45" s="864"/>
      <c r="T45" s="864"/>
      <c r="U45" s="864"/>
      <c r="V45" s="864"/>
      <c r="W45" s="864"/>
      <c r="X45" s="864"/>
      <c r="Y45" s="864"/>
      <c r="Z45" s="864"/>
      <c r="AA45" s="864"/>
      <c r="AB45" s="864"/>
      <c r="AC45" s="864"/>
      <c r="AD45" s="864"/>
    </row>
    <row r="46" spans="1:98">
      <c r="A46" s="879"/>
      <c r="B46" s="879"/>
      <c r="C46" s="869"/>
      <c r="D46" s="869"/>
      <c r="E46" s="869"/>
      <c r="F46" s="869"/>
      <c r="G46" s="869"/>
      <c r="H46" s="869"/>
      <c r="I46" s="864"/>
      <c r="J46" s="864"/>
      <c r="K46" s="864"/>
      <c r="L46" s="864"/>
      <c r="M46" s="864"/>
      <c r="N46" s="864"/>
      <c r="O46" s="864"/>
      <c r="P46" s="864"/>
      <c r="Q46" s="864"/>
      <c r="R46" s="864"/>
      <c r="S46" s="864"/>
      <c r="T46" s="864"/>
      <c r="U46" s="864"/>
      <c r="V46" s="864"/>
      <c r="W46" s="864"/>
      <c r="X46" s="864"/>
      <c r="Y46" s="864"/>
      <c r="Z46" s="864"/>
      <c r="AA46" s="864"/>
      <c r="AB46" s="864"/>
      <c r="AC46" s="864"/>
      <c r="AD46" s="864"/>
      <c r="BG46" s="1657"/>
      <c r="BH46" s="1657"/>
      <c r="BI46" s="1657"/>
      <c r="BJ46" s="1657"/>
      <c r="BK46" s="1657"/>
      <c r="BL46" s="1657"/>
      <c r="BM46" s="1657"/>
      <c r="BN46" s="1657"/>
      <c r="BO46" s="1657"/>
      <c r="BP46" s="1657"/>
      <c r="BQ46" s="1657"/>
      <c r="BR46" s="1657"/>
      <c r="BS46" s="1657"/>
      <c r="BT46" s="1657"/>
      <c r="BU46" s="1657"/>
      <c r="BV46" s="1657"/>
      <c r="BW46" s="1657"/>
      <c r="BX46" s="1657"/>
      <c r="BY46" s="1657"/>
      <c r="BZ46" s="1657"/>
      <c r="CA46" s="1657"/>
      <c r="CB46" s="1657"/>
      <c r="CC46" s="1657"/>
      <c r="CD46" s="1657"/>
      <c r="CE46" s="1657"/>
      <c r="CF46" s="1657"/>
      <c r="CG46" s="1657"/>
      <c r="CH46" s="1657"/>
      <c r="CI46" s="1657"/>
      <c r="CJ46" s="1657"/>
      <c r="CK46" s="1657"/>
      <c r="CL46" s="1657"/>
      <c r="CM46" s="1657"/>
      <c r="CN46" s="1657"/>
      <c r="CO46" s="1657"/>
      <c r="CP46" s="1657"/>
      <c r="CQ46" s="1657"/>
      <c r="CR46" s="1657"/>
      <c r="CS46" s="1657"/>
      <c r="CT46" s="1657"/>
    </row>
    <row r="47" spans="1:98">
      <c r="F47" s="855"/>
      <c r="G47" s="886"/>
      <c r="H47" s="536"/>
      <c r="I47" s="855"/>
      <c r="J47" s="869"/>
      <c r="K47" s="864"/>
      <c r="L47" s="864"/>
      <c r="M47" s="864"/>
      <c r="N47" s="864"/>
      <c r="O47" s="864"/>
      <c r="P47" s="864"/>
      <c r="Q47" s="864"/>
      <c r="R47" s="864"/>
      <c r="S47" s="864"/>
      <c r="T47" s="864"/>
      <c r="U47" s="864"/>
      <c r="V47" s="864"/>
      <c r="W47" s="864"/>
      <c r="X47" s="864"/>
      <c r="Y47" s="864"/>
      <c r="Z47" s="864"/>
      <c r="AA47" s="864"/>
      <c r="AB47" s="864"/>
      <c r="AC47" s="864"/>
      <c r="AD47" s="864"/>
      <c r="BG47" s="1657"/>
      <c r="BH47" s="1657"/>
      <c r="BI47" s="1657"/>
      <c r="BJ47" s="1657"/>
      <c r="BK47" s="1657"/>
      <c r="BL47" s="1657"/>
      <c r="BM47" s="1657"/>
      <c r="BN47" s="1657"/>
      <c r="BO47" s="1657"/>
      <c r="BP47" s="1657"/>
      <c r="BQ47" s="1657"/>
      <c r="BR47" s="1657"/>
      <c r="BS47" s="1657"/>
      <c r="BT47" s="1657"/>
      <c r="BU47" s="1657"/>
      <c r="BV47" s="1657"/>
      <c r="BW47" s="1657"/>
      <c r="BX47" s="1657"/>
      <c r="BY47" s="1657"/>
      <c r="BZ47" s="1657"/>
      <c r="CA47" s="1657"/>
      <c r="CB47" s="1657"/>
      <c r="CC47" s="1657"/>
      <c r="CD47" s="1657"/>
      <c r="CE47" s="1657"/>
      <c r="CF47" s="1657"/>
      <c r="CG47" s="1657"/>
      <c r="CH47" s="1657"/>
      <c r="CI47" s="1657"/>
      <c r="CJ47" s="1657"/>
      <c r="CK47" s="1657"/>
      <c r="CL47" s="1657"/>
      <c r="CM47" s="1657"/>
      <c r="CN47" s="1657"/>
      <c r="CO47" s="1657"/>
      <c r="CP47" s="1657"/>
      <c r="CQ47" s="1657"/>
      <c r="CR47" s="1657"/>
      <c r="CS47" s="1657"/>
      <c r="CT47" s="1657"/>
    </row>
    <row r="48" spans="1:98" ht="13" thickBot="1">
      <c r="A48" s="864"/>
      <c r="B48" s="864"/>
      <c r="C48" s="864"/>
      <c r="D48" s="864"/>
      <c r="E48" s="864"/>
      <c r="F48" s="864"/>
      <c r="G48" s="864"/>
      <c r="H48" s="864"/>
      <c r="I48" s="864"/>
      <c r="J48" s="864"/>
      <c r="K48" s="887">
        <v>0</v>
      </c>
      <c r="L48" s="514"/>
      <c r="M48" s="1723">
        <v>1</v>
      </c>
      <c r="N48" s="1724">
        <v>1</v>
      </c>
      <c r="O48" s="1724">
        <v>1</v>
      </c>
      <c r="P48" s="1724">
        <v>1</v>
      </c>
      <c r="Q48" s="1724">
        <v>1</v>
      </c>
      <c r="R48" s="1724">
        <v>1</v>
      </c>
      <c r="S48" s="1724">
        <v>1</v>
      </c>
      <c r="T48" s="1724">
        <v>1</v>
      </c>
      <c r="U48" s="1724">
        <v>1</v>
      </c>
      <c r="V48" s="1724">
        <v>1</v>
      </c>
      <c r="W48" s="1724">
        <v>2</v>
      </c>
      <c r="X48" s="1724">
        <v>2</v>
      </c>
      <c r="Y48" s="1724">
        <v>2</v>
      </c>
      <c r="Z48" s="1724">
        <v>2</v>
      </c>
      <c r="AA48" s="1724">
        <v>2</v>
      </c>
      <c r="AB48" s="1724">
        <v>2</v>
      </c>
      <c r="AC48" s="1724">
        <v>2</v>
      </c>
      <c r="AD48" s="1724">
        <v>2</v>
      </c>
      <c r="AE48" s="1724">
        <v>2</v>
      </c>
      <c r="AF48" s="1724">
        <v>2</v>
      </c>
      <c r="AG48" s="1724">
        <v>3</v>
      </c>
      <c r="AH48" s="1724">
        <v>3</v>
      </c>
      <c r="AI48" s="1724">
        <v>3</v>
      </c>
      <c r="AJ48" s="1724">
        <v>3</v>
      </c>
      <c r="AK48" s="1724">
        <v>3</v>
      </c>
      <c r="AL48" s="1724">
        <v>3</v>
      </c>
      <c r="AM48" s="1724">
        <v>3</v>
      </c>
      <c r="AN48" s="1724">
        <v>3</v>
      </c>
      <c r="AO48" s="1724">
        <v>3</v>
      </c>
      <c r="AP48" s="1724">
        <v>3</v>
      </c>
      <c r="AQ48" s="1724">
        <v>4</v>
      </c>
      <c r="AR48" s="1724">
        <v>4</v>
      </c>
      <c r="AS48" s="1724">
        <v>4</v>
      </c>
      <c r="AT48" s="1724">
        <v>4</v>
      </c>
      <c r="AU48" s="1724">
        <v>4</v>
      </c>
      <c r="AV48" s="1724">
        <v>4</v>
      </c>
      <c r="AW48" s="1724">
        <v>4</v>
      </c>
      <c r="AX48" s="1724">
        <v>4</v>
      </c>
      <c r="AY48" s="1724">
        <v>4</v>
      </c>
      <c r="AZ48" s="1725">
        <v>4</v>
      </c>
      <c r="BF48" s="526"/>
      <c r="BG48" s="1658"/>
      <c r="BH48" s="1658"/>
      <c r="BI48" s="1658"/>
      <c r="BJ48" s="1658"/>
      <c r="BK48" s="1658"/>
      <c r="BL48" s="1658"/>
      <c r="BM48" s="1658"/>
      <c r="BN48" s="1658"/>
      <c r="BO48" s="1658"/>
      <c r="BP48" s="1658"/>
      <c r="BQ48" s="1658"/>
      <c r="BR48" s="1658"/>
      <c r="BS48" s="1658"/>
      <c r="BT48" s="1658"/>
      <c r="BU48" s="1658"/>
      <c r="BV48" s="1658"/>
      <c r="BW48" s="1658"/>
      <c r="BX48" s="1658"/>
      <c r="BY48" s="1658"/>
      <c r="BZ48" s="1658"/>
      <c r="CA48" s="1658"/>
      <c r="CB48" s="1658"/>
      <c r="CC48" s="1658"/>
      <c r="CD48" s="1658"/>
      <c r="CE48" s="1658"/>
      <c r="CF48" s="1658"/>
      <c r="CG48" s="1658"/>
      <c r="CH48" s="1658"/>
      <c r="CI48" s="1658"/>
      <c r="CJ48" s="1658"/>
      <c r="CK48" s="1658"/>
      <c r="CL48" s="1658"/>
      <c r="CM48" s="1658"/>
      <c r="CN48" s="1658"/>
      <c r="CO48" s="1658"/>
      <c r="CP48" s="1658"/>
      <c r="CQ48" s="1658"/>
      <c r="CR48" s="1658"/>
      <c r="CS48" s="1658"/>
      <c r="CT48" s="1657"/>
    </row>
    <row r="49" spans="1:98" ht="25" thickBot="1">
      <c r="A49" s="1726" t="s">
        <v>2611</v>
      </c>
      <c r="B49" s="1726" t="s">
        <v>2612</v>
      </c>
      <c r="C49" s="1727" t="s">
        <v>2613</v>
      </c>
      <c r="D49" s="1728" t="s">
        <v>2614</v>
      </c>
      <c r="E49" s="1728" t="s">
        <v>385</v>
      </c>
      <c r="F49" s="1729"/>
      <c r="G49" s="1730" t="s">
        <v>2617</v>
      </c>
      <c r="H49" s="1730" t="s">
        <v>804</v>
      </c>
      <c r="I49" s="1730" t="s">
        <v>805</v>
      </c>
      <c r="J49" s="1730"/>
      <c r="K49" s="1730" t="s">
        <v>2619</v>
      </c>
      <c r="L49" s="1719"/>
      <c r="M49" s="1763" t="s">
        <v>2618</v>
      </c>
      <c r="N49" s="1764"/>
      <c r="O49" s="1764"/>
      <c r="P49" s="1764"/>
      <c r="Q49" s="1764"/>
      <c r="R49" s="1764"/>
      <c r="S49" s="1764"/>
      <c r="T49" s="1764"/>
      <c r="U49" s="1764"/>
      <c r="V49" s="1765"/>
      <c r="W49" s="1721"/>
      <c r="X49" s="1721"/>
      <c r="Y49" s="1721"/>
      <c r="Z49" s="1721"/>
      <c r="AA49" s="1720"/>
      <c r="AB49" s="1721"/>
      <c r="AC49" s="1721"/>
      <c r="AD49" s="1721"/>
      <c r="AE49" s="1721"/>
      <c r="AF49" s="1722"/>
      <c r="AG49" s="1721"/>
      <c r="AH49" s="1721"/>
      <c r="AI49" s="1721"/>
      <c r="AJ49" s="1721"/>
      <c r="AK49" s="1720"/>
      <c r="AL49" s="1721"/>
      <c r="AM49" s="1721"/>
      <c r="AN49" s="1721"/>
      <c r="AO49" s="1721"/>
      <c r="AP49" s="1722"/>
      <c r="AQ49" s="1721"/>
      <c r="AR49" s="1721"/>
      <c r="AS49" s="1721"/>
      <c r="AT49" s="1721"/>
      <c r="AU49" s="1721"/>
      <c r="AV49" s="1721"/>
      <c r="AW49" s="1721"/>
      <c r="AX49" s="1721"/>
      <c r="AY49" s="1721"/>
      <c r="AZ49" s="1721"/>
      <c r="BG49" s="1761"/>
      <c r="BH49" s="1762"/>
      <c r="BI49" s="968"/>
      <c r="BJ49" s="1659"/>
      <c r="BK49" s="968"/>
      <c r="BL49" s="968"/>
      <c r="BM49" s="968"/>
      <c r="BN49" s="968"/>
      <c r="BO49" s="968"/>
      <c r="BP49" s="968"/>
      <c r="BQ49" s="968"/>
      <c r="BR49" s="968"/>
      <c r="BS49" s="968"/>
      <c r="BT49" s="1659"/>
      <c r="BU49" s="968"/>
      <c r="BV49" s="968"/>
      <c r="BW49" s="968"/>
      <c r="BX49" s="968"/>
      <c r="BY49" s="968"/>
      <c r="BZ49" s="968"/>
      <c r="CA49" s="968"/>
      <c r="CB49" s="968"/>
      <c r="CC49" s="968"/>
      <c r="CD49" s="1659"/>
      <c r="CE49" s="968"/>
      <c r="CF49" s="968"/>
      <c r="CG49" s="968"/>
      <c r="CH49" s="968"/>
      <c r="CI49" s="968"/>
      <c r="CJ49" s="968"/>
      <c r="CK49" s="968"/>
      <c r="CL49" s="968"/>
      <c r="CM49" s="968"/>
      <c r="CN49" s="968"/>
      <c r="CO49" s="968"/>
      <c r="CP49" s="968"/>
      <c r="CQ49" s="968"/>
      <c r="CR49" s="968"/>
      <c r="CS49" s="968"/>
      <c r="CT49" s="1657"/>
    </row>
    <row r="50" spans="1:98">
      <c r="A50" s="871"/>
      <c r="B50" s="888"/>
      <c r="C50" s="888"/>
      <c r="D50" s="888"/>
      <c r="E50" s="889"/>
      <c r="G50" s="859" t="s">
        <v>812</v>
      </c>
      <c r="H50" s="859" t="s">
        <v>813</v>
      </c>
      <c r="I50" s="859" t="s">
        <v>813</v>
      </c>
      <c r="J50" s="864"/>
      <c r="K50" s="864"/>
      <c r="L50" s="514"/>
      <c r="M50" s="512">
        <v>2006</v>
      </c>
      <c r="N50" s="512">
        <v>2010</v>
      </c>
      <c r="O50" s="512">
        <v>2015</v>
      </c>
      <c r="P50" s="512">
        <v>2020</v>
      </c>
      <c r="Q50" s="512">
        <v>2025</v>
      </c>
      <c r="R50" s="512">
        <v>2030</v>
      </c>
      <c r="S50" s="512">
        <v>2035</v>
      </c>
      <c r="T50" s="512">
        <v>2040</v>
      </c>
      <c r="U50" s="512">
        <v>2045</v>
      </c>
      <c r="V50" s="514">
        <v>2050</v>
      </c>
      <c r="W50" s="512">
        <v>2006</v>
      </c>
      <c r="X50" s="512">
        <v>2010</v>
      </c>
      <c r="Y50" s="512">
        <v>2015</v>
      </c>
      <c r="Z50" s="512">
        <v>2020</v>
      </c>
      <c r="AA50" s="512">
        <v>2025</v>
      </c>
      <c r="AB50" s="512">
        <v>2030</v>
      </c>
      <c r="AC50" s="512">
        <v>2035</v>
      </c>
      <c r="AD50" s="512">
        <v>2040</v>
      </c>
      <c r="AE50" s="512">
        <v>2045</v>
      </c>
      <c r="AF50" s="514">
        <v>2050</v>
      </c>
      <c r="AG50" s="512">
        <v>2006</v>
      </c>
      <c r="AH50" s="512">
        <v>2010</v>
      </c>
      <c r="AI50" s="512">
        <v>2015</v>
      </c>
      <c r="AJ50" s="512">
        <v>2020</v>
      </c>
      <c r="AK50" s="512">
        <v>2025</v>
      </c>
      <c r="AL50" s="512">
        <v>2030</v>
      </c>
      <c r="AM50" s="512">
        <v>2035</v>
      </c>
      <c r="AN50" s="512">
        <v>2040</v>
      </c>
      <c r="AO50" s="512">
        <v>2045</v>
      </c>
      <c r="AP50" s="514">
        <v>2050</v>
      </c>
      <c r="AQ50" s="512">
        <v>2006</v>
      </c>
      <c r="AR50" s="512">
        <v>2010</v>
      </c>
      <c r="AS50" s="512">
        <v>2015</v>
      </c>
      <c r="AT50" s="512">
        <v>2020</v>
      </c>
      <c r="AU50" s="512">
        <v>2025</v>
      </c>
      <c r="AV50" s="512">
        <v>2030</v>
      </c>
      <c r="AW50" s="512">
        <v>2035</v>
      </c>
      <c r="AX50" s="512">
        <v>2040</v>
      </c>
      <c r="AY50" s="512">
        <v>2045</v>
      </c>
      <c r="AZ50" s="512">
        <v>2050</v>
      </c>
      <c r="BG50" s="511"/>
      <c r="BH50" s="511"/>
      <c r="BI50" s="511"/>
      <c r="BJ50" s="511"/>
      <c r="BK50" s="511"/>
      <c r="BL50" s="511"/>
      <c r="BM50" s="511"/>
      <c r="BN50" s="511"/>
      <c r="BO50" s="511"/>
      <c r="BP50" s="511"/>
      <c r="BQ50" s="511"/>
      <c r="BR50" s="511"/>
      <c r="BS50" s="511"/>
      <c r="BT50" s="511"/>
      <c r="BU50" s="511"/>
      <c r="BV50" s="511"/>
      <c r="BW50" s="511"/>
      <c r="BX50" s="511"/>
      <c r="BY50" s="511"/>
      <c r="BZ50" s="511"/>
      <c r="CA50" s="511"/>
      <c r="CB50" s="511"/>
      <c r="CC50" s="511"/>
      <c r="CD50" s="511"/>
      <c r="CE50" s="511"/>
      <c r="CF50" s="511"/>
      <c r="CG50" s="511"/>
      <c r="CH50" s="511"/>
      <c r="CI50" s="511"/>
      <c r="CJ50" s="511"/>
      <c r="CK50" s="511"/>
      <c r="CL50" s="511"/>
      <c r="CM50" s="511"/>
      <c r="CN50" s="511"/>
      <c r="CO50" s="511"/>
      <c r="CP50" s="511"/>
      <c r="CQ50" s="511"/>
      <c r="CR50" s="511"/>
      <c r="CS50" s="511"/>
      <c r="CT50" s="1657"/>
    </row>
    <row r="51" spans="1:98">
      <c r="A51" s="1731"/>
      <c r="B51" s="890"/>
      <c r="C51" s="890"/>
      <c r="D51" s="890"/>
      <c r="E51" s="890"/>
      <c r="G51" s="537"/>
      <c r="H51" s="891"/>
      <c r="I51" s="891"/>
      <c r="J51" s="864"/>
      <c r="K51" s="864"/>
      <c r="L51" s="514"/>
      <c r="M51" s="153"/>
      <c r="N51" s="153"/>
      <c r="O51" s="152"/>
      <c r="P51" s="153"/>
      <c r="Q51" s="153"/>
      <c r="R51" s="153"/>
      <c r="S51" s="153"/>
      <c r="T51" s="153"/>
      <c r="U51" s="153"/>
      <c r="V51" s="514"/>
      <c r="W51" s="152"/>
      <c r="X51" s="152"/>
      <c r="Y51" s="152"/>
      <c r="Z51" s="152"/>
      <c r="AA51" s="152"/>
      <c r="AB51" s="152"/>
      <c r="AC51" s="152"/>
      <c r="AD51" s="152"/>
      <c r="AE51" s="152"/>
      <c r="AF51" s="547"/>
      <c r="AG51" s="152"/>
      <c r="AH51" s="152"/>
      <c r="AI51" s="152"/>
      <c r="AJ51" s="152"/>
      <c r="AK51" s="152"/>
      <c r="AL51" s="152"/>
      <c r="AM51" s="152"/>
      <c r="AN51" s="152"/>
      <c r="AO51" s="152"/>
      <c r="AP51" s="547"/>
      <c r="AQ51" s="152"/>
      <c r="AR51" s="152"/>
      <c r="AS51" s="152"/>
      <c r="AT51" s="152"/>
      <c r="AU51" s="152"/>
      <c r="AV51" s="152"/>
      <c r="AW51" s="152"/>
      <c r="AX51" s="152"/>
      <c r="AY51" s="152"/>
      <c r="AZ51" s="515"/>
    </row>
    <row r="52" spans="1:98">
      <c r="A52" s="1718" t="s">
        <v>438</v>
      </c>
      <c r="B52" s="892"/>
      <c r="G52" s="864"/>
      <c r="H52" s="864"/>
      <c r="I52" s="864"/>
      <c r="J52" s="864"/>
      <c r="K52" s="864"/>
      <c r="L52" s="514"/>
      <c r="M52" s="153"/>
      <c r="N52" s="153"/>
      <c r="O52" s="152"/>
      <c r="P52" s="153"/>
      <c r="Q52" s="153"/>
      <c r="R52" s="153"/>
      <c r="S52" s="153"/>
      <c r="T52" s="153"/>
      <c r="U52" s="153"/>
      <c r="V52" s="514"/>
      <c r="W52" s="152"/>
      <c r="X52" s="152"/>
      <c r="Y52" s="152"/>
      <c r="Z52" s="152"/>
      <c r="AA52" s="152"/>
      <c r="AB52" s="152"/>
      <c r="AC52" s="152"/>
      <c r="AD52" s="152"/>
      <c r="AE52" s="152"/>
      <c r="AF52" s="547"/>
      <c r="AG52" s="152"/>
      <c r="AH52" s="152"/>
      <c r="AI52" s="152"/>
      <c r="AJ52" s="152"/>
      <c r="AK52" s="152"/>
      <c r="AL52" s="152"/>
      <c r="AM52" s="152"/>
      <c r="AN52" s="152"/>
      <c r="AO52" s="152"/>
      <c r="AP52" s="547"/>
      <c r="AQ52" s="152"/>
      <c r="AR52" s="152"/>
      <c r="AS52" s="152"/>
      <c r="AT52" s="152"/>
      <c r="AU52" s="152"/>
      <c r="AV52" s="152"/>
      <c r="AW52" s="152"/>
      <c r="AX52" s="152"/>
      <c r="AY52" s="152"/>
      <c r="AZ52" s="515"/>
    </row>
    <row r="53" spans="1:98">
      <c r="A53" s="875" t="s">
        <v>1917</v>
      </c>
      <c r="B53" s="875" t="str">
        <f>D53&amp;RIGHT(C53,3)&amp;"CHIL-E"</f>
        <v>CCELCCHIL-E</v>
      </c>
      <c r="C53" s="876" t="s">
        <v>1990</v>
      </c>
      <c r="D53" s="876" t="str">
        <f t="shared" ref="D53:D58" si="5">$B$35</f>
        <v>CC</v>
      </c>
      <c r="E53" s="538">
        <v>2</v>
      </c>
      <c r="F53" s="152" t="s">
        <v>33</v>
      </c>
      <c r="G53" s="541">
        <v>0.05</v>
      </c>
      <c r="H53" s="540">
        <f>G53*SUMIF($C$6:$J$6,C53,$C$35:$J$35)</f>
        <v>1.5565296848202337</v>
      </c>
      <c r="I53" s="540">
        <f>H53*E53</f>
        <v>3.1130593696404674</v>
      </c>
      <c r="J53" s="864"/>
      <c r="K53" s="542">
        <f t="shared" ref="K53:K58" si="6">I53/SUMIF($D$53:$D$107,$D53,$I$53:$I$107)*(1+$K$48)</f>
        <v>3.7878787878787873E-2</v>
      </c>
      <c r="L53" s="546"/>
      <c r="M53" s="548">
        <f t="shared" ref="M53:M58" si="7">K53</f>
        <v>3.7878787878787873E-2</v>
      </c>
      <c r="N53" s="548">
        <f t="shared" ref="N53:V58" si="8">M53</f>
        <v>3.7878787878787873E-2</v>
      </c>
      <c r="O53" s="548">
        <f t="shared" si="8"/>
        <v>3.7878787878787873E-2</v>
      </c>
      <c r="P53" s="548">
        <f>O53</f>
        <v>3.7878787878787873E-2</v>
      </c>
      <c r="Q53" s="548">
        <f t="shared" si="8"/>
        <v>3.7878787878787873E-2</v>
      </c>
      <c r="R53" s="548">
        <f t="shared" si="8"/>
        <v>3.7878787878787873E-2</v>
      </c>
      <c r="S53" s="548">
        <f t="shared" si="8"/>
        <v>3.7878787878787873E-2</v>
      </c>
      <c r="T53" s="548">
        <f t="shared" si="8"/>
        <v>3.7878787878787873E-2</v>
      </c>
      <c r="U53" s="548">
        <f t="shared" si="8"/>
        <v>3.7878787878787873E-2</v>
      </c>
      <c r="V53" s="1732">
        <f t="shared" si="8"/>
        <v>3.7878787878787873E-2</v>
      </c>
      <c r="W53" s="548">
        <f t="shared" ref="W53:X58" si="9">P53</f>
        <v>3.7878787878787873E-2</v>
      </c>
      <c r="X53" s="548">
        <f t="shared" si="9"/>
        <v>3.7878787878787873E-2</v>
      </c>
      <c r="Y53" s="1303">
        <f t="shared" ref="Y53:AE58" si="10">X53+($AF53-$X53)/9</f>
        <v>3.3670033670033662E-2</v>
      </c>
      <c r="Z53" s="1303">
        <f t="shared" si="10"/>
        <v>2.9461279461279456E-2</v>
      </c>
      <c r="AA53" s="1303">
        <f t="shared" si="10"/>
        <v>2.5252525252525249E-2</v>
      </c>
      <c r="AB53" s="1303">
        <f t="shared" si="10"/>
        <v>2.1043771043771042E-2</v>
      </c>
      <c r="AC53" s="1303">
        <f t="shared" si="10"/>
        <v>1.6835016835016835E-2</v>
      </c>
      <c r="AD53" s="1303">
        <f t="shared" si="10"/>
        <v>1.2626262626262628E-2</v>
      </c>
      <c r="AE53" s="1303">
        <f t="shared" si="10"/>
        <v>8.4175084175084208E-3</v>
      </c>
      <c r="AF53" s="1737">
        <v>0</v>
      </c>
      <c r="AG53" s="548">
        <f t="shared" ref="AG53:AH58" si="11">M53</f>
        <v>3.7878787878787873E-2</v>
      </c>
      <c r="AH53" s="548">
        <f t="shared" si="11"/>
        <v>3.7878787878787873E-2</v>
      </c>
      <c r="AI53" s="1303">
        <f t="shared" ref="AI53:AM58" si="12">AH53+($AN53-$AH53)/7</f>
        <v>3.2467532467532464E-2</v>
      </c>
      <c r="AJ53" s="1303">
        <f t="shared" si="12"/>
        <v>2.7056277056277056E-2</v>
      </c>
      <c r="AK53" s="1303">
        <f t="shared" si="12"/>
        <v>2.1645021645021648E-2</v>
      </c>
      <c r="AL53" s="1303">
        <f t="shared" si="12"/>
        <v>1.6233766233766239E-2</v>
      </c>
      <c r="AM53" s="1303">
        <f t="shared" si="12"/>
        <v>1.0822510822510829E-2</v>
      </c>
      <c r="AN53" s="975">
        <v>0</v>
      </c>
      <c r="AO53" s="975">
        <v>0</v>
      </c>
      <c r="AP53" s="1737">
        <v>0</v>
      </c>
      <c r="AQ53" s="548">
        <f t="shared" ref="AQ53:AR58" si="13">AG53</f>
        <v>3.7878787878787873E-2</v>
      </c>
      <c r="AR53" s="548">
        <f t="shared" si="13"/>
        <v>3.7878787878787873E-2</v>
      </c>
      <c r="AS53" s="1303">
        <f t="shared" ref="AS53:AU58" si="14">AR53+($AV53-$AR53)/4</f>
        <v>2.8409090909090905E-2</v>
      </c>
      <c r="AT53" s="1303">
        <f t="shared" si="14"/>
        <v>1.8939393939393936E-2</v>
      </c>
      <c r="AU53" s="1303">
        <f t="shared" si="14"/>
        <v>9.4696969696969682E-3</v>
      </c>
      <c r="AV53" s="975">
        <v>0</v>
      </c>
      <c r="AW53" s="975">
        <v>0</v>
      </c>
      <c r="AX53" s="975">
        <v>0</v>
      </c>
      <c r="AY53" s="975">
        <v>0</v>
      </c>
      <c r="AZ53" s="978">
        <v>0</v>
      </c>
    </row>
    <row r="54" spans="1:98">
      <c r="A54" s="875" t="s">
        <v>1918</v>
      </c>
      <c r="B54" s="875" t="str">
        <f>D54&amp;RIGHT(C54,3)&amp;"CEN-E"</f>
        <v>CCELCCEN-E</v>
      </c>
      <c r="C54" s="876" t="s">
        <v>1990</v>
      </c>
      <c r="D54" s="876" t="str">
        <f t="shared" si="5"/>
        <v>CC</v>
      </c>
      <c r="E54" s="538">
        <v>3</v>
      </c>
      <c r="F54" s="152" t="s">
        <v>33</v>
      </c>
      <c r="G54" s="541">
        <v>0.60000000000000009</v>
      </c>
      <c r="H54" s="540">
        <f>G54*SUMIF($C$6:$J$6,C54,$C$35:$J$35)</f>
        <v>18.678356217842808</v>
      </c>
      <c r="I54" s="540">
        <f>H54*E54</f>
        <v>56.035068653528427</v>
      </c>
      <c r="J54" s="864"/>
      <c r="K54" s="542">
        <f t="shared" si="6"/>
        <v>0.68181818181818188</v>
      </c>
      <c r="L54" s="546"/>
      <c r="M54" s="548">
        <f>K54</f>
        <v>0.68181818181818188</v>
      </c>
      <c r="N54" s="548">
        <f t="shared" si="8"/>
        <v>0.68181818181818188</v>
      </c>
      <c r="O54" s="548">
        <f>N54</f>
        <v>0.68181818181818188</v>
      </c>
      <c r="P54" s="548">
        <f>O54</f>
        <v>0.68181818181818188</v>
      </c>
      <c r="Q54" s="548">
        <f t="shared" si="8"/>
        <v>0.68181818181818188</v>
      </c>
      <c r="R54" s="548">
        <f t="shared" si="8"/>
        <v>0.68181818181818188</v>
      </c>
      <c r="S54" s="548">
        <f t="shared" si="8"/>
        <v>0.68181818181818188</v>
      </c>
      <c r="T54" s="548">
        <f t="shared" si="8"/>
        <v>0.68181818181818188</v>
      </c>
      <c r="U54" s="548">
        <f t="shared" si="8"/>
        <v>0.68181818181818188</v>
      </c>
      <c r="V54" s="1732">
        <f t="shared" si="8"/>
        <v>0.68181818181818188</v>
      </c>
      <c r="W54" s="548">
        <f t="shared" si="9"/>
        <v>0.68181818181818188</v>
      </c>
      <c r="X54" s="548">
        <f t="shared" si="9"/>
        <v>0.68181818181818188</v>
      </c>
      <c r="Y54" s="1303">
        <f t="shared" si="10"/>
        <v>0.60606060606060608</v>
      </c>
      <c r="Z54" s="1303">
        <f t="shared" si="10"/>
        <v>0.53030303030303028</v>
      </c>
      <c r="AA54" s="1303">
        <f t="shared" si="10"/>
        <v>0.45454545454545453</v>
      </c>
      <c r="AB54" s="1303">
        <f t="shared" si="10"/>
        <v>0.37878787878787878</v>
      </c>
      <c r="AC54" s="1303">
        <f t="shared" si="10"/>
        <v>0.30303030303030304</v>
      </c>
      <c r="AD54" s="1303">
        <f t="shared" si="10"/>
        <v>0.22727272727272729</v>
      </c>
      <c r="AE54" s="1303">
        <f t="shared" si="10"/>
        <v>0.15151515151515155</v>
      </c>
      <c r="AF54" s="1737">
        <v>0</v>
      </c>
      <c r="AG54" s="548">
        <f t="shared" si="11"/>
        <v>0.68181818181818188</v>
      </c>
      <c r="AH54" s="548">
        <f t="shared" si="11"/>
        <v>0.68181818181818188</v>
      </c>
      <c r="AI54" s="1303">
        <f t="shared" si="12"/>
        <v>0.5844155844155845</v>
      </c>
      <c r="AJ54" s="1303">
        <f t="shared" si="12"/>
        <v>0.48701298701298712</v>
      </c>
      <c r="AK54" s="1303">
        <f t="shared" si="12"/>
        <v>0.38961038961038974</v>
      </c>
      <c r="AL54" s="1303">
        <f t="shared" si="12"/>
        <v>0.29220779220779236</v>
      </c>
      <c r="AM54" s="1303">
        <f t="shared" si="12"/>
        <v>0.19480519480519495</v>
      </c>
      <c r="AN54" s="975">
        <v>0</v>
      </c>
      <c r="AO54" s="975">
        <v>0</v>
      </c>
      <c r="AP54" s="1737">
        <v>0</v>
      </c>
      <c r="AQ54" s="548">
        <f t="shared" si="13"/>
        <v>0.68181818181818188</v>
      </c>
      <c r="AR54" s="548">
        <f t="shared" si="13"/>
        <v>0.68181818181818188</v>
      </c>
      <c r="AS54" s="1303">
        <f t="shared" si="14"/>
        <v>0.51136363636363646</v>
      </c>
      <c r="AT54" s="1303">
        <f t="shared" si="14"/>
        <v>0.34090909090909099</v>
      </c>
      <c r="AU54" s="1303">
        <f t="shared" si="14"/>
        <v>0.17045454545454553</v>
      </c>
      <c r="AV54" s="975">
        <v>0</v>
      </c>
      <c r="AW54" s="975">
        <v>0</v>
      </c>
      <c r="AX54" s="975">
        <v>0</v>
      </c>
      <c r="AY54" s="975">
        <v>0</v>
      </c>
      <c r="AZ54" s="978">
        <v>0</v>
      </c>
    </row>
    <row r="55" spans="1:98">
      <c r="A55" s="875" t="s">
        <v>1919</v>
      </c>
      <c r="B55" s="875" t="str">
        <f>D55&amp;RIGHT(C55,3)&amp;"HP-E"</f>
        <v>CCELCHP-E</v>
      </c>
      <c r="C55" s="876" t="s">
        <v>1990</v>
      </c>
      <c r="D55" s="876" t="str">
        <f t="shared" si="5"/>
        <v>CC</v>
      </c>
      <c r="E55" s="538">
        <v>2.2000000000000002</v>
      </c>
      <c r="F55" s="152" t="s">
        <v>33</v>
      </c>
      <c r="G55" s="541">
        <v>0.2</v>
      </c>
      <c r="H55" s="540">
        <f>G55*SUMIF($C$6:$J$6,C55,$C$35:$J$35)</f>
        <v>6.2261187392809347</v>
      </c>
      <c r="I55" s="540">
        <f>H55*E55</f>
        <v>13.697461226418058</v>
      </c>
      <c r="J55" s="894"/>
      <c r="K55" s="542">
        <f t="shared" si="6"/>
        <v>0.16666666666666666</v>
      </c>
      <c r="L55" s="546"/>
      <c r="M55" s="548">
        <f>K55</f>
        <v>0.16666666666666666</v>
      </c>
      <c r="N55" s="548">
        <f t="shared" si="8"/>
        <v>0.16666666666666666</v>
      </c>
      <c r="O55" s="548">
        <f t="shared" si="8"/>
        <v>0.16666666666666666</v>
      </c>
      <c r="P55" s="548">
        <f t="shared" si="8"/>
        <v>0.16666666666666666</v>
      </c>
      <c r="Q55" s="548">
        <f t="shared" si="8"/>
        <v>0.16666666666666666</v>
      </c>
      <c r="R55" s="548">
        <f t="shared" si="8"/>
        <v>0.16666666666666666</v>
      </c>
      <c r="S55" s="548">
        <f t="shared" si="8"/>
        <v>0.16666666666666666</v>
      </c>
      <c r="T55" s="548">
        <f t="shared" si="8"/>
        <v>0.16666666666666666</v>
      </c>
      <c r="U55" s="548">
        <f t="shared" si="8"/>
        <v>0.16666666666666666</v>
      </c>
      <c r="V55" s="1732">
        <f t="shared" si="8"/>
        <v>0.16666666666666666</v>
      </c>
      <c r="W55" s="548">
        <f t="shared" si="9"/>
        <v>0.16666666666666666</v>
      </c>
      <c r="X55" s="548">
        <f t="shared" si="9"/>
        <v>0.16666666666666666</v>
      </c>
      <c r="Y55" s="1303">
        <f t="shared" si="10"/>
        <v>0.14814814814814814</v>
      </c>
      <c r="Z55" s="1303">
        <f t="shared" si="10"/>
        <v>0.12962962962962962</v>
      </c>
      <c r="AA55" s="1303">
        <f t="shared" si="10"/>
        <v>0.1111111111111111</v>
      </c>
      <c r="AB55" s="1303">
        <f t="shared" si="10"/>
        <v>9.2592592592592587E-2</v>
      </c>
      <c r="AC55" s="1303">
        <f t="shared" si="10"/>
        <v>7.407407407407407E-2</v>
      </c>
      <c r="AD55" s="1303">
        <f t="shared" si="10"/>
        <v>5.5555555555555552E-2</v>
      </c>
      <c r="AE55" s="1303">
        <f t="shared" si="10"/>
        <v>3.7037037037037035E-2</v>
      </c>
      <c r="AF55" s="1737">
        <v>0</v>
      </c>
      <c r="AG55" s="548">
        <f t="shared" si="11"/>
        <v>0.16666666666666666</v>
      </c>
      <c r="AH55" s="548">
        <f t="shared" si="11"/>
        <v>0.16666666666666666</v>
      </c>
      <c r="AI55" s="1303">
        <f t="shared" si="12"/>
        <v>0.14285714285714285</v>
      </c>
      <c r="AJ55" s="1303">
        <f t="shared" si="12"/>
        <v>0.11904761904761904</v>
      </c>
      <c r="AK55" s="1303">
        <f t="shared" si="12"/>
        <v>9.5238095238095233E-2</v>
      </c>
      <c r="AL55" s="1303">
        <f t="shared" si="12"/>
        <v>7.1428571428571425E-2</v>
      </c>
      <c r="AM55" s="1303">
        <f t="shared" si="12"/>
        <v>4.7619047619047616E-2</v>
      </c>
      <c r="AN55" s="975">
        <v>0</v>
      </c>
      <c r="AO55" s="975">
        <v>0</v>
      </c>
      <c r="AP55" s="1737">
        <v>0</v>
      </c>
      <c r="AQ55" s="548">
        <f t="shared" si="13"/>
        <v>0.16666666666666666</v>
      </c>
      <c r="AR55" s="548">
        <f t="shared" si="13"/>
        <v>0.16666666666666666</v>
      </c>
      <c r="AS55" s="1303">
        <f t="shared" si="14"/>
        <v>0.125</v>
      </c>
      <c r="AT55" s="1303">
        <f t="shared" si="14"/>
        <v>8.3333333333333343E-2</v>
      </c>
      <c r="AU55" s="1303">
        <f t="shared" si="14"/>
        <v>4.1666666666666678E-2</v>
      </c>
      <c r="AV55" s="975">
        <v>0</v>
      </c>
      <c r="AW55" s="975">
        <v>0</v>
      </c>
      <c r="AX55" s="975">
        <v>0</v>
      </c>
      <c r="AY55" s="975">
        <v>0</v>
      </c>
      <c r="AZ55" s="978">
        <v>0</v>
      </c>
    </row>
    <row r="56" spans="1:98">
      <c r="A56" s="875" t="s">
        <v>1920</v>
      </c>
      <c r="B56" s="875" t="str">
        <f>D56&amp;RIGHT(C56,3)&amp;"ROOM-E"</f>
        <v>CCELCROOM-E</v>
      </c>
      <c r="C56" s="876" t="s">
        <v>1990</v>
      </c>
      <c r="D56" s="876" t="str">
        <f t="shared" si="5"/>
        <v>CC</v>
      </c>
      <c r="E56" s="538">
        <v>2</v>
      </c>
      <c r="F56" s="152" t="s">
        <v>33</v>
      </c>
      <c r="G56" s="541">
        <v>0.15</v>
      </c>
      <c r="H56" s="540">
        <f>G56*SUMIF($C$6:$J$6,C56,$C$35:$J$35)</f>
        <v>4.669589054460701</v>
      </c>
      <c r="I56" s="540">
        <f>H56*E56</f>
        <v>9.3391781089214021</v>
      </c>
      <c r="J56" s="864"/>
      <c r="K56" s="542">
        <f t="shared" si="6"/>
        <v>0.11363636363636362</v>
      </c>
      <c r="L56" s="546"/>
      <c r="M56" s="548">
        <f t="shared" si="7"/>
        <v>0.11363636363636362</v>
      </c>
      <c r="N56" s="548">
        <f t="shared" si="8"/>
        <v>0.11363636363636362</v>
      </c>
      <c r="O56" s="548">
        <f t="shared" si="8"/>
        <v>0.11363636363636362</v>
      </c>
      <c r="P56" s="548">
        <f t="shared" si="8"/>
        <v>0.11363636363636362</v>
      </c>
      <c r="Q56" s="548">
        <f t="shared" si="8"/>
        <v>0.11363636363636362</v>
      </c>
      <c r="R56" s="548">
        <f t="shared" si="8"/>
        <v>0.11363636363636362</v>
      </c>
      <c r="S56" s="548">
        <f t="shared" si="8"/>
        <v>0.11363636363636362</v>
      </c>
      <c r="T56" s="548">
        <f t="shared" si="8"/>
        <v>0.11363636363636362</v>
      </c>
      <c r="U56" s="548">
        <f t="shared" si="8"/>
        <v>0.11363636363636362</v>
      </c>
      <c r="V56" s="1732">
        <f t="shared" si="8"/>
        <v>0.11363636363636362</v>
      </c>
      <c r="W56" s="548">
        <f t="shared" si="9"/>
        <v>0.11363636363636362</v>
      </c>
      <c r="X56" s="548">
        <f t="shared" si="9"/>
        <v>0.11363636363636362</v>
      </c>
      <c r="Y56" s="1303">
        <f t="shared" si="10"/>
        <v>0.10101010101010099</v>
      </c>
      <c r="Z56" s="1303">
        <f t="shared" si="10"/>
        <v>8.838383838383837E-2</v>
      </c>
      <c r="AA56" s="1303">
        <f t="shared" si="10"/>
        <v>7.5757575757575746E-2</v>
      </c>
      <c r="AB56" s="1303">
        <f t="shared" si="10"/>
        <v>6.3131313131313122E-2</v>
      </c>
      <c r="AC56" s="1303">
        <f t="shared" si="10"/>
        <v>5.0505050505050497E-2</v>
      </c>
      <c r="AD56" s="1303">
        <f t="shared" si="10"/>
        <v>3.7878787878787873E-2</v>
      </c>
      <c r="AE56" s="1303">
        <f t="shared" si="10"/>
        <v>2.5252525252525249E-2</v>
      </c>
      <c r="AF56" s="1737">
        <v>0</v>
      </c>
      <c r="AG56" s="548">
        <f t="shared" si="11"/>
        <v>0.11363636363636362</v>
      </c>
      <c r="AH56" s="548">
        <f t="shared" si="11"/>
        <v>0.11363636363636362</v>
      </c>
      <c r="AI56" s="1303">
        <f t="shared" si="12"/>
        <v>9.740259740259738E-2</v>
      </c>
      <c r="AJ56" s="1303">
        <f t="shared" si="12"/>
        <v>8.116883116883114E-2</v>
      </c>
      <c r="AK56" s="1303">
        <f t="shared" si="12"/>
        <v>6.4935064935064901E-2</v>
      </c>
      <c r="AL56" s="1303">
        <f t="shared" si="12"/>
        <v>4.8701298701298669E-2</v>
      </c>
      <c r="AM56" s="1303">
        <f t="shared" si="12"/>
        <v>3.2467532467532437E-2</v>
      </c>
      <c r="AN56" s="975">
        <v>0</v>
      </c>
      <c r="AO56" s="975">
        <v>0</v>
      </c>
      <c r="AP56" s="1737">
        <v>0</v>
      </c>
      <c r="AQ56" s="548">
        <f t="shared" si="13"/>
        <v>0.11363636363636362</v>
      </c>
      <c r="AR56" s="548">
        <f t="shared" si="13"/>
        <v>0.11363636363636362</v>
      </c>
      <c r="AS56" s="1303">
        <f t="shared" si="14"/>
        <v>8.5227272727272707E-2</v>
      </c>
      <c r="AT56" s="1303">
        <f t="shared" si="14"/>
        <v>5.6818181818181802E-2</v>
      </c>
      <c r="AU56" s="1303">
        <f t="shared" si="14"/>
        <v>2.8409090909090898E-2</v>
      </c>
      <c r="AV56" s="975">
        <v>0</v>
      </c>
      <c r="AW56" s="975">
        <v>0</v>
      </c>
      <c r="AX56" s="975">
        <v>0</v>
      </c>
      <c r="AY56" s="975">
        <v>0</v>
      </c>
      <c r="AZ56" s="978">
        <v>0</v>
      </c>
    </row>
    <row r="57" spans="1:98" ht="15.75" customHeight="1">
      <c r="A57" s="875" t="s">
        <v>1921</v>
      </c>
      <c r="B57" s="875" t="str">
        <f>D57&amp;RIGHT(C57,3)&amp;"CEN-N"</f>
        <v>CCELCCEN-N</v>
      </c>
      <c r="C57" s="876" t="s">
        <v>1990</v>
      </c>
      <c r="D57" s="876" t="str">
        <f t="shared" si="5"/>
        <v>CC</v>
      </c>
      <c r="E57" s="538">
        <v>3.3529411764705883</v>
      </c>
      <c r="F57" s="152" t="s">
        <v>33</v>
      </c>
      <c r="G57" s="541">
        <v>0</v>
      </c>
      <c r="H57" s="540">
        <v>0</v>
      </c>
      <c r="I57" s="540">
        <v>0</v>
      </c>
      <c r="J57" s="864"/>
      <c r="K57" s="542">
        <f t="shared" si="6"/>
        <v>0</v>
      </c>
      <c r="L57" s="546"/>
      <c r="M57" s="548">
        <f t="shared" si="7"/>
        <v>0</v>
      </c>
      <c r="N57" s="548">
        <f t="shared" si="8"/>
        <v>0</v>
      </c>
      <c r="O57" s="548">
        <f t="shared" si="8"/>
        <v>0</v>
      </c>
      <c r="P57" s="548">
        <f t="shared" si="8"/>
        <v>0</v>
      </c>
      <c r="Q57" s="548">
        <f t="shared" si="8"/>
        <v>0</v>
      </c>
      <c r="R57" s="548">
        <f t="shared" si="8"/>
        <v>0</v>
      </c>
      <c r="S57" s="548">
        <f t="shared" si="8"/>
        <v>0</v>
      </c>
      <c r="T57" s="548">
        <f t="shared" si="8"/>
        <v>0</v>
      </c>
      <c r="U57" s="548">
        <f t="shared" si="8"/>
        <v>0</v>
      </c>
      <c r="V57" s="1732">
        <f t="shared" si="8"/>
        <v>0</v>
      </c>
      <c r="W57" s="548">
        <f t="shared" si="9"/>
        <v>0</v>
      </c>
      <c r="X57" s="548">
        <f t="shared" si="9"/>
        <v>0</v>
      </c>
      <c r="Y57" s="1303">
        <f t="shared" si="10"/>
        <v>6.6666666666666666E-2</v>
      </c>
      <c r="Z57" s="1303">
        <f t="shared" si="10"/>
        <v>0.13333333333333333</v>
      </c>
      <c r="AA57" s="1303">
        <f t="shared" si="10"/>
        <v>0.2</v>
      </c>
      <c r="AB57" s="1303">
        <f t="shared" si="10"/>
        <v>0.26666666666666666</v>
      </c>
      <c r="AC57" s="1303">
        <f t="shared" si="10"/>
        <v>0.33333333333333331</v>
      </c>
      <c r="AD57" s="1303">
        <f t="shared" si="10"/>
        <v>0.39999999999999997</v>
      </c>
      <c r="AE57" s="1303">
        <f t="shared" si="10"/>
        <v>0.46666666666666662</v>
      </c>
      <c r="AF57" s="1737">
        <v>0.6</v>
      </c>
      <c r="AG57" s="548">
        <f t="shared" si="11"/>
        <v>0</v>
      </c>
      <c r="AH57" s="548">
        <f t="shared" si="11"/>
        <v>0</v>
      </c>
      <c r="AI57" s="1303">
        <f t="shared" si="12"/>
        <v>8.5714285714285715E-2</v>
      </c>
      <c r="AJ57" s="1303">
        <f t="shared" si="12"/>
        <v>0.17142857142857143</v>
      </c>
      <c r="AK57" s="1303">
        <f t="shared" si="12"/>
        <v>0.25714285714285712</v>
      </c>
      <c r="AL57" s="1303">
        <f t="shared" si="12"/>
        <v>0.34285714285714286</v>
      </c>
      <c r="AM57" s="1303">
        <f t="shared" si="12"/>
        <v>0.4285714285714286</v>
      </c>
      <c r="AN57" s="975">
        <v>0.6</v>
      </c>
      <c r="AO57" s="975">
        <v>0.6</v>
      </c>
      <c r="AP57" s="1737">
        <v>0.6</v>
      </c>
      <c r="AQ57" s="548">
        <f t="shared" si="13"/>
        <v>0</v>
      </c>
      <c r="AR57" s="548">
        <f t="shared" si="13"/>
        <v>0</v>
      </c>
      <c r="AS57" s="1303">
        <f t="shared" si="14"/>
        <v>0.15</v>
      </c>
      <c r="AT57" s="1303">
        <f t="shared" si="14"/>
        <v>0.3</v>
      </c>
      <c r="AU57" s="1303">
        <f t="shared" si="14"/>
        <v>0.44999999999999996</v>
      </c>
      <c r="AV57" s="975">
        <v>0.6</v>
      </c>
      <c r="AW57" s="975">
        <v>0.6</v>
      </c>
      <c r="AX57" s="975">
        <v>0.6</v>
      </c>
      <c r="AY57" s="975">
        <v>0.6</v>
      </c>
      <c r="AZ57" s="978">
        <v>0.6</v>
      </c>
    </row>
    <row r="58" spans="1:98" ht="15.75" customHeight="1">
      <c r="A58" s="875" t="s">
        <v>1922</v>
      </c>
      <c r="B58" s="875" t="str">
        <f>D58&amp;RIGHT(C58,3)&amp;"HP-N"</f>
        <v>CCELCHP-N</v>
      </c>
      <c r="C58" s="876" t="s">
        <v>1990</v>
      </c>
      <c r="D58" s="876" t="str">
        <f t="shared" si="5"/>
        <v>CC</v>
      </c>
      <c r="E58" s="538">
        <v>3.2386363636363633</v>
      </c>
      <c r="F58" s="152" t="s">
        <v>33</v>
      </c>
      <c r="G58" s="541">
        <v>0</v>
      </c>
      <c r="H58" s="540">
        <v>0</v>
      </c>
      <c r="I58" s="540">
        <v>0</v>
      </c>
      <c r="J58" s="864"/>
      <c r="K58" s="542">
        <f t="shared" si="6"/>
        <v>0</v>
      </c>
      <c r="L58" s="546"/>
      <c r="M58" s="548">
        <f t="shared" si="7"/>
        <v>0</v>
      </c>
      <c r="N58" s="548">
        <f t="shared" si="8"/>
        <v>0</v>
      </c>
      <c r="O58" s="548">
        <f t="shared" si="8"/>
        <v>0</v>
      </c>
      <c r="P58" s="548">
        <f t="shared" si="8"/>
        <v>0</v>
      </c>
      <c r="Q58" s="548">
        <f t="shared" si="8"/>
        <v>0</v>
      </c>
      <c r="R58" s="548">
        <f t="shared" si="8"/>
        <v>0</v>
      </c>
      <c r="S58" s="548">
        <f t="shared" si="8"/>
        <v>0</v>
      </c>
      <c r="T58" s="548">
        <f t="shared" si="8"/>
        <v>0</v>
      </c>
      <c r="U58" s="548">
        <f t="shared" si="8"/>
        <v>0</v>
      </c>
      <c r="V58" s="1732">
        <f t="shared" si="8"/>
        <v>0</v>
      </c>
      <c r="W58" s="548">
        <f t="shared" si="9"/>
        <v>0</v>
      </c>
      <c r="X58" s="548">
        <f t="shared" si="9"/>
        <v>0</v>
      </c>
      <c r="Y58" s="1303">
        <f t="shared" si="10"/>
        <v>4.4444444444444446E-2</v>
      </c>
      <c r="Z58" s="1303">
        <f t="shared" si="10"/>
        <v>8.8888888888888892E-2</v>
      </c>
      <c r="AA58" s="1303">
        <f t="shared" si="10"/>
        <v>0.13333333333333333</v>
      </c>
      <c r="AB58" s="1303">
        <f t="shared" si="10"/>
        <v>0.17777777777777778</v>
      </c>
      <c r="AC58" s="1303">
        <f t="shared" si="10"/>
        <v>0.22222222222222224</v>
      </c>
      <c r="AD58" s="1303">
        <f t="shared" si="10"/>
        <v>0.26666666666666666</v>
      </c>
      <c r="AE58" s="1303">
        <f t="shared" si="10"/>
        <v>0.31111111111111112</v>
      </c>
      <c r="AF58" s="1737">
        <v>0.4</v>
      </c>
      <c r="AG58" s="548">
        <f t="shared" si="11"/>
        <v>0</v>
      </c>
      <c r="AH58" s="548">
        <f t="shared" si="11"/>
        <v>0</v>
      </c>
      <c r="AI58" s="1303">
        <f t="shared" si="12"/>
        <v>5.7142857142857148E-2</v>
      </c>
      <c r="AJ58" s="1303">
        <f t="shared" si="12"/>
        <v>0.1142857142857143</v>
      </c>
      <c r="AK58" s="1303">
        <f t="shared" si="12"/>
        <v>0.17142857142857143</v>
      </c>
      <c r="AL58" s="1303">
        <f t="shared" si="12"/>
        <v>0.22857142857142859</v>
      </c>
      <c r="AM58" s="1303">
        <f t="shared" si="12"/>
        <v>0.28571428571428575</v>
      </c>
      <c r="AN58" s="975">
        <v>0.4</v>
      </c>
      <c r="AO58" s="975">
        <v>0.4</v>
      </c>
      <c r="AP58" s="1737">
        <v>0.4</v>
      </c>
      <c r="AQ58" s="548">
        <f t="shared" si="13"/>
        <v>0</v>
      </c>
      <c r="AR58" s="548">
        <f t="shared" si="13"/>
        <v>0</v>
      </c>
      <c r="AS58" s="1303">
        <f t="shared" si="14"/>
        <v>0.1</v>
      </c>
      <c r="AT58" s="1303">
        <f t="shared" si="14"/>
        <v>0.2</v>
      </c>
      <c r="AU58" s="1303">
        <f t="shared" si="14"/>
        <v>0.30000000000000004</v>
      </c>
      <c r="AV58" s="975">
        <v>0.4</v>
      </c>
      <c r="AW58" s="975">
        <v>0.4</v>
      </c>
      <c r="AX58" s="975">
        <v>0.4</v>
      </c>
      <c r="AY58" s="975">
        <v>0.4</v>
      </c>
      <c r="AZ58" s="978">
        <v>0.4</v>
      </c>
    </row>
    <row r="59" spans="1:98">
      <c r="A59" s="895"/>
      <c r="B59" s="875"/>
      <c r="C59" s="896"/>
      <c r="D59" s="896"/>
      <c r="E59" s="1596"/>
      <c r="F59" s="152"/>
      <c r="G59" s="543">
        <v>1</v>
      </c>
      <c r="H59" s="544">
        <f>SUM(H53:H56)</f>
        <v>31.130593696404677</v>
      </c>
      <c r="I59" s="544">
        <f>SUM(I53:I56)</f>
        <v>82.184767358508353</v>
      </c>
      <c r="J59" s="864"/>
      <c r="K59" s="542"/>
      <c r="L59" s="546"/>
      <c r="M59" s="548"/>
      <c r="N59" s="548"/>
      <c r="O59" s="548"/>
      <c r="P59" s="548"/>
      <c r="Q59" s="548"/>
      <c r="R59" s="548"/>
      <c r="S59" s="548"/>
      <c r="T59" s="548"/>
      <c r="U59" s="548"/>
      <c r="V59" s="1732"/>
      <c r="W59" s="549"/>
      <c r="X59" s="549"/>
      <c r="Y59" s="1303"/>
      <c r="Z59" s="549"/>
      <c r="AA59" s="549"/>
      <c r="AB59" s="549"/>
      <c r="AC59" s="549"/>
      <c r="AD59" s="549"/>
      <c r="AE59" s="549"/>
      <c r="AF59" s="1738"/>
      <c r="AG59" s="549"/>
      <c r="AH59" s="549"/>
      <c r="AI59" s="1303"/>
      <c r="AJ59" s="1303"/>
      <c r="AK59" s="1303"/>
      <c r="AL59" s="1303"/>
      <c r="AM59" s="1303"/>
      <c r="AN59" s="549"/>
      <c r="AO59" s="549"/>
      <c r="AP59" s="1738"/>
      <c r="AQ59" s="549"/>
      <c r="AR59" s="549"/>
      <c r="AS59" s="1303"/>
      <c r="AT59" s="1303"/>
      <c r="AU59" s="1303"/>
      <c r="AV59" s="549"/>
      <c r="AW59" s="549"/>
      <c r="AX59" s="549"/>
      <c r="AY59" s="549"/>
      <c r="AZ59" s="550"/>
    </row>
    <row r="60" spans="1:98">
      <c r="A60" s="1718" t="s">
        <v>2615</v>
      </c>
      <c r="B60" s="875"/>
      <c r="C60" s="896"/>
      <c r="D60" s="896"/>
      <c r="E60" s="1596"/>
      <c r="F60" s="545"/>
      <c r="G60" s="897"/>
      <c r="H60" s="897"/>
      <c r="I60" s="864"/>
      <c r="J60" s="864"/>
      <c r="K60" s="542"/>
      <c r="L60" s="546"/>
      <c r="M60" s="864"/>
      <c r="N60" s="864"/>
      <c r="O60" s="864"/>
      <c r="P60" s="864"/>
      <c r="Q60" s="864"/>
      <c r="R60" s="864"/>
      <c r="S60" s="864"/>
      <c r="T60" s="864"/>
      <c r="U60" s="864"/>
      <c r="V60" s="1733"/>
      <c r="W60" s="893"/>
      <c r="Y60" s="1303"/>
      <c r="AF60" s="1734"/>
      <c r="AI60" s="1303"/>
      <c r="AJ60" s="1303"/>
      <c r="AK60" s="1303"/>
      <c r="AL60" s="1303"/>
      <c r="AM60" s="1303"/>
      <c r="AP60" s="1734"/>
      <c r="AS60" s="1303"/>
      <c r="AT60" s="1303"/>
      <c r="AU60" s="1303"/>
    </row>
    <row r="61" spans="1:98">
      <c r="A61" s="875" t="s">
        <v>1923</v>
      </c>
      <c r="B61" s="875" t="str">
        <f>D61&amp;RIGHT(C61,3)&amp;"-E"</f>
        <v>CHCOA-E</v>
      </c>
      <c r="C61" s="876" t="s">
        <v>1988</v>
      </c>
      <c r="D61" s="876" t="str">
        <f>$B$36</f>
        <v>CH</v>
      </c>
      <c r="E61" s="538">
        <v>0.6</v>
      </c>
      <c r="F61" s="152" t="s">
        <v>35</v>
      </c>
      <c r="G61" s="541">
        <v>1</v>
      </c>
      <c r="H61" s="540">
        <f>G61*SUMIF($C$6:$J$6,C61,$C$36:$J$36)</f>
        <v>41.445053744708233</v>
      </c>
      <c r="I61" s="540">
        <f>H61*E61</f>
        <v>24.867032246824937</v>
      </c>
      <c r="K61" s="542">
        <f>I61/SUMIF($D$53:$D$107,$D61,$I$53:$I$107)*(1+$K$48)</f>
        <v>0.83174991305313828</v>
      </c>
      <c r="L61" s="546"/>
      <c r="M61" s="548">
        <f>K61</f>
        <v>0.83174991305313828</v>
      </c>
      <c r="N61" s="548">
        <f>M61</f>
        <v>0.83174991305313828</v>
      </c>
      <c r="O61" s="548">
        <f t="shared" ref="O61:V61" si="15">N61</f>
        <v>0.83174991305313828</v>
      </c>
      <c r="P61" s="548">
        <f t="shared" si="15"/>
        <v>0.83174991305313828</v>
      </c>
      <c r="Q61" s="548">
        <f t="shared" si="15"/>
        <v>0.83174991305313828</v>
      </c>
      <c r="R61" s="548">
        <f t="shared" si="15"/>
        <v>0.83174991305313828</v>
      </c>
      <c r="S61" s="548">
        <f t="shared" si="15"/>
        <v>0.83174991305313828</v>
      </c>
      <c r="T61" s="548">
        <f t="shared" si="15"/>
        <v>0.83174991305313828</v>
      </c>
      <c r="U61" s="548">
        <f t="shared" si="15"/>
        <v>0.83174991305313828</v>
      </c>
      <c r="V61" s="1732">
        <f t="shared" si="15"/>
        <v>0.83174991305313828</v>
      </c>
      <c r="W61" s="549">
        <f t="shared" ref="W61:X63" si="16">M61</f>
        <v>0.83174991305313828</v>
      </c>
      <c r="X61" s="549">
        <f t="shared" si="16"/>
        <v>0.83174991305313828</v>
      </c>
      <c r="Y61" s="1303">
        <f t="shared" ref="Y61:AE63" si="17">X61+($AF61-$X61)/9</f>
        <v>0.73933325604723399</v>
      </c>
      <c r="Z61" s="1303">
        <f t="shared" si="17"/>
        <v>0.6469165990413297</v>
      </c>
      <c r="AA61" s="1303">
        <f t="shared" si="17"/>
        <v>0.55449994203542541</v>
      </c>
      <c r="AB61" s="1303">
        <f t="shared" si="17"/>
        <v>0.46208328502952117</v>
      </c>
      <c r="AC61" s="1303">
        <f t="shared" si="17"/>
        <v>0.36966662802361694</v>
      </c>
      <c r="AD61" s="1303">
        <f t="shared" si="17"/>
        <v>0.2772499710177127</v>
      </c>
      <c r="AE61" s="1303">
        <f t="shared" si="17"/>
        <v>0.18483331401180847</v>
      </c>
      <c r="AF61" s="1739">
        <v>0</v>
      </c>
      <c r="AG61" s="549">
        <f t="shared" ref="AG61:AH63" si="18">M61</f>
        <v>0.83174991305313828</v>
      </c>
      <c r="AH61" s="549">
        <f t="shared" si="18"/>
        <v>0.83174991305313828</v>
      </c>
      <c r="AI61" s="1303">
        <f t="shared" ref="AI61:AM63" si="19">AH61+($AN61-$AH61)/7</f>
        <v>0.7843570683312614</v>
      </c>
      <c r="AJ61" s="1303">
        <f t="shared" si="19"/>
        <v>0.73696422360938452</v>
      </c>
      <c r="AK61" s="1303">
        <f t="shared" si="19"/>
        <v>0.68957137888750764</v>
      </c>
      <c r="AL61" s="1303">
        <f t="shared" si="19"/>
        <v>0.64217853416563075</v>
      </c>
      <c r="AM61" s="1303">
        <f t="shared" si="19"/>
        <v>0.59478568944375387</v>
      </c>
      <c r="AN61" s="976">
        <v>0.5</v>
      </c>
      <c r="AO61" s="976">
        <v>0</v>
      </c>
      <c r="AP61" s="1739">
        <v>0</v>
      </c>
      <c r="AQ61" s="549">
        <f>AG61</f>
        <v>0.83174991305313828</v>
      </c>
      <c r="AR61" s="549">
        <f>AH61</f>
        <v>0.83174991305313828</v>
      </c>
      <c r="AS61" s="1303">
        <f t="shared" ref="AS61:AU63" si="20">AR61+($AV61-$AR61)/4</f>
        <v>0.62381243478985371</v>
      </c>
      <c r="AT61" s="1303">
        <f t="shared" si="20"/>
        <v>0.41587495652656914</v>
      </c>
      <c r="AU61" s="1303">
        <f t="shared" si="20"/>
        <v>0.20793747826328457</v>
      </c>
      <c r="AV61" s="976">
        <v>0</v>
      </c>
      <c r="AW61" s="976">
        <v>0</v>
      </c>
      <c r="AX61" s="976">
        <v>0</v>
      </c>
      <c r="AY61" s="976">
        <v>0</v>
      </c>
      <c r="AZ61" s="979">
        <v>0</v>
      </c>
    </row>
    <row r="62" spans="1:98">
      <c r="A62" s="875" t="s">
        <v>1924</v>
      </c>
      <c r="B62" s="875" t="str">
        <f>D62&amp;RIGHT(C62,3)&amp;"-E"</f>
        <v>CHELC-E</v>
      </c>
      <c r="C62" s="876" t="s">
        <v>1990</v>
      </c>
      <c r="D62" s="876" t="str">
        <f>$B$36</f>
        <v>CH</v>
      </c>
      <c r="E62" s="538">
        <v>1</v>
      </c>
      <c r="F62" s="152" t="s">
        <v>33</v>
      </c>
      <c r="G62" s="541">
        <v>1</v>
      </c>
      <c r="H62" s="540">
        <f>G62*SUMIF($C$6:$J$6,C62,$C$36:$J$36)</f>
        <v>5.030214337240829</v>
      </c>
      <c r="I62" s="540">
        <f>H62*E62</f>
        <v>5.030214337240829</v>
      </c>
      <c r="K62" s="542">
        <f>I62/SUMIF($D$53:$D$107,$D62,$I$53:$I$107)*(1+$K$48)</f>
        <v>0.16825008694686169</v>
      </c>
      <c r="L62" s="546"/>
      <c r="M62" s="548">
        <f>K62</f>
        <v>0.16825008694686169</v>
      </c>
      <c r="N62" s="548">
        <f t="shared" ref="N62:V63" si="21">M62</f>
        <v>0.16825008694686169</v>
      </c>
      <c r="O62" s="548">
        <f t="shared" si="21"/>
        <v>0.16825008694686169</v>
      </c>
      <c r="P62" s="548">
        <f t="shared" si="21"/>
        <v>0.16825008694686169</v>
      </c>
      <c r="Q62" s="548">
        <f t="shared" si="21"/>
        <v>0.16825008694686169</v>
      </c>
      <c r="R62" s="548">
        <f t="shared" si="21"/>
        <v>0.16825008694686169</v>
      </c>
      <c r="S62" s="548">
        <f t="shared" si="21"/>
        <v>0.16825008694686169</v>
      </c>
      <c r="T62" s="548">
        <f t="shared" si="21"/>
        <v>0.16825008694686169</v>
      </c>
      <c r="U62" s="548">
        <f t="shared" si="21"/>
        <v>0.16825008694686169</v>
      </c>
      <c r="V62" s="1732">
        <f t="shared" si="21"/>
        <v>0.16825008694686169</v>
      </c>
      <c r="W62" s="549">
        <f t="shared" si="16"/>
        <v>0.16825008694686169</v>
      </c>
      <c r="X62" s="549">
        <f t="shared" si="16"/>
        <v>0.16825008694686169</v>
      </c>
      <c r="Y62" s="1303">
        <f t="shared" si="17"/>
        <v>0.14955563284165485</v>
      </c>
      <c r="Z62" s="1303">
        <f t="shared" si="17"/>
        <v>0.13086117873644798</v>
      </c>
      <c r="AA62" s="1303">
        <f t="shared" si="17"/>
        <v>0.11216672463124112</v>
      </c>
      <c r="AB62" s="1303">
        <f t="shared" si="17"/>
        <v>9.3472270526034268E-2</v>
      </c>
      <c r="AC62" s="1303">
        <f t="shared" si="17"/>
        <v>7.4777816420827412E-2</v>
      </c>
      <c r="AD62" s="1303">
        <f t="shared" si="17"/>
        <v>5.6083362315620555E-2</v>
      </c>
      <c r="AE62" s="1303">
        <f t="shared" si="17"/>
        <v>3.7388908210413699E-2</v>
      </c>
      <c r="AF62" s="1739">
        <v>0</v>
      </c>
      <c r="AG62" s="549">
        <f t="shared" si="18"/>
        <v>0.16825008694686169</v>
      </c>
      <c r="AH62" s="549">
        <f t="shared" si="18"/>
        <v>0.16825008694686169</v>
      </c>
      <c r="AI62" s="1303">
        <f t="shared" si="19"/>
        <v>0.14421436024016718</v>
      </c>
      <c r="AJ62" s="1303">
        <f t="shared" si="19"/>
        <v>0.12017863353347265</v>
      </c>
      <c r="AK62" s="1303">
        <f t="shared" si="19"/>
        <v>9.6142906826778118E-2</v>
      </c>
      <c r="AL62" s="1303">
        <f t="shared" si="19"/>
        <v>7.2107180120083589E-2</v>
      </c>
      <c r="AM62" s="1303">
        <f t="shared" si="19"/>
        <v>4.8071453413389059E-2</v>
      </c>
      <c r="AN62" s="976">
        <v>0</v>
      </c>
      <c r="AO62" s="976">
        <v>0</v>
      </c>
      <c r="AP62" s="1739">
        <v>0</v>
      </c>
      <c r="AQ62" s="549">
        <f t="shared" ref="AQ62:AQ105" si="22">AG62</f>
        <v>0.16825008694686169</v>
      </c>
      <c r="AR62" s="549">
        <f t="shared" ref="AR62:AR105" si="23">AH62</f>
        <v>0.16825008694686169</v>
      </c>
      <c r="AS62" s="1303">
        <f t="shared" si="20"/>
        <v>0.12618756521014626</v>
      </c>
      <c r="AT62" s="1303">
        <f t="shared" si="20"/>
        <v>8.4125043473430833E-2</v>
      </c>
      <c r="AU62" s="1303">
        <f t="shared" si="20"/>
        <v>4.2062521736715409E-2</v>
      </c>
      <c r="AV62" s="976">
        <v>0</v>
      </c>
      <c r="AW62" s="976">
        <v>0</v>
      </c>
      <c r="AX62" s="976">
        <v>0</v>
      </c>
      <c r="AY62" s="976">
        <v>0</v>
      </c>
      <c r="AZ62" s="979">
        <v>0</v>
      </c>
    </row>
    <row r="63" spans="1:98">
      <c r="A63" s="875" t="s">
        <v>1925</v>
      </c>
      <c r="B63" s="875" t="str">
        <f>D63&amp;RIGHT(C63,3)&amp;"-N"</f>
        <v>CHELC-N</v>
      </c>
      <c r="C63" s="876" t="s">
        <v>1990</v>
      </c>
      <c r="D63" s="876" t="str">
        <f>$B$36</f>
        <v>CH</v>
      </c>
      <c r="E63" s="538">
        <v>2.65625</v>
      </c>
      <c r="F63" s="152" t="s">
        <v>33</v>
      </c>
      <c r="G63" s="541">
        <v>0</v>
      </c>
      <c r="H63" s="540">
        <v>0</v>
      </c>
      <c r="I63" s="540">
        <v>0</v>
      </c>
      <c r="K63" s="542">
        <f>I63/SUMIF($D$53:$D$107,$D63,$I$53:$I$107)*(1+$K$48)</f>
        <v>0</v>
      </c>
      <c r="L63" s="546"/>
      <c r="M63" s="548">
        <f>K63</f>
        <v>0</v>
      </c>
      <c r="N63" s="548">
        <f t="shared" si="21"/>
        <v>0</v>
      </c>
      <c r="O63" s="548">
        <f t="shared" si="21"/>
        <v>0</v>
      </c>
      <c r="P63" s="548">
        <f t="shared" si="21"/>
        <v>0</v>
      </c>
      <c r="Q63" s="548">
        <f t="shared" si="21"/>
        <v>0</v>
      </c>
      <c r="R63" s="548">
        <f t="shared" si="21"/>
        <v>0</v>
      </c>
      <c r="S63" s="548">
        <f t="shared" si="21"/>
        <v>0</v>
      </c>
      <c r="T63" s="548">
        <f t="shared" si="21"/>
        <v>0</v>
      </c>
      <c r="U63" s="548">
        <f t="shared" si="21"/>
        <v>0</v>
      </c>
      <c r="V63" s="1732">
        <f t="shared" si="21"/>
        <v>0</v>
      </c>
      <c r="W63" s="549">
        <f t="shared" si="16"/>
        <v>0</v>
      </c>
      <c r="X63" s="549">
        <f t="shared" si="16"/>
        <v>0</v>
      </c>
      <c r="Y63" s="1303">
        <f t="shared" si="17"/>
        <v>0.1111111111111111</v>
      </c>
      <c r="Z63" s="1303">
        <f t="shared" si="17"/>
        <v>0.22222222222222221</v>
      </c>
      <c r="AA63" s="1303">
        <f t="shared" si="17"/>
        <v>0.33333333333333331</v>
      </c>
      <c r="AB63" s="1303">
        <f t="shared" si="17"/>
        <v>0.44444444444444442</v>
      </c>
      <c r="AC63" s="1303">
        <f t="shared" si="17"/>
        <v>0.55555555555555558</v>
      </c>
      <c r="AD63" s="1303">
        <f t="shared" si="17"/>
        <v>0.66666666666666674</v>
      </c>
      <c r="AE63" s="1303">
        <f t="shared" si="17"/>
        <v>0.7777777777777779</v>
      </c>
      <c r="AF63" s="1739">
        <v>1</v>
      </c>
      <c r="AG63" s="549">
        <f t="shared" si="18"/>
        <v>0</v>
      </c>
      <c r="AH63" s="549">
        <f t="shared" si="18"/>
        <v>0</v>
      </c>
      <c r="AI63" s="1303">
        <f t="shared" si="19"/>
        <v>7.1428571428571425E-2</v>
      </c>
      <c r="AJ63" s="1303">
        <f t="shared" si="19"/>
        <v>0.14285714285714285</v>
      </c>
      <c r="AK63" s="1303">
        <f t="shared" si="19"/>
        <v>0.21428571428571427</v>
      </c>
      <c r="AL63" s="1303">
        <f t="shared" si="19"/>
        <v>0.2857142857142857</v>
      </c>
      <c r="AM63" s="1303">
        <f t="shared" si="19"/>
        <v>0.3571428571428571</v>
      </c>
      <c r="AN63" s="976">
        <v>0.5</v>
      </c>
      <c r="AO63" s="976">
        <v>1</v>
      </c>
      <c r="AP63" s="1739">
        <v>1</v>
      </c>
      <c r="AQ63" s="549">
        <f t="shared" si="22"/>
        <v>0</v>
      </c>
      <c r="AR63" s="549">
        <f t="shared" si="23"/>
        <v>0</v>
      </c>
      <c r="AS63" s="1303">
        <f t="shared" si="20"/>
        <v>0.25</v>
      </c>
      <c r="AT63" s="1303">
        <f t="shared" si="20"/>
        <v>0.5</v>
      </c>
      <c r="AU63" s="1303">
        <f t="shared" si="20"/>
        <v>0.75</v>
      </c>
      <c r="AV63" s="976">
        <v>1</v>
      </c>
      <c r="AW63" s="976">
        <v>1</v>
      </c>
      <c r="AX63" s="976">
        <v>1</v>
      </c>
      <c r="AY63" s="976">
        <v>1</v>
      </c>
      <c r="AZ63" s="979">
        <v>1</v>
      </c>
    </row>
    <row r="64" spans="1:98">
      <c r="A64" s="895"/>
      <c r="F64" s="152"/>
      <c r="G64" s="898"/>
      <c r="H64" s="544">
        <f>SUM(H61:H62)</f>
        <v>46.475268081949061</v>
      </c>
      <c r="I64" s="544">
        <f>SUM(I61:I62)</f>
        <v>29.897246584065766</v>
      </c>
      <c r="K64" s="542"/>
      <c r="L64" s="546"/>
      <c r="T64" s="864"/>
      <c r="V64" s="1734"/>
      <c r="W64" s="893"/>
      <c r="X64" s="893">
        <f>SUM(W61:W63)</f>
        <v>1</v>
      </c>
      <c r="Y64" s="1303"/>
      <c r="AF64" s="1734"/>
      <c r="AI64" s="1303"/>
      <c r="AJ64" s="1303"/>
      <c r="AK64" s="1303"/>
      <c r="AL64" s="1303"/>
      <c r="AM64" s="1303"/>
      <c r="AP64" s="1734"/>
      <c r="AQ64" s="549"/>
      <c r="AR64" s="549"/>
      <c r="AS64" s="1303"/>
      <c r="AT64" s="1303"/>
      <c r="AU64" s="1303"/>
    </row>
    <row r="65" spans="1:52">
      <c r="A65" s="1718" t="s">
        <v>93</v>
      </c>
      <c r="B65" s="875"/>
      <c r="C65" s="896"/>
      <c r="D65" s="896"/>
      <c r="E65" s="892"/>
      <c r="F65" s="545"/>
      <c r="G65" s="897"/>
      <c r="H65" s="897"/>
      <c r="I65" s="864"/>
      <c r="J65" s="864"/>
      <c r="K65" s="542"/>
      <c r="L65" s="546"/>
      <c r="M65" s="864"/>
      <c r="N65" s="864"/>
      <c r="O65" s="864"/>
      <c r="P65" s="864"/>
      <c r="Q65" s="864"/>
      <c r="R65" s="864"/>
      <c r="S65" s="864"/>
      <c r="T65" s="864"/>
      <c r="U65" s="864"/>
      <c r="V65" s="1733"/>
      <c r="W65" s="893"/>
      <c r="Y65" s="1303"/>
      <c r="AF65" s="1734"/>
      <c r="AI65" s="1303"/>
      <c r="AJ65" s="1303"/>
      <c r="AK65" s="1303"/>
      <c r="AL65" s="1303"/>
      <c r="AM65" s="1303"/>
      <c r="AP65" s="1734"/>
      <c r="AQ65" s="549"/>
      <c r="AR65" s="549"/>
      <c r="AS65" s="1303"/>
      <c r="AT65" s="1303"/>
      <c r="AU65" s="1303"/>
    </row>
    <row r="66" spans="1:52">
      <c r="A66" s="875" t="s">
        <v>1926</v>
      </c>
      <c r="B66" s="875" t="str">
        <f>D66&amp;RIGHT(C66,3)&amp;"-E"</f>
        <v>CKOLP-E</v>
      </c>
      <c r="C66" s="876" t="s">
        <v>1995</v>
      </c>
      <c r="D66" s="876" t="str">
        <f>$B$37</f>
        <v>CK</v>
      </c>
      <c r="E66" s="538">
        <v>0.9</v>
      </c>
      <c r="F66" s="152" t="s">
        <v>38</v>
      </c>
      <c r="G66" s="541">
        <v>1</v>
      </c>
      <c r="H66" s="540">
        <f>G66*SUMIF($C$6:$J$6,C66,$C$37:$J$37)</f>
        <v>0.3324041850249338</v>
      </c>
      <c r="I66" s="540">
        <f>H66*E66</f>
        <v>0.29916376652244042</v>
      </c>
      <c r="K66" s="542">
        <f>I66/SUMIF($D$53:$D$107,$D66,$I$53:$I$107)*(1+$K$48)</f>
        <v>1</v>
      </c>
      <c r="L66" s="546"/>
      <c r="M66" s="548">
        <f>K66</f>
        <v>1</v>
      </c>
      <c r="N66" s="548">
        <f>M66</f>
        <v>1</v>
      </c>
      <c r="O66" s="548">
        <f t="shared" ref="O66:V66" si="24">N66</f>
        <v>1</v>
      </c>
      <c r="P66" s="548">
        <f t="shared" si="24"/>
        <v>1</v>
      </c>
      <c r="Q66" s="548">
        <f t="shared" si="24"/>
        <v>1</v>
      </c>
      <c r="R66" s="548">
        <f t="shared" si="24"/>
        <v>1</v>
      </c>
      <c r="S66" s="548">
        <f t="shared" si="24"/>
        <v>1</v>
      </c>
      <c r="T66" s="548">
        <f t="shared" si="24"/>
        <v>1</v>
      </c>
      <c r="U66" s="548">
        <f t="shared" si="24"/>
        <v>1</v>
      </c>
      <c r="V66" s="1732">
        <f t="shared" si="24"/>
        <v>1</v>
      </c>
      <c r="W66" s="549">
        <f>M66</f>
        <v>1</v>
      </c>
      <c r="X66" s="549">
        <f>N66</f>
        <v>1</v>
      </c>
      <c r="Y66" s="1303">
        <f>X66+($AF66-$X66)/9</f>
        <v>1</v>
      </c>
      <c r="Z66" s="549">
        <f t="shared" ref="Z66:AE66" si="25">P66</f>
        <v>1</v>
      </c>
      <c r="AA66" s="549">
        <f t="shared" si="25"/>
        <v>1</v>
      </c>
      <c r="AB66" s="549">
        <f t="shared" si="25"/>
        <v>1</v>
      </c>
      <c r="AC66" s="549">
        <f t="shared" si="25"/>
        <v>1</v>
      </c>
      <c r="AD66" s="549">
        <f t="shared" si="25"/>
        <v>1</v>
      </c>
      <c r="AE66" s="549">
        <f t="shared" si="25"/>
        <v>1</v>
      </c>
      <c r="AF66" s="1738">
        <v>1</v>
      </c>
      <c r="AG66" s="549">
        <f>M66</f>
        <v>1</v>
      </c>
      <c r="AH66" s="549">
        <f>N66</f>
        <v>1</v>
      </c>
      <c r="AI66" s="1303">
        <f>AH66+($AN66-$AH66)/7</f>
        <v>1</v>
      </c>
      <c r="AJ66" s="1303">
        <f>AI66+($AN66-$AH66)/7</f>
        <v>1</v>
      </c>
      <c r="AK66" s="1303">
        <f>AJ66+($AN66-$AH66)/7</f>
        <v>1</v>
      </c>
      <c r="AL66" s="1303">
        <f>AK66+($AN66-$AH66)/7</f>
        <v>1</v>
      </c>
      <c r="AM66" s="1303">
        <f>AL66+($AN66-$AH66)/7</f>
        <v>1</v>
      </c>
      <c r="AN66" s="549">
        <v>1</v>
      </c>
      <c r="AO66" s="549">
        <f>AE66</f>
        <v>1</v>
      </c>
      <c r="AP66" s="1738">
        <f>AF66</f>
        <v>1</v>
      </c>
      <c r="AQ66" s="549">
        <f t="shared" si="22"/>
        <v>1</v>
      </c>
      <c r="AR66" s="549">
        <f t="shared" si="23"/>
        <v>1</v>
      </c>
      <c r="AS66" s="1303">
        <f>AR66+($AV66-$AR66)/4</f>
        <v>1</v>
      </c>
      <c r="AT66" s="1303">
        <f>AS66+($AV66-$AR66)/4</f>
        <v>1</v>
      </c>
      <c r="AU66" s="1303">
        <f>AT66+($AV66-$AR66)/4</f>
        <v>1</v>
      </c>
      <c r="AV66" s="549">
        <v>1</v>
      </c>
      <c r="AW66" s="549">
        <f>AM66</f>
        <v>1</v>
      </c>
      <c r="AX66" s="549">
        <f>AN66</f>
        <v>1</v>
      </c>
      <c r="AY66" s="549">
        <f>AO66</f>
        <v>1</v>
      </c>
      <c r="AZ66" s="550">
        <f>AP66</f>
        <v>1</v>
      </c>
    </row>
    <row r="67" spans="1:52">
      <c r="A67" s="895"/>
      <c r="F67" s="152"/>
      <c r="G67" s="898">
        <v>1</v>
      </c>
      <c r="H67" s="544">
        <f>SUM(H66)</f>
        <v>0.3324041850249338</v>
      </c>
      <c r="I67" s="544">
        <f>SUM(I66)</f>
        <v>0.29916376652244042</v>
      </c>
      <c r="K67" s="542"/>
      <c r="L67" s="546"/>
      <c r="T67" s="864"/>
      <c r="V67" s="1734"/>
      <c r="W67" s="893"/>
      <c r="Y67" s="1303"/>
      <c r="AF67" s="1734"/>
      <c r="AI67" s="1303"/>
      <c r="AJ67" s="1303"/>
      <c r="AK67" s="1303"/>
      <c r="AL67" s="1303"/>
      <c r="AM67" s="1303"/>
      <c r="AP67" s="1734"/>
      <c r="AQ67" s="549"/>
      <c r="AR67" s="549"/>
      <c r="AS67" s="1303"/>
      <c r="AT67" s="1303"/>
      <c r="AU67" s="1303"/>
    </row>
    <row r="68" spans="1:52">
      <c r="A68" s="1718" t="s">
        <v>96</v>
      </c>
      <c r="B68" s="875"/>
      <c r="C68" s="896"/>
      <c r="D68" s="896"/>
      <c r="E68" s="892"/>
      <c r="F68" s="545"/>
      <c r="G68" s="897"/>
      <c r="H68" s="897"/>
      <c r="I68" s="864"/>
      <c r="J68" s="864"/>
      <c r="K68" s="542"/>
      <c r="L68" s="546"/>
      <c r="M68" s="864"/>
      <c r="N68" s="864"/>
      <c r="O68" s="864"/>
      <c r="P68" s="864"/>
      <c r="Q68" s="864"/>
      <c r="R68" s="864"/>
      <c r="S68" s="864"/>
      <c r="T68" s="864"/>
      <c r="U68" s="864"/>
      <c r="V68" s="1733"/>
      <c r="W68" s="893"/>
      <c r="Y68" s="1303"/>
      <c r="AF68" s="1734"/>
      <c r="AI68" s="1303"/>
      <c r="AJ68" s="1303"/>
      <c r="AK68" s="1303"/>
      <c r="AL68" s="1303"/>
      <c r="AM68" s="1303"/>
      <c r="AP68" s="1734"/>
      <c r="AQ68" s="549"/>
      <c r="AR68" s="549"/>
      <c r="AS68" s="1303"/>
      <c r="AT68" s="1303"/>
      <c r="AU68" s="1303"/>
    </row>
    <row r="69" spans="1:52">
      <c r="A69" s="875" t="s">
        <v>1927</v>
      </c>
      <c r="B69" s="875" t="str">
        <f>D69&amp;RIGHT(C69,3)&amp;"CFL-E"</f>
        <v>CLELCCFL-E</v>
      </c>
      <c r="C69" s="876" t="s">
        <v>1990</v>
      </c>
      <c r="D69" s="876" t="str">
        <f t="shared" ref="D69:D74" si="26">$B$38</f>
        <v>CL</v>
      </c>
      <c r="E69" s="538">
        <v>4</v>
      </c>
      <c r="F69" s="152" t="s">
        <v>33</v>
      </c>
      <c r="G69" s="541">
        <v>0.06</v>
      </c>
      <c r="H69" s="540">
        <f t="shared" ref="H69:H74" si="27">G69*SUMIF($C$6:$J$6,C69,$C$38:$J$38)</f>
        <v>2.3404072803698504</v>
      </c>
      <c r="I69" s="540">
        <f t="shared" ref="I69:I74" si="28">H69*E69</f>
        <v>9.3616291214794014</v>
      </c>
      <c r="K69" s="542">
        <f t="shared" ref="K69:K74" si="29">I69/SUMIF($D$53:$D$107,$D69,$I$53:$I$107)*(1+$K$48)</f>
        <v>5.274725274725274E-2</v>
      </c>
      <c r="L69" s="546"/>
      <c r="M69" s="548">
        <f t="shared" ref="M69:M74" si="30">K69</f>
        <v>5.274725274725274E-2</v>
      </c>
      <c r="N69" s="548">
        <f>M69</f>
        <v>5.274725274725274E-2</v>
      </c>
      <c r="O69" s="548">
        <f t="shared" ref="O69:V69" si="31">N69</f>
        <v>5.274725274725274E-2</v>
      </c>
      <c r="P69" s="548">
        <f t="shared" si="31"/>
        <v>5.274725274725274E-2</v>
      </c>
      <c r="Q69" s="548">
        <f t="shared" si="31"/>
        <v>5.274725274725274E-2</v>
      </c>
      <c r="R69" s="548">
        <f t="shared" si="31"/>
        <v>5.274725274725274E-2</v>
      </c>
      <c r="S69" s="548">
        <f t="shared" si="31"/>
        <v>5.274725274725274E-2</v>
      </c>
      <c r="T69" s="548">
        <f t="shared" si="31"/>
        <v>5.274725274725274E-2</v>
      </c>
      <c r="U69" s="548">
        <f t="shared" si="31"/>
        <v>5.274725274725274E-2</v>
      </c>
      <c r="V69" s="1732">
        <f t="shared" si="31"/>
        <v>5.274725274725274E-2</v>
      </c>
      <c r="W69" s="548">
        <f>M69</f>
        <v>5.274725274725274E-2</v>
      </c>
      <c r="X69" s="548">
        <f>N69</f>
        <v>5.274725274725274E-2</v>
      </c>
      <c r="Y69" s="1303">
        <f t="shared" ref="Y69:AE74" si="32">X69+($AF69-$X69)/9</f>
        <v>4.6886446886446879E-2</v>
      </c>
      <c r="Z69" s="1303">
        <f t="shared" si="32"/>
        <v>4.1025641025641019E-2</v>
      </c>
      <c r="AA69" s="1303">
        <f t="shared" si="32"/>
        <v>3.5164835164835158E-2</v>
      </c>
      <c r="AB69" s="1303">
        <f t="shared" si="32"/>
        <v>2.9304029304029297E-2</v>
      </c>
      <c r="AC69" s="1303">
        <f t="shared" si="32"/>
        <v>2.3443223443223436E-2</v>
      </c>
      <c r="AD69" s="1303">
        <f t="shared" si="32"/>
        <v>1.7582417582417575E-2</v>
      </c>
      <c r="AE69" s="1303">
        <f t="shared" si="32"/>
        <v>1.1721611721611715E-2</v>
      </c>
      <c r="AF69" s="1737">
        <v>0</v>
      </c>
      <c r="AG69" s="548">
        <f t="shared" ref="AG69:AH74" si="33">M69</f>
        <v>5.274725274725274E-2</v>
      </c>
      <c r="AH69" s="548">
        <f t="shared" si="33"/>
        <v>5.274725274725274E-2</v>
      </c>
      <c r="AI69" s="1303">
        <f t="shared" ref="AI69:AM74" si="34">AH69+($AN69-$AH69)/7</f>
        <v>4.5211930926216636E-2</v>
      </c>
      <c r="AJ69" s="1303">
        <f t="shared" si="34"/>
        <v>3.7676609105180531E-2</v>
      </c>
      <c r="AK69" s="1303">
        <f t="shared" si="34"/>
        <v>3.0141287284144426E-2</v>
      </c>
      <c r="AL69" s="1303">
        <f t="shared" si="34"/>
        <v>2.2605965463108321E-2</v>
      </c>
      <c r="AM69" s="1303">
        <f t="shared" si="34"/>
        <v>1.5070643642072216E-2</v>
      </c>
      <c r="AN69" s="975">
        <v>0</v>
      </c>
      <c r="AO69" s="975">
        <f>AN69</f>
        <v>0</v>
      </c>
      <c r="AP69" s="1737">
        <f>AO69</f>
        <v>0</v>
      </c>
      <c r="AQ69" s="549">
        <f t="shared" si="22"/>
        <v>5.274725274725274E-2</v>
      </c>
      <c r="AR69" s="549">
        <f t="shared" si="23"/>
        <v>5.274725274725274E-2</v>
      </c>
      <c r="AS69" s="1303">
        <f t="shared" ref="AS69:AU74" si="35">AR69+($AV69-$AR69)/4</f>
        <v>3.9560439560439559E-2</v>
      </c>
      <c r="AT69" s="1303">
        <f t="shared" si="35"/>
        <v>2.6373626373626374E-2</v>
      </c>
      <c r="AU69" s="1303">
        <f t="shared" si="35"/>
        <v>1.3186813186813189E-2</v>
      </c>
      <c r="AV69" s="975">
        <v>0</v>
      </c>
      <c r="AW69" s="975">
        <v>0</v>
      </c>
      <c r="AX69" s="975">
        <v>0</v>
      </c>
      <c r="AY69" s="975">
        <v>0</v>
      </c>
      <c r="AZ69" s="975">
        <v>0</v>
      </c>
    </row>
    <row r="70" spans="1:52">
      <c r="A70" s="875" t="s">
        <v>1928</v>
      </c>
      <c r="B70" s="875" t="str">
        <f>D70&amp;RIGHT(C70,3)&amp;"FLU-E"</f>
        <v>CLELCFLU-E</v>
      </c>
      <c r="C70" s="876" t="s">
        <v>1990</v>
      </c>
      <c r="D70" s="876" t="str">
        <f t="shared" si="26"/>
        <v>CL</v>
      </c>
      <c r="E70" s="538">
        <v>4.5</v>
      </c>
      <c r="F70" s="152" t="s">
        <v>33</v>
      </c>
      <c r="G70" s="541">
        <v>0.7</v>
      </c>
      <c r="H70" s="540">
        <f t="shared" si="27"/>
        <v>27.304751604314919</v>
      </c>
      <c r="I70" s="540">
        <f t="shared" si="28"/>
        <v>122.87138221941714</v>
      </c>
      <c r="K70" s="542">
        <f t="shared" si="29"/>
        <v>0.69230769230769218</v>
      </c>
      <c r="L70" s="546"/>
      <c r="M70" s="548">
        <f t="shared" si="30"/>
        <v>0.69230769230769218</v>
      </c>
      <c r="N70" s="548">
        <f t="shared" ref="N70:V74" si="36">M70</f>
        <v>0.69230769230769218</v>
      </c>
      <c r="O70" s="548">
        <f t="shared" si="36"/>
        <v>0.69230769230769218</v>
      </c>
      <c r="P70" s="548">
        <f t="shared" si="36"/>
        <v>0.69230769230769218</v>
      </c>
      <c r="Q70" s="548">
        <f t="shared" si="36"/>
        <v>0.69230769230769218</v>
      </c>
      <c r="R70" s="548">
        <f t="shared" si="36"/>
        <v>0.69230769230769218</v>
      </c>
      <c r="S70" s="548">
        <f t="shared" si="36"/>
        <v>0.69230769230769218</v>
      </c>
      <c r="T70" s="548">
        <f t="shared" si="36"/>
        <v>0.69230769230769218</v>
      </c>
      <c r="U70" s="548">
        <f t="shared" si="36"/>
        <v>0.69230769230769218</v>
      </c>
      <c r="V70" s="1732">
        <f t="shared" si="36"/>
        <v>0.69230769230769218</v>
      </c>
      <c r="W70" s="548">
        <f t="shared" ref="W70:X74" si="37">M70</f>
        <v>0.69230769230769218</v>
      </c>
      <c r="X70" s="548">
        <f t="shared" si="37"/>
        <v>0.69230769230769218</v>
      </c>
      <c r="Y70" s="1303">
        <f t="shared" si="32"/>
        <v>0.61538461538461531</v>
      </c>
      <c r="Z70" s="1303">
        <f t="shared" si="32"/>
        <v>0.53846153846153844</v>
      </c>
      <c r="AA70" s="1303">
        <f t="shared" si="32"/>
        <v>0.46153846153846151</v>
      </c>
      <c r="AB70" s="1303">
        <f t="shared" si="32"/>
        <v>0.38461538461538458</v>
      </c>
      <c r="AC70" s="1303">
        <f t="shared" si="32"/>
        <v>0.30769230769230765</v>
      </c>
      <c r="AD70" s="1303">
        <f t="shared" si="32"/>
        <v>0.23076923076923073</v>
      </c>
      <c r="AE70" s="1303">
        <f t="shared" si="32"/>
        <v>0.1538461538461538</v>
      </c>
      <c r="AF70" s="1737">
        <v>0</v>
      </c>
      <c r="AG70" s="548">
        <f t="shared" si="33"/>
        <v>0.69230769230769218</v>
      </c>
      <c r="AH70" s="548">
        <f t="shared" si="33"/>
        <v>0.69230769230769218</v>
      </c>
      <c r="AI70" s="1303">
        <f t="shared" si="34"/>
        <v>0.5934065934065933</v>
      </c>
      <c r="AJ70" s="1303">
        <f t="shared" si="34"/>
        <v>0.49450549450549441</v>
      </c>
      <c r="AK70" s="1303">
        <f t="shared" si="34"/>
        <v>0.39560439560439553</v>
      </c>
      <c r="AL70" s="1303">
        <f t="shared" si="34"/>
        <v>0.29670329670329665</v>
      </c>
      <c r="AM70" s="1303">
        <f t="shared" si="34"/>
        <v>0.19780219780219777</v>
      </c>
      <c r="AN70" s="975">
        <v>0</v>
      </c>
      <c r="AO70" s="975">
        <f t="shared" ref="AO70:AP74" si="38">AN70</f>
        <v>0</v>
      </c>
      <c r="AP70" s="1737">
        <f t="shared" si="38"/>
        <v>0</v>
      </c>
      <c r="AQ70" s="549">
        <f t="shared" si="22"/>
        <v>0.69230769230769218</v>
      </c>
      <c r="AR70" s="549">
        <f t="shared" si="23"/>
        <v>0.69230769230769218</v>
      </c>
      <c r="AS70" s="1303">
        <f t="shared" si="35"/>
        <v>0.51923076923076916</v>
      </c>
      <c r="AT70" s="1303">
        <f t="shared" si="35"/>
        <v>0.34615384615384615</v>
      </c>
      <c r="AU70" s="1303">
        <f t="shared" si="35"/>
        <v>0.1730769230769231</v>
      </c>
      <c r="AV70" s="975">
        <v>0</v>
      </c>
      <c r="AW70" s="975">
        <v>0</v>
      </c>
      <c r="AX70" s="975">
        <v>0</v>
      </c>
      <c r="AY70" s="975">
        <v>0</v>
      </c>
      <c r="AZ70" s="975">
        <v>0</v>
      </c>
    </row>
    <row r="71" spans="1:52">
      <c r="A71" s="875" t="s">
        <v>1929</v>
      </c>
      <c r="B71" s="875" t="str">
        <f>D71&amp;RIGHT(C71,3)&amp;"HAL-E"</f>
        <v>CLELCHAL-E</v>
      </c>
      <c r="C71" s="876" t="s">
        <v>1990</v>
      </c>
      <c r="D71" s="876" t="str">
        <f t="shared" si="26"/>
        <v>CL</v>
      </c>
      <c r="E71" s="538">
        <v>2</v>
      </c>
      <c r="F71" s="152" t="s">
        <v>33</v>
      </c>
      <c r="G71" s="541">
        <v>0.02</v>
      </c>
      <c r="H71" s="540">
        <f t="shared" si="27"/>
        <v>0.78013576012328345</v>
      </c>
      <c r="I71" s="540">
        <f t="shared" si="28"/>
        <v>1.5602715202465669</v>
      </c>
      <c r="K71" s="542">
        <f t="shared" si="29"/>
        <v>8.7912087912087895E-3</v>
      </c>
      <c r="L71" s="546"/>
      <c r="M71" s="548">
        <f t="shared" si="30"/>
        <v>8.7912087912087895E-3</v>
      </c>
      <c r="N71" s="548">
        <f t="shared" si="36"/>
        <v>8.7912087912087895E-3</v>
      </c>
      <c r="O71" s="548">
        <f t="shared" si="36"/>
        <v>8.7912087912087895E-3</v>
      </c>
      <c r="P71" s="548">
        <f t="shared" si="36"/>
        <v>8.7912087912087895E-3</v>
      </c>
      <c r="Q71" s="548">
        <f t="shared" si="36"/>
        <v>8.7912087912087895E-3</v>
      </c>
      <c r="R71" s="548">
        <f t="shared" si="36"/>
        <v>8.7912087912087895E-3</v>
      </c>
      <c r="S71" s="548">
        <f t="shared" si="36"/>
        <v>8.7912087912087895E-3</v>
      </c>
      <c r="T71" s="548">
        <f t="shared" si="36"/>
        <v>8.7912087912087895E-3</v>
      </c>
      <c r="U71" s="548">
        <f t="shared" si="36"/>
        <v>8.7912087912087895E-3</v>
      </c>
      <c r="V71" s="1732">
        <f t="shared" si="36"/>
        <v>8.7912087912087895E-3</v>
      </c>
      <c r="W71" s="548">
        <f t="shared" si="37"/>
        <v>8.7912087912087895E-3</v>
      </c>
      <c r="X71" s="548">
        <f t="shared" si="37"/>
        <v>8.7912087912087895E-3</v>
      </c>
      <c r="Y71" s="1303">
        <f t="shared" si="32"/>
        <v>7.8144078144078127E-3</v>
      </c>
      <c r="Z71" s="1303">
        <f t="shared" si="32"/>
        <v>6.8376068376068359E-3</v>
      </c>
      <c r="AA71" s="1303">
        <f t="shared" si="32"/>
        <v>5.8608058608058591E-3</v>
      </c>
      <c r="AB71" s="1303">
        <f t="shared" si="32"/>
        <v>4.8840048840048823E-3</v>
      </c>
      <c r="AC71" s="1303">
        <f t="shared" si="32"/>
        <v>3.9072039072039055E-3</v>
      </c>
      <c r="AD71" s="1303">
        <f t="shared" si="32"/>
        <v>2.9304029304029287E-3</v>
      </c>
      <c r="AE71" s="1303">
        <f t="shared" si="32"/>
        <v>1.9536019536019519E-3</v>
      </c>
      <c r="AF71" s="1737">
        <v>0</v>
      </c>
      <c r="AG71" s="548">
        <f t="shared" si="33"/>
        <v>8.7912087912087895E-3</v>
      </c>
      <c r="AH71" s="548">
        <f t="shared" si="33"/>
        <v>8.7912087912087895E-3</v>
      </c>
      <c r="AI71" s="1303">
        <f t="shared" si="34"/>
        <v>7.5353218210361048E-3</v>
      </c>
      <c r="AJ71" s="1303">
        <f t="shared" si="34"/>
        <v>6.2794348508634201E-3</v>
      </c>
      <c r="AK71" s="1303">
        <f t="shared" si="34"/>
        <v>5.0235478806907354E-3</v>
      </c>
      <c r="AL71" s="1303">
        <f t="shared" si="34"/>
        <v>3.7676609105180511E-3</v>
      </c>
      <c r="AM71" s="1303">
        <f t="shared" si="34"/>
        <v>2.5117739403453668E-3</v>
      </c>
      <c r="AN71" s="975">
        <v>0</v>
      </c>
      <c r="AO71" s="975">
        <f t="shared" si="38"/>
        <v>0</v>
      </c>
      <c r="AP71" s="1737">
        <f t="shared" si="38"/>
        <v>0</v>
      </c>
      <c r="AQ71" s="549">
        <f t="shared" si="22"/>
        <v>8.7912087912087895E-3</v>
      </c>
      <c r="AR71" s="549">
        <f t="shared" si="23"/>
        <v>8.7912087912087895E-3</v>
      </c>
      <c r="AS71" s="1303">
        <f t="shared" si="35"/>
        <v>6.5934065934065925E-3</v>
      </c>
      <c r="AT71" s="1303">
        <f t="shared" si="35"/>
        <v>4.3956043956043956E-3</v>
      </c>
      <c r="AU71" s="1303">
        <f t="shared" si="35"/>
        <v>2.1978021978021982E-3</v>
      </c>
      <c r="AV71" s="975">
        <v>0</v>
      </c>
      <c r="AW71" s="975">
        <v>0</v>
      </c>
      <c r="AX71" s="975">
        <v>0</v>
      </c>
      <c r="AY71" s="975">
        <v>0</v>
      </c>
      <c r="AZ71" s="975">
        <v>0</v>
      </c>
    </row>
    <row r="72" spans="1:52">
      <c r="A72" s="875" t="s">
        <v>1930</v>
      </c>
      <c r="B72" s="875" t="str">
        <f>D72&amp;RIGHT(C72,3)&amp;"HID-E"</f>
        <v>CLELCHID-E</v>
      </c>
      <c r="C72" s="876" t="s">
        <v>1990</v>
      </c>
      <c r="D72" s="876" t="str">
        <f t="shared" si="26"/>
        <v>CL</v>
      </c>
      <c r="E72" s="538">
        <v>7</v>
      </c>
      <c r="F72" s="152" t="s">
        <v>33</v>
      </c>
      <c r="G72" s="541">
        <v>0.15</v>
      </c>
      <c r="H72" s="540">
        <f t="shared" si="27"/>
        <v>5.8510182009246252</v>
      </c>
      <c r="I72" s="540">
        <f t="shared" si="28"/>
        <v>40.957127406472374</v>
      </c>
      <c r="K72" s="542">
        <f t="shared" si="29"/>
        <v>0.2307692307692307</v>
      </c>
      <c r="L72" s="546"/>
      <c r="M72" s="548">
        <f t="shared" si="30"/>
        <v>0.2307692307692307</v>
      </c>
      <c r="N72" s="548">
        <f t="shared" si="36"/>
        <v>0.2307692307692307</v>
      </c>
      <c r="O72" s="548">
        <f t="shared" si="36"/>
        <v>0.2307692307692307</v>
      </c>
      <c r="P72" s="548">
        <f t="shared" si="36"/>
        <v>0.2307692307692307</v>
      </c>
      <c r="Q72" s="548">
        <f t="shared" si="36"/>
        <v>0.2307692307692307</v>
      </c>
      <c r="R72" s="548">
        <f t="shared" si="36"/>
        <v>0.2307692307692307</v>
      </c>
      <c r="S72" s="548">
        <f t="shared" si="36"/>
        <v>0.2307692307692307</v>
      </c>
      <c r="T72" s="548">
        <f t="shared" si="36"/>
        <v>0.2307692307692307</v>
      </c>
      <c r="U72" s="548">
        <f t="shared" si="36"/>
        <v>0.2307692307692307</v>
      </c>
      <c r="V72" s="1732">
        <f t="shared" si="36"/>
        <v>0.2307692307692307</v>
      </c>
      <c r="W72" s="548">
        <f t="shared" si="37"/>
        <v>0.2307692307692307</v>
      </c>
      <c r="X72" s="548">
        <f t="shared" si="37"/>
        <v>0.2307692307692307</v>
      </c>
      <c r="Y72" s="1303">
        <f t="shared" si="32"/>
        <v>0.20512820512820507</v>
      </c>
      <c r="Z72" s="1303">
        <f t="shared" si="32"/>
        <v>0.17948717948717943</v>
      </c>
      <c r="AA72" s="1303">
        <f t="shared" si="32"/>
        <v>0.1538461538461538</v>
      </c>
      <c r="AB72" s="1303">
        <f t="shared" si="32"/>
        <v>0.12820512820512817</v>
      </c>
      <c r="AC72" s="1303">
        <f t="shared" si="32"/>
        <v>0.10256410256410253</v>
      </c>
      <c r="AD72" s="1303">
        <f t="shared" si="32"/>
        <v>7.69230769230769E-2</v>
      </c>
      <c r="AE72" s="1303">
        <f t="shared" si="32"/>
        <v>5.1282051282051266E-2</v>
      </c>
      <c r="AF72" s="1737">
        <v>0</v>
      </c>
      <c r="AG72" s="548">
        <f t="shared" si="33"/>
        <v>0.2307692307692307</v>
      </c>
      <c r="AH72" s="548">
        <f t="shared" si="33"/>
        <v>0.2307692307692307</v>
      </c>
      <c r="AI72" s="1303">
        <f t="shared" si="34"/>
        <v>0.19780219780219774</v>
      </c>
      <c r="AJ72" s="1303">
        <f t="shared" si="34"/>
        <v>0.16483516483516478</v>
      </c>
      <c r="AK72" s="1303">
        <f t="shared" si="34"/>
        <v>0.13186813186813182</v>
      </c>
      <c r="AL72" s="1303">
        <f t="shared" si="34"/>
        <v>9.8901098901098855E-2</v>
      </c>
      <c r="AM72" s="1303">
        <f t="shared" si="34"/>
        <v>6.5934065934065894E-2</v>
      </c>
      <c r="AN72" s="975">
        <v>0</v>
      </c>
      <c r="AO72" s="975">
        <f t="shared" si="38"/>
        <v>0</v>
      </c>
      <c r="AP72" s="1737">
        <f t="shared" si="38"/>
        <v>0</v>
      </c>
      <c r="AQ72" s="549">
        <f t="shared" si="22"/>
        <v>0.2307692307692307</v>
      </c>
      <c r="AR72" s="549">
        <f t="shared" si="23"/>
        <v>0.2307692307692307</v>
      </c>
      <c r="AS72" s="1303">
        <f t="shared" si="35"/>
        <v>0.17307692307692302</v>
      </c>
      <c r="AT72" s="1303">
        <f t="shared" si="35"/>
        <v>0.11538461538461534</v>
      </c>
      <c r="AU72" s="1303">
        <f t="shared" si="35"/>
        <v>5.7692307692307661E-2</v>
      </c>
      <c r="AV72" s="975">
        <v>0</v>
      </c>
      <c r="AW72" s="975">
        <v>0</v>
      </c>
      <c r="AX72" s="975">
        <v>0</v>
      </c>
      <c r="AY72" s="975">
        <v>0</v>
      </c>
      <c r="AZ72" s="975">
        <v>0</v>
      </c>
    </row>
    <row r="73" spans="1:52">
      <c r="A73" s="875" t="s">
        <v>1931</v>
      </c>
      <c r="B73" s="875" t="str">
        <f>D73&amp;RIGHT(C73,3)&amp;"INC-E"</f>
        <v>CLELCINC-E</v>
      </c>
      <c r="C73" s="876" t="s">
        <v>1990</v>
      </c>
      <c r="D73" s="876" t="str">
        <f t="shared" si="26"/>
        <v>CL</v>
      </c>
      <c r="E73" s="538">
        <v>1</v>
      </c>
      <c r="F73" s="152" t="s">
        <v>33</v>
      </c>
      <c r="G73" s="541">
        <v>7.0000000000000007E-2</v>
      </c>
      <c r="H73" s="540">
        <f t="shared" si="27"/>
        <v>2.7304751604314923</v>
      </c>
      <c r="I73" s="540">
        <f t="shared" si="28"/>
        <v>2.7304751604314923</v>
      </c>
      <c r="K73" s="542">
        <f t="shared" si="29"/>
        <v>1.5384615384615384E-2</v>
      </c>
      <c r="L73" s="546"/>
      <c r="M73" s="548">
        <f t="shared" si="30"/>
        <v>1.5384615384615384E-2</v>
      </c>
      <c r="N73" s="548">
        <f t="shared" si="36"/>
        <v>1.5384615384615384E-2</v>
      </c>
      <c r="O73" s="548">
        <f t="shared" si="36"/>
        <v>1.5384615384615384E-2</v>
      </c>
      <c r="P73" s="548">
        <f t="shared" si="36"/>
        <v>1.5384615384615384E-2</v>
      </c>
      <c r="Q73" s="548">
        <f t="shared" si="36"/>
        <v>1.5384615384615384E-2</v>
      </c>
      <c r="R73" s="548">
        <f t="shared" si="36"/>
        <v>1.5384615384615384E-2</v>
      </c>
      <c r="S73" s="548">
        <f t="shared" si="36"/>
        <v>1.5384615384615384E-2</v>
      </c>
      <c r="T73" s="548">
        <f t="shared" si="36"/>
        <v>1.5384615384615384E-2</v>
      </c>
      <c r="U73" s="548">
        <f t="shared" si="36"/>
        <v>1.5384615384615384E-2</v>
      </c>
      <c r="V73" s="1732">
        <f t="shared" si="36"/>
        <v>1.5384615384615384E-2</v>
      </c>
      <c r="W73" s="548">
        <f t="shared" si="37"/>
        <v>1.5384615384615384E-2</v>
      </c>
      <c r="X73" s="548">
        <f t="shared" si="37"/>
        <v>1.5384615384615384E-2</v>
      </c>
      <c r="Y73" s="1303">
        <f t="shared" si="32"/>
        <v>1.3675213675213675E-2</v>
      </c>
      <c r="Z73" s="1303">
        <f t="shared" si="32"/>
        <v>1.1965811965811965E-2</v>
      </c>
      <c r="AA73" s="1303">
        <f t="shared" si="32"/>
        <v>1.0256410256410255E-2</v>
      </c>
      <c r="AB73" s="1303">
        <f t="shared" si="32"/>
        <v>8.5470085470085444E-3</v>
      </c>
      <c r="AC73" s="1303">
        <f t="shared" si="32"/>
        <v>6.837606837606835E-3</v>
      </c>
      <c r="AD73" s="1303">
        <f t="shared" si="32"/>
        <v>5.1282051282051256E-3</v>
      </c>
      <c r="AE73" s="1303">
        <f t="shared" si="32"/>
        <v>3.4188034188034162E-3</v>
      </c>
      <c r="AF73" s="1737">
        <v>0</v>
      </c>
      <c r="AG73" s="548">
        <f t="shared" si="33"/>
        <v>1.5384615384615384E-2</v>
      </c>
      <c r="AH73" s="548">
        <f t="shared" si="33"/>
        <v>1.5384615384615384E-2</v>
      </c>
      <c r="AI73" s="1303">
        <f t="shared" si="34"/>
        <v>1.3186813186813185E-2</v>
      </c>
      <c r="AJ73" s="1303">
        <f t="shared" si="34"/>
        <v>1.0989010989010988E-2</v>
      </c>
      <c r="AK73" s="1303">
        <f t="shared" si="34"/>
        <v>8.7912087912087912E-3</v>
      </c>
      <c r="AL73" s="1303">
        <f t="shared" si="34"/>
        <v>6.5934065934065934E-3</v>
      </c>
      <c r="AM73" s="1303">
        <f t="shared" si="34"/>
        <v>4.3956043956043956E-3</v>
      </c>
      <c r="AN73" s="975">
        <v>0</v>
      </c>
      <c r="AO73" s="975">
        <f t="shared" si="38"/>
        <v>0</v>
      </c>
      <c r="AP73" s="1737">
        <f t="shared" si="38"/>
        <v>0</v>
      </c>
      <c r="AQ73" s="549">
        <f t="shared" si="22"/>
        <v>1.5384615384615384E-2</v>
      </c>
      <c r="AR73" s="549">
        <f t="shared" si="23"/>
        <v>1.5384615384615384E-2</v>
      </c>
      <c r="AS73" s="1303">
        <f t="shared" si="35"/>
        <v>1.1538461538461537E-2</v>
      </c>
      <c r="AT73" s="1303">
        <f t="shared" si="35"/>
        <v>7.692307692307691E-3</v>
      </c>
      <c r="AU73" s="1303">
        <f t="shared" si="35"/>
        <v>3.8461538461538451E-3</v>
      </c>
      <c r="AV73" s="975">
        <v>0</v>
      </c>
      <c r="AW73" s="975">
        <v>0</v>
      </c>
      <c r="AX73" s="975">
        <v>0</v>
      </c>
      <c r="AY73" s="975">
        <v>0</v>
      </c>
      <c r="AZ73" s="975">
        <v>0</v>
      </c>
    </row>
    <row r="74" spans="1:52">
      <c r="A74" s="875" t="s">
        <v>1932</v>
      </c>
      <c r="B74" s="875" t="str">
        <f>D74&amp;RIGHT(C74,3)&amp;"LED-N"</f>
        <v>CLELCLED-N</v>
      </c>
      <c r="C74" s="876" t="s">
        <v>1990</v>
      </c>
      <c r="D74" s="876" t="str">
        <f t="shared" si="26"/>
        <v>CL</v>
      </c>
      <c r="E74" s="538">
        <v>9.8000000000000007</v>
      </c>
      <c r="F74" s="152" t="s">
        <v>33</v>
      </c>
      <c r="G74" s="541">
        <v>0</v>
      </c>
      <c r="H74" s="540">
        <f t="shared" si="27"/>
        <v>0</v>
      </c>
      <c r="I74" s="540">
        <f t="shared" si="28"/>
        <v>0</v>
      </c>
      <c r="K74" s="542">
        <f t="shared" si="29"/>
        <v>0</v>
      </c>
      <c r="L74" s="546"/>
      <c r="M74" s="548">
        <f t="shared" si="30"/>
        <v>0</v>
      </c>
      <c r="N74" s="548">
        <f t="shared" si="36"/>
        <v>0</v>
      </c>
      <c r="O74" s="548">
        <f t="shared" si="36"/>
        <v>0</v>
      </c>
      <c r="P74" s="548">
        <f t="shared" si="36"/>
        <v>0</v>
      </c>
      <c r="Q74" s="548">
        <f t="shared" si="36"/>
        <v>0</v>
      </c>
      <c r="R74" s="548">
        <f t="shared" si="36"/>
        <v>0</v>
      </c>
      <c r="S74" s="548">
        <f t="shared" si="36"/>
        <v>0</v>
      </c>
      <c r="T74" s="548">
        <f t="shared" si="36"/>
        <v>0</v>
      </c>
      <c r="U74" s="548">
        <f t="shared" si="36"/>
        <v>0</v>
      </c>
      <c r="V74" s="1732">
        <f t="shared" si="36"/>
        <v>0</v>
      </c>
      <c r="W74" s="548">
        <f t="shared" si="37"/>
        <v>0</v>
      </c>
      <c r="X74" s="548">
        <f t="shared" si="37"/>
        <v>0</v>
      </c>
      <c r="Y74" s="1303">
        <f t="shared" si="32"/>
        <v>0.1111111111111111</v>
      </c>
      <c r="Z74" s="1303">
        <f t="shared" si="32"/>
        <v>0.22222222222222221</v>
      </c>
      <c r="AA74" s="1303">
        <f t="shared" si="32"/>
        <v>0.33333333333333331</v>
      </c>
      <c r="AB74" s="1303">
        <f t="shared" si="32"/>
        <v>0.44444444444444442</v>
      </c>
      <c r="AC74" s="1303">
        <f t="shared" si="32"/>
        <v>0.55555555555555558</v>
      </c>
      <c r="AD74" s="1303">
        <f t="shared" si="32"/>
        <v>0.66666666666666674</v>
      </c>
      <c r="AE74" s="1303">
        <f t="shared" si="32"/>
        <v>0.7777777777777779</v>
      </c>
      <c r="AF74" s="1737">
        <v>1</v>
      </c>
      <c r="AG74" s="548">
        <f t="shared" si="33"/>
        <v>0</v>
      </c>
      <c r="AH74" s="548">
        <f t="shared" si="33"/>
        <v>0</v>
      </c>
      <c r="AI74" s="1303">
        <f t="shared" si="34"/>
        <v>0.14285714285714285</v>
      </c>
      <c r="AJ74" s="1303">
        <f t="shared" si="34"/>
        <v>0.2857142857142857</v>
      </c>
      <c r="AK74" s="1303">
        <f t="shared" si="34"/>
        <v>0.42857142857142855</v>
      </c>
      <c r="AL74" s="1303">
        <f t="shared" si="34"/>
        <v>0.5714285714285714</v>
      </c>
      <c r="AM74" s="1303">
        <f t="shared" si="34"/>
        <v>0.71428571428571419</v>
      </c>
      <c r="AN74" s="975">
        <v>1</v>
      </c>
      <c r="AO74" s="975">
        <f t="shared" si="38"/>
        <v>1</v>
      </c>
      <c r="AP74" s="1737">
        <f t="shared" si="38"/>
        <v>1</v>
      </c>
      <c r="AQ74" s="549">
        <f t="shared" si="22"/>
        <v>0</v>
      </c>
      <c r="AR74" s="549">
        <f t="shared" si="23"/>
        <v>0</v>
      </c>
      <c r="AS74" s="1303">
        <f t="shared" si="35"/>
        <v>0.25</v>
      </c>
      <c r="AT74" s="1303">
        <f t="shared" si="35"/>
        <v>0.5</v>
      </c>
      <c r="AU74" s="1303">
        <f t="shared" si="35"/>
        <v>0.75</v>
      </c>
      <c r="AV74" s="975">
        <v>1</v>
      </c>
      <c r="AW74" s="975">
        <v>1</v>
      </c>
      <c r="AX74" s="975">
        <v>1</v>
      </c>
      <c r="AY74" s="975">
        <v>1</v>
      </c>
      <c r="AZ74" s="975">
        <v>1</v>
      </c>
    </row>
    <row r="75" spans="1:52">
      <c r="A75" s="895"/>
      <c r="F75" s="152"/>
      <c r="G75" s="898">
        <v>1</v>
      </c>
      <c r="H75" s="544">
        <f>SUM(H69:H73)</f>
        <v>39.006788006164172</v>
      </c>
      <c r="I75" s="544">
        <f>SUM(I69:I73)</f>
        <v>177.480885428047</v>
      </c>
      <c r="K75" s="542"/>
      <c r="L75" s="546"/>
      <c r="T75" s="864"/>
      <c r="V75" s="1734"/>
      <c r="W75" s="893"/>
      <c r="X75" s="893"/>
      <c r="Y75" s="1303"/>
      <c r="Z75" s="1303"/>
      <c r="AF75" s="1734"/>
      <c r="AI75" s="1303"/>
      <c r="AJ75" s="1303"/>
      <c r="AK75" s="1303"/>
      <c r="AL75" s="1303"/>
      <c r="AM75" s="1303"/>
      <c r="AP75" s="1734"/>
      <c r="AQ75" s="549"/>
      <c r="AR75" s="549"/>
      <c r="AS75" s="1303"/>
      <c r="AT75" s="1303"/>
      <c r="AU75" s="1303"/>
    </row>
    <row r="76" spans="1:52">
      <c r="A76" s="1718" t="s">
        <v>832</v>
      </c>
      <c r="B76" s="875"/>
      <c r="C76" s="896"/>
      <c r="D76" s="896"/>
      <c r="E76" s="892"/>
      <c r="F76" s="545"/>
      <c r="G76" s="897"/>
      <c r="H76" s="897"/>
      <c r="I76" s="864"/>
      <c r="J76" s="864"/>
      <c r="K76" s="542"/>
      <c r="L76" s="546"/>
      <c r="M76" s="864"/>
      <c r="N76" s="864"/>
      <c r="O76" s="864"/>
      <c r="P76" s="864"/>
      <c r="Q76" s="864"/>
      <c r="R76" s="864"/>
      <c r="S76" s="864"/>
      <c r="T76" s="864"/>
      <c r="U76" s="864"/>
      <c r="V76" s="1733"/>
      <c r="W76" s="893"/>
      <c r="Y76" s="1303"/>
      <c r="Z76" s="1303"/>
      <c r="AF76" s="1734"/>
      <c r="AI76" s="1303"/>
      <c r="AJ76" s="1303"/>
      <c r="AK76" s="1303"/>
      <c r="AL76" s="1303"/>
      <c r="AM76" s="1303"/>
      <c r="AP76" s="1734"/>
      <c r="AQ76" s="549"/>
      <c r="AR76" s="549"/>
      <c r="AS76" s="1303"/>
      <c r="AT76" s="1303"/>
      <c r="AU76" s="1303"/>
    </row>
    <row r="77" spans="1:52">
      <c r="A77" s="875" t="s">
        <v>1933</v>
      </c>
      <c r="B77" s="875" t="str">
        <f>D77&amp;RIGHT(C77,3)&amp;"-E"</f>
        <v>CRELC-E</v>
      </c>
      <c r="C77" s="876" t="s">
        <v>1990</v>
      </c>
      <c r="D77" s="876" t="str">
        <f>$B$39</f>
        <v>CR</v>
      </c>
      <c r="E77" s="538">
        <v>1</v>
      </c>
      <c r="F77" s="152" t="s">
        <v>33</v>
      </c>
      <c r="G77" s="541">
        <v>1</v>
      </c>
      <c r="H77" s="540">
        <f>G77*SUMIF($C$6:$J$6,C77,$C$39:$J$39)</f>
        <v>7.3604096683643041</v>
      </c>
      <c r="I77" s="540">
        <f>H77*E77</f>
        <v>7.3604096683643041</v>
      </c>
      <c r="K77" s="542">
        <f>I77/SUMIF($D$53:$D$107,$D77,$I$53:$I$107)*(1+$K$48)</f>
        <v>1</v>
      </c>
      <c r="L77" s="546"/>
      <c r="M77" s="548">
        <f>K77</f>
        <v>1</v>
      </c>
      <c r="N77" s="548">
        <f t="shared" ref="N77:X77" si="39">M77</f>
        <v>1</v>
      </c>
      <c r="O77" s="548">
        <f t="shared" si="39"/>
        <v>1</v>
      </c>
      <c r="P77" s="548">
        <f t="shared" si="39"/>
        <v>1</v>
      </c>
      <c r="Q77" s="548">
        <f t="shared" si="39"/>
        <v>1</v>
      </c>
      <c r="R77" s="548">
        <f t="shared" si="39"/>
        <v>1</v>
      </c>
      <c r="S77" s="548">
        <f t="shared" si="39"/>
        <v>1</v>
      </c>
      <c r="T77" s="548">
        <f t="shared" si="39"/>
        <v>1</v>
      </c>
      <c r="U77" s="548">
        <f t="shared" si="39"/>
        <v>1</v>
      </c>
      <c r="V77" s="1732">
        <f t="shared" si="39"/>
        <v>1</v>
      </c>
      <c r="W77" s="548">
        <f t="shared" si="39"/>
        <v>1</v>
      </c>
      <c r="X77" s="548">
        <f t="shared" si="39"/>
        <v>1</v>
      </c>
      <c r="Y77" s="1303">
        <f t="shared" ref="Y77:AE78" si="40">X77+($AF77-$X77)/9</f>
        <v>0.88888888888888884</v>
      </c>
      <c r="Z77" s="1303">
        <f t="shared" si="40"/>
        <v>0.77777777777777768</v>
      </c>
      <c r="AA77" s="1303">
        <f t="shared" si="40"/>
        <v>0.66666666666666652</v>
      </c>
      <c r="AB77" s="1303">
        <f t="shared" si="40"/>
        <v>0.55555555555555536</v>
      </c>
      <c r="AC77" s="1303">
        <f t="shared" si="40"/>
        <v>0.44444444444444425</v>
      </c>
      <c r="AD77" s="1303">
        <f t="shared" si="40"/>
        <v>0.33333333333333315</v>
      </c>
      <c r="AE77" s="1303">
        <f t="shared" si="40"/>
        <v>0.22222222222222204</v>
      </c>
      <c r="AF77" s="1732">
        <v>0</v>
      </c>
      <c r="AG77" s="548">
        <f>M77</f>
        <v>1</v>
      </c>
      <c r="AH77" s="548">
        <f>N77</f>
        <v>1</v>
      </c>
      <c r="AI77" s="1303">
        <f t="shared" ref="AI77:AM78" si="41">AH77+($AN77-$AH77)/7</f>
        <v>0.85714285714285721</v>
      </c>
      <c r="AJ77" s="1303">
        <f t="shared" si="41"/>
        <v>0.71428571428571441</v>
      </c>
      <c r="AK77" s="1303">
        <f t="shared" si="41"/>
        <v>0.57142857142857162</v>
      </c>
      <c r="AL77" s="1303">
        <f t="shared" si="41"/>
        <v>0.42857142857142877</v>
      </c>
      <c r="AM77" s="1303">
        <f t="shared" si="41"/>
        <v>0.28571428571428592</v>
      </c>
      <c r="AN77" s="548">
        <v>0</v>
      </c>
      <c r="AO77" s="548">
        <f>AN77</f>
        <v>0</v>
      </c>
      <c r="AP77" s="1732">
        <f>AO77</f>
        <v>0</v>
      </c>
      <c r="AQ77" s="549">
        <f t="shared" si="22"/>
        <v>1</v>
      </c>
      <c r="AR77" s="549">
        <f t="shared" si="23"/>
        <v>1</v>
      </c>
      <c r="AS77" s="1303">
        <f t="shared" ref="AS77:AU78" si="42">AR77+($AV77-$AR77)/4</f>
        <v>0.75</v>
      </c>
      <c r="AT77" s="1303">
        <f t="shared" si="42"/>
        <v>0.5</v>
      </c>
      <c r="AU77" s="1303">
        <f t="shared" si="42"/>
        <v>0.25</v>
      </c>
      <c r="AV77" s="548">
        <v>0</v>
      </c>
      <c r="AW77" s="548">
        <f t="shared" ref="AW77:AZ78" si="43">AV77</f>
        <v>0</v>
      </c>
      <c r="AX77" s="548">
        <f t="shared" si="43"/>
        <v>0</v>
      </c>
      <c r="AY77" s="548">
        <f t="shared" si="43"/>
        <v>0</v>
      </c>
      <c r="AZ77" s="980">
        <f t="shared" si="43"/>
        <v>0</v>
      </c>
    </row>
    <row r="78" spans="1:52">
      <c r="A78" s="875" t="s">
        <v>1934</v>
      </c>
      <c r="B78" s="875" t="str">
        <f>D78&amp;RIGHT(C78,3)&amp;"-N"</f>
        <v>CRELC-N</v>
      </c>
      <c r="C78" s="876" t="s">
        <v>1990</v>
      </c>
      <c r="D78" s="876" t="str">
        <f>$B$39</f>
        <v>CR</v>
      </c>
      <c r="E78" s="538">
        <v>1.6655844155844155</v>
      </c>
      <c r="F78" s="152" t="s">
        <v>33</v>
      </c>
      <c r="G78" s="541">
        <v>0</v>
      </c>
      <c r="H78" s="540">
        <v>0</v>
      </c>
      <c r="I78" s="540">
        <v>0</v>
      </c>
      <c r="K78" s="542">
        <f>I78/SUMIF($D$53:$D$107,$D78,$I$53:$I$107)*(1+$K$48)</f>
        <v>0</v>
      </c>
      <c r="L78" s="546"/>
      <c r="M78" s="548">
        <f>K78</f>
        <v>0</v>
      </c>
      <c r="N78" s="548">
        <f t="shared" ref="N78:X78" si="44">M78</f>
        <v>0</v>
      </c>
      <c r="O78" s="548">
        <f t="shared" si="44"/>
        <v>0</v>
      </c>
      <c r="P78" s="548">
        <f t="shared" si="44"/>
        <v>0</v>
      </c>
      <c r="Q78" s="548">
        <f t="shared" si="44"/>
        <v>0</v>
      </c>
      <c r="R78" s="548">
        <f t="shared" si="44"/>
        <v>0</v>
      </c>
      <c r="S78" s="548">
        <f t="shared" si="44"/>
        <v>0</v>
      </c>
      <c r="T78" s="548">
        <f t="shared" si="44"/>
        <v>0</v>
      </c>
      <c r="U78" s="548">
        <f t="shared" si="44"/>
        <v>0</v>
      </c>
      <c r="V78" s="1732">
        <f t="shared" si="44"/>
        <v>0</v>
      </c>
      <c r="W78" s="548">
        <f t="shared" si="44"/>
        <v>0</v>
      </c>
      <c r="X78" s="548">
        <f t="shared" si="44"/>
        <v>0</v>
      </c>
      <c r="Y78" s="1303">
        <f t="shared" si="40"/>
        <v>0.1111111111111111</v>
      </c>
      <c r="Z78" s="1303">
        <f t="shared" si="40"/>
        <v>0.22222222222222221</v>
      </c>
      <c r="AA78" s="1303">
        <f t="shared" si="40"/>
        <v>0.33333333333333331</v>
      </c>
      <c r="AB78" s="1303">
        <f t="shared" si="40"/>
        <v>0.44444444444444442</v>
      </c>
      <c r="AC78" s="1303">
        <f t="shared" si="40"/>
        <v>0.55555555555555558</v>
      </c>
      <c r="AD78" s="1303">
        <f t="shared" si="40"/>
        <v>0.66666666666666674</v>
      </c>
      <c r="AE78" s="1303">
        <f t="shared" si="40"/>
        <v>0.7777777777777779</v>
      </c>
      <c r="AF78" s="1732">
        <v>1</v>
      </c>
      <c r="AG78" s="548">
        <f>M78</f>
        <v>0</v>
      </c>
      <c r="AH78" s="548">
        <f>N78</f>
        <v>0</v>
      </c>
      <c r="AI78" s="1303">
        <f t="shared" si="41"/>
        <v>0.14285714285714285</v>
      </c>
      <c r="AJ78" s="1303">
        <f t="shared" si="41"/>
        <v>0.2857142857142857</v>
      </c>
      <c r="AK78" s="1303">
        <f t="shared" si="41"/>
        <v>0.42857142857142855</v>
      </c>
      <c r="AL78" s="1303">
        <f t="shared" si="41"/>
        <v>0.5714285714285714</v>
      </c>
      <c r="AM78" s="1303">
        <f t="shared" si="41"/>
        <v>0.71428571428571419</v>
      </c>
      <c r="AN78" s="548">
        <v>1</v>
      </c>
      <c r="AO78" s="548">
        <f>AN78</f>
        <v>1</v>
      </c>
      <c r="AP78" s="1732">
        <f>AO78</f>
        <v>1</v>
      </c>
      <c r="AQ78" s="549">
        <f t="shared" si="22"/>
        <v>0</v>
      </c>
      <c r="AR78" s="549">
        <f t="shared" si="23"/>
        <v>0</v>
      </c>
      <c r="AS78" s="1303">
        <f t="shared" si="42"/>
        <v>0.25</v>
      </c>
      <c r="AT78" s="1303">
        <f t="shared" si="42"/>
        <v>0.5</v>
      </c>
      <c r="AU78" s="1303">
        <f t="shared" si="42"/>
        <v>0.75</v>
      </c>
      <c r="AV78" s="548">
        <v>1</v>
      </c>
      <c r="AW78" s="548">
        <f t="shared" si="43"/>
        <v>1</v>
      </c>
      <c r="AX78" s="548">
        <f t="shared" si="43"/>
        <v>1</v>
      </c>
      <c r="AY78" s="548">
        <f t="shared" si="43"/>
        <v>1</v>
      </c>
      <c r="AZ78" s="980">
        <f t="shared" si="43"/>
        <v>1</v>
      </c>
    </row>
    <row r="79" spans="1:52">
      <c r="A79" s="895"/>
      <c r="F79" s="152"/>
      <c r="G79" s="898">
        <v>1</v>
      </c>
      <c r="H79" s="544">
        <f>SUM(H77)</f>
        <v>7.3604096683643041</v>
      </c>
      <c r="I79" s="544">
        <f>SUM(I77)</f>
        <v>7.3604096683643041</v>
      </c>
      <c r="K79" s="542"/>
      <c r="L79" s="546"/>
      <c r="T79" s="864"/>
      <c r="V79" s="1734"/>
      <c r="W79" s="893"/>
      <c r="X79" s="893"/>
      <c r="Y79" s="1303"/>
      <c r="AF79" s="1734"/>
      <c r="AI79" s="1303"/>
      <c r="AJ79" s="1303"/>
      <c r="AK79" s="1303"/>
      <c r="AL79" s="1303"/>
      <c r="AM79" s="1303"/>
      <c r="AP79" s="1734"/>
      <c r="AQ79" s="549"/>
      <c r="AR79" s="549"/>
      <c r="AS79" s="1303"/>
      <c r="AT79" s="1303"/>
      <c r="AU79" s="1303"/>
    </row>
    <row r="80" spans="1:52">
      <c r="A80" s="1718" t="s">
        <v>111</v>
      </c>
      <c r="B80" s="875"/>
      <c r="C80" s="896"/>
      <c r="D80" s="896"/>
      <c r="E80" s="892"/>
      <c r="F80" s="545"/>
      <c r="G80" s="897"/>
      <c r="H80" s="897"/>
      <c r="I80" s="864"/>
      <c r="J80" s="864"/>
      <c r="K80" s="542"/>
      <c r="L80" s="546"/>
      <c r="M80" s="864"/>
      <c r="N80" s="864"/>
      <c r="O80" s="864"/>
      <c r="P80" s="864"/>
      <c r="Q80" s="864"/>
      <c r="R80" s="864"/>
      <c r="S80" s="864"/>
      <c r="T80" s="864"/>
      <c r="U80" s="864"/>
      <c r="V80" s="1733"/>
      <c r="W80" s="893"/>
      <c r="Y80" s="1303"/>
      <c r="AF80" s="1734"/>
      <c r="AI80" s="1303"/>
      <c r="AJ80" s="1303"/>
      <c r="AK80" s="1303"/>
      <c r="AL80" s="1303"/>
      <c r="AM80" s="1303"/>
      <c r="AP80" s="1734"/>
      <c r="AQ80" s="549"/>
      <c r="AR80" s="549"/>
      <c r="AS80" s="1303"/>
      <c r="AT80" s="1303"/>
      <c r="AU80" s="1303"/>
    </row>
    <row r="81" spans="1:52">
      <c r="A81" s="875" t="s">
        <v>1935</v>
      </c>
      <c r="B81" s="875" t="str">
        <f>D81&amp;RIGHT(C81,3)&amp;"-E"</f>
        <v>CWELC-E</v>
      </c>
      <c r="C81" s="876" t="s">
        <v>1990</v>
      </c>
      <c r="D81" s="876" t="str">
        <f>$B$40</f>
        <v>CW</v>
      </c>
      <c r="E81" s="538">
        <v>1</v>
      </c>
      <c r="F81" s="152" t="s">
        <v>33</v>
      </c>
      <c r="G81" s="541">
        <v>1</v>
      </c>
      <c r="H81" s="540">
        <f>G81*SUMIF($C$6:$J$6,C81,$C$40:$J$40)</f>
        <v>3.4051656699747292</v>
      </c>
      <c r="I81" s="540">
        <f>H81*E81</f>
        <v>3.4051656699747292</v>
      </c>
      <c r="K81" s="542">
        <f>I81/SUMIF($D$53:$D$107,$D81,$I$53:$I$107)*(1+$K$48)</f>
        <v>0.10783569922255035</v>
      </c>
      <c r="L81" s="546"/>
      <c r="M81" s="548">
        <f>K81</f>
        <v>0.10783569922255035</v>
      </c>
      <c r="N81" s="548">
        <f t="shared" ref="N81:X81" si="45">M81</f>
        <v>0.10783569922255035</v>
      </c>
      <c r="O81" s="548">
        <f t="shared" si="45"/>
        <v>0.10783569922255035</v>
      </c>
      <c r="P81" s="548">
        <f t="shared" si="45"/>
        <v>0.10783569922255035</v>
      </c>
      <c r="Q81" s="548">
        <f t="shared" si="45"/>
        <v>0.10783569922255035</v>
      </c>
      <c r="R81" s="548">
        <f t="shared" si="45"/>
        <v>0.10783569922255035</v>
      </c>
      <c r="S81" s="548">
        <f t="shared" si="45"/>
        <v>0.10783569922255035</v>
      </c>
      <c r="T81" s="548">
        <f t="shared" si="45"/>
        <v>0.10783569922255035</v>
      </c>
      <c r="U81" s="548">
        <f t="shared" si="45"/>
        <v>0.10783569922255035</v>
      </c>
      <c r="V81" s="1732">
        <f t="shared" si="45"/>
        <v>0.10783569922255035</v>
      </c>
      <c r="W81" s="548">
        <f t="shared" si="45"/>
        <v>0.10783569922255035</v>
      </c>
      <c r="X81" s="548">
        <f t="shared" si="45"/>
        <v>0.10783569922255035</v>
      </c>
      <c r="Y81" s="1303">
        <f t="shared" ref="Y81:AE85" si="46">X81+($AF81-$X81)/9</f>
        <v>9.5853954864489194E-2</v>
      </c>
      <c r="Z81" s="1303">
        <f t="shared" si="46"/>
        <v>8.3872210506428041E-2</v>
      </c>
      <c r="AA81" s="1303">
        <f t="shared" si="46"/>
        <v>7.1890466148366888E-2</v>
      </c>
      <c r="AB81" s="1303">
        <f t="shared" si="46"/>
        <v>5.9908721790305736E-2</v>
      </c>
      <c r="AC81" s="1303">
        <f t="shared" si="46"/>
        <v>4.7926977432244583E-2</v>
      </c>
      <c r="AD81" s="1303">
        <f t="shared" si="46"/>
        <v>3.594523307418343E-2</v>
      </c>
      <c r="AE81" s="1303">
        <f t="shared" si="46"/>
        <v>2.3963488716122281E-2</v>
      </c>
      <c r="AF81" s="1732">
        <v>0</v>
      </c>
      <c r="AG81" s="548">
        <f t="shared" ref="AG81:AH85" si="47">M81</f>
        <v>0.10783569922255035</v>
      </c>
      <c r="AH81" s="548">
        <f t="shared" si="47"/>
        <v>0.10783569922255035</v>
      </c>
      <c r="AI81" s="1303">
        <f t="shared" ref="AI81:AM85" si="48">AH81+($AN81-$AH81)/7</f>
        <v>9.2430599333614583E-2</v>
      </c>
      <c r="AJ81" s="1303">
        <f t="shared" si="48"/>
        <v>7.7025499444678819E-2</v>
      </c>
      <c r="AK81" s="1303">
        <f t="shared" si="48"/>
        <v>6.1620399555743055E-2</v>
      </c>
      <c r="AL81" s="1303">
        <f t="shared" si="48"/>
        <v>4.6215299666807291E-2</v>
      </c>
      <c r="AM81" s="1741">
        <f t="shared" si="48"/>
        <v>3.0810199777871528E-2</v>
      </c>
      <c r="AN81" s="980">
        <v>0</v>
      </c>
      <c r="AO81" s="980">
        <v>0</v>
      </c>
      <c r="AP81" s="1732">
        <v>0</v>
      </c>
      <c r="AQ81" s="549">
        <f t="shared" si="22"/>
        <v>0.10783569922255035</v>
      </c>
      <c r="AR81" s="549">
        <f t="shared" si="23"/>
        <v>0.10783569922255035</v>
      </c>
      <c r="AS81" s="1303">
        <f t="shared" ref="AS81:AU85" si="49">AR81+($AV81-$AR81)/4</f>
        <v>8.0876774416912767E-2</v>
      </c>
      <c r="AT81" s="1303">
        <f t="shared" si="49"/>
        <v>5.391784961127518E-2</v>
      </c>
      <c r="AU81" s="1741">
        <f t="shared" si="49"/>
        <v>2.6958924805637594E-2</v>
      </c>
      <c r="AV81" s="980">
        <v>0</v>
      </c>
      <c r="AW81" s="980">
        <v>0</v>
      </c>
      <c r="AX81" s="980">
        <v>0</v>
      </c>
      <c r="AY81" s="980">
        <v>0</v>
      </c>
      <c r="AZ81" s="980">
        <v>0</v>
      </c>
    </row>
    <row r="82" spans="1:52">
      <c r="A82" s="875" t="s">
        <v>1936</v>
      </c>
      <c r="B82" s="875" t="str">
        <f>D82&amp;RIGHT(C82,3)&amp;"-E"</f>
        <v>CWCOA-E</v>
      </c>
      <c r="C82" s="876" t="s">
        <v>1988</v>
      </c>
      <c r="D82" s="876" t="str">
        <f>$B$40</f>
        <v>CW</v>
      </c>
      <c r="E82" s="538">
        <v>0.75</v>
      </c>
      <c r="F82" s="152" t="s">
        <v>35</v>
      </c>
      <c r="G82" s="541">
        <v>1</v>
      </c>
      <c r="H82" s="540">
        <f>G82*SUMIF($C$6:$J$6,C82,$C$40:$J$40)</f>
        <v>34.802490336309788</v>
      </c>
      <c r="I82" s="540">
        <f>H82*E82</f>
        <v>26.101867752232341</v>
      </c>
      <c r="K82" s="542">
        <f>I82/SUMIF($D$53:$D$107,$D82,$I$53:$I$107)*(1+$K$48)</f>
        <v>0.8266009448219892</v>
      </c>
      <c r="L82" s="546"/>
      <c r="M82" s="548">
        <f>K82</f>
        <v>0.8266009448219892</v>
      </c>
      <c r="N82" s="548">
        <f t="shared" ref="N82:S84" si="50">M82</f>
        <v>0.8266009448219892</v>
      </c>
      <c r="O82" s="548">
        <f t="shared" si="50"/>
        <v>0.8266009448219892</v>
      </c>
      <c r="P82" s="548">
        <f t="shared" si="50"/>
        <v>0.8266009448219892</v>
      </c>
      <c r="Q82" s="548">
        <f t="shared" si="50"/>
        <v>0.8266009448219892</v>
      </c>
      <c r="R82" s="548">
        <f t="shared" si="50"/>
        <v>0.8266009448219892</v>
      </c>
      <c r="S82" s="548">
        <f t="shared" si="50"/>
        <v>0.8266009448219892</v>
      </c>
      <c r="T82" s="548">
        <f t="shared" ref="T82:X85" si="51">S82</f>
        <v>0.8266009448219892</v>
      </c>
      <c r="U82" s="548">
        <f t="shared" si="51"/>
        <v>0.8266009448219892</v>
      </c>
      <c r="V82" s="1732">
        <f t="shared" si="51"/>
        <v>0.8266009448219892</v>
      </c>
      <c r="W82" s="548">
        <f t="shared" si="51"/>
        <v>0.8266009448219892</v>
      </c>
      <c r="X82" s="548">
        <f t="shared" si="51"/>
        <v>0.8266009448219892</v>
      </c>
      <c r="Y82" s="1303">
        <f t="shared" si="46"/>
        <v>0.73475639539732374</v>
      </c>
      <c r="Z82" s="1303">
        <f t="shared" si="46"/>
        <v>0.64291184597265827</v>
      </c>
      <c r="AA82" s="1303">
        <f t="shared" si="46"/>
        <v>0.5510672965479928</v>
      </c>
      <c r="AB82" s="1303">
        <f t="shared" si="46"/>
        <v>0.45922274712332734</v>
      </c>
      <c r="AC82" s="1303">
        <f t="shared" si="46"/>
        <v>0.36737819769866187</v>
      </c>
      <c r="AD82" s="1303">
        <f t="shared" si="46"/>
        <v>0.2755336482739964</v>
      </c>
      <c r="AE82" s="1303">
        <f t="shared" si="46"/>
        <v>0.18368909884933093</v>
      </c>
      <c r="AF82" s="1732">
        <v>0</v>
      </c>
      <c r="AG82" s="548">
        <f t="shared" si="47"/>
        <v>0.8266009448219892</v>
      </c>
      <c r="AH82" s="548">
        <f t="shared" si="47"/>
        <v>0.8266009448219892</v>
      </c>
      <c r="AI82" s="1303">
        <f t="shared" si="48"/>
        <v>0.708515095561705</v>
      </c>
      <c r="AJ82" s="1303">
        <f t="shared" si="48"/>
        <v>0.5904292463014208</v>
      </c>
      <c r="AK82" s="1303">
        <f t="shared" si="48"/>
        <v>0.47234339704113659</v>
      </c>
      <c r="AL82" s="1303">
        <f t="shared" si="48"/>
        <v>0.35425754778085239</v>
      </c>
      <c r="AM82" s="1741">
        <f t="shared" si="48"/>
        <v>0.23617169852056821</v>
      </c>
      <c r="AN82" s="980">
        <v>0</v>
      </c>
      <c r="AO82" s="980">
        <v>0</v>
      </c>
      <c r="AP82" s="1732">
        <v>0</v>
      </c>
      <c r="AQ82" s="549">
        <f t="shared" si="22"/>
        <v>0.8266009448219892</v>
      </c>
      <c r="AR82" s="549">
        <f t="shared" si="23"/>
        <v>0.8266009448219892</v>
      </c>
      <c r="AS82" s="1303">
        <f t="shared" si="49"/>
        <v>0.61995070861649193</v>
      </c>
      <c r="AT82" s="1303">
        <f t="shared" si="49"/>
        <v>0.41330047241099466</v>
      </c>
      <c r="AU82" s="1741">
        <f t="shared" si="49"/>
        <v>0.20665023620549736</v>
      </c>
      <c r="AV82" s="980">
        <v>0</v>
      </c>
      <c r="AW82" s="980">
        <v>0</v>
      </c>
      <c r="AX82" s="980">
        <v>0</v>
      </c>
      <c r="AY82" s="980">
        <v>0</v>
      </c>
      <c r="AZ82" s="980">
        <v>0</v>
      </c>
    </row>
    <row r="83" spans="1:52">
      <c r="A83" s="875" t="s">
        <v>1937</v>
      </c>
      <c r="B83" s="875" t="str">
        <f>D83&amp;RIGHT(C83,3)&amp;"-E"</f>
        <v>CWOLP-E</v>
      </c>
      <c r="C83" s="876" t="s">
        <v>1995</v>
      </c>
      <c r="D83" s="876" t="str">
        <f>$B$40</f>
        <v>CW</v>
      </c>
      <c r="E83" s="538">
        <v>0.7</v>
      </c>
      <c r="F83" s="152" t="s">
        <v>38</v>
      </c>
      <c r="G83" s="541">
        <v>1</v>
      </c>
      <c r="H83" s="540">
        <f>G83*SUMIF($C$6:$J$6,C83,$C$40:$J$40)</f>
        <v>2.9575958149750661</v>
      </c>
      <c r="I83" s="540">
        <f>H83*E83</f>
        <v>2.0703170704825462</v>
      </c>
      <c r="K83" s="542">
        <f>I83/SUMIF($D$53:$D$107,$D83,$I$53:$I$107)*(1+$K$48)</f>
        <v>6.5563355955460534E-2</v>
      </c>
      <c r="L83" s="546"/>
      <c r="M83" s="548">
        <f>K83</f>
        <v>6.5563355955460534E-2</v>
      </c>
      <c r="N83" s="548">
        <f t="shared" si="50"/>
        <v>6.5563355955460534E-2</v>
      </c>
      <c r="O83" s="548">
        <f t="shared" si="50"/>
        <v>6.5563355955460534E-2</v>
      </c>
      <c r="P83" s="548">
        <f t="shared" si="50"/>
        <v>6.5563355955460534E-2</v>
      </c>
      <c r="Q83" s="548">
        <f t="shared" si="50"/>
        <v>6.5563355955460534E-2</v>
      </c>
      <c r="R83" s="548">
        <f t="shared" si="50"/>
        <v>6.5563355955460534E-2</v>
      </c>
      <c r="S83" s="548">
        <f t="shared" si="50"/>
        <v>6.5563355955460534E-2</v>
      </c>
      <c r="T83" s="548">
        <f t="shared" si="51"/>
        <v>6.5563355955460534E-2</v>
      </c>
      <c r="U83" s="548">
        <f t="shared" si="51"/>
        <v>6.5563355955460534E-2</v>
      </c>
      <c r="V83" s="1732">
        <f t="shared" si="51"/>
        <v>6.5563355955460534E-2</v>
      </c>
      <c r="W83" s="548">
        <f t="shared" si="51"/>
        <v>6.5563355955460534E-2</v>
      </c>
      <c r="X83" s="548">
        <f t="shared" si="51"/>
        <v>6.5563355955460534E-2</v>
      </c>
      <c r="Y83" s="1303">
        <f t="shared" si="46"/>
        <v>5.8278538627076028E-2</v>
      </c>
      <c r="Z83" s="1303">
        <f t="shared" si="46"/>
        <v>5.0993721298691522E-2</v>
      </c>
      <c r="AA83" s="1303">
        <f t="shared" si="46"/>
        <v>4.3708903970307016E-2</v>
      </c>
      <c r="AB83" s="1303">
        <f t="shared" si="46"/>
        <v>3.642408664192251E-2</v>
      </c>
      <c r="AC83" s="1303">
        <f t="shared" si="46"/>
        <v>2.9139269313538007E-2</v>
      </c>
      <c r="AD83" s="1303">
        <f t="shared" si="46"/>
        <v>2.1854451985153504E-2</v>
      </c>
      <c r="AE83" s="1303">
        <f t="shared" si="46"/>
        <v>1.4569634656769002E-2</v>
      </c>
      <c r="AF83" s="1732">
        <v>0</v>
      </c>
      <c r="AG83" s="548">
        <f t="shared" si="47"/>
        <v>6.5563355955460534E-2</v>
      </c>
      <c r="AH83" s="548">
        <f t="shared" si="47"/>
        <v>6.5563355955460534E-2</v>
      </c>
      <c r="AI83" s="1303">
        <f t="shared" si="48"/>
        <v>5.6197162247537596E-2</v>
      </c>
      <c r="AJ83" s="1303">
        <f t="shared" si="48"/>
        <v>4.6830968539614659E-2</v>
      </c>
      <c r="AK83" s="1303">
        <f t="shared" si="48"/>
        <v>3.7464774831691722E-2</v>
      </c>
      <c r="AL83" s="1303">
        <f t="shared" si="48"/>
        <v>2.8098581123768788E-2</v>
      </c>
      <c r="AM83" s="1741">
        <f t="shared" si="48"/>
        <v>1.8732387415845854E-2</v>
      </c>
      <c r="AN83" s="980">
        <v>0</v>
      </c>
      <c r="AO83" s="980">
        <v>0</v>
      </c>
      <c r="AP83" s="1732">
        <v>0</v>
      </c>
      <c r="AQ83" s="549">
        <f t="shared" si="22"/>
        <v>6.5563355955460534E-2</v>
      </c>
      <c r="AR83" s="549">
        <f t="shared" si="23"/>
        <v>6.5563355955460534E-2</v>
      </c>
      <c r="AS83" s="1303">
        <f t="shared" si="49"/>
        <v>4.91725169665954E-2</v>
      </c>
      <c r="AT83" s="1303">
        <f t="shared" si="49"/>
        <v>3.2781677977730267E-2</v>
      </c>
      <c r="AU83" s="1741">
        <f t="shared" si="49"/>
        <v>1.6390838988865133E-2</v>
      </c>
      <c r="AV83" s="980">
        <v>0</v>
      </c>
      <c r="AW83" s="980">
        <v>0</v>
      </c>
      <c r="AX83" s="980">
        <v>0</v>
      </c>
      <c r="AY83" s="980">
        <v>0</v>
      </c>
      <c r="AZ83" s="980">
        <v>0</v>
      </c>
    </row>
    <row r="84" spans="1:52">
      <c r="A84" s="875" t="s">
        <v>1938</v>
      </c>
      <c r="B84" s="875" t="str">
        <f>D84&amp;RIGHT(C84,3)&amp;"-N"</f>
        <v>CWELC-N</v>
      </c>
      <c r="C84" s="876" t="s">
        <v>1990</v>
      </c>
      <c r="D84" s="876" t="str">
        <f>$B$40</f>
        <v>CW</v>
      </c>
      <c r="E84" s="538">
        <v>1.0104166666666667</v>
      </c>
      <c r="F84" s="152" t="s">
        <v>33</v>
      </c>
      <c r="G84" s="541">
        <v>0</v>
      </c>
      <c r="H84" s="540">
        <v>0</v>
      </c>
      <c r="I84" s="540">
        <v>0</v>
      </c>
      <c r="K84" s="542">
        <f>I84/SUMIF($D$53:$D$107,$D84,$I$53:$I$107)*(1+$K$48)</f>
        <v>0</v>
      </c>
      <c r="L84" s="546"/>
      <c r="M84" s="548">
        <f>K84</f>
        <v>0</v>
      </c>
      <c r="N84" s="548">
        <f t="shared" si="50"/>
        <v>0</v>
      </c>
      <c r="O84" s="548">
        <f t="shared" si="50"/>
        <v>0</v>
      </c>
      <c r="P84" s="548">
        <f t="shared" si="50"/>
        <v>0</v>
      </c>
      <c r="Q84" s="548">
        <f t="shared" si="50"/>
        <v>0</v>
      </c>
      <c r="R84" s="548">
        <f t="shared" si="50"/>
        <v>0</v>
      </c>
      <c r="S84" s="548">
        <f t="shared" si="50"/>
        <v>0</v>
      </c>
      <c r="T84" s="548">
        <f t="shared" si="51"/>
        <v>0</v>
      </c>
      <c r="U84" s="548">
        <f t="shared" si="51"/>
        <v>0</v>
      </c>
      <c r="V84" s="1732">
        <f t="shared" si="51"/>
        <v>0</v>
      </c>
      <c r="W84" s="548">
        <f t="shared" si="51"/>
        <v>0</v>
      </c>
      <c r="X84" s="548">
        <f t="shared" si="51"/>
        <v>0</v>
      </c>
      <c r="Y84" s="1303">
        <f t="shared" si="46"/>
        <v>2.2222222222222223E-2</v>
      </c>
      <c r="Z84" s="1303">
        <f t="shared" si="46"/>
        <v>4.4444444444444446E-2</v>
      </c>
      <c r="AA84" s="1303">
        <f t="shared" si="46"/>
        <v>6.6666666666666666E-2</v>
      </c>
      <c r="AB84" s="1303">
        <f t="shared" si="46"/>
        <v>8.8888888888888892E-2</v>
      </c>
      <c r="AC84" s="1303">
        <f t="shared" si="46"/>
        <v>0.11111111111111112</v>
      </c>
      <c r="AD84" s="1303">
        <f t="shared" si="46"/>
        <v>0.13333333333333333</v>
      </c>
      <c r="AE84" s="1303">
        <f t="shared" si="46"/>
        <v>0.15555555555555556</v>
      </c>
      <c r="AF84" s="1732">
        <v>0.2</v>
      </c>
      <c r="AG84" s="548">
        <f t="shared" si="47"/>
        <v>0</v>
      </c>
      <c r="AH84" s="548">
        <f t="shared" si="47"/>
        <v>0</v>
      </c>
      <c r="AI84" s="1303">
        <f t="shared" si="48"/>
        <v>2.8571428571428574E-2</v>
      </c>
      <c r="AJ84" s="1303">
        <f t="shared" si="48"/>
        <v>5.7142857142857148E-2</v>
      </c>
      <c r="AK84" s="1303">
        <f t="shared" si="48"/>
        <v>8.5714285714285715E-2</v>
      </c>
      <c r="AL84" s="1303">
        <f t="shared" si="48"/>
        <v>0.1142857142857143</v>
      </c>
      <c r="AM84" s="1741">
        <f t="shared" si="48"/>
        <v>0.14285714285714288</v>
      </c>
      <c r="AN84" s="980">
        <v>0.2</v>
      </c>
      <c r="AO84" s="980">
        <v>0.2</v>
      </c>
      <c r="AP84" s="1732">
        <v>0.2</v>
      </c>
      <c r="AQ84" s="549">
        <f t="shared" si="22"/>
        <v>0</v>
      </c>
      <c r="AR84" s="549">
        <f t="shared" si="23"/>
        <v>0</v>
      </c>
      <c r="AS84" s="1303">
        <f t="shared" si="49"/>
        <v>0.05</v>
      </c>
      <c r="AT84" s="1303">
        <f t="shared" si="49"/>
        <v>0.1</v>
      </c>
      <c r="AU84" s="1741">
        <f t="shared" si="49"/>
        <v>0.15000000000000002</v>
      </c>
      <c r="AV84" s="980">
        <v>0.2</v>
      </c>
      <c r="AW84" s="980">
        <v>0.2</v>
      </c>
      <c r="AX84" s="980">
        <v>0.2</v>
      </c>
      <c r="AY84" s="980">
        <v>0.2</v>
      </c>
      <c r="AZ84" s="980">
        <v>0.2</v>
      </c>
    </row>
    <row r="85" spans="1:52">
      <c r="A85" s="875" t="s">
        <v>1939</v>
      </c>
      <c r="B85" s="900" t="str">
        <f>D85&amp;RIGHT(C85,3)&amp;"HP"&amp;"-N"</f>
        <v>CWELCHP-N</v>
      </c>
      <c r="C85" s="876" t="s">
        <v>1990</v>
      </c>
      <c r="D85" s="876" t="str">
        <f>$B$40</f>
        <v>CW</v>
      </c>
      <c r="E85" s="538">
        <v>2.2000000000000002</v>
      </c>
      <c r="F85" s="152" t="s">
        <v>33</v>
      </c>
      <c r="G85" s="541">
        <v>0</v>
      </c>
      <c r="H85" s="540">
        <v>0</v>
      </c>
      <c r="I85" s="540">
        <v>0</v>
      </c>
      <c r="K85" s="542">
        <f>I85/SUMIF($D$53:$D$107,$D85,$I$53:$I$107)*(1+$K$48)</f>
        <v>0</v>
      </c>
      <c r="L85" s="546"/>
      <c r="M85" s="548">
        <f>K85</f>
        <v>0</v>
      </c>
      <c r="N85" s="548">
        <f t="shared" ref="N85:S85" si="52">M85</f>
        <v>0</v>
      </c>
      <c r="O85" s="548">
        <f t="shared" si="52"/>
        <v>0</v>
      </c>
      <c r="P85" s="548">
        <f t="shared" si="52"/>
        <v>0</v>
      </c>
      <c r="Q85" s="548">
        <f t="shared" si="52"/>
        <v>0</v>
      </c>
      <c r="R85" s="548">
        <f t="shared" si="52"/>
        <v>0</v>
      </c>
      <c r="S85" s="548">
        <f t="shared" si="52"/>
        <v>0</v>
      </c>
      <c r="T85" s="548">
        <f t="shared" si="51"/>
        <v>0</v>
      </c>
      <c r="U85" s="548">
        <f t="shared" si="51"/>
        <v>0</v>
      </c>
      <c r="V85" s="1732">
        <f t="shared" si="51"/>
        <v>0</v>
      </c>
      <c r="W85" s="548">
        <f t="shared" si="51"/>
        <v>0</v>
      </c>
      <c r="X85" s="548">
        <f t="shared" si="51"/>
        <v>0</v>
      </c>
      <c r="Y85" s="1303">
        <f t="shared" si="46"/>
        <v>8.8888888888888892E-2</v>
      </c>
      <c r="Z85" s="1303">
        <f t="shared" si="46"/>
        <v>0.17777777777777778</v>
      </c>
      <c r="AA85" s="1303">
        <f t="shared" si="46"/>
        <v>0.26666666666666666</v>
      </c>
      <c r="AB85" s="1303">
        <f t="shared" si="46"/>
        <v>0.35555555555555557</v>
      </c>
      <c r="AC85" s="1303">
        <f t="shared" si="46"/>
        <v>0.44444444444444448</v>
      </c>
      <c r="AD85" s="1303">
        <f t="shared" si="46"/>
        <v>0.53333333333333333</v>
      </c>
      <c r="AE85" s="1303">
        <f t="shared" si="46"/>
        <v>0.62222222222222223</v>
      </c>
      <c r="AF85" s="1732">
        <v>0.8</v>
      </c>
      <c r="AG85" s="548">
        <f t="shared" si="47"/>
        <v>0</v>
      </c>
      <c r="AH85" s="548">
        <f t="shared" si="47"/>
        <v>0</v>
      </c>
      <c r="AI85" s="1303">
        <f t="shared" si="48"/>
        <v>0.1142857142857143</v>
      </c>
      <c r="AJ85" s="1303">
        <f t="shared" si="48"/>
        <v>0.22857142857142859</v>
      </c>
      <c r="AK85" s="1303">
        <f t="shared" si="48"/>
        <v>0.34285714285714286</v>
      </c>
      <c r="AL85" s="1303">
        <f t="shared" si="48"/>
        <v>0.45714285714285718</v>
      </c>
      <c r="AM85" s="1741">
        <f t="shared" si="48"/>
        <v>0.57142857142857151</v>
      </c>
      <c r="AN85" s="980">
        <v>0.8</v>
      </c>
      <c r="AO85" s="980">
        <v>0.8</v>
      </c>
      <c r="AP85" s="1732">
        <v>0.8</v>
      </c>
      <c r="AQ85" s="549">
        <f t="shared" si="22"/>
        <v>0</v>
      </c>
      <c r="AR85" s="549">
        <f t="shared" si="23"/>
        <v>0</v>
      </c>
      <c r="AS85" s="1303">
        <f t="shared" si="49"/>
        <v>0.2</v>
      </c>
      <c r="AT85" s="1303">
        <f t="shared" si="49"/>
        <v>0.4</v>
      </c>
      <c r="AU85" s="1741">
        <f t="shared" si="49"/>
        <v>0.60000000000000009</v>
      </c>
      <c r="AV85" s="980">
        <v>0.8</v>
      </c>
      <c r="AW85" s="980">
        <v>0.8</v>
      </c>
      <c r="AX85" s="980">
        <v>0.8</v>
      </c>
      <c r="AY85" s="980">
        <v>0.8</v>
      </c>
      <c r="AZ85" s="980">
        <v>0.8</v>
      </c>
    </row>
    <row r="86" spans="1:52">
      <c r="A86" s="895"/>
      <c r="G86" s="898"/>
      <c r="H86" s="544">
        <f>SUM(H81:H83)</f>
        <v>41.165251821259581</v>
      </c>
      <c r="I86" s="544">
        <f>SUM(I81:I83)</f>
        <v>31.577350492689614</v>
      </c>
      <c r="K86" s="542"/>
      <c r="L86" s="546"/>
      <c r="T86" s="864"/>
      <c r="V86" s="1734"/>
      <c r="W86" s="893"/>
      <c r="X86" s="893"/>
      <c r="Y86" s="1303"/>
      <c r="AF86" s="1734"/>
      <c r="AI86" s="1303"/>
      <c r="AJ86" s="1303"/>
      <c r="AK86" s="1303"/>
      <c r="AL86" s="1303"/>
      <c r="AM86" s="1303"/>
      <c r="AP86" s="1734"/>
      <c r="AQ86" s="549"/>
      <c r="AR86" s="549"/>
      <c r="AS86" s="1303"/>
      <c r="AT86" s="1303"/>
      <c r="AU86" s="1303"/>
    </row>
    <row r="87" spans="1:52">
      <c r="A87" s="1718" t="s">
        <v>1365</v>
      </c>
      <c r="G87" s="898"/>
      <c r="H87" s="544"/>
      <c r="I87" s="544"/>
      <c r="K87" s="542"/>
      <c r="L87" s="546"/>
      <c r="T87" s="864"/>
      <c r="V87" s="1734"/>
      <c r="W87" s="893"/>
      <c r="X87" s="893"/>
      <c r="Y87" s="1303"/>
      <c r="AF87" s="1734"/>
      <c r="AI87" s="1303"/>
      <c r="AJ87" s="1303"/>
      <c r="AK87" s="1303"/>
      <c r="AL87" s="1303"/>
      <c r="AM87" s="1303"/>
      <c r="AP87" s="1734"/>
      <c r="AQ87" s="549"/>
      <c r="AR87" s="549"/>
      <c r="AS87" s="1303"/>
      <c r="AT87" s="1303"/>
      <c r="AU87" s="1303"/>
    </row>
    <row r="88" spans="1:52">
      <c r="A88" s="875" t="s">
        <v>1940</v>
      </c>
      <c r="B88" s="900" t="str">
        <f>D88&amp;RIGHT(C88,3)&amp;LEFT(RIGHT(A88,LEN("LIT - Existing")),3)&amp;"-E"</f>
        <v>CGELCINC-E</v>
      </c>
      <c r="C88" s="876" t="s">
        <v>1990</v>
      </c>
      <c r="D88" s="876" t="str">
        <f t="shared" ref="D88:D93" si="53">$B$41</f>
        <v>CG</v>
      </c>
      <c r="E88" s="538">
        <v>1</v>
      </c>
      <c r="F88" s="152" t="s">
        <v>33</v>
      </c>
      <c r="G88" s="541">
        <v>0.15581302437075509</v>
      </c>
      <c r="H88" s="540">
        <f t="shared" ref="H88:H93" si="54">G88*SUMIF($C$6:$J$6,C88,$C$41:$J$41)</f>
        <v>0.41808562094957114</v>
      </c>
      <c r="I88" s="540">
        <f t="shared" ref="I88:I93" si="55">H88*E88</f>
        <v>0.41808562094957114</v>
      </c>
      <c r="K88" s="542">
        <f t="shared" ref="K88:K93" si="56">I88/SUMIF($D$53:$D$107,$D88,$I$53:$I$107)*(1+$K$48)</f>
        <v>0.05</v>
      </c>
      <c r="L88" s="546"/>
      <c r="M88" s="581">
        <f t="shared" ref="M88:M93" si="57">K88</f>
        <v>0.05</v>
      </c>
      <c r="N88" s="581">
        <f>M88</f>
        <v>0.05</v>
      </c>
      <c r="O88" s="581">
        <f t="shared" ref="O88:V88" si="58">N88</f>
        <v>0.05</v>
      </c>
      <c r="P88" s="581">
        <f t="shared" si="58"/>
        <v>0.05</v>
      </c>
      <c r="Q88" s="581">
        <f t="shared" si="58"/>
        <v>0.05</v>
      </c>
      <c r="R88" s="581">
        <f t="shared" si="58"/>
        <v>0.05</v>
      </c>
      <c r="S88" s="581">
        <f t="shared" si="58"/>
        <v>0.05</v>
      </c>
      <c r="T88" s="581">
        <f t="shared" si="58"/>
        <v>0.05</v>
      </c>
      <c r="U88" s="581">
        <f t="shared" si="58"/>
        <v>0.05</v>
      </c>
      <c r="V88" s="1735">
        <f t="shared" si="58"/>
        <v>0.05</v>
      </c>
      <c r="W88" s="581">
        <f t="shared" ref="W88:X93" si="59">M88</f>
        <v>0.05</v>
      </c>
      <c r="X88" s="581">
        <f t="shared" si="59"/>
        <v>0.05</v>
      </c>
      <c r="Y88" s="1303">
        <f t="shared" ref="Y88:AE93" si="60">X88+($AF88-$X88)/9</f>
        <v>4.4444444444444446E-2</v>
      </c>
      <c r="Z88" s="1303">
        <f t="shared" si="60"/>
        <v>3.888888888888889E-2</v>
      </c>
      <c r="AA88" s="1303">
        <f t="shared" si="60"/>
        <v>3.3333333333333333E-2</v>
      </c>
      <c r="AB88" s="1303">
        <f t="shared" si="60"/>
        <v>2.7777777777777776E-2</v>
      </c>
      <c r="AC88" s="1303">
        <f t="shared" si="60"/>
        <v>2.222222222222222E-2</v>
      </c>
      <c r="AD88" s="1303">
        <f t="shared" si="60"/>
        <v>1.6666666666666663E-2</v>
      </c>
      <c r="AE88" s="1303">
        <f t="shared" si="60"/>
        <v>1.1111111111111106E-2</v>
      </c>
      <c r="AF88" s="1740">
        <v>0</v>
      </c>
      <c r="AG88" s="581">
        <f t="shared" ref="AG88:AH93" si="61">M88</f>
        <v>0.05</v>
      </c>
      <c r="AH88" s="581">
        <f t="shared" si="61"/>
        <v>0.05</v>
      </c>
      <c r="AI88" s="1303">
        <f t="shared" ref="AI88:AM93" si="62">AH88+($AN88-$AH88)/7</f>
        <v>4.2857142857142858E-2</v>
      </c>
      <c r="AJ88" s="1303">
        <f t="shared" si="62"/>
        <v>3.5714285714285712E-2</v>
      </c>
      <c r="AK88" s="1303">
        <f t="shared" si="62"/>
        <v>2.8571428571428567E-2</v>
      </c>
      <c r="AL88" s="1303">
        <f t="shared" si="62"/>
        <v>2.1428571428571422E-2</v>
      </c>
      <c r="AM88" s="1303">
        <f t="shared" si="62"/>
        <v>1.4285714285714278E-2</v>
      </c>
      <c r="AN88" s="977">
        <v>0</v>
      </c>
      <c r="AO88" s="977">
        <v>0</v>
      </c>
      <c r="AP88" s="1740">
        <v>0</v>
      </c>
      <c r="AQ88" s="549">
        <f t="shared" si="22"/>
        <v>0.05</v>
      </c>
      <c r="AR88" s="549">
        <f t="shared" si="23"/>
        <v>0.05</v>
      </c>
      <c r="AS88" s="1303">
        <f t="shared" ref="AS88:AU93" si="63">AR88+($AV88-$AR88)/4</f>
        <v>3.7500000000000006E-2</v>
      </c>
      <c r="AT88" s="1303">
        <f t="shared" si="63"/>
        <v>2.5000000000000005E-2</v>
      </c>
      <c r="AU88" s="1303">
        <f t="shared" si="63"/>
        <v>1.2500000000000004E-2</v>
      </c>
      <c r="AV88" s="977">
        <v>0</v>
      </c>
      <c r="AW88" s="977">
        <v>0</v>
      </c>
      <c r="AX88" s="977">
        <v>0</v>
      </c>
      <c r="AY88" s="977">
        <v>0</v>
      </c>
      <c r="AZ88" s="977">
        <v>0</v>
      </c>
    </row>
    <row r="89" spans="1:52">
      <c r="A89" s="875" t="s">
        <v>1941</v>
      </c>
      <c r="B89" s="900" t="str">
        <f>D89&amp;RIGHT(C89,3)&amp;LEFT(RIGHT(A89,LEN("LIT - Existing")),3)&amp;"-E"</f>
        <v>CGELCHAL-E</v>
      </c>
      <c r="C89" s="876" t="s">
        <v>1990</v>
      </c>
      <c r="D89" s="876" t="str">
        <f t="shared" si="53"/>
        <v>CG</v>
      </c>
      <c r="E89" s="538">
        <v>2</v>
      </c>
      <c r="F89" s="152" t="s">
        <v>33</v>
      </c>
      <c r="G89" s="541">
        <v>7.7906512185377544E-2</v>
      </c>
      <c r="H89" s="540">
        <f t="shared" si="54"/>
        <v>0.20904281047478557</v>
      </c>
      <c r="I89" s="540">
        <f t="shared" si="55"/>
        <v>0.41808562094957114</v>
      </c>
      <c r="K89" s="542">
        <f t="shared" si="56"/>
        <v>0.05</v>
      </c>
      <c r="L89" s="546"/>
      <c r="M89" s="581">
        <f t="shared" si="57"/>
        <v>0.05</v>
      </c>
      <c r="N89" s="581">
        <f t="shared" ref="N89:V93" si="64">M89</f>
        <v>0.05</v>
      </c>
      <c r="O89" s="581">
        <f t="shared" si="64"/>
        <v>0.05</v>
      </c>
      <c r="P89" s="581">
        <f t="shared" si="64"/>
        <v>0.05</v>
      </c>
      <c r="Q89" s="581">
        <f t="shared" si="64"/>
        <v>0.05</v>
      </c>
      <c r="R89" s="581">
        <f t="shared" si="64"/>
        <v>0.05</v>
      </c>
      <c r="S89" s="581">
        <f t="shared" si="64"/>
        <v>0.05</v>
      </c>
      <c r="T89" s="581">
        <f t="shared" si="64"/>
        <v>0.05</v>
      </c>
      <c r="U89" s="581">
        <f t="shared" si="64"/>
        <v>0.05</v>
      </c>
      <c r="V89" s="1735">
        <f t="shared" si="64"/>
        <v>0.05</v>
      </c>
      <c r="W89" s="581">
        <f t="shared" si="59"/>
        <v>0.05</v>
      </c>
      <c r="X89" s="581">
        <f t="shared" si="59"/>
        <v>0.05</v>
      </c>
      <c r="Y89" s="1303">
        <f t="shared" si="60"/>
        <v>4.4444444444444446E-2</v>
      </c>
      <c r="Z89" s="1303">
        <f t="shared" si="60"/>
        <v>3.888888888888889E-2</v>
      </c>
      <c r="AA89" s="1303">
        <f t="shared" si="60"/>
        <v>3.3333333333333333E-2</v>
      </c>
      <c r="AB89" s="1303">
        <f t="shared" si="60"/>
        <v>2.7777777777777776E-2</v>
      </c>
      <c r="AC89" s="1303">
        <f t="shared" si="60"/>
        <v>2.222222222222222E-2</v>
      </c>
      <c r="AD89" s="1303">
        <f t="shared" si="60"/>
        <v>1.6666666666666663E-2</v>
      </c>
      <c r="AE89" s="1303">
        <f t="shared" si="60"/>
        <v>1.1111111111111106E-2</v>
      </c>
      <c r="AF89" s="1740">
        <v>0</v>
      </c>
      <c r="AG89" s="581">
        <f t="shared" si="61"/>
        <v>0.05</v>
      </c>
      <c r="AH89" s="581">
        <f t="shared" si="61"/>
        <v>0.05</v>
      </c>
      <c r="AI89" s="1303">
        <f t="shared" si="62"/>
        <v>4.2857142857142858E-2</v>
      </c>
      <c r="AJ89" s="1303">
        <f t="shared" si="62"/>
        <v>3.5714285714285712E-2</v>
      </c>
      <c r="AK89" s="1303">
        <f t="shared" si="62"/>
        <v>2.8571428571428567E-2</v>
      </c>
      <c r="AL89" s="1303">
        <f t="shared" si="62"/>
        <v>2.1428571428571422E-2</v>
      </c>
      <c r="AM89" s="1303">
        <f t="shared" si="62"/>
        <v>1.4285714285714278E-2</v>
      </c>
      <c r="AN89" s="977">
        <v>0</v>
      </c>
      <c r="AO89" s="977">
        <v>0</v>
      </c>
      <c r="AP89" s="1740">
        <v>0</v>
      </c>
      <c r="AQ89" s="549">
        <f t="shared" si="22"/>
        <v>0.05</v>
      </c>
      <c r="AR89" s="549">
        <f t="shared" si="23"/>
        <v>0.05</v>
      </c>
      <c r="AS89" s="1303">
        <f t="shared" si="63"/>
        <v>3.7500000000000006E-2</v>
      </c>
      <c r="AT89" s="1303">
        <f t="shared" si="63"/>
        <v>2.5000000000000005E-2</v>
      </c>
      <c r="AU89" s="1303">
        <f t="shared" si="63"/>
        <v>1.2500000000000004E-2</v>
      </c>
      <c r="AV89" s="977">
        <v>0</v>
      </c>
      <c r="AW89" s="977">
        <v>0</v>
      </c>
      <c r="AX89" s="977">
        <v>0</v>
      </c>
      <c r="AY89" s="977">
        <v>0</v>
      </c>
      <c r="AZ89" s="977">
        <v>0</v>
      </c>
    </row>
    <row r="90" spans="1:52">
      <c r="A90" s="875" t="s">
        <v>1942</v>
      </c>
      <c r="B90" s="900" t="str">
        <f>D90&amp;RIGHT(C90,3)&amp;LEFT(RIGHT(A90,LEN("LIT - Existing")),3)&amp;"-E"</f>
        <v>CGELCHPM-E</v>
      </c>
      <c r="C90" s="876" t="s">
        <v>1990</v>
      </c>
      <c r="D90" s="876" t="str">
        <f t="shared" si="53"/>
        <v>CG</v>
      </c>
      <c r="E90" s="538">
        <v>2.4</v>
      </c>
      <c r="F90" s="152" t="s">
        <v>33</v>
      </c>
      <c r="G90" s="541">
        <v>0.51937674790251698</v>
      </c>
      <c r="H90" s="540">
        <f t="shared" si="54"/>
        <v>1.3936187364985704</v>
      </c>
      <c r="I90" s="540">
        <f t="shared" si="55"/>
        <v>3.3446849675965686</v>
      </c>
      <c r="K90" s="542">
        <f t="shared" si="56"/>
        <v>0.39999999999999997</v>
      </c>
      <c r="L90" s="546"/>
      <c r="M90" s="581">
        <f>K90</f>
        <v>0.39999999999999997</v>
      </c>
      <c r="N90" s="581">
        <f t="shared" si="64"/>
        <v>0.39999999999999997</v>
      </c>
      <c r="O90" s="581">
        <f t="shared" si="64"/>
        <v>0.39999999999999997</v>
      </c>
      <c r="P90" s="581">
        <f t="shared" si="64"/>
        <v>0.39999999999999997</v>
      </c>
      <c r="Q90" s="581">
        <f t="shared" si="64"/>
        <v>0.39999999999999997</v>
      </c>
      <c r="R90" s="581">
        <f t="shared" si="64"/>
        <v>0.39999999999999997</v>
      </c>
      <c r="S90" s="581">
        <f t="shared" si="64"/>
        <v>0.39999999999999997</v>
      </c>
      <c r="T90" s="581">
        <f t="shared" si="64"/>
        <v>0.39999999999999997</v>
      </c>
      <c r="U90" s="581">
        <f t="shared" si="64"/>
        <v>0.39999999999999997</v>
      </c>
      <c r="V90" s="1735">
        <f t="shared" si="64"/>
        <v>0.39999999999999997</v>
      </c>
      <c r="W90" s="581">
        <f t="shared" si="59"/>
        <v>0.39999999999999997</v>
      </c>
      <c r="X90" s="581">
        <f t="shared" si="59"/>
        <v>0.39999999999999997</v>
      </c>
      <c r="Y90" s="1303">
        <f t="shared" si="60"/>
        <v>0.35555555555555551</v>
      </c>
      <c r="Z90" s="1303">
        <f t="shared" si="60"/>
        <v>0.31111111111111106</v>
      </c>
      <c r="AA90" s="1303">
        <f t="shared" si="60"/>
        <v>0.26666666666666661</v>
      </c>
      <c r="AB90" s="1303">
        <f t="shared" si="60"/>
        <v>0.22222222222222215</v>
      </c>
      <c r="AC90" s="1303">
        <f t="shared" si="60"/>
        <v>0.1777777777777777</v>
      </c>
      <c r="AD90" s="1303">
        <f t="shared" si="60"/>
        <v>0.13333333333333325</v>
      </c>
      <c r="AE90" s="1303">
        <f t="shared" si="60"/>
        <v>8.8888888888888809E-2</v>
      </c>
      <c r="AF90" s="1740">
        <v>0</v>
      </c>
      <c r="AG90" s="581">
        <f t="shared" si="61"/>
        <v>0.39999999999999997</v>
      </c>
      <c r="AH90" s="581">
        <f t="shared" si="61"/>
        <v>0.39999999999999997</v>
      </c>
      <c r="AI90" s="1303">
        <f t="shared" si="62"/>
        <v>0.3428571428571428</v>
      </c>
      <c r="AJ90" s="1303">
        <f t="shared" si="62"/>
        <v>0.28571428571428564</v>
      </c>
      <c r="AK90" s="1303">
        <f t="shared" si="62"/>
        <v>0.22857142857142851</v>
      </c>
      <c r="AL90" s="1303">
        <f t="shared" si="62"/>
        <v>0.17142857142857137</v>
      </c>
      <c r="AM90" s="1303">
        <f t="shared" si="62"/>
        <v>0.11428571428571424</v>
      </c>
      <c r="AN90" s="977">
        <v>0</v>
      </c>
      <c r="AO90" s="977">
        <v>0</v>
      </c>
      <c r="AP90" s="1740">
        <v>0</v>
      </c>
      <c r="AQ90" s="549">
        <f t="shared" si="22"/>
        <v>0.39999999999999997</v>
      </c>
      <c r="AR90" s="549">
        <f t="shared" si="23"/>
        <v>0.39999999999999997</v>
      </c>
      <c r="AS90" s="1303">
        <f t="shared" si="63"/>
        <v>0.3</v>
      </c>
      <c r="AT90" s="1303">
        <f t="shared" si="63"/>
        <v>0.2</v>
      </c>
      <c r="AU90" s="1303">
        <f t="shared" si="63"/>
        <v>0.10000000000000002</v>
      </c>
      <c r="AV90" s="977">
        <v>0</v>
      </c>
      <c r="AW90" s="977">
        <v>0</v>
      </c>
      <c r="AX90" s="977">
        <v>0</v>
      </c>
      <c r="AY90" s="977">
        <v>0</v>
      </c>
      <c r="AZ90" s="977">
        <v>0</v>
      </c>
    </row>
    <row r="91" spans="1:52">
      <c r="A91" s="875" t="s">
        <v>1943</v>
      </c>
      <c r="B91" s="900" t="str">
        <f>D91&amp;RIGHT(C91,3)&amp;LEFT(RIGHT(A91,LEN("LIT - Existing")),3)&amp;"-E"</f>
        <v>CGELCHPS-E</v>
      </c>
      <c r="C91" s="876" t="s">
        <v>1990</v>
      </c>
      <c r="D91" s="876" t="str">
        <f t="shared" si="53"/>
        <v>CG</v>
      </c>
      <c r="E91" s="538">
        <v>6.5</v>
      </c>
      <c r="F91" s="152" t="s">
        <v>33</v>
      </c>
      <c r="G91" s="541">
        <v>0.21574111066719937</v>
      </c>
      <c r="H91" s="540">
        <f t="shared" si="54"/>
        <v>0.57888778285325238</v>
      </c>
      <c r="I91" s="540">
        <f t="shared" si="55"/>
        <v>3.7627705885461404</v>
      </c>
      <c r="K91" s="542">
        <f t="shared" si="56"/>
        <v>0.45000000000000007</v>
      </c>
      <c r="L91" s="546"/>
      <c r="M91" s="581">
        <f t="shared" si="57"/>
        <v>0.45000000000000007</v>
      </c>
      <c r="N91" s="581">
        <f t="shared" si="64"/>
        <v>0.45000000000000007</v>
      </c>
      <c r="O91" s="581">
        <f t="shared" si="64"/>
        <v>0.45000000000000007</v>
      </c>
      <c r="P91" s="581">
        <f t="shared" si="64"/>
        <v>0.45000000000000007</v>
      </c>
      <c r="Q91" s="581">
        <f t="shared" si="64"/>
        <v>0.45000000000000007</v>
      </c>
      <c r="R91" s="581">
        <f t="shared" si="64"/>
        <v>0.45000000000000007</v>
      </c>
      <c r="S91" s="581">
        <f t="shared" si="64"/>
        <v>0.45000000000000007</v>
      </c>
      <c r="T91" s="581">
        <f t="shared" si="64"/>
        <v>0.45000000000000007</v>
      </c>
      <c r="U91" s="581">
        <f t="shared" si="64"/>
        <v>0.45000000000000007</v>
      </c>
      <c r="V91" s="1735">
        <f t="shared" si="64"/>
        <v>0.45000000000000007</v>
      </c>
      <c r="W91" s="581">
        <f t="shared" si="59"/>
        <v>0.45000000000000007</v>
      </c>
      <c r="X91" s="581">
        <f t="shared" si="59"/>
        <v>0.45000000000000007</v>
      </c>
      <c r="Y91" s="1303">
        <f t="shared" si="60"/>
        <v>0.40000000000000008</v>
      </c>
      <c r="Z91" s="1303">
        <f t="shared" si="60"/>
        <v>0.35000000000000009</v>
      </c>
      <c r="AA91" s="1303">
        <f t="shared" si="60"/>
        <v>0.3000000000000001</v>
      </c>
      <c r="AB91" s="1303">
        <f t="shared" si="60"/>
        <v>0.25000000000000011</v>
      </c>
      <c r="AC91" s="1303">
        <f t="shared" si="60"/>
        <v>0.20000000000000009</v>
      </c>
      <c r="AD91" s="1303">
        <f t="shared" si="60"/>
        <v>0.15000000000000008</v>
      </c>
      <c r="AE91" s="1303">
        <f t="shared" si="60"/>
        <v>0.10000000000000006</v>
      </c>
      <c r="AF91" s="1740">
        <v>0</v>
      </c>
      <c r="AG91" s="581">
        <f t="shared" si="61"/>
        <v>0.45000000000000007</v>
      </c>
      <c r="AH91" s="581">
        <f t="shared" si="61"/>
        <v>0.45000000000000007</v>
      </c>
      <c r="AI91" s="1303">
        <f t="shared" si="62"/>
        <v>0.38571428571428579</v>
      </c>
      <c r="AJ91" s="1303">
        <f t="shared" si="62"/>
        <v>0.32142857142857151</v>
      </c>
      <c r="AK91" s="1303">
        <f t="shared" si="62"/>
        <v>0.25714285714285723</v>
      </c>
      <c r="AL91" s="1303">
        <f t="shared" si="62"/>
        <v>0.19285714285714295</v>
      </c>
      <c r="AM91" s="1303">
        <f t="shared" si="62"/>
        <v>0.12857142857142867</v>
      </c>
      <c r="AN91" s="977">
        <v>0</v>
      </c>
      <c r="AO91" s="977">
        <v>0</v>
      </c>
      <c r="AP91" s="1740">
        <v>0</v>
      </c>
      <c r="AQ91" s="549">
        <f t="shared" si="22"/>
        <v>0.45000000000000007</v>
      </c>
      <c r="AR91" s="549">
        <f t="shared" si="23"/>
        <v>0.45000000000000007</v>
      </c>
      <c r="AS91" s="1303">
        <f t="shared" si="63"/>
        <v>0.33750000000000002</v>
      </c>
      <c r="AT91" s="1303">
        <f t="shared" si="63"/>
        <v>0.22500000000000001</v>
      </c>
      <c r="AU91" s="1303">
        <f t="shared" si="63"/>
        <v>0.11249999999999999</v>
      </c>
      <c r="AV91" s="977">
        <v>0</v>
      </c>
      <c r="AW91" s="977">
        <v>0</v>
      </c>
      <c r="AX91" s="977">
        <v>0</v>
      </c>
      <c r="AY91" s="977">
        <v>0</v>
      </c>
      <c r="AZ91" s="977">
        <v>0</v>
      </c>
    </row>
    <row r="92" spans="1:52">
      <c r="A92" s="875" t="s">
        <v>1944</v>
      </c>
      <c r="B92" s="900" t="str">
        <f>D92&amp;RIGHT(C92,3)&amp;LEFT(RIGHT(A92,LEN("LIT - Existing")),3)&amp;"-E"</f>
        <v>CGELCMHL-E</v>
      </c>
      <c r="C92" s="876" t="s">
        <v>1990</v>
      </c>
      <c r="D92" s="876" t="str">
        <f t="shared" si="53"/>
        <v>CG</v>
      </c>
      <c r="E92" s="538">
        <v>5</v>
      </c>
      <c r="F92" s="152" t="s">
        <v>33</v>
      </c>
      <c r="G92" s="541">
        <v>3.1162604874151019E-2</v>
      </c>
      <c r="H92" s="540">
        <f t="shared" si="54"/>
        <v>8.3617124189914224E-2</v>
      </c>
      <c r="I92" s="540">
        <f t="shared" si="55"/>
        <v>0.41808562094957114</v>
      </c>
      <c r="K92" s="542">
        <f t="shared" si="56"/>
        <v>0.05</v>
      </c>
      <c r="L92" s="546"/>
      <c r="M92" s="581">
        <f t="shared" si="57"/>
        <v>0.05</v>
      </c>
      <c r="N92" s="581">
        <f t="shared" si="64"/>
        <v>0.05</v>
      </c>
      <c r="O92" s="581">
        <f t="shared" si="64"/>
        <v>0.05</v>
      </c>
      <c r="P92" s="581">
        <f t="shared" si="64"/>
        <v>0.05</v>
      </c>
      <c r="Q92" s="581">
        <f t="shared" si="64"/>
        <v>0.05</v>
      </c>
      <c r="R92" s="581">
        <f t="shared" si="64"/>
        <v>0.05</v>
      </c>
      <c r="S92" s="581">
        <f t="shared" si="64"/>
        <v>0.05</v>
      </c>
      <c r="T92" s="581">
        <f t="shared" si="64"/>
        <v>0.05</v>
      </c>
      <c r="U92" s="581">
        <f t="shared" si="64"/>
        <v>0.05</v>
      </c>
      <c r="V92" s="1735">
        <f t="shared" si="64"/>
        <v>0.05</v>
      </c>
      <c r="W92" s="581">
        <f t="shared" si="59"/>
        <v>0.05</v>
      </c>
      <c r="X92" s="581">
        <f t="shared" si="59"/>
        <v>0.05</v>
      </c>
      <c r="Y92" s="1303">
        <f t="shared" si="60"/>
        <v>4.4444444444444446E-2</v>
      </c>
      <c r="Z92" s="1303">
        <f t="shared" si="60"/>
        <v>3.888888888888889E-2</v>
      </c>
      <c r="AA92" s="1303">
        <f t="shared" si="60"/>
        <v>3.3333333333333333E-2</v>
      </c>
      <c r="AB92" s="1303">
        <f t="shared" si="60"/>
        <v>2.7777777777777776E-2</v>
      </c>
      <c r="AC92" s="1303">
        <f t="shared" si="60"/>
        <v>2.222222222222222E-2</v>
      </c>
      <c r="AD92" s="1303">
        <f t="shared" si="60"/>
        <v>1.6666666666666663E-2</v>
      </c>
      <c r="AE92" s="1303">
        <f t="shared" si="60"/>
        <v>1.1111111111111106E-2</v>
      </c>
      <c r="AF92" s="1740">
        <v>0</v>
      </c>
      <c r="AG92" s="581">
        <f t="shared" si="61"/>
        <v>0.05</v>
      </c>
      <c r="AH92" s="581">
        <f t="shared" si="61"/>
        <v>0.05</v>
      </c>
      <c r="AI92" s="1303">
        <f t="shared" si="62"/>
        <v>4.2857142857142858E-2</v>
      </c>
      <c r="AJ92" s="1303">
        <f t="shared" si="62"/>
        <v>3.5714285714285712E-2</v>
      </c>
      <c r="AK92" s="1303">
        <f t="shared" si="62"/>
        <v>2.8571428571428567E-2</v>
      </c>
      <c r="AL92" s="1303">
        <f t="shared" si="62"/>
        <v>2.1428571428571422E-2</v>
      </c>
      <c r="AM92" s="1303">
        <f t="shared" si="62"/>
        <v>1.4285714285714278E-2</v>
      </c>
      <c r="AN92" s="977">
        <v>0</v>
      </c>
      <c r="AO92" s="977">
        <v>0</v>
      </c>
      <c r="AP92" s="1740">
        <v>0</v>
      </c>
      <c r="AQ92" s="549">
        <f t="shared" si="22"/>
        <v>0.05</v>
      </c>
      <c r="AR92" s="549">
        <f t="shared" si="23"/>
        <v>0.05</v>
      </c>
      <c r="AS92" s="1303">
        <f t="shared" si="63"/>
        <v>3.7500000000000006E-2</v>
      </c>
      <c r="AT92" s="1303">
        <f t="shared" si="63"/>
        <v>2.5000000000000005E-2</v>
      </c>
      <c r="AU92" s="1303">
        <f t="shared" si="63"/>
        <v>1.2500000000000004E-2</v>
      </c>
      <c r="AV92" s="977">
        <v>0</v>
      </c>
      <c r="AW92" s="977">
        <v>0</v>
      </c>
      <c r="AX92" s="977">
        <v>0</v>
      </c>
      <c r="AY92" s="977">
        <v>0</v>
      </c>
      <c r="AZ92" s="977">
        <v>0</v>
      </c>
    </row>
    <row r="93" spans="1:52">
      <c r="A93" s="875" t="s">
        <v>1945</v>
      </c>
      <c r="B93" s="900" t="str">
        <f>D93&amp;RIGHT(C93,3)&amp;LEFT(RIGHT(A93,LEN("LIT - NEW")),3)&amp;"-N"</f>
        <v>CGELCLED-N</v>
      </c>
      <c r="C93" s="876" t="s">
        <v>1990</v>
      </c>
      <c r="D93" s="876" t="str">
        <f t="shared" si="53"/>
        <v>CG</v>
      </c>
      <c r="E93" s="538">
        <v>9.8000000000000007</v>
      </c>
      <c r="F93" s="152" t="s">
        <v>33</v>
      </c>
      <c r="G93" s="541">
        <v>0</v>
      </c>
      <c r="H93" s="540">
        <f t="shared" si="54"/>
        <v>0</v>
      </c>
      <c r="I93" s="540">
        <f t="shared" si="55"/>
        <v>0</v>
      </c>
      <c r="K93" s="542">
        <f t="shared" si="56"/>
        <v>0</v>
      </c>
      <c r="L93" s="546"/>
      <c r="M93" s="581">
        <f t="shared" si="57"/>
        <v>0</v>
      </c>
      <c r="N93" s="581">
        <f t="shared" si="64"/>
        <v>0</v>
      </c>
      <c r="O93" s="581">
        <f t="shared" si="64"/>
        <v>0</v>
      </c>
      <c r="P93" s="581">
        <f t="shared" si="64"/>
        <v>0</v>
      </c>
      <c r="Q93" s="581">
        <f t="shared" si="64"/>
        <v>0</v>
      </c>
      <c r="R93" s="581">
        <f t="shared" si="64"/>
        <v>0</v>
      </c>
      <c r="S93" s="581">
        <f t="shared" si="64"/>
        <v>0</v>
      </c>
      <c r="T93" s="581">
        <f t="shared" si="64"/>
        <v>0</v>
      </c>
      <c r="U93" s="581">
        <f t="shared" si="64"/>
        <v>0</v>
      </c>
      <c r="V93" s="1735">
        <f t="shared" si="64"/>
        <v>0</v>
      </c>
      <c r="W93" s="581">
        <f t="shared" si="59"/>
        <v>0</v>
      </c>
      <c r="X93" s="581">
        <f t="shared" si="59"/>
        <v>0</v>
      </c>
      <c r="Y93" s="1303">
        <f t="shared" si="60"/>
        <v>0.1111111111111111</v>
      </c>
      <c r="Z93" s="1303">
        <f t="shared" si="60"/>
        <v>0.22222222222222221</v>
      </c>
      <c r="AA93" s="1303">
        <f t="shared" si="60"/>
        <v>0.33333333333333331</v>
      </c>
      <c r="AB93" s="1303">
        <f t="shared" si="60"/>
        <v>0.44444444444444442</v>
      </c>
      <c r="AC93" s="1303">
        <f t="shared" si="60"/>
        <v>0.55555555555555558</v>
      </c>
      <c r="AD93" s="1303">
        <f t="shared" si="60"/>
        <v>0.66666666666666674</v>
      </c>
      <c r="AE93" s="1303">
        <f t="shared" si="60"/>
        <v>0.7777777777777779</v>
      </c>
      <c r="AF93" s="1740">
        <v>1</v>
      </c>
      <c r="AG93" s="581">
        <f t="shared" si="61"/>
        <v>0</v>
      </c>
      <c r="AH93" s="581">
        <f t="shared" si="61"/>
        <v>0</v>
      </c>
      <c r="AI93" s="1303">
        <f t="shared" si="62"/>
        <v>0.14285714285714285</v>
      </c>
      <c r="AJ93" s="1303">
        <f t="shared" si="62"/>
        <v>0.2857142857142857</v>
      </c>
      <c r="AK93" s="1303">
        <f t="shared" si="62"/>
        <v>0.42857142857142855</v>
      </c>
      <c r="AL93" s="1303">
        <f t="shared" si="62"/>
        <v>0.5714285714285714</v>
      </c>
      <c r="AM93" s="1303">
        <f t="shared" si="62"/>
        <v>0.71428571428571419</v>
      </c>
      <c r="AN93" s="977">
        <v>1</v>
      </c>
      <c r="AO93" s="977">
        <v>1</v>
      </c>
      <c r="AP93" s="1740">
        <v>1</v>
      </c>
      <c r="AQ93" s="549">
        <f t="shared" si="22"/>
        <v>0</v>
      </c>
      <c r="AR93" s="549">
        <f t="shared" si="23"/>
        <v>0</v>
      </c>
      <c r="AS93" s="1303">
        <f t="shared" si="63"/>
        <v>0.25</v>
      </c>
      <c r="AT93" s="1303">
        <f t="shared" si="63"/>
        <v>0.5</v>
      </c>
      <c r="AU93" s="1303">
        <f t="shared" si="63"/>
        <v>0.75</v>
      </c>
      <c r="AV93" s="977">
        <v>1</v>
      </c>
      <c r="AW93" s="977">
        <v>1</v>
      </c>
      <c r="AX93" s="977">
        <v>1</v>
      </c>
      <c r="AY93" s="977">
        <v>1</v>
      </c>
      <c r="AZ93" s="977">
        <v>1</v>
      </c>
    </row>
    <row r="94" spans="1:52">
      <c r="A94" s="895"/>
      <c r="B94" s="875"/>
      <c r="C94" s="876"/>
      <c r="D94" s="876"/>
      <c r="E94" s="893"/>
      <c r="G94" s="899"/>
      <c r="H94" s="540"/>
      <c r="I94" s="540"/>
      <c r="K94" s="542"/>
      <c r="L94" s="546"/>
      <c r="M94" s="581"/>
      <c r="N94" s="581"/>
      <c r="P94" s="542"/>
      <c r="Q94" s="581"/>
      <c r="R94" s="581"/>
      <c r="S94" s="581"/>
      <c r="T94" s="864"/>
      <c r="V94" s="1734"/>
      <c r="W94" s="893"/>
      <c r="X94" s="893"/>
      <c r="Y94" s="1303"/>
      <c r="AF94" s="1734"/>
      <c r="AI94" s="1303"/>
      <c r="AJ94" s="1303"/>
      <c r="AK94" s="1303"/>
      <c r="AL94" s="1303"/>
      <c r="AM94" s="1303"/>
      <c r="AP94" s="1734"/>
      <c r="AQ94" s="549"/>
      <c r="AR94" s="549"/>
      <c r="AS94" s="1303"/>
      <c r="AT94" s="1303"/>
      <c r="AU94" s="1303"/>
    </row>
    <row r="95" spans="1:52">
      <c r="A95" s="1718" t="s">
        <v>1366</v>
      </c>
      <c r="B95" s="875"/>
      <c r="D95" s="876"/>
      <c r="G95" s="898"/>
      <c r="H95" s="544"/>
      <c r="I95" s="544"/>
      <c r="K95" s="542"/>
      <c r="L95" s="546"/>
      <c r="T95" s="864"/>
      <c r="V95" s="1734"/>
      <c r="W95" s="893"/>
      <c r="X95" s="893"/>
      <c r="Y95" s="1303"/>
      <c r="AF95" s="1734"/>
      <c r="AI95" s="1303"/>
      <c r="AJ95" s="1303"/>
      <c r="AK95" s="1303"/>
      <c r="AL95" s="1303"/>
      <c r="AM95" s="1303"/>
      <c r="AP95" s="1734"/>
      <c r="AQ95" s="549"/>
      <c r="AR95" s="549"/>
      <c r="AS95" s="1303"/>
      <c r="AT95" s="1303"/>
      <c r="AU95" s="1303"/>
    </row>
    <row r="96" spans="1:52">
      <c r="A96" s="875" t="s">
        <v>1946</v>
      </c>
      <c r="B96" s="875" t="str">
        <f>D96&amp;RIGHT(C96,3)&amp;"-E"</f>
        <v>CTELC-E</v>
      </c>
      <c r="C96" s="876" t="s">
        <v>1990</v>
      </c>
      <c r="D96" s="876" t="str">
        <f>$B$42</f>
        <v>CT</v>
      </c>
      <c r="E96" s="538">
        <v>1</v>
      </c>
      <c r="F96" s="152" t="s">
        <v>33</v>
      </c>
      <c r="G96" s="541">
        <v>1</v>
      </c>
      <c r="H96" s="540">
        <f>G96*SUMIF($C$6:$J$6,C96,$C$42:$J$42)</f>
        <v>3.1678360284580602</v>
      </c>
      <c r="I96" s="540">
        <f>H96*E96</f>
        <v>3.1678360284580602</v>
      </c>
      <c r="K96" s="542">
        <f>I96/SUMIF($D$53:$D$107,$D96,$I$53:$I$107)*(1+$K$48)</f>
        <v>1</v>
      </c>
      <c r="L96" s="546"/>
      <c r="M96" s="581">
        <f>K96</f>
        <v>1</v>
      </c>
      <c r="N96" s="581">
        <f t="shared" ref="N96:X96" si="65">M96</f>
        <v>1</v>
      </c>
      <c r="O96" s="581">
        <f t="shared" si="65"/>
        <v>1</v>
      </c>
      <c r="P96" s="581">
        <f t="shared" si="65"/>
        <v>1</v>
      </c>
      <c r="Q96" s="581">
        <f t="shared" si="65"/>
        <v>1</v>
      </c>
      <c r="R96" s="581">
        <f t="shared" si="65"/>
        <v>1</v>
      </c>
      <c r="S96" s="581">
        <f t="shared" si="65"/>
        <v>1</v>
      </c>
      <c r="T96" s="581">
        <f t="shared" si="65"/>
        <v>1</v>
      </c>
      <c r="U96" s="581">
        <f t="shared" si="65"/>
        <v>1</v>
      </c>
      <c r="V96" s="1735">
        <f t="shared" si="65"/>
        <v>1</v>
      </c>
      <c r="W96" s="581">
        <f t="shared" si="65"/>
        <v>1</v>
      </c>
      <c r="X96" s="581">
        <f t="shared" si="65"/>
        <v>1</v>
      </c>
      <c r="Y96" s="1303">
        <f t="shared" ref="Y96:AE96" si="66">X96+($AF96-$X96)/9</f>
        <v>1</v>
      </c>
      <c r="Z96" s="1303">
        <f t="shared" si="66"/>
        <v>1</v>
      </c>
      <c r="AA96" s="1303">
        <f t="shared" si="66"/>
        <v>1</v>
      </c>
      <c r="AB96" s="1303">
        <f t="shared" si="66"/>
        <v>1</v>
      </c>
      <c r="AC96" s="1303">
        <f t="shared" si="66"/>
        <v>1</v>
      </c>
      <c r="AD96" s="1303">
        <f t="shared" si="66"/>
        <v>1</v>
      </c>
      <c r="AE96" s="1303">
        <f t="shared" si="66"/>
        <v>1</v>
      </c>
      <c r="AF96" s="1735">
        <v>1</v>
      </c>
      <c r="AG96" s="581">
        <f>M96</f>
        <v>1</v>
      </c>
      <c r="AH96" s="581">
        <f>N96</f>
        <v>1</v>
      </c>
      <c r="AI96" s="1303">
        <f>AH96+($AN96-$AH96)/7</f>
        <v>1</v>
      </c>
      <c r="AJ96" s="1303">
        <f>AI96+($AN96-$AH96)/7</f>
        <v>1</v>
      </c>
      <c r="AK96" s="1303">
        <f>AJ96+($AN96-$AH96)/7</f>
        <v>1</v>
      </c>
      <c r="AL96" s="1303">
        <f>AK96+($AN96-$AH96)/7</f>
        <v>1</v>
      </c>
      <c r="AM96" s="1303">
        <f>AL96+($AN96-$AH96)/7</f>
        <v>1</v>
      </c>
      <c r="AN96" s="581">
        <v>1</v>
      </c>
      <c r="AO96" s="581">
        <f>AN96</f>
        <v>1</v>
      </c>
      <c r="AP96" s="1735">
        <f>AO96</f>
        <v>1</v>
      </c>
      <c r="AQ96" s="549">
        <f t="shared" si="22"/>
        <v>1</v>
      </c>
      <c r="AR96" s="549">
        <f t="shared" si="23"/>
        <v>1</v>
      </c>
      <c r="AS96" s="1303">
        <f>AR96+($AV96-$AR96)/4</f>
        <v>1</v>
      </c>
      <c r="AT96" s="1303">
        <f>AS96+($AV96-$AR96)/4</f>
        <v>1</v>
      </c>
      <c r="AU96" s="1303">
        <f>AT96+($AV96-$AR96)/4</f>
        <v>1</v>
      </c>
      <c r="AV96" s="581">
        <v>1</v>
      </c>
      <c r="AW96" s="581">
        <f>AV96</f>
        <v>1</v>
      </c>
      <c r="AX96" s="581">
        <f>AW96</f>
        <v>1</v>
      </c>
      <c r="AY96" s="581">
        <f>AX96</f>
        <v>1</v>
      </c>
      <c r="AZ96" s="581">
        <f>AY96</f>
        <v>1</v>
      </c>
    </row>
    <row r="97" spans="1:52">
      <c r="A97" s="895"/>
      <c r="G97" s="898"/>
      <c r="H97" s="544"/>
      <c r="I97" s="544"/>
      <c r="K97" s="542"/>
      <c r="L97" s="546"/>
      <c r="T97" s="864"/>
      <c r="V97" s="1734"/>
      <c r="W97" s="893"/>
      <c r="X97" s="893"/>
      <c r="Y97" s="1303"/>
      <c r="AF97" s="1734"/>
      <c r="AI97" s="1303"/>
      <c r="AJ97" s="1303"/>
      <c r="AK97" s="1303"/>
      <c r="AL97" s="1303"/>
      <c r="AM97" s="1303"/>
      <c r="AP97" s="1734"/>
      <c r="AQ97" s="549"/>
      <c r="AR97" s="549"/>
      <c r="AS97" s="1303"/>
      <c r="AT97" s="1303"/>
      <c r="AU97" s="1303"/>
    </row>
    <row r="98" spans="1:52">
      <c r="A98" s="1718" t="s">
        <v>2616</v>
      </c>
      <c r="B98" s="875"/>
      <c r="C98" s="896"/>
      <c r="D98" s="896"/>
      <c r="E98" s="892"/>
      <c r="F98" s="545"/>
      <c r="G98" s="897"/>
      <c r="H98" s="897"/>
      <c r="I98" s="864"/>
      <c r="J98" s="864"/>
      <c r="K98" s="542"/>
      <c r="L98" s="546"/>
      <c r="M98" s="864"/>
      <c r="N98" s="864"/>
      <c r="O98" s="864"/>
      <c r="P98" s="864"/>
      <c r="Q98" s="864"/>
      <c r="R98" s="864"/>
      <c r="S98" s="864"/>
      <c r="T98" s="864"/>
      <c r="U98" s="864"/>
      <c r="V98" s="1733"/>
      <c r="W98" s="893"/>
      <c r="Y98" s="1303"/>
      <c r="AF98" s="1734"/>
      <c r="AI98" s="1303"/>
      <c r="AJ98" s="1303"/>
      <c r="AK98" s="1303"/>
      <c r="AL98" s="1303"/>
      <c r="AM98" s="1303"/>
      <c r="AP98" s="1734"/>
      <c r="AQ98" s="549"/>
      <c r="AR98" s="549"/>
      <c r="AS98" s="1303"/>
      <c r="AT98" s="1303"/>
      <c r="AU98" s="1303"/>
    </row>
    <row r="99" spans="1:52">
      <c r="A99" s="875" t="s">
        <v>1947</v>
      </c>
      <c r="B99" s="875" t="str">
        <f t="shared" ref="B99:B105" si="67">D99&amp;RIGHT(C99,3)&amp;"-E"</f>
        <v>COCOA-E</v>
      </c>
      <c r="C99" s="876" t="s">
        <v>1988</v>
      </c>
      <c r="D99" s="876" t="str">
        <f>$B$43</f>
        <v>CO</v>
      </c>
      <c r="E99" s="538">
        <v>1</v>
      </c>
      <c r="F99" s="152" t="s">
        <v>35</v>
      </c>
      <c r="G99" s="541">
        <v>1</v>
      </c>
      <c r="H99" s="540">
        <f t="shared" ref="H99:H105" si="68">G99*SUMIF($C$6:$J$6,C99,$C$43:$J$43)</f>
        <v>0</v>
      </c>
      <c r="I99" s="540">
        <f t="shared" ref="I99:I105" si="69">H99*E99</f>
        <v>0</v>
      </c>
      <c r="K99" s="542">
        <f t="shared" ref="K99:K105" si="70">I99/SUMIF($D$53:$D$107,$D99,$I$53:$I$107)*(1+$K$48)</f>
        <v>0</v>
      </c>
      <c r="L99" s="546"/>
      <c r="M99" s="1594">
        <f>K99</f>
        <v>0</v>
      </c>
      <c r="N99" s="1594">
        <f t="shared" ref="N99:N105" si="71">M99</f>
        <v>0</v>
      </c>
      <c r="O99" s="1594">
        <f t="shared" ref="O99:V99" si="72">N99</f>
        <v>0</v>
      </c>
      <c r="P99" s="1594">
        <f t="shared" si="72"/>
        <v>0</v>
      </c>
      <c r="Q99" s="1594">
        <f t="shared" si="72"/>
        <v>0</v>
      </c>
      <c r="R99" s="1594">
        <f t="shared" si="72"/>
        <v>0</v>
      </c>
      <c r="S99" s="1594">
        <f t="shared" si="72"/>
        <v>0</v>
      </c>
      <c r="T99" s="1594">
        <f t="shared" si="72"/>
        <v>0</v>
      </c>
      <c r="U99" s="1594">
        <f t="shared" si="72"/>
        <v>0</v>
      </c>
      <c r="V99" s="1736">
        <f t="shared" si="72"/>
        <v>0</v>
      </c>
      <c r="W99" s="1594">
        <f t="shared" ref="O99:X105" si="73">V99</f>
        <v>0</v>
      </c>
      <c r="X99" s="1594">
        <f>W99</f>
        <v>0</v>
      </c>
      <c r="Y99" s="1303">
        <f t="shared" ref="Y99:AE105" si="74">X99+($AF99-$X99)/9</f>
        <v>0</v>
      </c>
      <c r="Z99" s="1303">
        <f t="shared" si="74"/>
        <v>0</v>
      </c>
      <c r="AA99" s="1303">
        <f t="shared" si="74"/>
        <v>0</v>
      </c>
      <c r="AB99" s="1303">
        <f t="shared" si="74"/>
        <v>0</v>
      </c>
      <c r="AC99" s="1303">
        <f t="shared" si="74"/>
        <v>0</v>
      </c>
      <c r="AD99" s="1303">
        <f t="shared" si="74"/>
        <v>0</v>
      </c>
      <c r="AE99" s="1303">
        <f t="shared" si="74"/>
        <v>0</v>
      </c>
      <c r="AF99" s="1735">
        <v>0</v>
      </c>
      <c r="AG99" s="1594">
        <f>M99</f>
        <v>0</v>
      </c>
      <c r="AH99" s="1594">
        <f>N99</f>
        <v>0</v>
      </c>
      <c r="AI99" s="975">
        <f t="shared" ref="AI99:AM105" si="75">AH99+($AN99-$AH99)/7</f>
        <v>0</v>
      </c>
      <c r="AJ99" s="1303">
        <f t="shared" si="75"/>
        <v>0</v>
      </c>
      <c r="AK99" s="1303">
        <f t="shared" si="75"/>
        <v>0</v>
      </c>
      <c r="AL99" s="1303">
        <f t="shared" si="75"/>
        <v>0</v>
      </c>
      <c r="AM99" s="1303">
        <f t="shared" si="75"/>
        <v>0</v>
      </c>
      <c r="AN99" s="581">
        <v>0</v>
      </c>
      <c r="AO99" s="581">
        <v>0</v>
      </c>
      <c r="AP99" s="1735">
        <v>0</v>
      </c>
      <c r="AQ99" s="549">
        <f t="shared" si="22"/>
        <v>0</v>
      </c>
      <c r="AR99" s="549">
        <f t="shared" si="23"/>
        <v>0</v>
      </c>
      <c r="AS99" s="1303">
        <f t="shared" ref="AS99:AU105" si="76">AR99+($AV99-$AR99)/4</f>
        <v>0</v>
      </c>
      <c r="AT99" s="1303">
        <f t="shared" si="76"/>
        <v>0</v>
      </c>
      <c r="AU99" s="1303">
        <f t="shared" si="76"/>
        <v>0</v>
      </c>
      <c r="AV99" s="581">
        <v>0</v>
      </c>
      <c r="AW99" s="581">
        <v>0</v>
      </c>
      <c r="AX99" s="581">
        <v>0</v>
      </c>
      <c r="AY99" s="581">
        <v>0</v>
      </c>
      <c r="AZ99" s="581">
        <v>0</v>
      </c>
    </row>
    <row r="100" spans="1:52">
      <c r="A100" s="875" t="s">
        <v>1948</v>
      </c>
      <c r="B100" s="875" t="str">
        <f t="shared" si="67"/>
        <v>COODS-E</v>
      </c>
      <c r="C100" s="876" t="s">
        <v>1989</v>
      </c>
      <c r="D100" s="876" t="str">
        <f t="shared" ref="D100:D105" si="77">$B$43</f>
        <v>CO</v>
      </c>
      <c r="E100" s="538">
        <v>0.9</v>
      </c>
      <c r="F100" s="152" t="s">
        <v>37</v>
      </c>
      <c r="G100" s="541">
        <v>1</v>
      </c>
      <c r="H100" s="540">
        <f t="shared" si="68"/>
        <v>1.742</v>
      </c>
      <c r="I100" s="540">
        <f t="shared" si="69"/>
        <v>1.5678000000000001</v>
      </c>
      <c r="K100" s="542">
        <f t="shared" si="70"/>
        <v>5.0941290639204356E-2</v>
      </c>
      <c r="L100" s="546"/>
      <c r="M100" s="581">
        <f t="shared" ref="M100:M105" si="78">K100</f>
        <v>5.0941290639204356E-2</v>
      </c>
      <c r="N100" s="581">
        <f t="shared" si="71"/>
        <v>5.0941290639204356E-2</v>
      </c>
      <c r="O100" s="581">
        <f t="shared" ref="O100:X100" si="79">N100</f>
        <v>5.0941290639204356E-2</v>
      </c>
      <c r="P100" s="581">
        <f t="shared" si="79"/>
        <v>5.0941290639204356E-2</v>
      </c>
      <c r="Q100" s="581">
        <f t="shared" si="79"/>
        <v>5.0941290639204356E-2</v>
      </c>
      <c r="R100" s="581">
        <f t="shared" si="79"/>
        <v>5.0941290639204356E-2</v>
      </c>
      <c r="S100" s="581">
        <f t="shared" si="79"/>
        <v>5.0941290639204356E-2</v>
      </c>
      <c r="T100" s="581">
        <f t="shared" si="79"/>
        <v>5.0941290639204356E-2</v>
      </c>
      <c r="U100" s="581">
        <f t="shared" si="79"/>
        <v>5.0941290639204356E-2</v>
      </c>
      <c r="V100" s="1735">
        <f t="shared" si="79"/>
        <v>5.0941290639204356E-2</v>
      </c>
      <c r="W100" s="581">
        <f t="shared" si="79"/>
        <v>5.0941290639204356E-2</v>
      </c>
      <c r="X100" s="581">
        <f t="shared" si="79"/>
        <v>5.0941290639204356E-2</v>
      </c>
      <c r="Y100" s="1303">
        <f t="shared" si="74"/>
        <v>4.5281147234848315E-2</v>
      </c>
      <c r="Z100" s="1303">
        <f t="shared" si="74"/>
        <v>3.9621003830492274E-2</v>
      </c>
      <c r="AA100" s="1303">
        <f t="shared" si="74"/>
        <v>3.3960860426136233E-2</v>
      </c>
      <c r="AB100" s="1303">
        <f t="shared" si="74"/>
        <v>2.8300717021780192E-2</v>
      </c>
      <c r="AC100" s="1303">
        <f t="shared" si="74"/>
        <v>2.2640573617424151E-2</v>
      </c>
      <c r="AD100" s="1303">
        <f t="shared" si="74"/>
        <v>1.698043021306811E-2</v>
      </c>
      <c r="AE100" s="1303">
        <f t="shared" si="74"/>
        <v>1.132028680871207E-2</v>
      </c>
      <c r="AF100" s="1735">
        <v>0</v>
      </c>
      <c r="AG100" s="1594">
        <f t="shared" ref="AG100:AG105" si="80">M100</f>
        <v>5.0941290639204356E-2</v>
      </c>
      <c r="AH100" s="1594">
        <f t="shared" ref="AH100:AH105" si="81">N100</f>
        <v>5.0941290639204356E-2</v>
      </c>
      <c r="AI100" s="1303">
        <f t="shared" si="75"/>
        <v>4.3663963405032306E-2</v>
      </c>
      <c r="AJ100" s="1303">
        <f t="shared" si="75"/>
        <v>3.6386636170860256E-2</v>
      </c>
      <c r="AK100" s="1303">
        <f t="shared" si="75"/>
        <v>2.9109308936688207E-2</v>
      </c>
      <c r="AL100" s="1303">
        <f t="shared" si="75"/>
        <v>2.1831981702516157E-2</v>
      </c>
      <c r="AM100" s="1303">
        <f t="shared" si="75"/>
        <v>1.4554654468344107E-2</v>
      </c>
      <c r="AN100" s="581">
        <v>0</v>
      </c>
      <c r="AO100" s="581">
        <v>0</v>
      </c>
      <c r="AP100" s="1735">
        <v>0</v>
      </c>
      <c r="AQ100" s="549">
        <f t="shared" si="22"/>
        <v>5.0941290639204356E-2</v>
      </c>
      <c r="AR100" s="549">
        <f t="shared" si="23"/>
        <v>5.0941290639204356E-2</v>
      </c>
      <c r="AS100" s="1303">
        <f t="shared" si="76"/>
        <v>3.8205967979403267E-2</v>
      </c>
      <c r="AT100" s="1303">
        <f t="shared" si="76"/>
        <v>2.5470645319602178E-2</v>
      </c>
      <c r="AU100" s="1303">
        <f t="shared" si="76"/>
        <v>1.2735322659801089E-2</v>
      </c>
      <c r="AV100" s="581">
        <v>0</v>
      </c>
      <c r="AW100" s="581">
        <v>0</v>
      </c>
      <c r="AX100" s="581">
        <v>0</v>
      </c>
      <c r="AY100" s="581">
        <v>0</v>
      </c>
      <c r="AZ100" s="581">
        <v>0</v>
      </c>
    </row>
    <row r="101" spans="1:52">
      <c r="A101" s="875" t="s">
        <v>1949</v>
      </c>
      <c r="B101" s="875" t="str">
        <f t="shared" si="67"/>
        <v>COELC-E</v>
      </c>
      <c r="C101" s="876" t="s">
        <v>1990</v>
      </c>
      <c r="D101" s="876" t="str">
        <f t="shared" si="77"/>
        <v>CO</v>
      </c>
      <c r="E101" s="538">
        <v>0.75</v>
      </c>
      <c r="F101" s="152" t="s">
        <v>33</v>
      </c>
      <c r="G101" s="541">
        <v>1</v>
      </c>
      <c r="H101" s="540">
        <f t="shared" si="68"/>
        <v>12.015740518427124</v>
      </c>
      <c r="I101" s="540">
        <f t="shared" si="69"/>
        <v>9.0118053888203438</v>
      </c>
      <c r="K101" s="542">
        <f t="shared" si="70"/>
        <v>0.29281349502222548</v>
      </c>
      <c r="L101" s="546"/>
      <c r="M101" s="581">
        <f t="shared" si="78"/>
        <v>0.29281349502222548</v>
      </c>
      <c r="N101" s="581">
        <f t="shared" si="71"/>
        <v>0.29281349502222548</v>
      </c>
      <c r="O101" s="581">
        <f t="shared" si="73"/>
        <v>0.29281349502222548</v>
      </c>
      <c r="P101" s="581">
        <f t="shared" si="73"/>
        <v>0.29281349502222548</v>
      </c>
      <c r="Q101" s="581">
        <f t="shared" si="73"/>
        <v>0.29281349502222548</v>
      </c>
      <c r="R101" s="581">
        <f t="shared" si="73"/>
        <v>0.29281349502222548</v>
      </c>
      <c r="S101" s="581">
        <f t="shared" si="73"/>
        <v>0.29281349502222548</v>
      </c>
      <c r="T101" s="581">
        <f t="shared" si="73"/>
        <v>0.29281349502222548</v>
      </c>
      <c r="U101" s="581">
        <f t="shared" si="73"/>
        <v>0.29281349502222548</v>
      </c>
      <c r="V101" s="1735">
        <f t="shared" si="73"/>
        <v>0.29281349502222548</v>
      </c>
      <c r="W101" s="581">
        <f t="shared" si="73"/>
        <v>0.29281349502222548</v>
      </c>
      <c r="X101" s="581">
        <f t="shared" si="73"/>
        <v>0.29281349502222548</v>
      </c>
      <c r="Y101" s="1303">
        <f t="shared" si="74"/>
        <v>0.36027866224197819</v>
      </c>
      <c r="Z101" s="1303">
        <f t="shared" si="74"/>
        <v>0.4277438294617309</v>
      </c>
      <c r="AA101" s="1303">
        <f t="shared" si="74"/>
        <v>0.4952089966814836</v>
      </c>
      <c r="AB101" s="1303">
        <f t="shared" si="74"/>
        <v>0.56267416390123637</v>
      </c>
      <c r="AC101" s="1303">
        <f t="shared" si="74"/>
        <v>0.63013933112098908</v>
      </c>
      <c r="AD101" s="1303">
        <f t="shared" si="74"/>
        <v>0.69760449834074179</v>
      </c>
      <c r="AE101" s="1303">
        <f t="shared" si="74"/>
        <v>0.76506966556049449</v>
      </c>
      <c r="AF101" s="1735">
        <v>0.9</v>
      </c>
      <c r="AG101" s="1594">
        <f t="shared" si="80"/>
        <v>0.29281349502222548</v>
      </c>
      <c r="AH101" s="1594">
        <f t="shared" si="81"/>
        <v>0.29281349502222548</v>
      </c>
      <c r="AI101" s="1303">
        <f t="shared" si="75"/>
        <v>0.37955442430476471</v>
      </c>
      <c r="AJ101" s="1303">
        <f t="shared" si="75"/>
        <v>0.4662953535873039</v>
      </c>
      <c r="AK101" s="1303">
        <f t="shared" si="75"/>
        <v>0.55303628286984308</v>
      </c>
      <c r="AL101" s="1303">
        <f t="shared" si="75"/>
        <v>0.63977721215238226</v>
      </c>
      <c r="AM101" s="1303">
        <f t="shared" si="75"/>
        <v>0.72651814143492144</v>
      </c>
      <c r="AN101" s="581">
        <v>0.9</v>
      </c>
      <c r="AO101" s="581">
        <v>0.9</v>
      </c>
      <c r="AP101" s="1735">
        <v>0.9</v>
      </c>
      <c r="AQ101" s="549">
        <f t="shared" si="22"/>
        <v>0.29281349502222548</v>
      </c>
      <c r="AR101" s="549">
        <f t="shared" si="23"/>
        <v>0.29281349502222548</v>
      </c>
      <c r="AS101" s="1303">
        <f t="shared" si="76"/>
        <v>0.4446101212666691</v>
      </c>
      <c r="AT101" s="1303">
        <f t="shared" si="76"/>
        <v>0.59640674751111278</v>
      </c>
      <c r="AU101" s="1303">
        <f t="shared" si="76"/>
        <v>0.74820337375555646</v>
      </c>
      <c r="AV101" s="581">
        <v>0.9</v>
      </c>
      <c r="AW101" s="581">
        <v>0.9</v>
      </c>
      <c r="AX101" s="581">
        <v>0.9</v>
      </c>
      <c r="AY101" s="581">
        <v>0.9</v>
      </c>
      <c r="AZ101" s="581">
        <v>0.9</v>
      </c>
    </row>
    <row r="102" spans="1:52">
      <c r="A102" s="875" t="s">
        <v>1950</v>
      </c>
      <c r="B102" s="875" t="str">
        <f t="shared" si="67"/>
        <v>COGAS-E</v>
      </c>
      <c r="C102" s="876" t="s">
        <v>1991</v>
      </c>
      <c r="D102" s="876" t="str">
        <f t="shared" si="77"/>
        <v>CO</v>
      </c>
      <c r="E102" s="538">
        <v>1</v>
      </c>
      <c r="F102" s="152" t="s">
        <v>38</v>
      </c>
      <c r="G102" s="541">
        <v>1</v>
      </c>
      <c r="H102" s="540">
        <f t="shared" si="68"/>
        <v>0.86399999999999999</v>
      </c>
      <c r="I102" s="540">
        <f t="shared" si="69"/>
        <v>0.86399999999999999</v>
      </c>
      <c r="K102" s="542">
        <f t="shared" si="70"/>
        <v>2.8073271534808368E-2</v>
      </c>
      <c r="L102" s="546"/>
      <c r="M102" s="581">
        <f t="shared" si="78"/>
        <v>2.8073271534808368E-2</v>
      </c>
      <c r="N102" s="581">
        <f t="shared" si="71"/>
        <v>2.8073271534808368E-2</v>
      </c>
      <c r="O102" s="581">
        <f t="shared" si="73"/>
        <v>2.8073271534808368E-2</v>
      </c>
      <c r="P102" s="581">
        <f t="shared" si="73"/>
        <v>2.8073271534808368E-2</v>
      </c>
      <c r="Q102" s="581">
        <f t="shared" si="73"/>
        <v>2.8073271534808368E-2</v>
      </c>
      <c r="R102" s="581">
        <f t="shared" si="73"/>
        <v>2.8073271534808368E-2</v>
      </c>
      <c r="S102" s="581">
        <f t="shared" si="73"/>
        <v>2.8073271534808368E-2</v>
      </c>
      <c r="T102" s="581">
        <f t="shared" si="73"/>
        <v>2.8073271534808368E-2</v>
      </c>
      <c r="U102" s="581">
        <f t="shared" si="73"/>
        <v>2.8073271534808368E-2</v>
      </c>
      <c r="V102" s="1735">
        <f t="shared" si="73"/>
        <v>2.8073271534808368E-2</v>
      </c>
      <c r="W102" s="581">
        <f t="shared" si="73"/>
        <v>2.8073271534808368E-2</v>
      </c>
      <c r="X102" s="581">
        <f t="shared" si="73"/>
        <v>2.8073271534808368E-2</v>
      </c>
      <c r="Y102" s="1303">
        <f t="shared" si="74"/>
        <v>3.6065130253162991E-2</v>
      </c>
      <c r="Z102" s="1303">
        <f t="shared" si="74"/>
        <v>4.4056988971517615E-2</v>
      </c>
      <c r="AA102" s="1303">
        <f t="shared" si="74"/>
        <v>5.2048847689872238E-2</v>
      </c>
      <c r="AB102" s="1303">
        <f t="shared" si="74"/>
        <v>6.0040706408226861E-2</v>
      </c>
      <c r="AC102" s="1303">
        <f t="shared" si="74"/>
        <v>6.8032565126581485E-2</v>
      </c>
      <c r="AD102" s="1303">
        <f t="shared" si="74"/>
        <v>7.6024423844936115E-2</v>
      </c>
      <c r="AE102" s="1303">
        <f t="shared" si="74"/>
        <v>8.4016282563290745E-2</v>
      </c>
      <c r="AF102" s="1735">
        <v>0.1</v>
      </c>
      <c r="AG102" s="1594">
        <f t="shared" si="80"/>
        <v>2.8073271534808368E-2</v>
      </c>
      <c r="AH102" s="1594">
        <f t="shared" si="81"/>
        <v>2.8073271534808368E-2</v>
      </c>
      <c r="AI102" s="1303">
        <f t="shared" si="75"/>
        <v>3.8348518458407171E-2</v>
      </c>
      <c r="AJ102" s="1303">
        <f t="shared" si="75"/>
        <v>4.8623765382005975E-2</v>
      </c>
      <c r="AK102" s="1303">
        <f t="shared" si="75"/>
        <v>5.8899012305604778E-2</v>
      </c>
      <c r="AL102" s="1303">
        <f t="shared" si="75"/>
        <v>6.9174259229203588E-2</v>
      </c>
      <c r="AM102" s="1303">
        <f t="shared" si="75"/>
        <v>7.9449506152802399E-2</v>
      </c>
      <c r="AN102" s="581">
        <v>0.1</v>
      </c>
      <c r="AO102" s="581">
        <v>0.1</v>
      </c>
      <c r="AP102" s="1735">
        <v>0.1</v>
      </c>
      <c r="AQ102" s="549">
        <f t="shared" si="22"/>
        <v>2.8073271534808368E-2</v>
      </c>
      <c r="AR102" s="549">
        <f t="shared" si="23"/>
        <v>2.8073271534808368E-2</v>
      </c>
      <c r="AS102" s="1303">
        <f t="shared" si="76"/>
        <v>4.6054953651106276E-2</v>
      </c>
      <c r="AT102" s="1303">
        <f t="shared" si="76"/>
        <v>6.4036635767404176E-2</v>
      </c>
      <c r="AU102" s="1303">
        <f t="shared" si="76"/>
        <v>8.2018317883702091E-2</v>
      </c>
      <c r="AV102" s="581">
        <v>0.1</v>
      </c>
      <c r="AW102" s="581">
        <v>0.1</v>
      </c>
      <c r="AX102" s="581">
        <v>0.1</v>
      </c>
      <c r="AY102" s="581">
        <v>0.1</v>
      </c>
      <c r="AZ102" s="581">
        <v>0.1</v>
      </c>
    </row>
    <row r="103" spans="1:52">
      <c r="A103" s="875" t="s">
        <v>1951</v>
      </c>
      <c r="B103" s="875" t="str">
        <f t="shared" si="67"/>
        <v>COOGS-E</v>
      </c>
      <c r="C103" s="876" t="s">
        <v>1992</v>
      </c>
      <c r="D103" s="876" t="str">
        <f t="shared" si="77"/>
        <v>CO</v>
      </c>
      <c r="E103" s="538">
        <v>1</v>
      </c>
      <c r="F103" s="152" t="s">
        <v>37</v>
      </c>
      <c r="G103" s="541">
        <v>1</v>
      </c>
      <c r="H103" s="540">
        <f t="shared" si="68"/>
        <v>0.23699999999999999</v>
      </c>
      <c r="I103" s="540">
        <f t="shared" si="69"/>
        <v>0.23699999999999999</v>
      </c>
      <c r="K103" s="542">
        <f t="shared" si="70"/>
        <v>7.7006543446175735E-3</v>
      </c>
      <c r="L103" s="546"/>
      <c r="M103" s="581">
        <f t="shared" si="78"/>
        <v>7.7006543446175735E-3</v>
      </c>
      <c r="N103" s="581">
        <f t="shared" si="71"/>
        <v>7.7006543446175735E-3</v>
      </c>
      <c r="O103" s="581">
        <f t="shared" si="73"/>
        <v>7.7006543446175735E-3</v>
      </c>
      <c r="P103" s="581">
        <f t="shared" si="73"/>
        <v>7.7006543446175735E-3</v>
      </c>
      <c r="Q103" s="581">
        <f t="shared" si="73"/>
        <v>7.7006543446175735E-3</v>
      </c>
      <c r="R103" s="581">
        <f t="shared" si="73"/>
        <v>7.7006543446175735E-3</v>
      </c>
      <c r="S103" s="581">
        <f t="shared" si="73"/>
        <v>7.7006543446175735E-3</v>
      </c>
      <c r="T103" s="581">
        <f t="shared" si="73"/>
        <v>7.7006543446175735E-3</v>
      </c>
      <c r="U103" s="581">
        <f t="shared" si="73"/>
        <v>7.7006543446175735E-3</v>
      </c>
      <c r="V103" s="1735">
        <f t="shared" si="73"/>
        <v>7.7006543446175735E-3</v>
      </c>
      <c r="W103" s="581">
        <f t="shared" si="73"/>
        <v>7.7006543446175735E-3</v>
      </c>
      <c r="X103" s="581">
        <f t="shared" si="73"/>
        <v>7.7006543446175735E-3</v>
      </c>
      <c r="Y103" s="1303">
        <f t="shared" si="74"/>
        <v>6.8450260841045095E-3</v>
      </c>
      <c r="Z103" s="1303">
        <f t="shared" si="74"/>
        <v>5.9893978235914455E-3</v>
      </c>
      <c r="AA103" s="1303">
        <f t="shared" si="74"/>
        <v>5.1337695630783815E-3</v>
      </c>
      <c r="AB103" s="1303">
        <f t="shared" si="74"/>
        <v>4.2781413025653175E-3</v>
      </c>
      <c r="AC103" s="1303">
        <f t="shared" si="74"/>
        <v>3.4225130420522539E-3</v>
      </c>
      <c r="AD103" s="1303">
        <f t="shared" si="74"/>
        <v>2.5668847815391903E-3</v>
      </c>
      <c r="AE103" s="1303">
        <f t="shared" si="74"/>
        <v>1.7112565210261267E-3</v>
      </c>
      <c r="AF103" s="1735">
        <v>0</v>
      </c>
      <c r="AG103" s="1594">
        <f t="shared" si="80"/>
        <v>7.7006543446175735E-3</v>
      </c>
      <c r="AH103" s="1594">
        <f t="shared" si="81"/>
        <v>7.7006543446175735E-3</v>
      </c>
      <c r="AI103" s="1303">
        <f t="shared" si="75"/>
        <v>6.6005608668150625E-3</v>
      </c>
      <c r="AJ103" s="1303">
        <f t="shared" si="75"/>
        <v>5.5004673890125515E-3</v>
      </c>
      <c r="AK103" s="1303">
        <f t="shared" si="75"/>
        <v>4.4003739112100405E-3</v>
      </c>
      <c r="AL103" s="1303">
        <f t="shared" si="75"/>
        <v>3.30028043340753E-3</v>
      </c>
      <c r="AM103" s="1303">
        <f t="shared" si="75"/>
        <v>2.2001869556050194E-3</v>
      </c>
      <c r="AN103" s="581">
        <v>0</v>
      </c>
      <c r="AO103" s="581">
        <v>0</v>
      </c>
      <c r="AP103" s="1735">
        <v>0</v>
      </c>
      <c r="AQ103" s="549">
        <f t="shared" si="22"/>
        <v>7.7006543446175735E-3</v>
      </c>
      <c r="AR103" s="549">
        <f t="shared" si="23"/>
        <v>7.7006543446175735E-3</v>
      </c>
      <c r="AS103" s="1303">
        <f t="shared" si="76"/>
        <v>5.7754907584631806E-3</v>
      </c>
      <c r="AT103" s="1303">
        <f t="shared" si="76"/>
        <v>3.8503271723087872E-3</v>
      </c>
      <c r="AU103" s="1303">
        <f t="shared" si="76"/>
        <v>1.9251635861543938E-3</v>
      </c>
      <c r="AV103" s="581">
        <v>0</v>
      </c>
      <c r="AW103" s="581">
        <v>0</v>
      </c>
      <c r="AX103" s="581">
        <v>0</v>
      </c>
      <c r="AY103" s="581">
        <v>0</v>
      </c>
      <c r="AZ103" s="581">
        <v>0</v>
      </c>
    </row>
    <row r="104" spans="1:52">
      <c r="A104" s="875" t="s">
        <v>1952</v>
      </c>
      <c r="B104" s="875" t="str">
        <f t="shared" si="67"/>
        <v>COOHF-E</v>
      </c>
      <c r="C104" s="876" t="s">
        <v>1993</v>
      </c>
      <c r="D104" s="876" t="str">
        <f t="shared" si="77"/>
        <v>CO</v>
      </c>
      <c r="E104" s="538">
        <v>1</v>
      </c>
      <c r="F104" s="152" t="s">
        <v>38</v>
      </c>
      <c r="G104" s="541">
        <v>1</v>
      </c>
      <c r="H104" s="540">
        <f t="shared" si="68"/>
        <v>17.766999999999999</v>
      </c>
      <c r="I104" s="540">
        <f t="shared" si="69"/>
        <v>17.766999999999999</v>
      </c>
      <c r="K104" s="542">
        <f t="shared" si="70"/>
        <v>0.57728913814692162</v>
      </c>
      <c r="L104" s="546"/>
      <c r="M104" s="581">
        <f t="shared" si="78"/>
        <v>0.57728913814692162</v>
      </c>
      <c r="N104" s="581">
        <f t="shared" si="71"/>
        <v>0.57728913814692162</v>
      </c>
      <c r="O104" s="581">
        <f t="shared" si="73"/>
        <v>0.57728913814692162</v>
      </c>
      <c r="P104" s="581">
        <f t="shared" si="73"/>
        <v>0.57728913814692162</v>
      </c>
      <c r="Q104" s="581">
        <f t="shared" si="73"/>
        <v>0.57728913814692162</v>
      </c>
      <c r="R104" s="581">
        <f t="shared" si="73"/>
        <v>0.57728913814692162</v>
      </c>
      <c r="S104" s="581">
        <f t="shared" si="73"/>
        <v>0.57728913814692162</v>
      </c>
      <c r="T104" s="581">
        <f t="shared" si="73"/>
        <v>0.57728913814692162</v>
      </c>
      <c r="U104" s="581">
        <f t="shared" si="73"/>
        <v>0.57728913814692162</v>
      </c>
      <c r="V104" s="1735">
        <f t="shared" si="73"/>
        <v>0.57728913814692162</v>
      </c>
      <c r="W104" s="581">
        <f t="shared" si="73"/>
        <v>0.57728913814692162</v>
      </c>
      <c r="X104" s="581">
        <f t="shared" si="73"/>
        <v>0.57728913814692162</v>
      </c>
      <c r="Y104" s="1303">
        <f t="shared" si="74"/>
        <v>0.51314590057504139</v>
      </c>
      <c r="Z104" s="1303">
        <f t="shared" si="74"/>
        <v>0.44900266300316122</v>
      </c>
      <c r="AA104" s="1303">
        <f t="shared" si="74"/>
        <v>0.38485942543128104</v>
      </c>
      <c r="AB104" s="1303">
        <f t="shared" si="74"/>
        <v>0.32071618785940087</v>
      </c>
      <c r="AC104" s="1303">
        <f t="shared" si="74"/>
        <v>0.2565729502875207</v>
      </c>
      <c r="AD104" s="1303">
        <f t="shared" si="74"/>
        <v>0.19242971271564052</v>
      </c>
      <c r="AE104" s="1303">
        <f t="shared" si="74"/>
        <v>0.12828647514376035</v>
      </c>
      <c r="AF104" s="1735">
        <v>0</v>
      </c>
      <c r="AG104" s="1594">
        <f t="shared" si="80"/>
        <v>0.57728913814692162</v>
      </c>
      <c r="AH104" s="1594">
        <f t="shared" si="81"/>
        <v>0.57728913814692162</v>
      </c>
      <c r="AI104" s="1303">
        <f t="shared" si="75"/>
        <v>0.49481926126878994</v>
      </c>
      <c r="AJ104" s="1303">
        <f t="shared" si="75"/>
        <v>0.41234938439065827</v>
      </c>
      <c r="AK104" s="1303">
        <f t="shared" si="75"/>
        <v>0.32987950751252659</v>
      </c>
      <c r="AL104" s="1303">
        <f t="shared" si="75"/>
        <v>0.24740963063439492</v>
      </c>
      <c r="AM104" s="1303">
        <f t="shared" si="75"/>
        <v>0.16493975375626324</v>
      </c>
      <c r="AN104" s="581">
        <v>0</v>
      </c>
      <c r="AO104" s="581">
        <v>0</v>
      </c>
      <c r="AP104" s="1735">
        <v>0</v>
      </c>
      <c r="AQ104" s="549">
        <f t="shared" si="22"/>
        <v>0.57728913814692162</v>
      </c>
      <c r="AR104" s="549">
        <f t="shared" si="23"/>
        <v>0.57728913814692162</v>
      </c>
      <c r="AS104" s="1303">
        <f t="shared" si="76"/>
        <v>0.43296685361019122</v>
      </c>
      <c r="AT104" s="1303">
        <f t="shared" si="76"/>
        <v>0.28864456907346081</v>
      </c>
      <c r="AU104" s="1303">
        <f t="shared" si="76"/>
        <v>0.14432228453673041</v>
      </c>
      <c r="AV104" s="581">
        <v>0</v>
      </c>
      <c r="AW104" s="581">
        <v>0</v>
      </c>
      <c r="AX104" s="581">
        <v>0</v>
      </c>
      <c r="AY104" s="581">
        <v>0</v>
      </c>
      <c r="AZ104" s="581">
        <v>0</v>
      </c>
    </row>
    <row r="105" spans="1:52">
      <c r="A105" s="875" t="s">
        <v>1953</v>
      </c>
      <c r="B105" s="875" t="str">
        <f t="shared" si="67"/>
        <v>COOKE-E</v>
      </c>
      <c r="C105" s="876" t="s">
        <v>1994</v>
      </c>
      <c r="D105" s="876" t="str">
        <f t="shared" si="77"/>
        <v>CO</v>
      </c>
      <c r="E105" s="538">
        <v>1</v>
      </c>
      <c r="F105" s="152" t="s">
        <v>37</v>
      </c>
      <c r="G105" s="541">
        <v>1</v>
      </c>
      <c r="H105" s="540">
        <f t="shared" si="68"/>
        <v>1.329</v>
      </c>
      <c r="I105" s="540">
        <f t="shared" si="69"/>
        <v>1.329</v>
      </c>
      <c r="K105" s="542">
        <f t="shared" si="70"/>
        <v>4.3182150312222597E-2</v>
      </c>
      <c r="L105" s="546"/>
      <c r="M105" s="581">
        <f t="shared" si="78"/>
        <v>4.3182150312222597E-2</v>
      </c>
      <c r="N105" s="581">
        <f t="shared" si="71"/>
        <v>4.3182150312222597E-2</v>
      </c>
      <c r="O105" s="581">
        <f t="shared" si="73"/>
        <v>4.3182150312222597E-2</v>
      </c>
      <c r="P105" s="581">
        <f t="shared" si="73"/>
        <v>4.3182150312222597E-2</v>
      </c>
      <c r="Q105" s="581">
        <f t="shared" si="73"/>
        <v>4.3182150312222597E-2</v>
      </c>
      <c r="R105" s="581">
        <f t="shared" si="73"/>
        <v>4.3182150312222597E-2</v>
      </c>
      <c r="S105" s="581">
        <f t="shared" si="73"/>
        <v>4.3182150312222597E-2</v>
      </c>
      <c r="T105" s="581">
        <f t="shared" si="73"/>
        <v>4.3182150312222597E-2</v>
      </c>
      <c r="U105" s="581">
        <f t="shared" si="73"/>
        <v>4.3182150312222597E-2</v>
      </c>
      <c r="V105" s="1735">
        <f t="shared" si="73"/>
        <v>4.3182150312222597E-2</v>
      </c>
      <c r="W105" s="581">
        <f t="shared" si="73"/>
        <v>4.3182150312222597E-2</v>
      </c>
      <c r="X105" s="581">
        <f t="shared" si="73"/>
        <v>4.3182150312222597E-2</v>
      </c>
      <c r="Y105" s="1303">
        <f t="shared" si="74"/>
        <v>3.8384133610864533E-2</v>
      </c>
      <c r="Z105" s="1303">
        <f t="shared" si="74"/>
        <v>3.3586116909506469E-2</v>
      </c>
      <c r="AA105" s="1303">
        <f t="shared" si="74"/>
        <v>2.8788100208148402E-2</v>
      </c>
      <c r="AB105" s="1303">
        <f t="shared" si="74"/>
        <v>2.3990083506790334E-2</v>
      </c>
      <c r="AC105" s="1303">
        <f t="shared" si="74"/>
        <v>1.9192066805432267E-2</v>
      </c>
      <c r="AD105" s="1303">
        <f t="shared" si="74"/>
        <v>1.4394050104074199E-2</v>
      </c>
      <c r="AE105" s="1303">
        <f t="shared" si="74"/>
        <v>9.5960334027161316E-3</v>
      </c>
      <c r="AF105" s="1735">
        <v>0</v>
      </c>
      <c r="AG105" s="1594">
        <f t="shared" si="80"/>
        <v>4.3182150312222597E-2</v>
      </c>
      <c r="AH105" s="1594">
        <f t="shared" si="81"/>
        <v>4.3182150312222597E-2</v>
      </c>
      <c r="AI105" s="1303">
        <f t="shared" si="75"/>
        <v>3.70132716961908E-2</v>
      </c>
      <c r="AJ105" s="1303">
        <f t="shared" si="75"/>
        <v>3.0844393080159002E-2</v>
      </c>
      <c r="AK105" s="1303">
        <f t="shared" si="75"/>
        <v>2.4675514464127205E-2</v>
      </c>
      <c r="AL105" s="1303">
        <f t="shared" si="75"/>
        <v>1.8506635848095407E-2</v>
      </c>
      <c r="AM105" s="1303">
        <f t="shared" si="75"/>
        <v>1.2337757232063607E-2</v>
      </c>
      <c r="AN105" s="581">
        <v>0</v>
      </c>
      <c r="AO105" s="581">
        <v>0</v>
      </c>
      <c r="AP105" s="1735">
        <v>0</v>
      </c>
      <c r="AQ105" s="549">
        <f t="shared" si="22"/>
        <v>4.3182150312222597E-2</v>
      </c>
      <c r="AR105" s="549">
        <f t="shared" si="23"/>
        <v>4.3182150312222597E-2</v>
      </c>
      <c r="AS105" s="1303">
        <f t="shared" si="76"/>
        <v>3.2386612734166945E-2</v>
      </c>
      <c r="AT105" s="1303">
        <f t="shared" si="76"/>
        <v>2.1591075156111295E-2</v>
      </c>
      <c r="AU105" s="1303">
        <f t="shared" si="76"/>
        <v>1.0795537578055646E-2</v>
      </c>
      <c r="AV105" s="581">
        <v>0</v>
      </c>
      <c r="AW105" s="581">
        <v>0</v>
      </c>
      <c r="AX105" s="581">
        <v>0</v>
      </c>
      <c r="AY105" s="581">
        <v>0</v>
      </c>
      <c r="AZ105" s="581">
        <v>0</v>
      </c>
    </row>
    <row r="106" spans="1:52">
      <c r="A106" s="895"/>
      <c r="G106" s="898"/>
      <c r="H106" s="544">
        <f>SUM(H99:H105)</f>
        <v>33.954740518427123</v>
      </c>
      <c r="I106" s="544">
        <f>SUM(I99:I105)</f>
        <v>30.776605388820343</v>
      </c>
      <c r="L106" s="546"/>
      <c r="T106" s="864"/>
      <c r="W106" s="893"/>
    </row>
    <row r="107" spans="1:52">
      <c r="A107" s="875"/>
      <c r="L107" s="898"/>
      <c r="M107" s="544"/>
      <c r="N107" s="544"/>
      <c r="Y107" s="864"/>
      <c r="AB107" s="893"/>
    </row>
  </sheetData>
  <mergeCells count="3">
    <mergeCell ref="B1:D1"/>
    <mergeCell ref="BG49:BH49"/>
    <mergeCell ref="M49:V49"/>
  </mergeCells>
  <pageMargins left="0.7" right="0.7" top="0.75" bottom="0.75" header="0.3" footer="0.3"/>
  <pageSetup orientation="portrait"/>
  <drawing r:id="rId1"/>
  <extLst>
    <ext xmlns:mx="http://schemas.microsoft.com/office/mac/excel/2008/main" uri="{64002731-A6B0-56B0-2670-7721B7C09600}">
      <mx:PLV Mode="0" OnePage="0" WScale="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6" enableFormatConditionsCalculation="0">
    <tabColor rgb="FFFF0000"/>
  </sheetPr>
  <dimension ref="A1:DE303"/>
  <sheetViews>
    <sheetView workbookViewId="0">
      <selection activeCell="E252" sqref="E252"/>
    </sheetView>
    <sheetView topLeftCell="A172" workbookViewId="1">
      <selection activeCell="J179" sqref="J179"/>
    </sheetView>
  </sheetViews>
  <sheetFormatPr baseColWidth="10" defaultColWidth="8.6640625" defaultRowHeight="13" x14ac:dyDescent="0"/>
  <cols>
    <col min="1" max="1" width="65.5" style="1086" customWidth="1"/>
    <col min="2" max="2" width="15" style="1086" customWidth="1"/>
    <col min="3" max="3" width="14" style="1086" customWidth="1"/>
    <col min="4" max="5" width="12.5" style="1086" customWidth="1"/>
    <col min="6" max="6" width="13.5" style="1086" customWidth="1"/>
    <col min="7" max="7" width="12.5" style="1086" customWidth="1"/>
    <col min="8" max="8" width="13.5" style="1086" customWidth="1"/>
    <col min="9" max="9" width="11.83203125" style="1086" customWidth="1"/>
    <col min="10" max="10" width="15.33203125" style="1086" customWidth="1"/>
    <col min="11" max="11" width="12.1640625" style="1086" customWidth="1"/>
    <col min="12" max="21" width="9.83203125" style="1086" customWidth="1"/>
    <col min="22" max="33" width="8.6640625" style="1086"/>
    <col min="34" max="34" width="15.6640625" style="1086" customWidth="1"/>
    <col min="35" max="35" width="10.83203125" style="462" customWidth="1"/>
    <col min="36" max="44" width="8.6640625" style="1086"/>
    <col min="45" max="45" width="9.83203125" style="1086" customWidth="1"/>
    <col min="46" max="46" width="10.5" style="1086" customWidth="1"/>
    <col min="47" max="47" width="8.6640625" style="1086"/>
    <col min="48" max="48" width="9.5" style="1086" bestFit="1" customWidth="1"/>
    <col min="49" max="49" width="20.5" style="1086" bestFit="1" customWidth="1"/>
    <col min="50" max="51" width="8.6640625" style="1086"/>
    <col min="52" max="52" width="9.83203125" style="1086" customWidth="1"/>
    <col min="53" max="54" width="8.6640625" style="1086"/>
    <col min="55" max="55" width="8.6640625" style="1086" customWidth="1"/>
    <col min="56" max="56" width="9.1640625" style="1086" bestFit="1" customWidth="1"/>
    <col min="57" max="61" width="8.6640625" style="1086"/>
    <col min="62" max="62" width="10.5" style="1086" customWidth="1"/>
    <col min="63" max="63" width="11.33203125" style="1086" customWidth="1"/>
    <col min="64" max="65" width="8.6640625" style="1086"/>
    <col min="66" max="66" width="8.5" style="1086" customWidth="1"/>
    <col min="67" max="68" width="9.1640625" style="1086" bestFit="1" customWidth="1"/>
    <col min="69" max="74" width="8.83203125" style="1086" bestFit="1" customWidth="1"/>
    <col min="75" max="75" width="9.1640625" style="1086" bestFit="1" customWidth="1"/>
    <col min="76" max="79" width="8.6640625" style="1086"/>
    <col min="80" max="80" width="10" style="1086" customWidth="1"/>
    <col min="81" max="16384" width="8.6640625" style="1086"/>
  </cols>
  <sheetData>
    <row r="1" spans="1:88" s="608" customFormat="1" ht="15">
      <c r="A1" s="1226" t="s">
        <v>757</v>
      </c>
      <c r="B1" s="1766" t="s">
        <v>758</v>
      </c>
      <c r="C1" s="1766"/>
      <c r="D1" s="1766"/>
      <c r="E1" s="1227" t="s">
        <v>836</v>
      </c>
      <c r="F1" s="1227"/>
      <c r="G1" s="1212"/>
      <c r="H1" s="1226"/>
      <c r="I1" s="1212"/>
      <c r="J1" s="1226"/>
      <c r="K1" s="1168"/>
      <c r="L1" s="1168"/>
      <c r="M1" s="1168"/>
      <c r="N1" s="1168"/>
      <c r="O1" s="1168"/>
      <c r="P1" s="1168"/>
      <c r="Q1" s="1168"/>
      <c r="R1" s="1168"/>
      <c r="S1" s="1168"/>
      <c r="T1" s="1168"/>
      <c r="U1" s="1168"/>
      <c r="V1" s="1168"/>
      <c r="W1" s="1168"/>
      <c r="X1" s="1168"/>
      <c r="Y1" s="1168"/>
      <c r="Z1" s="1168"/>
      <c r="AA1" s="1168"/>
      <c r="AB1" s="1168"/>
      <c r="AC1" s="1168"/>
      <c r="AD1" s="1168"/>
      <c r="AE1" s="1168"/>
      <c r="AF1" s="1168"/>
      <c r="AG1" s="1168"/>
      <c r="AH1" s="1168"/>
      <c r="AI1" s="844" t="s">
        <v>1327</v>
      </c>
      <c r="AK1" s="1086"/>
      <c r="AT1" s="1202" t="s">
        <v>1823</v>
      </c>
      <c r="AU1" s="1086"/>
      <c r="AV1" s="1086"/>
      <c r="AW1" s="1086"/>
      <c r="AX1" s="1086"/>
      <c r="AY1" s="1086"/>
      <c r="AZ1" s="1086"/>
      <c r="BA1" s="1086"/>
      <c r="BB1" s="1086"/>
      <c r="BC1" s="1086"/>
      <c r="BD1" s="1086"/>
      <c r="BE1" s="1086"/>
      <c r="BF1" s="1086"/>
      <c r="BG1" s="1086"/>
      <c r="BH1" s="1086"/>
      <c r="BI1" s="1086"/>
      <c r="BJ1" s="1086"/>
      <c r="BK1" s="1086"/>
      <c r="BL1" s="1086"/>
      <c r="BM1" s="1086"/>
      <c r="BN1" s="1086"/>
      <c r="BO1" s="1086"/>
      <c r="BP1" s="1086"/>
      <c r="BQ1" s="1086"/>
      <c r="BR1" s="1086"/>
      <c r="BS1" s="1086"/>
      <c r="BT1" s="1086"/>
      <c r="BU1" s="1086"/>
      <c r="BV1" s="1086"/>
      <c r="BW1" s="1086"/>
      <c r="BX1" s="1086"/>
      <c r="BY1" s="1086"/>
      <c r="BZ1" s="1086"/>
      <c r="CA1" s="1086"/>
      <c r="CB1" s="1086"/>
      <c r="CC1" s="1086"/>
      <c r="CD1" s="1086"/>
      <c r="CE1" s="1086"/>
      <c r="CF1" s="1086"/>
      <c r="CG1" s="1086"/>
      <c r="CH1" s="1086"/>
      <c r="CI1" s="1086"/>
      <c r="CJ1" s="1086"/>
    </row>
    <row r="2" spans="1:88">
      <c r="A2" s="1174"/>
      <c r="B2" s="1175"/>
      <c r="C2" s="1175"/>
      <c r="D2" s="1175"/>
      <c r="E2" s="1175"/>
      <c r="F2" s="1175"/>
      <c r="G2" s="1174"/>
      <c r="H2" s="1175"/>
      <c r="I2" s="1175"/>
      <c r="J2" s="1175"/>
      <c r="K2" s="1174"/>
      <c r="L2" s="1175"/>
      <c r="M2" s="1175"/>
      <c r="N2" s="1175"/>
      <c r="O2" s="1175"/>
      <c r="P2" s="1175"/>
      <c r="Q2" s="1175"/>
      <c r="R2" s="1175"/>
      <c r="S2" s="1174"/>
      <c r="T2" s="1175"/>
      <c r="U2" s="1175"/>
      <c r="V2" s="1164"/>
      <c r="W2" s="1164"/>
      <c r="X2" s="1164"/>
      <c r="Y2" s="1164"/>
      <c r="Z2" s="1164"/>
      <c r="AA2" s="1164"/>
      <c r="AB2" s="1164"/>
      <c r="AC2" s="1164"/>
      <c r="AD2" s="1164"/>
      <c r="AE2" s="1164"/>
      <c r="AF2" s="1164"/>
      <c r="AG2" s="1164"/>
      <c r="AH2" s="1164"/>
    </row>
    <row r="3" spans="1:88">
      <c r="A3" s="1174"/>
      <c r="B3" s="1174"/>
      <c r="C3" s="1207" t="s">
        <v>760</v>
      </c>
      <c r="D3" s="1207"/>
      <c r="E3" s="1207"/>
      <c r="F3" s="1207"/>
      <c r="G3" s="1207"/>
      <c r="H3" s="1207"/>
      <c r="I3" s="1207"/>
      <c r="J3" s="1207"/>
      <c r="K3" s="1225"/>
      <c r="L3" s="1168" t="s">
        <v>761</v>
      </c>
      <c r="M3" s="1168"/>
      <c r="N3" s="1168"/>
      <c r="O3" s="1175"/>
      <c r="P3" s="1175"/>
      <c r="Q3" s="1175"/>
      <c r="R3" s="1175"/>
      <c r="S3" s="1175"/>
      <c r="T3" s="1175"/>
      <c r="U3" s="1174"/>
      <c r="V3" s="1164"/>
      <c r="W3" s="1164"/>
      <c r="X3" s="1164"/>
      <c r="Y3" s="1164"/>
      <c r="Z3" s="1164"/>
      <c r="AA3" s="1164"/>
      <c r="AB3" s="1164"/>
      <c r="AC3" s="1164"/>
      <c r="AD3" s="1164"/>
      <c r="AE3" s="1164"/>
      <c r="AF3" s="1164"/>
      <c r="AG3" s="1164"/>
      <c r="AH3" s="1164"/>
    </row>
    <row r="4" spans="1:88">
      <c r="A4" s="1212" t="s">
        <v>762</v>
      </c>
      <c r="B4" s="1174">
        <v>9</v>
      </c>
      <c r="C4" s="1174">
        <v>1</v>
      </c>
      <c r="D4" s="1174">
        <v>2</v>
      </c>
      <c r="E4" s="1174">
        <v>3</v>
      </c>
      <c r="F4" s="1174">
        <v>4</v>
      </c>
      <c r="G4" s="1174">
        <v>5</v>
      </c>
      <c r="H4" s="1174">
        <v>6</v>
      </c>
      <c r="I4" s="1174">
        <v>7</v>
      </c>
      <c r="J4" s="1174">
        <v>8</v>
      </c>
      <c r="K4" s="1174">
        <v>9</v>
      </c>
      <c r="L4" s="1168"/>
      <c r="M4" s="1168"/>
      <c r="N4" s="1168"/>
      <c r="O4" s="1168"/>
      <c r="P4" s="1168"/>
      <c r="Q4" s="1168"/>
      <c r="R4" s="1168"/>
      <c r="S4" s="1168"/>
      <c r="T4" s="1168"/>
      <c r="U4" s="1164"/>
      <c r="V4" s="1164"/>
      <c r="W4" s="1164"/>
      <c r="X4" s="1164"/>
      <c r="Y4" s="1164"/>
      <c r="Z4" s="1164"/>
      <c r="AA4" s="1164"/>
      <c r="AB4" s="1164"/>
      <c r="AC4" s="1164"/>
      <c r="AD4" s="1164"/>
      <c r="AE4" s="1164"/>
      <c r="AF4" s="1164"/>
      <c r="AG4" s="1164"/>
      <c r="AH4" s="1164"/>
    </row>
    <row r="5" spans="1:88">
      <c r="A5" s="1207" t="s">
        <v>32</v>
      </c>
      <c r="B5" s="1174" t="s">
        <v>57</v>
      </c>
      <c r="C5" s="1168" t="s">
        <v>101</v>
      </c>
      <c r="D5" s="1168" t="s">
        <v>1326</v>
      </c>
      <c r="E5" s="1174" t="s">
        <v>837</v>
      </c>
      <c r="F5" s="1174" t="s">
        <v>4</v>
      </c>
      <c r="G5" s="1174" t="s">
        <v>13</v>
      </c>
      <c r="H5" s="1174" t="s">
        <v>838</v>
      </c>
      <c r="I5" s="1174" t="s">
        <v>765</v>
      </c>
      <c r="J5" s="1174" t="s">
        <v>764</v>
      </c>
      <c r="K5" s="1168" t="s">
        <v>1325</v>
      </c>
      <c r="L5" s="1175" t="s">
        <v>102</v>
      </c>
      <c r="M5" s="1175"/>
      <c r="N5" s="1175"/>
      <c r="O5" s="1175"/>
      <c r="P5" s="1175"/>
      <c r="Q5" s="1175"/>
      <c r="R5" s="1175"/>
      <c r="S5" s="1174"/>
      <c r="T5" s="1175"/>
      <c r="U5" s="1164"/>
      <c r="V5" s="1164"/>
      <c r="W5" s="1164"/>
      <c r="X5" s="1164"/>
      <c r="Y5" s="1164"/>
      <c r="Z5" s="1164"/>
      <c r="AA5" s="1164"/>
      <c r="AB5" s="1164"/>
      <c r="AC5" s="1164"/>
      <c r="AD5" s="1164"/>
      <c r="AE5" s="1164"/>
      <c r="AF5" s="1164"/>
      <c r="AG5" s="1164"/>
      <c r="AH5" s="1164"/>
    </row>
    <row r="6" spans="1:88">
      <c r="A6" s="1212" t="s">
        <v>766</v>
      </c>
      <c r="B6" s="1174" t="s">
        <v>891</v>
      </c>
      <c r="C6" s="1175" t="s">
        <v>1042</v>
      </c>
      <c r="D6" s="1175" t="s">
        <v>1224</v>
      </c>
      <c r="E6" s="1175" t="s">
        <v>1024</v>
      </c>
      <c r="F6" s="1175" t="s">
        <v>1030</v>
      </c>
      <c r="G6" s="1175" t="s">
        <v>1039</v>
      </c>
      <c r="H6" s="1175" t="s">
        <v>1036</v>
      </c>
      <c r="I6" s="1175" t="s">
        <v>1033</v>
      </c>
      <c r="J6" s="1175" t="s">
        <v>1067</v>
      </c>
      <c r="K6" s="1175" t="s">
        <v>1100</v>
      </c>
      <c r="L6" s="1164"/>
      <c r="M6" s="1168"/>
      <c r="N6" s="1168"/>
      <c r="O6" s="615" t="s">
        <v>1324</v>
      </c>
      <c r="P6" s="1168"/>
      <c r="Q6" s="1168"/>
      <c r="R6" s="1168"/>
      <c r="S6" s="1168"/>
      <c r="T6" s="1168"/>
      <c r="U6" s="1164"/>
      <c r="V6" s="1164"/>
      <c r="W6" s="1164"/>
      <c r="X6" s="1164"/>
      <c r="Y6" s="1164"/>
      <c r="Z6" s="1164"/>
      <c r="AA6" s="1164"/>
      <c r="AB6" s="1164"/>
      <c r="AC6" s="1164"/>
      <c r="AD6" s="1164"/>
      <c r="AE6" s="1164"/>
      <c r="AF6" s="1164"/>
      <c r="AG6" s="1164"/>
      <c r="AH6" s="1164"/>
    </row>
    <row r="7" spans="1:88">
      <c r="A7" s="1212"/>
      <c r="B7" s="1223" t="s">
        <v>66</v>
      </c>
      <c r="C7" s="612">
        <v>535.96529099999987</v>
      </c>
      <c r="D7" s="612">
        <v>50.250444670199997</v>
      </c>
      <c r="E7" s="612">
        <v>36.014976280799999</v>
      </c>
      <c r="F7" s="612">
        <v>429.12367558400001</v>
      </c>
      <c r="G7" s="612">
        <v>104.82035999999999</v>
      </c>
      <c r="H7" s="612">
        <v>0.16701647039999998</v>
      </c>
      <c r="I7" s="612">
        <v>3.8638634099</v>
      </c>
      <c r="J7" s="612">
        <v>41.2123909090909</v>
      </c>
      <c r="K7" s="612">
        <v>10</v>
      </c>
      <c r="L7" s="612">
        <v>1160.2056274152999</v>
      </c>
      <c r="M7" s="1168"/>
      <c r="N7" s="1168"/>
      <c r="O7" s="1164"/>
      <c r="P7" s="1168"/>
      <c r="Q7" s="1168"/>
      <c r="R7" s="1168"/>
      <c r="S7" s="1168"/>
      <c r="T7" s="1168"/>
      <c r="U7" s="1164"/>
      <c r="V7" s="1164"/>
      <c r="W7" s="1164"/>
      <c r="X7" s="1164"/>
      <c r="Y7" s="1164"/>
      <c r="Z7" s="1164"/>
      <c r="AA7" s="1164"/>
      <c r="AB7" s="1164"/>
      <c r="AC7" s="1164"/>
      <c r="AD7" s="1164"/>
      <c r="AE7" s="1164"/>
      <c r="AF7" s="1164"/>
      <c r="AG7" s="1164"/>
      <c r="AH7" s="1164"/>
    </row>
    <row r="8" spans="1:88">
      <c r="A8" s="1212" t="s">
        <v>1323</v>
      </c>
      <c r="B8" s="1223" t="s">
        <v>89</v>
      </c>
      <c r="C8" s="612">
        <v>413290.53899999999</v>
      </c>
      <c r="D8" s="612">
        <v>50250.383099999992</v>
      </c>
      <c r="E8" s="612">
        <v>36014.976280800001</v>
      </c>
      <c r="F8" s="612">
        <v>419871.14640000003</v>
      </c>
      <c r="G8" s="612">
        <v>104820.36</v>
      </c>
      <c r="H8" s="612">
        <v>167.0164704</v>
      </c>
      <c r="I8" s="612">
        <v>3.8634099000000002</v>
      </c>
      <c r="J8" s="612" t="s">
        <v>750</v>
      </c>
      <c r="K8" s="612" t="s">
        <v>750</v>
      </c>
      <c r="L8" s="612"/>
      <c r="M8" s="1168"/>
      <c r="N8" s="1168"/>
      <c r="O8" s="1164"/>
      <c r="P8" s="1168"/>
      <c r="Q8" s="1168"/>
      <c r="R8" s="1168"/>
      <c r="S8" s="1168"/>
      <c r="T8" s="1168"/>
      <c r="U8" s="1164"/>
      <c r="V8" s="1164"/>
      <c r="W8" s="1164"/>
      <c r="X8" s="1164"/>
      <c r="Y8" s="1164"/>
      <c r="Z8" s="1164"/>
      <c r="AA8" s="1164"/>
      <c r="AB8" s="1164"/>
      <c r="AC8" s="1164"/>
      <c r="AD8" s="1164"/>
      <c r="AE8" s="1164"/>
      <c r="AF8" s="1164"/>
      <c r="AG8" s="1164"/>
      <c r="AH8" s="1164"/>
    </row>
    <row r="9" spans="1:88" ht="14">
      <c r="A9" s="1224" t="s">
        <v>1322</v>
      </c>
      <c r="B9" s="1190" t="s">
        <v>1321</v>
      </c>
      <c r="C9" s="612"/>
      <c r="D9" s="612"/>
      <c r="E9" s="612"/>
      <c r="F9" s="612"/>
      <c r="G9" s="612"/>
      <c r="H9" s="612"/>
      <c r="I9" s="613"/>
      <c r="J9" s="612"/>
      <c r="K9" s="1190"/>
      <c r="L9" s="1168"/>
      <c r="M9" s="1168"/>
      <c r="N9" s="1168"/>
      <c r="O9" s="1164"/>
      <c r="P9" s="1168"/>
      <c r="Q9" s="1168"/>
      <c r="R9" s="1168"/>
      <c r="S9" s="1168"/>
      <c r="T9" s="1168"/>
      <c r="U9" s="1164"/>
      <c r="V9" s="1164"/>
      <c r="W9" s="1164"/>
      <c r="X9" s="1164"/>
      <c r="Y9" s="1164"/>
      <c r="Z9" s="1164"/>
      <c r="AA9" s="1164"/>
      <c r="AB9" s="1164"/>
      <c r="AC9" s="1164"/>
      <c r="AD9" s="1164"/>
      <c r="AE9" s="1164"/>
      <c r="AF9" s="1164"/>
      <c r="AG9" s="1164"/>
      <c r="AH9" s="1164"/>
    </row>
    <row r="10" spans="1:88" ht="14">
      <c r="A10" s="1212" t="s">
        <v>1014</v>
      </c>
      <c r="B10" s="1223" t="s">
        <v>1015</v>
      </c>
      <c r="C10" s="612">
        <v>53.282366999999986</v>
      </c>
      <c r="D10" s="612">
        <v>6.1570199999999995E-5</v>
      </c>
      <c r="E10" s="612">
        <v>28.149155919000002</v>
      </c>
      <c r="F10" s="612">
        <v>117.563579136</v>
      </c>
      <c r="G10" s="612">
        <v>2.89994</v>
      </c>
      <c r="H10" s="612">
        <v>7.7266924799999984E-2</v>
      </c>
      <c r="I10" s="613">
        <v>6.1570199999999995E-5</v>
      </c>
      <c r="J10" s="612">
        <v>0</v>
      </c>
      <c r="K10" s="612">
        <v>0</v>
      </c>
      <c r="L10" s="1168"/>
      <c r="M10" s="1168"/>
      <c r="N10" s="1168"/>
      <c r="O10" s="1164"/>
      <c r="P10" s="1168"/>
      <c r="Q10" s="1168"/>
      <c r="R10" s="1168"/>
      <c r="S10" s="1168"/>
      <c r="T10" s="1168"/>
      <c r="U10" s="1164"/>
      <c r="V10" s="1164"/>
      <c r="W10" s="1164"/>
      <c r="X10" s="1164"/>
      <c r="Y10" s="1164"/>
      <c r="Z10" s="1164"/>
      <c r="AA10" s="1164"/>
      <c r="AB10" s="1164"/>
      <c r="AC10" s="1164"/>
      <c r="AD10" s="1164"/>
      <c r="AE10" s="1164"/>
      <c r="AF10" s="1164"/>
      <c r="AG10" s="1164"/>
      <c r="AH10" s="1164"/>
    </row>
    <row r="11" spans="1:88" ht="14">
      <c r="A11" s="1212" t="s">
        <v>1012</v>
      </c>
      <c r="B11" s="1223" t="s">
        <v>1013</v>
      </c>
      <c r="C11" s="614">
        <v>125.37071996264805</v>
      </c>
      <c r="D11" s="612">
        <v>50.250383099999993</v>
      </c>
      <c r="E11" s="612">
        <v>0</v>
      </c>
      <c r="F11" s="612">
        <v>99.525273120000008</v>
      </c>
      <c r="G11" s="612">
        <v>21.976099999999999</v>
      </c>
      <c r="H11" s="612">
        <v>0</v>
      </c>
      <c r="I11" s="613">
        <v>3.86</v>
      </c>
      <c r="J11" s="612">
        <v>0</v>
      </c>
      <c r="K11" s="612">
        <v>0</v>
      </c>
      <c r="L11" s="1168"/>
      <c r="M11" s="1168"/>
      <c r="N11" s="1168"/>
      <c r="O11" s="1164"/>
      <c r="P11" s="1168"/>
      <c r="Q11" s="1168"/>
      <c r="R11" s="1168"/>
      <c r="S11" s="1168"/>
      <c r="T11" s="1168"/>
      <c r="U11" s="1164"/>
      <c r="V11" s="1164"/>
      <c r="W11" s="1164"/>
      <c r="X11" s="1164"/>
      <c r="Y11" s="1164"/>
      <c r="Z11" s="1164"/>
      <c r="AA11" s="1164"/>
      <c r="AB11" s="1164"/>
      <c r="AC11" s="1164"/>
      <c r="AD11" s="1164"/>
      <c r="AE11" s="1164"/>
      <c r="AF11" s="1164"/>
      <c r="AG11" s="1164"/>
      <c r="AH11" s="1164"/>
    </row>
    <row r="12" spans="1:88" ht="14">
      <c r="A12" s="1212" t="s">
        <v>1010</v>
      </c>
      <c r="B12" s="1223" t="s">
        <v>1011</v>
      </c>
      <c r="C12" s="612">
        <v>50.84189099999999</v>
      </c>
      <c r="D12" s="612">
        <v>0</v>
      </c>
      <c r="E12" s="612">
        <v>0</v>
      </c>
      <c r="F12" s="614">
        <v>35.712358400000006</v>
      </c>
      <c r="G12" s="614">
        <v>59.121910000000007</v>
      </c>
      <c r="H12" s="612">
        <v>0</v>
      </c>
      <c r="I12" s="613">
        <v>0</v>
      </c>
      <c r="J12" s="612">
        <v>0</v>
      </c>
      <c r="K12" s="612">
        <v>0</v>
      </c>
      <c r="L12" s="1168"/>
      <c r="M12" s="1168"/>
      <c r="N12" s="1168"/>
      <c r="O12" s="1164"/>
      <c r="P12" s="1168"/>
      <c r="Q12" s="1168"/>
      <c r="R12" s="1168"/>
      <c r="S12" s="1168"/>
      <c r="T12" s="1168"/>
      <c r="U12" s="1164"/>
      <c r="V12" s="1164"/>
      <c r="W12" s="1164"/>
      <c r="X12" s="1164"/>
      <c r="Y12" s="1164"/>
      <c r="Z12" s="1164"/>
      <c r="AA12" s="1164"/>
      <c r="AB12" s="1164"/>
      <c r="AC12" s="1164"/>
      <c r="AD12" s="1164"/>
      <c r="AE12" s="1164"/>
      <c r="AF12" s="1164"/>
      <c r="AG12" s="1164"/>
      <c r="AH12" s="1164"/>
    </row>
    <row r="13" spans="1:88" ht="14">
      <c r="A13" s="1212" t="s">
        <v>2250</v>
      </c>
      <c r="B13" s="1223" t="s">
        <v>1009</v>
      </c>
      <c r="C13" s="612">
        <v>0.80999999999999972</v>
      </c>
      <c r="D13" s="612">
        <v>0</v>
      </c>
      <c r="E13" s="612">
        <v>0</v>
      </c>
      <c r="F13" s="612">
        <v>74.683578527999998</v>
      </c>
      <c r="G13" s="612">
        <v>0</v>
      </c>
      <c r="H13" s="612">
        <v>0</v>
      </c>
      <c r="I13" s="613">
        <v>0</v>
      </c>
      <c r="J13" s="612">
        <v>0</v>
      </c>
      <c r="K13" s="612">
        <v>0</v>
      </c>
      <c r="L13" s="1168"/>
      <c r="M13" s="1168"/>
      <c r="N13" s="1168"/>
      <c r="O13" s="1164"/>
      <c r="P13" s="1168"/>
      <c r="Q13" s="1168"/>
      <c r="R13" s="1168"/>
      <c r="S13" s="1168"/>
      <c r="T13" s="1168"/>
      <c r="U13" s="1164"/>
      <c r="V13" s="1164"/>
      <c r="W13" s="1164"/>
      <c r="X13" s="1164"/>
      <c r="Y13" s="1164"/>
      <c r="Z13" s="1164"/>
      <c r="AA13" s="1164"/>
      <c r="AB13" s="1164"/>
      <c r="AC13" s="1164"/>
      <c r="AD13" s="1164"/>
      <c r="AE13" s="1164"/>
      <c r="AF13" s="1164"/>
      <c r="AG13" s="1164"/>
      <c r="AH13" s="1164"/>
    </row>
    <row r="14" spans="1:88" ht="14">
      <c r="A14" s="1212" t="s">
        <v>1006</v>
      </c>
      <c r="B14" s="1223" t="s">
        <v>1007</v>
      </c>
      <c r="C14" s="612">
        <v>53.999999999999986</v>
      </c>
      <c r="D14" s="612">
        <v>0</v>
      </c>
      <c r="E14" s="612">
        <v>0</v>
      </c>
      <c r="F14" s="612">
        <v>24.031958400000004</v>
      </c>
      <c r="G14" s="612">
        <v>7.8685</v>
      </c>
      <c r="H14" s="612">
        <v>0</v>
      </c>
      <c r="I14" s="613">
        <v>0</v>
      </c>
      <c r="J14" s="612">
        <v>0</v>
      </c>
      <c r="K14" s="612">
        <v>0</v>
      </c>
      <c r="L14" s="1168"/>
      <c r="M14" s="1168"/>
      <c r="N14" s="1168"/>
      <c r="O14" s="1164"/>
      <c r="P14" s="1168"/>
      <c r="Q14" s="1168"/>
      <c r="R14" s="1168"/>
      <c r="S14" s="1168"/>
      <c r="T14" s="1168"/>
      <c r="U14" s="1164"/>
      <c r="V14" s="1164"/>
      <c r="W14" s="1164"/>
      <c r="X14" s="1164"/>
      <c r="Y14" s="1164"/>
      <c r="Z14" s="1164"/>
      <c r="AA14" s="1164"/>
      <c r="AB14" s="1164"/>
      <c r="AC14" s="1164"/>
      <c r="AD14" s="1164"/>
      <c r="AE14" s="1164"/>
      <c r="AF14" s="1164"/>
      <c r="AG14" s="1164"/>
      <c r="AH14" s="1164"/>
    </row>
    <row r="15" spans="1:88" ht="14">
      <c r="A15" s="1212" t="s">
        <v>1004</v>
      </c>
      <c r="B15" s="1223" t="s">
        <v>1005</v>
      </c>
      <c r="C15" s="612">
        <v>32.399999999999991</v>
      </c>
      <c r="D15" s="612">
        <v>0</v>
      </c>
      <c r="E15" s="612">
        <v>0</v>
      </c>
      <c r="F15" s="612">
        <v>15.0325056</v>
      </c>
      <c r="G15" s="612">
        <v>1.3967000000000001</v>
      </c>
      <c r="H15" s="612">
        <v>0</v>
      </c>
      <c r="I15" s="613">
        <v>0</v>
      </c>
      <c r="J15" s="612">
        <v>0</v>
      </c>
      <c r="K15" s="612">
        <v>10</v>
      </c>
      <c r="L15" s="1168"/>
      <c r="M15" s="1168"/>
      <c r="N15" s="1168"/>
      <c r="O15" s="1164"/>
      <c r="P15" s="1168"/>
      <c r="Q15" s="1168"/>
      <c r="R15" s="1168"/>
      <c r="S15" s="1168"/>
      <c r="T15" s="1168"/>
      <c r="U15" s="1164"/>
      <c r="V15" s="1164"/>
      <c r="W15" s="1164"/>
      <c r="X15" s="1164"/>
      <c r="Y15" s="1164"/>
      <c r="Z15" s="1164"/>
      <c r="AA15" s="1164"/>
      <c r="AB15" s="1164"/>
      <c r="AC15" s="1164"/>
      <c r="AD15" s="1164"/>
      <c r="AE15" s="1164"/>
      <c r="AF15" s="1164"/>
      <c r="AG15" s="1164"/>
      <c r="AH15" s="1164"/>
    </row>
    <row r="16" spans="1:88" ht="14">
      <c r="A16" s="1212" t="s">
        <v>1002</v>
      </c>
      <c r="B16" s="1223" t="s">
        <v>1003</v>
      </c>
      <c r="C16" s="612">
        <v>64.799999999999983</v>
      </c>
      <c r="D16" s="612">
        <v>0</v>
      </c>
      <c r="E16" s="612">
        <v>0</v>
      </c>
      <c r="F16" s="612">
        <v>37.437264000000006</v>
      </c>
      <c r="G16" s="612">
        <v>3.1206999999999998</v>
      </c>
      <c r="H16" s="612">
        <v>0</v>
      </c>
      <c r="I16" s="613">
        <v>0</v>
      </c>
      <c r="J16" s="612">
        <v>41.2123909090909</v>
      </c>
      <c r="K16" s="612">
        <v>0</v>
      </c>
      <c r="L16" s="1168"/>
      <c r="M16" s="1168"/>
      <c r="N16" s="1168"/>
      <c r="O16" s="1168"/>
      <c r="P16" s="1168"/>
      <c r="Q16" s="1168"/>
      <c r="R16" s="1168"/>
      <c r="S16" s="1168"/>
      <c r="T16" s="1168"/>
      <c r="U16" s="1164"/>
      <c r="V16" s="1164"/>
      <c r="W16" s="1164"/>
      <c r="X16" s="1164"/>
      <c r="Y16" s="1164"/>
      <c r="Z16" s="1164"/>
      <c r="AA16" s="1164"/>
      <c r="AB16" s="1164"/>
      <c r="AC16" s="1164"/>
      <c r="AD16" s="1164"/>
      <c r="AE16" s="1164"/>
      <c r="AF16" s="1164"/>
      <c r="AG16" s="1164"/>
      <c r="AH16" s="1164"/>
    </row>
    <row r="17" spans="1:68" ht="14">
      <c r="A17" s="1212" t="s">
        <v>97</v>
      </c>
      <c r="B17" s="1223" t="s">
        <v>1001</v>
      </c>
      <c r="C17" s="612">
        <v>154.46031303735185</v>
      </c>
      <c r="D17" s="612">
        <v>0</v>
      </c>
      <c r="E17" s="612">
        <v>7.8658203618</v>
      </c>
      <c r="F17" s="612">
        <v>25.137158400000004</v>
      </c>
      <c r="G17" s="612">
        <v>8.4365099999999984</v>
      </c>
      <c r="H17" s="612">
        <v>8.9749545599999994E-2</v>
      </c>
      <c r="I17" s="613">
        <v>3.8018396999999998E-3</v>
      </c>
      <c r="J17" s="612">
        <v>0</v>
      </c>
      <c r="K17" s="612">
        <v>0</v>
      </c>
      <c r="L17" s="1168"/>
      <c r="M17" s="1168"/>
      <c r="N17" s="1168"/>
      <c r="O17" s="1168"/>
      <c r="P17" s="1168"/>
      <c r="Q17" s="1168"/>
      <c r="R17" s="1168"/>
      <c r="S17" s="1168"/>
      <c r="T17" s="1168"/>
      <c r="U17" s="1164"/>
      <c r="V17" s="1164"/>
      <c r="W17" s="1164"/>
      <c r="X17" s="1164"/>
      <c r="Y17" s="1164"/>
      <c r="Z17" s="1164"/>
      <c r="AA17" s="1164"/>
      <c r="AB17" s="1164"/>
      <c r="AC17" s="1164"/>
      <c r="AD17" s="1164"/>
      <c r="AE17" s="1164"/>
      <c r="AF17" s="1164"/>
      <c r="AG17" s="1164"/>
      <c r="AH17" s="1164"/>
    </row>
    <row r="18" spans="1:68" ht="14">
      <c r="A18" s="1212"/>
      <c r="B18" s="1223"/>
      <c r="C18" s="612"/>
      <c r="D18" s="612" t="s">
        <v>124</v>
      </c>
      <c r="E18" s="612"/>
      <c r="F18" s="612"/>
      <c r="G18" s="612"/>
      <c r="H18" s="612"/>
      <c r="I18" s="612"/>
      <c r="J18" s="612"/>
      <c r="K18" s="613"/>
      <c r="L18" s="612"/>
      <c r="M18" s="1190"/>
      <c r="N18" s="1168"/>
      <c r="O18" s="1168"/>
      <c r="P18" s="1168"/>
      <c r="Q18" s="1168"/>
      <c r="R18" s="1168"/>
      <c r="S18" s="1168"/>
      <c r="T18" s="1168"/>
      <c r="U18" s="1168"/>
      <c r="V18" s="1168"/>
      <c r="W18" s="1164"/>
      <c r="X18" s="1164"/>
      <c r="Y18" s="1164"/>
      <c r="Z18" s="1164"/>
      <c r="AA18" s="1164"/>
      <c r="AB18" s="1164"/>
      <c r="AC18" s="1164"/>
      <c r="AD18" s="1164"/>
      <c r="AE18" s="1164"/>
      <c r="AF18" s="1164"/>
      <c r="AG18" s="1164"/>
      <c r="AH18" s="1164"/>
      <c r="BE18" s="231"/>
      <c r="BF18" s="483"/>
    </row>
    <row r="19" spans="1:68">
      <c r="A19" s="1212" t="s">
        <v>768</v>
      </c>
      <c r="B19" s="1223" t="s">
        <v>769</v>
      </c>
      <c r="C19" s="612"/>
      <c r="D19" s="612"/>
      <c r="E19" s="612"/>
      <c r="F19" s="612"/>
      <c r="G19" s="612"/>
      <c r="H19" s="612"/>
      <c r="I19" s="612"/>
      <c r="J19" s="612"/>
      <c r="K19" s="612"/>
      <c r="L19" s="612"/>
      <c r="M19" s="1190"/>
      <c r="N19" s="1168"/>
      <c r="O19" s="1168"/>
      <c r="P19" s="1168"/>
      <c r="Q19" s="1168"/>
      <c r="R19" s="1168"/>
      <c r="S19" s="1168"/>
      <c r="T19" s="1168"/>
      <c r="U19" s="1168"/>
      <c r="V19" s="1168"/>
      <c r="W19" s="1164"/>
      <c r="X19" s="1164"/>
      <c r="Y19" s="1164"/>
      <c r="Z19" s="1164"/>
      <c r="AA19" s="1164"/>
      <c r="AB19" s="1164"/>
      <c r="AC19" s="1164"/>
      <c r="AD19" s="1164"/>
      <c r="AE19" s="1164"/>
      <c r="AF19" s="1164"/>
      <c r="AG19" s="1164"/>
      <c r="AH19" s="1164"/>
      <c r="AT19" s="1365"/>
      <c r="AU19" s="1365"/>
      <c r="AV19" s="1365"/>
      <c r="AW19" s="1365"/>
      <c r="AX19" s="1365"/>
      <c r="AY19" s="1365"/>
      <c r="AZ19" s="1365"/>
      <c r="BA19" s="1365"/>
      <c r="BB19" s="1365"/>
      <c r="BC19" s="1365"/>
      <c r="BD19" s="451"/>
      <c r="BE19" s="451"/>
      <c r="BF19" s="451"/>
      <c r="BG19" s="1365"/>
    </row>
    <row r="20" spans="1:68">
      <c r="A20" s="1168" t="s">
        <v>770</v>
      </c>
      <c r="B20" s="1222" t="s">
        <v>349</v>
      </c>
      <c r="C20" s="1174">
        <v>94.6</v>
      </c>
      <c r="D20" s="1174" t="s">
        <v>750</v>
      </c>
      <c r="E20" s="1174">
        <v>74.066699999999997</v>
      </c>
      <c r="F20" s="1174">
        <v>0</v>
      </c>
      <c r="G20" s="1174">
        <v>56.1</v>
      </c>
      <c r="H20" s="1174">
        <v>69.3</v>
      </c>
      <c r="I20" s="1174">
        <v>77.366699999999994</v>
      </c>
      <c r="J20" s="1174" t="s">
        <v>124</v>
      </c>
      <c r="K20" s="1174"/>
      <c r="L20" s="1175"/>
      <c r="M20" s="1174">
        <v>1</v>
      </c>
      <c r="N20" s="1164"/>
      <c r="O20" s="1168"/>
      <c r="P20" s="1168"/>
      <c r="Q20" s="1168"/>
      <c r="R20" s="1168"/>
      <c r="S20" s="1168"/>
      <c r="T20" s="1168"/>
      <c r="U20" s="1168"/>
      <c r="V20" s="1168"/>
      <c r="W20" s="1164"/>
      <c r="X20" s="1164"/>
      <c r="Y20" s="1164"/>
      <c r="Z20" s="1164"/>
      <c r="AA20" s="1164"/>
      <c r="AB20" s="1164"/>
      <c r="AC20" s="1164"/>
      <c r="AD20" s="1164"/>
      <c r="AE20" s="1164"/>
      <c r="AF20" s="1164"/>
      <c r="AG20" s="1164"/>
      <c r="AH20" s="1164"/>
      <c r="AT20" s="1202"/>
      <c r="AU20" s="451"/>
      <c r="AV20" s="451"/>
      <c r="AW20" s="451"/>
      <c r="AX20" s="451"/>
      <c r="AY20" s="451"/>
      <c r="AZ20" s="451"/>
      <c r="BA20" s="451"/>
      <c r="BB20" s="451"/>
      <c r="BC20" s="451"/>
      <c r="BD20" s="451"/>
      <c r="BE20" s="451"/>
      <c r="BF20" s="451"/>
      <c r="BG20" s="1365"/>
    </row>
    <row r="21" spans="1:68">
      <c r="A21" s="1168" t="s">
        <v>182</v>
      </c>
      <c r="B21" s="1222" t="s">
        <v>350</v>
      </c>
      <c r="C21" s="1174">
        <v>0.01</v>
      </c>
      <c r="D21" s="1174"/>
      <c r="E21" s="1174">
        <v>5.0000000000000001E-3</v>
      </c>
      <c r="F21" s="1174">
        <v>0</v>
      </c>
      <c r="G21" s="1174">
        <v>5.0000000000000001E-3</v>
      </c>
      <c r="H21" s="1174">
        <v>5.0000000000000001E-3</v>
      </c>
      <c r="I21" s="1174">
        <v>0.01</v>
      </c>
      <c r="J21" s="1174"/>
      <c r="K21" s="1174"/>
      <c r="L21" s="1175"/>
      <c r="M21" s="1174">
        <v>2</v>
      </c>
      <c r="N21" s="1164"/>
      <c r="O21" s="1168"/>
      <c r="P21" s="1168"/>
      <c r="Q21" s="1168"/>
      <c r="R21" s="1168"/>
      <c r="S21" s="1168"/>
      <c r="T21" s="1168"/>
      <c r="U21" s="1168"/>
      <c r="V21" s="1168"/>
      <c r="W21" s="1164"/>
      <c r="X21" s="1164"/>
      <c r="Y21" s="1164"/>
      <c r="Z21" s="1164"/>
      <c r="AA21" s="1164"/>
      <c r="AB21" s="1164"/>
      <c r="AC21" s="1164"/>
      <c r="AD21" s="1164"/>
      <c r="AE21" s="1164"/>
      <c r="AF21" s="1164"/>
      <c r="AG21" s="1164"/>
      <c r="AH21" s="1164"/>
      <c r="AT21" s="1164"/>
      <c r="AU21" s="843"/>
      <c r="AV21" s="1365"/>
      <c r="AW21" s="1365"/>
      <c r="AX21" s="1219"/>
      <c r="AY21" s="1219"/>
      <c r="AZ21" s="1219"/>
      <c r="BA21" s="1466"/>
      <c r="BB21" s="1466"/>
      <c r="BC21" s="1466"/>
      <c r="BD21" s="1465"/>
      <c r="BE21" s="1465"/>
      <c r="BF21" s="1465"/>
      <c r="BG21" s="1365"/>
    </row>
    <row r="22" spans="1:68">
      <c r="A22" s="1168" t="s">
        <v>771</v>
      </c>
      <c r="B22" s="1222" t="s">
        <v>351</v>
      </c>
      <c r="C22" s="1174">
        <v>1.4E-3</v>
      </c>
      <c r="D22" s="1174"/>
      <c r="E22" s="1174"/>
      <c r="F22" s="1174">
        <v>0</v>
      </c>
      <c r="G22" s="1174"/>
      <c r="H22" s="1174"/>
      <c r="I22" s="1174"/>
      <c r="J22" s="1174"/>
      <c r="K22" s="1174"/>
      <c r="L22" s="1175"/>
      <c r="M22" s="1174">
        <v>3</v>
      </c>
      <c r="N22" s="1164"/>
      <c r="O22" s="1168"/>
      <c r="P22" s="1168"/>
      <c r="Q22" s="1168"/>
      <c r="R22" s="1168"/>
      <c r="S22" s="1168"/>
      <c r="T22" s="1168"/>
      <c r="U22" s="1168"/>
      <c r="V22" s="1168"/>
      <c r="W22" s="1164"/>
      <c r="X22" s="1164"/>
      <c r="Y22" s="1164"/>
      <c r="Z22" s="1164"/>
      <c r="AA22" s="1164"/>
      <c r="AB22" s="1164"/>
      <c r="AC22" s="1164"/>
      <c r="AD22" s="1164"/>
      <c r="AE22" s="1164"/>
      <c r="AF22" s="1164"/>
      <c r="AG22" s="1164"/>
      <c r="AH22" s="1164"/>
      <c r="AT22" s="1164"/>
      <c r="AU22" s="843"/>
      <c r="AV22" s="1365"/>
      <c r="AW22" s="1365"/>
      <c r="AX22" s="1219"/>
      <c r="AY22" s="1219"/>
      <c r="AZ22" s="1219"/>
      <c r="BA22" s="1466"/>
      <c r="BB22" s="1466"/>
      <c r="BC22" s="1466"/>
      <c r="BD22" s="1466"/>
      <c r="BE22" s="1466"/>
      <c r="BF22" s="1466"/>
      <c r="BG22" s="1365"/>
    </row>
    <row r="23" spans="1:68">
      <c r="A23" s="1168" t="s">
        <v>772</v>
      </c>
      <c r="B23" s="1222" t="s">
        <v>773</v>
      </c>
      <c r="C23" s="1174">
        <v>0.45440000000000003</v>
      </c>
      <c r="D23" s="1174"/>
      <c r="E23" s="1174">
        <v>0.25290000000000001</v>
      </c>
      <c r="F23" s="1174">
        <v>0</v>
      </c>
      <c r="G23" s="1174">
        <v>0</v>
      </c>
      <c r="H23" s="1174">
        <v>4.6699999999999998E-2</v>
      </c>
      <c r="I23" s="1174">
        <v>1.5290999999999999</v>
      </c>
      <c r="J23" s="1174"/>
      <c r="K23" s="1174"/>
      <c r="L23" s="1175"/>
      <c r="M23" s="1174">
        <v>4</v>
      </c>
      <c r="N23" s="1164"/>
      <c r="O23" s="1168"/>
      <c r="P23" s="1168"/>
      <c r="Q23" s="1168"/>
      <c r="R23" s="1168"/>
      <c r="S23" s="1168"/>
      <c r="T23" s="1168"/>
      <c r="U23" s="1168"/>
      <c r="V23" s="1168"/>
      <c r="W23" s="1164"/>
      <c r="X23" s="1164"/>
      <c r="Y23" s="1164"/>
      <c r="Z23" s="1164"/>
      <c r="AA23" s="1164"/>
      <c r="AB23" s="1164"/>
      <c r="AC23" s="1164"/>
      <c r="AD23" s="1164"/>
      <c r="AE23" s="1164"/>
      <c r="AF23" s="1164"/>
      <c r="AG23" s="1164"/>
      <c r="AH23" s="1164"/>
      <c r="AT23" s="1164"/>
      <c r="AU23" s="1365"/>
      <c r="AV23" s="1365"/>
      <c r="AW23" s="1365"/>
      <c r="AX23" s="1219"/>
      <c r="AY23" s="1219"/>
      <c r="AZ23" s="1219"/>
      <c r="BA23" s="1466"/>
      <c r="BB23" s="1466"/>
      <c r="BC23" s="1466"/>
      <c r="BD23" s="1466"/>
      <c r="BE23" s="1466"/>
      <c r="BF23" s="1466"/>
      <c r="BG23" s="1365"/>
    </row>
    <row r="24" spans="1:68">
      <c r="A24" s="1168" t="s">
        <v>774</v>
      </c>
      <c r="B24" s="1222" t="s">
        <v>719</v>
      </c>
      <c r="C24" s="1174">
        <v>0.1</v>
      </c>
      <c r="D24" s="1174"/>
      <c r="E24" s="1174">
        <v>0.1</v>
      </c>
      <c r="F24" s="1174">
        <v>0</v>
      </c>
      <c r="G24" s="1174">
        <v>0.05</v>
      </c>
      <c r="H24" s="1174">
        <v>0.1</v>
      </c>
      <c r="I24" s="1174">
        <v>0.1</v>
      </c>
      <c r="J24" s="1174"/>
      <c r="K24" s="1174"/>
      <c r="L24" s="1175"/>
      <c r="M24" s="1174">
        <v>5</v>
      </c>
      <c r="N24" s="1164"/>
      <c r="O24" s="1168"/>
      <c r="P24" s="1168"/>
      <c r="Q24" s="1168"/>
      <c r="R24" s="1168"/>
      <c r="S24" s="1168"/>
      <c r="T24" s="1168"/>
      <c r="U24" s="1168"/>
      <c r="V24" s="1168"/>
      <c r="W24" s="1164"/>
      <c r="X24" s="1164"/>
      <c r="Y24" s="1164"/>
      <c r="Z24" s="1164"/>
      <c r="AA24" s="1164"/>
      <c r="AB24" s="1164"/>
      <c r="AC24" s="1164"/>
      <c r="AD24" s="1164"/>
      <c r="AE24" s="1164"/>
      <c r="AF24" s="1164"/>
      <c r="AG24" s="1164"/>
      <c r="AH24" s="1164"/>
      <c r="AT24" s="1164"/>
      <c r="AU24" s="1365"/>
      <c r="AV24" s="1365"/>
      <c r="AW24" s="1365"/>
      <c r="AX24" s="1219"/>
      <c r="AY24" s="1219"/>
      <c r="AZ24" s="1219"/>
      <c r="BA24" s="1466"/>
      <c r="BB24" s="1466"/>
      <c r="BC24" s="1466"/>
      <c r="BD24" s="1466"/>
      <c r="BE24" s="1466"/>
      <c r="BF24" s="1466"/>
      <c r="BG24" s="1365"/>
    </row>
    <row r="25" spans="1:68">
      <c r="A25" s="1212"/>
      <c r="B25" s="1174"/>
      <c r="C25" s="1174"/>
      <c r="D25" s="1174"/>
      <c r="E25" s="1174"/>
      <c r="F25" s="1174"/>
      <c r="G25" s="1174"/>
      <c r="H25" s="1174"/>
      <c r="I25" s="1174"/>
      <c r="J25" s="1174"/>
      <c r="K25" s="1174"/>
      <c r="L25" s="1175"/>
      <c r="M25" s="1168"/>
      <c r="N25" s="1168"/>
      <c r="O25" s="1168"/>
      <c r="P25" s="1168"/>
      <c r="Q25" s="1168"/>
      <c r="R25" s="1168"/>
      <c r="S25" s="1168"/>
      <c r="T25" s="1168"/>
      <c r="U25" s="1168"/>
      <c r="V25" s="1168"/>
      <c r="W25" s="1164"/>
      <c r="X25" s="1164"/>
      <c r="Y25" s="1164"/>
      <c r="Z25" s="1164"/>
      <c r="AA25" s="1164"/>
      <c r="AB25" s="1164"/>
      <c r="AC25" s="1164"/>
      <c r="AD25" s="1164"/>
      <c r="AE25" s="1164"/>
      <c r="AF25" s="1164"/>
      <c r="AG25" s="1164"/>
      <c r="AH25" s="1164"/>
      <c r="AT25" s="1164"/>
      <c r="AU25" s="1365"/>
      <c r="AV25" s="1365"/>
      <c r="AW25" s="1365"/>
      <c r="AX25" s="1219"/>
      <c r="AY25" s="1219"/>
      <c r="AZ25" s="1219"/>
      <c r="BA25" s="1466"/>
      <c r="BB25" s="1466"/>
      <c r="BC25" s="1466"/>
      <c r="BD25" s="1466"/>
      <c r="BE25" s="1466"/>
      <c r="BF25" s="1466"/>
      <c r="BG25" s="1365"/>
    </row>
    <row r="26" spans="1:68" ht="14">
      <c r="A26" s="1212" t="s">
        <v>775</v>
      </c>
      <c r="B26" s="1174"/>
      <c r="C26" s="610">
        <v>0</v>
      </c>
      <c r="D26" s="610">
        <v>0</v>
      </c>
      <c r="E26" s="610">
        <v>0</v>
      </c>
      <c r="F26" s="611">
        <v>0.1</v>
      </c>
      <c r="G26" s="610">
        <v>0</v>
      </c>
      <c r="H26" s="610">
        <v>0</v>
      </c>
      <c r="I26" s="610">
        <v>0</v>
      </c>
      <c r="J26" s="610">
        <v>0</v>
      </c>
      <c r="K26" s="610">
        <v>0</v>
      </c>
      <c r="L26" s="1175"/>
      <c r="M26" s="1168"/>
      <c r="N26" s="1168"/>
      <c r="O26" s="1168"/>
      <c r="P26" s="1168"/>
      <c r="Q26" s="1168"/>
      <c r="R26" s="1168"/>
      <c r="S26" s="1168"/>
      <c r="T26" s="1168"/>
      <c r="U26" s="1168"/>
      <c r="V26" s="1168"/>
      <c r="W26" s="1164"/>
      <c r="X26" s="1164"/>
      <c r="Y26" s="1164"/>
      <c r="Z26" s="1164"/>
      <c r="AA26" s="1164"/>
      <c r="AB26" s="1164"/>
      <c r="AC26" s="1164"/>
      <c r="AD26" s="1164"/>
      <c r="AE26" s="1164"/>
      <c r="AF26" s="1164"/>
      <c r="AG26" s="1164"/>
      <c r="AH26" s="1164"/>
      <c r="BB26" s="1466"/>
      <c r="BC26" s="1466"/>
      <c r="BD26" s="1466"/>
      <c r="BE26" s="1466"/>
      <c r="BF26" s="1466"/>
      <c r="BG26" s="1365"/>
    </row>
    <row r="27" spans="1:68">
      <c r="A27" s="1212" t="s">
        <v>776</v>
      </c>
      <c r="B27" s="1174" t="s">
        <v>777</v>
      </c>
      <c r="C27" s="1199">
        <v>535.96529099999987</v>
      </c>
      <c r="D27" s="1199">
        <v>50.250444670199997</v>
      </c>
      <c r="E27" s="1199">
        <v>36.014976280799999</v>
      </c>
      <c r="F27" s="1199">
        <v>656.14990289373281</v>
      </c>
      <c r="G27" s="1199">
        <v>104.82035999999999</v>
      </c>
      <c r="H27" s="1199">
        <v>0.16701647039999998</v>
      </c>
      <c r="I27" s="1199">
        <v>3.8638634099</v>
      </c>
      <c r="J27" s="1199">
        <v>41.2123909090909</v>
      </c>
      <c r="K27" s="1199">
        <v>10</v>
      </c>
      <c r="L27" s="1175"/>
      <c r="M27" s="1168"/>
      <c r="N27" s="1168"/>
      <c r="O27" s="1168"/>
      <c r="P27" s="1168"/>
      <c r="Q27" s="1168"/>
      <c r="R27" s="1168"/>
      <c r="S27" s="1168"/>
      <c r="T27" s="1168"/>
      <c r="U27" s="1168"/>
      <c r="V27" s="1168"/>
      <c r="W27" s="1164"/>
      <c r="X27" s="1164"/>
      <c r="Y27" s="1164"/>
      <c r="Z27" s="1164"/>
      <c r="AA27" s="1164"/>
      <c r="AB27" s="1164"/>
      <c r="AC27" s="1164"/>
      <c r="AD27" s="1164"/>
      <c r="AE27" s="1164"/>
      <c r="AF27" s="1164"/>
      <c r="AG27" s="1164"/>
      <c r="AH27" s="1164"/>
      <c r="AJ27" s="483"/>
      <c r="BB27" s="1466"/>
      <c r="BC27" s="1466"/>
      <c r="BD27" s="1466"/>
      <c r="BE27" s="1466"/>
      <c r="BF27" s="1466"/>
      <c r="BG27" s="1365"/>
    </row>
    <row r="28" spans="1:68">
      <c r="A28" s="1212"/>
      <c r="B28" s="1174"/>
      <c r="C28" s="1174"/>
      <c r="D28" s="1174"/>
      <c r="E28" s="1174"/>
      <c r="F28" s="1174"/>
      <c r="G28" s="1174"/>
      <c r="H28" s="1174"/>
      <c r="I28" s="1174"/>
      <c r="J28" s="1174"/>
      <c r="K28" s="1174"/>
      <c r="L28" s="1175"/>
      <c r="M28" s="1168"/>
      <c r="N28" s="1168"/>
      <c r="O28" s="1168"/>
      <c r="P28" s="1168"/>
      <c r="Q28" s="1168"/>
      <c r="R28" s="1168"/>
      <c r="S28" s="1168"/>
      <c r="T28" s="1168"/>
      <c r="U28" s="1168"/>
      <c r="V28" s="1168"/>
      <c r="W28" s="1164"/>
      <c r="X28" s="1164"/>
      <c r="Y28" s="1164"/>
      <c r="Z28" s="1164"/>
      <c r="AA28" s="1164"/>
      <c r="AB28" s="1164"/>
      <c r="AC28" s="1164"/>
      <c r="AD28" s="1164"/>
      <c r="AE28" s="1164"/>
      <c r="AF28" s="1164"/>
      <c r="AG28" s="1164"/>
      <c r="AH28" s="1164"/>
      <c r="AJ28" s="1365"/>
      <c r="AK28" s="1365"/>
      <c r="AL28" s="1365"/>
      <c r="AM28" s="1365"/>
      <c r="AN28" s="1365"/>
      <c r="AO28" s="1365"/>
      <c r="AP28" s="1365"/>
      <c r="AQ28" s="1365"/>
      <c r="BB28" s="1365"/>
      <c r="BC28" s="1365"/>
      <c r="BD28" s="1365"/>
      <c r="BE28" s="1365"/>
      <c r="BF28" s="1365"/>
      <c r="BG28" s="1365"/>
      <c r="BH28" s="1365"/>
      <c r="BI28" s="1365"/>
      <c r="BJ28" s="1365"/>
      <c r="BK28" s="1365"/>
      <c r="BL28" s="1365"/>
    </row>
    <row r="29" spans="1:68">
      <c r="A29" s="1221" t="s">
        <v>1319</v>
      </c>
      <c r="B29" s="1220" t="s">
        <v>1318</v>
      </c>
      <c r="C29" s="1190"/>
      <c r="D29" s="1190"/>
      <c r="E29" s="1190"/>
      <c r="F29" s="1190"/>
      <c r="G29" s="1190"/>
      <c r="H29" s="1190"/>
      <c r="I29" s="1190"/>
      <c r="J29" s="1190"/>
      <c r="K29" s="1175"/>
      <c r="L29" s="1168"/>
      <c r="M29" s="1168"/>
      <c r="N29" s="1168"/>
      <c r="O29" s="1168"/>
      <c r="P29" s="1168"/>
      <c r="Q29" s="1168"/>
      <c r="R29" s="1168"/>
      <c r="S29" s="1168"/>
      <c r="T29" s="1168"/>
      <c r="U29" s="1168"/>
      <c r="V29" s="1164"/>
      <c r="W29" s="1164"/>
      <c r="X29" s="1164"/>
      <c r="Y29" s="1164"/>
      <c r="Z29" s="1164"/>
      <c r="AA29" s="1164"/>
      <c r="AB29" s="1164"/>
      <c r="AC29" s="1164"/>
      <c r="AD29" s="1164"/>
      <c r="AE29" s="1164"/>
      <c r="AF29" s="1164"/>
      <c r="AG29" s="1164"/>
      <c r="AH29" s="1164"/>
      <c r="AJ29" s="1365"/>
      <c r="AK29" s="1365"/>
      <c r="AL29" s="1365"/>
      <c r="AM29" s="1365"/>
      <c r="AN29" s="1365"/>
      <c r="AO29" s="1365"/>
      <c r="AP29" s="1365"/>
      <c r="AQ29" s="1365"/>
      <c r="AX29" s="451"/>
      <c r="AY29" s="1365"/>
      <c r="AZ29" s="1365"/>
      <c r="BA29" s="1365"/>
      <c r="BB29" s="1365"/>
      <c r="BC29" s="1365"/>
      <c r="BD29" s="1365"/>
      <c r="BE29" s="1365"/>
      <c r="BF29" s="1375" t="s">
        <v>2251</v>
      </c>
      <c r="BH29" s="1370"/>
      <c r="BI29" s="1370"/>
      <c r="BJ29" s="1370"/>
      <c r="BK29" s="1370"/>
      <c r="BL29" s="1370"/>
      <c r="BM29" s="1370"/>
      <c r="BN29" s="1370"/>
      <c r="BO29" s="1370"/>
      <c r="BP29" s="1370"/>
    </row>
    <row r="30" spans="1:68">
      <c r="A30" s="1208" t="s">
        <v>1000</v>
      </c>
      <c r="B30" s="1174" t="s">
        <v>779</v>
      </c>
      <c r="C30" s="1190"/>
      <c r="D30" s="1208"/>
      <c r="E30" s="1190"/>
      <c r="F30" s="1190"/>
      <c r="G30" s="1190"/>
      <c r="H30" s="1190"/>
      <c r="I30" s="1190" t="s">
        <v>124</v>
      </c>
      <c r="J30" s="1190"/>
      <c r="K30" s="1175"/>
      <c r="L30" s="1168"/>
      <c r="M30" s="1168"/>
      <c r="N30" s="1168"/>
      <c r="O30" s="1168"/>
      <c r="P30" s="1168"/>
      <c r="Q30" s="1168"/>
      <c r="R30" s="1168"/>
      <c r="S30" s="1168"/>
      <c r="T30" s="1168"/>
      <c r="U30" s="1168"/>
      <c r="V30" s="1164"/>
      <c r="W30" s="1164"/>
      <c r="X30" s="1164"/>
      <c r="Y30" s="1164"/>
      <c r="Z30" s="1164"/>
      <c r="AA30" s="1164"/>
      <c r="AB30" s="1164"/>
      <c r="AC30" s="1164"/>
      <c r="AD30" s="1164"/>
      <c r="AE30" s="1164"/>
      <c r="AF30" s="1164"/>
      <c r="AG30" s="1164"/>
      <c r="AH30" s="1164"/>
      <c r="AJ30" s="224"/>
      <c r="AK30" s="224"/>
      <c r="AL30" s="224"/>
      <c r="AM30" s="1472"/>
      <c r="AN30" s="224"/>
      <c r="AO30" s="224"/>
      <c r="AP30" s="224"/>
      <c r="AQ30" s="1472"/>
      <c r="AX30" s="451"/>
      <c r="AY30" s="451"/>
      <c r="AZ30" s="451"/>
      <c r="BA30" s="1365"/>
      <c r="BB30" s="1365"/>
      <c r="BC30" s="1365"/>
      <c r="BD30" s="1365"/>
      <c r="BE30" s="1365"/>
      <c r="BF30" s="1373" t="s">
        <v>2146</v>
      </c>
      <c r="BI30" s="1378">
        <v>3</v>
      </c>
      <c r="BJ30" s="1370"/>
      <c r="BK30" s="1370"/>
      <c r="BL30" s="1370"/>
      <c r="BM30" s="1370"/>
      <c r="BN30" s="1370"/>
      <c r="BO30" s="1370"/>
      <c r="BP30" s="1370"/>
    </row>
    <row r="31" spans="1:68">
      <c r="A31" s="1208" t="s">
        <v>98</v>
      </c>
      <c r="B31" s="1174" t="s">
        <v>408</v>
      </c>
      <c r="C31" s="1190"/>
      <c r="D31" s="1208"/>
      <c r="E31" s="1190"/>
      <c r="F31" s="1190"/>
      <c r="G31" s="1190"/>
      <c r="H31" s="1190"/>
      <c r="I31" s="1190"/>
      <c r="J31" s="1190"/>
      <c r="K31" s="1175"/>
      <c r="L31" s="1168"/>
      <c r="M31" s="1168"/>
      <c r="N31" s="1168"/>
      <c r="O31" s="1168"/>
      <c r="P31" s="1168"/>
      <c r="Q31" s="1168"/>
      <c r="R31" s="1168"/>
      <c r="S31" s="1168"/>
      <c r="T31" s="1168"/>
      <c r="U31" s="1168"/>
      <c r="V31" s="1164"/>
      <c r="W31" s="1164"/>
      <c r="X31" s="1164"/>
      <c r="Y31" s="1164"/>
      <c r="Z31" s="1164"/>
      <c r="AA31" s="1164"/>
      <c r="AB31" s="1164"/>
      <c r="AC31" s="1164"/>
      <c r="AD31" s="1164"/>
      <c r="AE31" s="1164"/>
      <c r="AF31" s="1164"/>
      <c r="AG31" s="1164"/>
      <c r="AH31" s="1164"/>
      <c r="AJ31" s="224"/>
      <c r="AK31" s="224"/>
      <c r="AL31" s="224"/>
      <c r="AM31" s="1472"/>
      <c r="AN31" s="224"/>
      <c r="AO31" s="224"/>
      <c r="AP31" s="224"/>
      <c r="AQ31" s="1472"/>
      <c r="AX31" s="451"/>
      <c r="AY31" s="1365"/>
      <c r="AZ31" s="1365"/>
      <c r="BA31" s="1365"/>
      <c r="BB31" s="1365"/>
      <c r="BC31" s="1365"/>
      <c r="BD31" s="1365"/>
      <c r="BE31" s="1365"/>
      <c r="BF31" s="1370" t="s">
        <v>2145</v>
      </c>
      <c r="BG31" s="1456">
        <f t="shared" ref="BG31:BP31" si="0">-($BG$41-BG41)</f>
        <v>0</v>
      </c>
      <c r="BH31" s="1456">
        <f t="shared" si="0"/>
        <v>4</v>
      </c>
      <c r="BI31" s="1456">
        <f t="shared" si="0"/>
        <v>9</v>
      </c>
      <c r="BJ31" s="1456">
        <f t="shared" si="0"/>
        <v>14</v>
      </c>
      <c r="BK31" s="1456">
        <f t="shared" si="0"/>
        <v>19</v>
      </c>
      <c r="BL31" s="1456">
        <f t="shared" si="0"/>
        <v>24</v>
      </c>
      <c r="BM31" s="1456">
        <f t="shared" si="0"/>
        <v>29</v>
      </c>
      <c r="BN31" s="1456">
        <f t="shared" si="0"/>
        <v>34</v>
      </c>
      <c r="BO31" s="1456">
        <f t="shared" si="0"/>
        <v>39</v>
      </c>
      <c r="BP31" s="1370">
        <f t="shared" si="0"/>
        <v>44</v>
      </c>
    </row>
    <row r="32" spans="1:68">
      <c r="A32" s="1208" t="s">
        <v>96</v>
      </c>
      <c r="B32" s="1174" t="s">
        <v>636</v>
      </c>
      <c r="C32" s="1190"/>
      <c r="D32" s="1208"/>
      <c r="G32" s="1190"/>
      <c r="H32" s="1190"/>
      <c r="I32" s="1190" t="s">
        <v>124</v>
      </c>
      <c r="J32" s="1190"/>
      <c r="K32" s="1175"/>
      <c r="L32" s="1168"/>
      <c r="M32" s="1168"/>
      <c r="N32" s="1168"/>
      <c r="O32" s="1168"/>
      <c r="P32" s="1168"/>
      <c r="Q32" s="1168"/>
      <c r="R32" s="1168"/>
      <c r="S32" s="1168"/>
      <c r="T32" s="1168"/>
      <c r="U32" s="1168"/>
      <c r="V32" s="1164"/>
      <c r="W32" s="1164"/>
      <c r="X32" s="1164"/>
      <c r="Y32" s="1164"/>
      <c r="Z32" s="1164"/>
      <c r="AA32" s="1164"/>
      <c r="AB32" s="1164"/>
      <c r="AC32" s="1164"/>
      <c r="AD32" s="1164"/>
      <c r="AE32" s="1164"/>
      <c r="AF32" s="1164"/>
      <c r="AG32" s="1164"/>
      <c r="AH32" s="1164"/>
      <c r="AJ32" s="224"/>
      <c r="AK32" s="224"/>
      <c r="AL32" s="224"/>
      <c r="AM32" s="1472"/>
      <c r="AN32" s="224"/>
      <c r="AO32" s="224"/>
      <c r="AP32" s="224"/>
      <c r="AQ32" s="1472"/>
      <c r="AX32" s="451"/>
      <c r="AY32" s="1476"/>
      <c r="AZ32" s="1477"/>
      <c r="BA32" s="1365"/>
      <c r="BB32" s="1365"/>
      <c r="BC32" s="509"/>
      <c r="BD32" s="1365"/>
      <c r="BE32" s="1365"/>
      <c r="BF32" s="1370" t="s">
        <v>2143</v>
      </c>
      <c r="BG32" s="1456">
        <f t="shared" ref="BG32:BP32" si="1">BG31 * (2*$BI$30/($BP$41-$BG$41)) -$BI$30</f>
        <v>-3</v>
      </c>
      <c r="BH32" s="1456">
        <f t="shared" si="1"/>
        <v>-2.4545454545454546</v>
      </c>
      <c r="BI32" s="1456">
        <f t="shared" si="1"/>
        <v>-1.7727272727272729</v>
      </c>
      <c r="BJ32" s="1456">
        <f t="shared" si="1"/>
        <v>-1.0909090909090911</v>
      </c>
      <c r="BK32" s="1456">
        <f t="shared" si="1"/>
        <v>-0.40909090909090917</v>
      </c>
      <c r="BL32" s="1456">
        <f t="shared" si="1"/>
        <v>0.27272727272727249</v>
      </c>
      <c r="BM32" s="1456">
        <f t="shared" si="1"/>
        <v>0.95454545454545414</v>
      </c>
      <c r="BN32" s="1456">
        <f t="shared" si="1"/>
        <v>1.6363636363636358</v>
      </c>
      <c r="BO32" s="1456">
        <f t="shared" si="1"/>
        <v>2.3181818181818175</v>
      </c>
      <c r="BP32" s="1370">
        <f t="shared" si="1"/>
        <v>3</v>
      </c>
    </row>
    <row r="33" spans="1:79">
      <c r="A33" s="1208" t="s">
        <v>438</v>
      </c>
      <c r="B33" s="1174" t="s">
        <v>409</v>
      </c>
      <c r="C33" s="1190"/>
      <c r="D33" s="1208"/>
      <c r="G33" s="1190"/>
      <c r="H33" s="1190"/>
      <c r="I33" s="1190"/>
      <c r="J33" s="1190"/>
      <c r="K33" s="1175"/>
      <c r="L33" s="1168"/>
      <c r="M33" s="1168"/>
      <c r="N33" s="1168"/>
      <c r="O33" s="1168"/>
      <c r="P33" s="1168"/>
      <c r="Q33" s="1168"/>
      <c r="R33" s="1168"/>
      <c r="S33" s="1168"/>
      <c r="T33" s="1168"/>
      <c r="U33" s="1168"/>
      <c r="V33" s="1164"/>
      <c r="W33" s="1164"/>
      <c r="X33" s="1164"/>
      <c r="Y33" s="1164"/>
      <c r="Z33" s="1164"/>
      <c r="AA33" s="1164"/>
      <c r="AB33" s="1164"/>
      <c r="AC33" s="1164"/>
      <c r="AD33" s="1164"/>
      <c r="AE33" s="1164"/>
      <c r="AF33" s="1164"/>
      <c r="AG33" s="1164"/>
      <c r="AH33" s="1164"/>
      <c r="AJ33" s="224"/>
      <c r="AK33" s="224"/>
      <c r="AL33" s="224"/>
      <c r="AM33" s="1472"/>
      <c r="AN33" s="224"/>
      <c r="AO33" s="224"/>
      <c r="AP33" s="224"/>
      <c r="AQ33" s="1472"/>
      <c r="AX33" s="451"/>
      <c r="AY33" s="509"/>
      <c r="AZ33" s="1477"/>
      <c r="BA33" s="1365"/>
      <c r="BB33" s="1365"/>
      <c r="BC33" s="509"/>
      <c r="BD33" s="1365"/>
      <c r="BE33" s="1365"/>
      <c r="BF33" s="1370" t="s">
        <v>2144</v>
      </c>
      <c r="BG33" s="1456">
        <f t="shared" ref="BG33:BP33" si="2">BG31 * ($BI$30/($BP$41-$BG$41))</f>
        <v>0</v>
      </c>
      <c r="BH33" s="1456">
        <f t="shared" si="2"/>
        <v>0.27272727272727271</v>
      </c>
      <c r="BI33" s="1456">
        <f t="shared" si="2"/>
        <v>0.61363636363636354</v>
      </c>
      <c r="BJ33" s="1456">
        <f t="shared" si="2"/>
        <v>0.95454545454545447</v>
      </c>
      <c r="BK33" s="1456">
        <f t="shared" si="2"/>
        <v>1.2954545454545454</v>
      </c>
      <c r="BL33" s="1456">
        <f t="shared" si="2"/>
        <v>1.6363636363636362</v>
      </c>
      <c r="BM33" s="1456">
        <f t="shared" si="2"/>
        <v>1.9772727272727271</v>
      </c>
      <c r="BN33" s="1456">
        <f t="shared" si="2"/>
        <v>2.3181818181818179</v>
      </c>
      <c r="BO33" s="1456">
        <f t="shared" si="2"/>
        <v>2.6590909090909087</v>
      </c>
      <c r="BP33" s="1370">
        <f t="shared" si="2"/>
        <v>3</v>
      </c>
    </row>
    <row r="34" spans="1:79">
      <c r="A34" s="1208" t="s">
        <v>999</v>
      </c>
      <c r="B34" s="1174" t="s">
        <v>638</v>
      </c>
      <c r="C34" s="1190"/>
      <c r="D34" s="1208"/>
      <c r="G34" s="1190"/>
      <c r="H34" s="1190"/>
      <c r="I34" s="1190"/>
      <c r="J34" s="1190"/>
      <c r="K34" s="1175"/>
      <c r="L34" s="1168"/>
      <c r="M34" s="1168"/>
      <c r="N34" s="1168"/>
      <c r="O34" s="1168"/>
      <c r="P34" s="1168"/>
      <c r="Q34" s="1168"/>
      <c r="R34" s="1168"/>
      <c r="S34" s="1168"/>
      <c r="T34" s="1168"/>
      <c r="U34" s="1168"/>
      <c r="V34" s="1164"/>
      <c r="W34" s="1164"/>
      <c r="X34" s="1164"/>
      <c r="Y34" s="1164"/>
      <c r="Z34" s="1164"/>
      <c r="AA34" s="1164"/>
      <c r="AB34" s="1164"/>
      <c r="AC34" s="1164"/>
      <c r="AD34" s="1164"/>
      <c r="AE34" s="1164"/>
      <c r="AF34" s="1164"/>
      <c r="AG34" s="1164"/>
      <c r="AH34" s="1164"/>
      <c r="AJ34" s="224"/>
      <c r="AK34" s="224"/>
      <c r="AL34" s="224"/>
      <c r="AM34" s="1472"/>
      <c r="AN34" s="224"/>
      <c r="AO34" s="224"/>
      <c r="AP34" s="224"/>
      <c r="AQ34" s="1472"/>
      <c r="AX34" s="451"/>
      <c r="AY34" s="509"/>
      <c r="AZ34" s="1477"/>
      <c r="BA34" s="1365"/>
      <c r="BB34" s="1365"/>
      <c r="BC34" s="509"/>
      <c r="BD34" s="1365"/>
      <c r="BE34" s="1365"/>
      <c r="BF34" s="1374">
        <f>BP34-BG34</f>
        <v>0.90514825364486662</v>
      </c>
      <c r="BG34" s="1443">
        <f t="shared" ref="BG34:BO34" si="3">1/(1+EXP(-BG32))</f>
        <v>4.7425873177566781E-2</v>
      </c>
      <c r="BH34" s="1443">
        <f t="shared" si="3"/>
        <v>7.91067836720067E-2</v>
      </c>
      <c r="BI34" s="1443">
        <f t="shared" si="3"/>
        <v>0.14520349371967095</v>
      </c>
      <c r="BJ34" s="1443">
        <f t="shared" si="3"/>
        <v>0.25144712930466262</v>
      </c>
      <c r="BK34" s="1443">
        <f t="shared" si="3"/>
        <v>0.3991301241168046</v>
      </c>
      <c r="BL34" s="1443">
        <f t="shared" si="3"/>
        <v>0.56776232353834344</v>
      </c>
      <c r="BM34" s="1443">
        <f t="shared" si="3"/>
        <v>0.72202838624076371</v>
      </c>
      <c r="BN34" s="1443">
        <f t="shared" si="3"/>
        <v>0.83703952929767833</v>
      </c>
      <c r="BO34" s="1443">
        <f t="shared" si="3"/>
        <v>0.91037169664283535</v>
      </c>
      <c r="BP34" s="1374">
        <f>1/(1+EXP(-BP32))</f>
        <v>0.95257412682243336</v>
      </c>
    </row>
    <row r="35" spans="1:79">
      <c r="A35" s="1208" t="s">
        <v>997</v>
      </c>
      <c r="B35" s="1174" t="s">
        <v>998</v>
      </c>
      <c r="C35" s="1190"/>
      <c r="D35" s="1190"/>
      <c r="G35" s="1190"/>
      <c r="H35" s="1190"/>
      <c r="I35" s="1190"/>
      <c r="J35" s="1190"/>
      <c r="K35" s="1175"/>
      <c r="L35" s="1168"/>
      <c r="M35" s="1168"/>
      <c r="N35" s="1168"/>
      <c r="O35" s="1168"/>
      <c r="P35" s="1168"/>
      <c r="Q35" s="1168"/>
      <c r="R35" s="1168"/>
      <c r="S35" s="1168"/>
      <c r="T35" s="1168"/>
      <c r="U35" s="1168"/>
      <c r="V35" s="1164"/>
      <c r="W35" s="1164"/>
      <c r="X35" s="1164"/>
      <c r="Y35" s="1164"/>
      <c r="Z35" s="1164"/>
      <c r="AA35" s="1164"/>
      <c r="AB35" s="1164"/>
      <c r="AC35" s="1164"/>
      <c r="AD35" s="1164"/>
      <c r="AE35" s="1164"/>
      <c r="AF35" s="1164"/>
      <c r="AG35" s="1164"/>
      <c r="AH35" s="1164"/>
      <c r="AJ35" s="224"/>
      <c r="AK35" s="224"/>
      <c r="AL35" s="224"/>
      <c r="AM35" s="1472"/>
      <c r="AN35" s="224"/>
      <c r="AO35" s="224"/>
      <c r="AP35" s="224"/>
      <c r="AQ35" s="1472"/>
      <c r="AX35" s="451"/>
      <c r="AY35" s="509"/>
      <c r="AZ35" s="1477"/>
      <c r="BA35" s="1365"/>
      <c r="BB35" s="1365"/>
      <c r="BC35" s="509"/>
      <c r="BD35" s="1365"/>
      <c r="BE35" s="1365"/>
      <c r="BF35" s="1364" t="s">
        <v>1841</v>
      </c>
      <c r="BG35" s="1369">
        <f t="shared" ref="BG35:BP35" si="4">(BG34-$BG$34) * 1/$BF$34</f>
        <v>0</v>
      </c>
      <c r="BH35" s="1369">
        <f t="shared" si="4"/>
        <v>3.5000797236106551E-2</v>
      </c>
      <c r="BI35" s="1369">
        <f t="shared" si="4"/>
        <v>0.10802387360122673</v>
      </c>
      <c r="BJ35" s="1369">
        <f t="shared" si="4"/>
        <v>0.22540092775469603</v>
      </c>
      <c r="BK35" s="1369">
        <f t="shared" si="4"/>
        <v>0.38855982931303135</v>
      </c>
      <c r="BL35" s="1369">
        <f t="shared" si="4"/>
        <v>0.57486323181365806</v>
      </c>
      <c r="BM35" s="1369">
        <f t="shared" si="4"/>
        <v>0.74529505011659236</v>
      </c>
      <c r="BN35" s="1369">
        <f t="shared" si="4"/>
        <v>0.872358371062952</v>
      </c>
      <c r="BO35" s="1369">
        <f t="shared" si="4"/>
        <v>0.95337511837463473</v>
      </c>
      <c r="BP35" s="1369">
        <f t="shared" si="4"/>
        <v>1</v>
      </c>
    </row>
    <row r="36" spans="1:79">
      <c r="A36" s="1208" t="s">
        <v>996</v>
      </c>
      <c r="B36" s="1174" t="s">
        <v>352</v>
      </c>
      <c r="C36" s="1190"/>
      <c r="D36" s="1208"/>
      <c r="G36" s="1190"/>
      <c r="H36" s="1190"/>
      <c r="I36" s="1190"/>
      <c r="J36" s="1190"/>
      <c r="K36" s="1175"/>
      <c r="L36" s="1168"/>
      <c r="M36" s="1168"/>
      <c r="N36" s="1168"/>
      <c r="O36" s="1168"/>
      <c r="P36" s="1168"/>
      <c r="Q36" s="1168"/>
      <c r="R36" s="1168"/>
      <c r="S36" s="1168"/>
      <c r="T36" s="1168"/>
      <c r="U36" s="1168"/>
      <c r="V36" s="1164"/>
      <c r="W36" s="1164"/>
      <c r="X36" s="1164"/>
      <c r="Y36" s="1164"/>
      <c r="Z36" s="1164"/>
      <c r="AA36" s="1202"/>
      <c r="AB36" s="1164"/>
      <c r="AC36" s="1164"/>
      <c r="AD36" s="1164"/>
      <c r="AE36" s="1164"/>
      <c r="AF36" s="1164"/>
      <c r="AG36" s="1164"/>
      <c r="AH36" s="1164"/>
      <c r="AJ36" s="224"/>
      <c r="AK36" s="224"/>
      <c r="AL36" s="224"/>
      <c r="AM36" s="1472"/>
      <c r="AN36" s="224"/>
      <c r="AO36" s="224"/>
      <c r="AP36" s="224"/>
      <c r="AQ36" s="1472"/>
      <c r="AX36" s="1365"/>
      <c r="AY36" s="1365"/>
      <c r="AZ36" s="1365"/>
      <c r="BA36" s="1365"/>
      <c r="BB36" s="1365"/>
      <c r="BC36" s="1365"/>
      <c r="BD36" s="1365"/>
      <c r="BE36" s="1365"/>
      <c r="BF36" s="1374">
        <f>BP36-BG36</f>
        <v>0.45257412682243336</v>
      </c>
      <c r="BG36" s="1371">
        <f t="shared" ref="BG36:BO36" si="5">1/(1+EXP(-BG33))</f>
        <v>0.5</v>
      </c>
      <c r="BH36" s="1371">
        <f t="shared" si="5"/>
        <v>0.56776232353834355</v>
      </c>
      <c r="BI36" s="1371">
        <f t="shared" si="5"/>
        <v>0.64876985886801164</v>
      </c>
      <c r="BJ36" s="1371">
        <f t="shared" si="5"/>
        <v>0.72202838624076382</v>
      </c>
      <c r="BK36" s="1371">
        <f t="shared" si="5"/>
        <v>0.78506899659689733</v>
      </c>
      <c r="BL36" s="1371">
        <f t="shared" si="5"/>
        <v>0.83703952929767833</v>
      </c>
      <c r="BM36" s="1371">
        <f t="shared" si="5"/>
        <v>0.87839013287569223</v>
      </c>
      <c r="BN36" s="1371">
        <f t="shared" si="5"/>
        <v>0.91037169664283535</v>
      </c>
      <c r="BO36" s="1371">
        <f t="shared" si="5"/>
        <v>0.93456909789577847</v>
      </c>
      <c r="BP36" s="1371">
        <f>1/(1+EXP(-BP33))</f>
        <v>0.95257412682243336</v>
      </c>
      <c r="BS36" s="1459">
        <v>4</v>
      </c>
      <c r="BT36" s="1459" t="s">
        <v>2243</v>
      </c>
      <c r="BU36" s="1456"/>
      <c r="BV36" s="508"/>
      <c r="BW36" s="1456" t="s">
        <v>2222</v>
      </c>
      <c r="BX36" s="1456"/>
      <c r="BY36" s="1456"/>
      <c r="BZ36" s="1456"/>
      <c r="CA36" s="1456"/>
    </row>
    <row r="37" spans="1:79">
      <c r="A37" s="1208" t="s">
        <v>995</v>
      </c>
      <c r="B37" s="1171" t="s">
        <v>782</v>
      </c>
      <c r="C37" s="1171"/>
      <c r="D37" s="1171"/>
      <c r="G37" s="1171"/>
      <c r="H37" s="1171"/>
      <c r="I37" s="1171"/>
      <c r="J37" s="1171"/>
      <c r="K37" s="1175"/>
      <c r="L37" s="1168"/>
      <c r="M37" s="1168"/>
      <c r="N37" s="1168"/>
      <c r="O37" s="1168"/>
      <c r="P37" s="1168"/>
      <c r="Q37" s="1168"/>
      <c r="R37" s="1168"/>
      <c r="S37" s="1168"/>
      <c r="T37" s="1168"/>
      <c r="U37" s="1168"/>
      <c r="V37" s="1164"/>
      <c r="W37" s="1164"/>
      <c r="X37" s="1164"/>
      <c r="Y37" s="1164"/>
      <c r="Z37" s="1164"/>
      <c r="AA37" s="1164"/>
      <c r="AB37" s="1164"/>
      <c r="AC37" s="1164"/>
      <c r="AD37" s="1164"/>
      <c r="AE37" s="1164"/>
      <c r="AF37" s="1164"/>
      <c r="AG37" s="1164"/>
      <c r="AH37" s="1164"/>
      <c r="AJ37" s="224"/>
      <c r="AK37" s="224"/>
      <c r="AL37" s="224"/>
      <c r="AM37" s="1472"/>
      <c r="AN37" s="224"/>
      <c r="AO37" s="224"/>
      <c r="AP37" s="224"/>
      <c r="AQ37" s="1472"/>
      <c r="AU37" s="1366"/>
      <c r="AV37" s="1366"/>
      <c r="AW37" s="1202" t="s">
        <v>2249</v>
      </c>
      <c r="AX37" s="1365"/>
      <c r="AY37" s="1366">
        <v>2010</v>
      </c>
      <c r="AZ37" s="1366">
        <v>2015</v>
      </c>
      <c r="BA37" s="1366">
        <v>2020</v>
      </c>
      <c r="BB37" s="1366">
        <v>2025</v>
      </c>
      <c r="BC37" s="1366">
        <v>2030</v>
      </c>
      <c r="BD37" s="1366">
        <v>2035</v>
      </c>
      <c r="BE37" s="1365"/>
      <c r="BF37" s="1376" t="s">
        <v>1842</v>
      </c>
      <c r="BG37" s="1377">
        <f t="shared" ref="BG37:BP37" si="6">(BG36-$BG$36) * 1/$BF$36</f>
        <v>0</v>
      </c>
      <c r="BH37" s="1377">
        <f t="shared" si="6"/>
        <v>0.1497264636273164</v>
      </c>
      <c r="BI37" s="1377">
        <f t="shared" si="6"/>
        <v>0.32871931922520448</v>
      </c>
      <c r="BJ37" s="1377">
        <f t="shared" si="6"/>
        <v>0.49059010023318511</v>
      </c>
      <c r="BK37" s="1377">
        <f t="shared" si="6"/>
        <v>0.62988354769282606</v>
      </c>
      <c r="BL37" s="1377">
        <f t="shared" si="6"/>
        <v>0.74471674212590411</v>
      </c>
      <c r="BM37" s="1377">
        <f t="shared" si="6"/>
        <v>0.83608432398114729</v>
      </c>
      <c r="BN37" s="1377">
        <f t="shared" si="6"/>
        <v>0.90675023674926947</v>
      </c>
      <c r="BO37" s="1377">
        <f t="shared" si="6"/>
        <v>0.96021639802286107</v>
      </c>
      <c r="BP37" s="1377">
        <f t="shared" si="6"/>
        <v>1</v>
      </c>
      <c r="BS37" s="1459"/>
      <c r="BT37" s="1459" t="s">
        <v>110</v>
      </c>
      <c r="BU37" s="1456" t="s">
        <v>2223</v>
      </c>
      <c r="BV37" s="1456">
        <v>2012</v>
      </c>
      <c r="BW37" s="1456">
        <v>2016</v>
      </c>
      <c r="BX37" s="1456">
        <v>2020</v>
      </c>
      <c r="BY37" s="1456">
        <v>2024</v>
      </c>
      <c r="BZ37" s="1456">
        <v>2028</v>
      </c>
      <c r="CA37" s="1456">
        <v>2032</v>
      </c>
    </row>
    <row r="38" spans="1:79" ht="14" thickBot="1">
      <c r="A38" s="1208" t="s">
        <v>994</v>
      </c>
      <c r="B38" s="1171" t="s">
        <v>416</v>
      </c>
      <c r="C38" s="1171"/>
      <c r="D38" s="1171"/>
      <c r="G38" s="1171"/>
      <c r="H38" s="1171"/>
      <c r="I38" s="1171"/>
      <c r="J38" s="1171"/>
      <c r="K38" s="1175"/>
      <c r="L38" s="1168"/>
      <c r="M38" s="1168"/>
      <c r="N38" s="1168"/>
      <c r="O38" s="1168"/>
      <c r="P38" s="1168"/>
      <c r="Q38" s="1168"/>
      <c r="R38" s="1168"/>
      <c r="S38" s="1168"/>
      <c r="T38" s="1168"/>
      <c r="U38" s="1168"/>
      <c r="V38" s="1164"/>
      <c r="W38" s="1164"/>
      <c r="X38" s="1164"/>
      <c r="Y38" s="1164"/>
      <c r="Z38" s="1164"/>
      <c r="AA38" s="1164"/>
      <c r="AB38" s="1164"/>
      <c r="AC38" s="1164"/>
      <c r="AD38" s="1164"/>
      <c r="AE38" s="1164"/>
      <c r="AF38" s="1164"/>
      <c r="AG38" s="1164"/>
      <c r="AH38" s="1164"/>
      <c r="AJ38" s="1365"/>
      <c r="AK38" s="1365"/>
      <c r="AL38" s="1365"/>
      <c r="AM38" s="1365"/>
      <c r="AN38" s="1365"/>
      <c r="AO38" s="1365"/>
      <c r="AP38" s="1365"/>
      <c r="AQ38" s="1365"/>
      <c r="BS38" s="1498"/>
      <c r="BT38" s="1459" t="s">
        <v>2224</v>
      </c>
      <c r="BU38" s="1456" t="s">
        <v>1310</v>
      </c>
      <c r="BV38" s="1456">
        <v>0</v>
      </c>
      <c r="BW38" s="1456">
        <v>0</v>
      </c>
      <c r="BX38" s="1456">
        <v>0</v>
      </c>
      <c r="BY38" s="1456">
        <v>0</v>
      </c>
      <c r="BZ38" s="1456">
        <v>0</v>
      </c>
      <c r="CA38" s="1456">
        <v>0</v>
      </c>
    </row>
    <row r="39" spans="1:79">
      <c r="A39" s="1208" t="s">
        <v>1316</v>
      </c>
      <c r="B39" s="1171" t="s">
        <v>993</v>
      </c>
      <c r="C39" s="1171"/>
      <c r="D39" s="1171"/>
      <c r="G39" s="1171"/>
      <c r="H39" s="1171"/>
      <c r="I39" s="1171"/>
      <c r="J39" s="1171"/>
      <c r="K39" s="1175"/>
      <c r="L39" s="1168"/>
      <c r="M39" s="1168"/>
      <c r="N39" s="1168"/>
      <c r="O39" s="1168"/>
      <c r="P39" s="1168"/>
      <c r="Q39" s="1168"/>
      <c r="R39" s="1168"/>
      <c r="S39" s="1168"/>
      <c r="T39" s="1168"/>
      <c r="U39" s="1168"/>
      <c r="V39" s="1164"/>
      <c r="W39" s="1164"/>
      <c r="X39" s="1164"/>
      <c r="Y39" s="1164"/>
      <c r="Z39" s="1164"/>
      <c r="AA39" s="1216"/>
      <c r="AB39" s="1216"/>
      <c r="AC39" s="1215"/>
      <c r="AD39" s="1164"/>
      <c r="AE39" s="1164"/>
      <c r="AF39" s="1164"/>
      <c r="AG39" s="1164"/>
      <c r="AH39" s="1164"/>
      <c r="AJ39" s="1365"/>
      <c r="AK39" s="1365"/>
      <c r="AL39" s="1365"/>
      <c r="AM39" s="1365"/>
      <c r="AN39" s="1365"/>
      <c r="AO39" s="1365"/>
      <c r="AP39" s="1365"/>
      <c r="AQ39" s="1365"/>
      <c r="AT39" s="1202" t="s">
        <v>1320</v>
      </c>
      <c r="AX39" s="231"/>
      <c r="BF39" s="1478"/>
      <c r="BG39" s="1479" t="s">
        <v>2147</v>
      </c>
      <c r="BH39" s="1480"/>
      <c r="BI39" s="1481" t="s">
        <v>1841</v>
      </c>
      <c r="BJ39" s="1479" t="s">
        <v>2220</v>
      </c>
      <c r="BK39" s="1480"/>
      <c r="BL39" s="1480"/>
      <c r="BM39" s="1480"/>
      <c r="BN39" s="1480"/>
      <c r="BO39" s="1480"/>
      <c r="BP39" s="1480"/>
      <c r="BQ39" s="1480"/>
      <c r="BR39" s="1482"/>
      <c r="BS39" s="1459"/>
      <c r="BT39" s="1459"/>
      <c r="BU39" s="1456" t="s">
        <v>1312</v>
      </c>
      <c r="BV39" s="1456">
        <v>0</v>
      </c>
      <c r="BW39" s="1456">
        <v>3</v>
      </c>
      <c r="BX39" s="1456">
        <v>6</v>
      </c>
      <c r="BY39" s="1456">
        <v>12.75</v>
      </c>
      <c r="BZ39" s="1456">
        <v>19.5</v>
      </c>
      <c r="CA39" s="1456">
        <v>30</v>
      </c>
    </row>
    <row r="40" spans="1:79">
      <c r="A40" s="1218" t="s">
        <v>1315</v>
      </c>
      <c r="B40" s="1217" t="s">
        <v>875</v>
      </c>
      <c r="C40" s="1171"/>
      <c r="D40" s="1171"/>
      <c r="G40" s="1171"/>
      <c r="H40" s="1171"/>
      <c r="I40" s="1171"/>
      <c r="J40" s="1171"/>
      <c r="K40" s="1175"/>
      <c r="L40" s="1168"/>
      <c r="M40" s="1168"/>
      <c r="N40" s="1168"/>
      <c r="O40" s="1168"/>
      <c r="P40" s="1168"/>
      <c r="Q40" s="1168"/>
      <c r="R40" s="1168"/>
      <c r="S40" s="1168"/>
      <c r="T40" s="1168"/>
      <c r="U40" s="1168"/>
      <c r="V40" s="1164"/>
      <c r="W40" s="1164"/>
      <c r="X40" s="1164"/>
      <c r="Y40" s="1164"/>
      <c r="Z40" s="1164"/>
      <c r="AA40" s="1216"/>
      <c r="AB40" s="1216"/>
      <c r="AC40" s="1215"/>
      <c r="AD40" s="1164"/>
      <c r="AE40" s="1164"/>
      <c r="AF40" s="1164"/>
      <c r="AG40" s="1164"/>
      <c r="AH40" s="1164"/>
      <c r="AJ40" s="1365"/>
      <c r="AK40" s="1365"/>
      <c r="AL40" s="1365"/>
      <c r="AM40" s="1365"/>
      <c r="AN40" s="1365"/>
      <c r="AO40" s="1365"/>
      <c r="AP40" s="1365"/>
      <c r="AQ40" s="1365"/>
      <c r="AR40" s="1456"/>
      <c r="AX40" s="1366" t="s">
        <v>2219</v>
      </c>
      <c r="BF40" s="1492" t="s">
        <v>1823</v>
      </c>
      <c r="BG40" s="1372"/>
      <c r="BH40" s="1372"/>
      <c r="BI40" s="1366"/>
      <c r="BJ40" s="1372"/>
      <c r="BK40" s="1372"/>
      <c r="BL40" s="1072"/>
      <c r="BM40" s="1072"/>
      <c r="BN40" s="1072"/>
      <c r="BO40" s="1072"/>
      <c r="BP40" s="1372"/>
      <c r="BQ40" s="1372"/>
      <c r="BR40" s="1484"/>
      <c r="BS40" s="1459"/>
      <c r="BT40" s="1459"/>
      <c r="BU40" s="1456" t="s">
        <v>1311</v>
      </c>
      <c r="BV40" s="1456">
        <v>10</v>
      </c>
      <c r="BW40" s="1456">
        <v>16</v>
      </c>
      <c r="BX40" s="1456">
        <v>18</v>
      </c>
      <c r="BY40" s="1456">
        <v>27.5</v>
      </c>
      <c r="BZ40" s="1456">
        <v>37</v>
      </c>
      <c r="CA40" s="1456">
        <v>50</v>
      </c>
    </row>
    <row r="41" spans="1:79">
      <c r="A41" s="1208" t="s">
        <v>116</v>
      </c>
      <c r="B41" s="1171" t="s">
        <v>763</v>
      </c>
      <c r="C41" s="1171"/>
      <c r="D41" s="1171"/>
      <c r="E41" s="1171"/>
      <c r="F41" s="1171"/>
      <c r="G41" s="1171"/>
      <c r="H41" s="1171"/>
      <c r="I41" s="1171"/>
      <c r="J41" s="1171"/>
      <c r="K41" s="1175"/>
      <c r="L41" s="1168"/>
      <c r="M41" s="1168"/>
      <c r="N41" s="1168"/>
      <c r="O41" s="1168"/>
      <c r="P41" s="1168"/>
      <c r="Q41" s="1168"/>
      <c r="R41" s="1168"/>
      <c r="S41" s="1168"/>
      <c r="T41" s="1168"/>
      <c r="U41" s="1168"/>
      <c r="V41" s="1164"/>
      <c r="W41" s="1164"/>
      <c r="X41" s="1164"/>
      <c r="Y41" s="1164"/>
      <c r="Z41" s="1164"/>
      <c r="AA41" s="1164"/>
      <c r="AB41" s="1164"/>
      <c r="AC41" s="1164"/>
      <c r="AD41" s="1164"/>
      <c r="AE41" s="1164"/>
      <c r="AF41" s="1164"/>
      <c r="AG41" s="1164"/>
      <c r="AH41" s="1164"/>
      <c r="AL41" s="1456"/>
      <c r="AM41" s="1456"/>
      <c r="AN41" s="1456"/>
      <c r="AO41" s="1456"/>
      <c r="AP41" s="1456"/>
      <c r="AQ41" s="1456"/>
      <c r="AR41" s="1456"/>
      <c r="AU41" s="348" t="s">
        <v>1314</v>
      </c>
      <c r="AV41" s="348"/>
      <c r="AW41" s="163"/>
      <c r="AX41" s="1447">
        <v>2009</v>
      </c>
      <c r="AY41" s="1447">
        <v>2012</v>
      </c>
      <c r="AZ41" s="1447">
        <v>2016</v>
      </c>
      <c r="BA41" s="1447">
        <v>2020</v>
      </c>
      <c r="BB41" s="1447">
        <v>2024</v>
      </c>
      <c r="BC41" s="1447">
        <v>2028</v>
      </c>
      <c r="BD41" s="1447">
        <v>2032</v>
      </c>
      <c r="BF41" s="1485"/>
      <c r="BG41" s="1447">
        <v>2006</v>
      </c>
      <c r="BH41" s="1447">
        <v>2010</v>
      </c>
      <c r="BI41" s="1447">
        <v>2015</v>
      </c>
      <c r="BJ41" s="1447">
        <v>2020</v>
      </c>
      <c r="BK41" s="1447">
        <v>2025</v>
      </c>
      <c r="BL41" s="1447">
        <v>2030</v>
      </c>
      <c r="BM41" s="1447">
        <v>2035</v>
      </c>
      <c r="BN41" s="1447">
        <v>2040</v>
      </c>
      <c r="BO41" s="1447">
        <v>2045</v>
      </c>
      <c r="BP41" s="1447">
        <v>2050</v>
      </c>
      <c r="BQ41" s="1372"/>
      <c r="BR41" s="1484"/>
      <c r="BS41" s="1459"/>
      <c r="BT41" s="1459"/>
      <c r="BU41" s="1456" t="s">
        <v>96</v>
      </c>
      <c r="BV41" s="1456">
        <v>8</v>
      </c>
      <c r="BW41" s="1456">
        <v>36</v>
      </c>
      <c r="BX41" s="1456">
        <v>40</v>
      </c>
      <c r="BY41" s="1456">
        <v>52.5</v>
      </c>
      <c r="BZ41" s="1456">
        <v>65</v>
      </c>
      <c r="CA41" s="1456">
        <v>80</v>
      </c>
    </row>
    <row r="42" spans="1:79">
      <c r="A42" s="1208" t="s">
        <v>520</v>
      </c>
      <c r="B42" s="1171" t="s">
        <v>857</v>
      </c>
      <c r="C42" s="1171"/>
      <c r="D42" s="1171"/>
      <c r="E42" s="1171"/>
      <c r="F42" s="1171"/>
      <c r="G42" s="1171"/>
      <c r="H42" s="1171"/>
      <c r="I42" s="1171"/>
      <c r="J42" s="1171"/>
      <c r="K42" s="1175"/>
      <c r="L42" s="1168"/>
      <c r="M42" s="1168"/>
      <c r="N42" s="1168"/>
      <c r="O42" s="1168"/>
      <c r="P42" s="1168"/>
      <c r="Q42" s="1168"/>
      <c r="R42" s="1168"/>
      <c r="S42" s="1168"/>
      <c r="T42" s="1168"/>
      <c r="U42" s="1168"/>
      <c r="V42" s="1164"/>
      <c r="W42" s="1164"/>
      <c r="X42" s="1164"/>
      <c r="Y42" s="1164"/>
      <c r="Z42" s="1164"/>
      <c r="AA42" s="1164"/>
      <c r="AB42" s="1164"/>
      <c r="AC42" s="1164"/>
      <c r="AD42" s="1164"/>
      <c r="AE42" s="1164"/>
      <c r="AF42" s="1164"/>
      <c r="AG42" s="1164"/>
      <c r="AL42" s="1456"/>
      <c r="AM42" s="1456"/>
      <c r="AN42" s="1456"/>
      <c r="AO42" s="1456"/>
      <c r="AP42" s="1456"/>
      <c r="AQ42" s="1456"/>
      <c r="AR42" s="1456"/>
      <c r="AS42" s="1086" t="s">
        <v>1327</v>
      </c>
      <c r="AT42" s="1201" t="s">
        <v>2234</v>
      </c>
      <c r="AU42" s="1086">
        <v>4</v>
      </c>
      <c r="AV42" s="1086" t="s">
        <v>1014</v>
      </c>
      <c r="AW42" s="1086" t="s">
        <v>1015</v>
      </c>
      <c r="AX42" s="99">
        <v>0</v>
      </c>
      <c r="AY42" s="99">
        <v>2.9747510425128663E-2</v>
      </c>
      <c r="AZ42" s="99">
        <v>6.959911304269352E-2</v>
      </c>
      <c r="BA42" s="99">
        <v>9.2677597869843864E-2</v>
      </c>
      <c r="BB42" s="99">
        <v>0.20820273626229807</v>
      </c>
      <c r="BC42" s="99">
        <v>0.32372787465475233</v>
      </c>
      <c r="BD42" s="99">
        <v>0.49549567524144805</v>
      </c>
      <c r="BF42" s="1483">
        <v>4</v>
      </c>
      <c r="BG42" s="1372">
        <f t="array" ref="BG42">INDEX(BG$35:BG$37,MATCH($BI$39,$BF$35:$BF$37,0)) * $BQ42</f>
        <v>0</v>
      </c>
      <c r="BH42" s="604">
        <f t="array" ref="BH42">INDEX(BH$35:BH$37,MATCH($BI$39,$BF$35:$BF$37,0)) * $BQ42</f>
        <v>1.7342743660493626E-2</v>
      </c>
      <c r="BI42" s="604">
        <f t="array" ref="BI42">INDEX(BI$35:BI$37,MATCH($BI$39,$BF$35:$BF$37,0)) * $BQ42</f>
        <v>5.3525362192236671E-2</v>
      </c>
      <c r="BJ42" s="604">
        <f t="array" ref="BJ42">INDEX(BJ$35:BJ$37,MATCH($BI$39,$BF$35:$BF$37,0)) * $BQ42</f>
        <v>0.11168518489786196</v>
      </c>
      <c r="BK42" s="604">
        <f t="array" ref="BK42">INDEX(BK$35:BK$37,MATCH($BI$39,$BF$35:$BF$37,0)) * $BQ42</f>
        <v>0.19252971499716226</v>
      </c>
      <c r="BL42" s="604">
        <f t="array" ref="BL42">INDEX(BL$35:BL$37,MATCH($BI$39,$BF$35:$BF$37,0)) * $BQ42</f>
        <v>0.2848422452189896</v>
      </c>
      <c r="BM42" s="604">
        <f t="array" ref="BM42">INDEX(BM$35:BM$37,MATCH($BI$39,$BF$35:$BF$37,0)) * $BQ42</f>
        <v>0.3692904741116298</v>
      </c>
      <c r="BN42" s="604">
        <f t="array" ref="BN42">INDEX(BN$35:BN$37,MATCH($BI$39,$BF$35:$BF$37,0)) * $BQ42</f>
        <v>0.43224980012236708</v>
      </c>
      <c r="BO42" s="604">
        <f t="array" ref="BO42">INDEX(BO$35:BO$37,MATCH($BI$39,$BF$35:$BF$37,0)) * $BQ42</f>
        <v>0.4723932480374351</v>
      </c>
      <c r="BP42" s="604">
        <f t="array" ref="BP42">INDEX(BP$35:BP$37,MATCH($BI$39,$BF$35:$BF$37,0)) * $BQ42</f>
        <v>0.49549567524144805</v>
      </c>
      <c r="BQ42" s="609">
        <f t="shared" ref="BQ42:BQ49" si="7">BD42</f>
        <v>0.49549567524144805</v>
      </c>
      <c r="BR42" s="1484"/>
      <c r="BS42" s="1459"/>
      <c r="BT42" s="1459"/>
      <c r="BU42" s="1456" t="s">
        <v>438</v>
      </c>
      <c r="BV42" s="1456">
        <v>1</v>
      </c>
      <c r="BW42" s="1456">
        <v>3</v>
      </c>
      <c r="BX42" s="1456">
        <v>6</v>
      </c>
      <c r="BY42" s="1456">
        <v>18.625</v>
      </c>
      <c r="BZ42" s="1456">
        <v>31.25</v>
      </c>
      <c r="CA42" s="1456">
        <v>50</v>
      </c>
    </row>
    <row r="43" spans="1:79">
      <c r="A43" s="1214"/>
      <c r="B43" s="1213"/>
      <c r="C43" s="1171"/>
      <c r="D43" s="1171"/>
      <c r="E43" s="1171"/>
      <c r="F43" s="1171"/>
      <c r="G43" s="1171"/>
      <c r="H43" s="1171"/>
      <c r="I43" s="1171"/>
      <c r="J43" s="1171"/>
      <c r="K43" s="1175"/>
      <c r="L43" s="1168"/>
      <c r="M43" s="1168"/>
      <c r="N43" s="1168"/>
      <c r="O43" s="1168"/>
      <c r="P43" s="1168"/>
      <c r="Q43" s="1168"/>
      <c r="R43" s="1168"/>
      <c r="S43" s="1168"/>
      <c r="T43" s="1168"/>
      <c r="U43" s="1168"/>
      <c r="V43" s="1164"/>
      <c r="W43" s="1164"/>
      <c r="X43" s="1164"/>
      <c r="Y43" s="1164"/>
      <c r="Z43" s="1164"/>
      <c r="AA43" s="1164"/>
      <c r="AB43" s="1164"/>
      <c r="AC43" s="1164"/>
      <c r="AD43" s="1164"/>
      <c r="AE43" s="1164"/>
      <c r="AF43" s="1164"/>
      <c r="AG43" s="1164"/>
      <c r="AL43" s="1456"/>
      <c r="AM43" s="1456"/>
      <c r="AN43" s="1456"/>
      <c r="AO43" s="1456"/>
      <c r="AP43" s="1456"/>
      <c r="AQ43" s="1456"/>
      <c r="AR43" s="1456"/>
      <c r="AS43" s="1456" t="s">
        <v>1327</v>
      </c>
      <c r="AT43" s="1201" t="s">
        <v>2234</v>
      </c>
      <c r="AU43" s="1086">
        <v>4</v>
      </c>
      <c r="AV43" s="1086" t="s">
        <v>1012</v>
      </c>
      <c r="AW43" s="1086" t="s">
        <v>1013</v>
      </c>
      <c r="AX43" s="99">
        <v>0</v>
      </c>
      <c r="AY43" s="99">
        <v>1.1274999999999995E-2</v>
      </c>
      <c r="AZ43" s="99">
        <v>4.1200000000000077E-2</v>
      </c>
      <c r="BA43" s="99">
        <v>6.3449999999999937E-2</v>
      </c>
      <c r="BB43" s="99">
        <v>0.16416562499999993</v>
      </c>
      <c r="BC43" s="99">
        <v>0.26488125000000001</v>
      </c>
      <c r="BD43" s="99">
        <v>0.42150000000000004</v>
      </c>
      <c r="BF43" s="1483">
        <v>4</v>
      </c>
      <c r="BG43" s="1372">
        <f t="array" ref="BG43">INDEX(BG$35:BG$37,MATCH($BI$39,$BF$35:$BF$37,0)) * $BQ43</f>
        <v>0</v>
      </c>
      <c r="BH43" s="604">
        <f t="array" ref="BH43">INDEX(BH$35:BH$37,MATCH($BI$39,$BF$35:$BF$37,0)) * $BQ43</f>
        <v>1.4752836035018913E-2</v>
      </c>
      <c r="BI43" s="604">
        <f t="array" ref="BI43">INDEX(BI$35:BI$37,MATCH($BI$39,$BF$35:$BF$37,0)) * $BQ43</f>
        <v>4.5532062722917072E-2</v>
      </c>
      <c r="BJ43" s="604">
        <f t="array" ref="BJ43">INDEX(BJ$35:BJ$37,MATCH($BI$39,$BF$35:$BF$37,0)) * $BQ43</f>
        <v>9.5006491048604383E-2</v>
      </c>
      <c r="BK43" s="604">
        <f t="array" ref="BK43">INDEX(BK$35:BK$37,MATCH($BI$39,$BF$35:$BF$37,0)) * $BQ43</f>
        <v>0.16377796805544273</v>
      </c>
      <c r="BL43" s="604">
        <f t="array" ref="BL43">INDEX(BL$35:BL$37,MATCH($BI$39,$BF$35:$BF$37,0)) * $BQ43</f>
        <v>0.24230485220945688</v>
      </c>
      <c r="BM43" s="604">
        <f t="array" ref="BM43">INDEX(BM$35:BM$37,MATCH($BI$39,$BF$35:$BF$37,0)) * $BQ43</f>
        <v>0.3141418636241437</v>
      </c>
      <c r="BN43" s="604">
        <f t="array" ref="BN43">INDEX(BN$35:BN$37,MATCH($BI$39,$BF$35:$BF$37,0)) * $BQ43</f>
        <v>0.36769905340303433</v>
      </c>
      <c r="BO43" s="604">
        <f t="array" ref="BO43">INDEX(BO$35:BO$37,MATCH($BI$39,$BF$35:$BF$37,0)) * $BQ43</f>
        <v>0.40184761239490857</v>
      </c>
      <c r="BP43" s="604">
        <f t="array" ref="BP43">INDEX(BP$35:BP$37,MATCH($BI$39,$BF$35:$BF$37,0)) * $BQ43</f>
        <v>0.42150000000000004</v>
      </c>
      <c r="BQ43" s="609">
        <f t="shared" si="7"/>
        <v>0.42150000000000004</v>
      </c>
      <c r="BR43" s="1484"/>
      <c r="BS43" s="1459"/>
      <c r="BT43" s="1459"/>
      <c r="BU43" s="1456" t="s">
        <v>999</v>
      </c>
      <c r="BV43" s="1456">
        <v>3</v>
      </c>
      <c r="BW43" s="1456">
        <v>9</v>
      </c>
      <c r="BX43" s="1456">
        <v>18</v>
      </c>
      <c r="BY43" s="1456">
        <v>27.75</v>
      </c>
      <c r="BZ43" s="1456">
        <v>37.5</v>
      </c>
      <c r="CA43" s="1456">
        <v>50</v>
      </c>
    </row>
    <row r="44" spans="1:79">
      <c r="A44" s="1208"/>
      <c r="B44" s="1171"/>
      <c r="C44" s="1171"/>
      <c r="D44" s="1171"/>
      <c r="E44" s="1171"/>
      <c r="F44" s="1171"/>
      <c r="G44" s="1171"/>
      <c r="H44" s="1171"/>
      <c r="I44" s="1171"/>
      <c r="J44" s="1171"/>
      <c r="K44" s="1175"/>
      <c r="L44" s="1168"/>
      <c r="M44" s="1168"/>
      <c r="N44" s="1168"/>
      <c r="O44" s="1168"/>
      <c r="P44" s="1168"/>
      <c r="Q44" s="1168"/>
      <c r="R44" s="1168"/>
      <c r="S44" s="1168"/>
      <c r="T44" s="1168"/>
      <c r="U44" s="1168"/>
      <c r="V44" s="1164"/>
      <c r="W44" s="1164"/>
      <c r="X44" s="1164"/>
      <c r="Y44" s="1164"/>
      <c r="Z44" s="1164"/>
      <c r="AA44" s="1164"/>
      <c r="AB44" s="1164"/>
      <c r="AC44" s="1164"/>
      <c r="AD44" s="1164"/>
      <c r="AE44" s="1164"/>
      <c r="AF44" s="1164"/>
      <c r="AG44" s="1164"/>
      <c r="AL44" s="1456"/>
      <c r="AM44" s="1456"/>
      <c r="AN44" s="1456"/>
      <c r="AO44" s="1456"/>
      <c r="AP44" s="1456"/>
      <c r="AQ44" s="1456"/>
      <c r="AR44" s="1456"/>
      <c r="AS44" s="1456" t="s">
        <v>1327</v>
      </c>
      <c r="AT44" s="1201" t="s">
        <v>2234</v>
      </c>
      <c r="AU44" s="1086">
        <v>4</v>
      </c>
      <c r="AV44" s="1086" t="s">
        <v>1010</v>
      </c>
      <c r="AW44" s="1086" t="s">
        <v>1011</v>
      </c>
      <c r="AX44" s="99">
        <v>0</v>
      </c>
      <c r="AY44" s="99">
        <v>3.1000000000000045E-2</v>
      </c>
      <c r="AZ44" s="99">
        <v>8.9500000000000093E-2</v>
      </c>
      <c r="BA44" s="99">
        <v>0.10909999999999999</v>
      </c>
      <c r="BB44" s="99">
        <v>0.2155</v>
      </c>
      <c r="BC44" s="99">
        <v>0.32189999999999996</v>
      </c>
      <c r="BD44" s="99">
        <v>0.47900000000000004</v>
      </c>
      <c r="BF44" s="1483">
        <v>4</v>
      </c>
      <c r="BG44" s="1372">
        <f t="array" ref="BG44">INDEX(BG$35:BG$37,MATCH($BI$39,$BF$35:$BF$37,0)) * $BQ44</f>
        <v>0</v>
      </c>
      <c r="BH44" s="604">
        <f t="array" ref="BH44">INDEX(BH$35:BH$37,MATCH($BI$39,$BF$35:$BF$37,0)) * $BQ44</f>
        <v>1.676538187609504E-2</v>
      </c>
      <c r="BI44" s="604">
        <f t="array" ref="BI44">INDEX(BI$35:BI$37,MATCH($BI$39,$BF$35:$BF$37,0)) * $BQ44</f>
        <v>5.1743435454987607E-2</v>
      </c>
      <c r="BJ44" s="604">
        <f t="array" ref="BJ44">INDEX(BJ$35:BJ$37,MATCH($BI$39,$BF$35:$BF$37,0)) * $BQ44</f>
        <v>0.1079670443944994</v>
      </c>
      <c r="BK44" s="604">
        <f t="array" ref="BK44">INDEX(BK$35:BK$37,MATCH($BI$39,$BF$35:$BF$37,0)) * $BQ44</f>
        <v>0.18612015824094202</v>
      </c>
      <c r="BL44" s="604">
        <f t="array" ref="BL44">INDEX(BL$35:BL$37,MATCH($BI$39,$BF$35:$BF$37,0)) * $BQ44</f>
        <v>0.27535948803874222</v>
      </c>
      <c r="BM44" s="604">
        <f t="array" ref="BM44">INDEX(BM$35:BM$37,MATCH($BI$39,$BF$35:$BF$37,0)) * $BQ44</f>
        <v>0.35699632900584777</v>
      </c>
      <c r="BN44" s="604">
        <f t="array" ref="BN44">INDEX(BN$35:BN$37,MATCH($BI$39,$BF$35:$BF$37,0)) * $BQ44</f>
        <v>0.41785965973915407</v>
      </c>
      <c r="BO44" s="604">
        <f t="array" ref="BO44">INDEX(BO$35:BO$37,MATCH($BI$39,$BF$35:$BF$37,0)) * $BQ44</f>
        <v>0.45666668170145008</v>
      </c>
      <c r="BP44" s="604">
        <f t="array" ref="BP44">INDEX(BP$35:BP$37,MATCH($BI$39,$BF$35:$BF$37,0)) * $BQ44</f>
        <v>0.47900000000000004</v>
      </c>
      <c r="BQ44" s="609">
        <f t="shared" si="7"/>
        <v>0.47900000000000004</v>
      </c>
      <c r="BR44" s="1484"/>
      <c r="BS44" s="1459"/>
      <c r="BT44" s="1459"/>
      <c r="BU44" s="1456" t="s">
        <v>997</v>
      </c>
      <c r="BV44" s="1456">
        <v>1</v>
      </c>
      <c r="BW44" s="1456">
        <v>4</v>
      </c>
      <c r="BX44" s="1456">
        <v>5</v>
      </c>
      <c r="BY44" s="1456">
        <v>17.875</v>
      </c>
      <c r="BZ44" s="1456">
        <v>30.75</v>
      </c>
      <c r="CA44" s="1456">
        <v>50</v>
      </c>
    </row>
    <row r="45" spans="1:79">
      <c r="A45" s="1208"/>
      <c r="B45" s="1171"/>
      <c r="C45" s="1171"/>
      <c r="D45" s="1171"/>
      <c r="E45" s="1171"/>
      <c r="F45" s="1171"/>
      <c r="G45" s="1171"/>
      <c r="H45" s="1171"/>
      <c r="I45" s="1171"/>
      <c r="J45" s="1171"/>
      <c r="K45" s="1175"/>
      <c r="L45" s="1168"/>
      <c r="M45" s="1168"/>
      <c r="N45" s="1168"/>
      <c r="O45" s="1168"/>
      <c r="P45" s="1168"/>
      <c r="Q45" s="1168"/>
      <c r="R45" s="1168"/>
      <c r="S45" s="1168"/>
      <c r="T45" s="1168"/>
      <c r="U45" s="1168"/>
      <c r="V45" s="1164"/>
      <c r="W45" s="1164"/>
      <c r="X45" s="1164"/>
      <c r="Y45" s="1164"/>
      <c r="Z45" s="1164"/>
      <c r="AA45" s="1164"/>
      <c r="AB45" s="1164"/>
      <c r="AC45" s="1164"/>
      <c r="AD45" s="1164"/>
      <c r="AE45" s="1164"/>
      <c r="AF45" s="1164"/>
      <c r="AG45" s="1164"/>
      <c r="AL45" s="1456"/>
      <c r="AM45" s="1456"/>
      <c r="AN45" s="1456"/>
      <c r="AO45" s="1456"/>
      <c r="AP45" s="1456"/>
      <c r="AQ45" s="1456"/>
      <c r="AR45" s="1456"/>
      <c r="AS45" s="1456" t="s">
        <v>1327</v>
      </c>
      <c r="AT45" s="1201" t="s">
        <v>2234</v>
      </c>
      <c r="AU45" s="1086">
        <v>4</v>
      </c>
      <c r="AV45" s="1086" t="s">
        <v>1008</v>
      </c>
      <c r="AW45" s="1086" t="s">
        <v>1009</v>
      </c>
      <c r="AX45" s="99">
        <v>0</v>
      </c>
      <c r="AY45" s="99">
        <v>7.3449999999999932E-2</v>
      </c>
      <c r="AZ45" s="99">
        <v>0.32950000000000002</v>
      </c>
      <c r="BA45" s="99">
        <v>0.36779999999999996</v>
      </c>
      <c r="BB45" s="99">
        <v>0.37993125000000011</v>
      </c>
      <c r="BC45" s="99">
        <v>0.39206249999999998</v>
      </c>
      <c r="BD45" s="99">
        <v>0.41100000000000009</v>
      </c>
      <c r="BF45" s="1483">
        <v>4</v>
      </c>
      <c r="BG45" s="1372">
        <f t="array" ref="BG45">INDEX(BG$35:BG$37,MATCH($BI$39,$BF$35:$BF$37,0)) * $BQ45</f>
        <v>0</v>
      </c>
      <c r="BH45" s="604">
        <f t="array" ref="BH45">INDEX(BH$35:BH$37,MATCH($BI$39,$BF$35:$BF$37,0)) * $BQ45</f>
        <v>1.4385327664039795E-2</v>
      </c>
      <c r="BI45" s="604">
        <f t="array" ref="BI45">INDEX(BI$35:BI$37,MATCH($BI$39,$BF$35:$BF$37,0)) * $BQ45</f>
        <v>4.4397812050104193E-2</v>
      </c>
      <c r="BJ45" s="604">
        <f t="array" ref="BJ45">INDEX(BJ$35:BJ$37,MATCH($BI$39,$BF$35:$BF$37,0)) * $BQ45</f>
        <v>9.2639781307180091E-2</v>
      </c>
      <c r="BK45" s="604">
        <f t="array" ref="BK45">INDEX(BK$35:BK$37,MATCH($BI$39,$BF$35:$BF$37,0)) * $BQ45</f>
        <v>0.15969808984765591</v>
      </c>
      <c r="BL45" s="604">
        <f t="array" ref="BL45">INDEX(BL$35:BL$37,MATCH($BI$39,$BF$35:$BF$37,0)) * $BQ45</f>
        <v>0.2362687882754135</v>
      </c>
      <c r="BM45" s="604">
        <f t="array" ref="BM45">INDEX(BM$35:BM$37,MATCH($BI$39,$BF$35:$BF$37,0)) * $BQ45</f>
        <v>0.30631626559791952</v>
      </c>
      <c r="BN45" s="604">
        <f t="array" ref="BN45">INDEX(BN$35:BN$37,MATCH($BI$39,$BF$35:$BF$37,0)) * $BQ45</f>
        <v>0.35853929050687333</v>
      </c>
      <c r="BO45" s="604">
        <f t="array" ref="BO45">INDEX(BO$35:BO$37,MATCH($BI$39,$BF$35:$BF$37,0)) * $BQ45</f>
        <v>0.39183717365197496</v>
      </c>
      <c r="BP45" s="604">
        <f t="array" ref="BP45">INDEX(BP$35:BP$37,MATCH($BI$39,$BF$35:$BF$37,0)) * $BQ45</f>
        <v>0.41100000000000009</v>
      </c>
      <c r="BQ45" s="609">
        <f t="shared" si="7"/>
        <v>0.41100000000000009</v>
      </c>
      <c r="BR45" s="1484"/>
      <c r="BS45" s="1459"/>
      <c r="BT45" s="1459"/>
      <c r="BU45" s="1456" t="s">
        <v>996</v>
      </c>
      <c r="BV45" s="1456">
        <v>1</v>
      </c>
      <c r="BW45" s="1456">
        <v>3</v>
      </c>
      <c r="BX45" s="1456">
        <v>6</v>
      </c>
      <c r="BY45" s="1456">
        <v>13.625</v>
      </c>
      <c r="BZ45" s="1456">
        <v>21.25</v>
      </c>
      <c r="CA45" s="1456">
        <v>30</v>
      </c>
    </row>
    <row r="46" spans="1:79">
      <c r="A46" s="1208"/>
      <c r="B46" s="1171"/>
      <c r="C46" s="1171"/>
      <c r="D46" s="1171"/>
      <c r="E46" s="1171"/>
      <c r="F46" s="1171"/>
      <c r="G46" s="1171"/>
      <c r="H46" s="1171"/>
      <c r="I46" s="1171"/>
      <c r="J46" s="1171"/>
      <c r="K46" s="1175"/>
      <c r="L46" s="1168"/>
      <c r="M46" s="1168"/>
      <c r="N46" s="1168"/>
      <c r="O46" s="1168"/>
      <c r="P46" s="1168"/>
      <c r="Q46" s="1168"/>
      <c r="R46" s="1168"/>
      <c r="S46" s="1168"/>
      <c r="T46" s="1168"/>
      <c r="U46" s="1168"/>
      <c r="V46" s="1164"/>
      <c r="W46" s="1164"/>
      <c r="X46" s="1164"/>
      <c r="Y46" s="1164"/>
      <c r="Z46" s="1164"/>
      <c r="AA46" s="1164"/>
      <c r="AB46" s="1164"/>
      <c r="AC46" s="1164"/>
      <c r="AD46" s="1164"/>
      <c r="AE46" s="1164"/>
      <c r="AF46" s="1164"/>
      <c r="AG46" s="1164"/>
      <c r="AL46" s="1456"/>
      <c r="AM46" s="1456"/>
      <c r="AN46" s="1456"/>
      <c r="AO46" s="1456"/>
      <c r="AP46" s="1456"/>
      <c r="AQ46" s="1456"/>
      <c r="AR46" s="1456"/>
      <c r="AS46" s="1456" t="s">
        <v>1327</v>
      </c>
      <c r="AT46" s="1201" t="s">
        <v>2234</v>
      </c>
      <c r="AU46" s="1086">
        <v>4</v>
      </c>
      <c r="AV46" s="1086" t="s">
        <v>1006</v>
      </c>
      <c r="AW46" s="1086" t="s">
        <v>1007</v>
      </c>
      <c r="AX46" s="99">
        <v>0</v>
      </c>
      <c r="AY46" s="99">
        <v>2.1324999999999993E-2</v>
      </c>
      <c r="AZ46" s="99">
        <v>5.7550000000000032E-2</v>
      </c>
      <c r="BA46" s="99">
        <v>7.8350000000000017E-2</v>
      </c>
      <c r="BB46" s="99">
        <v>0.18432187499999997</v>
      </c>
      <c r="BC46" s="99">
        <v>0.29029375000000002</v>
      </c>
      <c r="BD46" s="99">
        <v>0.45099999999999996</v>
      </c>
      <c r="BF46" s="1483">
        <v>4</v>
      </c>
      <c r="BG46" s="1372">
        <f t="array" ref="BG46">INDEX(BG$35:BG$37,MATCH($BI$39,$BF$35:$BF$37,0)) * $BQ46</f>
        <v>0</v>
      </c>
      <c r="BH46" s="604">
        <f t="array" ref="BH46">INDEX(BH$35:BH$37,MATCH($BI$39,$BF$35:$BF$37,0)) * $BQ46</f>
        <v>1.5785359553484053E-2</v>
      </c>
      <c r="BI46" s="604">
        <f t="array" ref="BI46">INDEX(BI$35:BI$37,MATCH($BI$39,$BF$35:$BF$37,0)) * $BQ46</f>
        <v>4.8718766994153249E-2</v>
      </c>
      <c r="BJ46" s="604">
        <f t="array" ref="BJ46">INDEX(BJ$35:BJ$37,MATCH($BI$39,$BF$35:$BF$37,0)) * $BQ46</f>
        <v>0.1016558184173679</v>
      </c>
      <c r="BK46" s="604">
        <f t="array" ref="BK46">INDEX(BK$35:BK$37,MATCH($BI$39,$BF$35:$BF$37,0)) * $BQ46</f>
        <v>0.17524048302017711</v>
      </c>
      <c r="BL46" s="604">
        <f t="array" ref="BL46">INDEX(BL$35:BL$37,MATCH($BI$39,$BF$35:$BF$37,0)) * $BQ46</f>
        <v>0.25926331754795978</v>
      </c>
      <c r="BM46" s="604">
        <f t="array" ref="BM46">INDEX(BM$35:BM$37,MATCH($BI$39,$BF$35:$BF$37,0)) * $BQ46</f>
        <v>0.33612806760258312</v>
      </c>
      <c r="BN46" s="604">
        <f t="array" ref="BN46">INDEX(BN$35:BN$37,MATCH($BI$39,$BF$35:$BF$37,0)) * $BQ46</f>
        <v>0.3934336253493913</v>
      </c>
      <c r="BO46" s="604">
        <f t="array" ref="BO46">INDEX(BO$35:BO$37,MATCH($BI$39,$BF$35:$BF$37,0)) * $BQ46</f>
        <v>0.42997217838696022</v>
      </c>
      <c r="BP46" s="604">
        <f t="array" ref="BP46">INDEX(BP$35:BP$37,MATCH($BI$39,$BF$35:$BF$37,0)) * $BQ46</f>
        <v>0.45099999999999996</v>
      </c>
      <c r="BQ46" s="609">
        <f t="shared" si="7"/>
        <v>0.45099999999999996</v>
      </c>
      <c r="BR46" s="1484"/>
      <c r="BS46" s="1459"/>
      <c r="BT46" s="1459"/>
      <c r="BU46" s="1456" t="s">
        <v>97</v>
      </c>
      <c r="BV46" s="1456">
        <v>0.5</v>
      </c>
      <c r="BW46" s="1456">
        <v>1</v>
      </c>
      <c r="BX46" s="1456">
        <v>2</v>
      </c>
      <c r="BY46" s="1456">
        <v>15.1875</v>
      </c>
      <c r="BZ46" s="1456">
        <v>28.375</v>
      </c>
      <c r="CA46" s="1456">
        <v>50</v>
      </c>
    </row>
    <row r="47" spans="1:79">
      <c r="C47" s="1212"/>
      <c r="D47" s="1171"/>
      <c r="E47" s="1171"/>
      <c r="F47" s="1171"/>
      <c r="G47" s="1171"/>
      <c r="H47" s="1171"/>
      <c r="I47" s="1171"/>
      <c r="J47" s="1171"/>
      <c r="K47" s="1175"/>
      <c r="L47" s="1168"/>
      <c r="M47" s="1168"/>
      <c r="N47" s="1168"/>
      <c r="O47" s="1168"/>
      <c r="P47" s="1168"/>
      <c r="Q47" s="1168"/>
      <c r="R47" s="1168"/>
      <c r="S47" s="1168"/>
      <c r="T47" s="1168"/>
      <c r="U47" s="1168"/>
      <c r="V47" s="1164"/>
      <c r="W47" s="1164"/>
      <c r="X47" s="1164"/>
      <c r="Y47" s="1164"/>
      <c r="Z47" s="1164"/>
      <c r="AA47" s="1164"/>
      <c r="AB47" s="1164"/>
      <c r="AC47" s="1164"/>
      <c r="AD47" s="1164"/>
      <c r="AE47" s="1164"/>
      <c r="AF47" s="1164"/>
      <c r="AG47" s="1164"/>
      <c r="AL47" s="1456"/>
      <c r="AM47" s="1456"/>
      <c r="AN47" s="1456"/>
      <c r="AO47" s="1456"/>
      <c r="AP47" s="1456"/>
      <c r="AQ47" s="1456"/>
      <c r="AR47" s="1456"/>
      <c r="AS47" s="1456" t="s">
        <v>1327</v>
      </c>
      <c r="AT47" s="1201" t="s">
        <v>2234</v>
      </c>
      <c r="AU47" s="1086">
        <v>4</v>
      </c>
      <c r="AV47" s="1086" t="s">
        <v>1004</v>
      </c>
      <c r="AW47" s="1086" t="s">
        <v>1005</v>
      </c>
      <c r="AX47" s="99">
        <v>0</v>
      </c>
      <c r="AY47" s="99">
        <v>1.6350000000000035E-2</v>
      </c>
      <c r="AZ47" s="99">
        <v>5.3300000000000104E-2</v>
      </c>
      <c r="BA47" s="99">
        <v>7.6600000000000001E-2</v>
      </c>
      <c r="BB47" s="99">
        <v>0.19305625000000001</v>
      </c>
      <c r="BC47" s="99">
        <v>0.30951249999999991</v>
      </c>
      <c r="BD47" s="99">
        <v>0.48300000000000004</v>
      </c>
      <c r="BF47" s="1483">
        <v>4</v>
      </c>
      <c r="BG47" s="1372">
        <f t="array" ref="BG47">INDEX(BG$35:BG$37,MATCH($BI$39,$BF$35:$BF$37,0)) * $BQ47</f>
        <v>0</v>
      </c>
      <c r="BH47" s="604">
        <f t="array" ref="BH47">INDEX(BH$35:BH$37,MATCH($BI$39,$BF$35:$BF$37,0)) * $BQ47</f>
        <v>1.6905385065039465E-2</v>
      </c>
      <c r="BI47" s="604">
        <f t="array" ref="BI47">INDEX(BI$35:BI$37,MATCH($BI$39,$BF$35:$BF$37,0)) * $BQ47</f>
        <v>5.2175530949392514E-2</v>
      </c>
      <c r="BJ47" s="604">
        <f t="array" ref="BJ47">INDEX(BJ$35:BJ$37,MATCH($BI$39,$BF$35:$BF$37,0)) * $BQ47</f>
        <v>0.10886864810551819</v>
      </c>
      <c r="BK47" s="604">
        <f t="array" ref="BK47">INDEX(BK$35:BK$37,MATCH($BI$39,$BF$35:$BF$37,0)) * $BQ47</f>
        <v>0.18767439755819415</v>
      </c>
      <c r="BL47" s="604">
        <f t="array" ref="BL47">INDEX(BL$35:BL$37,MATCH($BI$39,$BF$35:$BF$37,0)) * $BQ47</f>
        <v>0.27765894096599686</v>
      </c>
      <c r="BM47" s="604">
        <f t="array" ref="BM47">INDEX(BM$35:BM$37,MATCH($BI$39,$BF$35:$BF$37,0)) * $BQ47</f>
        <v>0.35997750920631416</v>
      </c>
      <c r="BN47" s="604">
        <f t="array" ref="BN47">INDEX(BN$35:BN$37,MATCH($BI$39,$BF$35:$BF$37,0)) * $BQ47</f>
        <v>0.42134909322340586</v>
      </c>
      <c r="BO47" s="604">
        <f t="array" ref="BO47">INDEX(BO$35:BO$37,MATCH($BI$39,$BF$35:$BF$37,0)) * $BQ47</f>
        <v>0.46048018217494863</v>
      </c>
      <c r="BP47" s="604">
        <f t="array" ref="BP47">INDEX(BP$35:BP$37,MATCH($BI$39,$BF$35:$BF$37,0)) * $BQ47</f>
        <v>0.48300000000000004</v>
      </c>
      <c r="BQ47" s="609">
        <f t="shared" si="7"/>
        <v>0.48300000000000004</v>
      </c>
      <c r="BR47" s="1484"/>
      <c r="BS47" s="1459"/>
      <c r="BT47" s="1459"/>
      <c r="BU47" s="1456" t="s">
        <v>994</v>
      </c>
      <c r="BV47" s="1456">
        <v>8</v>
      </c>
      <c r="BW47" s="1456">
        <v>36</v>
      </c>
      <c r="BX47" s="1456">
        <v>40</v>
      </c>
      <c r="BY47" s="1456">
        <v>40</v>
      </c>
      <c r="BZ47" s="1456">
        <v>40</v>
      </c>
      <c r="CA47" s="1456">
        <v>40</v>
      </c>
    </row>
    <row r="48" spans="1:79">
      <c r="D48" s="1171"/>
      <c r="E48" s="1171"/>
      <c r="F48" s="1171"/>
      <c r="G48" s="1171"/>
      <c r="H48" s="1171"/>
      <c r="I48" s="1171"/>
      <c r="J48" s="1171"/>
      <c r="K48" s="1175"/>
      <c r="L48" s="1168"/>
      <c r="M48" s="1168"/>
      <c r="N48" s="1168"/>
      <c r="O48" s="1168"/>
      <c r="P48" s="1168"/>
      <c r="Q48" s="1168"/>
      <c r="R48" s="1168"/>
      <c r="S48" s="1168"/>
      <c r="T48" s="1168"/>
      <c r="U48" s="1168"/>
      <c r="V48" s="1164"/>
      <c r="W48" s="1164"/>
      <c r="X48" s="1164"/>
      <c r="Y48" s="1164"/>
      <c r="Z48" s="1164"/>
      <c r="AA48" s="1164"/>
      <c r="AB48" s="1164"/>
      <c r="AC48" s="1164"/>
      <c r="AD48" s="1164"/>
      <c r="AE48" s="1164"/>
      <c r="AF48" s="1164"/>
      <c r="AG48" s="1164"/>
      <c r="AL48" s="1456"/>
      <c r="AM48" s="1456"/>
      <c r="AN48" s="1456"/>
      <c r="AO48" s="1456"/>
      <c r="AP48" s="1456"/>
      <c r="AQ48" s="1456"/>
      <c r="AR48" s="1456"/>
      <c r="AS48" s="1456" t="s">
        <v>1327</v>
      </c>
      <c r="AT48" s="1201" t="s">
        <v>2234</v>
      </c>
      <c r="AU48" s="1086">
        <v>4</v>
      </c>
      <c r="AV48" s="1086" t="s">
        <v>1002</v>
      </c>
      <c r="AW48" s="1086" t="s">
        <v>1003</v>
      </c>
      <c r="AX48" s="99">
        <v>0</v>
      </c>
      <c r="AY48" s="99">
        <v>4.8400000000000089E-2</v>
      </c>
      <c r="AZ48" s="99">
        <v>0.11159999999999995</v>
      </c>
      <c r="BA48" s="99">
        <v>0.13169999999999996</v>
      </c>
      <c r="BB48" s="99">
        <v>0.246225</v>
      </c>
      <c r="BC48" s="99">
        <v>0.3607499999999999</v>
      </c>
      <c r="BD48" s="99">
        <v>0.52600000000000002</v>
      </c>
      <c r="BF48" s="1483">
        <v>4</v>
      </c>
      <c r="BG48" s="1372">
        <f t="array" ref="BG48">INDEX(BG$35:BG$37,MATCH($BI$39,$BF$35:$BF$37,0)) * $BQ48</f>
        <v>0</v>
      </c>
      <c r="BH48" s="604">
        <f t="array" ref="BH48">INDEX(BH$35:BH$37,MATCH($BI$39,$BF$35:$BF$37,0)) * $BQ48</f>
        <v>1.8410419346192048E-2</v>
      </c>
      <c r="BI48" s="604">
        <f t="array" ref="BI48">INDEX(BI$35:BI$37,MATCH($BI$39,$BF$35:$BF$37,0)) * $BQ48</f>
        <v>5.6820557514245258E-2</v>
      </c>
      <c r="BJ48" s="604">
        <f t="array" ref="BJ48">INDEX(BJ$35:BJ$37,MATCH($BI$39,$BF$35:$BF$37,0)) * $BQ48</f>
        <v>0.11856088799897012</v>
      </c>
      <c r="BK48" s="604">
        <f t="array" ref="BK48">INDEX(BK$35:BK$37,MATCH($BI$39,$BF$35:$BF$37,0)) * $BQ48</f>
        <v>0.20438247021865449</v>
      </c>
      <c r="BL48" s="604">
        <f t="array" ref="BL48">INDEX(BL$35:BL$37,MATCH($BI$39,$BF$35:$BF$37,0)) * $BQ48</f>
        <v>0.30237805993398414</v>
      </c>
      <c r="BM48" s="604">
        <f t="array" ref="BM48">INDEX(BM$35:BM$37,MATCH($BI$39,$BF$35:$BF$37,0)) * $BQ48</f>
        <v>0.3920251963613276</v>
      </c>
      <c r="BN48" s="604">
        <f t="array" ref="BN48">INDEX(BN$35:BN$37,MATCH($BI$39,$BF$35:$BF$37,0)) * $BQ48</f>
        <v>0.45886050317911276</v>
      </c>
      <c r="BO48" s="604">
        <f t="array" ref="BO48">INDEX(BO$35:BO$37,MATCH($BI$39,$BF$35:$BF$37,0)) * $BQ48</f>
        <v>0.50147531226505793</v>
      </c>
      <c r="BP48" s="604">
        <f t="array" ref="BP48">INDEX(BP$35:BP$37,MATCH($BI$39,$BF$35:$BF$37,0)) * $BQ48</f>
        <v>0.52600000000000002</v>
      </c>
      <c r="BQ48" s="609">
        <f t="shared" si="7"/>
        <v>0.52600000000000002</v>
      </c>
      <c r="BR48" s="1484"/>
      <c r="BS48" s="1459"/>
      <c r="BT48" s="508">
        <v>0.75</v>
      </c>
    </row>
    <row r="49" spans="1:79">
      <c r="D49" s="1171"/>
      <c r="E49" s="1171"/>
      <c r="F49" s="1171"/>
      <c r="G49" s="1171"/>
      <c r="H49" s="1171"/>
      <c r="I49" s="1171"/>
      <c r="J49" s="1171"/>
      <c r="K49" s="1175"/>
      <c r="L49" s="1168"/>
      <c r="M49" s="1168"/>
      <c r="N49" s="1168"/>
      <c r="O49" s="1168"/>
      <c r="P49" s="1168"/>
      <c r="Q49" s="1168"/>
      <c r="R49" s="1168"/>
      <c r="S49" s="1168"/>
      <c r="T49" s="1168"/>
      <c r="U49" s="1168"/>
      <c r="V49" s="1164"/>
      <c r="W49" s="1164"/>
      <c r="X49" s="1164"/>
      <c r="Y49" s="1164"/>
      <c r="Z49" s="1164"/>
      <c r="AA49" s="1164"/>
      <c r="AB49" s="1164"/>
      <c r="AC49" s="1164"/>
      <c r="AD49" s="1164"/>
      <c r="AE49" s="1164"/>
      <c r="AF49" s="1164"/>
      <c r="AG49" s="1164"/>
      <c r="AL49" s="1456"/>
      <c r="AM49" s="1456"/>
      <c r="AN49" s="1456"/>
      <c r="AO49" s="1456"/>
      <c r="AP49" s="1456"/>
      <c r="AQ49" s="1456"/>
      <c r="AR49" s="1456"/>
      <c r="AS49" s="1456" t="s">
        <v>1327</v>
      </c>
      <c r="AT49" s="1201" t="s">
        <v>2234</v>
      </c>
      <c r="AU49" s="483">
        <v>4</v>
      </c>
      <c r="AV49" s="483" t="s">
        <v>97</v>
      </c>
      <c r="AW49" s="483" t="s">
        <v>1001</v>
      </c>
      <c r="AX49" s="99">
        <v>0</v>
      </c>
      <c r="AY49" s="99">
        <v>2.5518500881476835E-2</v>
      </c>
      <c r="AZ49" s="99">
        <v>7.482826399724414E-2</v>
      </c>
      <c r="BA49" s="99">
        <v>9.9815193823583004E-2</v>
      </c>
      <c r="BB49" s="99">
        <v>0.21263322838355381</v>
      </c>
      <c r="BC49" s="99">
        <v>0.32545126294352472</v>
      </c>
      <c r="BD49" s="99">
        <v>0.49396948266428903</v>
      </c>
      <c r="BF49" s="1483">
        <v>4</v>
      </c>
      <c r="BG49" s="1372">
        <f t="array" ref="BG49">INDEX(BG$35:BG$37,MATCH($BI$39,$BF$35:$BF$37,0)) * $BQ49</f>
        <v>0</v>
      </c>
      <c r="BH49" s="604">
        <f t="array" ref="BH49">INDEX(BH$35:BH$37,MATCH($BI$39,$BF$35:$BF$37,0)) * $BQ49</f>
        <v>1.7289325703557231E-2</v>
      </c>
      <c r="BI49" s="604">
        <f t="array" ref="BI49">INDEX(BI$35:BI$37,MATCH($BI$39,$BF$35:$BF$37,0)) * $BQ49</f>
        <v>5.3360496958190513E-2</v>
      </c>
      <c r="BJ49" s="604">
        <f t="array" ref="BJ49">INDEX(BJ$35:BJ$37,MATCH($BI$39,$BF$35:$BF$37,0)) * $BQ49</f>
        <v>0.11134117967503798</v>
      </c>
      <c r="BK49" s="604">
        <f t="array" ref="BK49">INDEX(BK$35:BK$37,MATCH($BI$39,$BF$35:$BF$37,0)) * $BQ49</f>
        <v>0.19193669786988254</v>
      </c>
      <c r="BL49" s="604">
        <f t="array" ref="BL49">INDEX(BL$35:BL$37,MATCH($BI$39,$BF$35:$BF$37,0)) * $BQ49</f>
        <v>0.28396489322171392</v>
      </c>
      <c r="BM49" s="604">
        <f t="array" ref="BM49">INDEX(BM$35:BM$37,MATCH($BI$39,$BF$35:$BF$37,0)) * $BQ49</f>
        <v>0.36815301033834852</v>
      </c>
      <c r="BN49" s="604">
        <f t="array" ref="BN49">INDEX(BN$35:BN$37,MATCH($BI$39,$BF$35:$BF$37,0)) * $BQ49</f>
        <v>0.43091841325182828</v>
      </c>
      <c r="BO49" s="604">
        <f t="array" ref="BO49">INDEX(BO$35:BO$37,MATCH($BI$39,$BF$35:$BF$37,0)) * $BQ49</f>
        <v>0.47093821400852365</v>
      </c>
      <c r="BP49" s="604">
        <f t="array" ref="BP49">INDEX(BP$35:BP$37,MATCH($BI$39,$BF$35:$BF$37,0)) * $BQ49</f>
        <v>0.49396948266428903</v>
      </c>
      <c r="BQ49" s="609">
        <f t="shared" si="7"/>
        <v>0.49396948266428903</v>
      </c>
      <c r="BR49" s="1484"/>
      <c r="BS49" s="1459">
        <v>3</v>
      </c>
      <c r="BT49" s="1459" t="s">
        <v>2244</v>
      </c>
      <c r="BU49" s="1456"/>
      <c r="BW49" s="1456" t="s">
        <v>2222</v>
      </c>
      <c r="BX49" s="1456"/>
      <c r="BY49" s="1456"/>
      <c r="BZ49" s="1456"/>
    </row>
    <row r="50" spans="1:79">
      <c r="C50" s="1171"/>
      <c r="D50" s="1171"/>
      <c r="E50" s="1171"/>
      <c r="F50" s="1171"/>
      <c r="G50" s="1171"/>
      <c r="H50" s="1171"/>
      <c r="I50" s="1171"/>
      <c r="J50" s="1171"/>
      <c r="K50" s="1175"/>
      <c r="L50" s="1168"/>
      <c r="M50" s="1168"/>
      <c r="N50" s="1168"/>
      <c r="O50" s="1168"/>
      <c r="P50" s="1168"/>
      <c r="Q50" s="1168"/>
      <c r="R50" s="1168"/>
      <c r="S50" s="1168"/>
      <c r="T50" s="1168"/>
      <c r="U50" s="1168"/>
      <c r="V50" s="1164"/>
      <c r="W50" s="1164"/>
      <c r="X50" s="1164"/>
      <c r="Y50" s="1164"/>
      <c r="Z50" s="1164"/>
      <c r="AA50" s="1164"/>
      <c r="AB50" s="1164"/>
      <c r="AC50" s="1164"/>
      <c r="AD50" s="1164"/>
      <c r="AE50" s="1164"/>
      <c r="AF50" s="1164"/>
      <c r="AG50" s="1164"/>
      <c r="AW50" s="602" t="s">
        <v>102</v>
      </c>
      <c r="AX50" s="1471">
        <v>0</v>
      </c>
      <c r="AY50" s="1471">
        <v>3.3773737185951572E-2</v>
      </c>
      <c r="AZ50" s="1471">
        <v>0.11301693892313694</v>
      </c>
      <c r="BA50" s="1471">
        <v>0.1386133224635798</v>
      </c>
      <c r="BB50" s="1471">
        <v>0.23072457700257443</v>
      </c>
      <c r="BC50" s="1471">
        <v>0.32175859500935072</v>
      </c>
      <c r="BD50" s="1471">
        <v>0.45816828488626782</v>
      </c>
      <c r="BF50" s="1473"/>
      <c r="BG50" s="1454"/>
      <c r="BH50" s="1454"/>
      <c r="BI50" s="1454"/>
      <c r="BJ50" s="1454"/>
      <c r="BK50" s="1454"/>
      <c r="BL50" s="1454"/>
      <c r="BM50" s="1454"/>
      <c r="BN50" s="1454"/>
      <c r="BO50" s="1454"/>
      <c r="BP50" s="1455"/>
      <c r="BQ50" s="1486"/>
      <c r="BR50" s="1484"/>
      <c r="BS50" s="1459"/>
      <c r="BT50" s="1459" t="s">
        <v>110</v>
      </c>
      <c r="BU50" s="1456" t="s">
        <v>2223</v>
      </c>
      <c r="BV50" s="1456">
        <v>2012</v>
      </c>
      <c r="BW50" s="1456">
        <v>2016</v>
      </c>
      <c r="BX50" s="1456">
        <v>2020</v>
      </c>
      <c r="BY50" s="1456">
        <v>2024</v>
      </c>
      <c r="BZ50" s="1456">
        <v>2028</v>
      </c>
      <c r="CA50" s="1456">
        <v>2032</v>
      </c>
    </row>
    <row r="51" spans="1:79">
      <c r="B51" s="1212"/>
      <c r="C51" s="1212"/>
      <c r="D51" s="1171"/>
      <c r="E51" s="1171"/>
      <c r="F51" s="1171"/>
      <c r="G51" s="1171"/>
      <c r="H51" s="1171"/>
      <c r="I51" s="1171"/>
      <c r="J51" s="1171"/>
      <c r="K51" s="1175"/>
      <c r="L51" s="1168"/>
      <c r="M51" s="1168"/>
      <c r="N51" s="1168"/>
      <c r="O51" s="1168"/>
      <c r="P51" s="1168"/>
      <c r="Q51" s="1168"/>
      <c r="R51" s="1168"/>
      <c r="S51" s="1168"/>
      <c r="T51" s="1168"/>
      <c r="U51" s="1168"/>
      <c r="V51" s="1164"/>
      <c r="W51" s="1164"/>
      <c r="X51" s="1164"/>
      <c r="Y51" s="1164"/>
      <c r="Z51" s="1164"/>
      <c r="AA51" s="1164"/>
      <c r="AB51" s="1164"/>
      <c r="AC51" s="1164"/>
      <c r="AD51" s="1164"/>
      <c r="AE51" s="1164"/>
      <c r="AF51" s="1164"/>
      <c r="AG51" s="1164"/>
      <c r="AH51" s="483"/>
      <c r="AJ51" s="483"/>
      <c r="AS51" s="1456" t="s">
        <v>1327</v>
      </c>
      <c r="AT51" s="1201" t="s">
        <v>2233</v>
      </c>
      <c r="AU51" s="1086">
        <v>3</v>
      </c>
      <c r="AV51" s="1086" t="s">
        <v>1014</v>
      </c>
      <c r="AW51" s="1086" t="s">
        <v>1015</v>
      </c>
      <c r="AX51" s="99">
        <v>0</v>
      </c>
      <c r="AY51" s="99">
        <v>2.979351042512866E-2</v>
      </c>
      <c r="AZ51" s="99">
        <v>6.9139113042693517E-2</v>
      </c>
      <c r="BA51" s="99">
        <v>9.2171597869843858E-2</v>
      </c>
      <c r="BB51" s="99">
        <v>0.15592205219672353</v>
      </c>
      <c r="BC51" s="99">
        <v>0.24256590599106423</v>
      </c>
      <c r="BD51" s="99">
        <v>0.37139175643108602</v>
      </c>
      <c r="BF51" s="1483">
        <v>3</v>
      </c>
      <c r="BG51" s="1453">
        <f t="array" ref="BG51">INDEX(BG$35:BG$37,MATCH($BI$39,$BF$35:$BF$37,0)) * $BQ51</f>
        <v>0</v>
      </c>
      <c r="BH51" s="1453">
        <f t="array" ref="BH51">INDEX(BH$35:BH$37,MATCH($BI$39,$BF$35:$BF$37,0)) * $BQ51</f>
        <v>1.2999007562005912E-2</v>
      </c>
      <c r="BI51" s="1453">
        <f t="array" ref="BI51">INDEX(BI$35:BI$37,MATCH($BI$39,$BF$35:$BF$37,0)) * $BQ51</f>
        <v>4.0119176153249218E-2</v>
      </c>
      <c r="BJ51" s="1453">
        <f t="array" ref="BJ51">INDEX(BJ$35:BJ$37,MATCH($BI$39,$BF$35:$BF$37,0)) * $BQ51</f>
        <v>8.3712046460012887E-2</v>
      </c>
      <c r="BK51" s="1453">
        <f t="array" ref="BK51">INDEX(BK$35:BK$37,MATCH($BI$39,$BF$35:$BF$37,0)) * $BQ51</f>
        <v>0.14430791748712971</v>
      </c>
      <c r="BL51" s="1453">
        <f t="array" ref="BL51">INDEX(BL$35:BL$37,MATCH($BI$39,$BF$35:$BF$37,0)) * $BQ51</f>
        <v>0.21349946537092504</v>
      </c>
      <c r="BM51" s="1453">
        <f t="array" ref="BM51">INDEX(BM$35:BM$37,MATCH($BI$39,$BF$35:$BF$37,0)) * $BQ51</f>
        <v>0.27679643772219553</v>
      </c>
      <c r="BN51" s="1453">
        <f t="array" ref="BN51">INDEX(BN$35:BN$37,MATCH($BI$39,$BF$35:$BF$37,0)) * $BQ51</f>
        <v>0.32398670766643084</v>
      </c>
      <c r="BO51" s="1453">
        <f t="array" ref="BO51">INDEX(BO$35:BO$37,MATCH($BI$39,$BF$35:$BF$37,0)) * $BQ51</f>
        <v>0.35407565975085015</v>
      </c>
      <c r="BP51" s="1453">
        <f t="array" ref="BP51">INDEX(BP$35:BP$37,MATCH($BI$39,$BF$35:$BF$37,0)) * $BQ51</f>
        <v>0.37139175643108602</v>
      </c>
      <c r="BQ51" s="609">
        <f t="shared" ref="BQ51:BQ58" si="8">BD51</f>
        <v>0.37139175643108602</v>
      </c>
      <c r="BR51" s="1484"/>
      <c r="BS51" s="1459"/>
      <c r="BT51" s="1459" t="s">
        <v>2224</v>
      </c>
      <c r="BU51" s="1456" t="s">
        <v>1310</v>
      </c>
      <c r="BV51" s="1456">
        <v>0</v>
      </c>
      <c r="BW51" s="1456">
        <v>0</v>
      </c>
      <c r="BX51" s="1456">
        <v>0</v>
      </c>
      <c r="BY51" s="1456">
        <f t="shared" ref="BY51:CA59" si="9">$BT$48*BY38</f>
        <v>0</v>
      </c>
      <c r="BZ51" s="1456">
        <f t="shared" si="9"/>
        <v>0</v>
      </c>
      <c r="CA51" s="1456">
        <f t="shared" si="9"/>
        <v>0</v>
      </c>
    </row>
    <row r="52" spans="1:79">
      <c r="A52" s="1209"/>
      <c r="B52" s="1175"/>
      <c r="C52" s="1171"/>
      <c r="D52" s="1210"/>
      <c r="E52" s="1171"/>
      <c r="F52" s="1171"/>
      <c r="G52" s="1171"/>
      <c r="H52" s="1171"/>
      <c r="I52" s="1164"/>
      <c r="J52" s="1171"/>
      <c r="K52" s="1175"/>
      <c r="L52" s="1168"/>
      <c r="M52" s="1168"/>
      <c r="N52" s="1168"/>
      <c r="O52" s="1168"/>
      <c r="P52" s="1168"/>
      <c r="Q52" s="1168"/>
      <c r="R52" s="1168"/>
      <c r="S52" s="1168"/>
      <c r="T52" s="1168"/>
      <c r="U52" s="1168"/>
      <c r="V52" s="1164"/>
      <c r="W52" s="1164"/>
      <c r="X52" s="1164"/>
      <c r="Y52" s="1164"/>
      <c r="Z52" s="1164"/>
      <c r="AA52" s="1164"/>
      <c r="AB52" s="1164"/>
      <c r="AC52" s="1164"/>
      <c r="AD52" s="1164"/>
      <c r="AE52" s="1164"/>
      <c r="AF52" s="1164"/>
      <c r="AG52" s="1164"/>
      <c r="AH52" s="483"/>
      <c r="AJ52" s="483"/>
      <c r="AS52" s="1456" t="s">
        <v>1327</v>
      </c>
      <c r="AT52" s="1201" t="s">
        <v>2233</v>
      </c>
      <c r="AU52" s="1086">
        <v>3</v>
      </c>
      <c r="AV52" s="1086" t="s">
        <v>1012</v>
      </c>
      <c r="AW52" s="1086" t="s">
        <v>1013</v>
      </c>
      <c r="AX52" s="99">
        <v>0</v>
      </c>
      <c r="AY52" s="99">
        <v>1.1274999999999995E-2</v>
      </c>
      <c r="AZ52" s="99">
        <v>4.1200000000000077E-2</v>
      </c>
      <c r="BA52" s="99">
        <v>6.3449999999999937E-2</v>
      </c>
      <c r="BB52" s="99">
        <v>0.12312421874999994</v>
      </c>
      <c r="BC52" s="99">
        <v>0.1986609375</v>
      </c>
      <c r="BD52" s="99">
        <v>0.31612499999999993</v>
      </c>
      <c r="BF52" s="1483">
        <v>3</v>
      </c>
      <c r="BG52" s="1453">
        <f t="array" ref="BG52">INDEX(BG$35:BG$37,MATCH($BI$39,$BF$35:$BF$37,0)) * $BQ52</f>
        <v>0</v>
      </c>
      <c r="BH52" s="1453">
        <f t="array" ref="BH52">INDEX(BH$35:BH$37,MATCH($BI$39,$BF$35:$BF$37,0)) * $BQ52</f>
        <v>1.1064627026264181E-2</v>
      </c>
      <c r="BI52" s="1453">
        <f t="array" ref="BI52">INDEX(BI$35:BI$37,MATCH($BI$39,$BF$35:$BF$37,0)) * $BQ52</f>
        <v>3.414904704218779E-2</v>
      </c>
      <c r="BJ52" s="1453">
        <f t="array" ref="BJ52">INDEX(BJ$35:BJ$37,MATCH($BI$39,$BF$35:$BF$37,0)) * $BQ52</f>
        <v>7.1254868286453263E-2</v>
      </c>
      <c r="BK52" s="1453">
        <f t="array" ref="BK52">INDEX(BK$35:BK$37,MATCH($BI$39,$BF$35:$BF$37,0)) * $BQ52</f>
        <v>0.12283347604158201</v>
      </c>
      <c r="BL52" s="1453">
        <f t="array" ref="BL52">INDEX(BL$35:BL$37,MATCH($BI$39,$BF$35:$BF$37,0)) * $BQ52</f>
        <v>0.18172863915709261</v>
      </c>
      <c r="BM52" s="1453">
        <f t="array" ref="BM52">INDEX(BM$35:BM$37,MATCH($BI$39,$BF$35:$BF$37,0)) * $BQ52</f>
        <v>0.23560639771810771</v>
      </c>
      <c r="BN52" s="1453">
        <f t="array" ref="BN52">INDEX(BN$35:BN$37,MATCH($BI$39,$BF$35:$BF$37,0)) * $BQ52</f>
        <v>0.27577429005227566</v>
      </c>
      <c r="BO52" s="1453">
        <f t="array" ref="BO52">INDEX(BO$35:BO$37,MATCH($BI$39,$BF$35:$BF$37,0)) * $BQ52</f>
        <v>0.30138570929618136</v>
      </c>
      <c r="BP52" s="1453">
        <f t="array" ref="BP52">INDEX(BP$35:BP$37,MATCH($BI$39,$BF$35:$BF$37,0)) * $BQ52</f>
        <v>0.31612499999999993</v>
      </c>
      <c r="BQ52" s="609">
        <f t="shared" si="8"/>
        <v>0.31612499999999993</v>
      </c>
      <c r="BR52" s="1484"/>
      <c r="BS52" s="1459"/>
      <c r="BT52" s="1459"/>
      <c r="BU52" s="1456" t="s">
        <v>1312</v>
      </c>
      <c r="BV52" s="1456">
        <v>0</v>
      </c>
      <c r="BW52" s="1456">
        <v>3</v>
      </c>
      <c r="BX52" s="1456">
        <v>6</v>
      </c>
      <c r="BY52" s="1456">
        <f t="shared" si="9"/>
        <v>9.5625</v>
      </c>
      <c r="BZ52" s="1456">
        <f t="shared" si="9"/>
        <v>14.625</v>
      </c>
      <c r="CA52" s="1456">
        <f t="shared" si="9"/>
        <v>22.5</v>
      </c>
    </row>
    <row r="53" spans="1:79">
      <c r="A53" s="1209"/>
      <c r="B53" s="1175"/>
      <c r="C53" s="1171"/>
      <c r="D53" s="1210"/>
      <c r="E53" s="1171"/>
      <c r="F53" s="1171"/>
      <c r="G53" s="1171"/>
      <c r="H53" s="1171"/>
      <c r="J53" s="1171"/>
      <c r="K53" s="1175"/>
      <c r="L53" s="1168"/>
      <c r="M53" s="1168"/>
      <c r="N53" s="1168"/>
      <c r="O53" s="1168"/>
      <c r="P53" s="1168"/>
      <c r="Q53" s="1168"/>
      <c r="R53" s="1168"/>
      <c r="S53" s="1168"/>
      <c r="T53" s="1168"/>
      <c r="U53" s="1168"/>
      <c r="V53" s="1164"/>
      <c r="W53" s="1164"/>
      <c r="X53" s="1164"/>
      <c r="Y53" s="1164"/>
      <c r="Z53" s="1164"/>
      <c r="AA53" s="1164"/>
      <c r="AB53" s="1164"/>
      <c r="AC53" s="1164"/>
      <c r="AD53" s="1164"/>
      <c r="AE53" s="1164"/>
      <c r="AF53" s="1164"/>
      <c r="AG53" s="1164"/>
      <c r="AH53" s="483"/>
      <c r="AJ53" s="483"/>
      <c r="AS53" s="1456" t="s">
        <v>1327</v>
      </c>
      <c r="AT53" s="1201" t="s">
        <v>2233</v>
      </c>
      <c r="AU53" s="1086">
        <v>3</v>
      </c>
      <c r="AV53" s="1086" t="s">
        <v>1010</v>
      </c>
      <c r="AW53" s="1086" t="s">
        <v>1011</v>
      </c>
      <c r="AX53" s="99">
        <v>0</v>
      </c>
      <c r="AY53" s="99">
        <v>3.2600000000000046E-2</v>
      </c>
      <c r="AZ53" s="99">
        <v>7.3500000000000079E-2</v>
      </c>
      <c r="BA53" s="99">
        <v>9.1499999999999984E-2</v>
      </c>
      <c r="BB53" s="99">
        <v>0.15362500000000004</v>
      </c>
      <c r="BC53" s="99">
        <v>0.23342500000000002</v>
      </c>
      <c r="BD53" s="99">
        <v>0.35124999999999995</v>
      </c>
      <c r="BF53" s="1483">
        <v>3</v>
      </c>
      <c r="BG53" s="1453">
        <f t="array" ref="BG53">INDEX(BG$35:BG$37,MATCH($BI$39,$BF$35:$BF$37,0)) * $BQ53</f>
        <v>0</v>
      </c>
      <c r="BH53" s="1453">
        <f t="array" ref="BH53">INDEX(BH$35:BH$37,MATCH($BI$39,$BF$35:$BF$37,0)) * $BQ53</f>
        <v>1.2294030029182425E-2</v>
      </c>
      <c r="BI53" s="1453">
        <f t="array" ref="BI53">INDEX(BI$35:BI$37,MATCH($BI$39,$BF$35:$BF$37,0)) * $BQ53</f>
        <v>3.7943385602430886E-2</v>
      </c>
      <c r="BJ53" s="1453">
        <f t="array" ref="BJ53">INDEX(BJ$35:BJ$37,MATCH($BI$39,$BF$35:$BF$37,0)) * $BQ53</f>
        <v>7.917207587383697E-2</v>
      </c>
      <c r="BK53" s="1453">
        <f t="array" ref="BK53">INDEX(BK$35:BK$37,MATCH($BI$39,$BF$35:$BF$37,0)) * $BQ53</f>
        <v>0.13648164004620225</v>
      </c>
      <c r="BL53" s="1453">
        <f t="array" ref="BL53">INDEX(BL$35:BL$37,MATCH($BI$39,$BF$35:$BF$37,0)) * $BQ53</f>
        <v>0.20192071017454735</v>
      </c>
      <c r="BM53" s="1453">
        <f t="array" ref="BM53">INDEX(BM$35:BM$37,MATCH($BI$39,$BF$35:$BF$37,0)) * $BQ53</f>
        <v>0.26178488635345304</v>
      </c>
      <c r="BN53" s="1453">
        <f t="array" ref="BN53">INDEX(BN$35:BN$37,MATCH($BI$39,$BF$35:$BF$37,0)) * $BQ53</f>
        <v>0.30641587783586183</v>
      </c>
      <c r="BO53" s="1453">
        <f t="array" ref="BO53">INDEX(BO$35:BO$37,MATCH($BI$39,$BF$35:$BF$37,0)) * $BQ53</f>
        <v>0.33487301032909039</v>
      </c>
      <c r="BP53" s="1453">
        <f t="array" ref="BP53">INDEX(BP$35:BP$37,MATCH($BI$39,$BF$35:$BF$37,0)) * $BQ53</f>
        <v>0.35124999999999995</v>
      </c>
      <c r="BQ53" s="609">
        <f t="shared" si="8"/>
        <v>0.35124999999999995</v>
      </c>
      <c r="BR53" s="1484"/>
      <c r="BS53" s="1459"/>
      <c r="BT53" s="1459"/>
      <c r="BU53" s="1456" t="s">
        <v>1311</v>
      </c>
      <c r="BV53" s="1456">
        <v>10</v>
      </c>
      <c r="BW53" s="1456">
        <v>16</v>
      </c>
      <c r="BX53" s="1456">
        <v>18</v>
      </c>
      <c r="BY53" s="1456">
        <f t="shared" si="9"/>
        <v>20.625</v>
      </c>
      <c r="BZ53" s="1456">
        <f t="shared" si="9"/>
        <v>27.75</v>
      </c>
      <c r="CA53" s="1456">
        <f t="shared" si="9"/>
        <v>37.5</v>
      </c>
    </row>
    <row r="54" spans="1:79">
      <c r="A54" s="1209"/>
      <c r="B54" s="1175"/>
      <c r="C54" s="1211"/>
      <c r="D54" s="1210"/>
      <c r="E54" s="1171"/>
      <c r="F54" s="1171"/>
      <c r="G54" s="1171"/>
      <c r="H54" s="1171"/>
      <c r="J54" s="1171"/>
      <c r="K54" s="1175"/>
      <c r="L54" s="1168"/>
      <c r="M54" s="1168"/>
      <c r="N54" s="1168"/>
      <c r="O54" s="1168"/>
      <c r="P54" s="1168"/>
      <c r="Q54" s="1168"/>
      <c r="R54" s="1168"/>
      <c r="S54" s="1168"/>
      <c r="T54" s="1168"/>
      <c r="U54" s="1168"/>
      <c r="V54" s="1164"/>
      <c r="W54" s="1164"/>
      <c r="X54" s="1164"/>
      <c r="Y54" s="1164"/>
      <c r="Z54" s="1164"/>
      <c r="AA54" s="1164"/>
      <c r="AB54" s="1164"/>
      <c r="AC54" s="1164"/>
      <c r="AD54" s="1164"/>
      <c r="AE54" s="1164"/>
      <c r="AF54" s="1164"/>
      <c r="AG54" s="1164"/>
      <c r="AH54" s="483"/>
      <c r="AJ54" s="483"/>
      <c r="AS54" s="1456" t="s">
        <v>1327</v>
      </c>
      <c r="AT54" s="1201" t="s">
        <v>2233</v>
      </c>
      <c r="AU54" s="1086">
        <v>3</v>
      </c>
      <c r="AV54" s="1086" t="s">
        <v>1008</v>
      </c>
      <c r="AW54" s="1086" t="s">
        <v>1009</v>
      </c>
      <c r="AX54" s="99">
        <v>0</v>
      </c>
      <c r="AY54" s="99">
        <v>9.1449999999999962E-2</v>
      </c>
      <c r="AZ54" s="99">
        <v>0.14949999999999997</v>
      </c>
      <c r="BA54" s="99">
        <v>0.16980000000000003</v>
      </c>
      <c r="BB54" s="99">
        <v>0.19494843749999999</v>
      </c>
      <c r="BC54" s="99">
        <v>0.20404687499999999</v>
      </c>
      <c r="BD54" s="99">
        <v>0.21825000000000003</v>
      </c>
      <c r="BF54" s="1483">
        <v>3</v>
      </c>
      <c r="BG54" s="1453">
        <f t="array" ref="BG54">INDEX(BG$35:BG$37,MATCH($BI$39,$BF$35:$BF$37,0)) * $BQ54</f>
        <v>0</v>
      </c>
      <c r="BH54" s="1453">
        <f t="array" ref="BH54">INDEX(BH$35:BH$37,MATCH($BI$39,$BF$35:$BF$37,0)) * $BQ54</f>
        <v>7.6389239967802561E-3</v>
      </c>
      <c r="BI54" s="1453">
        <f t="array" ref="BI54">INDEX(BI$35:BI$37,MATCH($BI$39,$BF$35:$BF$37,0)) * $BQ54</f>
        <v>2.3576210413467736E-2</v>
      </c>
      <c r="BJ54" s="1453">
        <f t="array" ref="BJ54">INDEX(BJ$35:BJ$37,MATCH($BI$39,$BF$35:$BF$37,0)) * $BQ54</f>
        <v>4.9193752482462418E-2</v>
      </c>
      <c r="BK54" s="1453">
        <f t="array" ref="BK54">INDEX(BK$35:BK$37,MATCH($BI$39,$BF$35:$BF$37,0)) * $BQ54</f>
        <v>8.4803182747569109E-2</v>
      </c>
      <c r="BL54" s="1453">
        <f t="array" ref="BL54">INDEX(BL$35:BL$37,MATCH($BI$39,$BF$35:$BF$37,0)) * $BQ54</f>
        <v>0.12546390034333088</v>
      </c>
      <c r="BM54" s="1453">
        <f t="array" ref="BM54">INDEX(BM$35:BM$37,MATCH($BI$39,$BF$35:$BF$37,0)) * $BQ54</f>
        <v>0.1626606446879463</v>
      </c>
      <c r="BN54" s="1453">
        <f t="array" ref="BN54">INDEX(BN$35:BN$37,MATCH($BI$39,$BF$35:$BF$37,0)) * $BQ54</f>
        <v>0.19039221448448929</v>
      </c>
      <c r="BO54" s="1453">
        <f t="array" ref="BO54">INDEX(BO$35:BO$37,MATCH($BI$39,$BF$35:$BF$37,0)) * $BQ54</f>
        <v>0.20807411958526406</v>
      </c>
      <c r="BP54" s="1453">
        <f t="array" ref="BP54">INDEX(BP$35:BP$37,MATCH($BI$39,$BF$35:$BF$37,0)) * $BQ54</f>
        <v>0.21825000000000003</v>
      </c>
      <c r="BQ54" s="609">
        <f t="shared" si="8"/>
        <v>0.21825000000000003</v>
      </c>
      <c r="BR54" s="1484"/>
      <c r="BS54" s="1459"/>
      <c r="BT54" s="1459"/>
      <c r="BU54" s="1456" t="s">
        <v>96</v>
      </c>
      <c r="BV54" s="1456">
        <v>8</v>
      </c>
      <c r="BW54" s="1456">
        <v>36</v>
      </c>
      <c r="BX54" s="1456">
        <v>40</v>
      </c>
      <c r="BY54" s="1456">
        <f t="shared" si="9"/>
        <v>39.375</v>
      </c>
      <c r="BZ54" s="1456">
        <f t="shared" si="9"/>
        <v>48.75</v>
      </c>
      <c r="CA54" s="1456">
        <f t="shared" si="9"/>
        <v>60</v>
      </c>
    </row>
    <row r="55" spans="1:79">
      <c r="A55" s="1209"/>
      <c r="B55" s="1175"/>
      <c r="C55" s="1211"/>
      <c r="D55" s="1210"/>
      <c r="E55" s="1171"/>
      <c r="F55" s="1171"/>
      <c r="G55" s="1171"/>
      <c r="H55" s="1171"/>
      <c r="I55" s="1164"/>
      <c r="J55" s="1171"/>
      <c r="K55" s="1175"/>
      <c r="L55" s="1168"/>
      <c r="M55" s="1168"/>
      <c r="N55" s="1168"/>
      <c r="O55" s="1168"/>
      <c r="P55" s="1168"/>
      <c r="Q55" s="1168"/>
      <c r="R55" s="1168"/>
      <c r="S55" s="1168"/>
      <c r="T55" s="1168"/>
      <c r="U55" s="1168"/>
      <c r="V55" s="1164"/>
      <c r="W55" s="1164"/>
      <c r="X55" s="1164"/>
      <c r="Y55" s="1164"/>
      <c r="Z55" s="1164"/>
      <c r="AA55" s="1164"/>
      <c r="AB55" s="1164"/>
      <c r="AC55" s="1164"/>
      <c r="AD55" s="1164"/>
      <c r="AE55" s="1164"/>
      <c r="AF55" s="1164"/>
      <c r="AG55" s="1164"/>
      <c r="AH55" s="483"/>
      <c r="AJ55" s="483"/>
      <c r="AS55" s="1456" t="s">
        <v>1327</v>
      </c>
      <c r="AT55" s="1201" t="s">
        <v>2233</v>
      </c>
      <c r="AU55" s="1086">
        <v>3</v>
      </c>
      <c r="AV55" s="1086" t="s">
        <v>1006</v>
      </c>
      <c r="AW55" s="1086" t="s">
        <v>1007</v>
      </c>
      <c r="AX55" s="99">
        <v>0</v>
      </c>
      <c r="AY55" s="99">
        <v>2.1324999999999993E-2</v>
      </c>
      <c r="AZ55" s="99">
        <v>5.7550000000000032E-2</v>
      </c>
      <c r="BA55" s="99">
        <v>7.8350000000000017E-2</v>
      </c>
      <c r="BB55" s="99">
        <v>0.13824140625</v>
      </c>
      <c r="BC55" s="99">
        <v>0.21772031249999996</v>
      </c>
      <c r="BD55" s="99">
        <v>0.33824999999999994</v>
      </c>
      <c r="BF55" s="1483">
        <v>3</v>
      </c>
      <c r="BG55" s="1453">
        <f t="array" ref="BG55">INDEX(BG$35:BG$37,MATCH($BI$39,$BF$35:$BF$37,0)) * $BQ55</f>
        <v>0</v>
      </c>
      <c r="BH55" s="1453">
        <f t="array" ref="BH55">INDEX(BH$35:BH$37,MATCH($BI$39,$BF$35:$BF$37,0)) * $BQ55</f>
        <v>1.1839019665113039E-2</v>
      </c>
      <c r="BI55" s="1453">
        <f t="array" ref="BI55">INDEX(BI$35:BI$37,MATCH($BI$39,$BF$35:$BF$37,0)) * $BQ55</f>
        <v>3.6539075245614935E-2</v>
      </c>
      <c r="BJ55" s="1453">
        <f t="array" ref="BJ55">INDEX(BJ$35:BJ$37,MATCH($BI$39,$BF$35:$BF$37,0)) * $BQ55</f>
        <v>7.6241863813025917E-2</v>
      </c>
      <c r="BK55" s="1453">
        <f t="array" ref="BK55">INDEX(BK$35:BK$37,MATCH($BI$39,$BF$35:$BF$37,0)) * $BQ55</f>
        <v>0.13143036226513283</v>
      </c>
      <c r="BL55" s="1453">
        <f t="array" ref="BL55">INDEX(BL$35:BL$37,MATCH($BI$39,$BF$35:$BF$37,0)) * $BQ55</f>
        <v>0.19444748816096979</v>
      </c>
      <c r="BM55" s="1453">
        <f t="array" ref="BM55">INDEX(BM$35:BM$37,MATCH($BI$39,$BF$35:$BF$37,0)) * $BQ55</f>
        <v>0.2520960507019373</v>
      </c>
      <c r="BN55" s="1453">
        <f t="array" ref="BN55">INDEX(BN$35:BN$37,MATCH($BI$39,$BF$35:$BF$37,0)) * $BQ55</f>
        <v>0.29507521901204348</v>
      </c>
      <c r="BO55" s="1453">
        <f t="array" ref="BO55">INDEX(BO$35:BO$37,MATCH($BI$39,$BF$35:$BF$37,0)) * $BQ55</f>
        <v>0.32247913379022014</v>
      </c>
      <c r="BP55" s="1453">
        <f t="array" ref="BP55">INDEX(BP$35:BP$37,MATCH($BI$39,$BF$35:$BF$37,0)) * $BQ55</f>
        <v>0.33824999999999994</v>
      </c>
      <c r="BQ55" s="609">
        <f t="shared" si="8"/>
        <v>0.33824999999999994</v>
      </c>
      <c r="BR55" s="1484"/>
      <c r="BS55" s="1459"/>
      <c r="BT55" s="1459"/>
      <c r="BU55" s="1456" t="s">
        <v>438</v>
      </c>
      <c r="BV55" s="1456">
        <v>1</v>
      </c>
      <c r="BW55" s="1456">
        <v>3</v>
      </c>
      <c r="BX55" s="1456">
        <v>6</v>
      </c>
      <c r="BY55" s="1456">
        <f t="shared" si="9"/>
        <v>13.96875</v>
      </c>
      <c r="BZ55" s="1456">
        <f t="shared" si="9"/>
        <v>23.4375</v>
      </c>
      <c r="CA55" s="1456">
        <f t="shared" si="9"/>
        <v>37.5</v>
      </c>
    </row>
    <row r="56" spans="1:79">
      <c r="A56" s="1209"/>
      <c r="B56" s="1175"/>
      <c r="C56" s="1171"/>
      <c r="D56" s="1171"/>
      <c r="E56" s="1171"/>
      <c r="F56" s="1171"/>
      <c r="G56" s="1171"/>
      <c r="H56" s="1171"/>
      <c r="I56" s="1171"/>
      <c r="J56" s="1171"/>
      <c r="K56" s="1175"/>
      <c r="L56" s="1168"/>
      <c r="M56" s="1168"/>
      <c r="N56" s="1168"/>
      <c r="O56" s="1168"/>
      <c r="P56" s="1168"/>
      <c r="Q56" s="1168"/>
      <c r="R56" s="1168"/>
      <c r="S56" s="1168"/>
      <c r="T56" s="1168"/>
      <c r="U56" s="1168"/>
      <c r="V56" s="1164"/>
      <c r="W56" s="1164"/>
      <c r="X56" s="1164"/>
      <c r="Y56" s="1164"/>
      <c r="Z56" s="1164"/>
      <c r="AA56" s="1164"/>
      <c r="AB56" s="1164"/>
      <c r="AC56" s="1164"/>
      <c r="AD56" s="1164"/>
      <c r="AE56" s="1164"/>
      <c r="AF56" s="1164"/>
      <c r="AG56" s="1164"/>
      <c r="AH56" s="483"/>
      <c r="AJ56" s="483"/>
      <c r="AS56" s="1456" t="s">
        <v>1327</v>
      </c>
      <c r="AT56" s="1201" t="s">
        <v>2233</v>
      </c>
      <c r="AU56" s="1086">
        <v>3</v>
      </c>
      <c r="AV56" s="1086" t="s">
        <v>1004</v>
      </c>
      <c r="AW56" s="1086" t="s">
        <v>1005</v>
      </c>
      <c r="AX56" s="99">
        <v>0</v>
      </c>
      <c r="AY56" s="99">
        <v>1.6350000000000035E-2</v>
      </c>
      <c r="AZ56" s="99">
        <v>5.3300000000000104E-2</v>
      </c>
      <c r="BA56" s="99">
        <v>7.6600000000000001E-2</v>
      </c>
      <c r="BB56" s="99">
        <v>0.1447921875</v>
      </c>
      <c r="BC56" s="99">
        <v>0.23213437499999992</v>
      </c>
      <c r="BD56" s="99">
        <v>0.36225000000000002</v>
      </c>
      <c r="BF56" s="1483">
        <v>3</v>
      </c>
      <c r="BG56" s="1453">
        <f t="array" ref="BG56">INDEX(BG$35:BG$37,MATCH($BI$39,$BF$35:$BF$37,0)) * $BQ56</f>
        <v>0</v>
      </c>
      <c r="BH56" s="1453">
        <f t="array" ref="BH56">INDEX(BH$35:BH$37,MATCH($BI$39,$BF$35:$BF$37,0)) * $BQ56</f>
        <v>1.2679038798779598E-2</v>
      </c>
      <c r="BI56" s="1453">
        <f t="array" ref="BI56">INDEX(BI$35:BI$37,MATCH($BI$39,$BF$35:$BF$37,0)) * $BQ56</f>
        <v>3.9131648212044387E-2</v>
      </c>
      <c r="BJ56" s="1453">
        <f t="array" ref="BJ56">INDEX(BJ$35:BJ$37,MATCH($BI$39,$BF$35:$BF$37,0)) * $BQ56</f>
        <v>8.1651486079138635E-2</v>
      </c>
      <c r="BK56" s="1453">
        <f t="array" ref="BK56">INDEX(BK$35:BK$37,MATCH($BI$39,$BF$35:$BF$37,0)) * $BQ56</f>
        <v>0.14075579816864561</v>
      </c>
      <c r="BL56" s="1453">
        <f t="array" ref="BL56">INDEX(BL$35:BL$37,MATCH($BI$39,$BF$35:$BF$37,0)) * $BQ56</f>
        <v>0.20824420572449764</v>
      </c>
      <c r="BM56" s="1453">
        <f t="array" ref="BM56">INDEX(BM$35:BM$37,MATCH($BI$39,$BF$35:$BF$37,0)) * $BQ56</f>
        <v>0.26998313190473561</v>
      </c>
      <c r="BN56" s="1453">
        <f t="array" ref="BN56">INDEX(BN$35:BN$37,MATCH($BI$39,$BF$35:$BF$37,0)) * $BQ56</f>
        <v>0.31601181991755439</v>
      </c>
      <c r="BO56" s="1453">
        <f t="array" ref="BO56">INDEX(BO$35:BO$37,MATCH($BI$39,$BF$35:$BF$37,0)) * $BQ56</f>
        <v>0.34536013663121146</v>
      </c>
      <c r="BP56" s="1453">
        <f t="array" ref="BP56">INDEX(BP$35:BP$37,MATCH($BI$39,$BF$35:$BF$37,0)) * $BQ56</f>
        <v>0.36225000000000002</v>
      </c>
      <c r="BQ56" s="609">
        <f t="shared" si="8"/>
        <v>0.36225000000000002</v>
      </c>
      <c r="BR56" s="1484"/>
      <c r="BS56" s="1459"/>
      <c r="BT56" s="1459"/>
      <c r="BU56" s="1456" t="s">
        <v>999</v>
      </c>
      <c r="BV56" s="1456">
        <v>3</v>
      </c>
      <c r="BW56" s="1456">
        <v>9</v>
      </c>
      <c r="BX56" s="1456">
        <v>18</v>
      </c>
      <c r="BY56" s="1456">
        <f t="shared" si="9"/>
        <v>20.8125</v>
      </c>
      <c r="BZ56" s="1456">
        <f t="shared" si="9"/>
        <v>28.125</v>
      </c>
      <c r="CA56" s="1456">
        <f t="shared" si="9"/>
        <v>37.5</v>
      </c>
    </row>
    <row r="57" spans="1:79">
      <c r="A57" s="1168"/>
      <c r="B57" s="1175"/>
      <c r="C57" s="1171"/>
      <c r="D57" s="1171"/>
      <c r="E57" s="1171"/>
      <c r="F57" s="1171"/>
      <c r="G57" s="1171"/>
      <c r="H57" s="1171"/>
      <c r="I57" s="1171"/>
      <c r="J57" s="1171"/>
      <c r="K57" s="1175"/>
      <c r="L57" s="1168"/>
      <c r="M57" s="1168"/>
      <c r="N57" s="1168"/>
      <c r="O57" s="1168"/>
      <c r="P57" s="1168"/>
      <c r="Q57" s="1168"/>
      <c r="R57" s="1168"/>
      <c r="S57" s="1168"/>
      <c r="T57" s="1168"/>
      <c r="U57" s="1168"/>
      <c r="V57" s="1164"/>
      <c r="W57" s="1164"/>
      <c r="X57" s="1164"/>
      <c r="Y57" s="1164"/>
      <c r="Z57" s="1164"/>
      <c r="AA57" s="1164"/>
      <c r="AB57" s="1164"/>
      <c r="AC57" s="1164"/>
      <c r="AD57" s="1164"/>
      <c r="AE57" s="1164"/>
      <c r="AF57" s="1164"/>
      <c r="AG57" s="1164"/>
      <c r="AH57" s="483"/>
      <c r="AJ57" s="483"/>
      <c r="AS57" s="1456" t="s">
        <v>1327</v>
      </c>
      <c r="AT57" s="1201" t="s">
        <v>2233</v>
      </c>
      <c r="AU57" s="1086">
        <v>3</v>
      </c>
      <c r="AV57" s="1086" t="s">
        <v>1002</v>
      </c>
      <c r="AW57" s="1086" t="s">
        <v>1003</v>
      </c>
      <c r="AX57" s="99">
        <v>0</v>
      </c>
      <c r="AY57" s="99">
        <v>4.8400000000000089E-2</v>
      </c>
      <c r="AZ57" s="99">
        <v>0.11159999999999995</v>
      </c>
      <c r="BA57" s="99">
        <v>0.13169999999999996</v>
      </c>
      <c r="BB57" s="99">
        <v>0.1846687500000001</v>
      </c>
      <c r="BC57" s="99">
        <v>0.27056249999999993</v>
      </c>
      <c r="BD57" s="99">
        <v>0.39449999999999996</v>
      </c>
      <c r="BF57" s="1483">
        <v>3</v>
      </c>
      <c r="BG57" s="1453">
        <f t="array" ref="BG57">INDEX(BG$35:BG$37,MATCH($BI$39,$BF$35:$BF$37,0)) * $BQ57</f>
        <v>0</v>
      </c>
      <c r="BH57" s="1453">
        <f t="array" ref="BH57">INDEX(BH$35:BH$37,MATCH($BI$39,$BF$35:$BF$37,0)) * $BQ57</f>
        <v>1.3807814509644033E-2</v>
      </c>
      <c r="BI57" s="1453">
        <f t="array" ref="BI57">INDEX(BI$35:BI$37,MATCH($BI$39,$BF$35:$BF$37,0)) * $BQ57</f>
        <v>4.2615418135683938E-2</v>
      </c>
      <c r="BJ57" s="1453">
        <f t="array" ref="BJ57">INDEX(BJ$35:BJ$37,MATCH($BI$39,$BF$35:$BF$37,0)) * $BQ57</f>
        <v>8.8920665999227572E-2</v>
      </c>
      <c r="BK57" s="1453">
        <f t="array" ref="BK57">INDEX(BK$35:BK$37,MATCH($BI$39,$BF$35:$BF$37,0)) * $BQ57</f>
        <v>0.15328685266399086</v>
      </c>
      <c r="BL57" s="1453">
        <f t="array" ref="BL57">INDEX(BL$35:BL$37,MATCH($BI$39,$BF$35:$BF$37,0)) * $BQ57</f>
        <v>0.22678354495048808</v>
      </c>
      <c r="BM57" s="1453">
        <f t="array" ref="BM57">INDEX(BM$35:BM$37,MATCH($BI$39,$BF$35:$BF$37,0)) * $BQ57</f>
        <v>0.29401889727099567</v>
      </c>
      <c r="BN57" s="1453">
        <f t="array" ref="BN57">INDEX(BN$35:BN$37,MATCH($BI$39,$BF$35:$BF$37,0)) * $BQ57</f>
        <v>0.34414537738433454</v>
      </c>
      <c r="BO57" s="1453">
        <f t="array" ref="BO57">INDEX(BO$35:BO$37,MATCH($BI$39,$BF$35:$BF$37,0)) * $BQ57</f>
        <v>0.37610648419879339</v>
      </c>
      <c r="BP57" s="1453">
        <f t="array" ref="BP57">INDEX(BP$35:BP$37,MATCH($BI$39,$BF$35:$BF$37,0)) * $BQ57</f>
        <v>0.39449999999999996</v>
      </c>
      <c r="BQ57" s="609">
        <f t="shared" si="8"/>
        <v>0.39449999999999996</v>
      </c>
      <c r="BR57" s="1484"/>
      <c r="BS57" s="1459"/>
      <c r="BT57" s="1459"/>
      <c r="BU57" s="1456" t="s">
        <v>997</v>
      </c>
      <c r="BV57" s="1456">
        <v>1</v>
      </c>
      <c r="BW57" s="1456">
        <v>4</v>
      </c>
      <c r="BX57" s="1456">
        <v>5</v>
      </c>
      <c r="BY57" s="1456">
        <f t="shared" si="9"/>
        <v>13.40625</v>
      </c>
      <c r="BZ57" s="1456">
        <f t="shared" si="9"/>
        <v>23.0625</v>
      </c>
      <c r="CA57" s="1456">
        <f t="shared" si="9"/>
        <v>37.5</v>
      </c>
    </row>
    <row r="58" spans="1:79">
      <c r="A58" s="1208"/>
      <c r="B58" s="1171"/>
      <c r="C58" s="1171"/>
      <c r="D58" s="1171"/>
      <c r="E58" s="1171"/>
      <c r="F58" s="1171"/>
      <c r="G58" s="1171"/>
      <c r="H58" s="1171"/>
      <c r="I58" s="1171"/>
      <c r="J58" s="1171"/>
      <c r="K58" s="1175"/>
      <c r="L58" s="1168"/>
      <c r="M58" s="1168"/>
      <c r="N58" s="1168"/>
      <c r="O58" s="1168"/>
      <c r="P58" s="1168"/>
      <c r="Q58" s="1168"/>
      <c r="R58" s="1168"/>
      <c r="S58" s="1168"/>
      <c r="T58" s="1168"/>
      <c r="U58" s="1168"/>
      <c r="V58" s="1164"/>
      <c r="W58" s="1164"/>
      <c r="X58" s="1164"/>
      <c r="Y58" s="1164"/>
      <c r="Z58" s="1164"/>
      <c r="AA58" s="1164"/>
      <c r="AB58" s="1164"/>
      <c r="AC58" s="1164"/>
      <c r="AD58" s="1164"/>
      <c r="AE58" s="1164"/>
      <c r="AF58" s="1164"/>
      <c r="AG58" s="1164"/>
      <c r="AH58" s="483"/>
      <c r="AJ58" s="483"/>
      <c r="AS58" s="1456" t="s">
        <v>1327</v>
      </c>
      <c r="AT58" s="1201" t="s">
        <v>2233</v>
      </c>
      <c r="AU58" s="1086">
        <v>3</v>
      </c>
      <c r="AV58" s="1086" t="s">
        <v>97</v>
      </c>
      <c r="AW58" s="1086" t="s">
        <v>1001</v>
      </c>
      <c r="AX58" s="99">
        <v>0</v>
      </c>
      <c r="AY58" s="99">
        <v>2.5782336014914191E-2</v>
      </c>
      <c r="AZ58" s="99">
        <v>7.2189912662870601E-2</v>
      </c>
      <c r="BA58" s="99">
        <v>9.6913007355772116E-2</v>
      </c>
      <c r="BB58" s="99">
        <v>0.15815574562047857</v>
      </c>
      <c r="BC58" s="99">
        <v>0.24276927154045677</v>
      </c>
      <c r="BD58" s="99">
        <v>0.36915793633103006</v>
      </c>
      <c r="BF58" s="1483">
        <v>3</v>
      </c>
      <c r="BG58" s="1453">
        <f t="array" ref="BG58">INDEX(BG$35:BG$37,MATCH($BI$39,$BF$35:$BF$37,0)) * $BQ58</f>
        <v>0</v>
      </c>
      <c r="BH58" s="1453">
        <f t="array" ref="BH58">INDEX(BH$35:BH$37,MATCH($BI$39,$BF$35:$BF$37,0)) * $BQ58</f>
        <v>1.2920822077621914E-2</v>
      </c>
      <c r="BI58" s="1453">
        <f t="array" ref="BI58">INDEX(BI$35:BI$37,MATCH($BI$39,$BF$35:$BF$37,0)) * $BQ58</f>
        <v>3.9877870253112895E-2</v>
      </c>
      <c r="BJ58" s="1453">
        <f t="array" ref="BJ58">INDEX(BJ$35:BJ$37,MATCH($BI$39,$BF$35:$BF$37,0)) * $BQ58</f>
        <v>8.3208541337023184E-2</v>
      </c>
      <c r="BK58" s="1453">
        <f t="array" ref="BK58">INDEX(BK$35:BK$37,MATCH($BI$39,$BF$35:$BF$37,0)) * $BQ58</f>
        <v>0.14343994473033594</v>
      </c>
      <c r="BL58" s="1453">
        <f t="array" ref="BL58">INDEX(BL$35:BL$37,MATCH($BI$39,$BF$35:$BF$37,0)) * $BQ58</f>
        <v>0.21221532432891654</v>
      </c>
      <c r="BM58" s="1453">
        <f t="array" ref="BM58">INDEX(BM$35:BM$37,MATCH($BI$39,$BF$35:$BF$37,0)) * $BQ58</f>
        <v>0.27513158265877286</v>
      </c>
      <c r="BN58" s="1453">
        <f t="array" ref="BN58">INDEX(BN$35:BN$37,MATCH($BI$39,$BF$35:$BF$37,0)) * $BQ58</f>
        <v>0.32203801600269832</v>
      </c>
      <c r="BO58" s="1453">
        <f t="array" ref="BO58">INDEX(BO$35:BO$37,MATCH($BI$39,$BF$35:$BF$37,0)) * $BQ58</f>
        <v>0.35194599124853165</v>
      </c>
      <c r="BP58" s="1453">
        <f t="array" ref="BP58">INDEX(BP$35:BP$37,MATCH($BI$39,$BF$35:$BF$37,0)) * $BQ58</f>
        <v>0.36915793633103006</v>
      </c>
      <c r="BQ58" s="609">
        <f t="shared" si="8"/>
        <v>0.36915793633103006</v>
      </c>
      <c r="BR58" s="1484"/>
      <c r="BS58" s="1459"/>
      <c r="BT58" s="1459"/>
      <c r="BU58" s="1456" t="s">
        <v>996</v>
      </c>
      <c r="BV58" s="1456">
        <v>1</v>
      </c>
      <c r="BW58" s="1456">
        <v>3</v>
      </c>
      <c r="BX58" s="1456">
        <v>6</v>
      </c>
      <c r="BY58" s="1456">
        <f t="shared" si="9"/>
        <v>10.21875</v>
      </c>
      <c r="BZ58" s="1456">
        <f t="shared" si="9"/>
        <v>15.9375</v>
      </c>
      <c r="CA58" s="1456">
        <f t="shared" si="9"/>
        <v>22.5</v>
      </c>
    </row>
    <row r="59" spans="1:79">
      <c r="A59" s="1208"/>
      <c r="B59" s="1171"/>
      <c r="C59" s="1171"/>
      <c r="D59" s="1171"/>
      <c r="E59" s="1171"/>
      <c r="F59" s="1171"/>
      <c r="G59" s="1171"/>
      <c r="H59" s="1171"/>
      <c r="I59" s="1171"/>
      <c r="J59" s="1171"/>
      <c r="K59" s="1175"/>
      <c r="L59" s="1168"/>
      <c r="M59" s="1168"/>
      <c r="N59" s="1168"/>
      <c r="O59" s="1168"/>
      <c r="P59" s="1168"/>
      <c r="Q59" s="1168"/>
      <c r="R59" s="1168"/>
      <c r="S59" s="1168"/>
      <c r="T59" s="1168"/>
      <c r="U59" s="1168"/>
      <c r="V59" s="1164"/>
      <c r="W59" s="1164"/>
      <c r="X59" s="1164"/>
      <c r="Y59" s="1164"/>
      <c r="Z59" s="1164"/>
      <c r="AA59" s="1164"/>
      <c r="AB59" s="1164"/>
      <c r="AC59" s="1365"/>
      <c r="AD59" s="1164"/>
      <c r="AE59" s="1164"/>
      <c r="AF59" s="1164"/>
      <c r="AG59" s="1164"/>
      <c r="AH59" s="1164"/>
      <c r="AJ59" s="483"/>
      <c r="AW59" s="602" t="s">
        <v>102</v>
      </c>
      <c r="AX59" s="1471">
        <v>0</v>
      </c>
      <c r="AY59" s="1471">
        <v>3.697681030483798E-2</v>
      </c>
      <c r="AZ59" s="1471">
        <v>7.9889156624844429E-2</v>
      </c>
      <c r="BA59" s="1471">
        <v>0.10111444113216655</v>
      </c>
      <c r="BB59" s="1471">
        <v>0.15560024319418742</v>
      </c>
      <c r="BC59" s="1471">
        <v>0.22356521646687094</v>
      </c>
      <c r="BD59" s="1471">
        <v>0.32574916333671178</v>
      </c>
      <c r="BF59" s="1473"/>
      <c r="BG59" s="1454"/>
      <c r="BH59" s="1454"/>
      <c r="BI59" s="1454"/>
      <c r="BJ59" s="1454"/>
      <c r="BK59" s="1454"/>
      <c r="BL59" s="1454"/>
      <c r="BM59" s="1454"/>
      <c r="BN59" s="1454"/>
      <c r="BO59" s="1454"/>
      <c r="BP59" s="1455"/>
      <c r="BQ59" s="1486"/>
      <c r="BR59" s="1484"/>
      <c r="BS59" s="1459"/>
      <c r="BT59" s="1459"/>
      <c r="BU59" s="1456" t="s">
        <v>97</v>
      </c>
      <c r="BV59" s="1456">
        <v>0.5</v>
      </c>
      <c r="BW59" s="1456">
        <v>1</v>
      </c>
      <c r="BX59" s="1456">
        <v>2</v>
      </c>
      <c r="BY59" s="1456">
        <f t="shared" si="9"/>
        <v>11.390625</v>
      </c>
      <c r="BZ59" s="1456">
        <f t="shared" si="9"/>
        <v>21.28125</v>
      </c>
      <c r="CA59" s="1456">
        <f t="shared" si="9"/>
        <v>37.5</v>
      </c>
    </row>
    <row r="60" spans="1:79">
      <c r="A60" s="1164"/>
      <c r="B60" s="1168"/>
      <c r="C60" s="1207" t="s">
        <v>840</v>
      </c>
      <c r="D60" s="1207"/>
      <c r="E60" s="1207"/>
      <c r="F60" s="1207"/>
      <c r="G60" s="1207"/>
      <c r="H60" s="1207"/>
      <c r="I60" s="1207"/>
      <c r="J60" s="1207"/>
      <c r="K60" s="1175"/>
      <c r="L60" s="1168"/>
      <c r="M60" s="1168"/>
      <c r="N60" s="1168"/>
      <c r="O60" s="1168"/>
      <c r="P60" s="1168"/>
      <c r="Q60" s="1168"/>
      <c r="R60" s="1168"/>
      <c r="S60" s="1168"/>
      <c r="T60" s="1168"/>
      <c r="U60" s="1168"/>
      <c r="V60" s="1164"/>
      <c r="W60" s="1164"/>
      <c r="X60" s="1164"/>
      <c r="Y60" s="1164"/>
      <c r="Z60" s="1164"/>
      <c r="AA60" s="1164"/>
      <c r="AB60" s="1164"/>
      <c r="AC60" s="1164"/>
      <c r="AD60" s="1164"/>
      <c r="AE60" s="1164"/>
      <c r="AF60" s="1164"/>
      <c r="AG60" s="1164"/>
      <c r="AH60" s="1164"/>
      <c r="AJ60" s="483"/>
      <c r="AS60" s="1086" t="s">
        <v>2225</v>
      </c>
      <c r="AT60" s="1201" t="s">
        <v>1303</v>
      </c>
      <c r="AU60" s="1086">
        <v>2</v>
      </c>
      <c r="AV60" s="1086" t="s">
        <v>1014</v>
      </c>
      <c r="AW60" s="1086" t="s">
        <v>1015</v>
      </c>
      <c r="AX60" s="99">
        <v>0</v>
      </c>
      <c r="AY60" s="99">
        <v>2.9586510425128658E-2</v>
      </c>
      <c r="AZ60" s="99">
        <v>6.884011304269351E-2</v>
      </c>
      <c r="BA60" s="99">
        <v>9.1895597869843859E-2</v>
      </c>
      <c r="BB60" s="99">
        <v>0.10922757169419628</v>
      </c>
      <c r="BC60" s="99">
        <v>0.11891910887264195</v>
      </c>
      <c r="BD60" s="99">
        <v>0.12861064605108771</v>
      </c>
      <c r="BF60" s="1483">
        <v>2</v>
      </c>
      <c r="BG60" s="1453">
        <f t="array" ref="BG60">INDEX(BG$35:BG$37,MATCH($BI$39,$BF$35:$BF$37,0)) * $BQ60</f>
        <v>0</v>
      </c>
      <c r="BH60" s="1453">
        <f t="array" ref="BH60">INDEX(BH$35:BH$37,MATCH($BI$39,$BF$35:$BF$37,0)) * $BQ60</f>
        <v>4.501475144838789E-3</v>
      </c>
      <c r="BI60" s="1453">
        <f t="array" ref="BI60">INDEX(BI$35:BI$37,MATCH($BI$39,$BF$35:$BF$37,0)) * $BQ60</f>
        <v>1.3893020172794809E-2</v>
      </c>
      <c r="BJ60" s="1453">
        <f t="array" ref="BJ60">INDEX(BJ$35:BJ$37,MATCH($BI$39,$BF$35:$BF$37,0)) * $BQ60</f>
        <v>2.8988958939046003E-2</v>
      </c>
      <c r="BK60" s="1453">
        <f t="array" ref="BK60">INDEX(BK$35:BK$37,MATCH($BI$39,$BF$35:$BF$37,0)) * $BQ60</f>
        <v>4.9972930677449331E-2</v>
      </c>
      <c r="BL60" s="1453">
        <f t="array" ref="BL60">INDEX(BL$35:BL$37,MATCH($BI$39,$BF$35:$BF$37,0)) * $BQ60</f>
        <v>7.3933531634570768E-2</v>
      </c>
      <c r="BM60" s="1453">
        <f t="array" ref="BM60">INDEX(BM$35:BM$37,MATCH($BI$39,$BF$35:$BF$37,0)) * $BQ60</f>
        <v>9.5852877894172739E-2</v>
      </c>
      <c r="BN60" s="1453">
        <f t="array" ref="BN60">INDEX(BN$35:BN$37,MATCH($BI$39,$BF$35:$BF$37,0)) * $BQ60</f>
        <v>0.11219457369048076</v>
      </c>
      <c r="BO60" s="1453">
        <f t="array" ref="BO60">INDEX(BO$35:BO$37,MATCH($BI$39,$BF$35:$BF$37,0)) * $BQ60</f>
        <v>0.12261418990319399</v>
      </c>
      <c r="BP60" s="1453">
        <f t="array" ref="BP60">INDEX(BP$35:BP$37,MATCH($BI$39,$BF$35:$BF$37,0)) * $BQ60</f>
        <v>0.12861064605108771</v>
      </c>
      <c r="BQ60" s="609">
        <f t="shared" ref="BQ60:BQ67" si="10">BD60</f>
        <v>0.12861064605108771</v>
      </c>
      <c r="BR60" s="1484"/>
      <c r="BS60" s="1459"/>
      <c r="BT60" s="1459"/>
      <c r="BU60" s="1456" t="s">
        <v>994</v>
      </c>
      <c r="BV60" s="1456">
        <v>10</v>
      </c>
      <c r="BW60" s="1456">
        <v>16</v>
      </c>
      <c r="BX60" s="1456">
        <v>18</v>
      </c>
      <c r="BY60" s="1456">
        <v>20</v>
      </c>
      <c r="BZ60" s="1456">
        <v>20</v>
      </c>
      <c r="CA60" s="1456">
        <v>20</v>
      </c>
    </row>
    <row r="61" spans="1:79">
      <c r="A61" s="1204" t="s">
        <v>783</v>
      </c>
      <c r="B61" s="1204" t="s">
        <v>784</v>
      </c>
      <c r="C61" s="1206" t="s">
        <v>1015</v>
      </c>
      <c r="D61" s="1206" t="s">
        <v>1013</v>
      </c>
      <c r="E61" s="1206" t="s">
        <v>1011</v>
      </c>
      <c r="F61" s="1206" t="s">
        <v>1009</v>
      </c>
      <c r="G61" s="1206" t="s">
        <v>1007</v>
      </c>
      <c r="H61" s="1206" t="s">
        <v>1005</v>
      </c>
      <c r="I61" s="1206" t="s">
        <v>1003</v>
      </c>
      <c r="J61" s="1206" t="s">
        <v>1001</v>
      </c>
      <c r="K61" s="1175"/>
      <c r="L61" s="1168"/>
      <c r="M61" s="1168"/>
      <c r="N61" s="1168"/>
      <c r="O61" s="1168"/>
      <c r="P61" s="1168"/>
      <c r="Q61" s="1168"/>
      <c r="R61" s="1168"/>
      <c r="S61" s="1168"/>
      <c r="T61" s="1168"/>
      <c r="U61" s="1168"/>
      <c r="V61" s="1164"/>
      <c r="W61" s="1164"/>
      <c r="X61" s="1164"/>
      <c r="Y61" s="1164"/>
      <c r="Z61" s="1164"/>
      <c r="AA61" s="1164"/>
      <c r="AB61" s="1164"/>
      <c r="AC61" s="1164"/>
      <c r="AD61" s="1164"/>
      <c r="AE61" s="1164"/>
      <c r="AF61" s="1164"/>
      <c r="AG61" s="1164"/>
      <c r="AH61" s="1164"/>
      <c r="AS61" s="1456" t="s">
        <v>2225</v>
      </c>
      <c r="AT61" s="1164" t="s">
        <v>1303</v>
      </c>
      <c r="AU61" s="1086">
        <v>2</v>
      </c>
      <c r="AV61" s="1086" t="s">
        <v>1012</v>
      </c>
      <c r="AW61" s="1086" t="s">
        <v>1013</v>
      </c>
      <c r="AX61" s="99">
        <v>0</v>
      </c>
      <c r="AY61" s="99">
        <v>1.1274999999999995E-2</v>
      </c>
      <c r="AZ61" s="99">
        <v>4.1200000000000077E-2</v>
      </c>
      <c r="BA61" s="99">
        <v>6.3449999999999937E-2</v>
      </c>
      <c r="BB61" s="99">
        <v>8.3149999999999946E-2</v>
      </c>
      <c r="BC61" s="99">
        <v>0.10070000000000001</v>
      </c>
      <c r="BD61" s="99">
        <v>0.11825000000000002</v>
      </c>
      <c r="BF61" s="1483">
        <v>2</v>
      </c>
      <c r="BG61" s="1453">
        <f t="array" ref="BG61">INDEX(BG$35:BG$37,MATCH($BI$39,$BF$35:$BF$37,0)) * $BQ61</f>
        <v>0</v>
      </c>
      <c r="BH61" s="1453">
        <f t="array" ref="BH61">INDEX(BH$35:BH$37,MATCH($BI$39,$BF$35:$BF$37,0)) * $BQ61</f>
        <v>4.1388442731696007E-3</v>
      </c>
      <c r="BI61" s="1453">
        <f t="array" ref="BI61">INDEX(BI$35:BI$37,MATCH($BI$39,$BF$35:$BF$37,0)) * $BQ61</f>
        <v>1.2773823053345063E-2</v>
      </c>
      <c r="BJ61" s="1453">
        <f t="array" ref="BJ61">INDEX(BJ$35:BJ$37,MATCH($BI$39,$BF$35:$BF$37,0)) * $BQ61</f>
        <v>2.6653659706992811E-2</v>
      </c>
      <c r="BK61" s="1453">
        <f t="array" ref="BK61">INDEX(BK$35:BK$37,MATCH($BI$39,$BF$35:$BF$37,0)) * $BQ61</f>
        <v>4.5947199816265966E-2</v>
      </c>
      <c r="BL61" s="1453">
        <f t="array" ref="BL61">INDEX(BL$35:BL$37,MATCH($BI$39,$BF$35:$BF$37,0)) * $BQ61</f>
        <v>6.7977577161965078E-2</v>
      </c>
      <c r="BM61" s="1453">
        <f t="array" ref="BM61">INDEX(BM$35:BM$37,MATCH($BI$39,$BF$35:$BF$37,0)) * $BQ61</f>
        <v>8.8131139676287065E-2</v>
      </c>
      <c r="BN61" s="1453">
        <f t="array" ref="BN61">INDEX(BN$35:BN$37,MATCH($BI$39,$BF$35:$BF$37,0)) * $BQ61</f>
        <v>0.10315637737819409</v>
      </c>
      <c r="BO61" s="1453">
        <f t="array" ref="BO61">INDEX(BO$35:BO$37,MATCH($BI$39,$BF$35:$BF$37,0)) * $BQ61</f>
        <v>0.11273660774780057</v>
      </c>
      <c r="BP61" s="1453">
        <f t="array" ref="BP61">INDEX(BP$35:BP$37,MATCH($BI$39,$BF$35:$BF$37,0)) * $BQ61</f>
        <v>0.11825000000000002</v>
      </c>
      <c r="BQ61" s="609">
        <f t="shared" si="10"/>
        <v>0.11825000000000002</v>
      </c>
      <c r="BR61" s="1484"/>
      <c r="BS61" s="1459"/>
      <c r="BT61" s="1459"/>
    </row>
    <row r="62" spans="1:79">
      <c r="A62" s="1200" t="s">
        <v>1000</v>
      </c>
      <c r="B62" s="1166" t="s">
        <v>779</v>
      </c>
      <c r="C62" s="607">
        <v>0.02</v>
      </c>
      <c r="D62" s="607">
        <v>0.4</v>
      </c>
      <c r="E62" s="607">
        <v>0.02</v>
      </c>
      <c r="F62" s="607">
        <v>0.01</v>
      </c>
      <c r="G62" s="607">
        <v>0.23</v>
      </c>
      <c r="H62" s="607">
        <v>7.0000000000000007E-2</v>
      </c>
      <c r="I62" s="607">
        <v>0.02</v>
      </c>
      <c r="J62" s="607">
        <v>9.6500000000000002E-2</v>
      </c>
      <c r="K62" s="1175"/>
      <c r="L62" s="1168"/>
      <c r="M62" s="1168"/>
      <c r="N62" s="1168"/>
      <c r="O62" s="1168"/>
      <c r="P62" s="1168"/>
      <c r="Q62" s="1168"/>
      <c r="R62" s="1168"/>
      <c r="S62" s="1168"/>
      <c r="T62" s="1168"/>
      <c r="U62" s="1168"/>
      <c r="V62" s="1164"/>
      <c r="W62" s="1164"/>
      <c r="X62" s="1164"/>
      <c r="Y62" s="1164"/>
      <c r="Z62" s="1164"/>
      <c r="AA62" s="1164"/>
      <c r="AB62" s="1164"/>
      <c r="AC62" s="1164"/>
      <c r="AD62" s="1164"/>
      <c r="AE62" s="1164"/>
      <c r="AF62" s="1164"/>
      <c r="AG62" s="1164"/>
      <c r="AH62" s="1164"/>
      <c r="AS62" s="1456" t="s">
        <v>2225</v>
      </c>
      <c r="AT62" s="1164" t="s">
        <v>1303</v>
      </c>
      <c r="AU62" s="1086">
        <v>2</v>
      </c>
      <c r="AV62" s="1086" t="s">
        <v>1010</v>
      </c>
      <c r="AW62" s="1086" t="s">
        <v>1011</v>
      </c>
      <c r="AX62" s="99">
        <v>0</v>
      </c>
      <c r="AY62" s="99">
        <v>2.5400000000000044E-2</v>
      </c>
      <c r="AZ62" s="99">
        <v>6.3100000000000087E-2</v>
      </c>
      <c r="BA62" s="99">
        <v>8.1899999999999959E-2</v>
      </c>
      <c r="BB62" s="99">
        <v>9.6400000000000055E-2</v>
      </c>
      <c r="BC62" s="99">
        <v>0.10519999999999999</v>
      </c>
      <c r="BD62" s="99">
        <v>0.11399999999999995</v>
      </c>
      <c r="BF62" s="1483">
        <v>2</v>
      </c>
      <c r="BG62" s="1453">
        <f t="array" ref="BG62">INDEX(BG$35:BG$37,MATCH($BI$39,$BF$35:$BF$37,0)) * $BQ62</f>
        <v>0</v>
      </c>
      <c r="BH62" s="1453">
        <f t="array" ref="BH62">INDEX(BH$35:BH$37,MATCH($BI$39,$BF$35:$BF$37,0)) * $BQ62</f>
        <v>3.9900908849161447E-3</v>
      </c>
      <c r="BI62" s="1453">
        <f t="array" ref="BI62">INDEX(BI$35:BI$37,MATCH($BI$39,$BF$35:$BF$37,0)) * $BQ62</f>
        <v>1.2314721590539842E-2</v>
      </c>
      <c r="BJ62" s="1453">
        <f t="array" ref="BJ62">INDEX(BJ$35:BJ$37,MATCH($BI$39,$BF$35:$BF$37,0)) * $BQ62</f>
        <v>2.5695705764035334E-2</v>
      </c>
      <c r="BK62" s="1453">
        <f t="array" ref="BK62">INDEX(BK$35:BK$37,MATCH($BI$39,$BF$35:$BF$37,0)) * $BQ62</f>
        <v>4.429582054168555E-2</v>
      </c>
      <c r="BL62" s="1453">
        <f t="array" ref="BL62">INDEX(BL$35:BL$37,MATCH($BI$39,$BF$35:$BF$37,0)) * $BQ62</f>
        <v>6.5534408426756993E-2</v>
      </c>
      <c r="BM62" s="1453">
        <f t="array" ref="BM62">INDEX(BM$35:BM$37,MATCH($BI$39,$BF$35:$BF$37,0)) * $BQ62</f>
        <v>8.4963635713291491E-2</v>
      </c>
      <c r="BN62" s="1453">
        <f t="array" ref="BN62">INDEX(BN$35:BN$37,MATCH($BI$39,$BF$35:$BF$37,0)) * $BQ62</f>
        <v>9.944885430117649E-2</v>
      </c>
      <c r="BO62" s="1453">
        <f t="array" ref="BO62">INDEX(BO$35:BO$37,MATCH($BI$39,$BF$35:$BF$37,0)) * $BQ62</f>
        <v>0.10868476349470831</v>
      </c>
      <c r="BP62" s="1453">
        <f t="array" ref="BP62">INDEX(BP$35:BP$37,MATCH($BI$39,$BF$35:$BF$37,0)) * $BQ62</f>
        <v>0.11399999999999995</v>
      </c>
      <c r="BQ62" s="609">
        <f t="shared" si="10"/>
        <v>0.11399999999999995</v>
      </c>
      <c r="BR62" s="1484"/>
      <c r="BS62" s="1459">
        <v>2</v>
      </c>
      <c r="BT62" s="1459" t="s">
        <v>2221</v>
      </c>
      <c r="BU62" s="1456"/>
      <c r="BV62" s="508"/>
      <c r="BW62" s="1456" t="s">
        <v>2222</v>
      </c>
      <c r="BX62" s="1456"/>
      <c r="BY62" s="1456"/>
      <c r="BZ62" s="1456"/>
      <c r="CA62" s="1456"/>
    </row>
    <row r="63" spans="1:79" ht="14">
      <c r="A63" s="1200" t="s">
        <v>98</v>
      </c>
      <c r="B63" s="1166" t="s">
        <v>408</v>
      </c>
      <c r="C63" s="607">
        <v>0.18584628215542981</v>
      </c>
      <c r="D63" s="607">
        <v>0.05</v>
      </c>
      <c r="E63" s="607">
        <v>0.15</v>
      </c>
      <c r="F63" s="607">
        <v>0</v>
      </c>
      <c r="G63" s="607">
        <v>0.13</v>
      </c>
      <c r="H63" s="607">
        <v>0.04</v>
      </c>
      <c r="I63" s="607">
        <v>0.35</v>
      </c>
      <c r="J63" s="607">
        <v>0.10929999999999999</v>
      </c>
      <c r="K63" s="1175"/>
      <c r="L63" s="1168"/>
      <c r="M63" s="1168"/>
      <c r="N63" s="1168"/>
      <c r="O63" s="1168"/>
      <c r="P63" s="1168"/>
      <c r="Q63" s="1168"/>
      <c r="R63" s="1168"/>
      <c r="S63" s="1168"/>
      <c r="T63" s="1168"/>
      <c r="U63" s="1168"/>
      <c r="V63" s="1164"/>
      <c r="W63" s="1164"/>
      <c r="X63" s="1164"/>
      <c r="Y63" s="1494"/>
      <c r="Z63" s="1494"/>
      <c r="AA63" s="1493"/>
      <c r="AB63" s="1168"/>
      <c r="AC63" s="1164"/>
      <c r="AD63" s="1164"/>
      <c r="AE63" s="1164"/>
      <c r="AF63" s="1365"/>
      <c r="AG63" s="1365"/>
      <c r="AH63" s="483"/>
      <c r="AS63" s="1456" t="s">
        <v>2225</v>
      </c>
      <c r="AT63" s="1164" t="s">
        <v>1303</v>
      </c>
      <c r="AU63" s="1086">
        <v>2</v>
      </c>
      <c r="AV63" s="1086" t="s">
        <v>1008</v>
      </c>
      <c r="AW63" s="1086" t="s">
        <v>1009</v>
      </c>
      <c r="AX63" s="99">
        <v>0</v>
      </c>
      <c r="AY63" s="99">
        <v>1.0450000000000088E-2</v>
      </c>
      <c r="AZ63" s="99">
        <v>3.2500000000000175E-2</v>
      </c>
      <c r="BA63" s="99">
        <v>6.1800000000000042E-2</v>
      </c>
      <c r="BB63" s="99">
        <v>8.1399999999999958E-2</v>
      </c>
      <c r="BC63" s="99">
        <v>9.1699999999999865E-2</v>
      </c>
      <c r="BD63" s="99">
        <v>0.10200000000000013</v>
      </c>
      <c r="BF63" s="1483">
        <v>2</v>
      </c>
      <c r="BG63" s="1453">
        <f t="array" ref="BG63">INDEX(BG$35:BG$37,MATCH($BI$39,$BF$35:$BF$37,0)) * $BQ63</f>
        <v>0</v>
      </c>
      <c r="BH63" s="1453">
        <f t="array" ref="BH63">INDEX(BH$35:BH$37,MATCH($BI$39,$BF$35:$BF$37,0)) * $BQ63</f>
        <v>3.5700813180828727E-3</v>
      </c>
      <c r="BI63" s="1453">
        <f t="array" ref="BI63">INDEX(BI$35:BI$37,MATCH($BI$39,$BF$35:$BF$37,0)) * $BQ63</f>
        <v>1.101843510732514E-2</v>
      </c>
      <c r="BJ63" s="1453">
        <f t="array" ref="BJ63">INDEX(BJ$35:BJ$37,MATCH($BI$39,$BF$35:$BF$37,0)) * $BQ63</f>
        <v>2.2990894630979024E-2</v>
      </c>
      <c r="BK63" s="1453">
        <f t="array" ref="BK63">INDEX(BK$35:BK$37,MATCH($BI$39,$BF$35:$BF$37,0)) * $BQ63</f>
        <v>3.9633102589929248E-2</v>
      </c>
      <c r="BL63" s="1453">
        <f t="array" ref="BL63">INDEX(BL$35:BL$37,MATCH($BI$39,$BF$35:$BF$37,0)) * $BQ63</f>
        <v>5.86360496449932E-2</v>
      </c>
      <c r="BM63" s="1453">
        <f t="array" ref="BM63">INDEX(BM$35:BM$37,MATCH($BI$39,$BF$35:$BF$37,0)) * $BQ63</f>
        <v>7.6020095111892519E-2</v>
      </c>
      <c r="BN63" s="1453">
        <f t="array" ref="BN63">INDEX(BN$35:BN$37,MATCH($BI$39,$BF$35:$BF$37,0)) * $BQ63</f>
        <v>8.8980553848421226E-2</v>
      </c>
      <c r="BO63" s="1453">
        <f t="array" ref="BO63">INDEX(BO$35:BO$37,MATCH($BI$39,$BF$35:$BF$37,0)) * $BQ63</f>
        <v>9.724426207421287E-2</v>
      </c>
      <c r="BP63" s="1453">
        <f t="array" ref="BP63">INDEX(BP$35:BP$37,MATCH($BI$39,$BF$35:$BF$37,0)) * $BQ63</f>
        <v>0.10200000000000013</v>
      </c>
      <c r="BQ63" s="609">
        <f t="shared" si="10"/>
        <v>0.10200000000000013</v>
      </c>
      <c r="BR63" s="1484"/>
      <c r="BS63" s="1459"/>
      <c r="BT63" s="1459" t="s">
        <v>110</v>
      </c>
      <c r="BU63" s="1456" t="s">
        <v>2223</v>
      </c>
      <c r="BV63" s="1456">
        <v>2012</v>
      </c>
      <c r="BW63" s="1456">
        <v>2016</v>
      </c>
      <c r="BX63" s="1456">
        <v>2020</v>
      </c>
      <c r="BY63" s="1456">
        <v>2024</v>
      </c>
      <c r="BZ63" s="1456">
        <v>2028</v>
      </c>
      <c r="CA63" s="1456">
        <v>2032</v>
      </c>
    </row>
    <row r="64" spans="1:79">
      <c r="A64" s="1200" t="s">
        <v>96</v>
      </c>
      <c r="B64" s="1166" t="s">
        <v>636</v>
      </c>
      <c r="C64" s="607">
        <v>4.4999999999999998E-2</v>
      </c>
      <c r="D64" s="607">
        <v>3.5000000000000003E-2</v>
      </c>
      <c r="E64" s="607">
        <v>0.04</v>
      </c>
      <c r="F64" s="607">
        <v>0.01</v>
      </c>
      <c r="G64" s="607">
        <v>0.05</v>
      </c>
      <c r="H64" s="607">
        <v>0.05</v>
      </c>
      <c r="I64" s="607">
        <v>0.1</v>
      </c>
      <c r="J64" s="607">
        <v>8.0700000000000008E-2</v>
      </c>
      <c r="K64" s="1175"/>
      <c r="L64" s="1168"/>
      <c r="M64" s="1168"/>
      <c r="N64" s="1168"/>
      <c r="O64" s="1168"/>
      <c r="P64" s="1168"/>
      <c r="Q64" s="1168"/>
      <c r="R64" s="1168"/>
      <c r="S64" s="1168"/>
      <c r="T64" s="1168"/>
      <c r="U64" s="1168"/>
      <c r="V64" s="1164"/>
      <c r="W64" s="1164"/>
      <c r="X64" s="1164"/>
      <c r="Y64" s="1164"/>
      <c r="Z64" s="1164"/>
      <c r="AA64" s="1164"/>
      <c r="AB64" s="1168"/>
      <c r="AC64" s="1164"/>
      <c r="AD64" s="1164"/>
      <c r="AE64" s="1164"/>
      <c r="AF64" s="1365"/>
      <c r="AG64" s="1365"/>
      <c r="AH64" s="483"/>
      <c r="AS64" s="1456" t="s">
        <v>2225</v>
      </c>
      <c r="AT64" s="1164" t="s">
        <v>1303</v>
      </c>
      <c r="AU64" s="1086">
        <v>2</v>
      </c>
      <c r="AV64" s="1086" t="s">
        <v>1006</v>
      </c>
      <c r="AW64" s="1086" t="s">
        <v>1007</v>
      </c>
      <c r="AX64" s="99">
        <v>0</v>
      </c>
      <c r="AY64" s="99">
        <v>2.1324999999999993E-2</v>
      </c>
      <c r="AZ64" s="99">
        <v>5.7550000000000032E-2</v>
      </c>
      <c r="BA64" s="99">
        <v>7.8350000000000017E-2</v>
      </c>
      <c r="BB64" s="99">
        <v>9.5649999999999985E-2</v>
      </c>
      <c r="BC64" s="99">
        <v>0.10884999999999999</v>
      </c>
      <c r="BD64" s="99">
        <v>0.12205000000000002</v>
      </c>
      <c r="BF64" s="1483">
        <v>2</v>
      </c>
      <c r="BG64" s="1453">
        <f t="array" ref="BG64">INDEX(BG$35:BG$37,MATCH($BI$39,$BF$35:$BF$37,0)) * $BQ64</f>
        <v>0</v>
      </c>
      <c r="BH64" s="1453">
        <f t="array" ref="BH64">INDEX(BH$35:BH$37,MATCH($BI$39,$BF$35:$BF$37,0)) * $BQ64</f>
        <v>4.2718473026668053E-3</v>
      </c>
      <c r="BI64" s="1453">
        <f t="array" ref="BI64">INDEX(BI$35:BI$37,MATCH($BI$39,$BF$35:$BF$37,0)) * $BQ64</f>
        <v>1.3184313773029725E-2</v>
      </c>
      <c r="BJ64" s="1453">
        <f t="array" ref="BJ64">INDEX(BJ$35:BJ$37,MATCH($BI$39,$BF$35:$BF$37,0)) * $BQ64</f>
        <v>2.7510183232460655E-2</v>
      </c>
      <c r="BK64" s="1453">
        <f t="array" ref="BK64">INDEX(BK$35:BK$37,MATCH($BI$39,$BF$35:$BF$37,0)) * $BQ64</f>
        <v>4.7423727167655486E-2</v>
      </c>
      <c r="BL64" s="1453">
        <f t="array" ref="BL64">INDEX(BL$35:BL$37,MATCH($BI$39,$BF$35:$BF$37,0)) * $BQ64</f>
        <v>7.0162057442856973E-2</v>
      </c>
      <c r="BM64" s="1453">
        <f t="array" ref="BM64">INDEX(BM$35:BM$37,MATCH($BI$39,$BF$35:$BF$37,0)) * $BQ64</f>
        <v>9.0963260866730108E-2</v>
      </c>
      <c r="BN64" s="1453">
        <f t="array" ref="BN64">INDEX(BN$35:BN$37,MATCH($BI$39,$BF$35:$BF$37,0)) * $BQ64</f>
        <v>0.1064713391882333</v>
      </c>
      <c r="BO64" s="1453">
        <f t="array" ref="BO64">INDEX(BO$35:BO$37,MATCH($BI$39,$BF$35:$BF$37,0)) * $BQ64</f>
        <v>0.11635943319762419</v>
      </c>
      <c r="BP64" s="1453">
        <f t="array" ref="BP64">INDEX(BP$35:BP$37,MATCH($BI$39,$BF$35:$BF$37,0)) * $BQ64</f>
        <v>0.12205000000000002</v>
      </c>
      <c r="BQ64" s="609">
        <f t="shared" si="10"/>
        <v>0.12205000000000002</v>
      </c>
      <c r="BR64" s="1484"/>
      <c r="BS64" s="1459"/>
      <c r="BT64" s="1459" t="s">
        <v>2224</v>
      </c>
      <c r="BU64" s="1456" t="s">
        <v>1310</v>
      </c>
      <c r="BV64" s="1456">
        <v>0</v>
      </c>
      <c r="BW64" s="1456">
        <v>0</v>
      </c>
      <c r="BX64" s="1456">
        <v>0</v>
      </c>
      <c r="BY64" s="1456">
        <v>0</v>
      </c>
      <c r="BZ64" s="1456">
        <v>0</v>
      </c>
      <c r="CA64" s="1456">
        <v>0</v>
      </c>
    </row>
    <row r="65" spans="1:92">
      <c r="A65" s="1200" t="s">
        <v>438</v>
      </c>
      <c r="B65" s="1166" t="s">
        <v>409</v>
      </c>
      <c r="C65" s="607">
        <v>8.1179476487047514E-2</v>
      </c>
      <c r="D65" s="607">
        <v>0.01</v>
      </c>
      <c r="E65" s="607">
        <v>0.05</v>
      </c>
      <c r="F65" s="607">
        <v>0</v>
      </c>
      <c r="G65" s="607">
        <v>0</v>
      </c>
      <c r="H65" s="607">
        <v>0.23</v>
      </c>
      <c r="I65" s="607">
        <v>0</v>
      </c>
      <c r="J65" s="607">
        <v>5.1400000000000008E-2</v>
      </c>
      <c r="K65" s="1168"/>
      <c r="L65" s="1168"/>
      <c r="M65" s="1168"/>
      <c r="N65" s="1168"/>
      <c r="O65" s="1168"/>
      <c r="P65" s="1168"/>
      <c r="Q65" s="1168"/>
      <c r="R65" s="1168"/>
      <c r="S65" s="1168"/>
      <c r="T65" s="1168"/>
      <c r="U65" s="1168"/>
      <c r="V65" s="1164"/>
      <c r="W65" s="1164"/>
      <c r="X65" s="1164"/>
      <c r="Y65" s="1168"/>
      <c r="Z65" s="1168"/>
      <c r="AA65" s="1168"/>
      <c r="AB65" s="1168"/>
      <c r="AC65" s="1164"/>
      <c r="AD65" s="1164"/>
      <c r="AE65" s="1164"/>
      <c r="AF65" s="1365"/>
      <c r="AG65" s="1365"/>
      <c r="AH65" s="483"/>
      <c r="AS65" s="1456" t="s">
        <v>2225</v>
      </c>
      <c r="AT65" s="1164" t="s">
        <v>1303</v>
      </c>
      <c r="AU65" s="1086">
        <v>2</v>
      </c>
      <c r="AV65" s="1086" t="s">
        <v>1004</v>
      </c>
      <c r="AW65" s="1086" t="s">
        <v>1005</v>
      </c>
      <c r="AX65" s="99">
        <v>0</v>
      </c>
      <c r="AY65" s="99">
        <v>1.6350000000000035E-2</v>
      </c>
      <c r="AZ65" s="99">
        <v>5.3300000000000104E-2</v>
      </c>
      <c r="BA65" s="99">
        <v>7.6600000000000001E-2</v>
      </c>
      <c r="BB65" s="99">
        <v>9.3399999999999969E-2</v>
      </c>
      <c r="BC65" s="99">
        <v>0.10489999999999997</v>
      </c>
      <c r="BD65" s="99">
        <v>0.11640000000000002</v>
      </c>
      <c r="BF65" s="1483">
        <v>2</v>
      </c>
      <c r="BG65" s="1453">
        <f t="array" ref="BG65">INDEX(BG$35:BG$37,MATCH($BI$39,$BF$35:$BF$37,0)) * $BQ65</f>
        <v>0</v>
      </c>
      <c r="BH65" s="1453">
        <f t="array" ref="BH65">INDEX(BH$35:BH$37,MATCH($BI$39,$BF$35:$BF$37,0)) * $BQ65</f>
        <v>4.0740927982828032E-3</v>
      </c>
      <c r="BI65" s="1453">
        <f t="array" ref="BI65">INDEX(BI$35:BI$37,MATCH($BI$39,$BF$35:$BF$37,0)) * $BQ65</f>
        <v>1.2573978887182794E-2</v>
      </c>
      <c r="BJ65" s="1453">
        <f t="array" ref="BJ65">INDEX(BJ$35:BJ$37,MATCH($BI$39,$BF$35:$BF$37,0)) * $BQ65</f>
        <v>2.6236667990646622E-2</v>
      </c>
      <c r="BK65" s="1453">
        <f t="array" ref="BK65">INDEX(BK$35:BK$37,MATCH($BI$39,$BF$35:$BF$37,0)) * $BQ65</f>
        <v>4.5228364132036854E-2</v>
      </c>
      <c r="BL65" s="1453">
        <f t="array" ref="BL65">INDEX(BL$35:BL$37,MATCH($BI$39,$BF$35:$BF$37,0)) * $BQ65</f>
        <v>6.6914080183109806E-2</v>
      </c>
      <c r="BM65" s="1453">
        <f t="array" ref="BM65">INDEX(BM$35:BM$37,MATCH($BI$39,$BF$35:$BF$37,0)) * $BQ65</f>
        <v>8.675234383357136E-2</v>
      </c>
      <c r="BN65" s="1453">
        <f t="array" ref="BN65">INDEX(BN$35:BN$37,MATCH($BI$39,$BF$35:$BF$37,0)) * $BQ65</f>
        <v>0.10154251439172762</v>
      </c>
      <c r="BO65" s="1453">
        <f t="array" ref="BO65">INDEX(BO$35:BO$37,MATCH($BI$39,$BF$35:$BF$37,0)) * $BQ65</f>
        <v>0.1109728637788075</v>
      </c>
      <c r="BP65" s="1453">
        <f t="array" ref="BP65">INDEX(BP$35:BP$37,MATCH($BI$39,$BF$35:$BF$37,0)) * $BQ65</f>
        <v>0.11640000000000002</v>
      </c>
      <c r="BQ65" s="609">
        <f t="shared" si="10"/>
        <v>0.11640000000000002</v>
      </c>
      <c r="BR65" s="1484"/>
      <c r="BS65" s="1459"/>
      <c r="BT65" s="1459"/>
      <c r="BU65" s="1456" t="s">
        <v>1312</v>
      </c>
      <c r="BV65" s="1456">
        <v>0</v>
      </c>
      <c r="BW65" s="1456">
        <v>3</v>
      </c>
      <c r="BX65" s="1456">
        <v>6</v>
      </c>
      <c r="BY65" s="1456">
        <v>9</v>
      </c>
      <c r="BZ65" s="1456">
        <v>12</v>
      </c>
      <c r="CA65" s="1456">
        <v>15</v>
      </c>
    </row>
    <row r="66" spans="1:92">
      <c r="A66" s="1200" t="s">
        <v>999</v>
      </c>
      <c r="B66" s="1166" t="s">
        <v>638</v>
      </c>
      <c r="C66" s="607">
        <v>0.08</v>
      </c>
      <c r="D66" s="607">
        <v>0.02</v>
      </c>
      <c r="E66" s="607">
        <v>0.02</v>
      </c>
      <c r="F66" s="607">
        <v>0.01</v>
      </c>
      <c r="G66" s="607">
        <v>0.02</v>
      </c>
      <c r="H66" s="607">
        <v>0.06</v>
      </c>
      <c r="I66" s="607">
        <v>0.04</v>
      </c>
      <c r="J66" s="607">
        <v>8.4900000000000003E-2</v>
      </c>
      <c r="K66" s="1168"/>
      <c r="L66" s="1168"/>
      <c r="M66" s="1168"/>
      <c r="N66" s="1168"/>
      <c r="O66" s="1168"/>
      <c r="P66" s="1168"/>
      <c r="Q66" s="1168"/>
      <c r="R66" s="1168"/>
      <c r="S66" s="1168"/>
      <c r="T66" s="1168"/>
      <c r="U66" s="1168"/>
      <c r="V66" s="1164"/>
      <c r="W66" s="1164"/>
      <c r="X66" s="1164"/>
      <c r="Y66" s="1168"/>
      <c r="Z66" s="1168"/>
      <c r="AA66" s="1168"/>
      <c r="AB66" s="1168"/>
      <c r="AC66" s="1164"/>
      <c r="AD66" s="1164"/>
      <c r="AE66" s="1164"/>
      <c r="AF66" s="1365"/>
      <c r="AG66" s="1365"/>
      <c r="AH66" s="483"/>
      <c r="AS66" s="1456" t="s">
        <v>2225</v>
      </c>
      <c r="AT66" s="1164" t="s">
        <v>1303</v>
      </c>
      <c r="AU66" s="1086">
        <v>2</v>
      </c>
      <c r="AV66" s="1086" t="s">
        <v>1002</v>
      </c>
      <c r="AW66" s="1086" t="s">
        <v>1003</v>
      </c>
      <c r="AX66" s="99">
        <v>0</v>
      </c>
      <c r="AY66" s="99">
        <v>4.8400000000000089E-2</v>
      </c>
      <c r="AZ66" s="99">
        <v>0.11159999999999995</v>
      </c>
      <c r="BA66" s="99">
        <v>0.13169999999999996</v>
      </c>
      <c r="BB66" s="99">
        <v>0.14660000000000004</v>
      </c>
      <c r="BC66" s="99">
        <v>0.15329999999999994</v>
      </c>
      <c r="BD66" s="99">
        <v>0.16</v>
      </c>
      <c r="BF66" s="1483">
        <v>2</v>
      </c>
      <c r="BG66" s="1453">
        <f t="array" ref="BG66">INDEX(BG$35:BG$37,MATCH($BI$39,$BF$35:$BF$37,0)) * $BQ66</f>
        <v>0</v>
      </c>
      <c r="BH66" s="1453">
        <f t="array" ref="BH66">INDEX(BH$35:BH$37,MATCH($BI$39,$BF$35:$BF$37,0)) * $BQ66</f>
        <v>5.6001275577770484E-3</v>
      </c>
      <c r="BI66" s="1453">
        <f t="array" ref="BI66">INDEX(BI$35:BI$37,MATCH($BI$39,$BF$35:$BF$37,0)) * $BQ66</f>
        <v>1.7283819776196276E-2</v>
      </c>
      <c r="BJ66" s="1453">
        <f t="array" ref="BJ66">INDEX(BJ$35:BJ$37,MATCH($BI$39,$BF$35:$BF$37,0)) * $BQ66</f>
        <v>3.6064148440751363E-2</v>
      </c>
      <c r="BK66" s="1453">
        <f t="array" ref="BK66">INDEX(BK$35:BK$37,MATCH($BI$39,$BF$35:$BF$37,0)) * $BQ66</f>
        <v>6.2169572690085016E-2</v>
      </c>
      <c r="BL66" s="1453">
        <f t="array" ref="BL66">INDEX(BL$35:BL$37,MATCH($BI$39,$BF$35:$BF$37,0)) * $BQ66</f>
        <v>9.1978117090185288E-2</v>
      </c>
      <c r="BM66" s="1453">
        <f t="array" ref="BM66">INDEX(BM$35:BM$37,MATCH($BI$39,$BF$35:$BF$37,0)) * $BQ66</f>
        <v>0.11924720801865478</v>
      </c>
      <c r="BN66" s="1453">
        <f t="array" ref="BN66">INDEX(BN$35:BN$37,MATCH($BI$39,$BF$35:$BF$37,0)) * $BQ66</f>
        <v>0.13957733937007233</v>
      </c>
      <c r="BO66" s="1453">
        <f t="array" ref="BO66">INDEX(BO$35:BO$37,MATCH($BI$39,$BF$35:$BF$37,0)) * $BQ66</f>
        <v>0.15254001893994157</v>
      </c>
      <c r="BP66" s="1453">
        <f t="array" ref="BP66">INDEX(BP$35:BP$37,MATCH($BI$39,$BF$35:$BF$37,0)) * $BQ66</f>
        <v>0.16</v>
      </c>
      <c r="BQ66" s="609">
        <f t="shared" si="10"/>
        <v>0.16</v>
      </c>
      <c r="BR66" s="1484"/>
      <c r="BS66" s="1459"/>
      <c r="BT66" s="1459"/>
      <c r="BU66" s="1456" t="s">
        <v>1311</v>
      </c>
      <c r="BV66" s="1456">
        <v>10</v>
      </c>
      <c r="BW66" s="1456">
        <v>16</v>
      </c>
      <c r="BX66" s="1456">
        <v>18</v>
      </c>
      <c r="BY66" s="1456">
        <v>20</v>
      </c>
      <c r="BZ66" s="1456">
        <v>20</v>
      </c>
      <c r="CA66" s="1456">
        <v>20</v>
      </c>
    </row>
    <row r="67" spans="1:92">
      <c r="A67" s="1200" t="s">
        <v>997</v>
      </c>
      <c r="B67" s="1166" t="s">
        <v>998</v>
      </c>
      <c r="C67" s="607">
        <v>0.1788716237927602</v>
      </c>
      <c r="D67" s="607">
        <v>2.5000000000000001E-2</v>
      </c>
      <c r="E67" s="607">
        <v>0.35</v>
      </c>
      <c r="F67" s="607">
        <v>0</v>
      </c>
      <c r="G67" s="607">
        <v>8.5000000000000006E-2</v>
      </c>
      <c r="H67" s="607">
        <v>0.28000000000000003</v>
      </c>
      <c r="I67" s="607">
        <v>0.35</v>
      </c>
      <c r="J67" s="607">
        <v>0.13</v>
      </c>
      <c r="K67" s="1168"/>
      <c r="L67" s="1168"/>
      <c r="M67" s="1168"/>
      <c r="N67" s="1168"/>
      <c r="O67" s="1164"/>
      <c r="P67" s="1164"/>
      <c r="Q67" s="1164"/>
      <c r="R67" s="1164"/>
      <c r="S67" s="1164"/>
      <c r="T67" s="1164"/>
      <c r="U67" s="1164"/>
      <c r="V67" s="1164"/>
      <c r="W67" s="1164"/>
      <c r="X67" s="1164"/>
      <c r="Y67" s="1168"/>
      <c r="Z67" s="1168"/>
      <c r="AA67" s="1168"/>
      <c r="AB67" s="1168"/>
      <c r="AC67" s="1168"/>
      <c r="AD67" s="1168"/>
      <c r="AE67" s="1168"/>
      <c r="AF67" s="1365"/>
      <c r="AG67" s="1365"/>
      <c r="AH67" s="483"/>
      <c r="AS67" s="1456" t="s">
        <v>2225</v>
      </c>
      <c r="AT67" s="1164" t="s">
        <v>1303</v>
      </c>
      <c r="AU67" s="1086">
        <v>2</v>
      </c>
      <c r="AV67" s="1086" t="s">
        <v>97</v>
      </c>
      <c r="AW67" s="1086" t="s">
        <v>1001</v>
      </c>
      <c r="AX67" s="99">
        <v>0</v>
      </c>
      <c r="AY67" s="99">
        <v>2.4595077914446095E-2</v>
      </c>
      <c r="AZ67" s="99">
        <v>7.0474984295527801E-2</v>
      </c>
      <c r="BA67" s="99">
        <v>9.5329996555147983E-2</v>
      </c>
      <c r="BB67" s="99">
        <v>0.11312032665302231</v>
      </c>
      <c r="BC67" s="99">
        <v>0.12490172039960282</v>
      </c>
      <c r="BD67" s="99">
        <v>0.13668311414618331</v>
      </c>
      <c r="BF67" s="1483">
        <v>2</v>
      </c>
      <c r="BG67" s="1453">
        <f t="array" ref="BG67">INDEX(BG$35:BG$37,MATCH($BI$39,$BF$35:$BF$37,0)) * $BQ67</f>
        <v>0</v>
      </c>
      <c r="BH67" s="1453">
        <f t="array" ref="BH67">INDEX(BH$35:BH$37,MATCH($BI$39,$BF$35:$BF$37,0)) * $BQ67</f>
        <v>4.7840179638301691E-3</v>
      </c>
      <c r="BI67" s="1453">
        <f t="array" ref="BI67">INDEX(BI$35:BI$37,MATCH($BI$39,$BF$35:$BF$37,0)) * $BQ67</f>
        <v>1.4765039445949351E-2</v>
      </c>
      <c r="BJ67" s="1453">
        <f t="array" ref="BJ67">INDEX(BJ$35:BJ$37,MATCH($BI$39,$BF$35:$BF$37,0)) * $BQ67</f>
        <v>3.0808500736950736E-2</v>
      </c>
      <c r="BK67" s="1453">
        <f t="array" ref="BK67">INDEX(BK$35:BK$37,MATCH($BI$39,$BF$35:$BF$37,0)) * $BQ67</f>
        <v>5.3109567502614564E-2</v>
      </c>
      <c r="BL67" s="1453">
        <f t="array" ref="BL67">INDEX(BL$35:BL$37,MATCH($BI$39,$BF$35:$BF$37,0)) * $BQ67</f>
        <v>7.8574096732430057E-2</v>
      </c>
      <c r="BM67" s="1453">
        <f t="array" ref="BM67">INDEX(BM$35:BM$37,MATCH($BI$39,$BF$35:$BF$37,0)) * $BQ67</f>
        <v>0.1018692484076716</v>
      </c>
      <c r="BN67" s="1453">
        <f t="array" ref="BN67">INDEX(BN$35:BN$37,MATCH($BI$39,$BF$35:$BF$37,0)) * $BQ67</f>
        <v>0.119236658808376</v>
      </c>
      <c r="BO67" s="1453">
        <f t="array" ref="BO67">INDEX(BO$35:BO$37,MATCH($BI$39,$BF$35:$BF$37,0)) * $BQ67</f>
        <v>0.13031028012893123</v>
      </c>
      <c r="BP67" s="1453">
        <f t="array" ref="BP67">INDEX(BP$35:BP$37,MATCH($BI$39,$BF$35:$BF$37,0)) * $BQ67</f>
        <v>0.13668311414618331</v>
      </c>
      <c r="BQ67" s="609">
        <f t="shared" si="10"/>
        <v>0.13668311414618331</v>
      </c>
      <c r="BR67" s="1484"/>
      <c r="BS67" s="1459"/>
      <c r="BT67" s="1459"/>
      <c r="BU67" s="1456" t="s">
        <v>96</v>
      </c>
      <c r="BV67" s="1456">
        <v>8</v>
      </c>
      <c r="BW67" s="1456">
        <v>36</v>
      </c>
      <c r="BX67" s="1456">
        <v>40</v>
      </c>
      <c r="BY67" s="1456">
        <v>40</v>
      </c>
      <c r="BZ67" s="1456">
        <v>40</v>
      </c>
      <c r="CA67" s="1456">
        <v>40</v>
      </c>
    </row>
    <row r="68" spans="1:92">
      <c r="A68" s="1200" t="s">
        <v>996</v>
      </c>
      <c r="B68" s="1166" t="s">
        <v>352</v>
      </c>
      <c r="C68" s="607">
        <v>6.8871623792760225E-2</v>
      </c>
      <c r="D68" s="607">
        <v>4.4999999999999998E-2</v>
      </c>
      <c r="E68" s="607">
        <v>0.08</v>
      </c>
      <c r="F68" s="607">
        <v>0</v>
      </c>
      <c r="G68" s="607">
        <v>0.09</v>
      </c>
      <c r="H68" s="607">
        <v>0.04</v>
      </c>
      <c r="I68" s="607">
        <v>0</v>
      </c>
      <c r="J68" s="607">
        <v>5.5350000000000003E-2</v>
      </c>
      <c r="K68" s="1168"/>
      <c r="L68" s="1168"/>
      <c r="M68" s="1168"/>
      <c r="N68" s="1168"/>
      <c r="O68" s="1164"/>
      <c r="P68" s="1164"/>
      <c r="Q68" s="1164"/>
      <c r="R68" s="1164"/>
      <c r="S68" s="1164"/>
      <c r="T68" s="1164"/>
      <c r="U68" s="1164"/>
      <c r="V68" s="1164"/>
      <c r="W68" s="1164"/>
      <c r="X68" s="1164"/>
      <c r="Y68" s="1168"/>
      <c r="Z68" s="1168"/>
      <c r="AA68" s="1168"/>
      <c r="AB68" s="1168"/>
      <c r="AC68" s="1168"/>
      <c r="AD68" s="1168"/>
      <c r="AE68" s="1168"/>
      <c r="AF68" s="1365"/>
      <c r="AG68" s="1365"/>
      <c r="AH68" s="483"/>
      <c r="AW68" s="602" t="s">
        <v>102</v>
      </c>
      <c r="AX68" s="1471">
        <v>0</v>
      </c>
      <c r="AY68" s="1471">
        <v>2.2562981269849243E-2</v>
      </c>
      <c r="AZ68" s="1471">
        <v>5.8356098130954326E-2</v>
      </c>
      <c r="BA68" s="1471">
        <v>8.0660505860486634E-2</v>
      </c>
      <c r="BB68" s="1471">
        <v>9.7654874236742045E-2</v>
      </c>
      <c r="BC68" s="1471">
        <v>0.1088345315494207</v>
      </c>
      <c r="BD68" s="1471">
        <v>0.12036916695815021</v>
      </c>
      <c r="BF68" s="1473"/>
      <c r="BG68" s="1454"/>
      <c r="BH68" s="1454"/>
      <c r="BI68" s="1454"/>
      <c r="BJ68" s="1454"/>
      <c r="BK68" s="1454"/>
      <c r="BL68" s="1454"/>
      <c r="BM68" s="1454"/>
      <c r="BN68" s="1454"/>
      <c r="BO68" s="1454"/>
      <c r="BP68" s="1455"/>
      <c r="BQ68" s="1486"/>
      <c r="BR68" s="1484"/>
      <c r="BS68" s="1459"/>
      <c r="BT68" s="1459"/>
      <c r="BU68" s="1456" t="s">
        <v>438</v>
      </c>
      <c r="BV68" s="1456">
        <v>1</v>
      </c>
      <c r="BW68" s="1456">
        <v>3</v>
      </c>
      <c r="BX68" s="1456">
        <v>6</v>
      </c>
      <c r="BY68" s="1456">
        <v>8</v>
      </c>
      <c r="BZ68" s="1456">
        <v>9</v>
      </c>
      <c r="CA68" s="1456">
        <v>10</v>
      </c>
      <c r="CC68" s="36"/>
      <c r="CJ68" s="36"/>
      <c r="CK68" s="36"/>
      <c r="CL68" s="36"/>
      <c r="CM68" s="36"/>
      <c r="CN68" s="36"/>
    </row>
    <row r="69" spans="1:92">
      <c r="A69" s="1200" t="s">
        <v>995</v>
      </c>
      <c r="B69" s="1166" t="s">
        <v>782</v>
      </c>
      <c r="C69" s="607">
        <v>0.3379309937720022</v>
      </c>
      <c r="D69" s="607">
        <v>0.41499999999999998</v>
      </c>
      <c r="E69" s="607">
        <v>0.2</v>
      </c>
      <c r="F69" s="607">
        <v>7.0000000000000007E-2</v>
      </c>
      <c r="G69" s="607">
        <v>0.39500000000000002</v>
      </c>
      <c r="H69" s="607">
        <v>0.21</v>
      </c>
      <c r="I69" s="607">
        <v>0.14000000000000001</v>
      </c>
      <c r="J69" s="607">
        <v>0.36883000000000005</v>
      </c>
      <c r="K69" s="1168"/>
      <c r="L69" s="1168"/>
      <c r="M69" s="1168"/>
      <c r="N69" s="1168"/>
      <c r="O69" s="1164"/>
      <c r="P69" s="1164"/>
      <c r="Q69" s="1164"/>
      <c r="R69" s="1164"/>
      <c r="S69" s="1164"/>
      <c r="T69" s="1164"/>
      <c r="U69" s="1164"/>
      <c r="V69" s="1164"/>
      <c r="W69" s="1164"/>
      <c r="X69" s="1164"/>
      <c r="Y69" s="1168"/>
      <c r="Z69" s="1168"/>
      <c r="AA69" s="1168"/>
      <c r="AB69" s="1168"/>
      <c r="AC69" s="1168"/>
      <c r="AD69" s="1168"/>
      <c r="AE69" s="1168"/>
      <c r="AF69" s="1365"/>
      <c r="AG69" s="1365"/>
      <c r="AH69" s="483"/>
      <c r="AS69" s="1456" t="s">
        <v>2225</v>
      </c>
      <c r="AT69" s="1164" t="s">
        <v>1306</v>
      </c>
      <c r="AU69" s="1086">
        <v>1</v>
      </c>
      <c r="AV69" s="1086" t="s">
        <v>1014</v>
      </c>
      <c r="AW69" s="1086" t="s">
        <v>1015</v>
      </c>
      <c r="AX69" s="99">
        <v>0</v>
      </c>
      <c r="AY69" s="99">
        <v>1E-3</v>
      </c>
      <c r="AZ69" s="99">
        <v>3.0000000000000001E-3</v>
      </c>
      <c r="BA69" s="99">
        <v>7.0000000000000001E-3</v>
      </c>
      <c r="BB69" s="99">
        <v>7.0000000000000001E-3</v>
      </c>
      <c r="BC69" s="99">
        <v>7.0000000000000001E-3</v>
      </c>
      <c r="BD69" s="99">
        <v>7.0000000000000001E-3</v>
      </c>
      <c r="BF69" s="1483">
        <v>1</v>
      </c>
      <c r="BG69" s="1372">
        <f t="array" ref="BG69">INDEX(BG$35:BG$37,MATCH($BI$39,$BF$35:$BF$37,0)) * $BQ69</f>
        <v>0</v>
      </c>
      <c r="BH69" s="1367">
        <f t="array" ref="BH69">INDEX(BH$35:BH$37,MATCH($BI$39,$BF$35:$BF$37,0)) * $BQ69</f>
        <v>2.4500558065274585E-4</v>
      </c>
      <c r="BI69" s="1367">
        <f t="array" ref="BI69">INDEX(BI$35:BI$37,MATCH($BI$39,$BF$35:$BF$37,0)) * $BQ69</f>
        <v>7.5616711520858711E-4</v>
      </c>
      <c r="BJ69" s="1367">
        <f t="array" ref="BJ69">INDEX(BJ$35:BJ$37,MATCH($BI$39,$BF$35:$BF$37,0)) * $BQ69</f>
        <v>1.5778064942828722E-3</v>
      </c>
      <c r="BK69" s="1367">
        <f t="array" ref="BK69">INDEX(BK$35:BK$37,MATCH($BI$39,$BF$35:$BF$37,0)) * $BQ69</f>
        <v>2.7199188051912197E-3</v>
      </c>
      <c r="BL69" s="1367">
        <f t="array" ref="BL69">INDEX(BL$35:BL$37,MATCH($BI$39,$BF$35:$BF$37,0)) * $BQ69</f>
        <v>4.0240426226956063E-3</v>
      </c>
      <c r="BM69" s="1367">
        <f t="array" ref="BM69">INDEX(BM$35:BM$37,MATCH($BI$39,$BF$35:$BF$37,0)) * $BQ69</f>
        <v>5.2170653508161469E-3</v>
      </c>
      <c r="BN69" s="1367">
        <f t="array" ref="BN69">INDEX(BN$35:BN$37,MATCH($BI$39,$BF$35:$BF$37,0)) * $BQ69</f>
        <v>6.1065085974406639E-3</v>
      </c>
      <c r="BO69" s="1367">
        <f t="array" ref="BO69">INDEX(BO$35:BO$37,MATCH($BI$39,$BF$35:$BF$37,0)) * $BQ69</f>
        <v>6.6736258286224431E-3</v>
      </c>
      <c r="BP69" s="1367">
        <f t="array" ref="BP69">INDEX(BP$35:BP$37,MATCH($BI$39,$BF$35:$BF$37,0)) * $BQ69</f>
        <v>7.0000000000000001E-3</v>
      </c>
      <c r="BQ69" s="604">
        <f t="shared" ref="BQ69:BQ76" si="11">BD69</f>
        <v>7.0000000000000001E-3</v>
      </c>
      <c r="BR69" s="1484"/>
      <c r="BS69" s="1459"/>
      <c r="BT69" s="1459"/>
      <c r="BU69" s="1456" t="s">
        <v>999</v>
      </c>
      <c r="BV69" s="1456">
        <v>3</v>
      </c>
      <c r="BW69" s="1456">
        <v>9</v>
      </c>
      <c r="BX69" s="1456">
        <v>18</v>
      </c>
      <c r="BY69" s="1456">
        <v>24</v>
      </c>
      <c r="BZ69" s="1456">
        <v>27</v>
      </c>
      <c r="CA69" s="1456">
        <v>30</v>
      </c>
      <c r="CC69" s="603"/>
      <c r="CJ69" s="603"/>
      <c r="CK69" s="603"/>
      <c r="CL69" s="603"/>
      <c r="CM69" s="603"/>
      <c r="CN69" s="603"/>
    </row>
    <row r="70" spans="1:92">
      <c r="A70" s="1200" t="s">
        <v>994</v>
      </c>
      <c r="B70" s="1166" t="s">
        <v>416</v>
      </c>
      <c r="C70" s="607">
        <v>2.3E-3</v>
      </c>
      <c r="D70" s="607">
        <v>0</v>
      </c>
      <c r="E70" s="607">
        <v>0.08</v>
      </c>
      <c r="F70" s="607">
        <v>0.9</v>
      </c>
      <c r="G70" s="607">
        <v>0</v>
      </c>
      <c r="H70" s="607">
        <v>0</v>
      </c>
      <c r="I70" s="607">
        <v>0</v>
      </c>
      <c r="J70" s="607">
        <v>1.302E-2</v>
      </c>
      <c r="K70" s="1168"/>
      <c r="L70" s="1168"/>
      <c r="M70" s="1168"/>
      <c r="N70" s="1168"/>
      <c r="O70" s="1164"/>
      <c r="P70" s="1164"/>
      <c r="Q70" s="1164"/>
      <c r="R70" s="1164"/>
      <c r="S70" s="1164"/>
      <c r="T70" s="1164"/>
      <c r="U70" s="1164"/>
      <c r="V70" s="1164"/>
      <c r="W70" s="1164"/>
      <c r="X70" s="1164"/>
      <c r="Y70" s="1168"/>
      <c r="Z70" s="1168"/>
      <c r="AA70" s="1168"/>
      <c r="AB70" s="1168"/>
      <c r="AC70" s="1168"/>
      <c r="AD70" s="1168"/>
      <c r="AE70" s="1168"/>
      <c r="AF70" s="1365"/>
      <c r="AG70" s="1365"/>
      <c r="AH70" s="483"/>
      <c r="AS70" s="1456" t="s">
        <v>2225</v>
      </c>
      <c r="AT70" s="1164" t="s">
        <v>1306</v>
      </c>
      <c r="AU70" s="1086">
        <v>1</v>
      </c>
      <c r="AV70" s="1086" t="s">
        <v>1012</v>
      </c>
      <c r="AW70" s="1086" t="s">
        <v>1013</v>
      </c>
      <c r="AX70" s="99">
        <v>0</v>
      </c>
      <c r="AY70" s="99">
        <v>1E-3</v>
      </c>
      <c r="AZ70" s="99">
        <v>3.0000000000000001E-3</v>
      </c>
      <c r="BA70" s="99">
        <v>7.0000000000000001E-3</v>
      </c>
      <c r="BB70" s="99">
        <v>7.0000000000000001E-3</v>
      </c>
      <c r="BC70" s="99">
        <v>7.0000000000000001E-3</v>
      </c>
      <c r="BD70" s="99">
        <v>7.0000000000000001E-3</v>
      </c>
      <c r="BF70" s="1483">
        <v>1</v>
      </c>
      <c r="BG70" s="1372">
        <f t="array" ref="BG70">INDEX(BG$35:BG$37,MATCH($BI$39,$BF$35:$BF$37,0)) * $BQ70</f>
        <v>0</v>
      </c>
      <c r="BH70" s="1453">
        <f t="array" ref="BH70">INDEX(BH$35:BH$37,MATCH($BI$39,$BF$35:$BF$37,0)) * $BQ70</f>
        <v>2.4500558065274585E-4</v>
      </c>
      <c r="BI70" s="1453">
        <f t="array" ref="BI70">INDEX(BI$35:BI$37,MATCH($BI$39,$BF$35:$BF$37,0)) * $BQ70</f>
        <v>7.5616711520858711E-4</v>
      </c>
      <c r="BJ70" s="1453">
        <f t="array" ref="BJ70">INDEX(BJ$35:BJ$37,MATCH($BI$39,$BF$35:$BF$37,0)) * $BQ70</f>
        <v>1.5778064942828722E-3</v>
      </c>
      <c r="BK70" s="1453">
        <f t="array" ref="BK70">INDEX(BK$35:BK$37,MATCH($BI$39,$BF$35:$BF$37,0)) * $BQ70</f>
        <v>2.7199188051912197E-3</v>
      </c>
      <c r="BL70" s="1453">
        <f t="array" ref="BL70">INDEX(BL$35:BL$37,MATCH($BI$39,$BF$35:$BF$37,0)) * $BQ70</f>
        <v>4.0240426226956063E-3</v>
      </c>
      <c r="BM70" s="1453">
        <f t="array" ref="BM70">INDEX(BM$35:BM$37,MATCH($BI$39,$BF$35:$BF$37,0)) * $BQ70</f>
        <v>5.2170653508161469E-3</v>
      </c>
      <c r="BN70" s="1453">
        <f t="array" ref="BN70">INDEX(BN$35:BN$37,MATCH($BI$39,$BF$35:$BF$37,0)) * $BQ70</f>
        <v>6.1065085974406639E-3</v>
      </c>
      <c r="BO70" s="1453">
        <f t="array" ref="BO70">INDEX(BO$35:BO$37,MATCH($BI$39,$BF$35:$BF$37,0)) * $BQ70</f>
        <v>6.6736258286224431E-3</v>
      </c>
      <c r="BP70" s="1453">
        <f t="array" ref="BP70">INDEX(BP$35:BP$37,MATCH($BI$39,$BF$35:$BF$37,0)) * $BQ70</f>
        <v>7.0000000000000001E-3</v>
      </c>
      <c r="BQ70" s="604">
        <f t="shared" si="11"/>
        <v>7.0000000000000001E-3</v>
      </c>
      <c r="BR70" s="1484"/>
      <c r="BS70" s="1459"/>
      <c r="BT70" s="1459"/>
      <c r="BU70" s="1456" t="s">
        <v>997</v>
      </c>
      <c r="BV70" s="1456">
        <v>1</v>
      </c>
      <c r="BW70" s="1456">
        <v>4</v>
      </c>
      <c r="BX70" s="1456">
        <v>5</v>
      </c>
      <c r="BY70" s="1456">
        <v>6</v>
      </c>
      <c r="BZ70" s="1456">
        <v>7</v>
      </c>
      <c r="CA70" s="1456">
        <v>8</v>
      </c>
      <c r="CC70" s="603"/>
      <c r="CJ70" s="603"/>
      <c r="CK70" s="603"/>
      <c r="CL70" s="603"/>
      <c r="CM70" s="603"/>
      <c r="CN70" s="603"/>
    </row>
    <row r="71" spans="1:92">
      <c r="A71" s="1200" t="s">
        <v>992</v>
      </c>
      <c r="B71" s="1166" t="s">
        <v>993</v>
      </c>
      <c r="C71" s="607">
        <v>0</v>
      </c>
      <c r="D71" s="607">
        <v>0</v>
      </c>
      <c r="E71" s="607">
        <v>0.01</v>
      </c>
      <c r="F71" s="607">
        <v>0</v>
      </c>
      <c r="G71" s="607">
        <v>0</v>
      </c>
      <c r="H71" s="607">
        <v>0.02</v>
      </c>
      <c r="I71" s="607">
        <v>0</v>
      </c>
      <c r="J71" s="607">
        <v>0.01</v>
      </c>
      <c r="K71" s="1168"/>
      <c r="L71" s="1168"/>
      <c r="M71" s="1168"/>
      <c r="N71" s="1168"/>
      <c r="O71" s="1164"/>
      <c r="P71" s="1164"/>
      <c r="Q71" s="1164"/>
      <c r="R71" s="1164"/>
      <c r="S71" s="1164"/>
      <c r="T71" s="1164"/>
      <c r="U71" s="1164"/>
      <c r="V71" s="1164"/>
      <c r="W71" s="1164"/>
      <c r="X71" s="1164"/>
      <c r="Y71" s="1168"/>
      <c r="Z71" s="1168"/>
      <c r="AA71" s="1164"/>
      <c r="AB71" s="1168"/>
      <c r="AC71" s="1168"/>
      <c r="AD71" s="1168"/>
      <c r="AE71" s="1168"/>
      <c r="AF71" s="1164"/>
      <c r="AG71" s="1164"/>
      <c r="AH71" s="483"/>
      <c r="AS71" s="1456" t="s">
        <v>2225</v>
      </c>
      <c r="AT71" s="1164" t="s">
        <v>1306</v>
      </c>
      <c r="AU71" s="1086">
        <v>1</v>
      </c>
      <c r="AV71" s="1086" t="s">
        <v>1010</v>
      </c>
      <c r="AW71" s="1086" t="s">
        <v>1011</v>
      </c>
      <c r="AX71" s="99">
        <v>0</v>
      </c>
      <c r="AY71" s="99">
        <v>1E-3</v>
      </c>
      <c r="AZ71" s="99">
        <v>2E-3</v>
      </c>
      <c r="BA71" s="99">
        <v>6.0000000000000001E-3</v>
      </c>
      <c r="BB71" s="99">
        <v>6.0000000000000001E-3</v>
      </c>
      <c r="BC71" s="99">
        <v>6.0000000000000001E-3</v>
      </c>
      <c r="BD71" s="99">
        <v>6.0000000000000001E-3</v>
      </c>
      <c r="BF71" s="1483">
        <v>1</v>
      </c>
      <c r="BG71" s="1372">
        <f t="array" ref="BG71">INDEX(BG$35:BG$37,MATCH($BI$39,$BF$35:$BF$37,0)) * $BQ71</f>
        <v>0</v>
      </c>
      <c r="BH71" s="1453">
        <f t="array" ref="BH71">INDEX(BH$35:BH$37,MATCH($BI$39,$BF$35:$BF$37,0)) * $BQ71</f>
        <v>2.100047834166393E-4</v>
      </c>
      <c r="BI71" s="1453">
        <f t="array" ref="BI71">INDEX(BI$35:BI$37,MATCH($BI$39,$BF$35:$BF$37,0)) * $BQ71</f>
        <v>6.4814324160736043E-4</v>
      </c>
      <c r="BJ71" s="1453">
        <f t="array" ref="BJ71">INDEX(BJ$35:BJ$37,MATCH($BI$39,$BF$35:$BF$37,0)) * $BQ71</f>
        <v>1.3524055665281763E-3</v>
      </c>
      <c r="BK71" s="1453">
        <f t="array" ref="BK71">INDEX(BK$35:BK$37,MATCH($BI$39,$BF$35:$BF$37,0)) * $BQ71</f>
        <v>2.3313589758781881E-3</v>
      </c>
      <c r="BL71" s="1453">
        <f t="array" ref="BL71">INDEX(BL$35:BL$37,MATCH($BI$39,$BF$35:$BF$37,0)) * $BQ71</f>
        <v>3.4491793908819485E-3</v>
      </c>
      <c r="BM71" s="1453">
        <f t="array" ref="BM71">INDEX(BM$35:BM$37,MATCH($BI$39,$BF$35:$BF$37,0)) * $BQ71</f>
        <v>4.4717703006995546E-3</v>
      </c>
      <c r="BN71" s="1453">
        <f t="array" ref="BN71">INDEX(BN$35:BN$37,MATCH($BI$39,$BF$35:$BF$37,0)) * $BQ71</f>
        <v>5.2341502263777125E-3</v>
      </c>
      <c r="BO71" s="1453">
        <f t="array" ref="BO71">INDEX(BO$35:BO$37,MATCH($BI$39,$BF$35:$BF$37,0)) * $BQ71</f>
        <v>5.7202507102478081E-3</v>
      </c>
      <c r="BP71" s="1453">
        <f t="array" ref="BP71">INDEX(BP$35:BP$37,MATCH($BI$39,$BF$35:$BF$37,0)) * $BQ71</f>
        <v>6.0000000000000001E-3</v>
      </c>
      <c r="BQ71" s="604">
        <f t="shared" si="11"/>
        <v>6.0000000000000001E-3</v>
      </c>
      <c r="BR71" s="1484"/>
      <c r="BS71" s="1459"/>
      <c r="BT71" s="1459"/>
      <c r="BU71" s="1456" t="s">
        <v>996</v>
      </c>
      <c r="BV71" s="1456">
        <v>1</v>
      </c>
      <c r="BW71" s="1456">
        <v>3</v>
      </c>
      <c r="BX71" s="1456">
        <v>6</v>
      </c>
      <c r="BY71" s="1456">
        <v>8</v>
      </c>
      <c r="BZ71" s="1456">
        <v>9</v>
      </c>
      <c r="CA71" s="1456">
        <v>10</v>
      </c>
      <c r="CC71" s="603"/>
      <c r="CJ71" s="603"/>
      <c r="CK71" s="603"/>
      <c r="CL71" s="603"/>
      <c r="CM71" s="603"/>
      <c r="CN71" s="603"/>
    </row>
    <row r="72" spans="1:92">
      <c r="A72" s="1200" t="s">
        <v>124</v>
      </c>
      <c r="B72" s="1166" t="s">
        <v>124</v>
      </c>
      <c r="C72" s="607"/>
      <c r="D72" s="607"/>
      <c r="E72" s="607"/>
      <c r="F72" s="607"/>
      <c r="G72" s="607"/>
      <c r="H72" s="607"/>
      <c r="I72" s="607"/>
      <c r="J72" s="607"/>
      <c r="K72" s="1168"/>
      <c r="L72" s="1168"/>
      <c r="M72" s="1168"/>
      <c r="N72" s="1168"/>
      <c r="O72" s="1164"/>
      <c r="P72" s="1164"/>
      <c r="Q72" s="1164"/>
      <c r="R72" s="1164"/>
      <c r="S72" s="1164"/>
      <c r="T72" s="1164"/>
      <c r="U72" s="1164"/>
      <c r="V72" s="1164"/>
      <c r="W72" s="1164"/>
      <c r="X72" s="1164"/>
      <c r="Y72" s="1164"/>
      <c r="Z72" s="1164"/>
      <c r="AA72" s="1164"/>
      <c r="AB72" s="1164"/>
      <c r="AC72" s="1168"/>
      <c r="AD72" s="1168"/>
      <c r="AE72" s="1168"/>
      <c r="AF72" s="1164"/>
      <c r="AG72" s="1164"/>
      <c r="AH72" s="483"/>
      <c r="AS72" s="1456" t="s">
        <v>2225</v>
      </c>
      <c r="AT72" s="1164" t="s">
        <v>1306</v>
      </c>
      <c r="AU72" s="1086">
        <v>1</v>
      </c>
      <c r="AV72" s="1086" t="s">
        <v>1008</v>
      </c>
      <c r="AW72" s="1086" t="s">
        <v>1009</v>
      </c>
      <c r="AX72" s="99">
        <v>0</v>
      </c>
      <c r="AY72" s="99">
        <v>0</v>
      </c>
      <c r="AZ72" s="99">
        <v>0</v>
      </c>
      <c r="BA72" s="99">
        <v>1E-3</v>
      </c>
      <c r="BB72" s="99">
        <v>1E-3</v>
      </c>
      <c r="BC72" s="99">
        <v>1E-3</v>
      </c>
      <c r="BD72" s="99">
        <v>1E-3</v>
      </c>
      <c r="BF72" s="1483">
        <v>1</v>
      </c>
      <c r="BG72" s="1372">
        <f t="array" ref="BG72">INDEX(BG$35:BG$37,MATCH($BI$39,$BF$35:$BF$37,0)) * $BQ72</f>
        <v>0</v>
      </c>
      <c r="BH72" s="1453">
        <f t="array" ref="BH72">INDEX(BH$35:BH$37,MATCH($BI$39,$BF$35:$BF$37,0)) * $BQ72</f>
        <v>3.5000797236106555E-5</v>
      </c>
      <c r="BI72" s="1453">
        <f t="array" ref="BI72">INDEX(BI$35:BI$37,MATCH($BI$39,$BF$35:$BF$37,0)) * $BQ72</f>
        <v>1.0802387360122672E-4</v>
      </c>
      <c r="BJ72" s="1453">
        <f t="array" ref="BJ72">INDEX(BJ$35:BJ$37,MATCH($BI$39,$BF$35:$BF$37,0)) * $BQ72</f>
        <v>2.2540092775469604E-4</v>
      </c>
      <c r="BK72" s="1453">
        <f t="array" ref="BK72">INDEX(BK$35:BK$37,MATCH($BI$39,$BF$35:$BF$37,0)) * $BQ72</f>
        <v>3.8855982931303135E-4</v>
      </c>
      <c r="BL72" s="1453">
        <f t="array" ref="BL72">INDEX(BL$35:BL$37,MATCH($BI$39,$BF$35:$BF$37,0)) * $BQ72</f>
        <v>5.7486323181365811E-4</v>
      </c>
      <c r="BM72" s="1453">
        <f t="array" ref="BM72">INDEX(BM$35:BM$37,MATCH($BI$39,$BF$35:$BF$37,0)) * $BQ72</f>
        <v>7.4529505011659239E-4</v>
      </c>
      <c r="BN72" s="1453">
        <f t="array" ref="BN72">INDEX(BN$35:BN$37,MATCH($BI$39,$BF$35:$BF$37,0)) * $BQ72</f>
        <v>8.7235837106295201E-4</v>
      </c>
      <c r="BO72" s="1453">
        <f t="array" ref="BO72">INDEX(BO$35:BO$37,MATCH($BI$39,$BF$35:$BF$37,0)) * $BQ72</f>
        <v>9.5337511837463476E-4</v>
      </c>
      <c r="BP72" s="1453">
        <f t="array" ref="BP72">INDEX(BP$35:BP$37,MATCH($BI$39,$BF$35:$BF$37,0)) * $BQ72</f>
        <v>1E-3</v>
      </c>
      <c r="BQ72" s="604">
        <f t="shared" si="11"/>
        <v>1E-3</v>
      </c>
      <c r="BR72" s="1484"/>
      <c r="BS72" s="1459"/>
      <c r="BT72" s="1459"/>
      <c r="BU72" s="1456" t="s">
        <v>97</v>
      </c>
      <c r="BV72" s="1456">
        <v>0.5</v>
      </c>
      <c r="BW72" s="1456">
        <v>1</v>
      </c>
      <c r="BX72" s="1456">
        <v>2</v>
      </c>
      <c r="BY72" s="1456">
        <v>3</v>
      </c>
      <c r="BZ72" s="1456">
        <v>4</v>
      </c>
      <c r="CA72" s="1456">
        <v>5</v>
      </c>
      <c r="CC72" s="603"/>
      <c r="CJ72" s="603"/>
      <c r="CK72" s="603"/>
      <c r="CL72" s="603"/>
      <c r="CM72" s="603"/>
      <c r="CN72" s="603"/>
    </row>
    <row r="73" spans="1:92">
      <c r="A73" s="1200"/>
      <c r="B73" s="1166"/>
      <c r="C73" s="606"/>
      <c r="D73" s="606"/>
      <c r="E73" s="606"/>
      <c r="F73" s="606"/>
      <c r="G73" s="606"/>
      <c r="H73" s="606"/>
      <c r="I73" s="606"/>
      <c r="J73" s="606"/>
      <c r="K73" s="1168"/>
      <c r="L73" s="1168"/>
      <c r="M73" s="1168"/>
      <c r="N73" s="1168"/>
      <c r="O73" s="1164"/>
      <c r="P73" s="1164"/>
      <c r="Q73" s="1164"/>
      <c r="R73" s="1164"/>
      <c r="S73" s="1164"/>
      <c r="T73" s="1164"/>
      <c r="U73" s="1164"/>
      <c r="V73" s="1164"/>
      <c r="W73" s="1164"/>
      <c r="X73" s="1164"/>
      <c r="Y73" s="1164"/>
      <c r="Z73" s="1164"/>
      <c r="AA73" s="1164"/>
      <c r="AB73" s="1164"/>
      <c r="AC73" s="1168"/>
      <c r="AD73" s="1168"/>
      <c r="AE73" s="1168"/>
      <c r="AF73" s="1164"/>
      <c r="AG73" s="1164"/>
      <c r="AH73" s="483"/>
      <c r="AS73" s="1456" t="s">
        <v>2225</v>
      </c>
      <c r="AT73" s="1164" t="s">
        <v>1306</v>
      </c>
      <c r="AU73" s="1086">
        <v>1</v>
      </c>
      <c r="AV73" s="1086" t="s">
        <v>1006</v>
      </c>
      <c r="AW73" s="1086" t="s">
        <v>1007</v>
      </c>
      <c r="AX73" s="99">
        <v>0</v>
      </c>
      <c r="AY73" s="99">
        <v>1E-3</v>
      </c>
      <c r="AZ73" s="99">
        <v>3.0000000000000001E-3</v>
      </c>
      <c r="BA73" s="99">
        <v>7.0000000000000001E-3</v>
      </c>
      <c r="BB73" s="99">
        <v>7.0000000000000001E-3</v>
      </c>
      <c r="BC73" s="99">
        <v>7.0000000000000001E-3</v>
      </c>
      <c r="BD73" s="99">
        <v>7.0000000000000001E-3</v>
      </c>
      <c r="BF73" s="1483">
        <v>1</v>
      </c>
      <c r="BG73" s="1372">
        <f t="array" ref="BG73">INDEX(BG$35:BG$37,MATCH($BI$39,$BF$35:$BF$37,0)) * $BQ73</f>
        <v>0</v>
      </c>
      <c r="BH73" s="1453">
        <f t="array" ref="BH73">INDEX(BH$35:BH$37,MATCH($BI$39,$BF$35:$BF$37,0)) * $BQ73</f>
        <v>2.4500558065274585E-4</v>
      </c>
      <c r="BI73" s="1453">
        <f t="array" ref="BI73">INDEX(BI$35:BI$37,MATCH($BI$39,$BF$35:$BF$37,0)) * $BQ73</f>
        <v>7.5616711520858711E-4</v>
      </c>
      <c r="BJ73" s="1453">
        <f t="array" ref="BJ73">INDEX(BJ$35:BJ$37,MATCH($BI$39,$BF$35:$BF$37,0)) * $BQ73</f>
        <v>1.5778064942828722E-3</v>
      </c>
      <c r="BK73" s="1453">
        <f t="array" ref="BK73">INDEX(BK$35:BK$37,MATCH($BI$39,$BF$35:$BF$37,0)) * $BQ73</f>
        <v>2.7199188051912197E-3</v>
      </c>
      <c r="BL73" s="1453">
        <f t="array" ref="BL73">INDEX(BL$35:BL$37,MATCH($BI$39,$BF$35:$BF$37,0)) * $BQ73</f>
        <v>4.0240426226956063E-3</v>
      </c>
      <c r="BM73" s="1453">
        <f t="array" ref="BM73">INDEX(BM$35:BM$37,MATCH($BI$39,$BF$35:$BF$37,0)) * $BQ73</f>
        <v>5.2170653508161469E-3</v>
      </c>
      <c r="BN73" s="1453">
        <f t="array" ref="BN73">INDEX(BN$35:BN$37,MATCH($BI$39,$BF$35:$BF$37,0)) * $BQ73</f>
        <v>6.1065085974406639E-3</v>
      </c>
      <c r="BO73" s="1453">
        <f t="array" ref="BO73">INDEX(BO$35:BO$37,MATCH($BI$39,$BF$35:$BF$37,0)) * $BQ73</f>
        <v>6.6736258286224431E-3</v>
      </c>
      <c r="BP73" s="1453">
        <f t="array" ref="BP73">INDEX(BP$35:BP$37,MATCH($BI$39,$BF$35:$BF$37,0)) * $BQ73</f>
        <v>7.0000000000000001E-3</v>
      </c>
      <c r="BQ73" s="604">
        <f t="shared" si="11"/>
        <v>7.0000000000000001E-3</v>
      </c>
      <c r="BR73" s="1484"/>
      <c r="BS73" s="1459"/>
      <c r="BT73" s="1459"/>
      <c r="BU73" s="1456" t="s">
        <v>994</v>
      </c>
      <c r="BV73" s="1456">
        <v>1</v>
      </c>
      <c r="BW73" s="1456">
        <v>3</v>
      </c>
      <c r="BX73" s="1456">
        <v>6</v>
      </c>
      <c r="BY73" s="1456">
        <v>8</v>
      </c>
      <c r="BZ73" s="1456">
        <v>9</v>
      </c>
      <c r="CA73" s="1456">
        <v>10</v>
      </c>
      <c r="CC73" s="603"/>
      <c r="CJ73" s="603"/>
      <c r="CK73" s="603"/>
      <c r="CL73" s="603"/>
      <c r="CM73" s="603"/>
      <c r="CN73" s="603"/>
    </row>
    <row r="74" spans="1:92">
      <c r="A74" s="1167" t="s">
        <v>102</v>
      </c>
      <c r="B74" s="1166"/>
      <c r="C74" s="605">
        <v>0.99999999999999989</v>
      </c>
      <c r="D74" s="605">
        <v>1</v>
      </c>
      <c r="E74" s="605">
        <v>0.99999999999999989</v>
      </c>
      <c r="F74" s="605">
        <v>1</v>
      </c>
      <c r="G74" s="605">
        <v>1</v>
      </c>
      <c r="H74" s="605">
        <v>1</v>
      </c>
      <c r="I74" s="605">
        <v>1</v>
      </c>
      <c r="J74" s="605">
        <v>1</v>
      </c>
      <c r="K74" s="1168"/>
      <c r="L74" s="1168"/>
      <c r="M74" s="1168"/>
      <c r="N74" s="1168"/>
      <c r="O74" s="1164"/>
      <c r="P74" s="1164"/>
      <c r="Q74" s="1164"/>
      <c r="R74" s="1164"/>
      <c r="S74" s="1164"/>
      <c r="T74" s="1164"/>
      <c r="U74" s="1164"/>
      <c r="V74" s="1164"/>
      <c r="W74" s="1164"/>
      <c r="X74" s="1164"/>
      <c r="Y74" s="1163"/>
      <c r="Z74" s="1163"/>
      <c r="AA74" s="1163"/>
      <c r="AB74" s="1163"/>
      <c r="AC74" s="1163"/>
      <c r="AD74" s="1163"/>
      <c r="AE74" s="1163"/>
      <c r="AF74" s="1163"/>
      <c r="AG74" s="1164"/>
      <c r="AH74" s="483"/>
      <c r="AR74" s="36"/>
      <c r="AS74" s="1456" t="s">
        <v>2225</v>
      </c>
      <c r="AT74" s="1164" t="s">
        <v>1306</v>
      </c>
      <c r="AU74" s="1086">
        <v>1</v>
      </c>
      <c r="AV74" s="1086" t="s">
        <v>1004</v>
      </c>
      <c r="AW74" s="1086" t="s">
        <v>1005</v>
      </c>
      <c r="AX74" s="99">
        <v>0</v>
      </c>
      <c r="AY74" s="99">
        <v>1E-3</v>
      </c>
      <c r="AZ74" s="99">
        <v>3.0000000000000001E-3</v>
      </c>
      <c r="BA74" s="99">
        <v>6.0000000000000001E-3</v>
      </c>
      <c r="BB74" s="99">
        <v>6.0000000000000001E-3</v>
      </c>
      <c r="BC74" s="99">
        <v>6.0000000000000001E-3</v>
      </c>
      <c r="BD74" s="99">
        <v>6.0000000000000001E-3</v>
      </c>
      <c r="BF74" s="1483">
        <v>1</v>
      </c>
      <c r="BG74" s="1372">
        <f t="array" ref="BG74">INDEX(BG$35:BG$37,MATCH($BI$39,$BF$35:$BF$37,0)) * $BQ74</f>
        <v>0</v>
      </c>
      <c r="BH74" s="1453">
        <f t="array" ref="BH74">INDEX(BH$35:BH$37,MATCH($BI$39,$BF$35:$BF$37,0)) * $BQ74</f>
        <v>2.100047834166393E-4</v>
      </c>
      <c r="BI74" s="1453">
        <f t="array" ref="BI74">INDEX(BI$35:BI$37,MATCH($BI$39,$BF$35:$BF$37,0)) * $BQ74</f>
        <v>6.4814324160736043E-4</v>
      </c>
      <c r="BJ74" s="1453">
        <f t="array" ref="BJ74">INDEX(BJ$35:BJ$37,MATCH($BI$39,$BF$35:$BF$37,0)) * $BQ74</f>
        <v>1.3524055665281763E-3</v>
      </c>
      <c r="BK74" s="1453">
        <f t="array" ref="BK74">INDEX(BK$35:BK$37,MATCH($BI$39,$BF$35:$BF$37,0)) * $BQ74</f>
        <v>2.3313589758781881E-3</v>
      </c>
      <c r="BL74" s="1453">
        <f t="array" ref="BL74">INDEX(BL$35:BL$37,MATCH($BI$39,$BF$35:$BF$37,0)) * $BQ74</f>
        <v>3.4491793908819485E-3</v>
      </c>
      <c r="BM74" s="1453">
        <f t="array" ref="BM74">INDEX(BM$35:BM$37,MATCH($BI$39,$BF$35:$BF$37,0)) * $BQ74</f>
        <v>4.4717703006995546E-3</v>
      </c>
      <c r="BN74" s="1453">
        <f t="array" ref="BN74">INDEX(BN$35:BN$37,MATCH($BI$39,$BF$35:$BF$37,0)) * $BQ74</f>
        <v>5.2341502263777125E-3</v>
      </c>
      <c r="BO74" s="1453">
        <f t="array" ref="BO74">INDEX(BO$35:BO$37,MATCH($BI$39,$BF$35:$BF$37,0)) * $BQ74</f>
        <v>5.7202507102478081E-3</v>
      </c>
      <c r="BP74" s="1453">
        <f t="array" ref="BP74">INDEX(BP$35:BP$37,MATCH($BI$39,$BF$35:$BF$37,0)) * $BQ74</f>
        <v>6.0000000000000001E-3</v>
      </c>
      <c r="BQ74" s="604">
        <f t="shared" si="11"/>
        <v>6.0000000000000001E-3</v>
      </c>
      <c r="BR74" s="1484"/>
      <c r="BS74" s="1459"/>
      <c r="BT74" s="1459"/>
      <c r="CC74" s="603"/>
      <c r="CJ74" s="603"/>
      <c r="CK74" s="603"/>
      <c r="CL74" s="603"/>
      <c r="CM74" s="603"/>
      <c r="CN74" s="603"/>
    </row>
    <row r="75" spans="1:92" ht="14">
      <c r="A75" s="1205" t="s">
        <v>1015</v>
      </c>
      <c r="B75" s="1168"/>
      <c r="C75" s="1171"/>
      <c r="D75" s="1171"/>
      <c r="E75" s="1171"/>
      <c r="F75" s="1171"/>
      <c r="G75" s="1171"/>
      <c r="H75" s="1171"/>
      <c r="I75" s="1171"/>
      <c r="J75" s="1171"/>
      <c r="K75" s="1168"/>
      <c r="L75" s="1168"/>
      <c r="M75" s="1168"/>
      <c r="N75" s="1168"/>
      <c r="O75" s="1164"/>
      <c r="P75" s="1164"/>
      <c r="Q75" s="1164"/>
      <c r="R75" s="1164"/>
      <c r="S75" s="1164"/>
      <c r="T75" s="1164"/>
      <c r="U75" s="1164"/>
      <c r="V75" s="1164"/>
      <c r="W75" s="1164"/>
      <c r="X75" s="1164"/>
      <c r="Y75" s="1494"/>
      <c r="Z75" s="1494"/>
      <c r="AA75" s="1164"/>
      <c r="AB75" s="1164"/>
      <c r="AC75" s="1164"/>
      <c r="AD75" s="1168"/>
      <c r="AE75" s="1168"/>
      <c r="AF75" s="1164"/>
      <c r="AG75" s="1164"/>
      <c r="AH75" s="483"/>
      <c r="AR75" s="36"/>
      <c r="AS75" s="1456" t="s">
        <v>2225</v>
      </c>
      <c r="AT75" s="1164" t="s">
        <v>1306</v>
      </c>
      <c r="AU75" s="1086">
        <v>1</v>
      </c>
      <c r="AV75" s="1086" t="s">
        <v>1002</v>
      </c>
      <c r="AW75" s="1086" t="s">
        <v>1003</v>
      </c>
      <c r="AX75" s="99">
        <v>0</v>
      </c>
      <c r="AY75" s="99">
        <v>2E-3</v>
      </c>
      <c r="AZ75" s="99">
        <v>3.0000000000000001E-3</v>
      </c>
      <c r="BA75" s="99">
        <v>8.0000000000000002E-3</v>
      </c>
      <c r="BB75" s="99">
        <v>8.0000000000000002E-3</v>
      </c>
      <c r="BC75" s="99">
        <v>8.0000000000000002E-3</v>
      </c>
      <c r="BD75" s="99">
        <v>8.0000000000000002E-3</v>
      </c>
      <c r="BF75" s="1483">
        <v>1</v>
      </c>
      <c r="BG75" s="1372">
        <f t="array" ref="BG75">INDEX(BG$35:BG$37,MATCH($BI$39,$BF$35:$BF$37,0)) * $BQ75</f>
        <v>0</v>
      </c>
      <c r="BH75" s="1453">
        <f t="array" ref="BH75">INDEX(BH$35:BH$37,MATCH($BI$39,$BF$35:$BF$37,0)) * $BQ75</f>
        <v>2.8000637788885244E-4</v>
      </c>
      <c r="BI75" s="1453">
        <f t="array" ref="BI75">INDEX(BI$35:BI$37,MATCH($BI$39,$BF$35:$BF$37,0)) * $BQ75</f>
        <v>8.6419098880981379E-4</v>
      </c>
      <c r="BJ75" s="1453">
        <f t="array" ref="BJ75">INDEX(BJ$35:BJ$37,MATCH($BI$39,$BF$35:$BF$37,0)) * $BQ75</f>
        <v>1.8032074220375683E-3</v>
      </c>
      <c r="BK75" s="1453">
        <f t="array" ref="BK75">INDEX(BK$35:BK$37,MATCH($BI$39,$BF$35:$BF$37,0)) * $BQ75</f>
        <v>3.1084786345042508E-3</v>
      </c>
      <c r="BL75" s="1453">
        <f t="array" ref="BL75">INDEX(BL$35:BL$37,MATCH($BI$39,$BF$35:$BF$37,0)) * $BQ75</f>
        <v>4.5989058545092649E-3</v>
      </c>
      <c r="BM75" s="1453">
        <f t="array" ref="BM75">INDEX(BM$35:BM$37,MATCH($BI$39,$BF$35:$BF$37,0)) * $BQ75</f>
        <v>5.9623604009327391E-3</v>
      </c>
      <c r="BN75" s="1453">
        <f t="array" ref="BN75">INDEX(BN$35:BN$37,MATCH($BI$39,$BF$35:$BF$37,0)) * $BQ75</f>
        <v>6.9788669685036161E-3</v>
      </c>
      <c r="BO75" s="1453">
        <f t="array" ref="BO75">INDEX(BO$35:BO$37,MATCH($BI$39,$BF$35:$BF$37,0)) * $BQ75</f>
        <v>7.6270009469970781E-3</v>
      </c>
      <c r="BP75" s="1453">
        <f t="array" ref="BP75">INDEX(BP$35:BP$37,MATCH($BI$39,$BF$35:$BF$37,0)) * $BQ75</f>
        <v>8.0000000000000002E-3</v>
      </c>
      <c r="BQ75" s="604">
        <f t="shared" si="11"/>
        <v>8.0000000000000002E-3</v>
      </c>
      <c r="BR75" s="1484"/>
      <c r="BS75" s="1459">
        <v>1</v>
      </c>
      <c r="BT75" s="1459" t="s">
        <v>2245</v>
      </c>
      <c r="BU75" s="1456"/>
      <c r="BV75" s="508"/>
      <c r="BW75" s="1456" t="s">
        <v>2222</v>
      </c>
      <c r="BX75" s="1456"/>
      <c r="BY75" s="1456"/>
      <c r="BZ75" s="1456"/>
      <c r="CA75" s="1456"/>
      <c r="CC75" s="603"/>
      <c r="CJ75" s="603"/>
      <c r="CK75" s="603"/>
      <c r="CL75" s="603"/>
      <c r="CM75" s="603"/>
      <c r="CN75" s="603"/>
    </row>
    <row r="76" spans="1:92">
      <c r="A76" s="1204" t="s">
        <v>785</v>
      </c>
      <c r="B76" s="1204" t="s">
        <v>784</v>
      </c>
      <c r="C76" s="1203" t="s">
        <v>1015</v>
      </c>
      <c r="D76" s="1203" t="s">
        <v>1013</v>
      </c>
      <c r="E76" s="1203" t="s">
        <v>1011</v>
      </c>
      <c r="F76" s="1203" t="s">
        <v>1009</v>
      </c>
      <c r="G76" s="1203" t="s">
        <v>1007</v>
      </c>
      <c r="H76" s="1203" t="s">
        <v>1005</v>
      </c>
      <c r="I76" s="1203" t="s">
        <v>1003</v>
      </c>
      <c r="J76" s="1203" t="s">
        <v>1001</v>
      </c>
      <c r="K76" s="1203" t="s">
        <v>102</v>
      </c>
      <c r="L76" s="1168"/>
      <c r="M76" s="1168"/>
      <c r="N76" s="1168"/>
      <c r="O76" s="1164"/>
      <c r="P76" s="1164"/>
      <c r="Q76" s="1164"/>
      <c r="R76" s="1164"/>
      <c r="S76" s="1164"/>
      <c r="T76" s="1164"/>
      <c r="U76" s="1164"/>
      <c r="V76" s="1164"/>
      <c r="W76" s="1164"/>
      <c r="X76" s="1164"/>
      <c r="Y76" s="1164"/>
      <c r="Z76" s="1164"/>
      <c r="AA76" s="1164"/>
      <c r="AB76" s="1164"/>
      <c r="AC76" s="1164"/>
      <c r="AD76" s="1168"/>
      <c r="AE76" s="1168"/>
      <c r="AF76" s="1164"/>
      <c r="AG76" s="1164"/>
      <c r="AH76" s="483"/>
      <c r="AS76" s="1456" t="s">
        <v>2225</v>
      </c>
      <c r="AT76" s="1164" t="s">
        <v>1306</v>
      </c>
      <c r="AU76" s="1086">
        <v>1</v>
      </c>
      <c r="AV76" s="1086" t="s">
        <v>97</v>
      </c>
      <c r="AW76" s="1086" t="s">
        <v>1001</v>
      </c>
      <c r="AX76" s="99">
        <v>0</v>
      </c>
      <c r="AY76" s="99">
        <v>1E-3</v>
      </c>
      <c r="AZ76" s="99">
        <v>3.0000000000000001E-3</v>
      </c>
      <c r="BA76" s="99">
        <v>7.0000000000000001E-3</v>
      </c>
      <c r="BB76" s="99">
        <v>7.0000000000000001E-3</v>
      </c>
      <c r="BC76" s="99">
        <v>7.0000000000000001E-3</v>
      </c>
      <c r="BD76" s="99">
        <v>7.0000000000000001E-3</v>
      </c>
      <c r="BF76" s="1483">
        <v>1</v>
      </c>
      <c r="BG76" s="1372">
        <f t="array" ref="BG76">INDEX(BG$35:BG$37,MATCH($BI$39,$BF$35:$BF$37,0)) * $BQ76</f>
        <v>0</v>
      </c>
      <c r="BH76" s="1453">
        <f t="array" ref="BH76">INDEX(BH$35:BH$37,MATCH($BI$39,$BF$35:$BF$37,0)) * $BQ76</f>
        <v>2.4500558065274585E-4</v>
      </c>
      <c r="BI76" s="1453">
        <f t="array" ref="BI76">INDEX(BI$35:BI$37,MATCH($BI$39,$BF$35:$BF$37,0)) * $BQ76</f>
        <v>7.5616711520858711E-4</v>
      </c>
      <c r="BJ76" s="1453">
        <f t="array" ref="BJ76">INDEX(BJ$35:BJ$37,MATCH($BI$39,$BF$35:$BF$37,0)) * $BQ76</f>
        <v>1.5778064942828722E-3</v>
      </c>
      <c r="BK76" s="1453">
        <f t="array" ref="BK76">INDEX(BK$35:BK$37,MATCH($BI$39,$BF$35:$BF$37,0)) * $BQ76</f>
        <v>2.7199188051912197E-3</v>
      </c>
      <c r="BL76" s="1453">
        <f t="array" ref="BL76">INDEX(BL$35:BL$37,MATCH($BI$39,$BF$35:$BF$37,0)) * $BQ76</f>
        <v>4.0240426226956063E-3</v>
      </c>
      <c r="BM76" s="1453">
        <f t="array" ref="BM76">INDEX(BM$35:BM$37,MATCH($BI$39,$BF$35:$BF$37,0)) * $BQ76</f>
        <v>5.2170653508161469E-3</v>
      </c>
      <c r="BN76" s="1453">
        <f t="array" ref="BN76">INDEX(BN$35:BN$37,MATCH($BI$39,$BF$35:$BF$37,0)) * $BQ76</f>
        <v>6.1065085974406639E-3</v>
      </c>
      <c r="BO76" s="1453">
        <f t="array" ref="BO76">INDEX(BO$35:BO$37,MATCH($BI$39,$BF$35:$BF$37,0)) * $BQ76</f>
        <v>6.6736258286224431E-3</v>
      </c>
      <c r="BP76" s="1453">
        <f t="array" ref="BP76">INDEX(BP$35:BP$37,MATCH($BI$39,$BF$35:$BF$37,0)) * $BQ76</f>
        <v>7.0000000000000001E-3</v>
      </c>
      <c r="BQ76" s="604">
        <f t="shared" si="11"/>
        <v>7.0000000000000001E-3</v>
      </c>
      <c r="BR76" s="1484"/>
      <c r="BS76" s="1459"/>
      <c r="BT76" s="1459" t="s">
        <v>110</v>
      </c>
      <c r="BU76" s="1456" t="s">
        <v>2223</v>
      </c>
      <c r="BV76" s="1456">
        <v>2012</v>
      </c>
      <c r="BW76" s="1456">
        <v>2016</v>
      </c>
      <c r="BX76" s="1456">
        <v>2020</v>
      </c>
      <c r="BY76" s="1456">
        <v>2024</v>
      </c>
      <c r="BZ76" s="1456">
        <v>2028</v>
      </c>
      <c r="CA76" s="1456">
        <v>2032</v>
      </c>
      <c r="CL76" s="603"/>
      <c r="CM76" s="603"/>
      <c r="CN76" s="603"/>
    </row>
    <row r="77" spans="1:92" ht="14">
      <c r="A77" s="1200" t="s">
        <v>1000</v>
      </c>
      <c r="B77" s="1166" t="s">
        <v>779</v>
      </c>
      <c r="C77" s="1199">
        <v>2.3512715827199999</v>
      </c>
      <c r="D77" s="1199">
        <v>39.810109248000003</v>
      </c>
      <c r="E77" s="1199">
        <v>0.7142471680000001</v>
      </c>
      <c r="F77" s="1199">
        <v>0.74683578528000005</v>
      </c>
      <c r="G77" s="1199">
        <v>5.5273504320000013</v>
      </c>
      <c r="H77" s="1199">
        <v>1.0522753920000001</v>
      </c>
      <c r="I77" s="1199">
        <v>0.74874528000000018</v>
      </c>
      <c r="J77" s="1199">
        <v>2.4257357856000006</v>
      </c>
      <c r="K77" s="1197">
        <v>53.3765706736</v>
      </c>
      <c r="L77" s="1196">
        <v>0.1243850519339422</v>
      </c>
      <c r="M77" s="1168"/>
      <c r="N77" s="1164">
        <v>4</v>
      </c>
      <c r="O77" s="1164"/>
      <c r="P77" s="1164"/>
      <c r="Q77" s="1164"/>
      <c r="R77" s="1164"/>
      <c r="S77" s="1164"/>
      <c r="T77" s="1164"/>
      <c r="U77" s="1164"/>
      <c r="V77" s="1164"/>
      <c r="W77" s="1164"/>
      <c r="X77" s="1164"/>
      <c r="Y77" s="1164"/>
      <c r="Z77" s="1168"/>
      <c r="AA77" s="1497"/>
      <c r="AB77" s="1497"/>
      <c r="AC77" s="1497"/>
      <c r="AD77" s="1497"/>
      <c r="AE77" s="1497"/>
      <c r="AF77" s="1497"/>
      <c r="AG77" s="1164"/>
      <c r="AH77" s="483"/>
      <c r="AW77" s="602" t="s">
        <v>102</v>
      </c>
      <c r="AX77" s="1471">
        <v>0</v>
      </c>
      <c r="AY77" s="1471">
        <v>1E-3</v>
      </c>
      <c r="AZ77" s="1471">
        <v>2E-3</v>
      </c>
      <c r="BA77" s="1471">
        <v>6.0000000000000001E-3</v>
      </c>
      <c r="BB77" s="1471">
        <v>6.0000000000000001E-3</v>
      </c>
      <c r="BC77" s="1471">
        <v>6.0000000000000001E-3</v>
      </c>
      <c r="BD77" s="1471">
        <v>6.0000000000000001E-3</v>
      </c>
      <c r="BF77" s="1473"/>
      <c r="BG77" s="1454"/>
      <c r="BH77" s="1454"/>
      <c r="BI77" s="1454"/>
      <c r="BJ77" s="1454"/>
      <c r="BK77" s="1454"/>
      <c r="BL77" s="1454"/>
      <c r="BM77" s="1454"/>
      <c r="BN77" s="1454"/>
      <c r="BO77" s="1454"/>
      <c r="BP77" s="1455"/>
      <c r="BQ77" s="1487"/>
      <c r="BR77" s="1484"/>
      <c r="BS77" s="1459"/>
      <c r="BT77" s="1459" t="s">
        <v>2224</v>
      </c>
      <c r="BU77" s="1456" t="s">
        <v>1310</v>
      </c>
      <c r="BV77" s="1456">
        <v>0</v>
      </c>
      <c r="BW77" s="1456">
        <v>0</v>
      </c>
      <c r="BX77" s="1456">
        <v>0</v>
      </c>
      <c r="BY77" s="1456">
        <v>0</v>
      </c>
      <c r="BZ77" s="1456">
        <v>0</v>
      </c>
      <c r="CA77" s="1456">
        <v>0</v>
      </c>
    </row>
    <row r="78" spans="1:92" ht="14">
      <c r="A78" s="1200" t="s">
        <v>98</v>
      </c>
      <c r="B78" s="1166" t="s">
        <v>408</v>
      </c>
      <c r="C78" s="1199">
        <v>21.848754099311257</v>
      </c>
      <c r="D78" s="1199">
        <v>4.9762636560000004</v>
      </c>
      <c r="E78" s="1199">
        <v>5.3568537600000008</v>
      </c>
      <c r="F78" s="1199">
        <v>0</v>
      </c>
      <c r="G78" s="1199">
        <v>3.1241545920000005</v>
      </c>
      <c r="H78" s="1199">
        <v>0.60130022400000005</v>
      </c>
      <c r="I78" s="1199">
        <v>13.103042400000001</v>
      </c>
      <c r="J78" s="1199">
        <v>2.7474914131200001</v>
      </c>
      <c r="K78" s="1197">
        <v>51.757860144431262</v>
      </c>
      <c r="L78" s="1196">
        <v>0.1206129213774871</v>
      </c>
      <c r="M78" s="1168"/>
      <c r="N78" s="1164">
        <v>5</v>
      </c>
      <c r="O78" s="1164"/>
      <c r="P78" s="1164"/>
      <c r="Q78" s="1164"/>
      <c r="R78" s="1164"/>
      <c r="S78" s="1164"/>
      <c r="T78" s="1164"/>
      <c r="U78" s="1164"/>
      <c r="V78" s="1164"/>
      <c r="W78" s="1164"/>
      <c r="X78" s="1164"/>
      <c r="Y78" s="1164"/>
      <c r="Z78" s="1168"/>
      <c r="AA78" s="1497"/>
      <c r="AB78" s="1497"/>
      <c r="AC78" s="1497"/>
      <c r="AD78" s="1497"/>
      <c r="AE78" s="1497"/>
      <c r="AF78" s="1497"/>
      <c r="AG78" s="1164"/>
      <c r="AH78" s="483"/>
      <c r="BF78" s="1488" t="s">
        <v>2246</v>
      </c>
      <c r="BG78" s="1372"/>
      <c r="BH78" s="1365"/>
      <c r="BI78" s="1372"/>
      <c r="BJ78" s="1372"/>
      <c r="BK78" s="1372"/>
      <c r="BL78" s="1372"/>
      <c r="BM78" s="1372"/>
      <c r="BN78" s="1372"/>
      <c r="BO78" s="1372"/>
      <c r="BP78" s="1372"/>
      <c r="BQ78" s="1372"/>
      <c r="BR78" s="1484"/>
      <c r="BS78" s="1459"/>
      <c r="BT78" s="1459"/>
      <c r="BU78" s="1456" t="s">
        <v>1312</v>
      </c>
      <c r="BV78" s="1456">
        <v>0.2</v>
      </c>
      <c r="BW78" s="1456">
        <v>0.4</v>
      </c>
      <c r="BX78" s="1456">
        <v>1</v>
      </c>
      <c r="BY78" s="1456">
        <v>1</v>
      </c>
      <c r="BZ78" s="1456">
        <v>1</v>
      </c>
      <c r="CA78" s="1456">
        <v>1</v>
      </c>
    </row>
    <row r="79" spans="1:92" ht="14">
      <c r="A79" s="1200" t="s">
        <v>96</v>
      </c>
      <c r="B79" s="1166" t="s">
        <v>636</v>
      </c>
      <c r="C79" s="1199">
        <v>5.2903610611199996</v>
      </c>
      <c r="D79" s="1199">
        <v>3.4833845592000006</v>
      </c>
      <c r="E79" s="1199">
        <v>1.4284943360000002</v>
      </c>
      <c r="F79" s="1199">
        <v>0.74683578528000005</v>
      </c>
      <c r="G79" s="1199">
        <v>1.2015979200000002</v>
      </c>
      <c r="H79" s="1199">
        <v>0.75162528000000006</v>
      </c>
      <c r="I79" s="1199">
        <v>3.7437264000000008</v>
      </c>
      <c r="J79" s="1199">
        <v>2.0285686828800005</v>
      </c>
      <c r="K79" s="1197">
        <v>18.674594024480001</v>
      </c>
      <c r="L79" s="1196">
        <v>4.3517976487933242E-2</v>
      </c>
      <c r="M79" s="1168"/>
      <c r="N79" s="1164">
        <v>6</v>
      </c>
      <c r="O79" s="1164"/>
      <c r="P79" s="1164"/>
      <c r="Q79" s="1164"/>
      <c r="R79" s="1164"/>
      <c r="S79" s="1164"/>
      <c r="T79" s="1164"/>
      <c r="U79" s="1164"/>
      <c r="V79" s="1164"/>
      <c r="W79" s="1164"/>
      <c r="X79" s="1164"/>
      <c r="Y79" s="1164"/>
      <c r="Z79" s="1168"/>
      <c r="AA79" s="1497"/>
      <c r="AB79" s="1497"/>
      <c r="AC79" s="1497"/>
      <c r="AD79" s="1497"/>
      <c r="AE79" s="1497"/>
      <c r="AF79" s="1497"/>
      <c r="AG79" s="1164"/>
      <c r="AH79" s="483"/>
      <c r="AT79" s="1363" t="s">
        <v>2247</v>
      </c>
      <c r="AU79" s="36"/>
      <c r="AV79" s="348"/>
      <c r="AX79" s="1304" t="s">
        <v>1987</v>
      </c>
      <c r="AY79" s="682">
        <v>2012</v>
      </c>
      <c r="AZ79" s="682">
        <v>2016</v>
      </c>
      <c r="BA79" s="682">
        <v>2020</v>
      </c>
      <c r="BB79" s="682">
        <v>2024</v>
      </c>
      <c r="BC79" s="682">
        <v>2028</v>
      </c>
      <c r="BD79" s="682">
        <v>2032</v>
      </c>
      <c r="BF79" s="1473"/>
      <c r="BG79" s="1447">
        <v>2006</v>
      </c>
      <c r="BH79" s="1447">
        <v>2010</v>
      </c>
      <c r="BI79" s="1447">
        <v>2015</v>
      </c>
      <c r="BJ79" s="1447">
        <v>2020</v>
      </c>
      <c r="BK79" s="1447">
        <v>2025</v>
      </c>
      <c r="BL79" s="1447">
        <v>2030</v>
      </c>
      <c r="BM79" s="1447">
        <v>2035</v>
      </c>
      <c r="BN79" s="1447">
        <v>2040</v>
      </c>
      <c r="BO79" s="1447">
        <v>2045</v>
      </c>
      <c r="BP79" s="1447">
        <v>2050</v>
      </c>
      <c r="BQ79" s="1372"/>
      <c r="BR79" s="1484"/>
      <c r="BS79" s="1459"/>
      <c r="BT79" s="1459"/>
      <c r="BU79" s="1456" t="s">
        <v>1311</v>
      </c>
      <c r="BV79" s="1456">
        <v>0.2</v>
      </c>
      <c r="BW79" s="1456">
        <v>0.4</v>
      </c>
      <c r="BX79" s="1456">
        <v>1</v>
      </c>
      <c r="BY79" s="1456">
        <v>1</v>
      </c>
      <c r="BZ79" s="1456">
        <v>1</v>
      </c>
      <c r="CA79" s="1456">
        <v>1</v>
      </c>
    </row>
    <row r="80" spans="1:92" ht="14">
      <c r="A80" s="1200" t="s">
        <v>438</v>
      </c>
      <c r="B80" s="1166" t="s">
        <v>409</v>
      </c>
      <c r="C80" s="1199">
        <v>9.5437498082040619</v>
      </c>
      <c r="D80" s="1199">
        <v>0.99525273120000013</v>
      </c>
      <c r="E80" s="1199">
        <v>1.7856179200000004</v>
      </c>
      <c r="F80" s="1199">
        <v>0</v>
      </c>
      <c r="G80" s="1199">
        <v>0</v>
      </c>
      <c r="H80" s="1199">
        <v>3.4574762880000001</v>
      </c>
      <c r="I80" s="1199">
        <v>0</v>
      </c>
      <c r="J80" s="1199">
        <v>1.2920499417600004</v>
      </c>
      <c r="K80" s="1197">
        <v>17.074146689164063</v>
      </c>
      <c r="L80" s="1196">
        <v>3.9788405209588207E-2</v>
      </c>
      <c r="M80" s="1168"/>
      <c r="N80" s="1164">
        <v>7</v>
      </c>
      <c r="O80" s="1164"/>
      <c r="P80" s="1164"/>
      <c r="Q80" s="1164"/>
      <c r="R80" s="1164"/>
      <c r="S80" s="1164"/>
      <c r="T80" s="1164"/>
      <c r="U80" s="1164"/>
      <c r="V80" s="1164"/>
      <c r="W80" s="1164"/>
      <c r="X80" s="1164"/>
      <c r="Y80" s="1164"/>
      <c r="Z80" s="1168"/>
      <c r="AA80" s="1497"/>
      <c r="AB80" s="1497"/>
      <c r="AC80" s="1497"/>
      <c r="AD80" s="1497"/>
      <c r="AE80" s="1497"/>
      <c r="AF80" s="1497"/>
      <c r="AG80" s="1164"/>
      <c r="AH80" s="483"/>
      <c r="AT80" s="1201" t="s">
        <v>2234</v>
      </c>
      <c r="AU80" s="484">
        <v>4</v>
      </c>
      <c r="AX80" s="1305">
        <v>1</v>
      </c>
      <c r="AY80" s="508">
        <v>0.02</v>
      </c>
      <c r="AZ80" s="508">
        <v>0.06</v>
      </c>
      <c r="BA80" s="508">
        <v>0.12</v>
      </c>
      <c r="BB80" s="508">
        <v>0.16</v>
      </c>
      <c r="BC80" s="508">
        <v>0.18</v>
      </c>
      <c r="BD80" s="508">
        <v>0.2</v>
      </c>
      <c r="BF80" s="1483">
        <v>4</v>
      </c>
      <c r="BG80" s="1467">
        <f t="shared" ref="BG80:BP83" si="12">INDEX(BG$35:BG$37,MATCH($BI$39,$BF$35:$BF$37,0)) * $BQ80</f>
        <v>0</v>
      </c>
      <c r="BH80" s="1467">
        <f t="shared" si="12"/>
        <v>1.4000318894442622E-2</v>
      </c>
      <c r="BI80" s="1467">
        <f t="shared" si="12"/>
        <v>4.3209549440490692E-2</v>
      </c>
      <c r="BJ80" s="1467">
        <f t="shared" si="12"/>
        <v>9.0160371101878412E-2</v>
      </c>
      <c r="BK80" s="1467">
        <f t="shared" si="12"/>
        <v>0.15542393172521254</v>
      </c>
      <c r="BL80" s="1467">
        <f t="shared" si="12"/>
        <v>0.22994529272546324</v>
      </c>
      <c r="BM80" s="1467">
        <f t="shared" si="12"/>
        <v>0.29811802004663696</v>
      </c>
      <c r="BN80" s="1467">
        <f t="shared" si="12"/>
        <v>0.34894334842518082</v>
      </c>
      <c r="BO80" s="1467">
        <f t="shared" si="12"/>
        <v>0.38135004734985389</v>
      </c>
      <c r="BP80" s="1467">
        <f t="shared" si="12"/>
        <v>0.4</v>
      </c>
      <c r="BQ80" s="1469">
        <v>0.4</v>
      </c>
      <c r="BR80" s="1484"/>
      <c r="BS80" s="1459"/>
      <c r="BT80" s="1459"/>
      <c r="BU80" s="1456" t="s">
        <v>96</v>
      </c>
      <c r="BV80" s="1456">
        <v>0.4</v>
      </c>
      <c r="BW80" s="1456">
        <v>0.8</v>
      </c>
      <c r="BX80" s="1456">
        <v>2</v>
      </c>
      <c r="BY80" s="1456">
        <v>2</v>
      </c>
      <c r="BZ80" s="1456">
        <v>2</v>
      </c>
      <c r="CA80" s="1456">
        <v>2</v>
      </c>
    </row>
    <row r="81" spans="1:107" ht="14">
      <c r="A81" s="1200" t="s">
        <v>999</v>
      </c>
      <c r="B81" s="1166" t="s">
        <v>638</v>
      </c>
      <c r="C81" s="1199">
        <v>9.4050863308799997</v>
      </c>
      <c r="D81" s="1199">
        <v>1.9905054624000003</v>
      </c>
      <c r="E81" s="1199">
        <v>0.7142471680000001</v>
      </c>
      <c r="F81" s="1199">
        <v>0.74683578528000005</v>
      </c>
      <c r="G81" s="1199">
        <v>0.48063916800000012</v>
      </c>
      <c r="H81" s="1199">
        <v>0.90195033599999996</v>
      </c>
      <c r="I81" s="1199">
        <v>1.4974905600000004</v>
      </c>
      <c r="J81" s="1199">
        <v>2.1341447481600002</v>
      </c>
      <c r="K81" s="1197">
        <v>17.870899558720001</v>
      </c>
      <c r="L81" s="1196">
        <v>4.1645102741999174E-2</v>
      </c>
      <c r="M81" s="1168"/>
      <c r="N81" s="1164">
        <v>8</v>
      </c>
      <c r="O81" s="1164"/>
      <c r="P81" s="1164"/>
      <c r="Q81" s="1164"/>
      <c r="R81" s="1164"/>
      <c r="S81" s="1164"/>
      <c r="T81" s="1164"/>
      <c r="U81" s="1164"/>
      <c r="V81" s="1164"/>
      <c r="W81" s="1164"/>
      <c r="X81" s="1164"/>
      <c r="Y81" s="1164"/>
      <c r="Z81" s="1168"/>
      <c r="AA81" s="1497"/>
      <c r="AB81" s="1497"/>
      <c r="AC81" s="1497"/>
      <c r="AD81" s="1497"/>
      <c r="AE81" s="1497"/>
      <c r="AF81" s="1497"/>
      <c r="AG81" s="1164"/>
      <c r="AH81" s="483"/>
      <c r="AT81" s="1201" t="s">
        <v>2233</v>
      </c>
      <c r="AU81" s="484">
        <v>3</v>
      </c>
      <c r="AX81" s="1305">
        <v>1</v>
      </c>
      <c r="AY81" s="509">
        <v>0.02</v>
      </c>
      <c r="AZ81" s="509">
        <v>0.05</v>
      </c>
      <c r="BA81" s="509">
        <v>7.0000000000000007E-2</v>
      </c>
      <c r="BB81" s="508">
        <v>0.1</v>
      </c>
      <c r="BC81" s="508">
        <v>0.12</v>
      </c>
      <c r="BD81" s="508">
        <v>0.16</v>
      </c>
      <c r="BF81" s="1483">
        <v>3</v>
      </c>
      <c r="BG81" s="1468">
        <f t="shared" si="12"/>
        <v>0</v>
      </c>
      <c r="BH81" s="1468">
        <f t="shared" si="12"/>
        <v>1.0500239170831965E-2</v>
      </c>
      <c r="BI81" s="1468">
        <f t="shared" si="12"/>
        <v>3.2407162080368014E-2</v>
      </c>
      <c r="BJ81" s="1468">
        <f t="shared" si="12"/>
        <v>6.7620278326408809E-2</v>
      </c>
      <c r="BK81" s="1468">
        <f t="shared" si="12"/>
        <v>0.1165679487939094</v>
      </c>
      <c r="BL81" s="1468">
        <f t="shared" si="12"/>
        <v>0.17245896954409742</v>
      </c>
      <c r="BM81" s="1468">
        <f t="shared" si="12"/>
        <v>0.2235885150349777</v>
      </c>
      <c r="BN81" s="1468">
        <f t="shared" si="12"/>
        <v>0.26170751131888559</v>
      </c>
      <c r="BO81" s="1468">
        <f t="shared" si="12"/>
        <v>0.28601253551239042</v>
      </c>
      <c r="BP81" s="1468">
        <f t="shared" si="12"/>
        <v>0.3</v>
      </c>
      <c r="BQ81" s="1470">
        <v>0.3</v>
      </c>
      <c r="BR81" s="1484"/>
      <c r="BS81" s="1459"/>
      <c r="BT81" s="1459"/>
      <c r="BU81" s="1456" t="s">
        <v>438</v>
      </c>
      <c r="BV81" s="1456">
        <v>0.1</v>
      </c>
      <c r="BW81" s="1456">
        <v>0.2</v>
      </c>
      <c r="BX81" s="1456">
        <v>0.5</v>
      </c>
      <c r="BY81" s="1456">
        <v>0.5</v>
      </c>
      <c r="BZ81" s="1456">
        <v>0.5</v>
      </c>
      <c r="CA81" s="1456">
        <v>0.5</v>
      </c>
    </row>
    <row r="82" spans="1:107" ht="14">
      <c r="A82" s="1200" t="s">
        <v>997</v>
      </c>
      <c r="B82" s="1166" t="s">
        <v>998</v>
      </c>
      <c r="C82" s="1199">
        <v>21.028788298944985</v>
      </c>
      <c r="D82" s="1199">
        <v>2.4881318280000002</v>
      </c>
      <c r="E82" s="1199">
        <v>12.499325440000002</v>
      </c>
      <c r="F82" s="1199">
        <v>0</v>
      </c>
      <c r="G82" s="1199">
        <v>2.0427164640000006</v>
      </c>
      <c r="H82" s="1199">
        <v>4.2091015680000003</v>
      </c>
      <c r="I82" s="1199">
        <v>13.103042400000001</v>
      </c>
      <c r="J82" s="1199">
        <v>3.2678305920000006</v>
      </c>
      <c r="K82" s="1197">
        <v>58.638936590944994</v>
      </c>
      <c r="L82" s="1196">
        <v>0.13664810386223158</v>
      </c>
      <c r="M82" s="1168"/>
      <c r="N82" s="1164">
        <v>9</v>
      </c>
      <c r="O82" s="1164"/>
      <c r="P82" s="1164"/>
      <c r="Q82" s="1164"/>
      <c r="R82" s="1164"/>
      <c r="S82" s="1164"/>
      <c r="T82" s="1164"/>
      <c r="U82" s="1164"/>
      <c r="V82" s="1164"/>
      <c r="W82" s="1164"/>
      <c r="X82" s="1164"/>
      <c r="Y82" s="1164"/>
      <c r="Z82" s="1168"/>
      <c r="AA82" s="1497"/>
      <c r="AB82" s="1497"/>
      <c r="AC82" s="1497"/>
      <c r="AD82" s="1497"/>
      <c r="AE82" s="1497"/>
      <c r="AF82" s="1497"/>
      <c r="AG82" s="1164"/>
      <c r="AH82" s="483"/>
      <c r="AT82" s="1201" t="s">
        <v>1303</v>
      </c>
      <c r="AU82" s="484">
        <v>2</v>
      </c>
      <c r="AX82" s="1305">
        <v>1</v>
      </c>
      <c r="AY82" s="842">
        <v>0.01</v>
      </c>
      <c r="AZ82" s="842">
        <v>0.02</v>
      </c>
      <c r="BA82" s="842">
        <v>0.03</v>
      </c>
      <c r="BB82" s="508">
        <v>0.04</v>
      </c>
      <c r="BC82" s="508">
        <v>0.05</v>
      </c>
      <c r="BD82" s="508">
        <v>0.05</v>
      </c>
      <c r="BF82" s="1483">
        <v>2</v>
      </c>
      <c r="BG82" s="1468">
        <f t="shared" si="12"/>
        <v>0</v>
      </c>
      <c r="BH82" s="1468">
        <f t="shared" si="12"/>
        <v>5.2501195854159823E-3</v>
      </c>
      <c r="BI82" s="1468">
        <f t="shared" si="12"/>
        <v>1.6203581040184007E-2</v>
      </c>
      <c r="BJ82" s="1468">
        <f t="shared" si="12"/>
        <v>3.3810139163204404E-2</v>
      </c>
      <c r="BK82" s="1468">
        <f t="shared" si="12"/>
        <v>5.8283974396954701E-2</v>
      </c>
      <c r="BL82" s="1468">
        <f t="shared" si="12"/>
        <v>8.6229484772048712E-2</v>
      </c>
      <c r="BM82" s="1468">
        <f t="shared" si="12"/>
        <v>0.11179425751748885</v>
      </c>
      <c r="BN82" s="1468">
        <f t="shared" si="12"/>
        <v>0.13085375565944279</v>
      </c>
      <c r="BO82" s="1468">
        <f t="shared" si="12"/>
        <v>0.14300626775619521</v>
      </c>
      <c r="BP82" s="1468">
        <f t="shared" si="12"/>
        <v>0.15</v>
      </c>
      <c r="BQ82" s="1469">
        <v>0.15</v>
      </c>
      <c r="BR82" s="1484"/>
      <c r="BS82" s="1459"/>
      <c r="BT82" s="1459"/>
      <c r="BU82" s="1456" t="s">
        <v>999</v>
      </c>
      <c r="BV82" s="1456">
        <v>0.3</v>
      </c>
      <c r="BW82" s="1456">
        <v>0.6</v>
      </c>
      <c r="BX82" s="1456">
        <v>1.5</v>
      </c>
      <c r="BY82" s="1456">
        <v>1.5</v>
      </c>
      <c r="BZ82" s="1456">
        <v>1.5</v>
      </c>
      <c r="CA82" s="1456">
        <v>1.5</v>
      </c>
    </row>
    <row r="83" spans="1:107" ht="14">
      <c r="A83" s="1200" t="s">
        <v>996</v>
      </c>
      <c r="B83" s="1166" t="s">
        <v>352</v>
      </c>
      <c r="C83" s="1199">
        <v>8.0967945939849866</v>
      </c>
      <c r="D83" s="1199">
        <v>4.4786372904</v>
      </c>
      <c r="E83" s="1199">
        <v>2.8569886720000004</v>
      </c>
      <c r="F83" s="1199">
        <v>0</v>
      </c>
      <c r="G83" s="1199">
        <v>2.1628762560000001</v>
      </c>
      <c r="H83" s="1199">
        <v>0.60130022400000005</v>
      </c>
      <c r="I83" s="1199">
        <v>0</v>
      </c>
      <c r="J83" s="1199">
        <v>1.3913417174400002</v>
      </c>
      <c r="K83" s="1197">
        <v>19.587938753824986</v>
      </c>
      <c r="L83" s="1196">
        <v>4.5646371590119111E-2</v>
      </c>
      <c r="M83" s="1168"/>
      <c r="N83" s="1164">
        <v>10</v>
      </c>
      <c r="O83" s="1164"/>
      <c r="P83" s="1164"/>
      <c r="Q83" s="1164"/>
      <c r="R83" s="1164"/>
      <c r="S83" s="1164"/>
      <c r="T83" s="1164"/>
      <c r="U83" s="1164"/>
      <c r="V83" s="1164"/>
      <c r="W83" s="1164"/>
      <c r="X83" s="1164"/>
      <c r="Y83" s="1164"/>
      <c r="Z83" s="1168"/>
      <c r="AA83" s="1497"/>
      <c r="AB83" s="1497"/>
      <c r="AC83" s="1497"/>
      <c r="AD83" s="1497"/>
      <c r="AE83" s="1497"/>
      <c r="AF83" s="1497"/>
      <c r="AG83" s="1164"/>
      <c r="AH83" s="483"/>
      <c r="AT83" s="1164" t="s">
        <v>1306</v>
      </c>
      <c r="AU83" s="484">
        <v>1</v>
      </c>
      <c r="AX83" s="1305">
        <v>1</v>
      </c>
      <c r="AY83" s="1018">
        <v>0</v>
      </c>
      <c r="AZ83" s="1018">
        <v>0</v>
      </c>
      <c r="BA83" s="1018">
        <v>0.01</v>
      </c>
      <c r="BB83" s="1019">
        <v>0.01</v>
      </c>
      <c r="BC83" s="1019">
        <v>0.01</v>
      </c>
      <c r="BD83" s="1019">
        <v>0.01</v>
      </c>
      <c r="BF83" s="1483">
        <v>1</v>
      </c>
      <c r="BG83" s="1474">
        <f t="shared" si="12"/>
        <v>0</v>
      </c>
      <c r="BH83" s="1474">
        <f t="shared" si="12"/>
        <v>3.5000797236106552E-4</v>
      </c>
      <c r="BI83" s="1474">
        <f t="shared" si="12"/>
        <v>1.0802387360122673E-3</v>
      </c>
      <c r="BJ83" s="1474">
        <f t="shared" si="12"/>
        <v>2.2540092775469602E-3</v>
      </c>
      <c r="BK83" s="1474">
        <f t="shared" si="12"/>
        <v>3.8855982931303135E-3</v>
      </c>
      <c r="BL83" s="1474">
        <f t="shared" si="12"/>
        <v>5.7486323181365805E-3</v>
      </c>
      <c r="BM83" s="1474">
        <f t="shared" si="12"/>
        <v>7.4529505011659237E-3</v>
      </c>
      <c r="BN83" s="1474">
        <f t="shared" si="12"/>
        <v>8.7235837106295205E-3</v>
      </c>
      <c r="BO83" s="1474">
        <f t="shared" si="12"/>
        <v>9.533751183746348E-3</v>
      </c>
      <c r="BP83" s="1474">
        <f t="shared" si="12"/>
        <v>0.01</v>
      </c>
      <c r="BQ83" s="1470">
        <v>0.01</v>
      </c>
      <c r="BR83" s="1484"/>
      <c r="BS83" s="1459"/>
      <c r="BT83" s="1459"/>
      <c r="BU83" s="1456" t="s">
        <v>997</v>
      </c>
      <c r="BV83" s="1456">
        <v>0.1</v>
      </c>
      <c r="BW83" s="1456">
        <v>0.2</v>
      </c>
      <c r="BX83" s="1456">
        <v>0.5</v>
      </c>
      <c r="BY83" s="1456">
        <v>0.5</v>
      </c>
      <c r="BZ83" s="1456">
        <v>0.5</v>
      </c>
      <c r="CA83" s="1456">
        <v>0.5</v>
      </c>
      <c r="CR83" s="601"/>
      <c r="CS83" s="601"/>
    </row>
    <row r="84" spans="1:107" ht="15" thickBot="1">
      <c r="A84" s="1200" t="s">
        <v>995</v>
      </c>
      <c r="B84" s="1166" t="s">
        <v>782</v>
      </c>
      <c r="C84" s="1199">
        <v>39.728377128821904</v>
      </c>
      <c r="D84" s="1199">
        <v>41.302988344799999</v>
      </c>
      <c r="E84" s="1199">
        <v>7.1424716800000017</v>
      </c>
      <c r="F84" s="1199">
        <v>5.2278504969600004</v>
      </c>
      <c r="G84" s="1199">
        <v>9.4926235680000026</v>
      </c>
      <c r="H84" s="1199">
        <v>3.156826176</v>
      </c>
      <c r="I84" s="1199">
        <v>5.2412169600000009</v>
      </c>
      <c r="J84" s="1199">
        <v>9.2713381326720032</v>
      </c>
      <c r="K84" s="1197">
        <v>120.5636924872539</v>
      </c>
      <c r="L84" s="1196">
        <v>0.28095325274975147</v>
      </c>
      <c r="M84" s="1168"/>
      <c r="N84" s="1164">
        <v>11</v>
      </c>
      <c r="O84" s="1164"/>
      <c r="P84" s="1164"/>
      <c r="Q84" s="1164"/>
      <c r="R84" s="1164"/>
      <c r="S84" s="1164"/>
      <c r="T84" s="1164"/>
      <c r="U84" s="1164"/>
      <c r="V84" s="1164"/>
      <c r="W84" s="1164"/>
      <c r="X84" s="1164"/>
      <c r="Y84" s="1164"/>
      <c r="Z84" s="1168"/>
      <c r="AA84" s="1497"/>
      <c r="AB84" s="1497"/>
      <c r="AC84" s="1497"/>
      <c r="AD84" s="1497"/>
      <c r="AE84" s="1497"/>
      <c r="AF84" s="1497"/>
      <c r="AG84" s="1164"/>
      <c r="AH84" s="483"/>
      <c r="AW84" s="842"/>
      <c r="AX84" s="483"/>
      <c r="AY84" s="842"/>
      <c r="BF84" s="1490"/>
      <c r="BG84" s="1491"/>
      <c r="BH84" s="1491"/>
      <c r="BI84" s="1491"/>
      <c r="BJ84" s="1491"/>
      <c r="BK84" s="1491"/>
      <c r="BL84" s="1491"/>
      <c r="BM84" s="1491"/>
      <c r="BN84" s="1491"/>
      <c r="BO84" s="1491"/>
      <c r="BP84" s="1491"/>
      <c r="BQ84" s="1491"/>
      <c r="BR84" s="1489"/>
      <c r="BS84" s="1459"/>
      <c r="BT84" s="1459"/>
      <c r="BU84" s="1456" t="s">
        <v>996</v>
      </c>
      <c r="BV84" s="1456">
        <v>0.1</v>
      </c>
      <c r="BW84" s="1456">
        <v>0.2</v>
      </c>
      <c r="BX84" s="1456">
        <v>0.5</v>
      </c>
      <c r="BY84" s="1456">
        <v>0.5</v>
      </c>
      <c r="BZ84" s="1456">
        <v>0.5</v>
      </c>
      <c r="CA84" s="1456">
        <v>0.5</v>
      </c>
    </row>
    <row r="85" spans="1:107" ht="14">
      <c r="A85" s="1200" t="s">
        <v>994</v>
      </c>
      <c r="B85" s="1166" t="s">
        <v>416</v>
      </c>
      <c r="C85" s="1199">
        <v>0.2703962320128</v>
      </c>
      <c r="D85" s="1199">
        <v>0</v>
      </c>
      <c r="E85" s="1199">
        <v>2.8569886720000004</v>
      </c>
      <c r="F85" s="1199">
        <v>67.215220675200001</v>
      </c>
      <c r="G85" s="1199">
        <v>0</v>
      </c>
      <c r="H85" s="1199">
        <v>0</v>
      </c>
      <c r="I85" s="1199">
        <v>0</v>
      </c>
      <c r="J85" s="1199">
        <v>0.32728580236800009</v>
      </c>
      <c r="K85" s="1197">
        <v>70.669891381580797</v>
      </c>
      <c r="L85" s="1196">
        <v>0.16468420504975687</v>
      </c>
      <c r="M85" s="1168"/>
      <c r="N85" s="1164">
        <v>12</v>
      </c>
      <c r="O85" s="1164"/>
      <c r="P85" s="1164"/>
      <c r="Q85" s="1164"/>
      <c r="R85" s="1164"/>
      <c r="S85" s="1164"/>
      <c r="T85" s="1164"/>
      <c r="U85" s="1164"/>
      <c r="V85" s="1164"/>
      <c r="W85" s="1164"/>
      <c r="X85" s="1164"/>
      <c r="Y85" s="1164"/>
      <c r="Z85" s="1168"/>
      <c r="AA85" s="1497"/>
      <c r="AB85" s="1497"/>
      <c r="AC85" s="1497"/>
      <c r="AD85" s="1497"/>
      <c r="AE85" s="1497"/>
      <c r="AF85" s="1497"/>
      <c r="AG85" s="1164"/>
      <c r="AH85" s="483"/>
      <c r="AT85" s="843"/>
      <c r="AU85" s="842"/>
      <c r="AW85" s="842"/>
      <c r="AX85" s="36"/>
      <c r="BS85" s="1459"/>
      <c r="BT85" s="1459"/>
      <c r="BU85" s="1456" t="s">
        <v>97</v>
      </c>
      <c r="BV85" s="1456">
        <v>0.05</v>
      </c>
      <c r="BW85" s="1456">
        <v>0.1</v>
      </c>
      <c r="BX85" s="1456">
        <v>0.25</v>
      </c>
      <c r="BY85" s="1456">
        <v>0.25</v>
      </c>
      <c r="BZ85" s="1456">
        <v>0.25</v>
      </c>
      <c r="CA85" s="1456">
        <v>0.25</v>
      </c>
    </row>
    <row r="86" spans="1:107" ht="14">
      <c r="A86" s="1200" t="s">
        <v>992</v>
      </c>
      <c r="B86" s="1166" t="s">
        <v>993</v>
      </c>
      <c r="C86" s="1199">
        <v>0</v>
      </c>
      <c r="D86" s="1199">
        <v>0</v>
      </c>
      <c r="E86" s="1199">
        <v>0.35712358400000005</v>
      </c>
      <c r="F86" s="1199">
        <v>0</v>
      </c>
      <c r="G86" s="1199">
        <v>0</v>
      </c>
      <c r="H86" s="1199">
        <v>0.30065011200000002</v>
      </c>
      <c r="I86" s="1199">
        <v>0</v>
      </c>
      <c r="J86" s="1199">
        <v>0.25137158400000004</v>
      </c>
      <c r="K86" s="1197">
        <v>0.90914528000000006</v>
      </c>
      <c r="L86" s="1196">
        <v>2.1186089971911536E-3</v>
      </c>
      <c r="M86" s="1168"/>
      <c r="N86" s="1164">
        <v>3</v>
      </c>
      <c r="O86" s="1164"/>
      <c r="P86" s="1164"/>
      <c r="Q86" s="1164"/>
      <c r="R86" s="1164"/>
      <c r="S86" s="1164"/>
      <c r="T86" s="1164"/>
      <c r="U86" s="1164"/>
      <c r="V86" s="1164"/>
      <c r="W86" s="1164"/>
      <c r="X86" s="1164"/>
      <c r="Y86" s="1164"/>
      <c r="Z86" s="1168"/>
      <c r="AA86" s="1497"/>
      <c r="AB86" s="1497"/>
      <c r="AC86" s="1497"/>
      <c r="AD86" s="1497"/>
      <c r="AE86" s="1497"/>
      <c r="AF86" s="1497"/>
      <c r="AG86" s="1164"/>
      <c r="AH86" s="483"/>
      <c r="AT86" s="843"/>
      <c r="AU86" s="842"/>
      <c r="AW86" s="842"/>
      <c r="AX86" s="36"/>
      <c r="BL86" s="483"/>
      <c r="BM86" s="483"/>
      <c r="BN86" s="483"/>
      <c r="BS86" s="1459"/>
      <c r="BT86" s="1459"/>
      <c r="BU86" s="1456" t="s">
        <v>994</v>
      </c>
      <c r="BV86" s="1456">
        <v>0</v>
      </c>
      <c r="BW86" s="1456">
        <v>0</v>
      </c>
      <c r="BX86" s="1456">
        <v>0</v>
      </c>
      <c r="BY86" s="1456">
        <v>0</v>
      </c>
      <c r="BZ86" s="1456">
        <v>0</v>
      </c>
      <c r="CA86" s="1456">
        <v>0</v>
      </c>
    </row>
    <row r="87" spans="1:107" ht="14">
      <c r="A87" s="600" t="s">
        <v>1309</v>
      </c>
      <c r="B87" s="1166" t="s">
        <v>875</v>
      </c>
      <c r="C87" s="1199"/>
      <c r="D87" s="1199"/>
      <c r="E87" s="1199"/>
      <c r="F87" s="1199"/>
      <c r="G87" s="1199"/>
      <c r="H87" s="1199"/>
      <c r="I87" s="1199"/>
      <c r="J87" s="1199"/>
      <c r="K87" s="1197"/>
      <c r="L87" s="1196"/>
      <c r="M87" s="1168"/>
      <c r="N87" s="1164"/>
      <c r="O87" s="1164"/>
      <c r="P87" s="1164"/>
      <c r="Q87" s="1164"/>
      <c r="R87" s="1164"/>
      <c r="S87" s="1164"/>
      <c r="T87" s="1164"/>
      <c r="U87" s="1164"/>
      <c r="V87" s="1164"/>
      <c r="W87" s="1164"/>
      <c r="X87" s="1164"/>
      <c r="Y87" s="1164"/>
      <c r="Z87" s="1168"/>
      <c r="AA87" s="1497"/>
      <c r="AB87" s="1497"/>
      <c r="AC87" s="1497"/>
      <c r="AD87" s="1497"/>
      <c r="AE87" s="1497"/>
      <c r="AF87" s="1497"/>
      <c r="AG87" s="1164"/>
      <c r="AH87" s="483"/>
      <c r="AT87" s="36"/>
      <c r="AU87" s="842"/>
      <c r="AW87" s="842"/>
      <c r="AX87" s="36"/>
      <c r="BT87" s="1459"/>
      <c r="BU87" s="1459"/>
    </row>
    <row r="88" spans="1:107">
      <c r="A88" s="1198" t="s">
        <v>102</v>
      </c>
      <c r="B88" s="1167"/>
      <c r="C88" s="1197">
        <v>117.56357913599999</v>
      </c>
      <c r="D88" s="1197">
        <v>99.525273120000008</v>
      </c>
      <c r="E88" s="1197">
        <v>35.712358400000006</v>
      </c>
      <c r="F88" s="1197">
        <v>74.683578527999998</v>
      </c>
      <c r="G88" s="1197">
        <v>24.031958400000008</v>
      </c>
      <c r="H88" s="1197">
        <v>15.0325056</v>
      </c>
      <c r="I88" s="1197">
        <v>37.437264000000006</v>
      </c>
      <c r="J88" s="1197">
        <v>25.137158400000008</v>
      </c>
      <c r="K88" s="1197">
        <v>429.12367558399995</v>
      </c>
      <c r="L88" s="1196">
        <v>1</v>
      </c>
      <c r="M88" s="1168"/>
      <c r="N88" s="1164"/>
      <c r="O88" s="1164"/>
      <c r="P88" s="1168"/>
      <c r="Q88" s="1168"/>
      <c r="R88" s="1168"/>
      <c r="S88" s="1168"/>
      <c r="T88" s="1168"/>
      <c r="U88" s="1168"/>
      <c r="V88" s="1164"/>
      <c r="W88" s="1164"/>
      <c r="X88" s="1164"/>
      <c r="Y88" s="1164"/>
      <c r="Z88" s="1164"/>
      <c r="AA88" s="1164"/>
      <c r="AB88" s="1164"/>
      <c r="AC88" s="1164"/>
      <c r="AD88" s="1164"/>
      <c r="AE88" s="1164"/>
      <c r="AF88" s="1164"/>
      <c r="AG88" s="1164"/>
      <c r="AH88" s="483"/>
      <c r="AT88" s="36"/>
      <c r="AU88" s="842"/>
      <c r="AV88" s="842"/>
      <c r="AW88" s="842"/>
      <c r="AX88" s="842"/>
      <c r="AY88" s="842"/>
      <c r="AZ88" s="842"/>
      <c r="BA88" s="842"/>
      <c r="BB88" s="842"/>
      <c r="BC88" s="842"/>
      <c r="BD88" s="36"/>
    </row>
    <row r="89" spans="1:107">
      <c r="A89" s="1195"/>
      <c r="B89" s="1194"/>
      <c r="C89" s="1193"/>
      <c r="D89" s="1193"/>
      <c r="E89" s="1193"/>
      <c r="F89" s="1193"/>
      <c r="G89" s="1193"/>
      <c r="H89" s="1193"/>
      <c r="I89" s="1193"/>
      <c r="J89" s="1193"/>
      <c r="K89" s="1193"/>
      <c r="L89" s="1168"/>
      <c r="M89" s="1168"/>
      <c r="N89" s="1168"/>
      <c r="O89" s="1163"/>
      <c r="P89" s="1163"/>
      <c r="Q89" s="1163">
        <v>2010</v>
      </c>
      <c r="R89" s="1163">
        <v>2030</v>
      </c>
      <c r="S89" s="1163">
        <v>2050</v>
      </c>
      <c r="T89" s="1163"/>
      <c r="U89" s="1163"/>
      <c r="V89" s="1163">
        <v>2010</v>
      </c>
      <c r="W89" s="1163">
        <v>2030</v>
      </c>
      <c r="X89" s="1163">
        <v>2050</v>
      </c>
      <c r="Y89" s="1163"/>
      <c r="Z89" s="1164"/>
      <c r="AA89" s="1164"/>
      <c r="AB89" s="1164"/>
      <c r="AC89" s="1164"/>
      <c r="AD89" s="1164"/>
      <c r="AE89" s="1164"/>
      <c r="AF89" s="1164"/>
      <c r="AG89" s="1164"/>
      <c r="AH89" s="483"/>
      <c r="AT89" s="36"/>
      <c r="AU89" s="36"/>
      <c r="AV89" s="36"/>
      <c r="AW89" s="36"/>
      <c r="AX89" s="36"/>
      <c r="AY89" s="36"/>
      <c r="AZ89" s="36"/>
      <c r="BA89" s="36"/>
      <c r="BB89" s="36"/>
      <c r="BC89" s="36"/>
      <c r="BD89" s="36"/>
    </row>
    <row r="90" spans="1:107" ht="14">
      <c r="A90" s="1192"/>
      <c r="B90" s="1191"/>
      <c r="C90" s="1171"/>
      <c r="D90" s="1171"/>
      <c r="E90" s="1171"/>
      <c r="F90" s="1171"/>
      <c r="G90" s="1171"/>
      <c r="H90" s="1171"/>
      <c r="I90" s="1171"/>
      <c r="J90" s="1171"/>
      <c r="K90" s="1171"/>
      <c r="L90" s="1168"/>
      <c r="M90" s="1168"/>
      <c r="N90" s="1168"/>
      <c r="O90" s="599" t="s">
        <v>1308</v>
      </c>
      <c r="P90" s="599"/>
      <c r="Q90" s="598">
        <v>0.05</v>
      </c>
      <c r="R90" s="598">
        <v>0.25</v>
      </c>
      <c r="S90" s="598">
        <v>0.5</v>
      </c>
      <c r="T90" s="599" t="s">
        <v>1307</v>
      </c>
      <c r="U90" s="599"/>
      <c r="V90" s="598">
        <v>0.6</v>
      </c>
      <c r="W90" s="598">
        <v>0.4</v>
      </c>
      <c r="X90" s="598">
        <v>0.2</v>
      </c>
      <c r="Y90" s="1163"/>
      <c r="Z90" s="1164"/>
      <c r="AA90" s="1164"/>
      <c r="AB90" s="1164"/>
      <c r="AC90" s="1164"/>
      <c r="AD90" s="1164"/>
      <c r="AE90" s="1164"/>
      <c r="AF90" s="1164"/>
      <c r="AG90" s="1164"/>
      <c r="AH90" s="1164"/>
      <c r="BT90" s="1086">
        <v>2012</v>
      </c>
      <c r="BU90" s="1086">
        <v>2016</v>
      </c>
      <c r="BV90" s="1086">
        <v>2020</v>
      </c>
      <c r="BW90" s="1086">
        <v>2024</v>
      </c>
      <c r="BX90" s="1086">
        <v>2028</v>
      </c>
      <c r="BY90" s="1086">
        <v>2032</v>
      </c>
      <c r="BZ90" s="1086">
        <v>2037</v>
      </c>
      <c r="CA90" s="1086">
        <v>2042</v>
      </c>
      <c r="CB90" s="1086">
        <v>2047</v>
      </c>
      <c r="CC90" s="1086">
        <v>2012</v>
      </c>
      <c r="CD90" s="1086">
        <v>2016</v>
      </c>
      <c r="CE90" s="1086">
        <v>2020</v>
      </c>
      <c r="CF90" s="1086">
        <v>2024</v>
      </c>
      <c r="CG90" s="1086">
        <v>2028</v>
      </c>
      <c r="CH90" s="1086">
        <v>2032</v>
      </c>
      <c r="CI90" s="1086">
        <v>2037</v>
      </c>
      <c r="CJ90" s="1086">
        <v>2042</v>
      </c>
      <c r="CK90" s="1086">
        <v>2047</v>
      </c>
      <c r="CL90" s="1086">
        <v>2012</v>
      </c>
      <c r="CM90" s="1086">
        <v>2016</v>
      </c>
      <c r="CN90" s="1086">
        <v>2020</v>
      </c>
      <c r="CO90" s="1086">
        <v>2024</v>
      </c>
      <c r="CP90" s="1086">
        <v>2028</v>
      </c>
      <c r="CQ90" s="1086">
        <v>2032</v>
      </c>
      <c r="CR90" s="1086">
        <v>2037</v>
      </c>
      <c r="CS90" s="1086">
        <v>2042</v>
      </c>
      <c r="CT90" s="1086">
        <v>2047</v>
      </c>
      <c r="CU90" s="1086">
        <v>2012</v>
      </c>
      <c r="CV90" s="1086">
        <v>2016</v>
      </c>
      <c r="CW90" s="1086">
        <v>2020</v>
      </c>
      <c r="CX90" s="1086">
        <v>2024</v>
      </c>
      <c r="CY90" s="1086">
        <v>2028</v>
      </c>
      <c r="CZ90" s="1086">
        <v>2032</v>
      </c>
      <c r="DA90" s="1086">
        <v>2037</v>
      </c>
      <c r="DB90" s="1086">
        <v>2042</v>
      </c>
      <c r="DC90" s="1086">
        <v>2047</v>
      </c>
    </row>
    <row r="91" spans="1:107">
      <c r="A91" s="1168"/>
      <c r="B91" s="1168"/>
      <c r="C91" s="1190"/>
      <c r="D91" s="1168"/>
      <c r="E91" s="1168"/>
      <c r="F91" s="1168"/>
      <c r="G91" s="1168"/>
      <c r="H91" s="1168"/>
      <c r="I91" s="1168"/>
      <c r="J91" s="1190"/>
      <c r="K91" s="1168"/>
      <c r="L91" s="1168"/>
      <c r="M91" s="1168"/>
      <c r="N91" s="1168"/>
      <c r="O91" s="1163"/>
      <c r="P91" s="1163"/>
      <c r="Q91" s="1163"/>
      <c r="R91" s="1163"/>
      <c r="S91" s="1163"/>
      <c r="T91" s="1163"/>
      <c r="U91" s="1163"/>
      <c r="V91" s="1163"/>
      <c r="W91" s="1163"/>
      <c r="X91" s="1163"/>
      <c r="Y91" s="1163"/>
      <c r="Z91" s="1164"/>
      <c r="AA91" s="1164"/>
      <c r="AB91" s="1164"/>
      <c r="AC91" s="1164"/>
      <c r="AD91" s="1164"/>
      <c r="AE91" s="1164"/>
      <c r="AF91" s="1164"/>
      <c r="AG91" s="1164"/>
      <c r="AH91" s="1164"/>
      <c r="BT91" s="1086" t="s">
        <v>1306</v>
      </c>
      <c r="BU91" s="1086" t="s">
        <v>1306</v>
      </c>
      <c r="BV91" s="1086" t="s">
        <v>1306</v>
      </c>
      <c r="BW91" s="1086" t="s">
        <v>1306</v>
      </c>
      <c r="BX91" s="1086" t="s">
        <v>1306</v>
      </c>
      <c r="BY91" s="1086" t="s">
        <v>1306</v>
      </c>
      <c r="BZ91" s="1086" t="s">
        <v>1306</v>
      </c>
      <c r="CA91" s="1086" t="s">
        <v>1306</v>
      </c>
      <c r="CB91" s="1086" t="s">
        <v>1306</v>
      </c>
      <c r="CC91" s="1086" t="s">
        <v>1305</v>
      </c>
      <c r="CD91" s="1086" t="s">
        <v>1305</v>
      </c>
      <c r="CE91" s="1086" t="s">
        <v>1305</v>
      </c>
      <c r="CF91" s="1086" t="s">
        <v>1305</v>
      </c>
      <c r="CG91" s="1086" t="s">
        <v>1305</v>
      </c>
      <c r="CH91" s="1086" t="s">
        <v>1305</v>
      </c>
      <c r="CI91" s="1086" t="s">
        <v>1305</v>
      </c>
      <c r="CJ91" s="1086" t="s">
        <v>1305</v>
      </c>
      <c r="CK91" s="1086" t="s">
        <v>1305</v>
      </c>
      <c r="CL91" s="1086" t="s">
        <v>1304</v>
      </c>
      <c r="CM91" s="1086" t="s">
        <v>1304</v>
      </c>
      <c r="CN91" s="1086" t="s">
        <v>1304</v>
      </c>
      <c r="CO91" s="1086" t="s">
        <v>1304</v>
      </c>
      <c r="CP91" s="1086" t="s">
        <v>1304</v>
      </c>
      <c r="CQ91" s="1086" t="s">
        <v>1304</v>
      </c>
      <c r="CR91" s="1086" t="s">
        <v>1304</v>
      </c>
      <c r="CS91" s="1086" t="s">
        <v>1304</v>
      </c>
      <c r="CT91" s="1086" t="s">
        <v>1304</v>
      </c>
      <c r="CU91" s="1086" t="s">
        <v>1303</v>
      </c>
      <c r="CV91" s="1086" t="s">
        <v>1303</v>
      </c>
      <c r="CW91" s="1086" t="s">
        <v>1303</v>
      </c>
      <c r="CX91" s="1086" t="s">
        <v>1303</v>
      </c>
      <c r="CY91" s="1086" t="s">
        <v>1303</v>
      </c>
      <c r="CZ91" s="1086" t="s">
        <v>1303</v>
      </c>
      <c r="DA91" s="1086" t="s">
        <v>1303</v>
      </c>
      <c r="DB91" s="1086" t="s">
        <v>1303</v>
      </c>
      <c r="DC91" s="1086" t="s">
        <v>1303</v>
      </c>
    </row>
    <row r="92" spans="1:107">
      <c r="A92" s="1189" t="s">
        <v>788</v>
      </c>
      <c r="B92" s="1189" t="s">
        <v>789</v>
      </c>
      <c r="C92" s="1189" t="s">
        <v>790</v>
      </c>
      <c r="D92" s="1189" t="s">
        <v>791</v>
      </c>
      <c r="E92" s="1189" t="s">
        <v>792</v>
      </c>
      <c r="F92" s="1189" t="s">
        <v>793</v>
      </c>
      <c r="G92" s="1189" t="s">
        <v>617</v>
      </c>
      <c r="H92" s="1189" t="s">
        <v>794</v>
      </c>
      <c r="I92" s="1168"/>
      <c r="J92" s="1168"/>
      <c r="K92" s="1168"/>
      <c r="L92" s="1168"/>
      <c r="M92" s="1168"/>
      <c r="N92" s="1168"/>
      <c r="O92" s="1163"/>
      <c r="P92" s="1163"/>
      <c r="Q92" s="1163"/>
      <c r="R92" s="1163"/>
      <c r="S92" s="1163"/>
      <c r="T92" s="1163"/>
      <c r="U92" s="1163"/>
      <c r="V92" s="1163"/>
      <c r="W92" s="1163"/>
      <c r="X92" s="1163"/>
      <c r="Y92" s="1163"/>
      <c r="Z92" s="1164"/>
      <c r="AA92" s="1164"/>
      <c r="AB92" s="1164"/>
      <c r="AC92" s="1164"/>
      <c r="AD92" s="1164"/>
      <c r="AE92" s="1164"/>
      <c r="AF92" s="1164"/>
      <c r="AG92" s="1164"/>
      <c r="AH92" s="1164"/>
      <c r="AI92" s="1162" t="s">
        <v>267</v>
      </c>
      <c r="AJ92" s="1163" t="s">
        <v>1302</v>
      </c>
      <c r="AK92" s="1163" t="s">
        <v>1302</v>
      </c>
      <c r="AL92" s="1163" t="s">
        <v>1302</v>
      </c>
      <c r="AM92" s="1163" t="s">
        <v>1302</v>
      </c>
      <c r="AN92" s="1163" t="s">
        <v>1302</v>
      </c>
      <c r="AO92" s="1163" t="s">
        <v>1302</v>
      </c>
      <c r="AP92" s="1163" t="s">
        <v>1302</v>
      </c>
      <c r="AQ92" s="1163" t="s">
        <v>1302</v>
      </c>
      <c r="AR92" s="1163" t="s">
        <v>1302</v>
      </c>
      <c r="AS92" s="1163" t="s">
        <v>1302</v>
      </c>
      <c r="AT92" s="1163" t="s">
        <v>1302</v>
      </c>
      <c r="AU92" s="1163" t="s">
        <v>1302</v>
      </c>
      <c r="AV92" s="1163" t="s">
        <v>1302</v>
      </c>
      <c r="AW92" s="1163" t="s">
        <v>1302</v>
      </c>
      <c r="AX92" s="1163" t="s">
        <v>1302</v>
      </c>
      <c r="AY92" s="1163" t="s">
        <v>1302</v>
      </c>
      <c r="AZ92" s="1163" t="s">
        <v>1302</v>
      </c>
      <c r="BA92" s="1163" t="s">
        <v>1302</v>
      </c>
      <c r="BB92" s="1163" t="s">
        <v>1302</v>
      </c>
      <c r="BC92" s="1163" t="s">
        <v>1302</v>
      </c>
      <c r="BD92" s="1163" t="s">
        <v>1302</v>
      </c>
      <c r="BE92" s="1163" t="s">
        <v>1302</v>
      </c>
      <c r="BF92" s="1163" t="s">
        <v>1302</v>
      </c>
      <c r="BG92" s="1163" t="s">
        <v>1302</v>
      </c>
      <c r="BH92" s="1163" t="s">
        <v>1302</v>
      </c>
      <c r="BI92" s="1163" t="s">
        <v>1302</v>
      </c>
      <c r="BJ92" s="1163" t="s">
        <v>1302</v>
      </c>
      <c r="BK92" s="1163" t="s">
        <v>1302</v>
      </c>
      <c r="BL92" s="1163" t="s">
        <v>1302</v>
      </c>
      <c r="BM92" s="1163" t="s">
        <v>1302</v>
      </c>
      <c r="BN92" s="1163" t="s">
        <v>1302</v>
      </c>
      <c r="BO92" s="1163" t="s">
        <v>1302</v>
      </c>
      <c r="BP92" s="1163" t="s">
        <v>1302</v>
      </c>
      <c r="BQ92" s="1163" t="s">
        <v>1302</v>
      </c>
      <c r="BR92" s="1163" t="s">
        <v>1302</v>
      </c>
      <c r="BS92" s="1163" t="s">
        <v>1302</v>
      </c>
      <c r="BT92" s="1163" t="s">
        <v>385</v>
      </c>
      <c r="BU92" s="1163" t="s">
        <v>385</v>
      </c>
      <c r="BV92" s="1163" t="s">
        <v>385</v>
      </c>
      <c r="BW92" s="1163" t="s">
        <v>385</v>
      </c>
      <c r="BX92" s="1163" t="s">
        <v>385</v>
      </c>
      <c r="BY92" s="1163" t="s">
        <v>385</v>
      </c>
      <c r="BZ92" s="1163" t="s">
        <v>385</v>
      </c>
      <c r="CA92" s="1163" t="s">
        <v>385</v>
      </c>
      <c r="CB92" s="1163" t="s">
        <v>385</v>
      </c>
      <c r="CC92" s="1163" t="s">
        <v>385</v>
      </c>
      <c r="CD92" s="1163" t="s">
        <v>385</v>
      </c>
      <c r="CE92" s="1163" t="s">
        <v>385</v>
      </c>
      <c r="CF92" s="1163" t="s">
        <v>385</v>
      </c>
      <c r="CG92" s="1163" t="s">
        <v>385</v>
      </c>
      <c r="CH92" s="1163" t="s">
        <v>385</v>
      </c>
      <c r="CI92" s="1163" t="s">
        <v>385</v>
      </c>
      <c r="CJ92" s="1163" t="s">
        <v>385</v>
      </c>
      <c r="CK92" s="1163" t="s">
        <v>385</v>
      </c>
      <c r="CL92" s="1163" t="s">
        <v>385</v>
      </c>
      <c r="CM92" s="1163" t="s">
        <v>385</v>
      </c>
      <c r="CN92" s="1163" t="s">
        <v>385</v>
      </c>
      <c r="CO92" s="1163" t="s">
        <v>385</v>
      </c>
      <c r="CP92" s="1163" t="s">
        <v>385</v>
      </c>
      <c r="CQ92" s="1163" t="s">
        <v>385</v>
      </c>
      <c r="CR92" s="1163" t="s">
        <v>385</v>
      </c>
      <c r="CS92" s="1163" t="s">
        <v>385</v>
      </c>
      <c r="CT92" s="1163" t="s">
        <v>385</v>
      </c>
      <c r="CU92" s="1163" t="s">
        <v>385</v>
      </c>
      <c r="CV92" s="1163" t="s">
        <v>385</v>
      </c>
      <c r="CW92" s="1163" t="s">
        <v>385</v>
      </c>
      <c r="CX92" s="1163" t="s">
        <v>385</v>
      </c>
      <c r="CY92" s="1163" t="s">
        <v>385</v>
      </c>
      <c r="CZ92" s="1163" t="s">
        <v>385</v>
      </c>
      <c r="DA92" s="1163" t="s">
        <v>385</v>
      </c>
      <c r="DB92" s="1163" t="s">
        <v>385</v>
      </c>
      <c r="DC92" s="1163" t="s">
        <v>385</v>
      </c>
    </row>
    <row r="93" spans="1:107" ht="52" customHeight="1" thickBot="1">
      <c r="A93" s="1180" t="s">
        <v>1064</v>
      </c>
      <c r="B93" s="1179" t="s">
        <v>796</v>
      </c>
      <c r="C93" s="1179" t="s">
        <v>797</v>
      </c>
      <c r="D93" s="1179" t="s">
        <v>798</v>
      </c>
      <c r="E93" s="1179" t="s">
        <v>385</v>
      </c>
      <c r="F93" s="1179" t="s">
        <v>799</v>
      </c>
      <c r="G93" s="1179" t="s">
        <v>800</v>
      </c>
      <c r="H93" s="1179" t="s">
        <v>801</v>
      </c>
      <c r="I93" s="1164"/>
      <c r="J93" s="1179" t="s">
        <v>803</v>
      </c>
      <c r="K93" s="1179" t="s">
        <v>804</v>
      </c>
      <c r="L93" s="1179" t="s">
        <v>805</v>
      </c>
      <c r="M93" s="1179" t="s">
        <v>806</v>
      </c>
      <c r="N93" s="1179" t="s">
        <v>877</v>
      </c>
      <c r="O93" s="1163"/>
      <c r="P93" s="1179" t="s">
        <v>900</v>
      </c>
      <c r="Q93" s="1179" t="s">
        <v>901</v>
      </c>
      <c r="R93" s="1179" t="s">
        <v>901</v>
      </c>
      <c r="S93" s="1179" t="s">
        <v>901</v>
      </c>
      <c r="T93" s="1164"/>
      <c r="U93" s="1179" t="s">
        <v>900</v>
      </c>
      <c r="V93" s="1179" t="s">
        <v>899</v>
      </c>
      <c r="W93" s="1179" t="s">
        <v>899</v>
      </c>
      <c r="X93" s="1179" t="s">
        <v>899</v>
      </c>
      <c r="Y93" s="1163"/>
      <c r="Z93" s="1179" t="s">
        <v>1301</v>
      </c>
      <c r="AA93" s="1179"/>
      <c r="AB93" s="1179"/>
      <c r="AC93" s="1179"/>
      <c r="AD93" s="1179"/>
      <c r="AE93" s="1179"/>
      <c r="AF93" s="1179"/>
      <c r="AG93" s="1164"/>
      <c r="AH93" s="1188" t="s">
        <v>877</v>
      </c>
      <c r="AI93" s="1187" t="s">
        <v>1300</v>
      </c>
      <c r="AJ93" s="1186">
        <v>1</v>
      </c>
      <c r="AK93" s="1186">
        <v>1</v>
      </c>
      <c r="AL93" s="1186">
        <v>1</v>
      </c>
      <c r="AM93" s="1186">
        <v>1</v>
      </c>
      <c r="AN93" s="1186">
        <v>1</v>
      </c>
      <c r="AO93" s="1186">
        <v>1</v>
      </c>
      <c r="AP93" s="1186">
        <v>1</v>
      </c>
      <c r="AQ93" s="1186">
        <v>1</v>
      </c>
      <c r="AR93" s="1186">
        <v>1</v>
      </c>
      <c r="AS93" s="1186">
        <v>2</v>
      </c>
      <c r="AT93" s="1186">
        <v>2</v>
      </c>
      <c r="AU93" s="1186">
        <v>2</v>
      </c>
      <c r="AV93" s="1186">
        <v>2</v>
      </c>
      <c r="AW93" s="1186">
        <v>2</v>
      </c>
      <c r="AX93" s="1186">
        <v>2</v>
      </c>
      <c r="AY93" s="1186">
        <v>2</v>
      </c>
      <c r="AZ93" s="1186">
        <v>2</v>
      </c>
      <c r="BA93" s="1186">
        <v>2</v>
      </c>
      <c r="BB93" s="1186">
        <v>3</v>
      </c>
      <c r="BC93" s="1186">
        <v>3</v>
      </c>
      <c r="BD93" s="1186">
        <v>3</v>
      </c>
      <c r="BE93" s="1186">
        <v>3</v>
      </c>
      <c r="BF93" s="1186">
        <v>3</v>
      </c>
      <c r="BG93" s="1186">
        <v>3</v>
      </c>
      <c r="BH93" s="1186">
        <v>3</v>
      </c>
      <c r="BI93" s="1186">
        <v>3</v>
      </c>
      <c r="BJ93" s="1186">
        <v>3</v>
      </c>
      <c r="BK93" s="1186">
        <v>4</v>
      </c>
      <c r="BL93" s="1186">
        <v>4</v>
      </c>
      <c r="BM93" s="1186">
        <v>4</v>
      </c>
      <c r="BN93" s="1186">
        <v>4</v>
      </c>
      <c r="BO93" s="1186">
        <v>4</v>
      </c>
      <c r="BP93" s="1186">
        <v>4</v>
      </c>
      <c r="BQ93" s="1186">
        <v>4</v>
      </c>
      <c r="BR93" s="1186">
        <v>4</v>
      </c>
      <c r="BS93" s="1186">
        <v>4</v>
      </c>
      <c r="BT93" s="1186">
        <v>1</v>
      </c>
      <c r="BU93" s="1186">
        <v>1</v>
      </c>
      <c r="BV93" s="1186">
        <v>1</v>
      </c>
      <c r="BW93" s="1186">
        <v>1</v>
      </c>
      <c r="BX93" s="1186">
        <v>1</v>
      </c>
      <c r="BY93" s="1186">
        <v>1</v>
      </c>
      <c r="BZ93" s="1186">
        <v>1</v>
      </c>
      <c r="CA93" s="1186">
        <v>1</v>
      </c>
      <c r="CB93" s="1186">
        <v>1</v>
      </c>
      <c r="CC93" s="1186">
        <v>2</v>
      </c>
      <c r="CD93" s="1186">
        <v>2</v>
      </c>
      <c r="CE93" s="1186">
        <v>2</v>
      </c>
      <c r="CF93" s="1186">
        <v>2</v>
      </c>
      <c r="CG93" s="1186">
        <v>2</v>
      </c>
      <c r="CH93" s="1186">
        <v>2</v>
      </c>
      <c r="CI93" s="1186">
        <v>2</v>
      </c>
      <c r="CJ93" s="1186">
        <v>2</v>
      </c>
      <c r="CK93" s="1186">
        <v>2</v>
      </c>
      <c r="CL93" s="1186">
        <v>3</v>
      </c>
      <c r="CM93" s="1186">
        <v>3</v>
      </c>
      <c r="CN93" s="1186">
        <v>3</v>
      </c>
      <c r="CO93" s="1186">
        <v>3</v>
      </c>
      <c r="CP93" s="1186">
        <v>3</v>
      </c>
      <c r="CQ93" s="1186">
        <v>3</v>
      </c>
      <c r="CR93" s="1186">
        <v>3</v>
      </c>
      <c r="CS93" s="1186">
        <v>3</v>
      </c>
      <c r="CT93" s="1186">
        <v>3</v>
      </c>
      <c r="CU93" s="1186">
        <v>4</v>
      </c>
      <c r="CV93" s="1186">
        <v>4</v>
      </c>
      <c r="CW93" s="1186">
        <v>4</v>
      </c>
      <c r="CX93" s="1186">
        <v>4</v>
      </c>
      <c r="CY93" s="1186">
        <v>4</v>
      </c>
      <c r="CZ93" s="1186">
        <v>4</v>
      </c>
      <c r="DA93" s="1186">
        <v>4</v>
      </c>
      <c r="DB93" s="1186">
        <v>4</v>
      </c>
      <c r="DC93" s="1186">
        <v>4</v>
      </c>
    </row>
    <row r="94" spans="1:107">
      <c r="A94" s="1173" t="s">
        <v>807</v>
      </c>
      <c r="B94" s="1185" t="s">
        <v>1015</v>
      </c>
      <c r="C94" s="1177"/>
      <c r="D94" s="1177"/>
      <c r="E94" s="1176" t="s">
        <v>808</v>
      </c>
      <c r="F94" s="1176" t="s">
        <v>809</v>
      </c>
      <c r="G94" s="1174" t="s">
        <v>810</v>
      </c>
      <c r="H94" s="1175" t="s">
        <v>811</v>
      </c>
      <c r="I94" s="1164"/>
      <c r="J94" s="1174" t="s">
        <v>812</v>
      </c>
      <c r="K94" s="1174" t="s">
        <v>813</v>
      </c>
      <c r="L94" s="1174" t="s">
        <v>813</v>
      </c>
      <c r="M94" s="1168"/>
      <c r="N94" s="1168"/>
      <c r="O94" s="1163"/>
      <c r="P94" s="1163" t="s">
        <v>841</v>
      </c>
      <c r="Q94" s="1163" t="s">
        <v>907</v>
      </c>
      <c r="R94" s="1163" t="s">
        <v>906</v>
      </c>
      <c r="S94" s="1163" t="s">
        <v>905</v>
      </c>
      <c r="T94" s="1164"/>
      <c r="U94" s="1163" t="s">
        <v>1299</v>
      </c>
      <c r="V94" s="1163" t="s">
        <v>904</v>
      </c>
      <c r="W94" s="1163" t="s">
        <v>903</v>
      </c>
      <c r="X94" s="1163" t="s">
        <v>902</v>
      </c>
      <c r="Y94" s="1163"/>
      <c r="Z94" s="1163" t="s">
        <v>1298</v>
      </c>
      <c r="AA94" s="1163" t="s">
        <v>1297</v>
      </c>
      <c r="AB94" s="1163" t="s">
        <v>1296</v>
      </c>
      <c r="AC94" s="1163" t="s">
        <v>1295</v>
      </c>
      <c r="AD94" s="1163" t="s">
        <v>1294</v>
      </c>
      <c r="AE94" s="1163" t="s">
        <v>1293</v>
      </c>
      <c r="AF94" s="1163" t="s">
        <v>1292</v>
      </c>
      <c r="AG94" s="1164"/>
      <c r="AH94" s="1163"/>
      <c r="AI94" s="1162" t="s">
        <v>1291</v>
      </c>
      <c r="AJ94" s="1086">
        <v>2010</v>
      </c>
      <c r="AK94" s="1086">
        <v>2015</v>
      </c>
      <c r="AL94" s="1086">
        <v>2020</v>
      </c>
      <c r="AM94" s="1086">
        <v>2025</v>
      </c>
      <c r="AN94" s="1086">
        <v>2030</v>
      </c>
      <c r="AO94" s="1086">
        <v>2035</v>
      </c>
      <c r="AP94" s="1086">
        <v>2040</v>
      </c>
      <c r="AQ94" s="1086">
        <v>2045</v>
      </c>
      <c r="AR94" s="1086">
        <v>2050</v>
      </c>
      <c r="AS94" s="1086">
        <v>2010</v>
      </c>
      <c r="AT94" s="1086">
        <v>2015</v>
      </c>
      <c r="AU94" s="1086">
        <v>2020</v>
      </c>
      <c r="AV94" s="1086">
        <v>2025</v>
      </c>
      <c r="AW94" s="1086">
        <v>2030</v>
      </c>
      <c r="AX94" s="1086">
        <v>2035</v>
      </c>
      <c r="AY94" s="1086">
        <v>2040</v>
      </c>
      <c r="AZ94" s="1086">
        <v>2045</v>
      </c>
      <c r="BA94" s="1086">
        <v>2050</v>
      </c>
      <c r="BB94" s="1086">
        <v>2010</v>
      </c>
      <c r="BC94" s="1086">
        <v>2015</v>
      </c>
      <c r="BD94" s="1086">
        <v>2020</v>
      </c>
      <c r="BE94" s="1086">
        <v>2025</v>
      </c>
      <c r="BF94" s="1086">
        <v>2030</v>
      </c>
      <c r="BG94" s="1086">
        <v>2035</v>
      </c>
      <c r="BH94" s="1086">
        <v>2040</v>
      </c>
      <c r="BI94" s="1086">
        <v>2045</v>
      </c>
      <c r="BJ94" s="1086">
        <v>2050</v>
      </c>
      <c r="BK94" s="1086">
        <v>2010</v>
      </c>
      <c r="BL94" s="1086">
        <v>2015</v>
      </c>
      <c r="BM94" s="1086">
        <v>2020</v>
      </c>
      <c r="BN94" s="1086">
        <v>2025</v>
      </c>
      <c r="BO94" s="1086">
        <v>2030</v>
      </c>
      <c r="BP94" s="1086">
        <v>2035</v>
      </c>
      <c r="BQ94" s="1086">
        <v>2040</v>
      </c>
      <c r="BR94" s="1086">
        <v>2045</v>
      </c>
      <c r="BS94" s="1086">
        <v>2050</v>
      </c>
      <c r="BT94" s="1086">
        <v>2010</v>
      </c>
      <c r="BU94" s="1086">
        <v>2015</v>
      </c>
      <c r="BV94" s="1086">
        <v>2020</v>
      </c>
      <c r="BW94" s="1086">
        <v>2025</v>
      </c>
      <c r="BX94" s="1086">
        <v>2030</v>
      </c>
      <c r="BY94" s="1086">
        <v>2035</v>
      </c>
      <c r="BZ94" s="1086">
        <v>2040</v>
      </c>
      <c r="CA94" s="1086">
        <v>2045</v>
      </c>
      <c r="CB94" s="1086">
        <v>2050</v>
      </c>
      <c r="CC94" s="1086">
        <v>2010</v>
      </c>
      <c r="CD94" s="1086">
        <v>2015</v>
      </c>
      <c r="CE94" s="1086">
        <v>2020</v>
      </c>
      <c r="CF94" s="1086">
        <v>2025</v>
      </c>
      <c r="CG94" s="1086">
        <v>2030</v>
      </c>
      <c r="CH94" s="1086">
        <v>2035</v>
      </c>
      <c r="CI94" s="1086">
        <v>2040</v>
      </c>
      <c r="CJ94" s="1086">
        <v>2045</v>
      </c>
      <c r="CK94" s="1086">
        <v>2050</v>
      </c>
      <c r="CL94" s="1086">
        <v>2010</v>
      </c>
      <c r="CM94" s="1086">
        <v>2015</v>
      </c>
      <c r="CN94" s="1086">
        <v>2020</v>
      </c>
      <c r="CO94" s="1086">
        <v>2025</v>
      </c>
      <c r="CP94" s="1086">
        <v>2030</v>
      </c>
      <c r="CQ94" s="1086">
        <v>2035</v>
      </c>
      <c r="CR94" s="1086">
        <v>2040</v>
      </c>
      <c r="CS94" s="1086">
        <v>2045</v>
      </c>
      <c r="CT94" s="1086">
        <v>2050</v>
      </c>
      <c r="CU94" s="1086">
        <v>2010</v>
      </c>
      <c r="CV94" s="1086">
        <v>2015</v>
      </c>
      <c r="CW94" s="1086">
        <v>2020</v>
      </c>
      <c r="CX94" s="1086">
        <v>2025</v>
      </c>
      <c r="CY94" s="1086">
        <v>2030</v>
      </c>
      <c r="CZ94" s="1086">
        <v>2035</v>
      </c>
      <c r="DA94" s="1086">
        <v>2040</v>
      </c>
      <c r="DB94" s="1086">
        <v>2045</v>
      </c>
      <c r="DC94" s="1086">
        <v>2050</v>
      </c>
    </row>
    <row r="95" spans="1:107">
      <c r="A95" s="1173" t="s">
        <v>814</v>
      </c>
      <c r="B95" s="1167"/>
      <c r="C95" s="1172">
        <v>1</v>
      </c>
      <c r="D95" s="1172">
        <v>2</v>
      </c>
      <c r="E95" s="1172">
        <v>3</v>
      </c>
      <c r="F95" s="1172">
        <v>4</v>
      </c>
      <c r="G95" s="1172">
        <v>5</v>
      </c>
      <c r="H95" s="1172">
        <v>6</v>
      </c>
      <c r="I95" s="1164"/>
      <c r="J95" s="589"/>
      <c r="K95" s="1171"/>
      <c r="L95" s="1171"/>
      <c r="M95" s="1168"/>
      <c r="N95" s="1168"/>
      <c r="O95" s="1163"/>
      <c r="P95" s="1163"/>
      <c r="Q95" s="1163"/>
      <c r="R95" s="1163"/>
      <c r="S95" s="1163"/>
      <c r="T95" s="1164"/>
      <c r="U95" s="1163"/>
      <c r="V95" s="1163"/>
      <c r="W95" s="1163"/>
      <c r="X95" s="1163"/>
      <c r="Y95" s="1163"/>
      <c r="Z95" s="1164"/>
      <c r="AA95" s="1164"/>
      <c r="AB95" s="1164"/>
      <c r="AC95" s="1164"/>
      <c r="AD95" s="1164"/>
      <c r="AE95" s="1164"/>
      <c r="AF95" s="1164"/>
      <c r="AG95" s="1164"/>
      <c r="AH95" s="1163"/>
      <c r="AS95" s="571"/>
      <c r="AT95" s="571"/>
      <c r="AU95" s="571"/>
      <c r="AV95" s="571"/>
      <c r="AW95" s="571"/>
      <c r="AX95" s="571"/>
      <c r="AY95" s="571"/>
      <c r="AZ95" s="571"/>
      <c r="BA95" s="571"/>
      <c r="BK95" s="571"/>
      <c r="BL95" s="571"/>
      <c r="BM95" s="571"/>
      <c r="BN95" s="571"/>
      <c r="BO95" s="571"/>
      <c r="BP95" s="571"/>
      <c r="BQ95" s="571"/>
      <c r="BR95" s="571"/>
      <c r="BS95" s="571"/>
    </row>
    <row r="96" spans="1:107">
      <c r="A96" s="1167" t="s">
        <v>1290</v>
      </c>
      <c r="B96" s="1167" t="s">
        <v>1289</v>
      </c>
      <c r="C96" s="1166" t="s">
        <v>1030</v>
      </c>
      <c r="D96" s="1166" t="s">
        <v>991</v>
      </c>
      <c r="E96" s="577">
        <v>1</v>
      </c>
      <c r="F96" s="574">
        <v>0.79010000000000002</v>
      </c>
      <c r="G96" s="576">
        <v>100</v>
      </c>
      <c r="H96" s="574">
        <v>2.9759164443994428</v>
      </c>
      <c r="I96" s="1164"/>
      <c r="J96" s="575">
        <v>1</v>
      </c>
      <c r="K96" s="574">
        <v>2.3512715827199999</v>
      </c>
      <c r="L96" s="574">
        <v>2.3512715827199999</v>
      </c>
      <c r="M96" s="1168"/>
      <c r="O96" s="1168"/>
      <c r="P96" s="1163" t="s">
        <v>881</v>
      </c>
      <c r="Q96" s="1163"/>
      <c r="R96" s="1163"/>
      <c r="S96" s="1163"/>
      <c r="T96" s="1164"/>
      <c r="U96" s="1163" t="s">
        <v>881</v>
      </c>
      <c r="V96" s="1163"/>
      <c r="W96" s="1163"/>
      <c r="X96" s="1163"/>
      <c r="Y96" s="1163"/>
      <c r="Z96" s="573">
        <v>1</v>
      </c>
      <c r="AA96" s="572">
        <v>1</v>
      </c>
      <c r="AB96" s="572">
        <v>1</v>
      </c>
      <c r="AC96" s="572">
        <v>1</v>
      </c>
      <c r="AD96" s="572">
        <v>1</v>
      </c>
      <c r="AE96" s="572">
        <v>1</v>
      </c>
      <c r="AF96" s="572">
        <v>1</v>
      </c>
      <c r="AG96" s="1164"/>
      <c r="AH96" s="1163">
        <v>1</v>
      </c>
      <c r="AI96" s="1162" t="str">
        <f>MID(D96,2,2)&amp;C96</f>
        <v>MIINDELC</v>
      </c>
      <c r="AJ96" s="1163" t="s">
        <v>881</v>
      </c>
      <c r="AK96" s="1163" t="s">
        <v>881</v>
      </c>
      <c r="AL96" s="1163" t="s">
        <v>881</v>
      </c>
      <c r="AM96" s="1163" t="s">
        <v>881</v>
      </c>
      <c r="AN96" s="1163" t="s">
        <v>881</v>
      </c>
      <c r="AO96" s="1163" t="s">
        <v>881</v>
      </c>
      <c r="AP96" s="1163" t="s">
        <v>881</v>
      </c>
      <c r="AQ96" s="1163" t="s">
        <v>881</v>
      </c>
      <c r="AR96" s="1163" t="s">
        <v>881</v>
      </c>
      <c r="AS96" s="1170"/>
      <c r="AT96" s="1170"/>
      <c r="AU96" s="1170"/>
      <c r="AV96" s="1170"/>
      <c r="AW96" s="1170"/>
      <c r="AX96" s="1170"/>
      <c r="AY96" s="1170"/>
      <c r="AZ96" s="1170"/>
      <c r="BA96" s="1170"/>
      <c r="BB96" s="1163" t="s">
        <v>881</v>
      </c>
      <c r="BC96" s="1163" t="s">
        <v>881</v>
      </c>
      <c r="BD96" s="1163" t="s">
        <v>881</v>
      </c>
      <c r="BE96" s="1163" t="s">
        <v>881</v>
      </c>
      <c r="BF96" s="1163" t="s">
        <v>881</v>
      </c>
      <c r="BG96" s="1163" t="s">
        <v>881</v>
      </c>
      <c r="BH96" s="1163" t="s">
        <v>881</v>
      </c>
      <c r="BI96" s="1163" t="s">
        <v>881</v>
      </c>
      <c r="BJ96" s="1163" t="s">
        <v>881</v>
      </c>
      <c r="BK96" s="1170" t="s">
        <v>881</v>
      </c>
      <c r="BL96" s="1170" t="s">
        <v>881</v>
      </c>
      <c r="BM96" s="1170" t="s">
        <v>881</v>
      </c>
      <c r="BN96" s="1170" t="s">
        <v>881</v>
      </c>
      <c r="BO96" s="1170" t="s">
        <v>881</v>
      </c>
      <c r="BP96" s="1170" t="s">
        <v>881</v>
      </c>
      <c r="BQ96" s="1170" t="s">
        <v>881</v>
      </c>
      <c r="BR96" s="1170" t="s">
        <v>881</v>
      </c>
      <c r="BS96" s="1170" t="s">
        <v>881</v>
      </c>
      <c r="BT96" s="464">
        <f t="array" ref="BT96">SUM(IFERROR(($AW$42:$AW$76=LEFT($AI96,2)) * ($AU$42:$AU$76=BT$93) * ($BH$41:$BP$41=BT$94) * ($BH$42:$BP$77),0))</f>
        <v>2.4500558065274585E-4</v>
      </c>
      <c r="BU96" s="1443">
        <f t="array" ref="BU96">SUM(IFERROR(($AW$42:$AW$76=LEFT($AI96,2)) * ($AU$42:$AU$76=BU$93) * ($BH$41:$BP$41=BU$94) * ($BH$42:$BP$77),0))</f>
        <v>7.5616711520858711E-4</v>
      </c>
      <c r="BV96" s="1443">
        <f t="array" ref="BV96">SUM(IFERROR(($AW$42:$AW$76=LEFT($AI96,2)) * ($AU$42:$AU$76=BV$93) * ($BH$41:$BP$41=BV$94) * ($BH$42:$BP$77),0))</f>
        <v>1.5778064942828722E-3</v>
      </c>
      <c r="BW96" s="1443">
        <f t="array" ref="BW96">SUM(IFERROR(($AW$42:$AW$76=LEFT($AI96,2)) * ($AU$42:$AU$76=BW$93) * ($BH$41:$BP$41=BW$94) * ($BH$42:$BP$77),0))</f>
        <v>2.7199188051912197E-3</v>
      </c>
      <c r="BX96" s="1443">
        <f t="array" ref="BX96">SUM(IFERROR(($AW$42:$AW$76=LEFT($AI96,2)) * ($AU$42:$AU$76=BX$93) * ($BH$41:$BP$41=BX$94) * ($BH$42:$BP$77),0))</f>
        <v>4.0240426226956063E-3</v>
      </c>
      <c r="BY96" s="1443">
        <f t="array" ref="BY96">SUM(IFERROR(($AW$42:$AW$76=LEFT($AI96,2)) * ($AU$42:$AU$76=BY$93) * ($BH$41:$BP$41=BY$94) * ($BH$42:$BP$77),0))</f>
        <v>5.2170653508161469E-3</v>
      </c>
      <c r="BZ96" s="1443">
        <f t="array" ref="BZ96">SUM(IFERROR(($AW$42:$AW$76=LEFT($AI96,2)) * ($AU$42:$AU$76=BZ$93) * ($BH$41:$BP$41=BZ$94) * ($BH$42:$BP$77),0))</f>
        <v>6.1065085974406639E-3</v>
      </c>
      <c r="CA96" s="1443">
        <f t="array" ref="CA96">SUM(IFERROR(($AW$42:$AW$76=LEFT($AI96,2)) * ($AU$42:$AU$76=CA$93) * ($BH$41:$BP$41=CA$94) * ($BH$42:$BP$77),0))</f>
        <v>6.6736258286224431E-3</v>
      </c>
      <c r="CB96" s="1443">
        <f t="array" ref="CB96">SUM(IFERROR(($AW$42:$AW$76=LEFT($AI96,2)) * ($AU$42:$AU$76=CB$93) * ($BH$41:$BP$41=CB$94) * ($BH$42:$BP$77),0))</f>
        <v>7.0000000000000001E-3</v>
      </c>
      <c r="CC96" s="1443">
        <f t="array" ref="CC96">SUM(IFERROR(($AW$42:$AW$76=LEFT($AI96,2)) * ($AU$42:$AU$76=CC$93) * ($BH$41:$BP$41=CC$94) * ($BH$42:$BP$77),0))</f>
        <v>4.501475144838789E-3</v>
      </c>
      <c r="CD96" s="1443">
        <f t="array" ref="CD96">SUM(IFERROR(($AW$42:$AW$76=LEFT($AI96,2)) * ($AU$42:$AU$76=CD$93) * ($BH$41:$BP$41=CD$94) * ($BH$42:$BP$77),0))</f>
        <v>1.3893020172794809E-2</v>
      </c>
      <c r="CE96" s="1443">
        <f t="array" ref="CE96">SUM(IFERROR(($AW$42:$AW$76=LEFT($AI96,2)) * ($AU$42:$AU$76=CE$93) * ($BH$41:$BP$41=CE$94) * ($BH$42:$BP$77),0))</f>
        <v>2.8988958939046003E-2</v>
      </c>
      <c r="CF96" s="1443">
        <f t="array" ref="CF96">SUM(IFERROR(($AW$42:$AW$76=LEFT($AI96,2)) * ($AU$42:$AU$76=CF$93) * ($BH$41:$BP$41=CF$94) * ($BH$42:$BP$77),0))</f>
        <v>4.9972930677449331E-2</v>
      </c>
      <c r="CG96" s="1443">
        <f t="array" ref="CG96">SUM(IFERROR(($AW$42:$AW$76=LEFT($AI96,2)) * ($AU$42:$AU$76=CG$93) * ($BH$41:$BP$41=CG$94) * ($BH$42:$BP$77),0))</f>
        <v>7.3933531634570768E-2</v>
      </c>
      <c r="CH96" s="1443">
        <f t="array" ref="CH96">SUM(IFERROR(($AW$42:$AW$76=LEFT($AI96,2)) * ($AU$42:$AU$76=CH$93) * ($BH$41:$BP$41=CH$94) * ($BH$42:$BP$77),0))</f>
        <v>9.5852877894172739E-2</v>
      </c>
      <c r="CI96" s="1443">
        <f t="array" ref="CI96">SUM(IFERROR(($AW$42:$AW$76=LEFT($AI96,2)) * ($AU$42:$AU$76=CI$93) * ($BH$41:$BP$41=CI$94) * ($BH$42:$BP$77),0))</f>
        <v>0.11219457369048076</v>
      </c>
      <c r="CJ96" s="1443">
        <f t="array" ref="CJ96">SUM(IFERROR(($AW$42:$AW$76=LEFT($AI96,2)) * ($AU$42:$AU$76=CJ$93) * ($BH$41:$BP$41=CJ$94) * ($BH$42:$BP$77),0))</f>
        <v>0.12261418990319399</v>
      </c>
      <c r="CK96" s="1443">
        <f t="array" ref="CK96">SUM(IFERROR(($AW$42:$AW$76=LEFT($AI96,2)) * ($AU$42:$AU$76=CK$93) * ($BH$41:$BP$41=CK$94) * ($BH$42:$BP$77),0))</f>
        <v>0.12861064605108771</v>
      </c>
      <c r="CL96" s="1443">
        <f t="array" ref="CL96">SUM(IFERROR(($AW$42:$AW$76=LEFT($AI96,2)) * ($AU$42:$AU$76=CL$93) * ($BH$41:$BP$41=CL$94) * ($BH$42:$BP$77),0))</f>
        <v>1.2999007562005912E-2</v>
      </c>
      <c r="CM96" s="1443">
        <f t="array" ref="CM96">SUM(IFERROR(($AW$42:$AW$76=LEFT($AI96,2)) * ($AU$42:$AU$76=CM$93) * ($BH$41:$BP$41=CM$94) * ($BH$42:$BP$77),0))</f>
        <v>4.0119176153249218E-2</v>
      </c>
      <c r="CN96" s="1443">
        <f t="array" ref="CN96">SUM(IFERROR(($AW$42:$AW$76=LEFT($AI96,2)) * ($AU$42:$AU$76=CN$93) * ($BH$41:$BP$41=CN$94) * ($BH$42:$BP$77),0))</f>
        <v>8.3712046460012887E-2</v>
      </c>
      <c r="CO96" s="1443">
        <f t="array" ref="CO96">SUM(IFERROR(($AW$42:$AW$76=LEFT($AI96,2)) * ($AU$42:$AU$76=CO$93) * ($BH$41:$BP$41=CO$94) * ($BH$42:$BP$77),0))</f>
        <v>0.14430791748712971</v>
      </c>
      <c r="CP96" s="1443">
        <f t="array" ref="CP96">SUM(IFERROR(($AW$42:$AW$76=LEFT($AI96,2)) * ($AU$42:$AU$76=CP$93) * ($BH$41:$BP$41=CP$94) * ($BH$42:$BP$77),0))</f>
        <v>0.21349946537092504</v>
      </c>
      <c r="CQ96" s="1443">
        <f t="array" ref="CQ96">SUM(IFERROR(($AW$42:$AW$76=LEFT($AI96,2)) * ($AU$42:$AU$76=CQ$93) * ($BH$41:$BP$41=CQ$94) * ($BH$42:$BP$77),0))</f>
        <v>0.27679643772219553</v>
      </c>
      <c r="CR96" s="1443">
        <f t="array" ref="CR96">SUM(IFERROR(($AW$42:$AW$76=LEFT($AI96,2)) * ($AU$42:$AU$76=CR$93) * ($BH$41:$BP$41=CR$94) * ($BH$42:$BP$77),0))</f>
        <v>0.32398670766643084</v>
      </c>
      <c r="CS96" s="1443">
        <f t="array" ref="CS96">SUM(IFERROR(($AW$42:$AW$76=LEFT($AI96,2)) * ($AU$42:$AU$76=CS$93) * ($BH$41:$BP$41=CS$94) * ($BH$42:$BP$77),0))</f>
        <v>0.35407565975085015</v>
      </c>
      <c r="CT96" s="1443">
        <f t="array" ref="CT96">SUM(IFERROR(($AW$42:$AW$76=LEFT($AI96,2)) * ($AU$42:$AU$76=CT$93) * ($BH$41:$BP$41=CT$94) * ($BH$42:$BP$77),0))</f>
        <v>0.37139175643108602</v>
      </c>
      <c r="CU96" s="1443">
        <f t="array" ref="CU96">SUM(IFERROR(($AW$42:$AW$76=LEFT($AI96,2)) * ($AU$42:$AU$76=CU$93) * ($BH$41:$BP$41=CU$94) * ($BH$42:$BP$77),0))</f>
        <v>1.7342743660493626E-2</v>
      </c>
      <c r="CV96" s="1443">
        <f t="array" ref="CV96">SUM(IFERROR(($AW$42:$AW$76=LEFT($AI96,2)) * ($AU$42:$AU$76=CV$93) * ($BH$41:$BP$41=CV$94) * ($BH$42:$BP$77),0))</f>
        <v>5.3525362192236671E-2</v>
      </c>
      <c r="CW96" s="1443">
        <f t="array" ref="CW96">SUM(IFERROR(($AW$42:$AW$76=LEFT($AI96,2)) * ($AU$42:$AU$76=CW$93) * ($BH$41:$BP$41=CW$94) * ($BH$42:$BP$77),0))</f>
        <v>0.11168518489786196</v>
      </c>
      <c r="CX96" s="1443">
        <f t="array" ref="CX96">SUM(IFERROR(($AW$42:$AW$76=LEFT($AI96,2)) * ($AU$42:$AU$76=CX$93) * ($BH$41:$BP$41=CX$94) * ($BH$42:$BP$77),0))</f>
        <v>0.19252971499716226</v>
      </c>
      <c r="CY96" s="1443">
        <f t="array" ref="CY96">SUM(IFERROR(($AW$42:$AW$76=LEFT($AI96,2)) * ($AU$42:$AU$76=CY$93) * ($BH$41:$BP$41=CY$94) * ($BH$42:$BP$77),0))</f>
        <v>0.2848422452189896</v>
      </c>
      <c r="CZ96" s="1443">
        <f t="array" ref="CZ96">SUM(IFERROR(($AW$42:$AW$76=LEFT($AI96,2)) * ($AU$42:$AU$76=CZ$93) * ($BH$41:$BP$41=CZ$94) * ($BH$42:$BP$77),0))</f>
        <v>0.3692904741116298</v>
      </c>
      <c r="DA96" s="1443">
        <f t="array" ref="DA96">SUM(IFERROR(($AW$42:$AW$76=LEFT($AI96,2)) * ($AU$42:$AU$76=DA$93) * ($BH$41:$BP$41=DA$94) * ($BH$42:$BP$77),0))</f>
        <v>0.43224980012236708</v>
      </c>
      <c r="DB96" s="1443">
        <f t="array" ref="DB96">SUM(IFERROR(($AW$42:$AW$76=LEFT($AI96,2)) * ($AU$42:$AU$76=DB$93) * ($BH$41:$BP$41=DB$94) * ($BH$42:$BP$77),0))</f>
        <v>0.4723932480374351</v>
      </c>
      <c r="DC96" s="1443">
        <f t="array" ref="DC96">SUM(IFERROR(($AW$42:$AW$76=LEFT($AI96,2)) * ($AU$42:$AU$76=DC$93) * ($BH$41:$BP$41=DC$94) * ($BH$42:$BP$77),0))</f>
        <v>0.49549567524144805</v>
      </c>
    </row>
    <row r="97" spans="1:107">
      <c r="A97" s="1167" t="s">
        <v>1288</v>
      </c>
      <c r="B97" s="1167" t="s">
        <v>1287</v>
      </c>
      <c r="C97" s="1166" t="s">
        <v>1030</v>
      </c>
      <c r="D97" s="1166" t="s">
        <v>990</v>
      </c>
      <c r="E97" s="577">
        <v>0.05</v>
      </c>
      <c r="F97" s="574">
        <v>0.7833</v>
      </c>
      <c r="G97" s="576">
        <v>100</v>
      </c>
      <c r="H97" s="574">
        <v>1.394660672750623</v>
      </c>
      <c r="I97" s="1164"/>
      <c r="J97" s="575">
        <v>1</v>
      </c>
      <c r="K97" s="574">
        <v>21.848754099311257</v>
      </c>
      <c r="L97" s="574">
        <v>1.0924377049655629</v>
      </c>
      <c r="M97" s="1164"/>
      <c r="N97" s="1168"/>
      <c r="O97" s="1163"/>
      <c r="P97" s="1163" t="s">
        <v>881</v>
      </c>
      <c r="Q97" s="1164"/>
      <c r="R97" s="1164"/>
      <c r="S97" s="1164"/>
      <c r="T97" s="1164"/>
      <c r="U97" s="1163" t="s">
        <v>881</v>
      </c>
      <c r="V97" s="1164"/>
      <c r="W97" s="1164"/>
      <c r="X97" s="1164"/>
      <c r="Y97" s="1163"/>
      <c r="Z97" s="573">
        <v>0.05</v>
      </c>
      <c r="AA97" s="572">
        <v>0.05</v>
      </c>
      <c r="AB97" s="572">
        <v>0.05</v>
      </c>
      <c r="AC97" s="572">
        <v>0.05</v>
      </c>
      <c r="AD97" s="572">
        <v>0.05</v>
      </c>
      <c r="AE97" s="572">
        <v>0.05</v>
      </c>
      <c r="AF97" s="572">
        <v>0.05</v>
      </c>
      <c r="AG97" s="1164"/>
      <c r="AH97" s="1163">
        <v>2</v>
      </c>
      <c r="AI97" s="1162"/>
      <c r="AJ97" s="1163" t="s">
        <v>881</v>
      </c>
      <c r="AK97" s="1163" t="s">
        <v>881</v>
      </c>
      <c r="AL97" s="1163" t="s">
        <v>881</v>
      </c>
      <c r="AM97" s="1163" t="s">
        <v>881</v>
      </c>
      <c r="AN97" s="1163" t="s">
        <v>881</v>
      </c>
      <c r="AO97" s="1163" t="s">
        <v>881</v>
      </c>
      <c r="AP97" s="1163" t="s">
        <v>881</v>
      </c>
      <c r="AQ97" s="1163" t="s">
        <v>881</v>
      </c>
      <c r="AR97" s="1163" t="s">
        <v>881</v>
      </c>
      <c r="AS97" s="1184"/>
      <c r="AT97" s="1170"/>
      <c r="AU97" s="1170"/>
      <c r="AV97" s="1170"/>
      <c r="AW97" s="1170"/>
      <c r="AX97" s="1170"/>
      <c r="AY97" s="1170"/>
      <c r="AZ97" s="1170"/>
      <c r="BA97" s="1170"/>
      <c r="BB97" s="1163" t="s">
        <v>881</v>
      </c>
      <c r="BC97" s="1163" t="s">
        <v>881</v>
      </c>
      <c r="BD97" s="1163" t="s">
        <v>881</v>
      </c>
      <c r="BE97" s="1163" t="s">
        <v>881</v>
      </c>
      <c r="BF97" s="1163" t="s">
        <v>881</v>
      </c>
      <c r="BG97" s="1163" t="s">
        <v>881</v>
      </c>
      <c r="BH97" s="1163" t="s">
        <v>881</v>
      </c>
      <c r="BI97" s="1163" t="s">
        <v>881</v>
      </c>
      <c r="BJ97" s="1163" t="s">
        <v>881</v>
      </c>
      <c r="BK97" s="1170" t="s">
        <v>881</v>
      </c>
      <c r="BL97" s="1170" t="s">
        <v>881</v>
      </c>
      <c r="BM97" s="1170" t="s">
        <v>881</v>
      </c>
      <c r="BN97" s="1170" t="s">
        <v>881</v>
      </c>
      <c r="BO97" s="1170" t="s">
        <v>881</v>
      </c>
      <c r="BP97" s="1170" t="s">
        <v>881</v>
      </c>
      <c r="BQ97" s="1170" t="s">
        <v>881</v>
      </c>
      <c r="BR97" s="1170" t="s">
        <v>881</v>
      </c>
      <c r="BS97" s="1170" t="s">
        <v>881</v>
      </c>
      <c r="CC97" s="578"/>
      <c r="CD97" s="578"/>
      <c r="CE97" s="578"/>
      <c r="CF97" s="578"/>
      <c r="CG97" s="578"/>
      <c r="CH97" s="578"/>
      <c r="CI97" s="578"/>
      <c r="CJ97" s="578"/>
      <c r="CK97" s="578"/>
      <c r="CL97" s="579"/>
      <c r="CM97" s="579"/>
      <c r="CN97" s="579"/>
      <c r="CO97" s="579"/>
      <c r="CP97" s="579"/>
      <c r="CQ97" s="579"/>
      <c r="CR97" s="579"/>
      <c r="CS97" s="579"/>
      <c r="CT97" s="579"/>
      <c r="CU97" s="578"/>
      <c r="CV97" s="578"/>
      <c r="CW97" s="578"/>
      <c r="CX97" s="578"/>
      <c r="CY97" s="578"/>
      <c r="CZ97" s="578"/>
      <c r="DA97" s="578"/>
      <c r="DB97" s="578"/>
      <c r="DC97" s="578"/>
    </row>
    <row r="98" spans="1:107">
      <c r="A98" s="1167" t="s">
        <v>1286</v>
      </c>
      <c r="B98" s="1167" t="s">
        <v>1285</v>
      </c>
      <c r="C98" s="1166" t="s">
        <v>1030</v>
      </c>
      <c r="D98" s="1166" t="s">
        <v>989</v>
      </c>
      <c r="E98" s="577">
        <v>0.3</v>
      </c>
      <c r="F98" s="574">
        <v>0.60640000000000005</v>
      </c>
      <c r="G98" s="576">
        <v>100</v>
      </c>
      <c r="H98" s="574">
        <v>2.617263057941952</v>
      </c>
      <c r="I98" s="1164"/>
      <c r="J98" s="575">
        <v>1</v>
      </c>
      <c r="K98" s="574">
        <v>5.2903610611199996</v>
      </c>
      <c r="L98" s="574">
        <v>1.5871083183359997</v>
      </c>
      <c r="M98" s="1164"/>
      <c r="N98" s="1168"/>
      <c r="O98" s="1164"/>
      <c r="P98" s="1163" t="s">
        <v>881</v>
      </c>
      <c r="Q98" s="1164"/>
      <c r="R98" s="1164"/>
      <c r="S98" s="1164"/>
      <c r="T98" s="1164"/>
      <c r="U98" s="1163" t="s">
        <v>881</v>
      </c>
      <c r="V98" s="1164"/>
      <c r="W98" s="1164"/>
      <c r="X98" s="1164"/>
      <c r="Y98" s="1163"/>
      <c r="Z98" s="573">
        <v>0.3</v>
      </c>
      <c r="AA98" s="572">
        <v>0.3</v>
      </c>
      <c r="AB98" s="572">
        <v>0.3</v>
      </c>
      <c r="AC98" s="572">
        <v>0.3</v>
      </c>
      <c r="AD98" s="572">
        <v>0.3</v>
      </c>
      <c r="AE98" s="572">
        <v>0.3</v>
      </c>
      <c r="AF98" s="572">
        <v>0.3</v>
      </c>
      <c r="AG98" s="1164"/>
      <c r="AH98" s="1163">
        <v>3</v>
      </c>
      <c r="AI98" s="1162"/>
      <c r="AJ98" s="1163" t="s">
        <v>881</v>
      </c>
      <c r="AK98" s="1163" t="s">
        <v>881</v>
      </c>
      <c r="AL98" s="1163" t="s">
        <v>881</v>
      </c>
      <c r="AM98" s="1163" t="s">
        <v>881</v>
      </c>
      <c r="AN98" s="1163" t="s">
        <v>881</v>
      </c>
      <c r="AO98" s="1163" t="s">
        <v>881</v>
      </c>
      <c r="AP98" s="1163" t="s">
        <v>881</v>
      </c>
      <c r="AQ98" s="1163" t="s">
        <v>881</v>
      </c>
      <c r="AR98" s="1163" t="s">
        <v>881</v>
      </c>
      <c r="AS98" s="1170" t="s">
        <v>881</v>
      </c>
      <c r="AT98" s="1170" t="s">
        <v>881</v>
      </c>
      <c r="AU98" s="1170" t="s">
        <v>881</v>
      </c>
      <c r="AV98" s="1170" t="s">
        <v>881</v>
      </c>
      <c r="AW98" s="1170" t="s">
        <v>881</v>
      </c>
      <c r="AX98" s="1170" t="s">
        <v>881</v>
      </c>
      <c r="AY98" s="1170" t="s">
        <v>881</v>
      </c>
      <c r="AZ98" s="1170" t="s">
        <v>881</v>
      </c>
      <c r="BA98" s="1170" t="s">
        <v>881</v>
      </c>
      <c r="BB98" s="1163" t="s">
        <v>881</v>
      </c>
      <c r="BC98" s="1163" t="s">
        <v>881</v>
      </c>
      <c r="BD98" s="1163" t="s">
        <v>881</v>
      </c>
      <c r="BE98" s="1163" t="s">
        <v>881</v>
      </c>
      <c r="BF98" s="1163" t="s">
        <v>881</v>
      </c>
      <c r="BG98" s="1163" t="s">
        <v>881</v>
      </c>
      <c r="BH98" s="1163" t="s">
        <v>881</v>
      </c>
      <c r="BI98" s="1163" t="s">
        <v>881</v>
      </c>
      <c r="BJ98" s="1163" t="s">
        <v>881</v>
      </c>
      <c r="BK98" s="1170" t="s">
        <v>881</v>
      </c>
      <c r="BL98" s="1170" t="s">
        <v>881</v>
      </c>
      <c r="BM98" s="1170" t="s">
        <v>881</v>
      </c>
      <c r="BN98" s="1170" t="s">
        <v>881</v>
      </c>
      <c r="BO98" s="1170" t="s">
        <v>881</v>
      </c>
      <c r="BP98" s="1170" t="s">
        <v>881</v>
      </c>
      <c r="BQ98" s="1170" t="s">
        <v>881</v>
      </c>
      <c r="BR98" s="1170" t="s">
        <v>881</v>
      </c>
      <c r="BS98" s="1170" t="s">
        <v>881</v>
      </c>
      <c r="CC98" s="578"/>
      <c r="CD98" s="578"/>
      <c r="CE98" s="578"/>
      <c r="CF98" s="578"/>
      <c r="CG98" s="578"/>
      <c r="CH98" s="578"/>
      <c r="CI98" s="578"/>
      <c r="CJ98" s="578"/>
      <c r="CK98" s="578"/>
      <c r="CL98" s="579"/>
      <c r="CM98" s="579"/>
      <c r="CN98" s="579"/>
      <c r="CO98" s="579"/>
      <c r="CP98" s="579"/>
      <c r="CQ98" s="579"/>
      <c r="CR98" s="579"/>
      <c r="CS98" s="579"/>
      <c r="CT98" s="579"/>
      <c r="CU98" s="578"/>
      <c r="CV98" s="578"/>
      <c r="CW98" s="578"/>
      <c r="CX98" s="578"/>
      <c r="CY98" s="578"/>
      <c r="CZ98" s="578"/>
      <c r="DA98" s="578"/>
      <c r="DB98" s="578"/>
      <c r="DC98" s="578"/>
    </row>
    <row r="99" spans="1:107">
      <c r="A99" s="1167" t="s">
        <v>1284</v>
      </c>
      <c r="B99" s="1167" t="s">
        <v>1283</v>
      </c>
      <c r="C99" s="1166" t="s">
        <v>1030</v>
      </c>
      <c r="D99" s="1166" t="s">
        <v>988</v>
      </c>
      <c r="E99" s="577">
        <v>2</v>
      </c>
      <c r="F99" s="574">
        <v>0.83289999999999997</v>
      </c>
      <c r="G99" s="576">
        <v>100</v>
      </c>
      <c r="H99" s="574">
        <v>22.916916336184567</v>
      </c>
      <c r="I99" s="1164"/>
      <c r="J99" s="575">
        <v>1</v>
      </c>
      <c r="K99" s="574">
        <v>9.5437498082040619</v>
      </c>
      <c r="L99" s="574">
        <v>19.087499616408124</v>
      </c>
      <c r="M99" s="1164"/>
      <c r="N99" s="1168"/>
      <c r="O99" s="1164"/>
      <c r="P99" s="1163" t="s">
        <v>881</v>
      </c>
      <c r="Q99" s="1164"/>
      <c r="R99" s="1164"/>
      <c r="S99" s="1164"/>
      <c r="T99" s="1164"/>
      <c r="U99" s="1163" t="s">
        <v>881</v>
      </c>
      <c r="V99" s="1164"/>
      <c r="W99" s="1164"/>
      <c r="X99" s="1164"/>
      <c r="Y99" s="1163"/>
      <c r="Z99" s="573">
        <v>2</v>
      </c>
      <c r="AA99" s="572">
        <v>2</v>
      </c>
      <c r="AB99" s="572">
        <v>2</v>
      </c>
      <c r="AC99" s="572">
        <v>2</v>
      </c>
      <c r="AD99" s="572">
        <v>2</v>
      </c>
      <c r="AE99" s="572">
        <v>2</v>
      </c>
      <c r="AF99" s="572">
        <v>2</v>
      </c>
      <c r="AG99" s="1164"/>
      <c r="AH99" s="1163">
        <v>4</v>
      </c>
      <c r="AI99" s="1162"/>
      <c r="AJ99" s="1163" t="s">
        <v>881</v>
      </c>
      <c r="AK99" s="1163" t="s">
        <v>881</v>
      </c>
      <c r="AL99" s="1163" t="s">
        <v>881</v>
      </c>
      <c r="AM99" s="1163" t="s">
        <v>881</v>
      </c>
      <c r="AN99" s="1163" t="s">
        <v>881</v>
      </c>
      <c r="AO99" s="1163" t="s">
        <v>881</v>
      </c>
      <c r="AP99" s="1163" t="s">
        <v>881</v>
      </c>
      <c r="AQ99" s="1163" t="s">
        <v>881</v>
      </c>
      <c r="AR99" s="1163" t="s">
        <v>881</v>
      </c>
      <c r="AS99" s="1170" t="s">
        <v>881</v>
      </c>
      <c r="AT99" s="1170"/>
      <c r="AU99" s="1170" t="s">
        <v>881</v>
      </c>
      <c r="AV99" s="1170" t="s">
        <v>881</v>
      </c>
      <c r="AW99" s="1170" t="s">
        <v>881</v>
      </c>
      <c r="AX99" s="1170" t="s">
        <v>881</v>
      </c>
      <c r="AY99" s="1170" t="s">
        <v>881</v>
      </c>
      <c r="AZ99" s="1170" t="s">
        <v>881</v>
      </c>
      <c r="BA99" s="1170" t="s">
        <v>881</v>
      </c>
      <c r="BB99" s="1163" t="s">
        <v>881</v>
      </c>
      <c r="BC99" s="1163" t="s">
        <v>881</v>
      </c>
      <c r="BD99" s="1163" t="s">
        <v>881</v>
      </c>
      <c r="BE99" s="1163" t="s">
        <v>881</v>
      </c>
      <c r="BF99" s="1163" t="s">
        <v>881</v>
      </c>
      <c r="BG99" s="1163" t="s">
        <v>881</v>
      </c>
      <c r="BH99" s="1163" t="s">
        <v>881</v>
      </c>
      <c r="BI99" s="1163" t="s">
        <v>881</v>
      </c>
      <c r="BJ99" s="1163" t="s">
        <v>881</v>
      </c>
      <c r="BK99" s="1170" t="s">
        <v>881</v>
      </c>
      <c r="BL99" s="1170" t="s">
        <v>881</v>
      </c>
      <c r="BM99" s="1170" t="s">
        <v>881</v>
      </c>
      <c r="BN99" s="1170" t="s">
        <v>881</v>
      </c>
      <c r="BO99" s="1170" t="s">
        <v>881</v>
      </c>
      <c r="BP99" s="1170" t="s">
        <v>881</v>
      </c>
      <c r="BQ99" s="1170" t="s">
        <v>881</v>
      </c>
      <c r="BR99" s="1170" t="s">
        <v>881</v>
      </c>
      <c r="BS99" s="1170" t="s">
        <v>881</v>
      </c>
      <c r="CC99" s="578"/>
      <c r="CD99" s="578"/>
      <c r="CE99" s="578"/>
      <c r="CF99" s="578"/>
      <c r="CG99" s="578"/>
      <c r="CH99" s="578"/>
      <c r="CI99" s="578"/>
      <c r="CJ99" s="578"/>
      <c r="CK99" s="578"/>
      <c r="CL99" s="579"/>
      <c r="CM99" s="579"/>
      <c r="CN99" s="579"/>
      <c r="CO99" s="579"/>
      <c r="CP99" s="579"/>
      <c r="CQ99" s="579"/>
      <c r="CR99" s="579"/>
      <c r="CS99" s="579"/>
      <c r="CT99" s="579"/>
      <c r="CU99" s="578"/>
      <c r="CV99" s="578"/>
      <c r="CW99" s="578"/>
      <c r="CX99" s="578"/>
      <c r="CY99" s="578"/>
      <c r="CZ99" s="578"/>
      <c r="DA99" s="578"/>
      <c r="DB99" s="578"/>
      <c r="DC99" s="578"/>
    </row>
    <row r="100" spans="1:107">
      <c r="A100" s="1167" t="s">
        <v>1282</v>
      </c>
      <c r="B100" s="1167" t="s">
        <v>1281</v>
      </c>
      <c r="C100" s="1166" t="s">
        <v>1030</v>
      </c>
      <c r="D100" s="1166" t="s">
        <v>987</v>
      </c>
      <c r="E100" s="577">
        <v>0.9</v>
      </c>
      <c r="F100" s="574">
        <v>0.60340000000000005</v>
      </c>
      <c r="G100" s="576">
        <v>100</v>
      </c>
      <c r="H100" s="574">
        <v>14.028136721564467</v>
      </c>
      <c r="I100" s="1164"/>
      <c r="J100" s="575">
        <v>1</v>
      </c>
      <c r="K100" s="574">
        <v>9.4050863308799997</v>
      </c>
      <c r="L100" s="574">
        <v>8.4645776977920004</v>
      </c>
      <c r="M100" s="1164"/>
      <c r="N100" s="1168"/>
      <c r="O100" s="1164"/>
      <c r="P100" s="1163" t="s">
        <v>881</v>
      </c>
      <c r="Q100" s="1164"/>
      <c r="R100" s="1164"/>
      <c r="S100" s="1164"/>
      <c r="T100" s="1164"/>
      <c r="U100" s="1163" t="s">
        <v>881</v>
      </c>
      <c r="V100" s="1164"/>
      <c r="W100" s="1164"/>
      <c r="X100" s="1164"/>
      <c r="Y100" s="1163"/>
      <c r="Z100" s="573">
        <v>0.9</v>
      </c>
      <c r="AA100" s="572">
        <v>0.9</v>
      </c>
      <c r="AB100" s="572">
        <v>0.9</v>
      </c>
      <c r="AC100" s="572">
        <v>0.9</v>
      </c>
      <c r="AD100" s="572">
        <v>0.9</v>
      </c>
      <c r="AE100" s="572">
        <v>0.9</v>
      </c>
      <c r="AF100" s="572">
        <v>0.9</v>
      </c>
      <c r="AG100" s="1164"/>
      <c r="AH100" s="1163">
        <v>5</v>
      </c>
      <c r="AI100" s="1162"/>
      <c r="AJ100" s="1163" t="s">
        <v>881</v>
      </c>
      <c r="AK100" s="1163"/>
      <c r="AL100" s="1163"/>
      <c r="AM100" s="1163"/>
      <c r="AN100" s="1163"/>
      <c r="AO100" s="1163"/>
      <c r="AP100" s="1163"/>
      <c r="AQ100" s="1163"/>
      <c r="AR100" s="1163"/>
      <c r="AS100" s="1170" t="s">
        <v>881</v>
      </c>
      <c r="AT100" s="1170" t="s">
        <v>881</v>
      </c>
      <c r="AU100" s="1170" t="s">
        <v>881</v>
      </c>
      <c r="AV100" s="1170" t="s">
        <v>881</v>
      </c>
      <c r="AW100" s="1170" t="s">
        <v>881</v>
      </c>
      <c r="AX100" s="1170" t="s">
        <v>881</v>
      </c>
      <c r="AY100" s="1170" t="s">
        <v>881</v>
      </c>
      <c r="AZ100" s="1170" t="s">
        <v>881</v>
      </c>
      <c r="BA100" s="1170" t="s">
        <v>881</v>
      </c>
      <c r="BB100" s="1163" t="s">
        <v>881</v>
      </c>
      <c r="BC100" s="1163" t="s">
        <v>881</v>
      </c>
      <c r="BD100" s="1163" t="s">
        <v>881</v>
      </c>
      <c r="BE100" s="1163" t="s">
        <v>881</v>
      </c>
      <c r="BF100" s="1163" t="s">
        <v>881</v>
      </c>
      <c r="BG100" s="1163" t="s">
        <v>881</v>
      </c>
      <c r="BH100" s="1163" t="s">
        <v>881</v>
      </c>
      <c r="BI100" s="1163" t="s">
        <v>881</v>
      </c>
      <c r="BJ100" s="1163" t="s">
        <v>881</v>
      </c>
      <c r="BK100" s="1170" t="s">
        <v>881</v>
      </c>
      <c r="BL100" s="1170" t="s">
        <v>881</v>
      </c>
      <c r="BM100" s="1170" t="s">
        <v>881</v>
      </c>
      <c r="BN100" s="1170" t="s">
        <v>881</v>
      </c>
      <c r="BO100" s="1170" t="s">
        <v>881</v>
      </c>
      <c r="BP100" s="1170" t="s">
        <v>881</v>
      </c>
      <c r="BQ100" s="1170" t="s">
        <v>881</v>
      </c>
      <c r="BR100" s="1170" t="s">
        <v>881</v>
      </c>
      <c r="BS100" s="1170" t="s">
        <v>881</v>
      </c>
      <c r="CC100" s="578"/>
      <c r="CD100" s="578"/>
      <c r="CE100" s="578"/>
      <c r="CF100" s="578"/>
      <c r="CG100" s="578"/>
      <c r="CH100" s="578"/>
      <c r="CI100" s="578"/>
      <c r="CJ100" s="578"/>
      <c r="CK100" s="578"/>
      <c r="CL100" s="579"/>
      <c r="CM100" s="579"/>
      <c r="CN100" s="579"/>
      <c r="CO100" s="579"/>
      <c r="CP100" s="579"/>
      <c r="CQ100" s="579"/>
      <c r="CR100" s="579"/>
      <c r="CS100" s="579"/>
      <c r="CT100" s="579"/>
      <c r="CU100" s="578"/>
      <c r="CV100" s="578"/>
      <c r="CW100" s="578"/>
      <c r="CX100" s="578"/>
      <c r="CY100" s="578"/>
      <c r="CZ100" s="578"/>
      <c r="DA100" s="578"/>
      <c r="DB100" s="578"/>
      <c r="DC100" s="578"/>
    </row>
    <row r="101" spans="1:107">
      <c r="A101" s="1167" t="s">
        <v>1280</v>
      </c>
      <c r="B101" s="1167" t="s">
        <v>1279</v>
      </c>
      <c r="C101" s="1166" t="s">
        <v>1030</v>
      </c>
      <c r="D101" s="1166" t="s">
        <v>986</v>
      </c>
      <c r="E101" s="577">
        <v>0.8</v>
      </c>
      <c r="F101" s="574">
        <v>0.60940000000000005</v>
      </c>
      <c r="G101" s="576">
        <v>100</v>
      </c>
      <c r="H101" s="574">
        <v>27.605892089195908</v>
      </c>
      <c r="I101" s="1164"/>
      <c r="J101" s="575">
        <v>1</v>
      </c>
      <c r="K101" s="574">
        <v>21.028788298944985</v>
      </c>
      <c r="L101" s="574">
        <v>16.823030639155988</v>
      </c>
      <c r="M101" s="1164"/>
      <c r="N101" s="1168"/>
      <c r="O101" s="1164"/>
      <c r="P101" s="1163" t="s">
        <v>881</v>
      </c>
      <c r="Q101" s="1164"/>
      <c r="R101" s="1164"/>
      <c r="S101" s="1164"/>
      <c r="T101" s="1164"/>
      <c r="U101" s="1163" t="s">
        <v>881</v>
      </c>
      <c r="V101" s="1164"/>
      <c r="W101" s="1164"/>
      <c r="X101" s="1164"/>
      <c r="Y101" s="1163"/>
      <c r="Z101" s="573">
        <v>0.8</v>
      </c>
      <c r="AA101" s="572">
        <v>0.8</v>
      </c>
      <c r="AB101" s="572">
        <v>0.8</v>
      </c>
      <c r="AC101" s="572">
        <v>0.8</v>
      </c>
      <c r="AD101" s="572">
        <v>0.8</v>
      </c>
      <c r="AE101" s="572">
        <v>0.8</v>
      </c>
      <c r="AF101" s="572">
        <v>0.8</v>
      </c>
      <c r="AG101" s="1164"/>
      <c r="AH101" s="1163">
        <v>6</v>
      </c>
      <c r="AI101" s="1162"/>
      <c r="AJ101" s="1163" t="s">
        <v>881</v>
      </c>
      <c r="AK101" s="1183"/>
      <c r="AL101" s="1183"/>
      <c r="AM101" s="1183"/>
      <c r="AN101" s="1183"/>
      <c r="AO101" s="1183"/>
      <c r="AP101" s="1163"/>
      <c r="AQ101" s="1163"/>
      <c r="AR101" s="1163"/>
      <c r="AS101" s="1170" t="s">
        <v>881</v>
      </c>
      <c r="AT101" s="1170" t="s">
        <v>881</v>
      </c>
      <c r="AU101" s="1170" t="s">
        <v>881</v>
      </c>
      <c r="AV101" s="1170" t="s">
        <v>881</v>
      </c>
      <c r="AW101" s="1170" t="s">
        <v>881</v>
      </c>
      <c r="AX101" s="1170" t="s">
        <v>881</v>
      </c>
      <c r="AY101" s="1170" t="s">
        <v>881</v>
      </c>
      <c r="AZ101" s="1170" t="s">
        <v>881</v>
      </c>
      <c r="BA101" s="1170" t="s">
        <v>881</v>
      </c>
      <c r="BB101" s="1163" t="s">
        <v>881</v>
      </c>
      <c r="BC101" s="1163" t="s">
        <v>881</v>
      </c>
      <c r="BD101" s="1163" t="s">
        <v>881</v>
      </c>
      <c r="BE101" s="1163" t="s">
        <v>881</v>
      </c>
      <c r="BF101" s="1163" t="s">
        <v>881</v>
      </c>
      <c r="BG101" s="1163" t="s">
        <v>881</v>
      </c>
      <c r="BH101" s="1163" t="s">
        <v>881</v>
      </c>
      <c r="BI101" s="1163" t="s">
        <v>881</v>
      </c>
      <c r="BJ101" s="1163" t="s">
        <v>881</v>
      </c>
      <c r="BK101" s="1170" t="s">
        <v>881</v>
      </c>
      <c r="BL101" s="1170" t="s">
        <v>881</v>
      </c>
      <c r="BM101" s="1170" t="s">
        <v>881</v>
      </c>
      <c r="BN101" s="1170" t="s">
        <v>881</v>
      </c>
      <c r="BO101" s="1170" t="s">
        <v>881</v>
      </c>
      <c r="BP101" s="1170" t="s">
        <v>881</v>
      </c>
      <c r="BQ101" s="1170" t="s">
        <v>881</v>
      </c>
      <c r="BR101" s="1170" t="s">
        <v>881</v>
      </c>
      <c r="BS101" s="1170" t="s">
        <v>881</v>
      </c>
      <c r="CC101" s="578"/>
      <c r="CD101" s="578"/>
      <c r="CE101" s="578"/>
      <c r="CF101" s="578"/>
      <c r="CG101" s="578"/>
      <c r="CH101" s="578"/>
      <c r="CI101" s="578"/>
      <c r="CJ101" s="578"/>
      <c r="CK101" s="578"/>
      <c r="CL101" s="579"/>
      <c r="CM101" s="579"/>
      <c r="CN101" s="579"/>
      <c r="CO101" s="579"/>
      <c r="CP101" s="579"/>
      <c r="CQ101" s="579"/>
      <c r="CR101" s="579"/>
      <c r="CS101" s="579"/>
      <c r="CT101" s="579"/>
      <c r="CU101" s="578"/>
      <c r="CV101" s="578"/>
      <c r="CW101" s="578"/>
      <c r="CX101" s="578"/>
      <c r="CY101" s="578"/>
      <c r="CZ101" s="578"/>
      <c r="DA101" s="578"/>
      <c r="DB101" s="578"/>
      <c r="DC101" s="578"/>
    </row>
    <row r="102" spans="1:107">
      <c r="A102" s="1167" t="s">
        <v>1278</v>
      </c>
      <c r="B102" s="1167" t="s">
        <v>1277</v>
      </c>
      <c r="C102" s="1166" t="s">
        <v>1030</v>
      </c>
      <c r="D102" s="1166" t="s">
        <v>985</v>
      </c>
      <c r="E102" s="577">
        <v>0.8</v>
      </c>
      <c r="F102" s="574">
        <v>0.65390000000000004</v>
      </c>
      <c r="G102" s="576">
        <v>100</v>
      </c>
      <c r="H102" s="574">
        <v>9.9058505508303867</v>
      </c>
      <c r="I102" s="1164"/>
      <c r="J102" s="575">
        <v>1</v>
      </c>
      <c r="K102" s="574">
        <v>8.0967945939849866</v>
      </c>
      <c r="L102" s="574">
        <v>6.4774356751879898</v>
      </c>
      <c r="M102" s="1164"/>
      <c r="N102" s="1168"/>
      <c r="O102" s="1164"/>
      <c r="P102" s="1163" t="s">
        <v>881</v>
      </c>
      <c r="Q102" s="1164"/>
      <c r="R102" s="1164"/>
      <c r="S102" s="1164"/>
      <c r="T102" s="1164"/>
      <c r="U102" s="1163" t="s">
        <v>881</v>
      </c>
      <c r="V102" s="1164"/>
      <c r="W102" s="1164"/>
      <c r="X102" s="1164"/>
      <c r="Y102" s="1163"/>
      <c r="Z102" s="573">
        <v>0.8</v>
      </c>
      <c r="AA102" s="572">
        <v>0.8</v>
      </c>
      <c r="AB102" s="572">
        <v>0.8</v>
      </c>
      <c r="AC102" s="572">
        <v>0.8</v>
      </c>
      <c r="AD102" s="572">
        <v>0.8</v>
      </c>
      <c r="AE102" s="572">
        <v>0.8</v>
      </c>
      <c r="AF102" s="572">
        <v>0.8</v>
      </c>
      <c r="AG102" s="1164"/>
      <c r="AH102" s="1163">
        <v>7</v>
      </c>
      <c r="AI102" s="1162"/>
      <c r="AJ102" s="1163" t="s">
        <v>881</v>
      </c>
      <c r="AK102" s="1163"/>
      <c r="AL102" s="1163"/>
      <c r="AM102" s="1163"/>
      <c r="AN102" s="1163"/>
      <c r="AO102" s="1163"/>
      <c r="AP102" s="1163" t="s">
        <v>881</v>
      </c>
      <c r="AQ102" s="1163" t="s">
        <v>881</v>
      </c>
      <c r="AR102" s="1163" t="s">
        <v>881</v>
      </c>
      <c r="AS102" s="1170" t="s">
        <v>881</v>
      </c>
      <c r="AT102" s="1170" t="s">
        <v>881</v>
      </c>
      <c r="AU102" s="1170" t="s">
        <v>881</v>
      </c>
      <c r="AV102" s="1170" t="s">
        <v>881</v>
      </c>
      <c r="AW102" s="1170" t="s">
        <v>881</v>
      </c>
      <c r="AX102" s="1170" t="s">
        <v>881</v>
      </c>
      <c r="AY102" s="1170" t="s">
        <v>881</v>
      </c>
      <c r="AZ102" s="1170" t="s">
        <v>881</v>
      </c>
      <c r="BA102" s="1170" t="s">
        <v>881</v>
      </c>
      <c r="BB102" s="1163" t="s">
        <v>881</v>
      </c>
      <c r="BC102" s="1163" t="s">
        <v>881</v>
      </c>
      <c r="BD102" s="1163" t="s">
        <v>881</v>
      </c>
      <c r="BE102" s="1163" t="s">
        <v>881</v>
      </c>
      <c r="BF102" s="1163" t="s">
        <v>881</v>
      </c>
      <c r="BG102" s="1163" t="s">
        <v>881</v>
      </c>
      <c r="BH102" s="1163" t="s">
        <v>881</v>
      </c>
      <c r="BI102" s="1163" t="s">
        <v>881</v>
      </c>
      <c r="BJ102" s="1163" t="s">
        <v>881</v>
      </c>
      <c r="BK102" s="1170" t="s">
        <v>881</v>
      </c>
      <c r="BL102" s="1170" t="s">
        <v>881</v>
      </c>
      <c r="BM102" s="1170" t="s">
        <v>881</v>
      </c>
      <c r="BN102" s="1170" t="s">
        <v>881</v>
      </c>
      <c r="BO102" s="1170" t="s">
        <v>881</v>
      </c>
      <c r="BP102" s="1170" t="s">
        <v>881</v>
      </c>
      <c r="BQ102" s="1170" t="s">
        <v>881</v>
      </c>
      <c r="BR102" s="1170" t="s">
        <v>881</v>
      </c>
      <c r="BS102" s="1170" t="s">
        <v>881</v>
      </c>
      <c r="CC102" s="578"/>
      <c r="CD102" s="578"/>
      <c r="CE102" s="578"/>
      <c r="CF102" s="578"/>
      <c r="CG102" s="578"/>
      <c r="CH102" s="578"/>
      <c r="CI102" s="578"/>
      <c r="CJ102" s="578"/>
      <c r="CK102" s="578"/>
      <c r="CL102" s="579"/>
      <c r="CM102" s="579"/>
      <c r="CN102" s="579"/>
      <c r="CO102" s="579"/>
      <c r="CP102" s="579"/>
      <c r="CQ102" s="579"/>
      <c r="CR102" s="579"/>
      <c r="CS102" s="579"/>
      <c r="CT102" s="579"/>
      <c r="CU102" s="578"/>
      <c r="CV102" s="578"/>
      <c r="CW102" s="578"/>
      <c r="CX102" s="578"/>
      <c r="CY102" s="578"/>
      <c r="CZ102" s="578"/>
      <c r="DA102" s="578"/>
      <c r="DB102" s="578"/>
      <c r="DC102" s="578"/>
    </row>
    <row r="103" spans="1:107">
      <c r="A103" s="1167" t="s">
        <v>1276</v>
      </c>
      <c r="B103" s="1167" t="s">
        <v>1275</v>
      </c>
      <c r="C103" s="1166" t="s">
        <v>1030</v>
      </c>
      <c r="D103" s="1166" t="s">
        <v>984</v>
      </c>
      <c r="E103" s="577">
        <v>0.8</v>
      </c>
      <c r="F103" s="574">
        <v>0.5323</v>
      </c>
      <c r="G103" s="576">
        <v>100</v>
      </c>
      <c r="H103" s="574">
        <v>59.708250428437964</v>
      </c>
      <c r="I103" s="1164"/>
      <c r="J103" s="575">
        <v>1</v>
      </c>
      <c r="K103" s="574">
        <v>39.728377128821904</v>
      </c>
      <c r="L103" s="574">
        <v>31.782701703057526</v>
      </c>
      <c r="M103" s="1164"/>
      <c r="N103" s="1168"/>
      <c r="O103" s="1164"/>
      <c r="P103" s="1163" t="s">
        <v>881</v>
      </c>
      <c r="Q103" s="1164"/>
      <c r="R103" s="1164"/>
      <c r="S103" s="1164"/>
      <c r="T103" s="1164"/>
      <c r="U103" s="1163" t="s">
        <v>881</v>
      </c>
      <c r="V103" s="1164"/>
      <c r="W103" s="1164"/>
      <c r="X103" s="1164"/>
      <c r="Y103" s="1163"/>
      <c r="Z103" s="573">
        <v>0.8</v>
      </c>
      <c r="AA103" s="572">
        <v>0.8</v>
      </c>
      <c r="AB103" s="572">
        <v>0.8</v>
      </c>
      <c r="AC103" s="572">
        <v>0.8</v>
      </c>
      <c r="AD103" s="572">
        <v>0.8</v>
      </c>
      <c r="AE103" s="572">
        <v>0.8</v>
      </c>
      <c r="AF103" s="572">
        <v>0.8</v>
      </c>
      <c r="AG103" s="1164"/>
      <c r="AH103" s="1163">
        <v>8</v>
      </c>
      <c r="AI103" s="1162"/>
      <c r="AJ103" s="1163" t="s">
        <v>881</v>
      </c>
      <c r="AK103" s="1163" t="s">
        <v>881</v>
      </c>
      <c r="AL103" s="1163" t="s">
        <v>881</v>
      </c>
      <c r="AM103" s="1163" t="s">
        <v>881</v>
      </c>
      <c r="AN103" s="1163" t="s">
        <v>881</v>
      </c>
      <c r="AO103" s="1163" t="s">
        <v>881</v>
      </c>
      <c r="AP103" s="1163" t="s">
        <v>881</v>
      </c>
      <c r="AQ103" s="1163" t="s">
        <v>881</v>
      </c>
      <c r="AR103" s="1163" t="s">
        <v>881</v>
      </c>
      <c r="AS103" s="1170" t="s">
        <v>881</v>
      </c>
      <c r="AT103" s="1170" t="s">
        <v>881</v>
      </c>
      <c r="AU103" s="1170" t="s">
        <v>881</v>
      </c>
      <c r="AV103" s="1170" t="s">
        <v>881</v>
      </c>
      <c r="AW103" s="1170" t="s">
        <v>881</v>
      </c>
      <c r="AX103" s="1170" t="s">
        <v>881</v>
      </c>
      <c r="AY103" s="1170" t="s">
        <v>881</v>
      </c>
      <c r="AZ103" s="1170" t="s">
        <v>881</v>
      </c>
      <c r="BA103" s="1170" t="s">
        <v>881</v>
      </c>
      <c r="BB103" s="1163" t="s">
        <v>881</v>
      </c>
      <c r="BC103" s="1163" t="s">
        <v>881</v>
      </c>
      <c r="BD103" s="1163" t="s">
        <v>881</v>
      </c>
      <c r="BE103" s="1163" t="s">
        <v>881</v>
      </c>
      <c r="BF103" s="1163" t="s">
        <v>881</v>
      </c>
      <c r="BG103" s="1163" t="s">
        <v>881</v>
      </c>
      <c r="BH103" s="1163" t="s">
        <v>881</v>
      </c>
      <c r="BI103" s="1163" t="s">
        <v>881</v>
      </c>
      <c r="BJ103" s="1163" t="s">
        <v>881</v>
      </c>
      <c r="BK103" s="1170" t="s">
        <v>881</v>
      </c>
      <c r="BL103" s="1170" t="s">
        <v>881</v>
      </c>
      <c r="BM103" s="1170" t="s">
        <v>881</v>
      </c>
      <c r="BN103" s="1170" t="s">
        <v>881</v>
      </c>
      <c r="BO103" s="1170" t="s">
        <v>881</v>
      </c>
      <c r="BP103" s="1170" t="s">
        <v>881</v>
      </c>
      <c r="BQ103" s="1170" t="s">
        <v>881</v>
      </c>
      <c r="BR103" s="1170" t="s">
        <v>881</v>
      </c>
      <c r="BS103" s="1170" t="s">
        <v>881</v>
      </c>
      <c r="CC103" s="578"/>
      <c r="CD103" s="578"/>
      <c r="CE103" s="578"/>
      <c r="CF103" s="578"/>
      <c r="CG103" s="578"/>
      <c r="CH103" s="578"/>
      <c r="CI103" s="578"/>
      <c r="CJ103" s="578"/>
      <c r="CK103" s="578"/>
      <c r="CL103" s="579"/>
      <c r="CM103" s="579"/>
      <c r="CN103" s="579"/>
      <c r="CO103" s="579"/>
      <c r="CP103" s="579"/>
      <c r="CQ103" s="579"/>
      <c r="CR103" s="579"/>
      <c r="CS103" s="579"/>
      <c r="CT103" s="579"/>
      <c r="CU103" s="578"/>
      <c r="CV103" s="578"/>
      <c r="CW103" s="578"/>
      <c r="CX103" s="578"/>
      <c r="CY103" s="578"/>
      <c r="CZ103" s="578"/>
      <c r="DA103" s="578"/>
      <c r="DB103" s="578"/>
      <c r="DC103" s="578"/>
    </row>
    <row r="104" spans="1:107">
      <c r="A104" s="1167" t="s">
        <v>1274</v>
      </c>
      <c r="B104" s="1167" t="s">
        <v>1273</v>
      </c>
      <c r="C104" s="1166" t="s">
        <v>1030</v>
      </c>
      <c r="D104" s="1166" t="s">
        <v>983</v>
      </c>
      <c r="E104" s="577">
        <v>0.76</v>
      </c>
      <c r="F104" s="574">
        <v>0.6845</v>
      </c>
      <c r="G104" s="576">
        <v>100</v>
      </c>
      <c r="H104" s="574">
        <v>0.30022079814423375</v>
      </c>
      <c r="I104" s="1164"/>
      <c r="J104" s="575">
        <v>1</v>
      </c>
      <c r="K104" s="574">
        <v>0.2703962320128</v>
      </c>
      <c r="L104" s="574">
        <v>0.205501136329728</v>
      </c>
      <c r="M104" s="1164"/>
      <c r="N104" s="1168"/>
      <c r="O104" s="1164"/>
      <c r="P104" s="1163" t="s">
        <v>881</v>
      </c>
      <c r="Q104" s="1164"/>
      <c r="R104" s="1164"/>
      <c r="S104" s="1164"/>
      <c r="T104" s="1164"/>
      <c r="U104" s="1163" t="s">
        <v>881</v>
      </c>
      <c r="V104" s="1164"/>
      <c r="W104" s="1164"/>
      <c r="X104" s="1164"/>
      <c r="Y104" s="1163"/>
      <c r="Z104" s="573">
        <v>0.76</v>
      </c>
      <c r="AA104" s="572">
        <v>0.76</v>
      </c>
      <c r="AB104" s="572">
        <v>0.76</v>
      </c>
      <c r="AC104" s="572">
        <v>0.76</v>
      </c>
      <c r="AD104" s="572">
        <v>0.76</v>
      </c>
      <c r="AE104" s="572">
        <v>0.76</v>
      </c>
      <c r="AF104" s="572">
        <v>0.76</v>
      </c>
      <c r="AG104" s="1164"/>
      <c r="AH104" s="1163">
        <v>9</v>
      </c>
      <c r="AI104" s="1162"/>
      <c r="AJ104" s="1163" t="s">
        <v>881</v>
      </c>
      <c r="AK104" s="1163" t="s">
        <v>881</v>
      </c>
      <c r="AL104" s="1163" t="s">
        <v>881</v>
      </c>
      <c r="AM104" s="1163" t="s">
        <v>881</v>
      </c>
      <c r="AN104" s="1163" t="s">
        <v>881</v>
      </c>
      <c r="AO104" s="1163" t="s">
        <v>881</v>
      </c>
      <c r="AP104" s="1163" t="s">
        <v>881</v>
      </c>
      <c r="AQ104" s="1163" t="s">
        <v>881</v>
      </c>
      <c r="AR104" s="1163" t="s">
        <v>881</v>
      </c>
      <c r="AS104" s="1170" t="s">
        <v>881</v>
      </c>
      <c r="AV104" s="1170" t="s">
        <v>881</v>
      </c>
      <c r="AW104" s="1170" t="s">
        <v>881</v>
      </c>
      <c r="AX104" s="1170" t="s">
        <v>881</v>
      </c>
      <c r="AY104" s="1170" t="s">
        <v>881</v>
      </c>
      <c r="AZ104" s="1170" t="s">
        <v>881</v>
      </c>
      <c r="BA104" s="1170" t="s">
        <v>881</v>
      </c>
      <c r="BB104" s="1163" t="s">
        <v>881</v>
      </c>
      <c r="BC104" s="1163" t="s">
        <v>881</v>
      </c>
      <c r="BD104" s="1163" t="s">
        <v>881</v>
      </c>
      <c r="BE104" s="1163" t="s">
        <v>881</v>
      </c>
      <c r="BF104" s="1163" t="s">
        <v>881</v>
      </c>
      <c r="BG104" s="1163" t="s">
        <v>881</v>
      </c>
      <c r="BH104" s="1163" t="s">
        <v>881</v>
      </c>
      <c r="BI104" s="1163" t="s">
        <v>881</v>
      </c>
      <c r="BJ104" s="1163" t="s">
        <v>881</v>
      </c>
      <c r="BK104" s="1170" t="s">
        <v>881</v>
      </c>
      <c r="BL104" s="1170" t="s">
        <v>881</v>
      </c>
      <c r="BM104" s="1170" t="s">
        <v>881</v>
      </c>
      <c r="BN104" s="1170" t="s">
        <v>881</v>
      </c>
      <c r="BO104" s="1170" t="s">
        <v>881</v>
      </c>
      <c r="BP104" s="1170" t="s">
        <v>881</v>
      </c>
      <c r="BQ104" s="1170" t="s">
        <v>881</v>
      </c>
      <c r="BR104" s="1170" t="s">
        <v>881</v>
      </c>
      <c r="BS104" s="1170" t="s">
        <v>881</v>
      </c>
      <c r="BT104" s="579"/>
      <c r="BU104" s="579"/>
      <c r="BV104" s="579"/>
      <c r="BW104" s="579"/>
      <c r="BX104" s="579"/>
      <c r="BY104" s="579"/>
      <c r="BZ104" s="579"/>
      <c r="CA104" s="579"/>
      <c r="CB104" s="579"/>
      <c r="CC104" s="578"/>
      <c r="CD104" s="578"/>
      <c r="CE104" s="578"/>
      <c r="CF104" s="578"/>
      <c r="CG104" s="578"/>
      <c r="CH104" s="578"/>
      <c r="CI104" s="578"/>
      <c r="CJ104" s="578"/>
      <c r="CK104" s="578"/>
      <c r="CL104" s="579"/>
      <c r="CM104" s="579"/>
      <c r="CN104" s="579"/>
      <c r="CO104" s="579"/>
      <c r="CP104" s="579"/>
      <c r="CQ104" s="579"/>
      <c r="CR104" s="579"/>
      <c r="CS104" s="579"/>
      <c r="CT104" s="579"/>
      <c r="CU104" s="578"/>
      <c r="CV104" s="578"/>
      <c r="CW104" s="578"/>
      <c r="CX104" s="578"/>
      <c r="CY104" s="578"/>
      <c r="CZ104" s="578"/>
      <c r="DA104" s="578"/>
      <c r="DB104" s="578"/>
      <c r="DC104" s="578"/>
    </row>
    <row r="105" spans="1:107">
      <c r="A105" s="1167" t="s">
        <v>1045</v>
      </c>
      <c r="B105" s="1167"/>
      <c r="C105" s="1167"/>
      <c r="D105" s="1167"/>
      <c r="E105" s="1167"/>
      <c r="F105" s="1167"/>
      <c r="G105" s="1167"/>
      <c r="H105" s="1167"/>
      <c r="I105" s="1167"/>
      <c r="J105" s="1167"/>
      <c r="K105" s="1167"/>
      <c r="L105" s="1167"/>
      <c r="M105" s="1164"/>
      <c r="N105" s="1168"/>
      <c r="O105" s="1164"/>
      <c r="P105" s="1163" t="s">
        <v>881</v>
      </c>
      <c r="Q105" s="1164"/>
      <c r="R105" s="1164"/>
      <c r="S105" s="1164"/>
      <c r="T105" s="1164"/>
      <c r="U105" s="1163" t="s">
        <v>881</v>
      </c>
      <c r="V105" s="1164"/>
      <c r="W105" s="1164"/>
      <c r="X105" s="1164"/>
      <c r="Y105" s="1163"/>
      <c r="Z105" s="1163" t="s">
        <v>881</v>
      </c>
      <c r="AA105" s="1164"/>
      <c r="AB105" s="1164"/>
      <c r="AC105" s="1164"/>
      <c r="AD105" s="1164"/>
      <c r="AE105" s="1164"/>
      <c r="AF105" s="1164"/>
      <c r="AG105" s="1164"/>
      <c r="AH105" s="1163">
        <v>10</v>
      </c>
      <c r="AI105" s="1162"/>
      <c r="AJ105" s="1163" t="s">
        <v>881</v>
      </c>
      <c r="AK105" s="1163" t="s">
        <v>881</v>
      </c>
      <c r="AL105" s="1163" t="s">
        <v>881</v>
      </c>
      <c r="AM105" s="1163" t="s">
        <v>881</v>
      </c>
      <c r="AN105" s="1163" t="s">
        <v>881</v>
      </c>
      <c r="AO105" s="1163" t="s">
        <v>881</v>
      </c>
      <c r="AP105" s="1163" t="s">
        <v>881</v>
      </c>
      <c r="AQ105" s="1163" t="s">
        <v>881</v>
      </c>
      <c r="AR105" s="1163" t="s">
        <v>881</v>
      </c>
      <c r="AS105" s="1170" t="s">
        <v>881</v>
      </c>
      <c r="AV105" s="1170" t="s">
        <v>881</v>
      </c>
      <c r="AW105" s="1170" t="s">
        <v>881</v>
      </c>
      <c r="AX105" s="1170" t="s">
        <v>881</v>
      </c>
      <c r="AY105" s="1170" t="s">
        <v>881</v>
      </c>
      <c r="AZ105" s="1170" t="s">
        <v>881</v>
      </c>
      <c r="BA105" s="1170" t="s">
        <v>881</v>
      </c>
      <c r="BB105" s="1163" t="s">
        <v>881</v>
      </c>
      <c r="BC105" s="1163" t="s">
        <v>881</v>
      </c>
      <c r="BD105" s="1163" t="s">
        <v>881</v>
      </c>
      <c r="BE105" s="1163" t="s">
        <v>881</v>
      </c>
      <c r="BF105" s="1163" t="s">
        <v>881</v>
      </c>
      <c r="BG105" s="1163" t="s">
        <v>881</v>
      </c>
      <c r="BH105" s="1163" t="s">
        <v>881</v>
      </c>
      <c r="BI105" s="1163" t="s">
        <v>881</v>
      </c>
      <c r="BJ105" s="1163" t="s">
        <v>881</v>
      </c>
      <c r="BK105" s="1170" t="s">
        <v>881</v>
      </c>
      <c r="BL105" s="1170" t="s">
        <v>881</v>
      </c>
      <c r="BM105" s="1170" t="s">
        <v>881</v>
      </c>
      <c r="BN105" s="1170" t="s">
        <v>881</v>
      </c>
      <c r="BO105" s="1170" t="s">
        <v>881</v>
      </c>
      <c r="BP105" s="1170" t="s">
        <v>881</v>
      </c>
      <c r="BQ105" s="1170" t="s">
        <v>881</v>
      </c>
      <c r="BR105" s="1170" t="s">
        <v>881</v>
      </c>
      <c r="BS105" s="1170" t="s">
        <v>881</v>
      </c>
      <c r="BT105" s="587"/>
      <c r="BU105" s="587"/>
      <c r="BV105" s="587"/>
      <c r="BW105" s="587"/>
      <c r="BX105" s="587"/>
      <c r="BY105" s="587"/>
      <c r="BZ105" s="587"/>
      <c r="CA105" s="587"/>
      <c r="CB105" s="587"/>
      <c r="CC105" s="586"/>
      <c r="CD105" s="586"/>
      <c r="CE105" s="586"/>
      <c r="CF105" s="586"/>
      <c r="CG105" s="586"/>
      <c r="CH105" s="586"/>
      <c r="CI105" s="586"/>
      <c r="CJ105" s="586"/>
      <c r="CK105" s="586"/>
      <c r="CL105" s="587"/>
      <c r="CM105" s="587"/>
      <c r="CN105" s="587"/>
      <c r="CO105" s="587"/>
      <c r="CP105" s="587"/>
      <c r="CQ105" s="587"/>
      <c r="CR105" s="587"/>
      <c r="CS105" s="587"/>
      <c r="CT105" s="587"/>
      <c r="CU105" s="586"/>
      <c r="CV105" s="586"/>
      <c r="CW105" s="586"/>
      <c r="CX105" s="586"/>
      <c r="CY105" s="586"/>
      <c r="CZ105" s="586"/>
      <c r="DA105" s="586"/>
      <c r="DB105" s="586"/>
      <c r="DC105" s="586"/>
    </row>
    <row r="106" spans="1:107">
      <c r="A106" s="1167" t="s">
        <v>1272</v>
      </c>
      <c r="B106" s="1167" t="s">
        <v>1271</v>
      </c>
      <c r="C106" s="1166" t="s">
        <v>1042</v>
      </c>
      <c r="D106" s="1166" t="s">
        <v>982</v>
      </c>
      <c r="E106" s="577">
        <v>0.64</v>
      </c>
      <c r="F106" s="574">
        <v>0.56299999999999994</v>
      </c>
      <c r="G106" s="576">
        <v>100</v>
      </c>
      <c r="H106" s="574">
        <v>60.56965342806393</v>
      </c>
      <c r="J106" s="575">
        <v>1</v>
      </c>
      <c r="K106" s="574">
        <v>53.282366999999986</v>
      </c>
      <c r="L106" s="574">
        <v>34.100714879999991</v>
      </c>
      <c r="M106" s="1164"/>
      <c r="N106" s="1168"/>
      <c r="O106" s="1164"/>
      <c r="P106" s="1160">
        <v>0.94093630337573975</v>
      </c>
      <c r="Q106" s="572">
        <v>0.99093630337573979</v>
      </c>
      <c r="R106" s="572">
        <v>1</v>
      </c>
      <c r="S106" s="572">
        <v>1</v>
      </c>
      <c r="T106" s="1164"/>
      <c r="U106" s="573">
        <v>0.94093630337573975</v>
      </c>
      <c r="V106" s="572">
        <v>0.56456178202544383</v>
      </c>
      <c r="W106" s="572">
        <v>0.37637452135029592</v>
      </c>
      <c r="X106" s="572">
        <v>0.18818726067514796</v>
      </c>
      <c r="Y106" s="1163"/>
      <c r="Z106" s="573">
        <v>0.64</v>
      </c>
      <c r="AA106" s="572">
        <v>0.64</v>
      </c>
      <c r="AB106" s="572">
        <v>0.64</v>
      </c>
      <c r="AC106" s="572">
        <v>0.64</v>
      </c>
      <c r="AD106" s="572">
        <v>0.64</v>
      </c>
      <c r="AE106" s="572">
        <v>0.64</v>
      </c>
      <c r="AF106" s="572">
        <v>0.64</v>
      </c>
      <c r="AG106" s="1164"/>
      <c r="AH106" s="1163">
        <v>11</v>
      </c>
      <c r="AI106" s="1162" t="str">
        <f t="shared" ref="AI106:AI113" si="13">MID(D106,2,3)&amp;RIGHT(C106,3)</f>
        <v>MISCOA</v>
      </c>
      <c r="AJ106" s="1182">
        <f t="shared" ref="AJ106:AR106" si="14">MAX(0,1-SUM(AJ107:AJ111))</f>
        <v>0.94093630337573986</v>
      </c>
      <c r="AK106" s="1160">
        <f t="shared" si="14"/>
        <v>0.94093630337573986</v>
      </c>
      <c r="AL106" s="1160">
        <f t="shared" si="14"/>
        <v>0.94093630337573986</v>
      </c>
      <c r="AM106" s="1160">
        <f t="shared" si="14"/>
        <v>0.94093630337573986</v>
      </c>
      <c r="AN106" s="1160">
        <f t="shared" si="14"/>
        <v>0.94093630337573986</v>
      </c>
      <c r="AO106" s="1160">
        <f t="shared" si="14"/>
        <v>0.94093630337573986</v>
      </c>
      <c r="AP106" s="1160">
        <f t="shared" si="14"/>
        <v>0.94093630337573986</v>
      </c>
      <c r="AQ106" s="1160">
        <f t="shared" si="14"/>
        <v>0.94093630337573986</v>
      </c>
      <c r="AR106" s="1160">
        <f t="shared" si="14"/>
        <v>0.94093630337573986</v>
      </c>
      <c r="AS106" s="1181">
        <v>0.94093630337573986</v>
      </c>
      <c r="AT106" s="1159">
        <v>0.94093630337573986</v>
      </c>
      <c r="AU106" s="1159">
        <v>0.94093630337573986</v>
      </c>
      <c r="AV106" s="1159">
        <v>0.94093630337573986</v>
      </c>
      <c r="AW106" s="1159">
        <v>0.94093630337573986</v>
      </c>
      <c r="AX106" s="1159">
        <v>0.94093630337573986</v>
      </c>
      <c r="AY106" s="1159">
        <v>0.94093630337573986</v>
      </c>
      <c r="AZ106" s="1159">
        <v>0.94093630337573986</v>
      </c>
      <c r="BA106" s="1159">
        <v>0.94093630337573986</v>
      </c>
      <c r="BB106" s="596">
        <v>0.94093630337573986</v>
      </c>
      <c r="BC106" s="596">
        <v>0.94093630337573986</v>
      </c>
      <c r="BD106" s="596">
        <v>0.94093630337573986</v>
      </c>
      <c r="BE106" s="596">
        <v>0.94093630337573986</v>
      </c>
      <c r="BF106" s="596">
        <v>0.94093630337573986</v>
      </c>
      <c r="BG106" s="596">
        <v>0.94093630337573986</v>
      </c>
      <c r="BH106" s="596">
        <v>0.94093630337573986</v>
      </c>
      <c r="BI106" s="596">
        <v>0.94093630337573986</v>
      </c>
      <c r="BJ106" s="596">
        <v>0.94093630337573986</v>
      </c>
      <c r="BK106" s="1159">
        <v>0.94093630337573986</v>
      </c>
      <c r="BL106" s="1159">
        <v>0.94093630337573986</v>
      </c>
      <c r="BM106" s="1159">
        <v>0.94093630337573986</v>
      </c>
      <c r="BN106" s="1159">
        <v>0.94093630337573986</v>
      </c>
      <c r="BO106" s="1159">
        <v>0.94093630337573986</v>
      </c>
      <c r="BP106" s="1159">
        <v>0.94093630337573986</v>
      </c>
      <c r="BQ106" s="1159">
        <v>0.94093630337573986</v>
      </c>
      <c r="BR106" s="1159">
        <v>0.94093630337573986</v>
      </c>
      <c r="BS106" s="1159">
        <v>0.94093630337573986</v>
      </c>
      <c r="BT106" s="1020">
        <f t="array" ref="BT106">$Z106  * (1 + SUM( ($AU$80:$AU$83=BT$93) * ($BH$79:$BP$79=BT$94) * ($BH$80:$BP$83) ))</f>
        <v>0.64022400510231114</v>
      </c>
      <c r="BU106" s="1448">
        <f t="array" ref="BU106">$Z106  * (1 + SUM( ($AU$80:$AU$83=BU$93) * ($BH$79:$BP$79=BU$94) * ($BH$80:$BP$83) ))</f>
        <v>0.64069135279104783</v>
      </c>
      <c r="BV106" s="1448">
        <f t="array" ref="BV106">$Z106  * (1 + SUM( ($AU$80:$AU$83=BV$93) * ($BH$79:$BP$79=BV$94) * ($BH$80:$BP$83) ))</f>
        <v>0.64144256593763005</v>
      </c>
      <c r="BW106" s="1448">
        <f t="array" ref="BW106">$Z106  * (1 + SUM( ($AU$80:$AU$83=BW$93) * ($BH$79:$BP$79=BW$94) * ($BH$80:$BP$83) ))</f>
        <v>0.64248678290760342</v>
      </c>
      <c r="BX106" s="1448">
        <f t="array" ref="BX106">$Z106  * (1 + SUM( ($AU$80:$AU$83=BX$93) * ($BH$79:$BP$79=BX$94) * ($BH$80:$BP$83) ))</f>
        <v>0.64367912468360744</v>
      </c>
      <c r="BY106" s="1448">
        <f t="array" ref="BY106">$Z106  * (1 + SUM( ($AU$80:$AU$83=BY$93) * ($BH$79:$BP$79=BY$94) * ($BH$80:$BP$83) ))</f>
        <v>0.64476988832074622</v>
      </c>
      <c r="BZ106" s="1448">
        <f t="array" ref="BZ106">$Z106  * (1 + SUM( ($AU$80:$AU$83=BZ$93) * ($BH$79:$BP$79=BZ$94) * ($BH$80:$BP$83) ))</f>
        <v>0.64558309357480281</v>
      </c>
      <c r="CA106" s="1448">
        <f t="array" ref="CA106">$Z106  * (1 + SUM( ($AU$80:$AU$83=CA$93) * ($BH$79:$BP$79=CA$94) * ($BH$80:$BP$83) ))</f>
        <v>0.6461016007575977</v>
      </c>
      <c r="CB106" s="1448">
        <f t="array" ref="CB106">$Z106  * (1 + SUM( ($AU$80:$AU$83=CB$93) * ($BH$79:$BP$79=CB$94) * ($BH$80:$BP$83) ))</f>
        <v>0.64639999999999997</v>
      </c>
      <c r="CC106" s="578">
        <f t="array" ref="CC106">$Z106  * (1 + SUM( ($AU$80:$AU$83=CC$93) * ($BH$79:$BP$79=CC$94) * ($BH$80:$BP$83) ))</f>
        <v>0.6433600765346662</v>
      </c>
      <c r="CD106" s="578">
        <f t="array" ref="CD106">$Z106  * (1 + SUM( ($AU$80:$AU$83=CD$93) * ($BH$79:$BP$79=CD$94) * ($BH$80:$BP$83) ))</f>
        <v>0.65037029186571771</v>
      </c>
      <c r="CE106" s="578">
        <f t="array" ref="CE106">$Z106  * (1 + SUM( ($AU$80:$AU$83=CE$93) * ($BH$79:$BP$79=CE$94) * ($BH$80:$BP$83) ))</f>
        <v>0.66163848906445089</v>
      </c>
      <c r="CF106" s="578">
        <f t="array" ref="CF106">$Z106  * (1 + SUM( ($AU$80:$AU$83=CF$93) * ($BH$79:$BP$79=CF$94) * ($BH$80:$BP$83) ))</f>
        <v>0.67730174361405104</v>
      </c>
      <c r="CG106" s="578">
        <f t="array" ref="CG106">$Z106  * (1 + SUM( ($AU$80:$AU$83=CG$93) * ($BH$79:$BP$79=CG$94) * ($BH$80:$BP$83) ))</f>
        <v>0.69518687025411108</v>
      </c>
      <c r="CH106" s="578">
        <f t="array" ref="CH106">$Z106  * (1 + SUM( ($AU$80:$AU$83=CH$93) * ($BH$79:$BP$79=CH$94) * ($BH$80:$BP$83) ))</f>
        <v>0.7115483248111929</v>
      </c>
      <c r="CI106" s="578">
        <f t="array" ref="CI106">$Z106  * (1 + SUM( ($AU$80:$AU$83=CI$93) * ($BH$79:$BP$79=CI$94) * ($BH$80:$BP$83) ))</f>
        <v>0.72374640362204334</v>
      </c>
      <c r="CJ106" s="578">
        <f t="array" ref="CJ106">$Z106  * (1 + SUM( ($AU$80:$AU$83=CJ$93) * ($BH$79:$BP$79=CJ$94) * ($BH$80:$BP$83) ))</f>
        <v>0.73152401136396494</v>
      </c>
      <c r="CK106" s="578">
        <f t="array" ref="CK106">$Z106  * (1 + SUM( ($AU$80:$AU$83=CK$93) * ($BH$79:$BP$79=CK$94) * ($BH$80:$BP$83) ))</f>
        <v>0.73599999999999999</v>
      </c>
      <c r="CL106" s="579">
        <f t="array" ref="CL106">$Z106  * (1 + SUM( ($AU$80:$AU$83=CL$93) * ($BH$79:$BP$79=CL$94) * ($BH$80:$BP$83) ))</f>
        <v>0.6467201530693325</v>
      </c>
      <c r="CM106" s="579">
        <f t="array" ref="CM106">$Z106  * (1 + SUM( ($AU$80:$AU$83=CM$93) * ($BH$79:$BP$79=CM$94) * ($BH$80:$BP$83) ))</f>
        <v>0.66074058373143563</v>
      </c>
      <c r="CN106" s="579">
        <f t="array" ref="CN106">$Z106  * (1 + SUM( ($AU$80:$AU$83=CN$93) * ($BH$79:$BP$79=CN$94) * ($BH$80:$BP$83) ))</f>
        <v>0.68327697812890165</v>
      </c>
      <c r="CO106" s="579">
        <f t="array" ref="CO106">$Z106  * (1 + SUM( ($AU$80:$AU$83=CO$93) * ($BH$79:$BP$79=CO$94) * ($BH$80:$BP$83) ))</f>
        <v>0.71460348722810196</v>
      </c>
      <c r="CP106" s="579">
        <f t="array" ref="CP106">$Z106  * (1 + SUM( ($AU$80:$AU$83=CP$93) * ($BH$79:$BP$79=CP$94) * ($BH$80:$BP$83) ))</f>
        <v>0.75037374050822236</v>
      </c>
      <c r="CQ106" s="579">
        <f t="array" ref="CQ106">$Z106  * (1 + SUM( ($AU$80:$AU$83=CQ$93) * ($BH$79:$BP$79=CQ$94) * ($BH$80:$BP$83) ))</f>
        <v>0.78309664962238568</v>
      </c>
      <c r="CR106" s="579">
        <f t="array" ref="CR106">$Z106  * (1 + SUM( ($AU$80:$AU$83=CR$93) * ($BH$79:$BP$79=CR$94) * ($BH$80:$BP$83) ))</f>
        <v>0.80749280724408679</v>
      </c>
      <c r="CS106" s="579">
        <f t="array" ref="CS106">$Z106  * (1 + SUM( ($AU$80:$AU$83=CS$93) * ($BH$79:$BP$79=CS$94) * ($BH$80:$BP$83) ))</f>
        <v>0.82304802272792987</v>
      </c>
      <c r="CT106" s="579">
        <f t="array" ref="CT106">$Z106  * (1 + SUM( ($AU$80:$AU$83=CT$93) * ($BH$79:$BP$79=CT$94) * ($BH$80:$BP$83) ))</f>
        <v>0.83200000000000007</v>
      </c>
      <c r="CU106" s="578">
        <f t="array" ref="CU106">$Z106  * (1 + SUM( ($AU$80:$AU$83=CU$93) * ($BH$79:$BP$79=CU$94) * ($BH$80:$BP$83) ))</f>
        <v>0.64896020409244326</v>
      </c>
      <c r="CV106" s="578">
        <f t="array" ref="CV106">$Z106  * (1 + SUM( ($AU$80:$AU$83=CV$93) * ($BH$79:$BP$79=CV$94) * ($BH$80:$BP$83) ))</f>
        <v>0.66765411164191402</v>
      </c>
      <c r="CW106" s="597">
        <f t="array" ref="CW106">$Z106  * (1 + SUM( ($AU$80:$AU$83=CW$93) * ($BH$79:$BP$79=CW$94) * ($BH$80:$BP$83) ))</f>
        <v>0.69770263750520212</v>
      </c>
      <c r="CX106" s="597">
        <f t="array" ref="CX106">$Z106  * (1 + SUM( ($AU$80:$AU$83=CX$93) * ($BH$79:$BP$79=CX$94) * ($BH$80:$BP$83) ))</f>
        <v>0.73947131630413609</v>
      </c>
      <c r="CY106" s="597">
        <f t="array" ref="CY106">$Z106  * (1 + SUM( ($AU$80:$AU$83=CY$93) * ($BH$79:$BP$79=CY$94) * ($BH$80:$BP$83) ))</f>
        <v>0.78716498734429652</v>
      </c>
      <c r="CZ106" s="578">
        <f t="array" ref="CZ106">$Z106  * (1 + SUM( ($AU$80:$AU$83=CZ$93) * ($BH$79:$BP$79=CZ$94) * ($BH$80:$BP$83) ))</f>
        <v>0.83079553282984764</v>
      </c>
      <c r="DA106" s="578">
        <f t="array" ref="DA106">$Z106  * (1 + SUM( ($AU$80:$AU$83=DA$93) * ($BH$79:$BP$79=DA$94) * ($BH$80:$BP$83) ))</f>
        <v>0.86332374299211578</v>
      </c>
      <c r="DB106" s="578">
        <f t="array" ref="DB106">$Z106  * (1 + SUM( ($AU$80:$AU$83=DB$93) * ($BH$79:$BP$79=DB$94) * ($BH$80:$BP$83) ))</f>
        <v>0.88406403030390646</v>
      </c>
      <c r="DC106" s="578">
        <f t="array" ref="DC106">$Z106  * (1 + SUM( ($AU$80:$AU$83=DC$93) * ($BH$79:$BP$79=DC$94) * ($BH$80:$BP$83) ))</f>
        <v>0.89599999999999991</v>
      </c>
    </row>
    <row r="107" spans="1:107">
      <c r="A107" s="1167" t="s">
        <v>1270</v>
      </c>
      <c r="B107" s="1167" t="s">
        <v>1269</v>
      </c>
      <c r="C107" s="1166" t="s">
        <v>1039</v>
      </c>
      <c r="D107" s="1166" t="s">
        <v>982</v>
      </c>
      <c r="E107" s="577">
        <v>0.72</v>
      </c>
      <c r="F107" s="574">
        <v>0.56299999999999994</v>
      </c>
      <c r="G107" s="576">
        <v>100</v>
      </c>
      <c r="H107" s="574">
        <v>3.7086266429840142</v>
      </c>
      <c r="J107" s="575">
        <v>1</v>
      </c>
      <c r="K107" s="574">
        <v>2.89994</v>
      </c>
      <c r="L107" s="574">
        <v>2.0879567999999997</v>
      </c>
      <c r="M107" s="1164"/>
      <c r="N107" s="1168"/>
      <c r="O107" s="1164"/>
      <c r="P107" s="1160">
        <v>5.76127028396256E-2</v>
      </c>
      <c r="Q107" s="572">
        <v>0.1076127028396256</v>
      </c>
      <c r="R107" s="572">
        <v>0.30761270283962561</v>
      </c>
      <c r="S107" s="572">
        <v>0.55761270283962561</v>
      </c>
      <c r="T107" s="1164"/>
      <c r="U107" s="573">
        <v>5.76127028396256E-2</v>
      </c>
      <c r="V107" s="1169">
        <v>5.76127028396256E-2</v>
      </c>
      <c r="W107" s="1169">
        <v>5.76127028396256E-2</v>
      </c>
      <c r="X107" s="1169">
        <v>5.76127028396256E-2</v>
      </c>
      <c r="Y107" s="1163"/>
      <c r="Z107" s="573">
        <v>0.72</v>
      </c>
      <c r="AA107" s="572">
        <v>0.72</v>
      </c>
      <c r="AB107" s="572">
        <v>0.72</v>
      </c>
      <c r="AC107" s="572">
        <v>0.72</v>
      </c>
      <c r="AD107" s="572">
        <v>0.72</v>
      </c>
      <c r="AE107" s="572">
        <v>0.72</v>
      </c>
      <c r="AF107" s="572">
        <v>0.72</v>
      </c>
      <c r="AG107" s="1164"/>
      <c r="AH107" s="1163">
        <v>12</v>
      </c>
      <c r="AI107" s="1162" t="str">
        <f t="shared" si="13"/>
        <v>MISGAS</v>
      </c>
      <c r="AJ107" s="1182">
        <v>5.76127028396256E-2</v>
      </c>
      <c r="AK107" s="1160">
        <v>5.76127028396256E-2</v>
      </c>
      <c r="AL107" s="1160">
        <v>5.76127028396256E-2</v>
      </c>
      <c r="AM107" s="1160">
        <v>5.76127028396256E-2</v>
      </c>
      <c r="AN107" s="1160">
        <v>5.76127028396256E-2</v>
      </c>
      <c r="AO107" s="1160">
        <v>5.76127028396256E-2</v>
      </c>
      <c r="AP107" s="1160">
        <v>5.76127028396256E-2</v>
      </c>
      <c r="AQ107" s="1160">
        <v>5.76127028396256E-2</v>
      </c>
      <c r="AR107" s="1160">
        <v>5.76127028396256E-2</v>
      </c>
      <c r="AS107" s="1437">
        <v>5.76127028396256E-2</v>
      </c>
      <c r="AT107" s="1437">
        <v>5.76127028396256E-2</v>
      </c>
      <c r="AU107" s="1437">
        <v>5.76127028396256E-2</v>
      </c>
      <c r="AV107" s="1437">
        <v>5.76127028396256E-2</v>
      </c>
      <c r="AW107" s="1437">
        <v>5.76127028396256E-2</v>
      </c>
      <c r="AX107" s="1437">
        <v>5.76127028396256E-2</v>
      </c>
      <c r="AY107" s="1437">
        <v>5.76127028396256E-2</v>
      </c>
      <c r="AZ107" s="1437">
        <v>5.76127028396256E-2</v>
      </c>
      <c r="BA107" s="1437">
        <v>5.76127028396256E-2</v>
      </c>
      <c r="BB107" s="596">
        <v>5.76127028396256E-2</v>
      </c>
      <c r="BC107" s="596">
        <v>5.76127028396256E-2</v>
      </c>
      <c r="BD107" s="596">
        <v>5.76127028396256E-2</v>
      </c>
      <c r="BE107" s="596">
        <v>5.76127028396256E-2</v>
      </c>
      <c r="BF107" s="596">
        <v>5.76127028396256E-2</v>
      </c>
      <c r="BG107" s="596">
        <v>5.76127028396256E-2</v>
      </c>
      <c r="BH107" s="596">
        <v>5.76127028396256E-2</v>
      </c>
      <c r="BI107" s="596">
        <v>5.76127028396256E-2</v>
      </c>
      <c r="BJ107" s="596">
        <v>5.76127028396256E-2</v>
      </c>
      <c r="BK107" s="1159">
        <v>5.76127028396256E-2</v>
      </c>
      <c r="BL107" s="1159">
        <v>5.76127028396256E-2</v>
      </c>
      <c r="BM107" s="1159">
        <v>5.76127028396256E-2</v>
      </c>
      <c r="BN107" s="1159">
        <v>5.76127028396256E-2</v>
      </c>
      <c r="BO107" s="1159">
        <v>5.76127028396256E-2</v>
      </c>
      <c r="BP107" s="1159">
        <v>5.76127028396256E-2</v>
      </c>
      <c r="BQ107" s="1159">
        <v>5.76127028396256E-2</v>
      </c>
      <c r="BR107" s="1159">
        <v>5.76127028396256E-2</v>
      </c>
      <c r="BS107" s="1159">
        <v>5.76127028396256E-2</v>
      </c>
      <c r="BT107" s="1448">
        <f t="array" ref="BT107">$Z107  * (1 + SUM( ($AU$80:$AU$83=BT$93) * ($BH$79:$BP$79=BT$94) * ($BH$80:$BP$83) ))</f>
        <v>0.72025200574009995</v>
      </c>
      <c r="BU107" s="1448">
        <f t="array" ref="BU107">$Z107  * (1 + SUM( ($AU$80:$AU$83=BU$93) * ($BH$79:$BP$79=BU$94) * ($BH$80:$BP$83) ))</f>
        <v>0.72077777188992875</v>
      </c>
      <c r="BV107" s="1448">
        <f t="array" ref="BV107">$Z107  * (1 + SUM( ($AU$80:$AU$83=BV$93) * ($BH$79:$BP$79=BV$94) * ($BH$80:$BP$83) ))</f>
        <v>0.72162288667983376</v>
      </c>
      <c r="BW107" s="1448">
        <f t="array" ref="BW107">$Z107  * (1 + SUM( ($AU$80:$AU$83=BW$93) * ($BH$79:$BP$79=BW$94) * ($BH$80:$BP$83) ))</f>
        <v>0.72279763077105375</v>
      </c>
      <c r="BX107" s="1448">
        <f t="array" ref="BX107">$Z107  * (1 + SUM( ($AU$80:$AU$83=BX$93) * ($BH$79:$BP$79=BX$94) * ($BH$80:$BP$83) ))</f>
        <v>0.72413901526905833</v>
      </c>
      <c r="BY107" s="1448">
        <f t="array" ref="BY107">$Z107  * (1 + SUM( ($AU$80:$AU$83=BY$93) * ($BH$79:$BP$79=BY$94) * ($BH$80:$BP$83) ))</f>
        <v>0.72536612436083947</v>
      </c>
      <c r="BZ107" s="1448">
        <f t="array" ref="BZ107">$Z107  * (1 + SUM( ($AU$80:$AU$83=BZ$93) * ($BH$79:$BP$79=BZ$94) * ($BH$80:$BP$83) ))</f>
        <v>0.72628098027165311</v>
      </c>
      <c r="CA107" s="1448">
        <f t="array" ref="CA107">$Z107  * (1 + SUM( ($AU$80:$AU$83=CA$93) * ($BH$79:$BP$79=CA$94) * ($BH$80:$BP$83) ))</f>
        <v>0.72686430085229736</v>
      </c>
      <c r="CB107" s="1448">
        <f t="array" ref="CB107">$Z107  * (1 + SUM( ($AU$80:$AU$83=CB$93) * ($BH$79:$BP$79=CB$94) * ($BH$80:$BP$83) ))</f>
        <v>0.72719999999999996</v>
      </c>
      <c r="CC107" s="1444">
        <f t="array" ref="CC107">$Z107  * (1 + SUM( ($AU$80:$AU$83=CC$93) * ($BH$79:$BP$79=CC$94) * ($BH$80:$BP$83) ))</f>
        <v>0.72378008610149946</v>
      </c>
      <c r="CD107" s="1444">
        <f t="array" ref="CD107">$Z107  * (1 + SUM( ($AU$80:$AU$83=CD$93) * ($BH$79:$BP$79=CD$94) * ($BH$80:$BP$83) ))</f>
        <v>0.73166657834893245</v>
      </c>
      <c r="CE107" s="1444">
        <f t="array" ref="CE107">$Z107  * (1 + SUM( ($AU$80:$AU$83=CE$93) * ($BH$79:$BP$79=CE$94) * ($BH$80:$BP$83) ))</f>
        <v>0.74434330019750716</v>
      </c>
      <c r="CF107" s="1444">
        <f t="array" ref="CF107">$Z107  * (1 + SUM( ($AU$80:$AU$83=CF$93) * ($BH$79:$BP$79=CF$94) * ($BH$80:$BP$83) ))</f>
        <v>0.76196446156580744</v>
      </c>
      <c r="CG107" s="1444">
        <f t="array" ref="CG107">$Z107  * (1 + SUM( ($AU$80:$AU$83=CG$93) * ($BH$79:$BP$79=CG$94) * ($BH$80:$BP$83) ))</f>
        <v>0.78208522903587496</v>
      </c>
      <c r="CH107" s="1444">
        <f t="array" ref="CH107">$Z107  * (1 + SUM( ($AU$80:$AU$83=CH$93) * ($BH$79:$BP$79=CH$94) * ($BH$80:$BP$83) ))</f>
        <v>0.80049186541259199</v>
      </c>
      <c r="CI107" s="1444">
        <f t="array" ref="CI107">$Z107  * (1 + SUM( ($AU$80:$AU$83=CI$93) * ($BH$79:$BP$79=CI$94) * ($BH$80:$BP$83) ))</f>
        <v>0.81421470407479868</v>
      </c>
      <c r="CJ107" s="1444">
        <f t="array" ref="CJ107">$Z107  * (1 + SUM( ($AU$80:$AU$83=CJ$93) * ($BH$79:$BP$79=CJ$94) * ($BH$80:$BP$83) ))</f>
        <v>0.82296451278446048</v>
      </c>
      <c r="CK107" s="1444">
        <f t="array" ref="CK107">$Z107  * (1 + SUM( ($AU$80:$AU$83=CK$93) * ($BH$79:$BP$79=CK$94) * ($BH$80:$BP$83) ))</f>
        <v>0.82799999999999996</v>
      </c>
      <c r="CL107" s="1445">
        <f t="array" ref="CL107">$Z107  * (1 + SUM( ($AU$80:$AU$83=CL$93) * ($BH$79:$BP$79=CL$94) * ($BH$80:$BP$83) ))</f>
        <v>0.72756017220299896</v>
      </c>
      <c r="CM107" s="1445">
        <f t="array" ref="CM107">$Z107  * (1 + SUM( ($AU$80:$AU$83=CM$93) * ($BH$79:$BP$79=CM$94) * ($BH$80:$BP$83) ))</f>
        <v>0.74333315669786504</v>
      </c>
      <c r="CN107" s="1445">
        <f t="array" ref="CN107">$Z107  * (1 + SUM( ($AU$80:$AU$83=CN$93) * ($BH$79:$BP$79=CN$94) * ($BH$80:$BP$83) ))</f>
        <v>0.76868660039501435</v>
      </c>
      <c r="CO107" s="1445">
        <f t="array" ref="CO107">$Z107  * (1 + SUM( ($AU$80:$AU$83=CO$93) * ($BH$79:$BP$79=CO$94) * ($BH$80:$BP$83) ))</f>
        <v>0.80392892313161468</v>
      </c>
      <c r="CP107" s="1445">
        <f t="array" ref="CP107">$Z107  * (1 + SUM( ($AU$80:$AU$83=CP$93) * ($BH$79:$BP$79=CP$94) * ($BH$80:$BP$83) ))</f>
        <v>0.84417045807175017</v>
      </c>
      <c r="CQ107" s="1445">
        <f t="array" ref="CQ107">$Z107  * (1 + SUM( ($AU$80:$AU$83=CQ$93) * ($BH$79:$BP$79=CQ$94) * ($BH$80:$BP$83) ))</f>
        <v>0.88098373082518389</v>
      </c>
      <c r="CR107" s="1445">
        <f t="array" ref="CR107">$Z107  * (1 + SUM( ($AU$80:$AU$83=CR$93) * ($BH$79:$BP$79=CR$94) * ($BH$80:$BP$83) ))</f>
        <v>0.90842940814959761</v>
      </c>
      <c r="CS107" s="1445">
        <f t="array" ref="CS107">$Z107  * (1 + SUM( ($AU$80:$AU$83=CS$93) * ($BH$79:$BP$79=CS$94) * ($BH$80:$BP$83) ))</f>
        <v>0.92592902556892098</v>
      </c>
      <c r="CT107" s="1445">
        <f t="array" ref="CT107">$Z107  * (1 + SUM( ($AU$80:$AU$83=CT$93) * ($BH$79:$BP$79=CT$94) * ($BH$80:$BP$83) ))</f>
        <v>0.93599999999999994</v>
      </c>
      <c r="CU107" s="1444">
        <f t="array" ref="CU107">$Z107  * (1 + SUM( ($AU$80:$AU$83=CU$93) * ($BH$79:$BP$79=CU$94) * ($BH$80:$BP$83) ))</f>
        <v>0.73008022960399865</v>
      </c>
      <c r="CV107" s="1444">
        <f t="array" ref="CV107">$Z107  * (1 + SUM( ($AU$80:$AU$83=CV$93) * ($BH$79:$BP$79=CV$94) * ($BH$80:$BP$83) ))</f>
        <v>0.75111087559715328</v>
      </c>
      <c r="CW107" s="1446">
        <f t="array" ref="CW107">$Z107  * (1 + SUM( ($AU$80:$AU$83=CW$93) * ($BH$79:$BP$79=CW$94) * ($BH$80:$BP$83) ))</f>
        <v>0.78491546719335237</v>
      </c>
      <c r="CX107" s="1446">
        <f t="array" ref="CX107">$Z107  * (1 + SUM( ($AU$80:$AU$83=CX$93) * ($BH$79:$BP$79=CX$94) * ($BH$80:$BP$83) ))</f>
        <v>0.83190523084215307</v>
      </c>
      <c r="CY107" s="1446">
        <f t="array" ref="CY107">$Z107  * (1 + SUM( ($AU$80:$AU$83=CY$93) * ($BH$79:$BP$79=CY$94) * ($BH$80:$BP$83) ))</f>
        <v>0.8855606107623335</v>
      </c>
      <c r="CZ107" s="1444">
        <f t="array" ref="CZ107">$Z107  * (1 + SUM( ($AU$80:$AU$83=CZ$93) * ($BH$79:$BP$79=CZ$94) * ($BH$80:$BP$83) ))</f>
        <v>0.93464497443357852</v>
      </c>
      <c r="DA107" s="1444">
        <f t="array" ref="DA107">$Z107  * (1 + SUM( ($AU$80:$AU$83=DA$93) * ($BH$79:$BP$79=DA$94) * ($BH$80:$BP$83) ))</f>
        <v>0.97123921086613019</v>
      </c>
      <c r="DB107" s="1444">
        <f t="array" ref="DB107">$Z107  * (1 + SUM( ($AU$80:$AU$83=DB$93) * ($BH$79:$BP$79=DB$94) * ($BH$80:$BP$83) ))</f>
        <v>0.99457203409189476</v>
      </c>
      <c r="DC107" s="1444">
        <f t="array" ref="DC107">$Z107  * (1 + SUM( ($AU$80:$AU$83=DC$93) * ($BH$79:$BP$79=DC$94) * ($BH$80:$BP$83) ))</f>
        <v>1.008</v>
      </c>
    </row>
    <row r="108" spans="1:107">
      <c r="A108" s="1167" t="s">
        <v>1268</v>
      </c>
      <c r="B108" s="1167" t="s">
        <v>1267</v>
      </c>
      <c r="C108" s="1166" t="s">
        <v>1036</v>
      </c>
      <c r="D108" s="1166" t="s">
        <v>982</v>
      </c>
      <c r="E108" s="577">
        <v>0.68</v>
      </c>
      <c r="F108" s="574">
        <v>0.56299999999999994</v>
      </c>
      <c r="G108" s="576">
        <v>100</v>
      </c>
      <c r="H108" s="574">
        <v>9.3324172049733561E-2</v>
      </c>
      <c r="J108" s="575">
        <v>1</v>
      </c>
      <c r="K108" s="574">
        <v>7.7266924799999984E-2</v>
      </c>
      <c r="L108" s="574">
        <v>5.254150886399999E-2</v>
      </c>
      <c r="M108" s="1164"/>
      <c r="N108" s="1168"/>
      <c r="O108" s="1164"/>
      <c r="P108" s="1160">
        <v>1.4497705780728732E-3</v>
      </c>
      <c r="Q108" s="572">
        <v>5.1449770578072873E-2</v>
      </c>
      <c r="R108" s="572">
        <v>0.25144977057807288</v>
      </c>
      <c r="S108" s="572">
        <v>0.50144977057807283</v>
      </c>
      <c r="T108" s="1164"/>
      <c r="U108" s="573">
        <v>1.4497705780728732E-3</v>
      </c>
      <c r="V108" s="572">
        <v>8.6986234684372388E-4</v>
      </c>
      <c r="W108" s="572">
        <v>5.7990823122914929E-4</v>
      </c>
      <c r="X108" s="572">
        <v>2.8995411561457465E-4</v>
      </c>
      <c r="Y108" s="1164"/>
      <c r="Z108" s="573">
        <v>0.68</v>
      </c>
      <c r="AA108" s="572">
        <v>0.68</v>
      </c>
      <c r="AB108" s="572">
        <v>0.68</v>
      </c>
      <c r="AC108" s="572">
        <v>0.68</v>
      </c>
      <c r="AD108" s="572">
        <v>0.68</v>
      </c>
      <c r="AE108" s="572">
        <v>0.68</v>
      </c>
      <c r="AF108" s="572">
        <v>0.68</v>
      </c>
      <c r="AG108" s="1164"/>
      <c r="AH108" s="1163">
        <v>13</v>
      </c>
      <c r="AI108" s="1162" t="str">
        <f t="shared" si="13"/>
        <v>MISOHF</v>
      </c>
      <c r="AJ108" s="1182">
        <v>1.4497705780728732E-3</v>
      </c>
      <c r="AK108" s="1160">
        <v>1.4497705780728732E-3</v>
      </c>
      <c r="AL108" s="1160">
        <v>1.4497705780728732E-3</v>
      </c>
      <c r="AM108" s="1160">
        <v>1.4497705780728732E-3</v>
      </c>
      <c r="AN108" s="1160">
        <v>1.4497705780728732E-3</v>
      </c>
      <c r="AO108" s="1160">
        <v>1.4497705780728732E-3</v>
      </c>
      <c r="AP108" s="1160">
        <v>1.4497705780728732E-3</v>
      </c>
      <c r="AQ108" s="1160">
        <v>1.4497705780728732E-3</v>
      </c>
      <c r="AR108" s="1160">
        <v>1.4497705780728732E-3</v>
      </c>
      <c r="AS108" s="1181">
        <v>1.4497705780728732E-3</v>
      </c>
      <c r="AT108" s="1159">
        <v>1.4497705780728732E-3</v>
      </c>
      <c r="AU108" s="1159">
        <v>1.4497705780728732E-3</v>
      </c>
      <c r="AV108" s="1159">
        <v>1.4497705780728732E-3</v>
      </c>
      <c r="AW108" s="1159">
        <v>1.4497705780728732E-3</v>
      </c>
      <c r="AX108" s="1159">
        <v>1.4497705780728732E-3</v>
      </c>
      <c r="AY108" s="1159">
        <v>1.4497705780728732E-3</v>
      </c>
      <c r="AZ108" s="1159">
        <v>1.4497705780728732E-3</v>
      </c>
      <c r="BA108" s="1159">
        <v>1.4497705780728732E-3</v>
      </c>
      <c r="BB108" s="596">
        <v>1.4497705780728732E-3</v>
      </c>
      <c r="BC108" s="596">
        <v>1.4497705780728732E-3</v>
      </c>
      <c r="BD108" s="596">
        <v>1.4497705780728732E-3</v>
      </c>
      <c r="BE108" s="596">
        <v>1.4497705780728732E-3</v>
      </c>
      <c r="BF108" s="596">
        <v>1.4497705780728732E-3</v>
      </c>
      <c r="BG108" s="596">
        <v>1.4497705780728732E-3</v>
      </c>
      <c r="BH108" s="596">
        <v>1.4497705780728732E-3</v>
      </c>
      <c r="BI108" s="596">
        <v>1.4497705780728732E-3</v>
      </c>
      <c r="BJ108" s="596">
        <v>1.4497705780728732E-3</v>
      </c>
      <c r="BK108" s="1159">
        <v>1.4497705780728732E-3</v>
      </c>
      <c r="BL108" s="1159">
        <v>1.4497705780728732E-3</v>
      </c>
      <c r="BM108" s="1159">
        <v>1.4497705780728732E-3</v>
      </c>
      <c r="BN108" s="1159">
        <v>1.4497705780728732E-3</v>
      </c>
      <c r="BO108" s="1159">
        <v>1.4497705780728732E-3</v>
      </c>
      <c r="BP108" s="1159">
        <v>1.4497705780728732E-3</v>
      </c>
      <c r="BQ108" s="1159">
        <v>1.4497705780728732E-3</v>
      </c>
      <c r="BR108" s="1159">
        <v>1.4497705780728732E-3</v>
      </c>
      <c r="BS108" s="1159">
        <v>1.4497705780728732E-3</v>
      </c>
      <c r="BT108" s="1448">
        <f t="array" ref="BT108">$Z108  * (1 + SUM( ($AU$80:$AU$83=BT$93) * ($BH$79:$BP$79=BT$94) * ($BH$80:$BP$83) ))</f>
        <v>0.6802380054212056</v>
      </c>
      <c r="BU108" s="1448">
        <f t="array" ref="BU108">$Z108  * (1 + SUM( ($AU$80:$AU$83=BU$93) * ($BH$79:$BP$79=BU$94) * ($BH$80:$BP$83) ))</f>
        <v>0.68073456234048835</v>
      </c>
      <c r="BV108" s="1448">
        <f t="array" ref="BV108">$Z108  * (1 + SUM( ($AU$80:$AU$83=BV$93) * ($BH$79:$BP$79=BV$94) * ($BH$80:$BP$83) ))</f>
        <v>0.68153272630873196</v>
      </c>
      <c r="BW108" s="1448">
        <f t="array" ref="BW108">$Z108  * (1 + SUM( ($AU$80:$AU$83=BW$93) * ($BH$79:$BP$79=BW$94) * ($BH$80:$BP$83) ))</f>
        <v>0.68264220683932864</v>
      </c>
      <c r="BX108" s="1448">
        <f t="array" ref="BX108">$Z108  * (1 + SUM( ($AU$80:$AU$83=BX$93) * ($BH$79:$BP$79=BX$94) * ($BH$80:$BP$83) ))</f>
        <v>0.68390906997633294</v>
      </c>
      <c r="BY108" s="1448">
        <f t="array" ref="BY108">$Z108  * (1 + SUM( ($AU$80:$AU$83=BY$93) * ($BH$79:$BP$79=BY$94) * ($BH$80:$BP$83) ))</f>
        <v>0.6850680063407929</v>
      </c>
      <c r="BZ108" s="1448">
        <f t="array" ref="BZ108">$Z108  * (1 + SUM( ($AU$80:$AU$83=BZ$93) * ($BH$79:$BP$79=BZ$94) * ($BH$80:$BP$83) ))</f>
        <v>0.68593203692322802</v>
      </c>
      <c r="CA108" s="1448">
        <f t="array" ref="CA108">$Z108  * (1 + SUM( ($AU$80:$AU$83=CA$93) * ($BH$79:$BP$79=CA$94) * ($BH$80:$BP$83) ))</f>
        <v>0.68648295080494759</v>
      </c>
      <c r="CB108" s="1448">
        <f t="array" ref="CB108">$Z108  * (1 + SUM( ($AU$80:$AU$83=CB$93) * ($BH$79:$BP$79=CB$94) * ($BH$80:$BP$83) ))</f>
        <v>0.68680000000000008</v>
      </c>
      <c r="CC108" s="1444">
        <f t="array" ref="CC108">$Z108  * (1 + SUM( ($AU$80:$AU$83=CC$93) * ($BH$79:$BP$79=CC$94) * ($BH$80:$BP$83) ))</f>
        <v>0.68357008131808294</v>
      </c>
      <c r="CD108" s="1444">
        <f t="array" ref="CD108">$Z108  * (1 + SUM( ($AU$80:$AU$83=CD$93) * ($BH$79:$BP$79=CD$94) * ($BH$80:$BP$83) ))</f>
        <v>0.69101843510732508</v>
      </c>
      <c r="CE108" s="1444">
        <f t="array" ref="CE108">$Z108  * (1 + SUM( ($AU$80:$AU$83=CE$93) * ($BH$79:$BP$79=CE$94) * ($BH$80:$BP$83) ))</f>
        <v>0.70299089463097908</v>
      </c>
      <c r="CF108" s="1444">
        <f t="array" ref="CF108">$Z108  * (1 + SUM( ($AU$80:$AU$83=CF$93) * ($BH$79:$BP$79=CF$94) * ($BH$80:$BP$83) ))</f>
        <v>0.7196331025899293</v>
      </c>
      <c r="CG108" s="1444">
        <f t="array" ref="CG108">$Z108  * (1 + SUM( ($AU$80:$AU$83=CG$93) * ($BH$79:$BP$79=CG$94) * ($BH$80:$BP$83) ))</f>
        <v>0.73863604964499308</v>
      </c>
      <c r="CH108" s="1444">
        <f t="array" ref="CH108">$Z108  * (1 + SUM( ($AU$80:$AU$83=CH$93) * ($BH$79:$BP$79=CH$94) * ($BH$80:$BP$83) ))</f>
        <v>0.7560200951118925</v>
      </c>
      <c r="CI108" s="1444">
        <f t="array" ref="CI108">$Z108  * (1 + SUM( ($AU$80:$AU$83=CI$93) * ($BH$79:$BP$79=CI$94) * ($BH$80:$BP$83) ))</f>
        <v>0.76898055384842112</v>
      </c>
      <c r="CJ108" s="1444">
        <f t="array" ref="CJ108">$Z108  * (1 + SUM( ($AU$80:$AU$83=CJ$93) * ($BH$79:$BP$79=CJ$94) * ($BH$80:$BP$83) ))</f>
        <v>0.77724426207421282</v>
      </c>
      <c r="CK108" s="1444">
        <f t="array" ref="CK108">$Z108  * (1 + SUM( ($AU$80:$AU$83=CK$93) * ($BH$79:$BP$79=CK$94) * ($BH$80:$BP$83) ))</f>
        <v>0.78200000000000003</v>
      </c>
      <c r="CL108" s="1445">
        <f t="array" ref="CL108">$Z108  * (1 + SUM( ($AU$80:$AU$83=CL$93) * ($BH$79:$BP$79=CL$94) * ($BH$80:$BP$83) ))</f>
        <v>0.68714016263616584</v>
      </c>
      <c r="CM108" s="1445">
        <f t="array" ref="CM108">$Z108  * (1 + SUM( ($AU$80:$AU$83=CM$93) * ($BH$79:$BP$79=CM$94) * ($BH$80:$BP$83) ))</f>
        <v>0.70203687021465033</v>
      </c>
      <c r="CN108" s="1445">
        <f t="array" ref="CN108">$Z108  * (1 + SUM( ($AU$80:$AU$83=CN$93) * ($BH$79:$BP$79=CN$94) * ($BH$80:$BP$83) ))</f>
        <v>0.725981789261958</v>
      </c>
      <c r="CO108" s="1445">
        <f t="array" ref="CO108">$Z108  * (1 + SUM( ($AU$80:$AU$83=CO$93) * ($BH$79:$BP$79=CO$94) * ($BH$80:$BP$83) ))</f>
        <v>0.75926620517985843</v>
      </c>
      <c r="CP108" s="1445">
        <f t="array" ref="CP108">$Z108  * (1 + SUM( ($AU$80:$AU$83=CP$93) * ($BH$79:$BP$79=CP$94) * ($BH$80:$BP$83) ))</f>
        <v>0.79727209928998632</v>
      </c>
      <c r="CQ108" s="1445">
        <f t="array" ref="CQ108">$Z108  * (1 + SUM( ($AU$80:$AU$83=CQ$93) * ($BH$79:$BP$79=CQ$94) * ($BH$80:$BP$83) ))</f>
        <v>0.83204019022378484</v>
      </c>
      <c r="CR108" s="1445">
        <f t="array" ref="CR108">$Z108  * (1 + SUM( ($AU$80:$AU$83=CR$93) * ($BH$79:$BP$79=CR$94) * ($BH$80:$BP$83) ))</f>
        <v>0.85796110769684231</v>
      </c>
      <c r="CS108" s="1445">
        <f t="array" ref="CS108">$Z108  * (1 + SUM( ($AU$80:$AU$83=CS$93) * ($BH$79:$BP$79=CS$94) * ($BH$80:$BP$83) ))</f>
        <v>0.87448852414842548</v>
      </c>
      <c r="CT108" s="1445">
        <f t="array" ref="CT108">$Z108  * (1 + SUM( ($AU$80:$AU$83=CT$93) * ($BH$79:$BP$79=CT$94) * ($BH$80:$BP$83) ))</f>
        <v>0.88400000000000012</v>
      </c>
      <c r="CU108" s="1444">
        <f t="array" ref="CU108">$Z108  * (1 + SUM( ($AU$80:$AU$83=CU$93) * ($BH$79:$BP$79=CU$94) * ($BH$80:$BP$83) ))</f>
        <v>0.68952021684822107</v>
      </c>
      <c r="CV108" s="1444">
        <f t="array" ref="CV108">$Z108  * (1 + SUM( ($AU$80:$AU$83=CV$93) * ($BH$79:$BP$79=CV$94) * ($BH$80:$BP$83) ))</f>
        <v>0.70938249361953376</v>
      </c>
      <c r="CW108" s="1446">
        <f t="array" ref="CW108">$Z108  * (1 + SUM( ($AU$80:$AU$83=CW$93) * ($BH$79:$BP$79=CW$94) * ($BH$80:$BP$83) ))</f>
        <v>0.74130905234927735</v>
      </c>
      <c r="CX108" s="1446">
        <f t="array" ref="CX108">$Z108  * (1 + SUM( ($AU$80:$AU$83=CX$93) * ($BH$79:$BP$79=CX$94) * ($BH$80:$BP$83) ))</f>
        <v>0.78568827357314464</v>
      </c>
      <c r="CY108" s="1446">
        <f t="array" ref="CY108">$Z108  * (1 + SUM( ($AU$80:$AU$83=CY$93) * ($BH$79:$BP$79=CY$94) * ($BH$80:$BP$83) ))</f>
        <v>0.83636279905331512</v>
      </c>
      <c r="CZ108" s="1444">
        <f t="array" ref="CZ108">$Z108  * (1 + SUM( ($AU$80:$AU$83=CZ$93) * ($BH$79:$BP$79=CZ$94) * ($BH$80:$BP$83) ))</f>
        <v>0.88272025363171314</v>
      </c>
      <c r="DA108" s="1444">
        <f t="array" ref="DA108">$Z108  * (1 + SUM( ($AU$80:$AU$83=DA$93) * ($BH$79:$BP$79=DA$94) * ($BH$80:$BP$83) ))</f>
        <v>0.9172814769291231</v>
      </c>
      <c r="DB108" s="1444">
        <f t="array" ref="DB108">$Z108  * (1 + SUM( ($AU$80:$AU$83=DB$93) * ($BH$79:$BP$79=DB$94) * ($BH$80:$BP$83) ))</f>
        <v>0.93931803219790067</v>
      </c>
      <c r="DC108" s="1444">
        <f t="array" ref="DC108">$Z108  * (1 + SUM( ($AU$80:$AU$83=DC$93) * ($BH$79:$BP$79=DC$94) * ($BH$80:$BP$83) ))</f>
        <v>0.95199999999999996</v>
      </c>
    </row>
    <row r="109" spans="1:107">
      <c r="A109" s="1167" t="s">
        <v>1266</v>
      </c>
      <c r="B109" s="1167" t="s">
        <v>1265</v>
      </c>
      <c r="C109" s="1166" t="s">
        <v>1033</v>
      </c>
      <c r="D109" s="1166" t="s">
        <v>982</v>
      </c>
      <c r="E109" s="577">
        <v>0.72</v>
      </c>
      <c r="F109" s="574">
        <v>0.56299999999999994</v>
      </c>
      <c r="G109" s="576">
        <v>100</v>
      </c>
      <c r="H109" s="574">
        <v>7.873986500888099E-5</v>
      </c>
      <c r="J109" s="575">
        <v>1</v>
      </c>
      <c r="K109" s="574">
        <v>6.1570199999999995E-5</v>
      </c>
      <c r="L109" s="574">
        <v>4.4330543999999992E-5</v>
      </c>
      <c r="M109" s="1164"/>
      <c r="N109" s="1168"/>
      <c r="O109" s="1164"/>
      <c r="P109" s="1160">
        <v>1.2232065616448326E-6</v>
      </c>
      <c r="Q109" s="572">
        <v>5.0001223206561647E-2</v>
      </c>
      <c r="R109" s="572">
        <v>0.25000122320656165</v>
      </c>
      <c r="S109" s="572">
        <v>0.5000012232065616</v>
      </c>
      <c r="T109" s="1164"/>
      <c r="U109" s="573">
        <v>1.2232065616448326E-6</v>
      </c>
      <c r="V109" s="572">
        <v>7.3392393698689956E-7</v>
      </c>
      <c r="W109" s="572">
        <v>4.8928262465793304E-7</v>
      </c>
      <c r="X109" s="572">
        <v>2.4464131232896652E-7</v>
      </c>
      <c r="Y109" s="1164"/>
      <c r="Z109" s="573">
        <v>0.72</v>
      </c>
      <c r="AA109" s="572">
        <v>0.72</v>
      </c>
      <c r="AB109" s="572">
        <v>0.72</v>
      </c>
      <c r="AC109" s="572">
        <v>0.72</v>
      </c>
      <c r="AD109" s="572">
        <v>0.72</v>
      </c>
      <c r="AE109" s="572">
        <v>0.72</v>
      </c>
      <c r="AF109" s="572">
        <v>0.72</v>
      </c>
      <c r="AG109" s="1164"/>
      <c r="AH109" s="1163">
        <v>14</v>
      </c>
      <c r="AI109" s="1162" t="str">
        <f t="shared" si="13"/>
        <v>MISOLP</v>
      </c>
      <c r="AJ109" s="1182">
        <v>1.2232065616448326E-6</v>
      </c>
      <c r="AK109" s="1160">
        <v>1.2232065616448326E-6</v>
      </c>
      <c r="AL109" s="1160">
        <v>1.2232065616448326E-6</v>
      </c>
      <c r="AM109" s="1160">
        <v>1.2232065616448326E-6</v>
      </c>
      <c r="AN109" s="1160">
        <v>1.2232065616448326E-6</v>
      </c>
      <c r="AO109" s="1160">
        <v>1.2232065616448326E-6</v>
      </c>
      <c r="AP109" s="1160">
        <v>1.2232065616448326E-6</v>
      </c>
      <c r="AQ109" s="1160">
        <v>1.2232065616448326E-6</v>
      </c>
      <c r="AR109" s="1160">
        <v>1.2232065616448326E-6</v>
      </c>
      <c r="AS109" s="1181">
        <v>1.2232065616448326E-6</v>
      </c>
      <c r="AT109" s="1159">
        <v>1.2232065616448326E-6</v>
      </c>
      <c r="AU109" s="1159">
        <v>1.2232065616448326E-6</v>
      </c>
      <c r="AV109" s="1159">
        <v>1.2232065616448326E-6</v>
      </c>
      <c r="AW109" s="1159">
        <v>1.2232065616448326E-6</v>
      </c>
      <c r="AX109" s="1159">
        <v>1.2232065616448326E-6</v>
      </c>
      <c r="AY109" s="1159">
        <v>1.2232065616448326E-6</v>
      </c>
      <c r="AZ109" s="1159">
        <v>1.2232065616448326E-6</v>
      </c>
      <c r="BA109" s="1159">
        <v>1.2232065616448326E-6</v>
      </c>
      <c r="BB109" s="596">
        <v>1.2232065616448326E-6</v>
      </c>
      <c r="BC109" s="596">
        <v>1.2232065616448326E-6</v>
      </c>
      <c r="BD109" s="596">
        <v>1.2232065616448326E-6</v>
      </c>
      <c r="BE109" s="596">
        <v>1.2232065616448326E-6</v>
      </c>
      <c r="BF109" s="596">
        <v>1.2232065616448326E-6</v>
      </c>
      <c r="BG109" s="596">
        <v>1.2232065616448326E-6</v>
      </c>
      <c r="BH109" s="596">
        <v>1.2232065616448326E-6</v>
      </c>
      <c r="BI109" s="596">
        <v>1.2232065616448326E-6</v>
      </c>
      <c r="BJ109" s="596">
        <v>1.2232065616448326E-6</v>
      </c>
      <c r="BK109" s="1159">
        <v>1.2232065616448326E-6</v>
      </c>
      <c r="BL109" s="1159">
        <v>1.2232065616448326E-6</v>
      </c>
      <c r="BM109" s="1159">
        <v>1.2232065616448326E-6</v>
      </c>
      <c r="BN109" s="1159">
        <v>1.2232065616448326E-6</v>
      </c>
      <c r="BO109" s="1159">
        <v>1.2232065616448326E-6</v>
      </c>
      <c r="BP109" s="1159">
        <v>1.2232065616448326E-6</v>
      </c>
      <c r="BQ109" s="1159">
        <v>1.2232065616448326E-6</v>
      </c>
      <c r="BR109" s="1159">
        <v>1.2232065616448326E-6</v>
      </c>
      <c r="BS109" s="1159">
        <v>1.2232065616448326E-6</v>
      </c>
      <c r="BT109" s="1448">
        <f t="array" ref="BT109">$Z109  * (1 + SUM( ($AU$80:$AU$83=BT$93) * ($BH$79:$BP$79=BT$94) * ($BH$80:$BP$83) ))</f>
        <v>0.72025200574009995</v>
      </c>
      <c r="BU109" s="1448">
        <f t="array" ref="BU109">$Z109  * (1 + SUM( ($AU$80:$AU$83=BU$93) * ($BH$79:$BP$79=BU$94) * ($BH$80:$BP$83) ))</f>
        <v>0.72077777188992875</v>
      </c>
      <c r="BV109" s="1448">
        <f t="array" ref="BV109">$Z109  * (1 + SUM( ($AU$80:$AU$83=BV$93) * ($BH$79:$BP$79=BV$94) * ($BH$80:$BP$83) ))</f>
        <v>0.72162288667983376</v>
      </c>
      <c r="BW109" s="1448">
        <f t="array" ref="BW109">$Z109  * (1 + SUM( ($AU$80:$AU$83=BW$93) * ($BH$79:$BP$79=BW$94) * ($BH$80:$BP$83) ))</f>
        <v>0.72279763077105375</v>
      </c>
      <c r="BX109" s="1448">
        <f t="array" ref="BX109">$Z109  * (1 + SUM( ($AU$80:$AU$83=BX$93) * ($BH$79:$BP$79=BX$94) * ($BH$80:$BP$83) ))</f>
        <v>0.72413901526905833</v>
      </c>
      <c r="BY109" s="1448">
        <f t="array" ref="BY109">$Z109  * (1 + SUM( ($AU$80:$AU$83=BY$93) * ($BH$79:$BP$79=BY$94) * ($BH$80:$BP$83) ))</f>
        <v>0.72536612436083947</v>
      </c>
      <c r="BZ109" s="1448">
        <f t="array" ref="BZ109">$Z109  * (1 + SUM( ($AU$80:$AU$83=BZ$93) * ($BH$79:$BP$79=BZ$94) * ($BH$80:$BP$83) ))</f>
        <v>0.72628098027165311</v>
      </c>
      <c r="CA109" s="1448">
        <f t="array" ref="CA109">$Z109  * (1 + SUM( ($AU$80:$AU$83=CA$93) * ($BH$79:$BP$79=CA$94) * ($BH$80:$BP$83) ))</f>
        <v>0.72686430085229736</v>
      </c>
      <c r="CB109" s="1448">
        <f t="array" ref="CB109">$Z109  * (1 + SUM( ($AU$80:$AU$83=CB$93) * ($BH$79:$BP$79=CB$94) * ($BH$80:$BP$83) ))</f>
        <v>0.72719999999999996</v>
      </c>
      <c r="CC109" s="1444">
        <f t="array" ref="CC109">$Z109  * (1 + SUM( ($AU$80:$AU$83=CC$93) * ($BH$79:$BP$79=CC$94) * ($BH$80:$BP$83) ))</f>
        <v>0.72378008610149946</v>
      </c>
      <c r="CD109" s="1444">
        <f t="array" ref="CD109">$Z109  * (1 + SUM( ($AU$80:$AU$83=CD$93) * ($BH$79:$BP$79=CD$94) * ($BH$80:$BP$83) ))</f>
        <v>0.73166657834893245</v>
      </c>
      <c r="CE109" s="1444">
        <f t="array" ref="CE109">$Z109  * (1 + SUM( ($AU$80:$AU$83=CE$93) * ($BH$79:$BP$79=CE$94) * ($BH$80:$BP$83) ))</f>
        <v>0.74434330019750716</v>
      </c>
      <c r="CF109" s="1444">
        <f t="array" ref="CF109">$Z109  * (1 + SUM( ($AU$80:$AU$83=CF$93) * ($BH$79:$BP$79=CF$94) * ($BH$80:$BP$83) ))</f>
        <v>0.76196446156580744</v>
      </c>
      <c r="CG109" s="1444">
        <f t="array" ref="CG109">$Z109  * (1 + SUM( ($AU$80:$AU$83=CG$93) * ($BH$79:$BP$79=CG$94) * ($BH$80:$BP$83) ))</f>
        <v>0.78208522903587496</v>
      </c>
      <c r="CH109" s="1444">
        <f t="array" ref="CH109">$Z109  * (1 + SUM( ($AU$80:$AU$83=CH$93) * ($BH$79:$BP$79=CH$94) * ($BH$80:$BP$83) ))</f>
        <v>0.80049186541259199</v>
      </c>
      <c r="CI109" s="1444">
        <f t="array" ref="CI109">$Z109  * (1 + SUM( ($AU$80:$AU$83=CI$93) * ($BH$79:$BP$79=CI$94) * ($BH$80:$BP$83) ))</f>
        <v>0.81421470407479868</v>
      </c>
      <c r="CJ109" s="1444">
        <f t="array" ref="CJ109">$Z109  * (1 + SUM( ($AU$80:$AU$83=CJ$93) * ($BH$79:$BP$79=CJ$94) * ($BH$80:$BP$83) ))</f>
        <v>0.82296451278446048</v>
      </c>
      <c r="CK109" s="1444">
        <f t="array" ref="CK109">$Z109  * (1 + SUM( ($AU$80:$AU$83=CK$93) * ($BH$79:$BP$79=CK$94) * ($BH$80:$BP$83) ))</f>
        <v>0.82799999999999996</v>
      </c>
      <c r="CL109" s="1445">
        <f t="array" ref="CL109">$Z109  * (1 + SUM( ($AU$80:$AU$83=CL$93) * ($BH$79:$BP$79=CL$94) * ($BH$80:$BP$83) ))</f>
        <v>0.72756017220299896</v>
      </c>
      <c r="CM109" s="1445">
        <f t="array" ref="CM109">$Z109  * (1 + SUM( ($AU$80:$AU$83=CM$93) * ($BH$79:$BP$79=CM$94) * ($BH$80:$BP$83) ))</f>
        <v>0.74333315669786504</v>
      </c>
      <c r="CN109" s="1445">
        <f t="array" ref="CN109">$Z109  * (1 + SUM( ($AU$80:$AU$83=CN$93) * ($BH$79:$BP$79=CN$94) * ($BH$80:$BP$83) ))</f>
        <v>0.76868660039501435</v>
      </c>
      <c r="CO109" s="1445">
        <f t="array" ref="CO109">$Z109  * (1 + SUM( ($AU$80:$AU$83=CO$93) * ($BH$79:$BP$79=CO$94) * ($BH$80:$BP$83) ))</f>
        <v>0.80392892313161468</v>
      </c>
      <c r="CP109" s="1445">
        <f t="array" ref="CP109">$Z109  * (1 + SUM( ($AU$80:$AU$83=CP$93) * ($BH$79:$BP$79=CP$94) * ($BH$80:$BP$83) ))</f>
        <v>0.84417045807175017</v>
      </c>
      <c r="CQ109" s="1445">
        <f t="array" ref="CQ109">$Z109  * (1 + SUM( ($AU$80:$AU$83=CQ$93) * ($BH$79:$BP$79=CQ$94) * ($BH$80:$BP$83) ))</f>
        <v>0.88098373082518389</v>
      </c>
      <c r="CR109" s="1445">
        <f t="array" ref="CR109">$Z109  * (1 + SUM( ($AU$80:$AU$83=CR$93) * ($BH$79:$BP$79=CR$94) * ($BH$80:$BP$83) ))</f>
        <v>0.90842940814959761</v>
      </c>
      <c r="CS109" s="1445">
        <f t="array" ref="CS109">$Z109  * (1 + SUM( ($AU$80:$AU$83=CS$93) * ($BH$79:$BP$79=CS$94) * ($BH$80:$BP$83) ))</f>
        <v>0.92592902556892098</v>
      </c>
      <c r="CT109" s="1445">
        <f t="array" ref="CT109">$Z109  * (1 + SUM( ($AU$80:$AU$83=CT$93) * ($BH$79:$BP$79=CT$94) * ($BH$80:$BP$83) ))</f>
        <v>0.93599999999999994</v>
      </c>
      <c r="CU109" s="1444">
        <f t="array" ref="CU109">$Z109  * (1 + SUM( ($AU$80:$AU$83=CU$93) * ($BH$79:$BP$79=CU$94) * ($BH$80:$BP$83) ))</f>
        <v>0.73008022960399865</v>
      </c>
      <c r="CV109" s="1444">
        <f t="array" ref="CV109">$Z109  * (1 + SUM( ($AU$80:$AU$83=CV$93) * ($BH$79:$BP$79=CV$94) * ($BH$80:$BP$83) ))</f>
        <v>0.75111087559715328</v>
      </c>
      <c r="CW109" s="1446">
        <f t="array" ref="CW109">$Z109  * (1 + SUM( ($AU$80:$AU$83=CW$93) * ($BH$79:$BP$79=CW$94) * ($BH$80:$BP$83) ))</f>
        <v>0.78491546719335237</v>
      </c>
      <c r="CX109" s="1446">
        <f t="array" ref="CX109">$Z109  * (1 + SUM( ($AU$80:$AU$83=CX$93) * ($BH$79:$BP$79=CX$94) * ($BH$80:$BP$83) ))</f>
        <v>0.83190523084215307</v>
      </c>
      <c r="CY109" s="1446">
        <f t="array" ref="CY109">$Z109  * (1 + SUM( ($AU$80:$AU$83=CY$93) * ($BH$79:$BP$79=CY$94) * ($BH$80:$BP$83) ))</f>
        <v>0.8855606107623335</v>
      </c>
      <c r="CZ109" s="1444">
        <f t="array" ref="CZ109">$Z109  * (1 + SUM( ($AU$80:$AU$83=CZ$93) * ($BH$79:$BP$79=CZ$94) * ($BH$80:$BP$83) ))</f>
        <v>0.93464497443357852</v>
      </c>
      <c r="DA109" s="1444">
        <f t="array" ref="DA109">$Z109  * (1 + SUM( ($AU$80:$AU$83=DA$93) * ($BH$79:$BP$79=DA$94) * ($BH$80:$BP$83) ))</f>
        <v>0.97123921086613019</v>
      </c>
      <c r="DB109" s="1444">
        <f t="array" ref="DB109">$Z109  * (1 + SUM( ($AU$80:$AU$83=DB$93) * ($BH$79:$BP$79=DB$94) * ($BH$80:$BP$83) ))</f>
        <v>0.99457203409189476</v>
      </c>
      <c r="DC109" s="1444">
        <f t="array" ref="DC109">$Z109  * (1 + SUM( ($AU$80:$AU$83=DC$93) * ($BH$79:$BP$79=DC$94) * ($BH$80:$BP$83) ))</f>
        <v>1.008</v>
      </c>
    </row>
    <row r="110" spans="1:107">
      <c r="A110" s="1167" t="s">
        <v>1264</v>
      </c>
      <c r="B110" s="1167" t="s">
        <v>1263</v>
      </c>
      <c r="C110" s="1166" t="s">
        <v>1030</v>
      </c>
      <c r="D110" s="1166" t="s">
        <v>982</v>
      </c>
      <c r="E110" s="577">
        <v>0.76</v>
      </c>
      <c r="F110" s="574">
        <v>0.56299999999999994</v>
      </c>
      <c r="G110" s="576">
        <v>100</v>
      </c>
      <c r="H110" s="574">
        <v>0</v>
      </c>
      <c r="J110" s="575">
        <v>1</v>
      </c>
      <c r="K110" s="574">
        <v>0</v>
      </c>
      <c r="L110" s="574">
        <v>0</v>
      </c>
      <c r="M110" s="1164"/>
      <c r="N110" s="1168"/>
      <c r="O110" s="1164"/>
      <c r="P110" s="1160">
        <v>0</v>
      </c>
      <c r="Q110" s="572">
        <v>0.05</v>
      </c>
      <c r="R110" s="572">
        <v>0.25</v>
      </c>
      <c r="S110" s="572">
        <v>0.5</v>
      </c>
      <c r="T110" s="1164"/>
      <c r="U110" s="573">
        <v>0</v>
      </c>
      <c r="V110" s="572">
        <v>0</v>
      </c>
      <c r="W110" s="572">
        <v>0</v>
      </c>
      <c r="X110" s="572">
        <v>0</v>
      </c>
      <c r="Y110" s="1164"/>
      <c r="Z110" s="573">
        <v>0.76</v>
      </c>
      <c r="AA110" s="572">
        <v>0.76</v>
      </c>
      <c r="AB110" s="572">
        <v>0.76</v>
      </c>
      <c r="AC110" s="572">
        <v>0.76</v>
      </c>
      <c r="AD110" s="572">
        <v>0.76</v>
      </c>
      <c r="AE110" s="572">
        <v>0.76</v>
      </c>
      <c r="AF110" s="572">
        <v>0.76</v>
      </c>
      <c r="AG110" s="1164"/>
      <c r="AH110" s="1163">
        <v>15</v>
      </c>
      <c r="AI110" s="1162" t="str">
        <f t="shared" si="13"/>
        <v>MISELC</v>
      </c>
      <c r="AJ110" s="1182">
        <v>0</v>
      </c>
      <c r="AK110" s="1160">
        <v>0</v>
      </c>
      <c r="AL110" s="1160">
        <v>0</v>
      </c>
      <c r="AM110" s="1160">
        <v>0</v>
      </c>
      <c r="AN110" s="1160">
        <v>0</v>
      </c>
      <c r="AO110" s="1160">
        <v>0</v>
      </c>
      <c r="AP110" s="1160">
        <v>0</v>
      </c>
      <c r="AQ110" s="1160">
        <v>0</v>
      </c>
      <c r="AR110" s="1160">
        <v>0</v>
      </c>
      <c r="AS110" s="1181">
        <v>0</v>
      </c>
      <c r="AT110" s="1159">
        <v>0</v>
      </c>
      <c r="AU110" s="1159">
        <v>0</v>
      </c>
      <c r="AV110" s="1159">
        <v>0</v>
      </c>
      <c r="AW110" s="1159">
        <v>0</v>
      </c>
      <c r="AX110" s="1159">
        <v>0</v>
      </c>
      <c r="AY110" s="1159">
        <v>0</v>
      </c>
      <c r="AZ110" s="1159">
        <v>0</v>
      </c>
      <c r="BA110" s="1159">
        <v>0</v>
      </c>
      <c r="BB110" s="596">
        <v>0</v>
      </c>
      <c r="BC110" s="596">
        <v>0</v>
      </c>
      <c r="BD110" s="596">
        <v>0</v>
      </c>
      <c r="BE110" s="596">
        <v>0</v>
      </c>
      <c r="BF110" s="596">
        <v>0</v>
      </c>
      <c r="BG110" s="596">
        <v>0</v>
      </c>
      <c r="BH110" s="596">
        <v>0</v>
      </c>
      <c r="BI110" s="596">
        <v>0</v>
      </c>
      <c r="BJ110" s="596">
        <v>0</v>
      </c>
      <c r="BK110" s="1159">
        <v>0</v>
      </c>
      <c r="BL110" s="1159">
        <v>0</v>
      </c>
      <c r="BM110" s="1159">
        <v>0</v>
      </c>
      <c r="BN110" s="1159">
        <v>0</v>
      </c>
      <c r="BO110" s="1159">
        <v>0</v>
      </c>
      <c r="BP110" s="1159">
        <v>0</v>
      </c>
      <c r="BQ110" s="1159">
        <v>0</v>
      </c>
      <c r="BR110" s="1159">
        <v>0</v>
      </c>
      <c r="BS110" s="1159">
        <v>0</v>
      </c>
      <c r="BT110" s="1448">
        <f t="array" ref="BT110">$Z110  * (1 + SUM( ($AU$80:$AU$83=BT$93) * ($BH$79:$BP$79=BT$94) * ($BH$80:$BP$83) ))</f>
        <v>0.76026600605899441</v>
      </c>
      <c r="BU110" s="1448">
        <f t="array" ref="BU110">$Z110  * (1 + SUM( ($AU$80:$AU$83=BU$93) * ($BH$79:$BP$79=BU$94) * ($BH$80:$BP$83) ))</f>
        <v>0.76082098143936938</v>
      </c>
      <c r="BV110" s="1448">
        <f t="array" ref="BV110">$Z110  * (1 + SUM( ($AU$80:$AU$83=BV$93) * ($BH$79:$BP$79=BV$94) * ($BH$80:$BP$83) ))</f>
        <v>0.76171304705093568</v>
      </c>
      <c r="BW110" s="1448">
        <f t="array" ref="BW110">$Z110  * (1 + SUM( ($AU$80:$AU$83=BW$93) * ($BH$79:$BP$79=BW$94) * ($BH$80:$BP$83) ))</f>
        <v>0.76295305470277908</v>
      </c>
      <c r="BX110" s="1448">
        <f t="array" ref="BX110">$Z110  * (1 + SUM( ($AU$80:$AU$83=BX$93) * ($BH$79:$BP$79=BX$94) * ($BH$80:$BP$83) ))</f>
        <v>0.76436896056178383</v>
      </c>
      <c r="BY110" s="1448">
        <f t="array" ref="BY110">$Z110  * (1 + SUM( ($AU$80:$AU$83=BY$93) * ($BH$79:$BP$79=BY$94) * ($BH$80:$BP$83) ))</f>
        <v>0.76566424238088615</v>
      </c>
      <c r="BZ110" s="1448">
        <f t="array" ref="BZ110">$Z110  * (1 + SUM( ($AU$80:$AU$83=BZ$93) * ($BH$79:$BP$79=BZ$94) * ($BH$80:$BP$83) ))</f>
        <v>0.76662992362007842</v>
      </c>
      <c r="CA110" s="1448">
        <f t="array" ref="CA110">$Z110  * (1 + SUM( ($AU$80:$AU$83=CA$93) * ($BH$79:$BP$79=CA$94) * ($BH$80:$BP$83) ))</f>
        <v>0.76724565089964725</v>
      </c>
      <c r="CB110" s="1448">
        <f t="array" ref="CB110">$Z110  * (1 + SUM( ($AU$80:$AU$83=CB$93) * ($BH$79:$BP$79=CB$94) * ($BH$80:$BP$83) ))</f>
        <v>0.76760000000000006</v>
      </c>
      <c r="CC110" s="1444">
        <f t="array" ref="CC110">$Z110  * (1 + SUM( ($AU$80:$AU$83=CC$93) * ($BH$79:$BP$79=CC$94) * ($BH$80:$BP$83) ))</f>
        <v>0.76399009088491621</v>
      </c>
      <c r="CD110" s="1444">
        <f t="array" ref="CD110">$Z110  * (1 + SUM( ($AU$80:$AU$83=CD$93) * ($BH$79:$BP$79=CD$94) * ($BH$80:$BP$83) ))</f>
        <v>0.77231472159053982</v>
      </c>
      <c r="CE110" s="1444">
        <f t="array" ref="CE110">$Z110  * (1 + SUM( ($AU$80:$AU$83=CE$93) * ($BH$79:$BP$79=CE$94) * ($BH$80:$BP$83) ))</f>
        <v>0.78569570576403536</v>
      </c>
      <c r="CF110" s="1444">
        <f t="array" ref="CF110">$Z110  * (1 + SUM( ($AU$80:$AU$83=CF$93) * ($BH$79:$BP$79=CF$94) * ($BH$80:$BP$83) ))</f>
        <v>0.80429582054168558</v>
      </c>
      <c r="CG110" s="1444">
        <f t="array" ref="CG110">$Z110  * (1 + SUM( ($AU$80:$AU$83=CG$93) * ($BH$79:$BP$79=CG$94) * ($BH$80:$BP$83) ))</f>
        <v>0.82553440842675696</v>
      </c>
      <c r="CH110" s="1444">
        <f t="array" ref="CH110">$Z110  * (1 + SUM( ($AU$80:$AU$83=CH$93) * ($BH$79:$BP$79=CH$94) * ($BH$80:$BP$83) ))</f>
        <v>0.84496363571329147</v>
      </c>
      <c r="CI110" s="1444">
        <f t="array" ref="CI110">$Z110  * (1 + SUM( ($AU$80:$AU$83=CI$93) * ($BH$79:$BP$79=CI$94) * ($BH$80:$BP$83) ))</f>
        <v>0.85944885430117646</v>
      </c>
      <c r="CJ110" s="1444">
        <f t="array" ref="CJ110">$Z110  * (1 + SUM( ($AU$80:$AU$83=CJ$93) * ($BH$79:$BP$79=CJ$94) * ($BH$80:$BP$83) ))</f>
        <v>0.86868476349470836</v>
      </c>
      <c r="CK110" s="1444">
        <f t="array" ref="CK110">$Z110  * (1 + SUM( ($AU$80:$AU$83=CK$93) * ($BH$79:$BP$79=CK$94) * ($BH$80:$BP$83) ))</f>
        <v>0.87399999999999989</v>
      </c>
      <c r="CL110" s="1445">
        <f t="array" ref="CL110">$Z110  * (1 + SUM( ($AU$80:$AU$83=CL$93) * ($BH$79:$BP$79=CL$94) * ($BH$80:$BP$83) ))</f>
        <v>0.76798018176983229</v>
      </c>
      <c r="CM110" s="1445">
        <f t="array" ref="CM110">$Z110  * (1 + SUM( ($AU$80:$AU$83=CM$93) * ($BH$79:$BP$79=CM$94) * ($BH$80:$BP$83) ))</f>
        <v>0.78462944318107974</v>
      </c>
      <c r="CN110" s="1445">
        <f t="array" ref="CN110">$Z110  * (1 + SUM( ($AU$80:$AU$83=CN$93) * ($BH$79:$BP$79=CN$94) * ($BH$80:$BP$83) ))</f>
        <v>0.81139141152807071</v>
      </c>
      <c r="CO110" s="1445">
        <f t="array" ref="CO110">$Z110  * (1 + SUM( ($AU$80:$AU$83=CO$93) * ($BH$79:$BP$79=CO$94) * ($BH$80:$BP$83) ))</f>
        <v>0.84859164108337104</v>
      </c>
      <c r="CP110" s="1445">
        <f t="array" ref="CP110">$Z110  * (1 + SUM( ($AU$80:$AU$83=CP$93) * ($BH$79:$BP$79=CP$94) * ($BH$80:$BP$83) ))</f>
        <v>0.89106881685351402</v>
      </c>
      <c r="CQ110" s="1445">
        <f t="array" ref="CQ110">$Z110  * (1 + SUM( ($AU$80:$AU$83=CQ$93) * ($BH$79:$BP$79=CQ$94) * ($BH$80:$BP$83) ))</f>
        <v>0.92992727142658305</v>
      </c>
      <c r="CR110" s="1445">
        <f t="array" ref="CR110">$Z110  * (1 + SUM( ($AU$80:$AU$83=CR$93) * ($BH$79:$BP$79=CR$94) * ($BH$80:$BP$83) ))</f>
        <v>0.95889770860235302</v>
      </c>
      <c r="CS110" s="1445">
        <f t="array" ref="CS110">$Z110  * (1 + SUM( ($AU$80:$AU$83=CS$93) * ($BH$79:$BP$79=CS$94) * ($BH$80:$BP$83) ))</f>
        <v>0.9773695269894167</v>
      </c>
      <c r="CT110" s="1445">
        <f t="array" ref="CT110">$Z110  * (1 + SUM( ($AU$80:$AU$83=CT$93) * ($BH$79:$BP$79=CT$94) * ($BH$80:$BP$83) ))</f>
        <v>0.9880000000000001</v>
      </c>
      <c r="CU110" s="1444">
        <f t="array" ref="CU110">$Z110  * (1 + SUM( ($AU$80:$AU$83=CU$93) * ($BH$79:$BP$79=CU$94) * ($BH$80:$BP$83) ))</f>
        <v>0.77064024235977646</v>
      </c>
      <c r="CV110" s="1444">
        <f t="array" ref="CV110">$Z110  * (1 + SUM( ($AU$80:$AU$83=CV$93) * ($BH$79:$BP$79=CV$94) * ($BH$80:$BP$83) ))</f>
        <v>0.79283925757477292</v>
      </c>
      <c r="CW110" s="1446">
        <f t="array" ref="CW110">$Z110  * (1 + SUM( ($AU$80:$AU$83=CW$93) * ($BH$79:$BP$79=CW$94) * ($BH$80:$BP$83) ))</f>
        <v>0.8285218820374276</v>
      </c>
      <c r="CX110" s="1446">
        <f t="array" ref="CX110">$Z110  * (1 + SUM( ($AU$80:$AU$83=CX$93) * ($BH$79:$BP$79=CX$94) * ($BH$80:$BP$83) ))</f>
        <v>0.87812218811116161</v>
      </c>
      <c r="CY110" s="1446">
        <f t="array" ref="CY110">$Z110  * (1 + SUM( ($AU$80:$AU$83=CY$93) * ($BH$79:$BP$79=CY$94) * ($BH$80:$BP$83) ))</f>
        <v>0.9347584224713521</v>
      </c>
      <c r="CZ110" s="1444">
        <f t="array" ref="CZ110">$Z110  * (1 + SUM( ($AU$80:$AU$83=CZ$93) * ($BH$79:$BP$79=CZ$94) * ($BH$80:$BP$83) ))</f>
        <v>0.98656969523544402</v>
      </c>
      <c r="DA110" s="1444">
        <f t="array" ref="DA110">$Z110  * (1 + SUM( ($AU$80:$AU$83=DA$93) * ($BH$79:$BP$79=DA$94) * ($BH$80:$BP$83) ))</f>
        <v>1.0251969448031375</v>
      </c>
      <c r="DB110" s="1444">
        <f t="array" ref="DB110">$Z110  * (1 + SUM( ($AU$80:$AU$83=DB$93) * ($BH$79:$BP$79=DB$94) * ($BH$80:$BP$83) ))</f>
        <v>1.0498260359858889</v>
      </c>
      <c r="DC110" s="1444">
        <f t="array" ref="DC110">$Z110  * (1 + SUM( ($AU$80:$AU$83=DC$93) * ($BH$79:$BP$79=DC$94) * ($BH$80:$BP$83) ))</f>
        <v>1.0639999999999998</v>
      </c>
    </row>
    <row r="111" spans="1:107">
      <c r="A111" s="585" t="s">
        <v>1262</v>
      </c>
      <c r="B111" s="585" t="s">
        <v>1261</v>
      </c>
      <c r="C111" s="584" t="s">
        <v>1027</v>
      </c>
      <c r="D111" s="584" t="s">
        <v>982</v>
      </c>
      <c r="E111" s="538">
        <v>0.6</v>
      </c>
      <c r="F111" s="540">
        <v>0.56299999999999994</v>
      </c>
      <c r="G111" s="539">
        <v>100</v>
      </c>
      <c r="H111" s="540">
        <v>0</v>
      </c>
      <c r="I111" s="580"/>
      <c r="J111" s="541">
        <v>1</v>
      </c>
      <c r="K111" s="540">
        <v>0</v>
      </c>
      <c r="L111" s="540">
        <v>0</v>
      </c>
      <c r="M111" s="580"/>
      <c r="N111" s="594"/>
      <c r="O111" s="580"/>
      <c r="P111" s="583">
        <v>0</v>
      </c>
      <c r="Q111" s="581">
        <v>0.05</v>
      </c>
      <c r="R111" s="581">
        <v>0.25</v>
      </c>
      <c r="S111" s="581">
        <v>0.5</v>
      </c>
      <c r="T111" s="580"/>
      <c r="U111" s="582">
        <v>0</v>
      </c>
      <c r="V111" s="581">
        <v>0</v>
      </c>
      <c r="W111" s="581">
        <v>0</v>
      </c>
      <c r="X111" s="581">
        <v>0</v>
      </c>
      <c r="Y111" s="580"/>
      <c r="Z111" s="582">
        <v>0.7</v>
      </c>
      <c r="AA111" s="581">
        <v>0.7</v>
      </c>
      <c r="AB111" s="581">
        <v>0.7</v>
      </c>
      <c r="AC111" s="581">
        <v>0.7</v>
      </c>
      <c r="AD111" s="581">
        <v>0.7</v>
      </c>
      <c r="AE111" s="581">
        <v>0.7</v>
      </c>
      <c r="AF111" s="581">
        <v>0.7</v>
      </c>
      <c r="AG111" s="580"/>
      <c r="AH111" s="1163">
        <v>16</v>
      </c>
      <c r="AI111" s="1162" t="str">
        <f t="shared" si="13"/>
        <v>MISWAS</v>
      </c>
      <c r="AJ111" s="1182">
        <v>0</v>
      </c>
      <c r="AK111" s="1160">
        <v>0</v>
      </c>
      <c r="AL111" s="1160">
        <v>0</v>
      </c>
      <c r="AM111" s="1160">
        <v>0</v>
      </c>
      <c r="AN111" s="1160">
        <v>0</v>
      </c>
      <c r="AO111" s="1160">
        <v>0</v>
      </c>
      <c r="AP111" s="1160">
        <v>0</v>
      </c>
      <c r="AQ111" s="1160">
        <v>0</v>
      </c>
      <c r="AR111" s="1160">
        <v>0</v>
      </c>
      <c r="AS111" s="1181">
        <v>0</v>
      </c>
      <c r="AT111" s="1181">
        <v>0</v>
      </c>
      <c r="AU111" s="1181">
        <v>0</v>
      </c>
      <c r="AV111" s="1181">
        <v>0</v>
      </c>
      <c r="AW111" s="1181">
        <v>0</v>
      </c>
      <c r="AX111" s="1181">
        <v>0</v>
      </c>
      <c r="AY111" s="1181">
        <v>0</v>
      </c>
      <c r="AZ111" s="1181">
        <v>0</v>
      </c>
      <c r="BA111" s="1181">
        <v>0</v>
      </c>
      <c r="BB111" s="596">
        <v>0</v>
      </c>
      <c r="BC111" s="596">
        <v>0</v>
      </c>
      <c r="BD111" s="596">
        <v>0</v>
      </c>
      <c r="BE111" s="596">
        <v>0</v>
      </c>
      <c r="BF111" s="596">
        <v>0</v>
      </c>
      <c r="BG111" s="596">
        <v>0</v>
      </c>
      <c r="BH111" s="596">
        <v>0</v>
      </c>
      <c r="BI111" s="596">
        <v>0</v>
      </c>
      <c r="BJ111" s="596">
        <v>0</v>
      </c>
      <c r="BK111" s="1159">
        <v>0</v>
      </c>
      <c r="BL111" s="1159">
        <v>0</v>
      </c>
      <c r="BM111" s="1159">
        <v>0</v>
      </c>
      <c r="BN111" s="1159">
        <v>0</v>
      </c>
      <c r="BO111" s="1159">
        <v>0</v>
      </c>
      <c r="BP111" s="1159">
        <v>0</v>
      </c>
      <c r="BQ111" s="1159">
        <v>0</v>
      </c>
      <c r="BR111" s="1159">
        <v>0</v>
      </c>
      <c r="BS111" s="1159">
        <v>0</v>
      </c>
      <c r="BT111" s="1448">
        <f t="array" ref="BT111">$Z111  * (1 + SUM( ($AU$80:$AU$83=BT$93) * ($BH$79:$BP$79=BT$94) * ($BH$80:$BP$83) ))</f>
        <v>0.70024500558065272</v>
      </c>
      <c r="BU111" s="1448">
        <f t="array" ref="BU111">$Z111  * (1 + SUM( ($AU$80:$AU$83=BU$93) * ($BH$79:$BP$79=BU$94) * ($BH$80:$BP$83) ))</f>
        <v>0.70075616711520849</v>
      </c>
      <c r="BV111" s="1448">
        <f t="array" ref="BV111">$Z111  * (1 + SUM( ($AU$80:$AU$83=BV$93) * ($BH$79:$BP$79=BV$94) * ($BH$80:$BP$83) ))</f>
        <v>0.70157780649428281</v>
      </c>
      <c r="BW111" s="1448">
        <f t="array" ref="BW111">$Z111  * (1 + SUM( ($AU$80:$AU$83=BW$93) * ($BH$79:$BP$79=BW$94) * ($BH$80:$BP$83) ))</f>
        <v>0.70271991880519113</v>
      </c>
      <c r="BX111" s="1448">
        <f t="array" ref="BX111">$Z111  * (1 + SUM( ($AU$80:$AU$83=BX$93) * ($BH$79:$BP$79=BX$94) * ($BH$80:$BP$83) ))</f>
        <v>0.70402404262269558</v>
      </c>
      <c r="BY111" s="1448">
        <f t="array" ref="BY111">$Z111  * (1 + SUM( ($AU$80:$AU$83=BY$93) * ($BH$79:$BP$79=BY$94) * ($BH$80:$BP$83) ))</f>
        <v>0.70521706535081619</v>
      </c>
      <c r="BZ111" s="1448">
        <f t="array" ref="BZ111">$Z111  * (1 + SUM( ($AU$80:$AU$83=BZ$93) * ($BH$79:$BP$79=BZ$94) * ($BH$80:$BP$83) ))</f>
        <v>0.70610650859744051</v>
      </c>
      <c r="CA111" s="1448">
        <f t="array" ref="CA111">$Z111  * (1 + SUM( ($AU$80:$AU$83=CA$93) * ($BH$79:$BP$79=CA$94) * ($BH$80:$BP$83) ))</f>
        <v>0.70667362582862236</v>
      </c>
      <c r="CB111" s="1448">
        <f t="array" ref="CB111">$Z111  * (1 + SUM( ($AU$80:$AU$83=CB$93) * ($BH$79:$BP$79=CB$94) * ($BH$80:$BP$83) ))</f>
        <v>0.70699999999999996</v>
      </c>
      <c r="CC111" s="1444">
        <f t="array" ref="CC111">$Z111  * (1 + SUM( ($AU$80:$AU$83=CC$93) * ($BH$79:$BP$79=CC$94) * ($BH$80:$BP$83) ))</f>
        <v>0.70367508370979115</v>
      </c>
      <c r="CD111" s="1444">
        <f t="array" ref="CD111">$Z111  * (1 + SUM( ($AU$80:$AU$83=CD$93) * ($BH$79:$BP$79=CD$94) * ($BH$80:$BP$83) ))</f>
        <v>0.71134250672812871</v>
      </c>
      <c r="CE111" s="1444">
        <f t="array" ref="CE111">$Z111  * (1 + SUM( ($AU$80:$AU$83=CE$93) * ($BH$79:$BP$79=CE$94) * ($BH$80:$BP$83) ))</f>
        <v>0.72366709741424307</v>
      </c>
      <c r="CF111" s="1444">
        <f t="array" ref="CF111">$Z111  * (1 + SUM( ($AU$80:$AU$83=CF$93) * ($BH$79:$BP$79=CF$94) * ($BH$80:$BP$83) ))</f>
        <v>0.74079878207786831</v>
      </c>
      <c r="CG111" s="1444">
        <f t="array" ref="CG111">$Z111  * (1 + SUM( ($AU$80:$AU$83=CG$93) * ($BH$79:$BP$79=CG$94) * ($BH$80:$BP$83) ))</f>
        <v>0.76036063934043396</v>
      </c>
      <c r="CH111" s="1444">
        <f t="array" ref="CH111">$Z111  * (1 + SUM( ($AU$80:$AU$83=CH$93) * ($BH$79:$BP$79=CH$94) * ($BH$80:$BP$83) ))</f>
        <v>0.77825598026224219</v>
      </c>
      <c r="CI111" s="1444">
        <f t="array" ref="CI111">$Z111  * (1 + SUM( ($AU$80:$AU$83=CI$93) * ($BH$79:$BP$79=CI$94) * ($BH$80:$BP$83) ))</f>
        <v>0.79159762896160979</v>
      </c>
      <c r="CJ111" s="1444">
        <f t="array" ref="CJ111">$Z111  * (1 + SUM( ($AU$80:$AU$83=CJ$93) * ($BH$79:$BP$79=CJ$94) * ($BH$80:$BP$83) ))</f>
        <v>0.80010438742933654</v>
      </c>
      <c r="CK111" s="1444">
        <f t="array" ref="CK111">$Z111  * (1 + SUM( ($AU$80:$AU$83=CK$93) * ($BH$79:$BP$79=CK$94) * ($BH$80:$BP$83) ))</f>
        <v>0.80499999999999994</v>
      </c>
      <c r="CL111" s="1445">
        <f t="array" ref="CL111">$Z111  * (1 + SUM( ($AU$80:$AU$83=CL$93) * ($BH$79:$BP$79=CL$94) * ($BH$80:$BP$83) ))</f>
        <v>0.70735016741958234</v>
      </c>
      <c r="CM111" s="1445">
        <f t="array" ref="CM111">$Z111  * (1 + SUM( ($AU$80:$AU$83=CM$93) * ($BH$79:$BP$79=CM$94) * ($BH$80:$BP$83) ))</f>
        <v>0.72268501345625757</v>
      </c>
      <c r="CN111" s="1445">
        <f t="array" ref="CN111">$Z111  * (1 + SUM( ($AU$80:$AU$83=CN$93) * ($BH$79:$BP$79=CN$94) * ($BH$80:$BP$83) ))</f>
        <v>0.74733419482848618</v>
      </c>
      <c r="CO111" s="1445">
        <f t="array" ref="CO111">$Z111  * (1 + SUM( ($AU$80:$AU$83=CO$93) * ($BH$79:$BP$79=CO$94) * ($BH$80:$BP$83) ))</f>
        <v>0.78159756415573645</v>
      </c>
      <c r="CP111" s="1445">
        <f t="array" ref="CP111">$Z111  * (1 + SUM( ($AU$80:$AU$83=CP$93) * ($BH$79:$BP$79=CP$94) * ($BH$80:$BP$83) ))</f>
        <v>0.82072127868086819</v>
      </c>
      <c r="CQ111" s="1445">
        <f t="array" ref="CQ111">$Z111  * (1 + SUM( ($AU$80:$AU$83=CQ$93) * ($BH$79:$BP$79=CQ$94) * ($BH$80:$BP$83) ))</f>
        <v>0.85651196052448431</v>
      </c>
      <c r="CR111" s="1445">
        <f t="array" ref="CR111">$Z111  * (1 + SUM( ($AU$80:$AU$83=CR$93) * ($BH$79:$BP$79=CR$94) * ($BH$80:$BP$83) ))</f>
        <v>0.88319525792321985</v>
      </c>
      <c r="CS111" s="1445">
        <f t="array" ref="CS111">$Z111  * (1 + SUM( ($AU$80:$AU$83=CS$93) * ($BH$79:$BP$79=CS$94) * ($BH$80:$BP$83) ))</f>
        <v>0.90020877485867323</v>
      </c>
      <c r="CT111" s="1445">
        <f t="array" ref="CT111">$Z111  * (1 + SUM( ($AU$80:$AU$83=CT$93) * ($BH$79:$BP$79=CT$94) * ($BH$80:$BP$83) ))</f>
        <v>0.90999999999999992</v>
      </c>
      <c r="CU111" s="1444">
        <f t="array" ref="CU111">$Z111  * (1 + SUM( ($AU$80:$AU$83=CU$93) * ($BH$79:$BP$79=CU$94) * ($BH$80:$BP$83) ))</f>
        <v>0.70980022322610981</v>
      </c>
      <c r="CV111" s="1444">
        <f t="array" ref="CV111">$Z111  * (1 + SUM( ($AU$80:$AU$83=CV$93) * ($BH$79:$BP$79=CV$94) * ($BH$80:$BP$83) ))</f>
        <v>0.73024668460834341</v>
      </c>
      <c r="CW111" s="1446">
        <f t="array" ref="CW111">$Z111  * (1 + SUM( ($AU$80:$AU$83=CW$93) * ($BH$79:$BP$79=CW$94) * ($BH$80:$BP$83) ))</f>
        <v>0.7631122597713148</v>
      </c>
      <c r="CX111" s="1446">
        <f t="array" ref="CX111">$Z111  * (1 + SUM( ($AU$80:$AU$83=CX$93) * ($BH$79:$BP$79=CX$94) * ($BH$80:$BP$83) ))</f>
        <v>0.80879675220764879</v>
      </c>
      <c r="CY111" s="1446">
        <f t="array" ref="CY111">$Z111  * (1 + SUM( ($AU$80:$AU$83=CY$93) * ($BH$79:$BP$79=CY$94) * ($BH$80:$BP$83) ))</f>
        <v>0.8609617049078242</v>
      </c>
      <c r="CZ111" s="1444">
        <f t="array" ref="CZ111">$Z111  * (1 + SUM( ($AU$80:$AU$83=CZ$93) * ($BH$79:$BP$79=CZ$94) * ($BH$80:$BP$83) ))</f>
        <v>0.90868261403264572</v>
      </c>
      <c r="DA111" s="1444">
        <f t="array" ref="DA111">$Z111  * (1 + SUM( ($AU$80:$AU$83=DA$93) * ($BH$79:$BP$79=DA$94) * ($BH$80:$BP$83) ))</f>
        <v>0.94426034389762659</v>
      </c>
      <c r="DB111" s="1444">
        <f t="array" ref="DB111">$Z111  * (1 + SUM( ($AU$80:$AU$83=DB$93) * ($BH$79:$BP$79=DB$94) * ($BH$80:$BP$83) ))</f>
        <v>0.96694503314489766</v>
      </c>
      <c r="DC111" s="1444">
        <f t="array" ref="DC111">$Z111  * (1 + SUM( ($AU$80:$AU$83=DC$93) * ($BH$79:$BP$79=DC$94) * ($BH$80:$BP$83) ))</f>
        <v>0.97999999999999987</v>
      </c>
    </row>
    <row r="112" spans="1:107">
      <c r="A112" s="1167" t="s">
        <v>1260</v>
      </c>
      <c r="B112" s="1167"/>
      <c r="C112" s="1166"/>
      <c r="D112" s="1166"/>
      <c r="E112" s="577"/>
      <c r="F112" s="574">
        <v>0</v>
      </c>
      <c r="G112" s="576"/>
      <c r="H112" s="574"/>
      <c r="I112" s="1164"/>
      <c r="J112" s="575"/>
      <c r="K112" s="574"/>
      <c r="L112" s="574"/>
      <c r="M112" s="1164"/>
      <c r="N112" s="1168"/>
      <c r="O112" s="1164"/>
      <c r="P112" s="1163" t="s">
        <v>881</v>
      </c>
      <c r="Q112" s="1164"/>
      <c r="R112" s="1164"/>
      <c r="S112" s="1164"/>
      <c r="T112" s="1164"/>
      <c r="U112" s="1163" t="s">
        <v>881</v>
      </c>
      <c r="V112" s="1164"/>
      <c r="W112" s="1164"/>
      <c r="X112" s="1164"/>
      <c r="Y112" s="1164"/>
      <c r="Z112" s="1163" t="s">
        <v>881</v>
      </c>
      <c r="AA112" s="1164"/>
      <c r="AB112" s="1164"/>
      <c r="AC112" s="1164"/>
      <c r="AD112" s="1164"/>
      <c r="AE112" s="1164"/>
      <c r="AF112" s="1164"/>
      <c r="AG112" s="1164"/>
      <c r="AH112" s="1163">
        <v>17</v>
      </c>
      <c r="AI112" s="1162" t="str">
        <f t="shared" si="13"/>
        <v/>
      </c>
      <c r="AJ112" s="1163" t="s">
        <v>881</v>
      </c>
      <c r="AK112" s="1163" t="s">
        <v>881</v>
      </c>
      <c r="AL112" s="1163" t="s">
        <v>881</v>
      </c>
      <c r="AM112" s="1163" t="s">
        <v>881</v>
      </c>
      <c r="AN112" s="1163" t="s">
        <v>881</v>
      </c>
      <c r="AO112" s="1163" t="s">
        <v>881</v>
      </c>
      <c r="AP112" s="1163" t="s">
        <v>881</v>
      </c>
      <c r="AQ112" s="1163" t="s">
        <v>881</v>
      </c>
      <c r="AR112" s="1163" t="s">
        <v>881</v>
      </c>
      <c r="AS112" s="1170" t="s">
        <v>881</v>
      </c>
      <c r="AT112" s="1170" t="s">
        <v>881</v>
      </c>
      <c r="AU112" s="1170" t="s">
        <v>881</v>
      </c>
      <c r="AV112" s="1170" t="s">
        <v>881</v>
      </c>
      <c r="AW112" s="1170" t="s">
        <v>881</v>
      </c>
      <c r="AX112" s="1170" t="s">
        <v>881</v>
      </c>
      <c r="AY112" s="1170" t="s">
        <v>881</v>
      </c>
      <c r="AZ112" s="1170" t="s">
        <v>881</v>
      </c>
      <c r="BA112" s="1170" t="s">
        <v>881</v>
      </c>
      <c r="BB112" s="1170" t="s">
        <v>881</v>
      </c>
      <c r="BC112" s="1170" t="s">
        <v>881</v>
      </c>
      <c r="BD112" s="1170" t="s">
        <v>881</v>
      </c>
      <c r="BE112" s="1170" t="s">
        <v>881</v>
      </c>
      <c r="BF112" s="1170" t="s">
        <v>881</v>
      </c>
      <c r="BG112" s="1170" t="s">
        <v>881</v>
      </c>
      <c r="BH112" s="1170" t="s">
        <v>881</v>
      </c>
      <c r="BI112" s="1170" t="s">
        <v>881</v>
      </c>
      <c r="BJ112" s="1170" t="s">
        <v>881</v>
      </c>
      <c r="BK112" s="1170" t="s">
        <v>881</v>
      </c>
      <c r="BL112" s="1170" t="s">
        <v>881</v>
      </c>
      <c r="BM112" s="1170" t="s">
        <v>881</v>
      </c>
      <c r="BN112" s="1170" t="s">
        <v>881</v>
      </c>
      <c r="BO112" s="1170" t="s">
        <v>881</v>
      </c>
      <c r="BP112" s="1170" t="s">
        <v>881</v>
      </c>
      <c r="BQ112" s="1170" t="s">
        <v>881</v>
      </c>
      <c r="BR112" s="1170" t="s">
        <v>881</v>
      </c>
      <c r="BS112" s="1170" t="s">
        <v>881</v>
      </c>
      <c r="BT112" s="579"/>
      <c r="BU112" s="579"/>
      <c r="BV112" s="579"/>
      <c r="BW112" s="579"/>
      <c r="BX112" s="579"/>
      <c r="BY112" s="579"/>
      <c r="BZ112" s="579"/>
      <c r="CA112" s="579"/>
      <c r="CB112" s="579"/>
      <c r="CC112" s="578"/>
      <c r="CD112" s="578"/>
      <c r="CE112" s="578"/>
      <c r="CF112" s="578"/>
      <c r="CG112" s="578"/>
      <c r="CH112" s="578"/>
      <c r="CI112" s="578"/>
      <c r="CJ112" s="578"/>
      <c r="CK112" s="578"/>
      <c r="CL112" s="579"/>
      <c r="CM112" s="579"/>
      <c r="CN112" s="579"/>
      <c r="CO112" s="579"/>
      <c r="CP112" s="579"/>
      <c r="CQ112" s="579"/>
      <c r="CR112" s="579"/>
      <c r="CS112" s="579"/>
      <c r="CT112" s="579"/>
      <c r="CU112" s="579"/>
      <c r="CV112" s="579"/>
      <c r="CW112" s="579"/>
      <c r="CX112" s="579"/>
      <c r="CY112" s="579"/>
      <c r="CZ112" s="579"/>
      <c r="DA112" s="579"/>
      <c r="DB112" s="579"/>
      <c r="DC112" s="579"/>
    </row>
    <row r="113" spans="1:107">
      <c r="A113" s="1167" t="s">
        <v>1259</v>
      </c>
      <c r="B113" s="1167" t="s">
        <v>1258</v>
      </c>
      <c r="C113" s="1166" t="s">
        <v>1024</v>
      </c>
      <c r="D113" s="1166" t="s">
        <v>981</v>
      </c>
      <c r="E113" s="577">
        <v>1</v>
      </c>
      <c r="F113" s="574">
        <v>1</v>
      </c>
      <c r="G113" s="576">
        <v>100</v>
      </c>
      <c r="H113" s="574">
        <v>28.149155919000002</v>
      </c>
      <c r="I113" s="1164"/>
      <c r="J113" s="575">
        <v>1</v>
      </c>
      <c r="K113" s="574">
        <v>28.149155919000002</v>
      </c>
      <c r="L113" s="574">
        <v>28.149155919000002</v>
      </c>
      <c r="M113" s="1164"/>
      <c r="N113" s="1164"/>
      <c r="O113" s="1164"/>
      <c r="P113" s="1163" t="s">
        <v>881</v>
      </c>
      <c r="Q113" s="1164"/>
      <c r="R113" s="1164"/>
      <c r="S113" s="1164"/>
      <c r="T113" s="1164"/>
      <c r="U113" s="1163" t="s">
        <v>881</v>
      </c>
      <c r="V113" s="1164"/>
      <c r="W113" s="1164"/>
      <c r="X113" s="1164"/>
      <c r="Y113" s="1164"/>
      <c r="Z113" s="1163" t="s">
        <v>881</v>
      </c>
      <c r="AA113" s="1164"/>
      <c r="AB113" s="1164"/>
      <c r="AC113" s="1164"/>
      <c r="AD113" s="1164"/>
      <c r="AE113" s="1164"/>
      <c r="AF113" s="1164"/>
      <c r="AG113" s="1164"/>
      <c r="AH113" s="1163">
        <v>18</v>
      </c>
      <c r="AI113" s="1162" t="str">
        <f t="shared" si="13"/>
        <v>MIRODS</v>
      </c>
      <c r="AJ113" s="1165">
        <v>1</v>
      </c>
      <c r="AK113" s="1165">
        <v>1</v>
      </c>
      <c r="AL113" s="1165">
        <v>1</v>
      </c>
      <c r="AM113" s="1165">
        <v>1</v>
      </c>
      <c r="AN113" s="1165">
        <v>1</v>
      </c>
      <c r="AO113" s="1165">
        <v>1</v>
      </c>
      <c r="AP113" s="1165">
        <v>1</v>
      </c>
      <c r="AQ113" s="1165">
        <v>1</v>
      </c>
      <c r="AR113" s="1165">
        <v>1</v>
      </c>
      <c r="AS113" s="1165">
        <v>1</v>
      </c>
      <c r="AT113" s="1165">
        <v>1</v>
      </c>
      <c r="AU113" s="1165">
        <v>1</v>
      </c>
      <c r="AV113" s="1165">
        <v>1</v>
      </c>
      <c r="AW113" s="1165">
        <v>1</v>
      </c>
      <c r="AX113" s="1165">
        <v>1</v>
      </c>
      <c r="AY113" s="1165">
        <v>1</v>
      </c>
      <c r="AZ113" s="1165">
        <v>1</v>
      </c>
      <c r="BA113" s="1165">
        <v>1</v>
      </c>
      <c r="BB113" s="1165">
        <v>1</v>
      </c>
      <c r="BC113" s="1165">
        <v>1</v>
      </c>
      <c r="BD113" s="1165">
        <v>1</v>
      </c>
      <c r="BE113" s="1165">
        <v>1</v>
      </c>
      <c r="BF113" s="1165">
        <v>1</v>
      </c>
      <c r="BG113" s="1165">
        <v>1</v>
      </c>
      <c r="BH113" s="1165">
        <v>1</v>
      </c>
      <c r="BI113" s="1165">
        <v>1</v>
      </c>
      <c r="BJ113" s="1165">
        <v>1</v>
      </c>
      <c r="BK113" s="1165">
        <v>1</v>
      </c>
      <c r="BL113" s="1165">
        <v>1</v>
      </c>
      <c r="BM113" s="1165">
        <v>1</v>
      </c>
      <c r="BN113" s="1165">
        <v>1</v>
      </c>
      <c r="BO113" s="1165">
        <v>1</v>
      </c>
      <c r="BP113" s="1165">
        <v>1</v>
      </c>
      <c r="BQ113" s="1165">
        <v>1</v>
      </c>
      <c r="BR113" s="1165">
        <v>1</v>
      </c>
      <c r="BS113" s="1165">
        <v>1</v>
      </c>
      <c r="BT113" s="1165">
        <v>1</v>
      </c>
      <c r="BU113" s="1165">
        <v>1</v>
      </c>
      <c r="BV113" s="1165">
        <v>1</v>
      </c>
      <c r="BW113" s="1165">
        <v>1</v>
      </c>
      <c r="BX113" s="1165">
        <v>1</v>
      </c>
      <c r="BY113" s="1165">
        <v>1</v>
      </c>
      <c r="BZ113" s="1165">
        <v>1</v>
      </c>
      <c r="CA113" s="1165">
        <v>1</v>
      </c>
      <c r="CB113" s="1165">
        <v>1</v>
      </c>
      <c r="CC113" s="1165">
        <v>1</v>
      </c>
      <c r="CD113" s="1165">
        <v>1</v>
      </c>
      <c r="CE113" s="1165">
        <v>1</v>
      </c>
      <c r="CF113" s="1165">
        <v>1</v>
      </c>
      <c r="CG113" s="1165">
        <v>1</v>
      </c>
      <c r="CH113" s="1165">
        <v>1</v>
      </c>
      <c r="CI113" s="1165">
        <v>1</v>
      </c>
      <c r="CJ113" s="1165">
        <v>1</v>
      </c>
      <c r="CK113" s="1165">
        <v>1</v>
      </c>
      <c r="CL113" s="1165">
        <v>1</v>
      </c>
      <c r="CM113" s="1165">
        <v>1</v>
      </c>
      <c r="CN113" s="1165">
        <v>1</v>
      </c>
      <c r="CO113" s="1165">
        <v>1</v>
      </c>
      <c r="CP113" s="1165">
        <v>1</v>
      </c>
      <c r="CQ113" s="1165">
        <v>1</v>
      </c>
      <c r="CR113" s="1165">
        <v>1</v>
      </c>
      <c r="CS113" s="1165">
        <v>1</v>
      </c>
      <c r="CT113" s="1165">
        <v>1</v>
      </c>
      <c r="CU113" s="1165">
        <v>1</v>
      </c>
      <c r="CV113" s="1165">
        <v>1</v>
      </c>
      <c r="CW113" s="1165">
        <v>1</v>
      </c>
      <c r="CX113" s="1165">
        <v>1</v>
      </c>
      <c r="CY113" s="1165">
        <v>1</v>
      </c>
      <c r="CZ113" s="1165">
        <v>1</v>
      </c>
      <c r="DA113" s="1165">
        <v>1</v>
      </c>
      <c r="DB113" s="1165">
        <v>1</v>
      </c>
      <c r="DC113" s="1165">
        <v>1</v>
      </c>
    </row>
    <row r="114" spans="1:107" ht="52" customHeight="1" thickBot="1">
      <c r="A114" s="1180" t="s">
        <v>1064</v>
      </c>
      <c r="B114" s="1179" t="s">
        <v>796</v>
      </c>
      <c r="C114" s="1179" t="s">
        <v>797</v>
      </c>
      <c r="D114" s="1179" t="s">
        <v>798</v>
      </c>
      <c r="E114" s="1179" t="s">
        <v>385</v>
      </c>
      <c r="F114" s="1179" t="s">
        <v>799</v>
      </c>
      <c r="G114" s="1179" t="s">
        <v>800</v>
      </c>
      <c r="H114" s="1179" t="s">
        <v>801</v>
      </c>
      <c r="I114" s="1164"/>
      <c r="J114" s="1179" t="s">
        <v>803</v>
      </c>
      <c r="K114" s="1179" t="s">
        <v>804</v>
      </c>
      <c r="L114" s="1179" t="s">
        <v>805</v>
      </c>
      <c r="M114" s="1179" t="s">
        <v>806</v>
      </c>
      <c r="N114" s="1179" t="s">
        <v>877</v>
      </c>
      <c r="O114" s="1168"/>
      <c r="P114" s="1163" t="s">
        <v>881</v>
      </c>
      <c r="Q114" s="1164"/>
      <c r="R114" s="1164"/>
      <c r="S114" s="1164"/>
      <c r="T114" s="1164"/>
      <c r="U114" s="1163" t="s">
        <v>881</v>
      </c>
      <c r="V114" s="1164"/>
      <c r="W114" s="1164"/>
      <c r="X114" s="1164"/>
      <c r="Y114" s="1164"/>
      <c r="Z114" s="1163" t="s">
        <v>881</v>
      </c>
      <c r="AA114" s="1164"/>
      <c r="AB114" s="1164"/>
      <c r="AC114" s="1164"/>
      <c r="AD114" s="1164"/>
      <c r="AE114" s="1164"/>
      <c r="AF114" s="1164"/>
      <c r="AG114" s="1164"/>
      <c r="AH114" s="1163">
        <v>19</v>
      </c>
      <c r="AI114" s="1162"/>
      <c r="AJ114" s="1163" t="s">
        <v>881</v>
      </c>
      <c r="AK114" s="1163" t="s">
        <v>881</v>
      </c>
      <c r="AL114" s="1163" t="s">
        <v>881</v>
      </c>
      <c r="AM114" s="1163" t="s">
        <v>881</v>
      </c>
      <c r="AN114" s="1163" t="s">
        <v>881</v>
      </c>
      <c r="AO114" s="1163" t="s">
        <v>881</v>
      </c>
      <c r="AP114" s="1163" t="s">
        <v>881</v>
      </c>
      <c r="AQ114" s="1163" t="s">
        <v>881</v>
      </c>
      <c r="AR114" s="1163" t="s">
        <v>881</v>
      </c>
      <c r="AS114" s="1170" t="s">
        <v>881</v>
      </c>
      <c r="AT114" s="1170" t="s">
        <v>881</v>
      </c>
      <c r="AU114" s="1170" t="s">
        <v>881</v>
      </c>
      <c r="AV114" s="1170" t="s">
        <v>881</v>
      </c>
      <c r="AW114" s="1170" t="s">
        <v>881</v>
      </c>
      <c r="AX114" s="1170" t="s">
        <v>881</v>
      </c>
      <c r="AY114" s="1170" t="s">
        <v>881</v>
      </c>
      <c r="AZ114" s="1170" t="s">
        <v>881</v>
      </c>
      <c r="BA114" s="1170" t="s">
        <v>881</v>
      </c>
      <c r="BB114" s="1163" t="s">
        <v>881</v>
      </c>
      <c r="BC114" s="1163" t="s">
        <v>881</v>
      </c>
      <c r="BD114" s="1163" t="s">
        <v>881</v>
      </c>
      <c r="BE114" s="1163" t="s">
        <v>881</v>
      </c>
      <c r="BF114" s="1163" t="s">
        <v>881</v>
      </c>
      <c r="BG114" s="1163" t="s">
        <v>881</v>
      </c>
      <c r="BH114" s="1163" t="s">
        <v>881</v>
      </c>
      <c r="BI114" s="1163" t="s">
        <v>881</v>
      </c>
      <c r="BJ114" s="1163" t="s">
        <v>881</v>
      </c>
      <c r="BK114" s="1170" t="s">
        <v>881</v>
      </c>
      <c r="BL114" s="1170" t="s">
        <v>881</v>
      </c>
      <c r="BM114" s="1170" t="s">
        <v>881</v>
      </c>
      <c r="BN114" s="1170" t="s">
        <v>881</v>
      </c>
      <c r="BO114" s="1170" t="s">
        <v>881</v>
      </c>
      <c r="BP114" s="1170" t="s">
        <v>881</v>
      </c>
      <c r="BQ114" s="1170" t="s">
        <v>881</v>
      </c>
      <c r="BR114" s="1170" t="s">
        <v>881</v>
      </c>
      <c r="BS114" s="1170" t="s">
        <v>881</v>
      </c>
      <c r="CC114" s="593"/>
      <c r="CD114" s="593"/>
      <c r="CE114" s="593"/>
      <c r="CF114" s="593"/>
      <c r="CG114" s="593"/>
      <c r="CH114" s="593"/>
      <c r="CI114" s="593"/>
      <c r="CJ114" s="593"/>
      <c r="CK114" s="593"/>
      <c r="CL114" s="592"/>
      <c r="CM114" s="592"/>
      <c r="CN114" s="592"/>
      <c r="CO114" s="592"/>
      <c r="CP114" s="592"/>
      <c r="CQ114" s="592"/>
      <c r="CR114" s="592"/>
      <c r="CS114" s="592"/>
      <c r="CT114" s="592"/>
      <c r="CU114" s="592"/>
      <c r="CV114" s="592"/>
      <c r="CW114" s="592"/>
      <c r="CX114" s="592"/>
      <c r="CY114" s="592"/>
      <c r="CZ114" s="592"/>
      <c r="DA114" s="592"/>
      <c r="DB114" s="592"/>
      <c r="DC114" s="592"/>
    </row>
    <row r="115" spans="1:107">
      <c r="A115" s="1173" t="s">
        <v>807</v>
      </c>
      <c r="B115" s="1178" t="s">
        <v>1013</v>
      </c>
      <c r="C115" s="1177"/>
      <c r="D115" s="1177"/>
      <c r="E115" s="1176" t="s">
        <v>808</v>
      </c>
      <c r="F115" s="1176" t="s">
        <v>809</v>
      </c>
      <c r="G115" s="1174" t="s">
        <v>810</v>
      </c>
      <c r="H115" s="1175" t="s">
        <v>811</v>
      </c>
      <c r="I115" s="1164"/>
      <c r="J115" s="1174" t="s">
        <v>812</v>
      </c>
      <c r="K115" s="1174" t="s">
        <v>813</v>
      </c>
      <c r="L115" s="1174" t="s">
        <v>813</v>
      </c>
      <c r="M115" s="1168"/>
      <c r="N115" s="1168"/>
      <c r="O115" s="1168"/>
      <c r="P115" s="1163" t="s">
        <v>881</v>
      </c>
      <c r="Q115" s="1164"/>
      <c r="R115" s="1164"/>
      <c r="S115" s="1164"/>
      <c r="T115" s="1164"/>
      <c r="U115" s="1163" t="s">
        <v>881</v>
      </c>
      <c r="V115" s="1164"/>
      <c r="W115" s="1164"/>
      <c r="X115" s="1164"/>
      <c r="Y115" s="1164"/>
      <c r="Z115" s="1163" t="s">
        <v>881</v>
      </c>
      <c r="AA115" s="1164"/>
      <c r="AB115" s="1164"/>
      <c r="AC115" s="1164"/>
      <c r="AD115" s="1164"/>
      <c r="AE115" s="1164"/>
      <c r="AF115" s="1164"/>
      <c r="AG115" s="1164"/>
      <c r="AH115" s="1163">
        <v>20</v>
      </c>
      <c r="AI115" s="1162" t="str">
        <f>MID(D115,2,2)</f>
        <v/>
      </c>
      <c r="AJ115" s="1163" t="s">
        <v>881</v>
      </c>
      <c r="AK115" s="1163" t="s">
        <v>881</v>
      </c>
      <c r="AL115" s="1163" t="s">
        <v>881</v>
      </c>
      <c r="AM115" s="1163" t="s">
        <v>881</v>
      </c>
      <c r="AN115" s="1163" t="s">
        <v>881</v>
      </c>
      <c r="AO115" s="1163" t="s">
        <v>881</v>
      </c>
      <c r="AP115" s="1163" t="s">
        <v>881</v>
      </c>
      <c r="AQ115" s="1163" t="s">
        <v>881</v>
      </c>
      <c r="AR115" s="1163" t="s">
        <v>881</v>
      </c>
      <c r="AS115" s="1170" t="s">
        <v>881</v>
      </c>
      <c r="AT115" s="1170" t="s">
        <v>881</v>
      </c>
      <c r="AU115" s="1170" t="s">
        <v>881</v>
      </c>
      <c r="AV115" s="1170" t="s">
        <v>881</v>
      </c>
      <c r="AW115" s="1170" t="s">
        <v>881</v>
      </c>
      <c r="AX115" s="1170" t="s">
        <v>881</v>
      </c>
      <c r="AY115" s="1170" t="s">
        <v>881</v>
      </c>
      <c r="AZ115" s="1170" t="s">
        <v>881</v>
      </c>
      <c r="BA115" s="1170" t="s">
        <v>881</v>
      </c>
      <c r="BB115" s="1163" t="s">
        <v>881</v>
      </c>
      <c r="BC115" s="1163" t="s">
        <v>881</v>
      </c>
      <c r="BD115" s="1163" t="s">
        <v>881</v>
      </c>
      <c r="BE115" s="1163" t="s">
        <v>881</v>
      </c>
      <c r="BF115" s="1163" t="s">
        <v>881</v>
      </c>
      <c r="BG115" s="1163" t="s">
        <v>881</v>
      </c>
      <c r="BH115" s="1163" t="s">
        <v>881</v>
      </c>
      <c r="BI115" s="1163" t="s">
        <v>881</v>
      </c>
      <c r="BJ115" s="1163" t="s">
        <v>881</v>
      </c>
      <c r="BK115" s="1170" t="s">
        <v>881</v>
      </c>
      <c r="BL115" s="1170" t="s">
        <v>881</v>
      </c>
      <c r="BM115" s="1170" t="s">
        <v>881</v>
      </c>
      <c r="BN115" s="1170" t="s">
        <v>881</v>
      </c>
      <c r="BO115" s="1170" t="s">
        <v>881</v>
      </c>
      <c r="BP115" s="1170" t="s">
        <v>881</v>
      </c>
      <c r="BQ115" s="1170" t="s">
        <v>881</v>
      </c>
      <c r="BR115" s="1170" t="s">
        <v>881</v>
      </c>
      <c r="BS115" s="1170" t="s">
        <v>881</v>
      </c>
      <c r="CC115" s="591"/>
      <c r="CD115" s="591"/>
      <c r="CE115" s="591"/>
      <c r="CF115" s="591"/>
      <c r="CG115" s="591"/>
      <c r="CH115" s="591"/>
      <c r="CI115" s="591"/>
      <c r="CJ115" s="591"/>
      <c r="CK115" s="591"/>
      <c r="CL115" s="590"/>
      <c r="CM115" s="590"/>
      <c r="CN115" s="590"/>
      <c r="CO115" s="590"/>
      <c r="CP115" s="590"/>
      <c r="CQ115" s="590"/>
      <c r="CR115" s="590"/>
      <c r="CS115" s="590"/>
      <c r="CT115" s="590"/>
      <c r="CU115" s="590"/>
      <c r="CV115" s="590"/>
      <c r="CW115" s="590"/>
      <c r="CX115" s="590"/>
      <c r="CY115" s="590"/>
      <c r="CZ115" s="590"/>
      <c r="DA115" s="590"/>
      <c r="DB115" s="590"/>
      <c r="DC115" s="590"/>
    </row>
    <row r="116" spans="1:107">
      <c r="A116" s="1173" t="s">
        <v>814</v>
      </c>
      <c r="B116" s="1167"/>
      <c r="C116" s="1172">
        <v>1</v>
      </c>
      <c r="D116" s="1172">
        <v>2</v>
      </c>
      <c r="E116" s="1172">
        <v>3</v>
      </c>
      <c r="F116" s="1172">
        <v>4</v>
      </c>
      <c r="G116" s="1172">
        <v>5</v>
      </c>
      <c r="H116" s="1172">
        <v>6</v>
      </c>
      <c r="I116" s="1164"/>
      <c r="J116" s="589"/>
      <c r="K116" s="1171"/>
      <c r="L116" s="1171"/>
      <c r="M116" s="1168"/>
      <c r="N116" s="1168"/>
      <c r="O116" s="1168"/>
      <c r="P116" s="1163" t="s">
        <v>881</v>
      </c>
      <c r="Q116" s="1164"/>
      <c r="R116" s="1164"/>
      <c r="S116" s="1164"/>
      <c r="T116" s="1164"/>
      <c r="U116" s="1163" t="s">
        <v>881</v>
      </c>
      <c r="V116" s="1164"/>
      <c r="W116" s="1164"/>
      <c r="X116" s="1164"/>
      <c r="Y116" s="1164"/>
      <c r="Z116" s="1163" t="s">
        <v>881</v>
      </c>
      <c r="AA116" s="1164"/>
      <c r="AB116" s="1164"/>
      <c r="AC116" s="1164"/>
      <c r="AD116" s="1164"/>
      <c r="AE116" s="1164"/>
      <c r="AF116" s="1164"/>
      <c r="AG116" s="1164"/>
      <c r="AH116" s="1163">
        <v>21</v>
      </c>
      <c r="AI116" s="1162" t="str">
        <f>MID(D116,2,2)</f>
        <v/>
      </c>
      <c r="AJ116" s="1163" t="s">
        <v>881</v>
      </c>
      <c r="AK116" s="1163" t="s">
        <v>881</v>
      </c>
      <c r="AL116" s="1163" t="s">
        <v>881</v>
      </c>
      <c r="AM116" s="1163" t="s">
        <v>881</v>
      </c>
      <c r="AN116" s="1163" t="s">
        <v>881</v>
      </c>
      <c r="AO116" s="1163" t="s">
        <v>881</v>
      </c>
      <c r="AP116" s="1163" t="s">
        <v>881</v>
      </c>
      <c r="AQ116" s="1163" t="s">
        <v>881</v>
      </c>
      <c r="AR116" s="1163" t="s">
        <v>881</v>
      </c>
      <c r="AS116" s="1170" t="s">
        <v>881</v>
      </c>
      <c r="AT116" s="1170" t="s">
        <v>881</v>
      </c>
      <c r="AU116" s="1170" t="s">
        <v>881</v>
      </c>
      <c r="AV116" s="1170" t="s">
        <v>881</v>
      </c>
      <c r="AW116" s="1170" t="s">
        <v>881</v>
      </c>
      <c r="AX116" s="1170" t="s">
        <v>881</v>
      </c>
      <c r="AY116" s="1170" t="s">
        <v>881</v>
      </c>
      <c r="AZ116" s="1170" t="s">
        <v>881</v>
      </c>
      <c r="BA116" s="1170" t="s">
        <v>881</v>
      </c>
      <c r="BB116" s="1163" t="s">
        <v>881</v>
      </c>
      <c r="BC116" s="1163" t="s">
        <v>881</v>
      </c>
      <c r="BD116" s="1163" t="s">
        <v>881</v>
      </c>
      <c r="BE116" s="1163" t="s">
        <v>881</v>
      </c>
      <c r="BF116" s="1163" t="s">
        <v>881</v>
      </c>
      <c r="BG116" s="1163" t="s">
        <v>881</v>
      </c>
      <c r="BH116" s="1163" t="s">
        <v>881</v>
      </c>
      <c r="BI116" s="1163" t="s">
        <v>881</v>
      </c>
      <c r="BJ116" s="1163" t="s">
        <v>881</v>
      </c>
      <c r="BK116" s="1170" t="s">
        <v>881</v>
      </c>
      <c r="BL116" s="1170" t="s">
        <v>881</v>
      </c>
      <c r="BM116" s="1170" t="s">
        <v>881</v>
      </c>
      <c r="BN116" s="1170" t="s">
        <v>881</v>
      </c>
      <c r="BO116" s="1170" t="s">
        <v>881</v>
      </c>
      <c r="BP116" s="1170" t="s">
        <v>881</v>
      </c>
      <c r="BQ116" s="1170" t="s">
        <v>881</v>
      </c>
      <c r="BR116" s="1170" t="s">
        <v>881</v>
      </c>
      <c r="BS116" s="1170" t="s">
        <v>881</v>
      </c>
      <c r="BT116" s="588"/>
      <c r="BU116" s="588"/>
      <c r="BV116" s="588"/>
      <c r="BW116" s="588"/>
      <c r="BX116" s="588"/>
      <c r="BY116" s="588"/>
      <c r="BZ116" s="588"/>
      <c r="CA116" s="588"/>
      <c r="CB116" s="588"/>
      <c r="CC116" s="578"/>
      <c r="CD116" s="578"/>
      <c r="CE116" s="578"/>
      <c r="CF116" s="578"/>
      <c r="CG116" s="578"/>
      <c r="CH116" s="578"/>
      <c r="CI116" s="578"/>
      <c r="CJ116" s="578"/>
      <c r="CK116" s="578"/>
      <c r="CL116" s="588"/>
      <c r="CM116" s="588"/>
      <c r="CN116" s="588"/>
      <c r="CO116" s="588"/>
      <c r="CP116" s="588"/>
      <c r="CQ116" s="588"/>
      <c r="CR116" s="588"/>
      <c r="CS116" s="588"/>
      <c r="CT116" s="588"/>
      <c r="CU116" s="588"/>
      <c r="CV116" s="588"/>
      <c r="CW116" s="588"/>
      <c r="CX116" s="588"/>
      <c r="CY116" s="588"/>
      <c r="CZ116" s="588"/>
      <c r="DA116" s="588"/>
      <c r="DB116" s="588"/>
      <c r="DC116" s="588"/>
    </row>
    <row r="117" spans="1:107">
      <c r="A117" s="1167" t="s">
        <v>1257</v>
      </c>
      <c r="B117" s="1167" t="s">
        <v>1256</v>
      </c>
      <c r="C117" s="1166" t="s">
        <v>1030</v>
      </c>
      <c r="D117" s="1166" t="s">
        <v>980</v>
      </c>
      <c r="E117" s="577">
        <v>1</v>
      </c>
      <c r="F117" s="574">
        <v>0.79010000000000002</v>
      </c>
      <c r="G117" s="576">
        <v>100</v>
      </c>
      <c r="H117" s="574">
        <v>50.386165356284017</v>
      </c>
      <c r="I117" s="1164"/>
      <c r="J117" s="575">
        <v>1</v>
      </c>
      <c r="K117" s="574">
        <v>39.810109248000003</v>
      </c>
      <c r="L117" s="574">
        <v>39.810109248000003</v>
      </c>
      <c r="M117" s="1168"/>
      <c r="N117" s="1168">
        <v>1</v>
      </c>
      <c r="O117" s="1168"/>
      <c r="P117" s="1163" t="s">
        <v>881</v>
      </c>
      <c r="Q117" s="1164"/>
      <c r="R117" s="1164"/>
      <c r="S117" s="1164"/>
      <c r="T117" s="1164"/>
      <c r="U117" s="1163" t="s">
        <v>881</v>
      </c>
      <c r="V117" s="1164"/>
      <c r="W117" s="1164"/>
      <c r="X117" s="1164"/>
      <c r="Y117" s="1164"/>
      <c r="Z117" s="573">
        <v>1</v>
      </c>
      <c r="AA117" s="572">
        <v>1</v>
      </c>
      <c r="AB117" s="572">
        <v>1</v>
      </c>
      <c r="AC117" s="572">
        <v>1</v>
      </c>
      <c r="AD117" s="572">
        <v>1</v>
      </c>
      <c r="AE117" s="572">
        <v>1</v>
      </c>
      <c r="AF117" s="572">
        <v>1</v>
      </c>
      <c r="AG117" s="1164"/>
      <c r="AH117" s="1163">
        <v>22</v>
      </c>
      <c r="AI117" s="1162" t="str">
        <f>MID(D117,2,2)&amp;C117</f>
        <v>ISINDELC</v>
      </c>
      <c r="AJ117" s="1163" t="s">
        <v>881</v>
      </c>
      <c r="AK117" s="1163" t="s">
        <v>881</v>
      </c>
      <c r="AL117" s="1163" t="s">
        <v>881</v>
      </c>
      <c r="AM117" s="1163" t="s">
        <v>881</v>
      </c>
      <c r="AN117" s="1163" t="s">
        <v>881</v>
      </c>
      <c r="AO117" s="1163" t="s">
        <v>881</v>
      </c>
      <c r="AP117" s="1163" t="s">
        <v>881</v>
      </c>
      <c r="AQ117" s="1163" t="s">
        <v>881</v>
      </c>
      <c r="AR117" s="1163" t="s">
        <v>881</v>
      </c>
      <c r="AS117" s="1170" t="s">
        <v>881</v>
      </c>
      <c r="AT117" s="1170" t="s">
        <v>881</v>
      </c>
      <c r="AU117" s="1170" t="s">
        <v>881</v>
      </c>
      <c r="AV117" s="1170" t="s">
        <v>881</v>
      </c>
      <c r="AW117" s="1170" t="s">
        <v>881</v>
      </c>
      <c r="AX117" s="1170" t="s">
        <v>881</v>
      </c>
      <c r="AY117" s="1170" t="s">
        <v>881</v>
      </c>
      <c r="AZ117" s="1170" t="s">
        <v>881</v>
      </c>
      <c r="BA117" s="1170" t="s">
        <v>881</v>
      </c>
      <c r="BB117" s="1163" t="s">
        <v>881</v>
      </c>
      <c r="BC117" s="1163" t="s">
        <v>881</v>
      </c>
      <c r="BD117" s="1163" t="s">
        <v>881</v>
      </c>
      <c r="BE117" s="1163" t="s">
        <v>881</v>
      </c>
      <c r="BF117" s="1163" t="s">
        <v>881</v>
      </c>
      <c r="BG117" s="1163" t="s">
        <v>881</v>
      </c>
      <c r="BH117" s="1163" t="s">
        <v>881</v>
      </c>
      <c r="BI117" s="1163" t="s">
        <v>881</v>
      </c>
      <c r="BJ117" s="1163" t="s">
        <v>881</v>
      </c>
      <c r="BK117" s="1170" t="s">
        <v>881</v>
      </c>
      <c r="BL117" s="1170" t="s">
        <v>881</v>
      </c>
      <c r="BM117" s="1170" t="s">
        <v>881</v>
      </c>
      <c r="BN117" s="1170" t="s">
        <v>881</v>
      </c>
      <c r="BO117" s="1170" t="s">
        <v>881</v>
      </c>
      <c r="BP117" s="1170" t="s">
        <v>881</v>
      </c>
      <c r="BQ117" s="1170" t="s">
        <v>881</v>
      </c>
      <c r="BR117" s="1170" t="s">
        <v>881</v>
      </c>
      <c r="BS117" s="1170" t="s">
        <v>881</v>
      </c>
      <c r="BT117" s="1443">
        <f t="array" ref="BT117">SUM(IFERROR(($AW$42:$AW$76=LEFT($AI117,2)) * ($AU$42:$AU$76=BT$93) * ($BH$41:$BP$41=BT$94) * ($BH$42:$BP$77),0))</f>
        <v>2.4500558065274585E-4</v>
      </c>
      <c r="BU117" s="1443">
        <f t="array" ref="BU117">SUM(IFERROR(($AW$42:$AW$76=LEFT($AI117,2)) * ($AU$42:$AU$76=BU$93) * ($BH$41:$BP$41=BU$94) * ($BH$42:$BP$77),0))</f>
        <v>7.5616711520858711E-4</v>
      </c>
      <c r="BV117" s="1443">
        <f t="array" ref="BV117">SUM(IFERROR(($AW$42:$AW$76=LEFT($AI117,2)) * ($AU$42:$AU$76=BV$93) * ($BH$41:$BP$41=BV$94) * ($BH$42:$BP$77),0))</f>
        <v>1.5778064942828722E-3</v>
      </c>
      <c r="BW117" s="1443">
        <f t="array" ref="BW117">SUM(IFERROR(($AW$42:$AW$76=LEFT($AI117,2)) * ($AU$42:$AU$76=BW$93) * ($BH$41:$BP$41=BW$94) * ($BH$42:$BP$77),0))</f>
        <v>2.7199188051912197E-3</v>
      </c>
      <c r="BX117" s="1443">
        <f t="array" ref="BX117">SUM(IFERROR(($AW$42:$AW$76=LEFT($AI117,2)) * ($AU$42:$AU$76=BX$93) * ($BH$41:$BP$41=BX$94) * ($BH$42:$BP$77),0))</f>
        <v>4.0240426226956063E-3</v>
      </c>
      <c r="BY117" s="1443">
        <f t="array" ref="BY117">SUM(IFERROR(($AW$42:$AW$76=LEFT($AI117,2)) * ($AU$42:$AU$76=BY$93) * ($BH$41:$BP$41=BY$94) * ($BH$42:$BP$77),0))</f>
        <v>5.2170653508161469E-3</v>
      </c>
      <c r="BZ117" s="1443">
        <f t="array" ref="BZ117">SUM(IFERROR(($AW$42:$AW$76=LEFT($AI117,2)) * ($AU$42:$AU$76=BZ$93) * ($BH$41:$BP$41=BZ$94) * ($BH$42:$BP$77),0))</f>
        <v>6.1065085974406639E-3</v>
      </c>
      <c r="CA117" s="1443">
        <f t="array" ref="CA117">SUM(IFERROR(($AW$42:$AW$76=LEFT($AI117,2)) * ($AU$42:$AU$76=CA$93) * ($BH$41:$BP$41=CA$94) * ($BH$42:$BP$77),0))</f>
        <v>6.6736258286224431E-3</v>
      </c>
      <c r="CB117" s="1443">
        <f t="array" ref="CB117">SUM(IFERROR(($AW$42:$AW$76=LEFT($AI117,2)) * ($AU$42:$AU$76=CB$93) * ($BH$41:$BP$41=CB$94) * ($BH$42:$BP$77),0))</f>
        <v>7.0000000000000001E-3</v>
      </c>
      <c r="CC117" s="1443">
        <f t="array" ref="CC117">SUM(IFERROR(($AW$42:$AW$76=LEFT($AI117,2)) * ($AU$42:$AU$76=CC$93) * ($BH$41:$BP$41=CC$94) * ($BH$42:$BP$77),0))</f>
        <v>4.1388442731696007E-3</v>
      </c>
      <c r="CD117" s="1443">
        <f t="array" ref="CD117">SUM(IFERROR(($AW$42:$AW$76=LEFT($AI117,2)) * ($AU$42:$AU$76=CD$93) * ($BH$41:$BP$41=CD$94) * ($BH$42:$BP$77),0))</f>
        <v>1.2773823053345063E-2</v>
      </c>
      <c r="CE117" s="1443">
        <f t="array" ref="CE117">SUM(IFERROR(($AW$42:$AW$76=LEFT($AI117,2)) * ($AU$42:$AU$76=CE$93) * ($BH$41:$BP$41=CE$94) * ($BH$42:$BP$77),0))</f>
        <v>2.6653659706992811E-2</v>
      </c>
      <c r="CF117" s="1443">
        <f t="array" ref="CF117">SUM(IFERROR(($AW$42:$AW$76=LEFT($AI117,2)) * ($AU$42:$AU$76=CF$93) * ($BH$41:$BP$41=CF$94) * ($BH$42:$BP$77),0))</f>
        <v>4.5947199816265966E-2</v>
      </c>
      <c r="CG117" s="1443">
        <f t="array" ref="CG117">SUM(IFERROR(($AW$42:$AW$76=LEFT($AI117,2)) * ($AU$42:$AU$76=CG$93) * ($BH$41:$BP$41=CG$94) * ($BH$42:$BP$77),0))</f>
        <v>6.7977577161965078E-2</v>
      </c>
      <c r="CH117" s="1443">
        <f t="array" ref="CH117">SUM(IFERROR(($AW$42:$AW$76=LEFT($AI117,2)) * ($AU$42:$AU$76=CH$93) * ($BH$41:$BP$41=CH$94) * ($BH$42:$BP$77),0))</f>
        <v>8.8131139676287065E-2</v>
      </c>
      <c r="CI117" s="1443">
        <f t="array" ref="CI117">SUM(IFERROR(($AW$42:$AW$76=LEFT($AI117,2)) * ($AU$42:$AU$76=CI$93) * ($BH$41:$BP$41=CI$94) * ($BH$42:$BP$77),0))</f>
        <v>0.10315637737819409</v>
      </c>
      <c r="CJ117" s="1443">
        <f t="array" ref="CJ117">SUM(IFERROR(($AW$42:$AW$76=LEFT($AI117,2)) * ($AU$42:$AU$76=CJ$93) * ($BH$41:$BP$41=CJ$94) * ($BH$42:$BP$77),0))</f>
        <v>0.11273660774780057</v>
      </c>
      <c r="CK117" s="1443">
        <f t="array" ref="CK117">SUM(IFERROR(($AW$42:$AW$76=LEFT($AI117,2)) * ($AU$42:$AU$76=CK$93) * ($BH$41:$BP$41=CK$94) * ($BH$42:$BP$77),0))</f>
        <v>0.11825000000000002</v>
      </c>
      <c r="CL117" s="1443">
        <f t="array" ref="CL117">SUM(IFERROR(($AW$42:$AW$76=LEFT($AI117,2)) * ($AU$42:$AU$76=CL$93) * ($BH$41:$BP$41=CL$94) * ($BH$42:$BP$77),0))</f>
        <v>1.1064627026264181E-2</v>
      </c>
      <c r="CM117" s="1443">
        <f t="array" ref="CM117">SUM(IFERROR(($AW$42:$AW$76=LEFT($AI117,2)) * ($AU$42:$AU$76=CM$93) * ($BH$41:$BP$41=CM$94) * ($BH$42:$BP$77),0))</f>
        <v>3.414904704218779E-2</v>
      </c>
      <c r="CN117" s="1443">
        <f t="array" ref="CN117">SUM(IFERROR(($AW$42:$AW$76=LEFT($AI117,2)) * ($AU$42:$AU$76=CN$93) * ($BH$41:$BP$41=CN$94) * ($BH$42:$BP$77),0))</f>
        <v>7.1254868286453263E-2</v>
      </c>
      <c r="CO117" s="1443">
        <f t="array" ref="CO117">SUM(IFERROR(($AW$42:$AW$76=LEFT($AI117,2)) * ($AU$42:$AU$76=CO$93) * ($BH$41:$BP$41=CO$94) * ($BH$42:$BP$77),0))</f>
        <v>0.12283347604158201</v>
      </c>
      <c r="CP117" s="1443">
        <f t="array" ref="CP117">SUM(IFERROR(($AW$42:$AW$76=LEFT($AI117,2)) * ($AU$42:$AU$76=CP$93) * ($BH$41:$BP$41=CP$94) * ($BH$42:$BP$77),0))</f>
        <v>0.18172863915709261</v>
      </c>
      <c r="CQ117" s="1443">
        <f t="array" ref="CQ117">SUM(IFERROR(($AW$42:$AW$76=LEFT($AI117,2)) * ($AU$42:$AU$76=CQ$93) * ($BH$41:$BP$41=CQ$94) * ($BH$42:$BP$77),0))</f>
        <v>0.23560639771810771</v>
      </c>
      <c r="CR117" s="1443">
        <f t="array" ref="CR117">SUM(IFERROR(($AW$42:$AW$76=LEFT($AI117,2)) * ($AU$42:$AU$76=CR$93) * ($BH$41:$BP$41=CR$94) * ($BH$42:$BP$77),0))</f>
        <v>0.27577429005227566</v>
      </c>
      <c r="CS117" s="1443">
        <f t="array" ref="CS117">SUM(IFERROR(($AW$42:$AW$76=LEFT($AI117,2)) * ($AU$42:$AU$76=CS$93) * ($BH$41:$BP$41=CS$94) * ($BH$42:$BP$77),0))</f>
        <v>0.30138570929618136</v>
      </c>
      <c r="CT117" s="1443">
        <f t="array" ref="CT117">SUM(IFERROR(($AW$42:$AW$76=LEFT($AI117,2)) * ($AU$42:$AU$76=CT$93) * ($BH$41:$BP$41=CT$94) * ($BH$42:$BP$77),0))</f>
        <v>0.31612499999999993</v>
      </c>
      <c r="CU117" s="1443">
        <f t="array" ref="CU117">SUM(IFERROR(($AW$42:$AW$76=LEFT($AI117,2)) * ($AU$42:$AU$76=CU$93) * ($BH$41:$BP$41=CU$94) * ($BH$42:$BP$77),0))</f>
        <v>1.4752836035018913E-2</v>
      </c>
      <c r="CV117" s="1443">
        <f t="array" ref="CV117">SUM(IFERROR(($AW$42:$AW$76=LEFT($AI117,2)) * ($AU$42:$AU$76=CV$93) * ($BH$41:$BP$41=CV$94) * ($BH$42:$BP$77),0))</f>
        <v>4.5532062722917072E-2</v>
      </c>
      <c r="CW117" s="1443">
        <f t="array" ref="CW117">SUM(IFERROR(($AW$42:$AW$76=LEFT($AI117,2)) * ($AU$42:$AU$76=CW$93) * ($BH$41:$BP$41=CW$94) * ($BH$42:$BP$77),0))</f>
        <v>9.5006491048604383E-2</v>
      </c>
      <c r="CX117" s="1443">
        <f t="array" ref="CX117">SUM(IFERROR(($AW$42:$AW$76=LEFT($AI117,2)) * ($AU$42:$AU$76=CX$93) * ($BH$41:$BP$41=CX$94) * ($BH$42:$BP$77),0))</f>
        <v>0.16377796805544273</v>
      </c>
      <c r="CY117" s="1443">
        <f t="array" ref="CY117">SUM(IFERROR(($AW$42:$AW$76=LEFT($AI117,2)) * ($AU$42:$AU$76=CY$93) * ($BH$41:$BP$41=CY$94) * ($BH$42:$BP$77),0))</f>
        <v>0.24230485220945688</v>
      </c>
      <c r="CZ117" s="1443">
        <f t="array" ref="CZ117">SUM(IFERROR(($AW$42:$AW$76=LEFT($AI117,2)) * ($AU$42:$AU$76=CZ$93) * ($BH$41:$BP$41=CZ$94) * ($BH$42:$BP$77),0))</f>
        <v>0.3141418636241437</v>
      </c>
      <c r="DA117" s="1443">
        <f t="array" ref="DA117">SUM(IFERROR(($AW$42:$AW$76=LEFT($AI117,2)) * ($AU$42:$AU$76=DA$93) * ($BH$41:$BP$41=DA$94) * ($BH$42:$BP$77),0))</f>
        <v>0.36769905340303433</v>
      </c>
      <c r="DB117" s="1443">
        <f t="array" ref="DB117">SUM(IFERROR(($AW$42:$AW$76=LEFT($AI117,2)) * ($AU$42:$AU$76=DB$93) * ($BH$41:$BP$41=DB$94) * ($BH$42:$BP$77),0))</f>
        <v>0.40184761239490857</v>
      </c>
      <c r="DC117" s="1443">
        <f t="array" ref="DC117">SUM(IFERROR(($AW$42:$AW$76=LEFT($AI117,2)) * ($AU$42:$AU$76=DC$93) * ($BH$41:$BP$41=DC$94) * ($BH$42:$BP$77),0))</f>
        <v>0.42150000000000004</v>
      </c>
    </row>
    <row r="118" spans="1:107">
      <c r="A118" s="1167" t="s">
        <v>1255</v>
      </c>
      <c r="B118" s="1167" t="s">
        <v>1254</v>
      </c>
      <c r="C118" s="1166" t="s">
        <v>1030</v>
      </c>
      <c r="D118" s="1166" t="s">
        <v>979</v>
      </c>
      <c r="E118" s="577">
        <v>0.05</v>
      </c>
      <c r="F118" s="574">
        <v>0.7833</v>
      </c>
      <c r="G118" s="576">
        <v>100</v>
      </c>
      <c r="H118" s="574">
        <v>0.31764736729222526</v>
      </c>
      <c r="I118" s="1164"/>
      <c r="J118" s="575">
        <v>1</v>
      </c>
      <c r="K118" s="574">
        <v>4.9762636560000004</v>
      </c>
      <c r="L118" s="574">
        <v>0.24881318280000003</v>
      </c>
      <c r="M118" s="1164"/>
      <c r="N118" s="1168"/>
      <c r="O118" s="1164"/>
      <c r="P118" s="1163" t="s">
        <v>881</v>
      </c>
      <c r="Q118" s="1164"/>
      <c r="R118" s="1164"/>
      <c r="S118" s="1164"/>
      <c r="T118" s="1164"/>
      <c r="U118" s="1163" t="s">
        <v>881</v>
      </c>
      <c r="V118" s="1164"/>
      <c r="W118" s="1164"/>
      <c r="X118" s="1164"/>
      <c r="Y118" s="1164"/>
      <c r="Z118" s="573">
        <v>0.05</v>
      </c>
      <c r="AA118" s="572">
        <v>0.05</v>
      </c>
      <c r="AB118" s="572">
        <v>0.05</v>
      </c>
      <c r="AC118" s="572">
        <v>0.05</v>
      </c>
      <c r="AD118" s="572">
        <v>0.05</v>
      </c>
      <c r="AE118" s="572">
        <v>0.05</v>
      </c>
      <c r="AF118" s="572">
        <v>0.05</v>
      </c>
      <c r="AG118" s="1164"/>
      <c r="AH118" s="1163">
        <v>23</v>
      </c>
      <c r="AI118" s="1162"/>
      <c r="AJ118" s="1163" t="s">
        <v>881</v>
      </c>
      <c r="AK118" s="1163" t="s">
        <v>881</v>
      </c>
      <c r="AL118" s="1163" t="s">
        <v>881</v>
      </c>
      <c r="AM118" s="1163" t="s">
        <v>881</v>
      </c>
      <c r="AN118" s="1163" t="s">
        <v>881</v>
      </c>
      <c r="AO118" s="1163" t="s">
        <v>881</v>
      </c>
      <c r="AP118" s="1163" t="s">
        <v>881</v>
      </c>
      <c r="AQ118" s="1163" t="s">
        <v>881</v>
      </c>
      <c r="AR118" s="1163" t="s">
        <v>881</v>
      </c>
      <c r="AS118" s="1170" t="s">
        <v>881</v>
      </c>
      <c r="AT118" s="1170" t="s">
        <v>881</v>
      </c>
      <c r="AU118" s="1170" t="s">
        <v>881</v>
      </c>
      <c r="AV118" s="1170" t="s">
        <v>881</v>
      </c>
      <c r="AW118" s="1170" t="s">
        <v>881</v>
      </c>
      <c r="AX118" s="1170" t="s">
        <v>881</v>
      </c>
      <c r="AY118" s="1170" t="s">
        <v>881</v>
      </c>
      <c r="AZ118" s="1170" t="s">
        <v>881</v>
      </c>
      <c r="BA118" s="1170" t="s">
        <v>881</v>
      </c>
      <c r="BB118" s="1163" t="s">
        <v>881</v>
      </c>
      <c r="BC118" s="1163" t="s">
        <v>881</v>
      </c>
      <c r="BD118" s="1163" t="s">
        <v>881</v>
      </c>
      <c r="BE118" s="1163" t="s">
        <v>881</v>
      </c>
      <c r="BF118" s="1163" t="s">
        <v>881</v>
      </c>
      <c r="BG118" s="1163" t="s">
        <v>881</v>
      </c>
      <c r="BH118" s="1163" t="s">
        <v>881</v>
      </c>
      <c r="BI118" s="1163" t="s">
        <v>881</v>
      </c>
      <c r="BJ118" s="1163" t="s">
        <v>881</v>
      </c>
      <c r="BK118" s="1170" t="s">
        <v>881</v>
      </c>
      <c r="BL118" s="1170" t="s">
        <v>881</v>
      </c>
      <c r="BM118" s="1170" t="s">
        <v>881</v>
      </c>
      <c r="BN118" s="1170" t="s">
        <v>881</v>
      </c>
      <c r="BO118" s="1170" t="s">
        <v>881</v>
      </c>
      <c r="BP118" s="1170" t="s">
        <v>881</v>
      </c>
      <c r="BQ118" s="1170" t="s">
        <v>881</v>
      </c>
      <c r="BR118" s="1170" t="s">
        <v>881</v>
      </c>
      <c r="BS118" s="1170" t="s">
        <v>881</v>
      </c>
      <c r="BT118" s="579"/>
      <c r="BU118" s="579"/>
      <c r="BV118" s="579"/>
      <c r="BW118" s="579"/>
      <c r="BX118" s="579"/>
      <c r="BY118" s="579"/>
      <c r="BZ118" s="579"/>
      <c r="CA118" s="579"/>
      <c r="CB118" s="579"/>
      <c r="CC118" s="578"/>
      <c r="CD118" s="578"/>
      <c r="CE118" s="578"/>
      <c r="CF118" s="578"/>
      <c r="CG118" s="578"/>
      <c r="CH118" s="578"/>
      <c r="CI118" s="578"/>
      <c r="CJ118" s="578"/>
      <c r="CK118" s="578"/>
      <c r="CL118" s="579"/>
      <c r="CM118" s="579"/>
      <c r="CN118" s="579"/>
      <c r="CO118" s="579"/>
      <c r="CP118" s="579"/>
      <c r="CQ118" s="579"/>
      <c r="CR118" s="579"/>
      <c r="CS118" s="579"/>
      <c r="CT118" s="579"/>
      <c r="CU118" s="578"/>
      <c r="CV118" s="578"/>
      <c r="CW118" s="578"/>
      <c r="CX118" s="578"/>
      <c r="CY118" s="578"/>
      <c r="CZ118" s="578"/>
      <c r="DA118" s="578"/>
      <c r="DB118" s="578"/>
      <c r="DC118" s="578"/>
    </row>
    <row r="119" spans="1:107">
      <c r="A119" s="1167" t="s">
        <v>1253</v>
      </c>
      <c r="B119" s="1167" t="s">
        <v>1252</v>
      </c>
      <c r="C119" s="1166" t="s">
        <v>1030</v>
      </c>
      <c r="D119" s="1166" t="s">
        <v>978</v>
      </c>
      <c r="E119" s="577">
        <v>0.3</v>
      </c>
      <c r="F119" s="574">
        <v>0.60640000000000005</v>
      </c>
      <c r="G119" s="576">
        <v>100</v>
      </c>
      <c r="H119" s="574">
        <v>1.7233103030343007</v>
      </c>
      <c r="I119" s="1164"/>
      <c r="J119" s="575">
        <v>1</v>
      </c>
      <c r="K119" s="574">
        <v>3.4833845592000006</v>
      </c>
      <c r="L119" s="574">
        <v>1.04501536776</v>
      </c>
      <c r="M119" s="1164"/>
      <c r="N119" s="1168"/>
      <c r="O119" s="1164"/>
      <c r="P119" s="1163" t="s">
        <v>881</v>
      </c>
      <c r="Q119" s="1164"/>
      <c r="R119" s="1164"/>
      <c r="S119" s="1164"/>
      <c r="T119" s="1164"/>
      <c r="U119" s="1163" t="s">
        <v>881</v>
      </c>
      <c r="V119" s="1164"/>
      <c r="W119" s="1164"/>
      <c r="X119" s="1164"/>
      <c r="Y119" s="1164"/>
      <c r="Z119" s="573">
        <v>0.3</v>
      </c>
      <c r="AA119" s="572">
        <v>0.3</v>
      </c>
      <c r="AB119" s="572">
        <v>0.3</v>
      </c>
      <c r="AC119" s="572">
        <v>0.3</v>
      </c>
      <c r="AD119" s="572">
        <v>0.3</v>
      </c>
      <c r="AE119" s="572">
        <v>0.3</v>
      </c>
      <c r="AF119" s="572">
        <v>0.3</v>
      </c>
      <c r="AG119" s="1164"/>
      <c r="AH119" s="1163">
        <v>24</v>
      </c>
      <c r="AI119" s="1162"/>
      <c r="AJ119" s="1163" t="s">
        <v>881</v>
      </c>
      <c r="AK119" s="1163" t="s">
        <v>881</v>
      </c>
      <c r="AL119" s="1163" t="s">
        <v>881</v>
      </c>
      <c r="AM119" s="1163" t="s">
        <v>881</v>
      </c>
      <c r="AN119" s="1163" t="s">
        <v>881</v>
      </c>
      <c r="AO119" s="1163" t="s">
        <v>881</v>
      </c>
      <c r="AP119" s="1163" t="s">
        <v>881</v>
      </c>
      <c r="AQ119" s="1163" t="s">
        <v>881</v>
      </c>
      <c r="AR119" s="1163" t="s">
        <v>881</v>
      </c>
      <c r="AS119" s="1170" t="s">
        <v>881</v>
      </c>
      <c r="AT119" s="1170" t="s">
        <v>881</v>
      </c>
      <c r="AU119" s="1170" t="s">
        <v>881</v>
      </c>
      <c r="AV119" s="1170" t="s">
        <v>881</v>
      </c>
      <c r="AW119" s="1170" t="s">
        <v>881</v>
      </c>
      <c r="AX119" s="1170" t="s">
        <v>881</v>
      </c>
      <c r="AY119" s="1170" t="s">
        <v>881</v>
      </c>
      <c r="AZ119" s="1170" t="s">
        <v>881</v>
      </c>
      <c r="BA119" s="1170" t="s">
        <v>881</v>
      </c>
      <c r="BB119" s="1163" t="s">
        <v>881</v>
      </c>
      <c r="BC119" s="1163" t="s">
        <v>881</v>
      </c>
      <c r="BD119" s="1163" t="s">
        <v>881</v>
      </c>
      <c r="BE119" s="1163" t="s">
        <v>881</v>
      </c>
      <c r="BF119" s="1163" t="s">
        <v>881</v>
      </c>
      <c r="BG119" s="1163" t="s">
        <v>881</v>
      </c>
      <c r="BH119" s="1163" t="s">
        <v>881</v>
      </c>
      <c r="BI119" s="1163" t="s">
        <v>881</v>
      </c>
      <c r="BJ119" s="1163" t="s">
        <v>881</v>
      </c>
      <c r="BK119" s="1170" t="s">
        <v>881</v>
      </c>
      <c r="BL119" s="1170" t="s">
        <v>881</v>
      </c>
      <c r="BM119" s="1170" t="s">
        <v>881</v>
      </c>
      <c r="BN119" s="1170" t="s">
        <v>881</v>
      </c>
      <c r="BO119" s="1170" t="s">
        <v>881</v>
      </c>
      <c r="BP119" s="1170" t="s">
        <v>881</v>
      </c>
      <c r="BQ119" s="1170" t="s">
        <v>881</v>
      </c>
      <c r="BR119" s="1170" t="s">
        <v>881</v>
      </c>
      <c r="BS119" s="1170" t="s">
        <v>881</v>
      </c>
      <c r="BT119" s="579"/>
      <c r="BU119" s="579"/>
      <c r="BV119" s="579"/>
      <c r="BW119" s="579"/>
      <c r="BX119" s="579"/>
      <c r="BY119" s="579"/>
      <c r="BZ119" s="579"/>
      <c r="CA119" s="579"/>
      <c r="CB119" s="579"/>
      <c r="CC119" s="578"/>
      <c r="CD119" s="578"/>
      <c r="CE119" s="578"/>
      <c r="CF119" s="578"/>
      <c r="CG119" s="578"/>
      <c r="CH119" s="578"/>
      <c r="CI119" s="578"/>
      <c r="CJ119" s="578"/>
      <c r="CK119" s="578"/>
      <c r="CL119" s="579"/>
      <c r="CM119" s="579"/>
      <c r="CN119" s="579"/>
      <c r="CO119" s="579"/>
      <c r="CP119" s="579"/>
      <c r="CQ119" s="579"/>
      <c r="CR119" s="579"/>
      <c r="CS119" s="579"/>
      <c r="CT119" s="579"/>
      <c r="CU119" s="578"/>
      <c r="CV119" s="578"/>
      <c r="CW119" s="578"/>
      <c r="CX119" s="578"/>
      <c r="CY119" s="578"/>
      <c r="CZ119" s="578"/>
      <c r="DA119" s="578"/>
      <c r="DB119" s="578"/>
      <c r="DC119" s="578"/>
    </row>
    <row r="120" spans="1:107">
      <c r="A120" s="1167" t="s">
        <v>1251</v>
      </c>
      <c r="B120" s="1167" t="s">
        <v>1250</v>
      </c>
      <c r="C120" s="1166" t="s">
        <v>1030</v>
      </c>
      <c r="D120" s="1166" t="s">
        <v>977</v>
      </c>
      <c r="E120" s="577">
        <v>2</v>
      </c>
      <c r="F120" s="574">
        <v>0.83289999999999997</v>
      </c>
      <c r="G120" s="576">
        <v>100</v>
      </c>
      <c r="H120" s="574">
        <v>2.3898492765037824</v>
      </c>
      <c r="I120" s="1164"/>
      <c r="J120" s="575">
        <v>1</v>
      </c>
      <c r="K120" s="574">
        <v>0.99525273120000013</v>
      </c>
      <c r="L120" s="574">
        <v>1.9905054624000003</v>
      </c>
      <c r="M120" s="1164"/>
      <c r="N120" s="1168"/>
      <c r="O120" s="1164"/>
      <c r="P120" s="1163" t="s">
        <v>881</v>
      </c>
      <c r="Q120" s="1164"/>
      <c r="R120" s="1164"/>
      <c r="S120" s="1164"/>
      <c r="T120" s="1164"/>
      <c r="U120" s="1163" t="s">
        <v>881</v>
      </c>
      <c r="V120" s="1164"/>
      <c r="W120" s="1164"/>
      <c r="X120" s="1164"/>
      <c r="Y120" s="1164"/>
      <c r="Z120" s="573">
        <v>2</v>
      </c>
      <c r="AA120" s="572">
        <v>2</v>
      </c>
      <c r="AB120" s="572">
        <v>2</v>
      </c>
      <c r="AC120" s="572">
        <v>2</v>
      </c>
      <c r="AD120" s="572">
        <v>2</v>
      </c>
      <c r="AE120" s="572">
        <v>2</v>
      </c>
      <c r="AF120" s="572">
        <v>2</v>
      </c>
      <c r="AG120" s="1164"/>
      <c r="AH120" s="1163">
        <v>25</v>
      </c>
      <c r="AI120" s="1162"/>
      <c r="AJ120" s="1163" t="s">
        <v>881</v>
      </c>
      <c r="AK120" s="1163" t="s">
        <v>881</v>
      </c>
      <c r="AL120" s="1163" t="s">
        <v>881</v>
      </c>
      <c r="AM120" s="1163" t="s">
        <v>881</v>
      </c>
      <c r="AN120" s="1163" t="s">
        <v>881</v>
      </c>
      <c r="AO120" s="1163" t="s">
        <v>881</v>
      </c>
      <c r="AP120" s="1163" t="s">
        <v>881</v>
      </c>
      <c r="AQ120" s="1163" t="s">
        <v>881</v>
      </c>
      <c r="AR120" s="1163" t="s">
        <v>881</v>
      </c>
      <c r="AS120" s="1170" t="s">
        <v>881</v>
      </c>
      <c r="AT120" s="1170" t="s">
        <v>881</v>
      </c>
      <c r="AU120" s="1170" t="s">
        <v>881</v>
      </c>
      <c r="AV120" s="1170" t="s">
        <v>881</v>
      </c>
      <c r="AW120" s="1170" t="s">
        <v>881</v>
      </c>
      <c r="AX120" s="1170" t="s">
        <v>881</v>
      </c>
      <c r="AY120" s="1170" t="s">
        <v>881</v>
      </c>
      <c r="AZ120" s="1170" t="s">
        <v>881</v>
      </c>
      <c r="BA120" s="1170" t="s">
        <v>881</v>
      </c>
      <c r="BB120" s="1163" t="s">
        <v>881</v>
      </c>
      <c r="BC120" s="1163" t="s">
        <v>881</v>
      </c>
      <c r="BD120" s="1163" t="s">
        <v>881</v>
      </c>
      <c r="BE120" s="1163" t="s">
        <v>881</v>
      </c>
      <c r="BF120" s="1163" t="s">
        <v>881</v>
      </c>
      <c r="BG120" s="1163" t="s">
        <v>881</v>
      </c>
      <c r="BH120" s="1163" t="s">
        <v>881</v>
      </c>
      <c r="BI120" s="1163" t="s">
        <v>881</v>
      </c>
      <c r="BJ120" s="1163" t="s">
        <v>881</v>
      </c>
      <c r="BK120" s="1170" t="s">
        <v>881</v>
      </c>
      <c r="BL120" s="1170" t="s">
        <v>881</v>
      </c>
      <c r="BM120" s="1170" t="s">
        <v>881</v>
      </c>
      <c r="BN120" s="1170" t="s">
        <v>881</v>
      </c>
      <c r="BO120" s="1170" t="s">
        <v>881</v>
      </c>
      <c r="BP120" s="1170" t="s">
        <v>881</v>
      </c>
      <c r="BQ120" s="1170" t="s">
        <v>881</v>
      </c>
      <c r="BR120" s="1170" t="s">
        <v>881</v>
      </c>
      <c r="BS120" s="1170" t="s">
        <v>881</v>
      </c>
      <c r="BT120" s="579"/>
      <c r="BU120" s="579"/>
      <c r="BV120" s="579"/>
      <c r="BW120" s="579"/>
      <c r="BX120" s="579"/>
      <c r="BY120" s="579"/>
      <c r="BZ120" s="579"/>
      <c r="CA120" s="579"/>
      <c r="CB120" s="579"/>
      <c r="CC120" s="578"/>
      <c r="CD120" s="578"/>
      <c r="CE120" s="578"/>
      <c r="CF120" s="578"/>
      <c r="CG120" s="578"/>
      <c r="CH120" s="578"/>
      <c r="CI120" s="578"/>
      <c r="CJ120" s="578"/>
      <c r="CK120" s="578"/>
      <c r="CL120" s="579"/>
      <c r="CM120" s="579"/>
      <c r="CN120" s="579"/>
      <c r="CO120" s="579"/>
      <c r="CP120" s="579"/>
      <c r="CQ120" s="579"/>
      <c r="CR120" s="579"/>
      <c r="CS120" s="579"/>
      <c r="CT120" s="579"/>
      <c r="CU120" s="578"/>
      <c r="CV120" s="578"/>
      <c r="CW120" s="578"/>
      <c r="CX120" s="578"/>
      <c r="CY120" s="578"/>
      <c r="CZ120" s="578"/>
      <c r="DA120" s="578"/>
      <c r="DB120" s="578"/>
      <c r="DC120" s="578"/>
    </row>
    <row r="121" spans="1:107">
      <c r="A121" s="1167" t="s">
        <v>1249</v>
      </c>
      <c r="B121" s="1167" t="s">
        <v>1248</v>
      </c>
      <c r="C121" s="1166" t="s">
        <v>1030</v>
      </c>
      <c r="D121" s="1166" t="s">
        <v>976</v>
      </c>
      <c r="E121" s="577">
        <v>0.9</v>
      </c>
      <c r="F121" s="574">
        <v>0.60340000000000005</v>
      </c>
      <c r="G121" s="576">
        <v>100</v>
      </c>
      <c r="H121" s="574">
        <v>2.9689342329466357</v>
      </c>
      <c r="I121" s="1164"/>
      <c r="J121" s="575">
        <v>1</v>
      </c>
      <c r="K121" s="574">
        <v>1.9905054624000003</v>
      </c>
      <c r="L121" s="574">
        <v>1.7914549161600002</v>
      </c>
      <c r="M121" s="1164"/>
      <c r="N121" s="1168"/>
      <c r="O121" s="1164"/>
      <c r="P121" s="1163" t="s">
        <v>881</v>
      </c>
      <c r="Q121" s="1164"/>
      <c r="R121" s="1164"/>
      <c r="S121" s="1164"/>
      <c r="T121" s="1164"/>
      <c r="U121" s="1163" t="s">
        <v>881</v>
      </c>
      <c r="V121" s="1164"/>
      <c r="W121" s="1164"/>
      <c r="X121" s="1164"/>
      <c r="Y121" s="1164"/>
      <c r="Z121" s="573">
        <v>0.9</v>
      </c>
      <c r="AA121" s="572">
        <v>0.9</v>
      </c>
      <c r="AB121" s="572">
        <v>0.9</v>
      </c>
      <c r="AC121" s="572">
        <v>0.9</v>
      </c>
      <c r="AD121" s="572">
        <v>0.9</v>
      </c>
      <c r="AE121" s="572">
        <v>0.9</v>
      </c>
      <c r="AF121" s="572">
        <v>0.9</v>
      </c>
      <c r="AG121" s="1164"/>
      <c r="AH121" s="1163">
        <v>26</v>
      </c>
      <c r="AI121" s="1162"/>
      <c r="AJ121" s="1163" t="s">
        <v>881</v>
      </c>
      <c r="AK121" s="1163" t="s">
        <v>881</v>
      </c>
      <c r="AL121" s="1163" t="s">
        <v>881</v>
      </c>
      <c r="AM121" s="1163" t="s">
        <v>881</v>
      </c>
      <c r="AN121" s="1163" t="s">
        <v>881</v>
      </c>
      <c r="AO121" s="1163" t="s">
        <v>881</v>
      </c>
      <c r="AP121" s="1163" t="s">
        <v>881</v>
      </c>
      <c r="AQ121" s="1163" t="s">
        <v>881</v>
      </c>
      <c r="AR121" s="1163" t="s">
        <v>881</v>
      </c>
      <c r="AS121" s="1170" t="s">
        <v>881</v>
      </c>
      <c r="AT121" s="1170" t="s">
        <v>881</v>
      </c>
      <c r="AU121" s="1170" t="s">
        <v>881</v>
      </c>
      <c r="AV121" s="1170" t="s">
        <v>881</v>
      </c>
      <c r="AW121" s="1170" t="s">
        <v>881</v>
      </c>
      <c r="AX121" s="1170" t="s">
        <v>881</v>
      </c>
      <c r="AY121" s="1170" t="s">
        <v>881</v>
      </c>
      <c r="AZ121" s="1170" t="s">
        <v>881</v>
      </c>
      <c r="BA121" s="1170" t="s">
        <v>881</v>
      </c>
      <c r="BB121" s="1163" t="s">
        <v>881</v>
      </c>
      <c r="BC121" s="1163" t="s">
        <v>881</v>
      </c>
      <c r="BD121" s="1163" t="s">
        <v>881</v>
      </c>
      <c r="BE121" s="1163" t="s">
        <v>881</v>
      </c>
      <c r="BF121" s="1163" t="s">
        <v>881</v>
      </c>
      <c r="BG121" s="1163" t="s">
        <v>881</v>
      </c>
      <c r="BH121" s="1163" t="s">
        <v>881</v>
      </c>
      <c r="BI121" s="1163" t="s">
        <v>881</v>
      </c>
      <c r="BJ121" s="1163" t="s">
        <v>881</v>
      </c>
      <c r="BK121" s="1170" t="s">
        <v>881</v>
      </c>
      <c r="BL121" s="1170" t="s">
        <v>881</v>
      </c>
      <c r="BM121" s="1170" t="s">
        <v>881</v>
      </c>
      <c r="BN121" s="1170" t="s">
        <v>881</v>
      </c>
      <c r="BO121" s="1170" t="s">
        <v>881</v>
      </c>
      <c r="BP121" s="1170" t="s">
        <v>881</v>
      </c>
      <c r="BQ121" s="1170" t="s">
        <v>881</v>
      </c>
      <c r="BR121" s="1170" t="s">
        <v>881</v>
      </c>
      <c r="BS121" s="1170" t="s">
        <v>881</v>
      </c>
      <c r="BT121" s="579"/>
      <c r="BU121" s="579"/>
      <c r="BV121" s="579"/>
      <c r="BW121" s="579"/>
      <c r="BX121" s="579"/>
      <c r="BY121" s="579"/>
      <c r="BZ121" s="579"/>
      <c r="CA121" s="579"/>
      <c r="CB121" s="579"/>
      <c r="CC121" s="578"/>
      <c r="CD121" s="578"/>
      <c r="CE121" s="578"/>
      <c r="CF121" s="578"/>
      <c r="CG121" s="578"/>
      <c r="CH121" s="578"/>
      <c r="CI121" s="578"/>
      <c r="CJ121" s="578"/>
      <c r="CK121" s="578"/>
      <c r="CL121" s="579"/>
      <c r="CM121" s="579"/>
      <c r="CN121" s="579"/>
      <c r="CO121" s="579"/>
      <c r="CP121" s="579"/>
      <c r="CQ121" s="579"/>
      <c r="CR121" s="579"/>
      <c r="CS121" s="579"/>
      <c r="CT121" s="579"/>
      <c r="CU121" s="578"/>
      <c r="CV121" s="578"/>
      <c r="CW121" s="578"/>
      <c r="CX121" s="578"/>
      <c r="CY121" s="578"/>
      <c r="CZ121" s="578"/>
      <c r="DA121" s="578"/>
      <c r="DB121" s="578"/>
      <c r="DC121" s="578"/>
    </row>
    <row r="122" spans="1:107">
      <c r="A122" s="1167" t="s">
        <v>1247</v>
      </c>
      <c r="B122" s="1167" t="s">
        <v>1246</v>
      </c>
      <c r="C122" s="1166" t="s">
        <v>1030</v>
      </c>
      <c r="D122" s="1166" t="s">
        <v>975</v>
      </c>
      <c r="E122" s="577">
        <v>0.8</v>
      </c>
      <c r="F122" s="574">
        <v>0.60940000000000005</v>
      </c>
      <c r="G122" s="576">
        <v>100</v>
      </c>
      <c r="H122" s="574">
        <v>3.2663364988513295</v>
      </c>
      <c r="I122" s="1164"/>
      <c r="J122" s="575">
        <v>1</v>
      </c>
      <c r="K122" s="574">
        <v>2.4881318280000002</v>
      </c>
      <c r="L122" s="574">
        <v>1.9905054624000003</v>
      </c>
      <c r="M122" s="1164"/>
      <c r="N122" s="1168"/>
      <c r="O122" s="1164"/>
      <c r="P122" s="1163" t="s">
        <v>881</v>
      </c>
      <c r="Q122" s="1164"/>
      <c r="R122" s="1164"/>
      <c r="S122" s="1164"/>
      <c r="T122" s="1164"/>
      <c r="U122" s="1163" t="s">
        <v>881</v>
      </c>
      <c r="V122" s="1164"/>
      <c r="W122" s="1164"/>
      <c r="X122" s="1164"/>
      <c r="Y122" s="1164"/>
      <c r="Z122" s="573">
        <v>0.8</v>
      </c>
      <c r="AA122" s="572">
        <v>0.8</v>
      </c>
      <c r="AB122" s="572">
        <v>0.8</v>
      </c>
      <c r="AC122" s="572">
        <v>0.8</v>
      </c>
      <c r="AD122" s="572">
        <v>0.8</v>
      </c>
      <c r="AE122" s="572">
        <v>0.8</v>
      </c>
      <c r="AF122" s="572">
        <v>0.8</v>
      </c>
      <c r="AG122" s="1164"/>
      <c r="AH122" s="1163">
        <v>27</v>
      </c>
      <c r="AI122" s="1162"/>
      <c r="AJ122" s="1163" t="s">
        <v>881</v>
      </c>
      <c r="AK122" s="1163" t="s">
        <v>881</v>
      </c>
      <c r="AL122" s="1163" t="s">
        <v>881</v>
      </c>
      <c r="AM122" s="1163" t="s">
        <v>881</v>
      </c>
      <c r="AN122" s="1163" t="s">
        <v>881</v>
      </c>
      <c r="AO122" s="1163" t="s">
        <v>881</v>
      </c>
      <c r="AP122" s="1163" t="s">
        <v>881</v>
      </c>
      <c r="AQ122" s="1163" t="s">
        <v>881</v>
      </c>
      <c r="AR122" s="1163" t="s">
        <v>881</v>
      </c>
      <c r="AS122" s="1170" t="s">
        <v>881</v>
      </c>
      <c r="AT122" s="1170" t="s">
        <v>881</v>
      </c>
      <c r="AU122" s="1170" t="s">
        <v>881</v>
      </c>
      <c r="AV122" s="1170" t="s">
        <v>881</v>
      </c>
      <c r="AW122" s="1170" t="s">
        <v>881</v>
      </c>
      <c r="AX122" s="1170" t="s">
        <v>881</v>
      </c>
      <c r="AY122" s="1170" t="s">
        <v>881</v>
      </c>
      <c r="AZ122" s="1170" t="s">
        <v>881</v>
      </c>
      <c r="BA122" s="1170" t="s">
        <v>881</v>
      </c>
      <c r="BB122" s="1163" t="s">
        <v>881</v>
      </c>
      <c r="BC122" s="1163" t="s">
        <v>881</v>
      </c>
      <c r="BD122" s="1163" t="s">
        <v>881</v>
      </c>
      <c r="BE122" s="1163" t="s">
        <v>881</v>
      </c>
      <c r="BF122" s="1163" t="s">
        <v>881</v>
      </c>
      <c r="BG122" s="1163" t="s">
        <v>881</v>
      </c>
      <c r="BH122" s="1163" t="s">
        <v>881</v>
      </c>
      <c r="BI122" s="1163" t="s">
        <v>881</v>
      </c>
      <c r="BJ122" s="1163" t="s">
        <v>881</v>
      </c>
      <c r="BK122" s="1170" t="s">
        <v>881</v>
      </c>
      <c r="BL122" s="1170" t="s">
        <v>881</v>
      </c>
      <c r="BM122" s="1170" t="s">
        <v>881</v>
      </c>
      <c r="BN122" s="1170" t="s">
        <v>881</v>
      </c>
      <c r="BO122" s="1170" t="s">
        <v>881</v>
      </c>
      <c r="BP122" s="1170" t="s">
        <v>881</v>
      </c>
      <c r="BQ122" s="1170" t="s">
        <v>881</v>
      </c>
      <c r="BR122" s="1170" t="s">
        <v>881</v>
      </c>
      <c r="BS122" s="1170" t="s">
        <v>881</v>
      </c>
      <c r="BT122" s="579"/>
      <c r="BU122" s="579"/>
      <c r="BV122" s="579"/>
      <c r="BW122" s="579"/>
      <c r="BX122" s="579"/>
      <c r="BY122" s="579"/>
      <c r="BZ122" s="579"/>
      <c r="CA122" s="579"/>
      <c r="CB122" s="579"/>
      <c r="CC122" s="578"/>
      <c r="CD122" s="578"/>
      <c r="CE122" s="578"/>
      <c r="CF122" s="578"/>
      <c r="CG122" s="578"/>
      <c r="CH122" s="578"/>
      <c r="CI122" s="578"/>
      <c r="CJ122" s="578"/>
      <c r="CK122" s="578"/>
      <c r="CL122" s="579"/>
      <c r="CM122" s="579"/>
      <c r="CN122" s="579"/>
      <c r="CO122" s="579"/>
      <c r="CP122" s="579"/>
      <c r="CQ122" s="579"/>
      <c r="CR122" s="579"/>
      <c r="CS122" s="579"/>
      <c r="CT122" s="579"/>
      <c r="CU122" s="578"/>
      <c r="CV122" s="578"/>
      <c r="CW122" s="578"/>
      <c r="CX122" s="578"/>
      <c r="CY122" s="578"/>
      <c r="CZ122" s="578"/>
      <c r="DA122" s="578"/>
      <c r="DB122" s="578"/>
      <c r="DC122" s="578"/>
    </row>
    <row r="123" spans="1:107">
      <c r="A123" s="1167" t="s">
        <v>1245</v>
      </c>
      <c r="B123" s="1167" t="s">
        <v>1244</v>
      </c>
      <c r="C123" s="1166" t="s">
        <v>1030</v>
      </c>
      <c r="D123" s="1166" t="s">
        <v>974</v>
      </c>
      <c r="E123" s="577">
        <v>0.8</v>
      </c>
      <c r="F123" s="574">
        <v>0.65390000000000004</v>
      </c>
      <c r="G123" s="576">
        <v>100</v>
      </c>
      <c r="H123" s="574">
        <v>5.4792932135188872</v>
      </c>
      <c r="I123" s="1164"/>
      <c r="J123" s="575">
        <v>1</v>
      </c>
      <c r="K123" s="574">
        <v>4.4786372904</v>
      </c>
      <c r="L123" s="574">
        <v>3.5829098323200004</v>
      </c>
      <c r="M123" s="1164"/>
      <c r="N123" s="1168"/>
      <c r="O123" s="1164"/>
      <c r="P123" s="1163" t="s">
        <v>881</v>
      </c>
      <c r="Q123" s="1164"/>
      <c r="R123" s="1164"/>
      <c r="S123" s="1164"/>
      <c r="T123" s="1164"/>
      <c r="U123" s="1163" t="s">
        <v>881</v>
      </c>
      <c r="V123" s="1164"/>
      <c r="W123" s="1164"/>
      <c r="X123" s="1164"/>
      <c r="Y123" s="1164"/>
      <c r="Z123" s="573">
        <v>0.8</v>
      </c>
      <c r="AA123" s="572">
        <v>0.8</v>
      </c>
      <c r="AB123" s="572">
        <v>0.8</v>
      </c>
      <c r="AC123" s="572">
        <v>0.8</v>
      </c>
      <c r="AD123" s="572">
        <v>0.8</v>
      </c>
      <c r="AE123" s="572">
        <v>0.8</v>
      </c>
      <c r="AF123" s="572">
        <v>0.8</v>
      </c>
      <c r="AG123" s="1164"/>
      <c r="AH123" s="1163">
        <v>28</v>
      </c>
      <c r="AI123" s="1162"/>
      <c r="AJ123" s="1163" t="s">
        <v>881</v>
      </c>
      <c r="AK123" s="1163" t="s">
        <v>881</v>
      </c>
      <c r="AL123" s="1163" t="s">
        <v>881</v>
      </c>
      <c r="AM123" s="1163" t="s">
        <v>881</v>
      </c>
      <c r="AN123" s="1163" t="s">
        <v>881</v>
      </c>
      <c r="AO123" s="1163" t="s">
        <v>881</v>
      </c>
      <c r="AP123" s="1163" t="s">
        <v>881</v>
      </c>
      <c r="AQ123" s="1163" t="s">
        <v>881</v>
      </c>
      <c r="AR123" s="1163" t="s">
        <v>881</v>
      </c>
      <c r="AS123" s="1170" t="s">
        <v>881</v>
      </c>
      <c r="AT123" s="1170" t="s">
        <v>881</v>
      </c>
      <c r="AU123" s="1170" t="s">
        <v>881</v>
      </c>
      <c r="AV123" s="1170" t="s">
        <v>881</v>
      </c>
      <c r="AW123" s="1170" t="s">
        <v>881</v>
      </c>
      <c r="AX123" s="1170" t="s">
        <v>881</v>
      </c>
      <c r="AY123" s="1170" t="s">
        <v>881</v>
      </c>
      <c r="AZ123" s="1170" t="s">
        <v>881</v>
      </c>
      <c r="BA123" s="1170" t="s">
        <v>881</v>
      </c>
      <c r="BB123" s="1163" t="s">
        <v>881</v>
      </c>
      <c r="BC123" s="1163" t="s">
        <v>881</v>
      </c>
      <c r="BD123" s="1163" t="s">
        <v>881</v>
      </c>
      <c r="BE123" s="1163" t="s">
        <v>881</v>
      </c>
      <c r="BF123" s="1163" t="s">
        <v>881</v>
      </c>
      <c r="BG123" s="1163" t="s">
        <v>881</v>
      </c>
      <c r="BH123" s="1163" t="s">
        <v>881</v>
      </c>
      <c r="BI123" s="1163" t="s">
        <v>881</v>
      </c>
      <c r="BJ123" s="1163" t="s">
        <v>881</v>
      </c>
      <c r="BK123" s="1170" t="s">
        <v>881</v>
      </c>
      <c r="BL123" s="1170" t="s">
        <v>881</v>
      </c>
      <c r="BM123" s="1170" t="s">
        <v>881</v>
      </c>
      <c r="BN123" s="1170" t="s">
        <v>881</v>
      </c>
      <c r="BO123" s="1170" t="s">
        <v>881</v>
      </c>
      <c r="BP123" s="1170" t="s">
        <v>881</v>
      </c>
      <c r="BQ123" s="1170" t="s">
        <v>881</v>
      </c>
      <c r="BR123" s="1170" t="s">
        <v>881</v>
      </c>
      <c r="BS123" s="1170" t="s">
        <v>881</v>
      </c>
      <c r="BT123" s="579"/>
      <c r="BU123" s="579"/>
      <c r="BV123" s="579"/>
      <c r="BW123" s="579"/>
      <c r="BX123" s="579"/>
      <c r="BY123" s="579"/>
      <c r="BZ123" s="579"/>
      <c r="CA123" s="579"/>
      <c r="CB123" s="579"/>
      <c r="CC123" s="578"/>
      <c r="CD123" s="578"/>
      <c r="CE123" s="578"/>
      <c r="CF123" s="578"/>
      <c r="CG123" s="578"/>
      <c r="CH123" s="578"/>
      <c r="CI123" s="578"/>
      <c r="CJ123" s="578"/>
      <c r="CK123" s="578"/>
      <c r="CL123" s="579"/>
      <c r="CM123" s="579"/>
      <c r="CN123" s="579"/>
      <c r="CO123" s="579"/>
      <c r="CP123" s="579"/>
      <c r="CQ123" s="579"/>
      <c r="CR123" s="579"/>
      <c r="CS123" s="579"/>
      <c r="CT123" s="579"/>
      <c r="CU123" s="578"/>
      <c r="CV123" s="578"/>
      <c r="CW123" s="578"/>
      <c r="CX123" s="578"/>
      <c r="CY123" s="578"/>
      <c r="CZ123" s="578"/>
      <c r="DA123" s="578"/>
      <c r="DB123" s="578"/>
      <c r="DC123" s="578"/>
    </row>
    <row r="124" spans="1:107">
      <c r="A124" s="1167" t="s">
        <v>1243</v>
      </c>
      <c r="B124" s="1167" t="s">
        <v>1242</v>
      </c>
      <c r="C124" s="1166" t="s">
        <v>1030</v>
      </c>
      <c r="D124" s="1166" t="s">
        <v>973</v>
      </c>
      <c r="E124" s="577">
        <v>0.8</v>
      </c>
      <c r="F124" s="574">
        <v>0.5323</v>
      </c>
      <c r="G124" s="576">
        <v>100</v>
      </c>
      <c r="H124" s="574">
        <v>62.074752349877897</v>
      </c>
      <c r="I124" s="1164"/>
      <c r="J124" s="575">
        <v>1</v>
      </c>
      <c r="K124" s="574">
        <v>41.302988344799999</v>
      </c>
      <c r="L124" s="574">
        <v>33.042390675840004</v>
      </c>
      <c r="M124" s="1164"/>
      <c r="N124" s="1168"/>
      <c r="O124" s="1164"/>
      <c r="P124" s="1163" t="s">
        <v>881</v>
      </c>
      <c r="Q124" s="1164"/>
      <c r="R124" s="1164"/>
      <c r="S124" s="1164"/>
      <c r="T124" s="1164"/>
      <c r="U124" s="1163" t="s">
        <v>881</v>
      </c>
      <c r="V124" s="1164"/>
      <c r="W124" s="1164"/>
      <c r="X124" s="1164"/>
      <c r="Y124" s="1164"/>
      <c r="Z124" s="573">
        <v>0.8</v>
      </c>
      <c r="AA124" s="572">
        <v>0.8</v>
      </c>
      <c r="AB124" s="572">
        <v>0.8</v>
      </c>
      <c r="AC124" s="572">
        <v>0.8</v>
      </c>
      <c r="AD124" s="572">
        <v>0.8</v>
      </c>
      <c r="AE124" s="572">
        <v>0.8</v>
      </c>
      <c r="AF124" s="572">
        <v>0.8</v>
      </c>
      <c r="AG124" s="1164"/>
      <c r="AH124" s="1163">
        <v>29</v>
      </c>
      <c r="AI124" s="1162"/>
      <c r="AJ124" s="1163" t="s">
        <v>881</v>
      </c>
      <c r="AK124" s="1163" t="s">
        <v>881</v>
      </c>
      <c r="AL124" s="1163" t="s">
        <v>881</v>
      </c>
      <c r="AM124" s="1163" t="s">
        <v>881</v>
      </c>
      <c r="AN124" s="1163" t="s">
        <v>881</v>
      </c>
      <c r="AO124" s="1163" t="s">
        <v>881</v>
      </c>
      <c r="AP124" s="1163" t="s">
        <v>881</v>
      </c>
      <c r="AQ124" s="1163" t="s">
        <v>881</v>
      </c>
      <c r="AR124" s="1163" t="s">
        <v>881</v>
      </c>
      <c r="AS124" s="1170" t="s">
        <v>881</v>
      </c>
      <c r="AT124" s="1170" t="s">
        <v>881</v>
      </c>
      <c r="AU124" s="1170" t="s">
        <v>881</v>
      </c>
      <c r="AV124" s="1170" t="s">
        <v>881</v>
      </c>
      <c r="AW124" s="1170" t="s">
        <v>881</v>
      </c>
      <c r="AX124" s="1170" t="s">
        <v>881</v>
      </c>
      <c r="AY124" s="1170" t="s">
        <v>881</v>
      </c>
      <c r="AZ124" s="1170" t="s">
        <v>881</v>
      </c>
      <c r="BA124" s="1170" t="s">
        <v>881</v>
      </c>
      <c r="BB124" s="1163" t="s">
        <v>881</v>
      </c>
      <c r="BC124" s="1163" t="s">
        <v>881</v>
      </c>
      <c r="BD124" s="1163" t="s">
        <v>881</v>
      </c>
      <c r="BE124" s="1163" t="s">
        <v>881</v>
      </c>
      <c r="BF124" s="1163" t="s">
        <v>881</v>
      </c>
      <c r="BG124" s="1163" t="s">
        <v>881</v>
      </c>
      <c r="BH124" s="1163" t="s">
        <v>881</v>
      </c>
      <c r="BI124" s="1163" t="s">
        <v>881</v>
      </c>
      <c r="BJ124" s="1163" t="s">
        <v>881</v>
      </c>
      <c r="BK124" s="1170" t="s">
        <v>881</v>
      </c>
      <c r="BL124" s="1170" t="s">
        <v>881</v>
      </c>
      <c r="BM124" s="1170" t="s">
        <v>881</v>
      </c>
      <c r="BN124" s="1170" t="s">
        <v>881</v>
      </c>
      <c r="BO124" s="1170" t="s">
        <v>881</v>
      </c>
      <c r="BP124" s="1170" t="s">
        <v>881</v>
      </c>
      <c r="BQ124" s="1170" t="s">
        <v>881</v>
      </c>
      <c r="BR124" s="1170" t="s">
        <v>881</v>
      </c>
      <c r="BS124" s="1170" t="s">
        <v>881</v>
      </c>
      <c r="BT124" s="579"/>
      <c r="BU124" s="579"/>
      <c r="BV124" s="579"/>
      <c r="BW124" s="579"/>
      <c r="BX124" s="579"/>
      <c r="BY124" s="579"/>
      <c r="BZ124" s="579"/>
      <c r="CA124" s="579"/>
      <c r="CB124" s="579"/>
      <c r="CC124" s="578"/>
      <c r="CD124" s="578"/>
      <c r="CE124" s="578"/>
      <c r="CF124" s="578"/>
      <c r="CG124" s="578"/>
      <c r="CH124" s="578"/>
      <c r="CI124" s="578"/>
      <c r="CJ124" s="578"/>
      <c r="CK124" s="578"/>
      <c r="CL124" s="579"/>
      <c r="CM124" s="579"/>
      <c r="CN124" s="579"/>
      <c r="CO124" s="579"/>
      <c r="CP124" s="579"/>
      <c r="CQ124" s="579"/>
      <c r="CR124" s="579"/>
      <c r="CS124" s="579"/>
      <c r="CT124" s="579"/>
      <c r="CU124" s="578"/>
      <c r="CV124" s="578"/>
      <c r="CW124" s="578"/>
      <c r="CX124" s="578"/>
      <c r="CY124" s="578"/>
      <c r="CZ124" s="578"/>
      <c r="DA124" s="578"/>
      <c r="DB124" s="578"/>
      <c r="DC124" s="578"/>
    </row>
    <row r="125" spans="1:107">
      <c r="A125" s="1167" t="s">
        <v>1241</v>
      </c>
      <c r="B125" s="1167" t="s">
        <v>1240</v>
      </c>
      <c r="C125" s="1166" t="s">
        <v>1030</v>
      </c>
      <c r="D125" s="1166" t="s">
        <v>972</v>
      </c>
      <c r="E125" s="577">
        <v>0.76</v>
      </c>
      <c r="F125" s="574">
        <v>0.6845</v>
      </c>
      <c r="G125" s="576">
        <v>100</v>
      </c>
      <c r="H125" s="574">
        <v>0</v>
      </c>
      <c r="I125" s="1164"/>
      <c r="J125" s="575">
        <v>1</v>
      </c>
      <c r="K125" s="574">
        <v>0</v>
      </c>
      <c r="L125" s="574">
        <v>0</v>
      </c>
      <c r="M125" s="1164"/>
      <c r="N125" s="1168" t="s">
        <v>124</v>
      </c>
      <c r="O125" s="1164"/>
      <c r="P125" s="1163" t="s">
        <v>881</v>
      </c>
      <c r="Q125" s="1164"/>
      <c r="R125" s="1164"/>
      <c r="S125" s="1164"/>
      <c r="T125" s="1164"/>
      <c r="U125" s="1163" t="s">
        <v>881</v>
      </c>
      <c r="V125" s="1164"/>
      <c r="W125" s="1164"/>
      <c r="X125" s="1164"/>
      <c r="Y125" s="1164"/>
      <c r="Z125" s="573">
        <v>0.76</v>
      </c>
      <c r="AA125" s="572">
        <v>0.76</v>
      </c>
      <c r="AB125" s="572">
        <v>0.76</v>
      </c>
      <c r="AC125" s="572">
        <v>0.76</v>
      </c>
      <c r="AD125" s="572">
        <v>0.76</v>
      </c>
      <c r="AE125" s="572">
        <v>0.76</v>
      </c>
      <c r="AF125" s="572">
        <v>0.76</v>
      </c>
      <c r="AG125" s="1164"/>
      <c r="AH125" s="1163">
        <v>30</v>
      </c>
      <c r="AI125" s="1162"/>
      <c r="AJ125" s="1163" t="s">
        <v>881</v>
      </c>
      <c r="AK125" s="1163" t="s">
        <v>881</v>
      </c>
      <c r="AL125" s="1163" t="s">
        <v>881</v>
      </c>
      <c r="AM125" s="1163" t="s">
        <v>881</v>
      </c>
      <c r="AN125" s="1163" t="s">
        <v>881</v>
      </c>
      <c r="AO125" s="1163" t="s">
        <v>881</v>
      </c>
      <c r="AP125" s="1163" t="s">
        <v>881</v>
      </c>
      <c r="AQ125" s="1163" t="s">
        <v>881</v>
      </c>
      <c r="AR125" s="1163" t="s">
        <v>881</v>
      </c>
      <c r="AS125" s="1170" t="s">
        <v>881</v>
      </c>
      <c r="AT125" s="1170" t="s">
        <v>881</v>
      </c>
      <c r="AU125" s="1170" t="s">
        <v>881</v>
      </c>
      <c r="AV125" s="1170" t="s">
        <v>881</v>
      </c>
      <c r="AW125" s="1170" t="s">
        <v>881</v>
      </c>
      <c r="AX125" s="1170" t="s">
        <v>881</v>
      </c>
      <c r="AY125" s="1170" t="s">
        <v>881</v>
      </c>
      <c r="AZ125" s="1170" t="s">
        <v>881</v>
      </c>
      <c r="BA125" s="1170" t="s">
        <v>881</v>
      </c>
      <c r="BB125" s="1163" t="s">
        <v>881</v>
      </c>
      <c r="BC125" s="1163" t="s">
        <v>881</v>
      </c>
      <c r="BD125" s="1163" t="s">
        <v>881</v>
      </c>
      <c r="BE125" s="1163" t="s">
        <v>881</v>
      </c>
      <c r="BF125" s="1163" t="s">
        <v>881</v>
      </c>
      <c r="BG125" s="1163" t="s">
        <v>881</v>
      </c>
      <c r="BH125" s="1163" t="s">
        <v>881</v>
      </c>
      <c r="BI125" s="1163" t="s">
        <v>881</v>
      </c>
      <c r="BJ125" s="1163" t="s">
        <v>881</v>
      </c>
      <c r="BK125" s="1170" t="s">
        <v>881</v>
      </c>
      <c r="BL125" s="1170" t="s">
        <v>881</v>
      </c>
      <c r="BM125" s="1170" t="s">
        <v>881</v>
      </c>
      <c r="BN125" s="1170" t="s">
        <v>881</v>
      </c>
      <c r="BO125" s="1170" t="s">
        <v>881</v>
      </c>
      <c r="BP125" s="1170" t="s">
        <v>881</v>
      </c>
      <c r="BQ125" s="1170" t="s">
        <v>881</v>
      </c>
      <c r="BR125" s="1170" t="s">
        <v>881</v>
      </c>
      <c r="BS125" s="1170" t="s">
        <v>881</v>
      </c>
      <c r="BT125" s="579"/>
      <c r="BU125" s="579"/>
      <c r="BV125" s="579"/>
      <c r="BW125" s="579"/>
      <c r="BX125" s="579"/>
      <c r="BY125" s="579"/>
      <c r="BZ125" s="579"/>
      <c r="CA125" s="579"/>
      <c r="CB125" s="579"/>
      <c r="CC125" s="578"/>
      <c r="CD125" s="578"/>
      <c r="CE125" s="578"/>
      <c r="CF125" s="578"/>
      <c r="CG125" s="578"/>
      <c r="CH125" s="578"/>
      <c r="CI125" s="578"/>
      <c r="CJ125" s="578"/>
      <c r="CK125" s="578"/>
      <c r="CL125" s="579"/>
      <c r="CM125" s="579"/>
      <c r="CN125" s="579"/>
      <c r="CO125" s="579"/>
      <c r="CP125" s="579"/>
      <c r="CQ125" s="579"/>
      <c r="CR125" s="579"/>
      <c r="CS125" s="579"/>
      <c r="CT125" s="579"/>
      <c r="CU125" s="578"/>
      <c r="CV125" s="578"/>
      <c r="CW125" s="578"/>
      <c r="CX125" s="578"/>
      <c r="CY125" s="578"/>
      <c r="CZ125" s="578"/>
      <c r="DA125" s="578"/>
      <c r="DB125" s="578"/>
      <c r="DC125" s="578"/>
    </row>
    <row r="126" spans="1:107">
      <c r="A126" s="1167" t="s">
        <v>1045</v>
      </c>
      <c r="B126" s="1167"/>
      <c r="C126" s="1166"/>
      <c r="D126" s="1166" t="s">
        <v>124</v>
      </c>
      <c r="E126" s="577"/>
      <c r="F126" s="574">
        <v>0</v>
      </c>
      <c r="G126" s="576"/>
      <c r="H126" s="574"/>
      <c r="I126" s="1164"/>
      <c r="J126" s="575"/>
      <c r="K126" s="574"/>
      <c r="L126" s="574"/>
      <c r="M126" s="1164"/>
      <c r="N126" s="1168"/>
      <c r="O126" s="1164"/>
      <c r="P126" s="1163" t="s">
        <v>881</v>
      </c>
      <c r="Q126" s="1164"/>
      <c r="R126" s="1164"/>
      <c r="S126" s="1164"/>
      <c r="T126" s="1164"/>
      <c r="U126" s="1163" t="s">
        <v>881</v>
      </c>
      <c r="V126" s="1164"/>
      <c r="W126" s="1164"/>
      <c r="X126" s="1164"/>
      <c r="Y126" s="1164"/>
      <c r="Z126" s="1163" t="s">
        <v>881</v>
      </c>
      <c r="AA126" s="1164"/>
      <c r="AB126" s="1164"/>
      <c r="AC126" s="1164"/>
      <c r="AD126" s="1164"/>
      <c r="AE126" s="1164"/>
      <c r="AF126" s="1164"/>
      <c r="AG126" s="1164"/>
      <c r="AH126" s="1163">
        <v>31</v>
      </c>
      <c r="AI126" s="1162" t="str">
        <f>MID(D126,2,2)</f>
        <v/>
      </c>
      <c r="AJ126" s="1163" t="s">
        <v>881</v>
      </c>
      <c r="AK126" s="1163" t="s">
        <v>881</v>
      </c>
      <c r="AL126" s="1163" t="s">
        <v>881</v>
      </c>
      <c r="AM126" s="1163" t="s">
        <v>881</v>
      </c>
      <c r="AN126" s="1163" t="s">
        <v>881</v>
      </c>
      <c r="AO126" s="1163" t="s">
        <v>881</v>
      </c>
      <c r="AP126" s="1163" t="s">
        <v>881</v>
      </c>
      <c r="AQ126" s="1163" t="s">
        <v>881</v>
      </c>
      <c r="AR126" s="1163" t="s">
        <v>881</v>
      </c>
      <c r="AS126" s="1170" t="s">
        <v>881</v>
      </c>
      <c r="AT126" s="1170" t="s">
        <v>881</v>
      </c>
      <c r="AU126" s="1170" t="s">
        <v>881</v>
      </c>
      <c r="AV126" s="1170" t="s">
        <v>881</v>
      </c>
      <c r="AW126" s="1170" t="s">
        <v>881</v>
      </c>
      <c r="AX126" s="1170" t="s">
        <v>881</v>
      </c>
      <c r="AY126" s="1170" t="s">
        <v>881</v>
      </c>
      <c r="AZ126" s="1170" t="s">
        <v>881</v>
      </c>
      <c r="BA126" s="1170" t="s">
        <v>881</v>
      </c>
      <c r="BB126" s="1163" t="s">
        <v>881</v>
      </c>
      <c r="BC126" s="1163" t="s">
        <v>881</v>
      </c>
      <c r="BD126" s="1163" t="s">
        <v>881</v>
      </c>
      <c r="BE126" s="1163" t="s">
        <v>881</v>
      </c>
      <c r="BF126" s="1163" t="s">
        <v>881</v>
      </c>
      <c r="BG126" s="1163" t="s">
        <v>881</v>
      </c>
      <c r="BH126" s="1163" t="s">
        <v>881</v>
      </c>
      <c r="BI126" s="1163" t="s">
        <v>881</v>
      </c>
      <c r="BJ126" s="1163" t="s">
        <v>881</v>
      </c>
      <c r="BK126" s="1170" t="s">
        <v>881</v>
      </c>
      <c r="BL126" s="1170" t="s">
        <v>881</v>
      </c>
      <c r="BM126" s="1170" t="s">
        <v>881</v>
      </c>
      <c r="BN126" s="1170" t="s">
        <v>881</v>
      </c>
      <c r="BO126" s="1170" t="s">
        <v>881</v>
      </c>
      <c r="BP126" s="1170" t="s">
        <v>881</v>
      </c>
      <c r="BQ126" s="1170" t="s">
        <v>881</v>
      </c>
      <c r="BR126" s="1170" t="s">
        <v>881</v>
      </c>
      <c r="BS126" s="1170" t="s">
        <v>881</v>
      </c>
      <c r="BT126" s="579"/>
      <c r="BU126" s="579"/>
      <c r="BV126" s="579"/>
      <c r="BW126" s="579"/>
      <c r="BX126" s="579"/>
      <c r="BY126" s="579"/>
      <c r="BZ126" s="579"/>
      <c r="CA126" s="579"/>
      <c r="CB126" s="579"/>
      <c r="CC126" s="578"/>
      <c r="CD126" s="578"/>
      <c r="CE126" s="578"/>
      <c r="CF126" s="578"/>
      <c r="CG126" s="578"/>
      <c r="CH126" s="578"/>
      <c r="CI126" s="578"/>
      <c r="CJ126" s="578"/>
      <c r="CK126" s="578"/>
      <c r="CL126" s="587"/>
      <c r="CM126" s="587"/>
      <c r="CN126" s="587"/>
      <c r="CO126" s="587"/>
      <c r="CP126" s="587"/>
      <c r="CQ126" s="587"/>
      <c r="CR126" s="587"/>
      <c r="CS126" s="587"/>
      <c r="CT126" s="587"/>
      <c r="CU126" s="586"/>
      <c r="CV126" s="586"/>
      <c r="CW126" s="586"/>
      <c r="CX126" s="586"/>
      <c r="CY126" s="586"/>
      <c r="CZ126" s="586"/>
      <c r="DA126" s="586"/>
      <c r="DB126" s="586"/>
      <c r="DC126" s="586"/>
    </row>
    <row r="127" spans="1:107">
      <c r="A127" s="1167" t="s">
        <v>1239</v>
      </c>
      <c r="B127" s="1167" t="s">
        <v>1238</v>
      </c>
      <c r="C127" s="1166" t="s">
        <v>1042</v>
      </c>
      <c r="D127" s="1166" t="s">
        <v>971</v>
      </c>
      <c r="E127" s="577">
        <v>0.64</v>
      </c>
      <c r="F127" s="574">
        <v>0.56299999999999994</v>
      </c>
      <c r="G127" s="576">
        <v>100</v>
      </c>
      <c r="H127" s="574">
        <v>142.51733708009726</v>
      </c>
      <c r="I127" s="1164"/>
      <c r="J127" s="575">
        <v>1</v>
      </c>
      <c r="K127" s="574">
        <v>125.37071996264805</v>
      </c>
      <c r="L127" s="574">
        <v>80.237260776094757</v>
      </c>
      <c r="M127" s="1164"/>
      <c r="N127" s="1168"/>
      <c r="O127" s="1164"/>
      <c r="P127" s="1160">
        <v>0.81179550150849511</v>
      </c>
      <c r="Q127" s="572">
        <v>0.86179550150849515</v>
      </c>
      <c r="R127" s="572">
        <v>1</v>
      </c>
      <c r="S127" s="572">
        <v>1</v>
      </c>
      <c r="T127" s="1164"/>
      <c r="U127" s="573">
        <v>0.81179550150849511</v>
      </c>
      <c r="V127" s="572">
        <v>0.48707730090509704</v>
      </c>
      <c r="W127" s="572">
        <v>0.32471820060339807</v>
      </c>
      <c r="X127" s="572">
        <v>0.16235910030169903</v>
      </c>
      <c r="Y127" s="1164"/>
      <c r="Z127" s="573">
        <v>0.64</v>
      </c>
      <c r="AA127" s="572">
        <v>0.64</v>
      </c>
      <c r="AB127" s="572">
        <v>0.64</v>
      </c>
      <c r="AC127" s="572">
        <v>0.64</v>
      </c>
      <c r="AD127" s="572">
        <v>0.64</v>
      </c>
      <c r="AE127" s="572">
        <v>0.64</v>
      </c>
      <c r="AF127" s="572">
        <v>0.64</v>
      </c>
      <c r="AG127" s="1164"/>
      <c r="AH127" s="1163">
        <v>32</v>
      </c>
      <c r="AI127" s="1162" t="str">
        <f t="shared" ref="AI127:AI135" si="15">MID(D127,2,3)&amp;RIGHT(C127,3)</f>
        <v>ISSCOA</v>
      </c>
      <c r="AJ127" s="1160">
        <f t="shared" ref="AJ127:AR127" si="16">MAX(0,1-SUM(AJ128:AJ132))</f>
        <v>0.81179550150849511</v>
      </c>
      <c r="AK127" s="1160">
        <f t="shared" si="16"/>
        <v>0.81179550150849511</v>
      </c>
      <c r="AL127" s="1160">
        <f t="shared" si="16"/>
        <v>0.81179550150849511</v>
      </c>
      <c r="AM127" s="1160">
        <f t="shared" si="16"/>
        <v>0.81179550150849511</v>
      </c>
      <c r="AN127" s="1160">
        <f t="shared" si="16"/>
        <v>0.81179550150849511</v>
      </c>
      <c r="AO127" s="1160">
        <f t="shared" si="16"/>
        <v>0.81179550150849511</v>
      </c>
      <c r="AP127" s="1160">
        <f t="shared" si="16"/>
        <v>0.81179550150849511</v>
      </c>
      <c r="AQ127" s="1160">
        <f t="shared" si="16"/>
        <v>0.81179550150849511</v>
      </c>
      <c r="AR127" s="1160">
        <f t="shared" si="16"/>
        <v>0.81179550150849511</v>
      </c>
      <c r="AS127" s="1159">
        <v>0.81179550150849511</v>
      </c>
      <c r="AT127" s="1159">
        <v>0.81179550150849511</v>
      </c>
      <c r="AU127" s="1159">
        <v>0.81179550150849511</v>
      </c>
      <c r="AV127" s="1159">
        <v>0.81179550150849511</v>
      </c>
      <c r="AW127" s="1159">
        <v>0.81179550150849511</v>
      </c>
      <c r="AX127" s="1159">
        <v>0.81179550150849511</v>
      </c>
      <c r="AY127" s="1159">
        <v>0.81179550150849511</v>
      </c>
      <c r="AZ127" s="1159">
        <v>0.81179550150849511</v>
      </c>
      <c r="BA127" s="1159">
        <v>0.81179550150849511</v>
      </c>
      <c r="BB127" s="1160">
        <v>0.81179550150849511</v>
      </c>
      <c r="BC127" s="1160">
        <v>0.81179550150849511</v>
      </c>
      <c r="BD127" s="1160">
        <v>0.81179550150849511</v>
      </c>
      <c r="BE127" s="1160">
        <v>0.81179550150849511</v>
      </c>
      <c r="BF127" s="1160">
        <v>0.81179550150849511</v>
      </c>
      <c r="BG127" s="1160">
        <v>0.81179550150849511</v>
      </c>
      <c r="BH127" s="1160">
        <v>0.81179550150849511</v>
      </c>
      <c r="BI127" s="1160">
        <v>0.81179550150849511</v>
      </c>
      <c r="BJ127" s="1160">
        <v>0.81179550150849511</v>
      </c>
      <c r="BK127" s="1159">
        <v>0.81179550150849511</v>
      </c>
      <c r="BL127" s="1159">
        <v>0.81179550150849511</v>
      </c>
      <c r="BM127" s="1159">
        <v>0.81179550150849511</v>
      </c>
      <c r="BN127" s="1159">
        <v>0.81179550150849511</v>
      </c>
      <c r="BO127" s="1159">
        <v>0.81179550150849511</v>
      </c>
      <c r="BP127" s="1159">
        <v>0.81179550150849511</v>
      </c>
      <c r="BQ127" s="1159">
        <v>0.81179550150849511</v>
      </c>
      <c r="BR127" s="1159">
        <v>0.81179550150849511</v>
      </c>
      <c r="BS127" s="1159">
        <v>0.81179550150849511</v>
      </c>
      <c r="BT127" s="579">
        <f t="array" ref="BT127">$Z127  * (1 + SUM( ($AU$80:$AU$83=BT$93) * ($BH$79:$BP$79=BT$94) * ($BH$80:$BP$83) ))</f>
        <v>0.64022400510231114</v>
      </c>
      <c r="BU127" s="579">
        <f t="array" ref="BU127">$Z127  * (1 + SUM( ($AU$80:$AU$83=BU$93) * ($BH$79:$BP$79=BU$94) * ($BH$80:$BP$83) ))</f>
        <v>0.64069135279104783</v>
      </c>
      <c r="BV127" s="579">
        <f t="array" ref="BV127">$Z127  * (1 + SUM( ($AU$80:$AU$83=BV$93) * ($BH$79:$BP$79=BV$94) * ($BH$80:$BP$83) ))</f>
        <v>0.64144256593763005</v>
      </c>
      <c r="BW127" s="579">
        <f t="array" ref="BW127">$Z127  * (1 + SUM( ($AU$80:$AU$83=BW$93) * ($BH$79:$BP$79=BW$94) * ($BH$80:$BP$83) ))</f>
        <v>0.64248678290760342</v>
      </c>
      <c r="BX127" s="579">
        <f t="array" ref="BX127">$Z127  * (1 + SUM( ($AU$80:$AU$83=BX$93) * ($BH$79:$BP$79=BX$94) * ($BH$80:$BP$83) ))</f>
        <v>0.64367912468360744</v>
      </c>
      <c r="BY127" s="579">
        <f t="array" ref="BY127">$Z127  * (1 + SUM( ($AU$80:$AU$83=BY$93) * ($BH$79:$BP$79=BY$94) * ($BH$80:$BP$83) ))</f>
        <v>0.64476988832074622</v>
      </c>
      <c r="BZ127" s="579">
        <f t="array" ref="BZ127">$Z127  * (1 + SUM( ($AU$80:$AU$83=BZ$93) * ($BH$79:$BP$79=BZ$94) * ($BH$80:$BP$83) ))</f>
        <v>0.64558309357480281</v>
      </c>
      <c r="CA127" s="579">
        <f t="array" ref="CA127">$Z127  * (1 + SUM( ($AU$80:$AU$83=CA$93) * ($BH$79:$BP$79=CA$94) * ($BH$80:$BP$83) ))</f>
        <v>0.6461016007575977</v>
      </c>
      <c r="CB127" s="579">
        <f t="array" ref="CB127">$Z127  * (1 + SUM( ($AU$80:$AU$83=CB$93) * ($BH$79:$BP$79=CB$94) * ($BH$80:$BP$83) ))</f>
        <v>0.64639999999999997</v>
      </c>
      <c r="CC127" s="578">
        <f t="array" ref="CC127">$Z127  * (1 + SUM( ($AU$80:$AU$83=CC$93) * ($BH$79:$BP$79=CC$94) * ($BH$80:$BP$83) ))</f>
        <v>0.6433600765346662</v>
      </c>
      <c r="CD127" s="578">
        <f t="array" ref="CD127">$Z127  * (1 + SUM( ($AU$80:$AU$83=CD$93) * ($BH$79:$BP$79=CD$94) * ($BH$80:$BP$83) ))</f>
        <v>0.65037029186571771</v>
      </c>
      <c r="CE127" s="578">
        <f t="array" ref="CE127">$Z127  * (1 + SUM( ($AU$80:$AU$83=CE$93) * ($BH$79:$BP$79=CE$94) * ($BH$80:$BP$83) ))</f>
        <v>0.66163848906445089</v>
      </c>
      <c r="CF127" s="578">
        <f t="array" ref="CF127">$Z127  * (1 + SUM( ($AU$80:$AU$83=CF$93) * ($BH$79:$BP$79=CF$94) * ($BH$80:$BP$83) ))</f>
        <v>0.67730174361405104</v>
      </c>
      <c r="CG127" s="578">
        <f t="array" ref="CG127">$Z127  * (1 + SUM( ($AU$80:$AU$83=CG$93) * ($BH$79:$BP$79=CG$94) * ($BH$80:$BP$83) ))</f>
        <v>0.69518687025411108</v>
      </c>
      <c r="CH127" s="578">
        <f t="array" ref="CH127">$Z127  * (1 + SUM( ($AU$80:$AU$83=CH$93) * ($BH$79:$BP$79=CH$94) * ($BH$80:$BP$83) ))</f>
        <v>0.7115483248111929</v>
      </c>
      <c r="CI127" s="578">
        <f t="array" ref="CI127">$Z127  * (1 + SUM( ($AU$80:$AU$83=CI$93) * ($BH$79:$BP$79=CI$94) * ($BH$80:$BP$83) ))</f>
        <v>0.72374640362204334</v>
      </c>
      <c r="CJ127" s="578">
        <f t="array" ref="CJ127">$Z127  * (1 + SUM( ($AU$80:$AU$83=CJ$93) * ($BH$79:$BP$79=CJ$94) * ($BH$80:$BP$83) ))</f>
        <v>0.73152401136396494</v>
      </c>
      <c r="CK127" s="578">
        <f t="array" ref="CK127">$Z127  * (1 + SUM( ($AU$80:$AU$83=CK$93) * ($BH$79:$BP$79=CK$94) * ($BH$80:$BP$83) ))</f>
        <v>0.73599999999999999</v>
      </c>
      <c r="CL127" s="579">
        <f t="array" ref="CL127">$Z127  * (1 + SUM( ($AU$80:$AU$83=CL$93) * ($BH$79:$BP$79=CL$94) * ($BH$80:$BP$83) ))</f>
        <v>0.6467201530693325</v>
      </c>
      <c r="CM127" s="579">
        <f t="array" ref="CM127">$Z127  * (1 + SUM( ($AU$80:$AU$83=CM$93) * ($BH$79:$BP$79=CM$94) * ($BH$80:$BP$83) ))</f>
        <v>0.66074058373143563</v>
      </c>
      <c r="CN127" s="579">
        <f t="array" ref="CN127">$Z127  * (1 + SUM( ($AU$80:$AU$83=CN$93) * ($BH$79:$BP$79=CN$94) * ($BH$80:$BP$83) ))</f>
        <v>0.68327697812890165</v>
      </c>
      <c r="CO127" s="579">
        <f t="array" ref="CO127">$Z127  * (1 + SUM( ($AU$80:$AU$83=CO$93) * ($BH$79:$BP$79=CO$94) * ($BH$80:$BP$83) ))</f>
        <v>0.71460348722810196</v>
      </c>
      <c r="CP127" s="579">
        <f t="array" ref="CP127">$Z127  * (1 + SUM( ($AU$80:$AU$83=CP$93) * ($BH$79:$BP$79=CP$94) * ($BH$80:$BP$83) ))</f>
        <v>0.75037374050822236</v>
      </c>
      <c r="CQ127" s="579">
        <f t="array" ref="CQ127">$Z127  * (1 + SUM( ($AU$80:$AU$83=CQ$93) * ($BH$79:$BP$79=CQ$94) * ($BH$80:$BP$83) ))</f>
        <v>0.78309664962238568</v>
      </c>
      <c r="CR127" s="579">
        <f t="array" ref="CR127">$Z127  * (1 + SUM( ($AU$80:$AU$83=CR$93) * ($BH$79:$BP$79=CR$94) * ($BH$80:$BP$83) ))</f>
        <v>0.80749280724408679</v>
      </c>
      <c r="CS127" s="579">
        <f t="array" ref="CS127">$Z127  * (1 + SUM( ($AU$80:$AU$83=CS$93) * ($BH$79:$BP$79=CS$94) * ($BH$80:$BP$83) ))</f>
        <v>0.82304802272792987</v>
      </c>
      <c r="CT127" s="579">
        <f t="array" ref="CT127">$Z127  * (1 + SUM( ($AU$80:$AU$83=CT$93) * ($BH$79:$BP$79=CT$94) * ($BH$80:$BP$83) ))</f>
        <v>0.83200000000000007</v>
      </c>
      <c r="CU127" s="578">
        <f t="array" ref="CU127">$Z127  * (1 + SUM( ($AU$80:$AU$83=CU$93) * ($BH$79:$BP$79=CU$94) * ($BH$80:$BP$83) ))</f>
        <v>0.64896020409244326</v>
      </c>
      <c r="CV127" s="578">
        <f t="array" ref="CV127">$Z127  * (1 + SUM( ($AU$80:$AU$83=CV$93) * ($BH$79:$BP$79=CV$94) * ($BH$80:$BP$83) ))</f>
        <v>0.66765411164191402</v>
      </c>
      <c r="CW127" s="578">
        <f t="array" ref="CW127">$Z127  * (1 + SUM( ($AU$80:$AU$83=CW$93) * ($BH$79:$BP$79=CW$94) * ($BH$80:$BP$83) ))</f>
        <v>0.69770263750520212</v>
      </c>
      <c r="CX127" s="578">
        <f t="array" ref="CX127">$Z127  * (1 + SUM( ($AU$80:$AU$83=CX$93) * ($BH$79:$BP$79=CX$94) * ($BH$80:$BP$83) ))</f>
        <v>0.73947131630413609</v>
      </c>
      <c r="CY127" s="578">
        <f t="array" ref="CY127">$Z127  * (1 + SUM( ($AU$80:$AU$83=CY$93) * ($BH$79:$BP$79=CY$94) * ($BH$80:$BP$83) ))</f>
        <v>0.78716498734429652</v>
      </c>
      <c r="CZ127" s="578">
        <f t="array" ref="CZ127">$Z127  * (1 + SUM( ($AU$80:$AU$83=CZ$93) * ($BH$79:$BP$79=CZ$94) * ($BH$80:$BP$83) ))</f>
        <v>0.83079553282984764</v>
      </c>
      <c r="DA127" s="578">
        <f t="array" ref="DA127">$Z127  * (1 + SUM( ($AU$80:$AU$83=DA$93) * ($BH$79:$BP$79=DA$94) * ($BH$80:$BP$83) ))</f>
        <v>0.86332374299211578</v>
      </c>
      <c r="DB127" s="578">
        <f t="array" ref="DB127">$Z127  * (1 + SUM( ($AU$80:$AU$83=DB$93) * ($BH$79:$BP$79=DB$94) * ($BH$80:$BP$83) ))</f>
        <v>0.88406403030390646</v>
      </c>
      <c r="DC127" s="578">
        <f t="array" ref="DC127">$Z127  * (1 + SUM( ($AU$80:$AU$83=DC$93) * ($BH$79:$BP$79=DC$94) * ($BH$80:$BP$83) ))</f>
        <v>0.89599999999999991</v>
      </c>
    </row>
    <row r="128" spans="1:107">
      <c r="A128" s="1167" t="s">
        <v>1237</v>
      </c>
      <c r="B128" s="1167" t="s">
        <v>1236</v>
      </c>
      <c r="C128" s="1166" t="s">
        <v>1039</v>
      </c>
      <c r="D128" s="1166" t="s">
        <v>971</v>
      </c>
      <c r="E128" s="577">
        <v>0.72</v>
      </c>
      <c r="F128" s="574">
        <v>0.56299999999999994</v>
      </c>
      <c r="G128" s="576">
        <v>100</v>
      </c>
      <c r="H128" s="574">
        <v>28.104426287744225</v>
      </c>
      <c r="I128" s="1164"/>
      <c r="J128" s="575">
        <v>1</v>
      </c>
      <c r="K128" s="574">
        <v>21.976099999999999</v>
      </c>
      <c r="L128" s="574">
        <v>15.822791999999998</v>
      </c>
      <c r="M128" s="1164"/>
      <c r="N128" s="1168"/>
      <c r="O128" s="1164"/>
      <c r="P128" s="1160">
        <v>0.16008611513731411</v>
      </c>
      <c r="Q128" s="572">
        <v>0.21008611513731412</v>
      </c>
      <c r="R128" s="572">
        <v>0.41008611513731408</v>
      </c>
      <c r="S128" s="572">
        <v>0.66008611513731408</v>
      </c>
      <c r="T128" s="1164"/>
      <c r="U128" s="573">
        <v>0.16008611513731411</v>
      </c>
      <c r="V128" s="1169">
        <v>0.16008611513731411</v>
      </c>
      <c r="W128" s="1169">
        <v>0.16008611513731411</v>
      </c>
      <c r="X128" s="1169">
        <v>0.16008611513731411</v>
      </c>
      <c r="Y128" s="1164"/>
      <c r="Z128" s="573">
        <v>0.72</v>
      </c>
      <c r="AA128" s="572">
        <v>0.72</v>
      </c>
      <c r="AB128" s="572">
        <v>0.72</v>
      </c>
      <c r="AC128" s="572">
        <v>0.72</v>
      </c>
      <c r="AD128" s="572">
        <v>0.72</v>
      </c>
      <c r="AE128" s="572">
        <v>0.72</v>
      </c>
      <c r="AF128" s="572">
        <v>0.72</v>
      </c>
      <c r="AG128" s="1164"/>
      <c r="AH128" s="1163">
        <v>33</v>
      </c>
      <c r="AI128" s="1162" t="str">
        <f t="shared" si="15"/>
        <v>ISSGAS</v>
      </c>
      <c r="AJ128" s="1160">
        <v>0.16008611513731411</v>
      </c>
      <c r="AK128" s="1160">
        <v>0.16008611513731411</v>
      </c>
      <c r="AL128" s="1160">
        <v>0.16008611513731411</v>
      </c>
      <c r="AM128" s="1160">
        <v>0.16008611513731411</v>
      </c>
      <c r="AN128" s="1160">
        <v>0.16008611513731411</v>
      </c>
      <c r="AO128" s="1160">
        <v>0.16008611513731411</v>
      </c>
      <c r="AP128" s="1160">
        <v>0.16008611513731411</v>
      </c>
      <c r="AQ128" s="1160">
        <v>0.16008611513731411</v>
      </c>
      <c r="AR128" s="1160">
        <v>0.16008611513731411</v>
      </c>
      <c r="AS128" s="1181">
        <v>0.16008611513731411</v>
      </c>
      <c r="AT128" s="1181">
        <v>0.16008611513731411</v>
      </c>
      <c r="AU128" s="1181">
        <v>0.16008611513731411</v>
      </c>
      <c r="AV128" s="1181">
        <v>0.16008611513731411</v>
      </c>
      <c r="AW128" s="1181">
        <v>0.16008611513731411</v>
      </c>
      <c r="AX128" s="1181">
        <v>0.16008611513731411</v>
      </c>
      <c r="AY128" s="1181">
        <v>0.16008611513731411</v>
      </c>
      <c r="AZ128" s="1181">
        <v>0.16008611513731411</v>
      </c>
      <c r="BA128" s="1181">
        <v>0.16008611513731411</v>
      </c>
      <c r="BB128" s="1160">
        <v>0.16008611513731411</v>
      </c>
      <c r="BC128" s="1160">
        <v>0.16008611513731411</v>
      </c>
      <c r="BD128" s="1160">
        <v>0.16008611513731411</v>
      </c>
      <c r="BE128" s="1160">
        <v>0.16008611513731411</v>
      </c>
      <c r="BF128" s="1160">
        <v>0.16008611513731411</v>
      </c>
      <c r="BG128" s="1160">
        <v>0.16008611513731411</v>
      </c>
      <c r="BH128" s="1160">
        <v>0.16008611513731411</v>
      </c>
      <c r="BI128" s="1160">
        <v>0.16008611513731411</v>
      </c>
      <c r="BJ128" s="1160">
        <v>0.16008611513731411</v>
      </c>
      <c r="BK128" s="1159">
        <v>0.16008611513731411</v>
      </c>
      <c r="BL128" s="1159">
        <v>0.16008611513731411</v>
      </c>
      <c r="BM128" s="1159">
        <v>0.16008611513731411</v>
      </c>
      <c r="BN128" s="1159">
        <v>0.16008611513731411</v>
      </c>
      <c r="BO128" s="1159">
        <v>0.16008611513731411</v>
      </c>
      <c r="BP128" s="1159">
        <v>0.16008611513731411</v>
      </c>
      <c r="BQ128" s="1159">
        <v>0.16008611513731411</v>
      </c>
      <c r="BR128" s="1159">
        <v>0.16008611513731411</v>
      </c>
      <c r="BS128" s="1159">
        <v>0.16008611513731411</v>
      </c>
      <c r="BT128" s="579">
        <f t="array" ref="BT128">$Z128  * (1 + SUM( ($AU$80:$AU$83=BT$93) * ($BH$79:$BP$79=BT$94) * ($BH$80:$BP$83) ))</f>
        <v>0.72025200574009995</v>
      </c>
      <c r="BU128" s="579">
        <f t="array" ref="BU128">$Z128  * (1 + SUM( ($AU$80:$AU$83=BU$93) * ($BH$79:$BP$79=BU$94) * ($BH$80:$BP$83) ))</f>
        <v>0.72077777188992875</v>
      </c>
      <c r="BV128" s="579">
        <f t="array" ref="BV128">$Z128  * (1 + SUM( ($AU$80:$AU$83=BV$93) * ($BH$79:$BP$79=BV$94) * ($BH$80:$BP$83) ))</f>
        <v>0.72162288667983376</v>
      </c>
      <c r="BW128" s="579">
        <f t="array" ref="BW128">$Z128  * (1 + SUM( ($AU$80:$AU$83=BW$93) * ($BH$79:$BP$79=BW$94) * ($BH$80:$BP$83) ))</f>
        <v>0.72279763077105375</v>
      </c>
      <c r="BX128" s="579">
        <f t="array" ref="BX128">$Z128  * (1 + SUM( ($AU$80:$AU$83=BX$93) * ($BH$79:$BP$79=BX$94) * ($BH$80:$BP$83) ))</f>
        <v>0.72413901526905833</v>
      </c>
      <c r="BY128" s="579">
        <f t="array" ref="BY128">$Z128  * (1 + SUM( ($AU$80:$AU$83=BY$93) * ($BH$79:$BP$79=BY$94) * ($BH$80:$BP$83) ))</f>
        <v>0.72536612436083947</v>
      </c>
      <c r="BZ128" s="579">
        <f t="array" ref="BZ128">$Z128  * (1 + SUM( ($AU$80:$AU$83=BZ$93) * ($BH$79:$BP$79=BZ$94) * ($BH$80:$BP$83) ))</f>
        <v>0.72628098027165311</v>
      </c>
      <c r="CA128" s="579">
        <f t="array" ref="CA128">$Z128  * (1 + SUM( ($AU$80:$AU$83=CA$93) * ($BH$79:$BP$79=CA$94) * ($BH$80:$BP$83) ))</f>
        <v>0.72686430085229736</v>
      </c>
      <c r="CB128" s="579">
        <f t="array" ref="CB128">$Z128  * (1 + SUM( ($AU$80:$AU$83=CB$93) * ($BH$79:$BP$79=CB$94) * ($BH$80:$BP$83) ))</f>
        <v>0.72719999999999996</v>
      </c>
      <c r="CC128" s="578">
        <f t="array" ref="CC128">$Z128  * (1 + SUM( ($AU$80:$AU$83=CC$93) * ($BH$79:$BP$79=CC$94) * ($BH$80:$BP$83) ))</f>
        <v>0.72378008610149946</v>
      </c>
      <c r="CD128" s="578">
        <f t="array" ref="CD128">$Z128  * (1 + SUM( ($AU$80:$AU$83=CD$93) * ($BH$79:$BP$79=CD$94) * ($BH$80:$BP$83) ))</f>
        <v>0.73166657834893245</v>
      </c>
      <c r="CE128" s="578">
        <f t="array" ref="CE128">$Z128  * (1 + SUM( ($AU$80:$AU$83=CE$93) * ($BH$79:$BP$79=CE$94) * ($BH$80:$BP$83) ))</f>
        <v>0.74434330019750716</v>
      </c>
      <c r="CF128" s="578">
        <f t="array" ref="CF128">$Z128  * (1 + SUM( ($AU$80:$AU$83=CF$93) * ($BH$79:$BP$79=CF$94) * ($BH$80:$BP$83) ))</f>
        <v>0.76196446156580744</v>
      </c>
      <c r="CG128" s="578">
        <f t="array" ref="CG128">$Z128  * (1 + SUM( ($AU$80:$AU$83=CG$93) * ($BH$79:$BP$79=CG$94) * ($BH$80:$BP$83) ))</f>
        <v>0.78208522903587496</v>
      </c>
      <c r="CH128" s="578">
        <f t="array" ref="CH128">$Z128  * (1 + SUM( ($AU$80:$AU$83=CH$93) * ($BH$79:$BP$79=CH$94) * ($BH$80:$BP$83) ))</f>
        <v>0.80049186541259199</v>
      </c>
      <c r="CI128" s="578">
        <f t="array" ref="CI128">$Z128  * (1 + SUM( ($AU$80:$AU$83=CI$93) * ($BH$79:$BP$79=CI$94) * ($BH$80:$BP$83) ))</f>
        <v>0.81421470407479868</v>
      </c>
      <c r="CJ128" s="578">
        <f t="array" ref="CJ128">$Z128  * (1 + SUM( ($AU$80:$AU$83=CJ$93) * ($BH$79:$BP$79=CJ$94) * ($BH$80:$BP$83) ))</f>
        <v>0.82296451278446048</v>
      </c>
      <c r="CK128" s="578">
        <f t="array" ref="CK128">$Z128  * (1 + SUM( ($AU$80:$AU$83=CK$93) * ($BH$79:$BP$79=CK$94) * ($BH$80:$BP$83) ))</f>
        <v>0.82799999999999996</v>
      </c>
      <c r="CL128" s="579">
        <f t="array" ref="CL128">$Z128  * (1 + SUM( ($AU$80:$AU$83=CL$93) * ($BH$79:$BP$79=CL$94) * ($BH$80:$BP$83) ))</f>
        <v>0.72756017220299896</v>
      </c>
      <c r="CM128" s="579">
        <f t="array" ref="CM128">$Z128  * (1 + SUM( ($AU$80:$AU$83=CM$93) * ($BH$79:$BP$79=CM$94) * ($BH$80:$BP$83) ))</f>
        <v>0.74333315669786504</v>
      </c>
      <c r="CN128" s="579">
        <f t="array" ref="CN128">$Z128  * (1 + SUM( ($AU$80:$AU$83=CN$93) * ($BH$79:$BP$79=CN$94) * ($BH$80:$BP$83) ))</f>
        <v>0.76868660039501435</v>
      </c>
      <c r="CO128" s="579">
        <f t="array" ref="CO128">$Z128  * (1 + SUM( ($AU$80:$AU$83=CO$93) * ($BH$79:$BP$79=CO$94) * ($BH$80:$BP$83) ))</f>
        <v>0.80392892313161468</v>
      </c>
      <c r="CP128" s="579">
        <f t="array" ref="CP128">$Z128  * (1 + SUM( ($AU$80:$AU$83=CP$93) * ($BH$79:$BP$79=CP$94) * ($BH$80:$BP$83) ))</f>
        <v>0.84417045807175017</v>
      </c>
      <c r="CQ128" s="579">
        <f t="array" ref="CQ128">$Z128  * (1 + SUM( ($AU$80:$AU$83=CQ$93) * ($BH$79:$BP$79=CQ$94) * ($BH$80:$BP$83) ))</f>
        <v>0.88098373082518389</v>
      </c>
      <c r="CR128" s="579">
        <f t="array" ref="CR128">$Z128  * (1 + SUM( ($AU$80:$AU$83=CR$93) * ($BH$79:$BP$79=CR$94) * ($BH$80:$BP$83) ))</f>
        <v>0.90842940814959761</v>
      </c>
      <c r="CS128" s="579">
        <f t="array" ref="CS128">$Z128  * (1 + SUM( ($AU$80:$AU$83=CS$93) * ($BH$79:$BP$79=CS$94) * ($BH$80:$BP$83) ))</f>
        <v>0.92592902556892098</v>
      </c>
      <c r="CT128" s="579">
        <f t="array" ref="CT128">$Z128  * (1 + SUM( ($AU$80:$AU$83=CT$93) * ($BH$79:$BP$79=CT$94) * ($BH$80:$BP$83) ))</f>
        <v>0.93599999999999994</v>
      </c>
      <c r="CU128" s="578">
        <f t="array" ref="CU128">$Z128  * (1 + SUM( ($AU$80:$AU$83=CU$93) * ($BH$79:$BP$79=CU$94) * ($BH$80:$BP$83) ))</f>
        <v>0.73008022960399865</v>
      </c>
      <c r="CV128" s="578">
        <f t="array" ref="CV128">$Z128  * (1 + SUM( ($AU$80:$AU$83=CV$93) * ($BH$79:$BP$79=CV$94) * ($BH$80:$BP$83) ))</f>
        <v>0.75111087559715328</v>
      </c>
      <c r="CW128" s="578">
        <f t="array" ref="CW128">$Z128  * (1 + SUM( ($AU$80:$AU$83=CW$93) * ($BH$79:$BP$79=CW$94) * ($BH$80:$BP$83) ))</f>
        <v>0.78491546719335237</v>
      </c>
      <c r="CX128" s="578">
        <f t="array" ref="CX128">$Z128  * (1 + SUM( ($AU$80:$AU$83=CX$93) * ($BH$79:$BP$79=CX$94) * ($BH$80:$BP$83) ))</f>
        <v>0.83190523084215307</v>
      </c>
      <c r="CY128" s="578">
        <f t="array" ref="CY128">$Z128  * (1 + SUM( ($AU$80:$AU$83=CY$93) * ($BH$79:$BP$79=CY$94) * ($BH$80:$BP$83) ))</f>
        <v>0.8855606107623335</v>
      </c>
      <c r="CZ128" s="578">
        <f t="array" ref="CZ128">$Z128  * (1 + SUM( ($AU$80:$AU$83=CZ$93) * ($BH$79:$BP$79=CZ$94) * ($BH$80:$BP$83) ))</f>
        <v>0.93464497443357852</v>
      </c>
      <c r="DA128" s="578">
        <f t="array" ref="DA128">$Z128  * (1 + SUM( ($AU$80:$AU$83=DA$93) * ($BH$79:$BP$79=DA$94) * ($BH$80:$BP$83) ))</f>
        <v>0.97123921086613019</v>
      </c>
      <c r="DB128" s="578">
        <f t="array" ref="DB128">$Z128  * (1 + SUM( ($AU$80:$AU$83=DB$93) * ($BH$79:$BP$79=DB$94) * ($BH$80:$BP$83) ))</f>
        <v>0.99457203409189476</v>
      </c>
      <c r="DC128" s="578">
        <f t="array" ref="DC128">$Z128  * (1 + SUM( ($AU$80:$AU$83=DC$93) * ($BH$79:$BP$79=DC$94) * ($BH$80:$BP$83) ))</f>
        <v>1.008</v>
      </c>
    </row>
    <row r="129" spans="1:107">
      <c r="A129" s="1167" t="s">
        <v>1235</v>
      </c>
      <c r="B129" s="1167" t="s">
        <v>1234</v>
      </c>
      <c r="C129" s="1166" t="s">
        <v>1036</v>
      </c>
      <c r="D129" s="1166" t="s">
        <v>971</v>
      </c>
      <c r="E129" s="577">
        <v>0.68</v>
      </c>
      <c r="F129" s="574">
        <v>0.56299999999999994</v>
      </c>
      <c r="G129" s="576">
        <v>100</v>
      </c>
      <c r="H129" s="574">
        <v>0</v>
      </c>
      <c r="I129" s="1164"/>
      <c r="J129" s="575">
        <v>1</v>
      </c>
      <c r="K129" s="574">
        <v>0</v>
      </c>
      <c r="L129" s="574">
        <v>0</v>
      </c>
      <c r="M129" s="1164"/>
      <c r="N129" s="1168"/>
      <c r="O129" s="1164"/>
      <c r="P129" s="1160">
        <v>0</v>
      </c>
      <c r="Q129" s="572">
        <v>0.05</v>
      </c>
      <c r="R129" s="572">
        <v>0.25</v>
      </c>
      <c r="S129" s="572">
        <v>0.5</v>
      </c>
      <c r="T129" s="1164"/>
      <c r="U129" s="573">
        <v>0</v>
      </c>
      <c r="V129" s="572">
        <v>0</v>
      </c>
      <c r="W129" s="572">
        <v>0</v>
      </c>
      <c r="X129" s="572">
        <v>0</v>
      </c>
      <c r="Y129" s="1164"/>
      <c r="Z129" s="573">
        <v>0.68</v>
      </c>
      <c r="AA129" s="572">
        <v>0.68</v>
      </c>
      <c r="AB129" s="572">
        <v>0.68</v>
      </c>
      <c r="AC129" s="572">
        <v>0.68</v>
      </c>
      <c r="AD129" s="572">
        <v>0.68</v>
      </c>
      <c r="AE129" s="572">
        <v>0.68</v>
      </c>
      <c r="AF129" s="572">
        <v>0.68</v>
      </c>
      <c r="AG129" s="1164"/>
      <c r="AH129" s="1163">
        <v>34</v>
      </c>
      <c r="AI129" s="1162" t="str">
        <f t="shared" si="15"/>
        <v>ISSOHF</v>
      </c>
      <c r="AJ129" s="1160">
        <v>0</v>
      </c>
      <c r="AK129" s="1160">
        <v>0</v>
      </c>
      <c r="AL129" s="1160">
        <v>0</v>
      </c>
      <c r="AM129" s="1160">
        <v>0</v>
      </c>
      <c r="AN129" s="1160">
        <v>0</v>
      </c>
      <c r="AO129" s="1160">
        <v>0</v>
      </c>
      <c r="AP129" s="1160">
        <v>0</v>
      </c>
      <c r="AQ129" s="1160">
        <v>0</v>
      </c>
      <c r="AR129" s="1160">
        <v>0</v>
      </c>
      <c r="AS129" s="1159">
        <v>0</v>
      </c>
      <c r="AT129" s="1159">
        <v>0</v>
      </c>
      <c r="AU129" s="1159">
        <v>0</v>
      </c>
      <c r="AV129" s="1159">
        <v>0</v>
      </c>
      <c r="AW129" s="1159">
        <v>0</v>
      </c>
      <c r="AX129" s="1159">
        <v>0</v>
      </c>
      <c r="AY129" s="1159">
        <v>0</v>
      </c>
      <c r="AZ129" s="1159">
        <v>0</v>
      </c>
      <c r="BA129" s="1159">
        <v>0</v>
      </c>
      <c r="BB129" s="1160">
        <v>0</v>
      </c>
      <c r="BC129" s="1160">
        <v>0</v>
      </c>
      <c r="BD129" s="1160">
        <v>0</v>
      </c>
      <c r="BE129" s="1160">
        <v>0</v>
      </c>
      <c r="BF129" s="1160">
        <v>0</v>
      </c>
      <c r="BG129" s="1160">
        <v>0</v>
      </c>
      <c r="BH129" s="1160">
        <v>0</v>
      </c>
      <c r="BI129" s="1160">
        <v>0</v>
      </c>
      <c r="BJ129" s="1160">
        <v>0</v>
      </c>
      <c r="BK129" s="1159">
        <v>0</v>
      </c>
      <c r="BL129" s="1159">
        <v>0</v>
      </c>
      <c r="BM129" s="1159">
        <v>0</v>
      </c>
      <c r="BN129" s="1159">
        <v>0</v>
      </c>
      <c r="BO129" s="1159">
        <v>0</v>
      </c>
      <c r="BP129" s="1159">
        <v>0</v>
      </c>
      <c r="BQ129" s="1159">
        <v>0</v>
      </c>
      <c r="BR129" s="1159">
        <v>0</v>
      </c>
      <c r="BS129" s="1159">
        <v>0</v>
      </c>
      <c r="BT129" s="579">
        <f t="array" ref="BT129">$Z129  * (1 + SUM( ($AU$80:$AU$83=BT$93) * ($BH$79:$BP$79=BT$94) * ($BH$80:$BP$83) ))</f>
        <v>0.6802380054212056</v>
      </c>
      <c r="BU129" s="579">
        <f t="array" ref="BU129">$Z129  * (1 + SUM( ($AU$80:$AU$83=BU$93) * ($BH$79:$BP$79=BU$94) * ($BH$80:$BP$83) ))</f>
        <v>0.68073456234048835</v>
      </c>
      <c r="BV129" s="579">
        <f t="array" ref="BV129">$Z129  * (1 + SUM( ($AU$80:$AU$83=BV$93) * ($BH$79:$BP$79=BV$94) * ($BH$80:$BP$83) ))</f>
        <v>0.68153272630873196</v>
      </c>
      <c r="BW129" s="579">
        <f t="array" ref="BW129">$Z129  * (1 + SUM( ($AU$80:$AU$83=BW$93) * ($BH$79:$BP$79=BW$94) * ($BH$80:$BP$83) ))</f>
        <v>0.68264220683932864</v>
      </c>
      <c r="BX129" s="579">
        <f t="array" ref="BX129">$Z129  * (1 + SUM( ($AU$80:$AU$83=BX$93) * ($BH$79:$BP$79=BX$94) * ($BH$80:$BP$83) ))</f>
        <v>0.68390906997633294</v>
      </c>
      <c r="BY129" s="579">
        <f t="array" ref="BY129">$Z129  * (1 + SUM( ($AU$80:$AU$83=BY$93) * ($BH$79:$BP$79=BY$94) * ($BH$80:$BP$83) ))</f>
        <v>0.6850680063407929</v>
      </c>
      <c r="BZ129" s="579">
        <f t="array" ref="BZ129">$Z129  * (1 + SUM( ($AU$80:$AU$83=BZ$93) * ($BH$79:$BP$79=BZ$94) * ($BH$80:$BP$83) ))</f>
        <v>0.68593203692322802</v>
      </c>
      <c r="CA129" s="579">
        <f t="array" ref="CA129">$Z129  * (1 + SUM( ($AU$80:$AU$83=CA$93) * ($BH$79:$BP$79=CA$94) * ($BH$80:$BP$83) ))</f>
        <v>0.68648295080494759</v>
      </c>
      <c r="CB129" s="579">
        <f t="array" ref="CB129">$Z129  * (1 + SUM( ($AU$80:$AU$83=CB$93) * ($BH$79:$BP$79=CB$94) * ($BH$80:$BP$83) ))</f>
        <v>0.68680000000000008</v>
      </c>
      <c r="CC129" s="578">
        <f t="array" ref="CC129">$Z129  * (1 + SUM( ($AU$80:$AU$83=CC$93) * ($BH$79:$BP$79=CC$94) * ($BH$80:$BP$83) ))</f>
        <v>0.68357008131808294</v>
      </c>
      <c r="CD129" s="578">
        <f t="array" ref="CD129">$Z129  * (1 + SUM( ($AU$80:$AU$83=CD$93) * ($BH$79:$BP$79=CD$94) * ($BH$80:$BP$83) ))</f>
        <v>0.69101843510732508</v>
      </c>
      <c r="CE129" s="578">
        <f t="array" ref="CE129">$Z129  * (1 + SUM( ($AU$80:$AU$83=CE$93) * ($BH$79:$BP$79=CE$94) * ($BH$80:$BP$83) ))</f>
        <v>0.70299089463097908</v>
      </c>
      <c r="CF129" s="578">
        <f t="array" ref="CF129">$Z129  * (1 + SUM( ($AU$80:$AU$83=CF$93) * ($BH$79:$BP$79=CF$94) * ($BH$80:$BP$83) ))</f>
        <v>0.7196331025899293</v>
      </c>
      <c r="CG129" s="578">
        <f t="array" ref="CG129">$Z129  * (1 + SUM( ($AU$80:$AU$83=CG$93) * ($BH$79:$BP$79=CG$94) * ($BH$80:$BP$83) ))</f>
        <v>0.73863604964499308</v>
      </c>
      <c r="CH129" s="578">
        <f t="array" ref="CH129">$Z129  * (1 + SUM( ($AU$80:$AU$83=CH$93) * ($BH$79:$BP$79=CH$94) * ($BH$80:$BP$83) ))</f>
        <v>0.7560200951118925</v>
      </c>
      <c r="CI129" s="578">
        <f t="array" ref="CI129">$Z129  * (1 + SUM( ($AU$80:$AU$83=CI$93) * ($BH$79:$BP$79=CI$94) * ($BH$80:$BP$83) ))</f>
        <v>0.76898055384842112</v>
      </c>
      <c r="CJ129" s="578">
        <f t="array" ref="CJ129">$Z129  * (1 + SUM( ($AU$80:$AU$83=CJ$93) * ($BH$79:$BP$79=CJ$94) * ($BH$80:$BP$83) ))</f>
        <v>0.77724426207421282</v>
      </c>
      <c r="CK129" s="578">
        <f t="array" ref="CK129">$Z129  * (1 + SUM( ($AU$80:$AU$83=CK$93) * ($BH$79:$BP$79=CK$94) * ($BH$80:$BP$83) ))</f>
        <v>0.78200000000000003</v>
      </c>
      <c r="CL129" s="579">
        <f t="array" ref="CL129">$Z129  * (1 + SUM( ($AU$80:$AU$83=CL$93) * ($BH$79:$BP$79=CL$94) * ($BH$80:$BP$83) ))</f>
        <v>0.68714016263616584</v>
      </c>
      <c r="CM129" s="579">
        <f t="array" ref="CM129">$Z129  * (1 + SUM( ($AU$80:$AU$83=CM$93) * ($BH$79:$BP$79=CM$94) * ($BH$80:$BP$83) ))</f>
        <v>0.70203687021465033</v>
      </c>
      <c r="CN129" s="579">
        <f t="array" ref="CN129">$Z129  * (1 + SUM( ($AU$80:$AU$83=CN$93) * ($BH$79:$BP$79=CN$94) * ($BH$80:$BP$83) ))</f>
        <v>0.725981789261958</v>
      </c>
      <c r="CO129" s="579">
        <f t="array" ref="CO129">$Z129  * (1 + SUM( ($AU$80:$AU$83=CO$93) * ($BH$79:$BP$79=CO$94) * ($BH$80:$BP$83) ))</f>
        <v>0.75926620517985843</v>
      </c>
      <c r="CP129" s="579">
        <f t="array" ref="CP129">$Z129  * (1 + SUM( ($AU$80:$AU$83=CP$93) * ($BH$79:$BP$79=CP$94) * ($BH$80:$BP$83) ))</f>
        <v>0.79727209928998632</v>
      </c>
      <c r="CQ129" s="579">
        <f t="array" ref="CQ129">$Z129  * (1 + SUM( ($AU$80:$AU$83=CQ$93) * ($BH$79:$BP$79=CQ$94) * ($BH$80:$BP$83) ))</f>
        <v>0.83204019022378484</v>
      </c>
      <c r="CR129" s="579">
        <f t="array" ref="CR129">$Z129  * (1 + SUM( ($AU$80:$AU$83=CR$93) * ($BH$79:$BP$79=CR$94) * ($BH$80:$BP$83) ))</f>
        <v>0.85796110769684231</v>
      </c>
      <c r="CS129" s="579">
        <f t="array" ref="CS129">$Z129  * (1 + SUM( ($AU$80:$AU$83=CS$93) * ($BH$79:$BP$79=CS$94) * ($BH$80:$BP$83) ))</f>
        <v>0.87448852414842548</v>
      </c>
      <c r="CT129" s="579">
        <f t="array" ref="CT129">$Z129  * (1 + SUM( ($AU$80:$AU$83=CT$93) * ($BH$79:$BP$79=CT$94) * ($BH$80:$BP$83) ))</f>
        <v>0.88400000000000012</v>
      </c>
      <c r="CU129" s="578">
        <f t="array" ref="CU129">$Z129  * (1 + SUM( ($AU$80:$AU$83=CU$93) * ($BH$79:$BP$79=CU$94) * ($BH$80:$BP$83) ))</f>
        <v>0.68952021684822107</v>
      </c>
      <c r="CV129" s="578">
        <f t="array" ref="CV129">$Z129  * (1 + SUM( ($AU$80:$AU$83=CV$93) * ($BH$79:$BP$79=CV$94) * ($BH$80:$BP$83) ))</f>
        <v>0.70938249361953376</v>
      </c>
      <c r="CW129" s="578">
        <f t="array" ref="CW129">$Z129  * (1 + SUM( ($AU$80:$AU$83=CW$93) * ($BH$79:$BP$79=CW$94) * ($BH$80:$BP$83) ))</f>
        <v>0.74130905234927735</v>
      </c>
      <c r="CX129" s="578">
        <f t="array" ref="CX129">$Z129  * (1 + SUM( ($AU$80:$AU$83=CX$93) * ($BH$79:$BP$79=CX$94) * ($BH$80:$BP$83) ))</f>
        <v>0.78568827357314464</v>
      </c>
      <c r="CY129" s="578">
        <f t="array" ref="CY129">$Z129  * (1 + SUM( ($AU$80:$AU$83=CY$93) * ($BH$79:$BP$79=CY$94) * ($BH$80:$BP$83) ))</f>
        <v>0.83636279905331512</v>
      </c>
      <c r="CZ129" s="578">
        <f t="array" ref="CZ129">$Z129  * (1 + SUM( ($AU$80:$AU$83=CZ$93) * ($BH$79:$BP$79=CZ$94) * ($BH$80:$BP$83) ))</f>
        <v>0.88272025363171314</v>
      </c>
      <c r="DA129" s="578">
        <f t="array" ref="DA129">$Z129  * (1 + SUM( ($AU$80:$AU$83=DA$93) * ($BH$79:$BP$79=DA$94) * ($BH$80:$BP$83) ))</f>
        <v>0.9172814769291231</v>
      </c>
      <c r="DB129" s="578">
        <f t="array" ref="DB129">$Z129  * (1 + SUM( ($AU$80:$AU$83=DB$93) * ($BH$79:$BP$79=DB$94) * ($BH$80:$BP$83) ))</f>
        <v>0.93931803219790067</v>
      </c>
      <c r="DC129" s="578">
        <f t="array" ref="DC129">$Z129  * (1 + SUM( ($AU$80:$AU$83=DC$93) * ($BH$79:$BP$79=DC$94) * ($BH$80:$BP$83) ))</f>
        <v>0.95199999999999996</v>
      </c>
    </row>
    <row r="130" spans="1:107">
      <c r="A130" s="1167" t="s">
        <v>1233</v>
      </c>
      <c r="B130" s="1167" t="s">
        <v>1232</v>
      </c>
      <c r="C130" s="1166" t="s">
        <v>1033</v>
      </c>
      <c r="D130" s="1166" t="s">
        <v>971</v>
      </c>
      <c r="E130" s="577">
        <v>0.72</v>
      </c>
      <c r="F130" s="574">
        <v>0.56299999999999994</v>
      </c>
      <c r="G130" s="576">
        <v>100</v>
      </c>
      <c r="H130" s="574">
        <v>4.9364120781527534</v>
      </c>
      <c r="I130" s="1164"/>
      <c r="J130" s="575">
        <v>1</v>
      </c>
      <c r="K130" s="574">
        <v>3.86</v>
      </c>
      <c r="L130" s="574">
        <v>2.7791999999999999</v>
      </c>
      <c r="M130" s="1164"/>
      <c r="N130" s="1168"/>
      <c r="O130" s="1164"/>
      <c r="P130" s="1160">
        <v>2.8118383354190805E-2</v>
      </c>
      <c r="Q130" s="572">
        <v>7.8118383354190801E-2</v>
      </c>
      <c r="R130" s="572">
        <v>0.27811838335419081</v>
      </c>
      <c r="S130" s="572">
        <v>0.52811838335419081</v>
      </c>
      <c r="T130" s="1164"/>
      <c r="U130" s="573">
        <v>2.8118383354190805E-2</v>
      </c>
      <c r="V130" s="572">
        <v>1.6871030012514481E-2</v>
      </c>
      <c r="W130" s="572">
        <v>1.1247353341676323E-2</v>
      </c>
      <c r="X130" s="572">
        <v>5.6236766708381613E-3</v>
      </c>
      <c r="Y130" s="1164"/>
      <c r="Z130" s="573">
        <v>0.72</v>
      </c>
      <c r="AA130" s="572">
        <v>0.72</v>
      </c>
      <c r="AB130" s="572">
        <v>0.72</v>
      </c>
      <c r="AC130" s="572">
        <v>0.72</v>
      </c>
      <c r="AD130" s="572">
        <v>0.72</v>
      </c>
      <c r="AE130" s="572">
        <v>0.72</v>
      </c>
      <c r="AF130" s="572">
        <v>0.72</v>
      </c>
      <c r="AG130" s="1164"/>
      <c r="AH130" s="1163">
        <v>35</v>
      </c>
      <c r="AI130" s="1162" t="str">
        <f t="shared" si="15"/>
        <v>ISSOLP</v>
      </c>
      <c r="AJ130" s="1160">
        <v>2.8118383354190805E-2</v>
      </c>
      <c r="AK130" s="1160">
        <v>2.8118383354190805E-2</v>
      </c>
      <c r="AL130" s="1160">
        <v>2.8118383354190805E-2</v>
      </c>
      <c r="AM130" s="1160">
        <v>2.8118383354190805E-2</v>
      </c>
      <c r="AN130" s="1160">
        <v>2.8118383354190805E-2</v>
      </c>
      <c r="AO130" s="1160">
        <v>2.8118383354190805E-2</v>
      </c>
      <c r="AP130" s="1160">
        <v>2.8118383354190805E-2</v>
      </c>
      <c r="AQ130" s="1160">
        <v>2.8118383354190805E-2</v>
      </c>
      <c r="AR130" s="1160">
        <v>2.8118383354190805E-2</v>
      </c>
      <c r="AS130" s="1159">
        <v>2.8118383354190805E-2</v>
      </c>
      <c r="AT130" s="1159">
        <v>2.8118383354190805E-2</v>
      </c>
      <c r="AU130" s="1159">
        <v>2.8118383354190805E-2</v>
      </c>
      <c r="AV130" s="1159">
        <v>2.8118383354190805E-2</v>
      </c>
      <c r="AW130" s="1159">
        <v>2.8118383354190805E-2</v>
      </c>
      <c r="AX130" s="1159">
        <v>2.8118383354190805E-2</v>
      </c>
      <c r="AY130" s="1159">
        <v>2.8118383354190805E-2</v>
      </c>
      <c r="AZ130" s="1159">
        <v>2.8118383354190805E-2</v>
      </c>
      <c r="BA130" s="1159">
        <v>2.8118383354190805E-2</v>
      </c>
      <c r="BB130" s="1160">
        <v>2.8118383354190805E-2</v>
      </c>
      <c r="BC130" s="1160">
        <v>2.8118383354190805E-2</v>
      </c>
      <c r="BD130" s="1160">
        <v>2.8118383354190805E-2</v>
      </c>
      <c r="BE130" s="1160">
        <v>2.8118383354190805E-2</v>
      </c>
      <c r="BF130" s="1160">
        <v>2.8118383354190805E-2</v>
      </c>
      <c r="BG130" s="1160">
        <v>2.8118383354190805E-2</v>
      </c>
      <c r="BH130" s="1160">
        <v>2.8118383354190805E-2</v>
      </c>
      <c r="BI130" s="1160">
        <v>2.8118383354190805E-2</v>
      </c>
      <c r="BJ130" s="1160">
        <v>2.8118383354190805E-2</v>
      </c>
      <c r="BK130" s="1159">
        <v>2.8118383354190805E-2</v>
      </c>
      <c r="BL130" s="1159">
        <v>2.8118383354190805E-2</v>
      </c>
      <c r="BM130" s="1159">
        <v>2.8118383354190805E-2</v>
      </c>
      <c r="BN130" s="1159">
        <v>2.8118383354190805E-2</v>
      </c>
      <c r="BO130" s="1159">
        <v>2.8118383354190805E-2</v>
      </c>
      <c r="BP130" s="1159">
        <v>2.8118383354190805E-2</v>
      </c>
      <c r="BQ130" s="1159">
        <v>2.8118383354190805E-2</v>
      </c>
      <c r="BR130" s="1159">
        <v>2.8118383354190805E-2</v>
      </c>
      <c r="BS130" s="1159">
        <v>2.8118383354190805E-2</v>
      </c>
      <c r="BT130" s="579">
        <f t="array" ref="BT130">$Z130  * (1 + SUM( ($AU$80:$AU$83=BT$93) * ($BH$79:$BP$79=BT$94) * ($BH$80:$BP$83) ))</f>
        <v>0.72025200574009995</v>
      </c>
      <c r="BU130" s="579">
        <f t="array" ref="BU130">$Z130  * (1 + SUM( ($AU$80:$AU$83=BU$93) * ($BH$79:$BP$79=BU$94) * ($BH$80:$BP$83) ))</f>
        <v>0.72077777188992875</v>
      </c>
      <c r="BV130" s="579">
        <f t="array" ref="BV130">$Z130  * (1 + SUM( ($AU$80:$AU$83=BV$93) * ($BH$79:$BP$79=BV$94) * ($BH$80:$BP$83) ))</f>
        <v>0.72162288667983376</v>
      </c>
      <c r="BW130" s="579">
        <f t="array" ref="BW130">$Z130  * (1 + SUM( ($AU$80:$AU$83=BW$93) * ($BH$79:$BP$79=BW$94) * ($BH$80:$BP$83) ))</f>
        <v>0.72279763077105375</v>
      </c>
      <c r="BX130" s="579">
        <f t="array" ref="BX130">$Z130  * (1 + SUM( ($AU$80:$AU$83=BX$93) * ($BH$79:$BP$79=BX$94) * ($BH$80:$BP$83) ))</f>
        <v>0.72413901526905833</v>
      </c>
      <c r="BY130" s="579">
        <f t="array" ref="BY130">$Z130  * (1 + SUM( ($AU$80:$AU$83=BY$93) * ($BH$79:$BP$79=BY$94) * ($BH$80:$BP$83) ))</f>
        <v>0.72536612436083947</v>
      </c>
      <c r="BZ130" s="579">
        <f t="array" ref="BZ130">$Z130  * (1 + SUM( ($AU$80:$AU$83=BZ$93) * ($BH$79:$BP$79=BZ$94) * ($BH$80:$BP$83) ))</f>
        <v>0.72628098027165311</v>
      </c>
      <c r="CA130" s="579">
        <f t="array" ref="CA130">$Z130  * (1 + SUM( ($AU$80:$AU$83=CA$93) * ($BH$79:$BP$79=CA$94) * ($BH$80:$BP$83) ))</f>
        <v>0.72686430085229736</v>
      </c>
      <c r="CB130" s="579">
        <f t="array" ref="CB130">$Z130  * (1 + SUM( ($AU$80:$AU$83=CB$93) * ($BH$79:$BP$79=CB$94) * ($BH$80:$BP$83) ))</f>
        <v>0.72719999999999996</v>
      </c>
      <c r="CC130" s="578">
        <f t="array" ref="CC130">$Z130  * (1 + SUM( ($AU$80:$AU$83=CC$93) * ($BH$79:$BP$79=CC$94) * ($BH$80:$BP$83) ))</f>
        <v>0.72378008610149946</v>
      </c>
      <c r="CD130" s="578">
        <f t="array" ref="CD130">$Z130  * (1 + SUM( ($AU$80:$AU$83=CD$93) * ($BH$79:$BP$79=CD$94) * ($BH$80:$BP$83) ))</f>
        <v>0.73166657834893245</v>
      </c>
      <c r="CE130" s="578">
        <f t="array" ref="CE130">$Z130  * (1 + SUM( ($AU$80:$AU$83=CE$93) * ($BH$79:$BP$79=CE$94) * ($BH$80:$BP$83) ))</f>
        <v>0.74434330019750716</v>
      </c>
      <c r="CF130" s="578">
        <f t="array" ref="CF130">$Z130  * (1 + SUM( ($AU$80:$AU$83=CF$93) * ($BH$79:$BP$79=CF$94) * ($BH$80:$BP$83) ))</f>
        <v>0.76196446156580744</v>
      </c>
      <c r="CG130" s="578">
        <f t="array" ref="CG130">$Z130  * (1 + SUM( ($AU$80:$AU$83=CG$93) * ($BH$79:$BP$79=CG$94) * ($BH$80:$BP$83) ))</f>
        <v>0.78208522903587496</v>
      </c>
      <c r="CH130" s="578">
        <f t="array" ref="CH130">$Z130  * (1 + SUM( ($AU$80:$AU$83=CH$93) * ($BH$79:$BP$79=CH$94) * ($BH$80:$BP$83) ))</f>
        <v>0.80049186541259199</v>
      </c>
      <c r="CI130" s="578">
        <f t="array" ref="CI130">$Z130  * (1 + SUM( ($AU$80:$AU$83=CI$93) * ($BH$79:$BP$79=CI$94) * ($BH$80:$BP$83) ))</f>
        <v>0.81421470407479868</v>
      </c>
      <c r="CJ130" s="578">
        <f t="array" ref="CJ130">$Z130  * (1 + SUM( ($AU$80:$AU$83=CJ$93) * ($BH$79:$BP$79=CJ$94) * ($BH$80:$BP$83) ))</f>
        <v>0.82296451278446048</v>
      </c>
      <c r="CK130" s="578">
        <f t="array" ref="CK130">$Z130  * (1 + SUM( ($AU$80:$AU$83=CK$93) * ($BH$79:$BP$79=CK$94) * ($BH$80:$BP$83) ))</f>
        <v>0.82799999999999996</v>
      </c>
      <c r="CL130" s="579">
        <f t="array" ref="CL130">$Z130  * (1 + SUM( ($AU$80:$AU$83=CL$93) * ($BH$79:$BP$79=CL$94) * ($BH$80:$BP$83) ))</f>
        <v>0.72756017220299896</v>
      </c>
      <c r="CM130" s="579">
        <f t="array" ref="CM130">$Z130  * (1 + SUM( ($AU$80:$AU$83=CM$93) * ($BH$79:$BP$79=CM$94) * ($BH$80:$BP$83) ))</f>
        <v>0.74333315669786504</v>
      </c>
      <c r="CN130" s="579">
        <f t="array" ref="CN130">$Z130  * (1 + SUM( ($AU$80:$AU$83=CN$93) * ($BH$79:$BP$79=CN$94) * ($BH$80:$BP$83) ))</f>
        <v>0.76868660039501435</v>
      </c>
      <c r="CO130" s="579">
        <f t="array" ref="CO130">$Z130  * (1 + SUM( ($AU$80:$AU$83=CO$93) * ($BH$79:$BP$79=CO$94) * ($BH$80:$BP$83) ))</f>
        <v>0.80392892313161468</v>
      </c>
      <c r="CP130" s="579">
        <f t="array" ref="CP130">$Z130  * (1 + SUM( ($AU$80:$AU$83=CP$93) * ($BH$79:$BP$79=CP$94) * ($BH$80:$BP$83) ))</f>
        <v>0.84417045807175017</v>
      </c>
      <c r="CQ130" s="579">
        <f t="array" ref="CQ130">$Z130  * (1 + SUM( ($AU$80:$AU$83=CQ$93) * ($BH$79:$BP$79=CQ$94) * ($BH$80:$BP$83) ))</f>
        <v>0.88098373082518389</v>
      </c>
      <c r="CR130" s="579">
        <f t="array" ref="CR130">$Z130  * (1 + SUM( ($AU$80:$AU$83=CR$93) * ($BH$79:$BP$79=CR$94) * ($BH$80:$BP$83) ))</f>
        <v>0.90842940814959761</v>
      </c>
      <c r="CS130" s="579">
        <f t="array" ref="CS130">$Z130  * (1 + SUM( ($AU$80:$AU$83=CS$93) * ($BH$79:$BP$79=CS$94) * ($BH$80:$BP$83) ))</f>
        <v>0.92592902556892098</v>
      </c>
      <c r="CT130" s="579">
        <f t="array" ref="CT130">$Z130  * (1 + SUM( ($AU$80:$AU$83=CT$93) * ($BH$79:$BP$79=CT$94) * ($BH$80:$BP$83) ))</f>
        <v>0.93599999999999994</v>
      </c>
      <c r="CU130" s="578">
        <f t="array" ref="CU130">$Z130  * (1 + SUM( ($AU$80:$AU$83=CU$93) * ($BH$79:$BP$79=CU$94) * ($BH$80:$BP$83) ))</f>
        <v>0.73008022960399865</v>
      </c>
      <c r="CV130" s="578">
        <f t="array" ref="CV130">$Z130  * (1 + SUM( ($AU$80:$AU$83=CV$93) * ($BH$79:$BP$79=CV$94) * ($BH$80:$BP$83) ))</f>
        <v>0.75111087559715328</v>
      </c>
      <c r="CW130" s="578">
        <f t="array" ref="CW130">$Z130  * (1 + SUM( ($AU$80:$AU$83=CW$93) * ($BH$79:$BP$79=CW$94) * ($BH$80:$BP$83) ))</f>
        <v>0.78491546719335237</v>
      </c>
      <c r="CX130" s="578">
        <f t="array" ref="CX130">$Z130  * (1 + SUM( ($AU$80:$AU$83=CX$93) * ($BH$79:$BP$79=CX$94) * ($BH$80:$BP$83) ))</f>
        <v>0.83190523084215307</v>
      </c>
      <c r="CY130" s="578">
        <f t="array" ref="CY130">$Z130  * (1 + SUM( ($AU$80:$AU$83=CY$93) * ($BH$79:$BP$79=CY$94) * ($BH$80:$BP$83) ))</f>
        <v>0.8855606107623335</v>
      </c>
      <c r="CZ130" s="578">
        <f t="array" ref="CZ130">$Z130  * (1 + SUM( ($AU$80:$AU$83=CZ$93) * ($BH$79:$BP$79=CZ$94) * ($BH$80:$BP$83) ))</f>
        <v>0.93464497443357852</v>
      </c>
      <c r="DA130" s="578">
        <f t="array" ref="DA130">$Z130  * (1 + SUM( ($AU$80:$AU$83=DA$93) * ($BH$79:$BP$79=DA$94) * ($BH$80:$BP$83) ))</f>
        <v>0.97123921086613019</v>
      </c>
      <c r="DB130" s="578">
        <f t="array" ref="DB130">$Z130  * (1 + SUM( ($AU$80:$AU$83=DB$93) * ($BH$79:$BP$79=DB$94) * ($BH$80:$BP$83) ))</f>
        <v>0.99457203409189476</v>
      </c>
      <c r="DC130" s="578">
        <f t="array" ref="DC130">$Z130  * (1 + SUM( ($AU$80:$AU$83=DC$93) * ($BH$79:$BP$79=DC$94) * ($BH$80:$BP$83) ))</f>
        <v>1.008</v>
      </c>
    </row>
    <row r="131" spans="1:107">
      <c r="A131" s="1167" t="s">
        <v>1231</v>
      </c>
      <c r="B131" s="1167" t="s">
        <v>1230</v>
      </c>
      <c r="C131" s="1166" t="s">
        <v>1030</v>
      </c>
      <c r="D131" s="1166" t="s">
        <v>971</v>
      </c>
      <c r="E131" s="577">
        <v>0.76</v>
      </c>
      <c r="F131" s="574">
        <v>0.56299999999999994</v>
      </c>
      <c r="G131" s="576">
        <v>100</v>
      </c>
      <c r="H131" s="574">
        <v>0</v>
      </c>
      <c r="I131" s="1164"/>
      <c r="J131" s="575">
        <v>1</v>
      </c>
      <c r="K131" s="574">
        <v>0</v>
      </c>
      <c r="L131" s="574">
        <v>0</v>
      </c>
      <c r="M131" s="1164"/>
      <c r="N131" s="1168"/>
      <c r="O131" s="1164"/>
      <c r="P131" s="1160">
        <v>0</v>
      </c>
      <c r="Q131" s="572">
        <v>0.05</v>
      </c>
      <c r="R131" s="572">
        <v>0.25</v>
      </c>
      <c r="S131" s="572">
        <v>0.5</v>
      </c>
      <c r="T131" s="1164"/>
      <c r="U131" s="573">
        <v>0</v>
      </c>
      <c r="V131" s="572">
        <v>0</v>
      </c>
      <c r="W131" s="572">
        <v>0</v>
      </c>
      <c r="X131" s="572">
        <v>0</v>
      </c>
      <c r="Y131" s="1164"/>
      <c r="Z131" s="573">
        <v>0.76</v>
      </c>
      <c r="AA131" s="572">
        <v>0.76</v>
      </c>
      <c r="AB131" s="572">
        <v>0.76</v>
      </c>
      <c r="AC131" s="572">
        <v>0.76</v>
      </c>
      <c r="AD131" s="572">
        <v>0.76</v>
      </c>
      <c r="AE131" s="572">
        <v>0.76</v>
      </c>
      <c r="AF131" s="572">
        <v>0.76</v>
      </c>
      <c r="AG131" s="1164"/>
      <c r="AH131" s="1163">
        <v>36</v>
      </c>
      <c r="AI131" s="1162" t="str">
        <f t="shared" si="15"/>
        <v>ISSELC</v>
      </c>
      <c r="AJ131" s="1160">
        <v>0</v>
      </c>
      <c r="AK131" s="1160">
        <v>0</v>
      </c>
      <c r="AL131" s="1160">
        <v>0</v>
      </c>
      <c r="AM131" s="1160">
        <v>0</v>
      </c>
      <c r="AN131" s="1160">
        <v>0</v>
      </c>
      <c r="AO131" s="1160">
        <v>0</v>
      </c>
      <c r="AP131" s="1160">
        <v>0</v>
      </c>
      <c r="AQ131" s="1160">
        <v>0</v>
      </c>
      <c r="AR131" s="1160">
        <v>0</v>
      </c>
      <c r="AS131" s="1159">
        <v>0</v>
      </c>
      <c r="AT131" s="1159">
        <v>0</v>
      </c>
      <c r="AU131" s="1159">
        <v>0</v>
      </c>
      <c r="AV131" s="1159">
        <v>0</v>
      </c>
      <c r="AW131" s="1159">
        <v>0</v>
      </c>
      <c r="AX131" s="1159">
        <v>0</v>
      </c>
      <c r="AY131" s="1159">
        <v>0</v>
      </c>
      <c r="AZ131" s="1159">
        <v>0</v>
      </c>
      <c r="BA131" s="1159">
        <v>0</v>
      </c>
      <c r="BB131" s="1160">
        <v>0</v>
      </c>
      <c r="BC131" s="1160">
        <v>0</v>
      </c>
      <c r="BD131" s="1160">
        <v>0</v>
      </c>
      <c r="BE131" s="1160">
        <v>0</v>
      </c>
      <c r="BF131" s="1160">
        <v>0</v>
      </c>
      <c r="BG131" s="1160">
        <v>0</v>
      </c>
      <c r="BH131" s="1160">
        <v>0</v>
      </c>
      <c r="BI131" s="1160">
        <v>0</v>
      </c>
      <c r="BJ131" s="1160">
        <v>0</v>
      </c>
      <c r="BK131" s="1159">
        <v>0</v>
      </c>
      <c r="BL131" s="1159">
        <v>0</v>
      </c>
      <c r="BM131" s="1159">
        <v>0</v>
      </c>
      <c r="BN131" s="1159">
        <v>0</v>
      </c>
      <c r="BO131" s="1159">
        <v>0</v>
      </c>
      <c r="BP131" s="1159">
        <v>0</v>
      </c>
      <c r="BQ131" s="1159">
        <v>0</v>
      </c>
      <c r="BR131" s="1159">
        <v>0</v>
      </c>
      <c r="BS131" s="1159">
        <v>0</v>
      </c>
      <c r="BT131" s="579">
        <f t="array" ref="BT131">$Z131  * (1 + SUM( ($AU$80:$AU$83=BT$93) * ($BH$79:$BP$79=BT$94) * ($BH$80:$BP$83) ))</f>
        <v>0.76026600605899441</v>
      </c>
      <c r="BU131" s="579">
        <f t="array" ref="BU131">$Z131  * (1 + SUM( ($AU$80:$AU$83=BU$93) * ($BH$79:$BP$79=BU$94) * ($BH$80:$BP$83) ))</f>
        <v>0.76082098143936938</v>
      </c>
      <c r="BV131" s="579">
        <f t="array" ref="BV131">$Z131  * (1 + SUM( ($AU$80:$AU$83=BV$93) * ($BH$79:$BP$79=BV$94) * ($BH$80:$BP$83) ))</f>
        <v>0.76171304705093568</v>
      </c>
      <c r="BW131" s="579">
        <f t="array" ref="BW131">$Z131  * (1 + SUM( ($AU$80:$AU$83=BW$93) * ($BH$79:$BP$79=BW$94) * ($BH$80:$BP$83) ))</f>
        <v>0.76295305470277908</v>
      </c>
      <c r="BX131" s="579">
        <f t="array" ref="BX131">$Z131  * (1 + SUM( ($AU$80:$AU$83=BX$93) * ($BH$79:$BP$79=BX$94) * ($BH$80:$BP$83) ))</f>
        <v>0.76436896056178383</v>
      </c>
      <c r="BY131" s="579">
        <f t="array" ref="BY131">$Z131  * (1 + SUM( ($AU$80:$AU$83=BY$93) * ($BH$79:$BP$79=BY$94) * ($BH$80:$BP$83) ))</f>
        <v>0.76566424238088615</v>
      </c>
      <c r="BZ131" s="579">
        <f t="array" ref="BZ131">$Z131  * (1 + SUM( ($AU$80:$AU$83=BZ$93) * ($BH$79:$BP$79=BZ$94) * ($BH$80:$BP$83) ))</f>
        <v>0.76662992362007842</v>
      </c>
      <c r="CA131" s="579">
        <f t="array" ref="CA131">$Z131  * (1 + SUM( ($AU$80:$AU$83=CA$93) * ($BH$79:$BP$79=CA$94) * ($BH$80:$BP$83) ))</f>
        <v>0.76724565089964725</v>
      </c>
      <c r="CB131" s="579">
        <f t="array" ref="CB131">$Z131  * (1 + SUM( ($AU$80:$AU$83=CB$93) * ($BH$79:$BP$79=CB$94) * ($BH$80:$BP$83) ))</f>
        <v>0.76760000000000006</v>
      </c>
      <c r="CC131" s="578">
        <f t="array" ref="CC131">$Z131  * (1 + SUM( ($AU$80:$AU$83=CC$93) * ($BH$79:$BP$79=CC$94) * ($BH$80:$BP$83) ))</f>
        <v>0.76399009088491621</v>
      </c>
      <c r="CD131" s="578">
        <f t="array" ref="CD131">$Z131  * (1 + SUM( ($AU$80:$AU$83=CD$93) * ($BH$79:$BP$79=CD$94) * ($BH$80:$BP$83) ))</f>
        <v>0.77231472159053982</v>
      </c>
      <c r="CE131" s="578">
        <f t="array" ref="CE131">$Z131  * (1 + SUM( ($AU$80:$AU$83=CE$93) * ($BH$79:$BP$79=CE$94) * ($BH$80:$BP$83) ))</f>
        <v>0.78569570576403536</v>
      </c>
      <c r="CF131" s="578">
        <f t="array" ref="CF131">$Z131  * (1 + SUM( ($AU$80:$AU$83=CF$93) * ($BH$79:$BP$79=CF$94) * ($BH$80:$BP$83) ))</f>
        <v>0.80429582054168558</v>
      </c>
      <c r="CG131" s="578">
        <f t="array" ref="CG131">$Z131  * (1 + SUM( ($AU$80:$AU$83=CG$93) * ($BH$79:$BP$79=CG$94) * ($BH$80:$BP$83) ))</f>
        <v>0.82553440842675696</v>
      </c>
      <c r="CH131" s="578">
        <f t="array" ref="CH131">$Z131  * (1 + SUM( ($AU$80:$AU$83=CH$93) * ($BH$79:$BP$79=CH$94) * ($BH$80:$BP$83) ))</f>
        <v>0.84496363571329147</v>
      </c>
      <c r="CI131" s="578">
        <f t="array" ref="CI131">$Z131  * (1 + SUM( ($AU$80:$AU$83=CI$93) * ($BH$79:$BP$79=CI$94) * ($BH$80:$BP$83) ))</f>
        <v>0.85944885430117646</v>
      </c>
      <c r="CJ131" s="578">
        <f t="array" ref="CJ131">$Z131  * (1 + SUM( ($AU$80:$AU$83=CJ$93) * ($BH$79:$BP$79=CJ$94) * ($BH$80:$BP$83) ))</f>
        <v>0.86868476349470836</v>
      </c>
      <c r="CK131" s="578">
        <f t="array" ref="CK131">$Z131  * (1 + SUM( ($AU$80:$AU$83=CK$93) * ($BH$79:$BP$79=CK$94) * ($BH$80:$BP$83) ))</f>
        <v>0.87399999999999989</v>
      </c>
      <c r="CL131" s="579">
        <f t="array" ref="CL131">$Z131  * (1 + SUM( ($AU$80:$AU$83=CL$93) * ($BH$79:$BP$79=CL$94) * ($BH$80:$BP$83) ))</f>
        <v>0.76798018176983229</v>
      </c>
      <c r="CM131" s="579">
        <f t="array" ref="CM131">$Z131  * (1 + SUM( ($AU$80:$AU$83=CM$93) * ($BH$79:$BP$79=CM$94) * ($BH$80:$BP$83) ))</f>
        <v>0.78462944318107974</v>
      </c>
      <c r="CN131" s="579">
        <f t="array" ref="CN131">$Z131  * (1 + SUM( ($AU$80:$AU$83=CN$93) * ($BH$79:$BP$79=CN$94) * ($BH$80:$BP$83) ))</f>
        <v>0.81139141152807071</v>
      </c>
      <c r="CO131" s="579">
        <f t="array" ref="CO131">$Z131  * (1 + SUM( ($AU$80:$AU$83=CO$93) * ($BH$79:$BP$79=CO$94) * ($BH$80:$BP$83) ))</f>
        <v>0.84859164108337104</v>
      </c>
      <c r="CP131" s="579">
        <f t="array" ref="CP131">$Z131  * (1 + SUM( ($AU$80:$AU$83=CP$93) * ($BH$79:$BP$79=CP$94) * ($BH$80:$BP$83) ))</f>
        <v>0.89106881685351402</v>
      </c>
      <c r="CQ131" s="579">
        <f t="array" ref="CQ131">$Z131  * (1 + SUM( ($AU$80:$AU$83=CQ$93) * ($BH$79:$BP$79=CQ$94) * ($BH$80:$BP$83) ))</f>
        <v>0.92992727142658305</v>
      </c>
      <c r="CR131" s="579">
        <f t="array" ref="CR131">$Z131  * (1 + SUM( ($AU$80:$AU$83=CR$93) * ($BH$79:$BP$79=CR$94) * ($BH$80:$BP$83) ))</f>
        <v>0.95889770860235302</v>
      </c>
      <c r="CS131" s="579">
        <f t="array" ref="CS131">$Z131  * (1 + SUM( ($AU$80:$AU$83=CS$93) * ($BH$79:$BP$79=CS$94) * ($BH$80:$BP$83) ))</f>
        <v>0.9773695269894167</v>
      </c>
      <c r="CT131" s="579">
        <f t="array" ref="CT131">$Z131  * (1 + SUM( ($AU$80:$AU$83=CT$93) * ($BH$79:$BP$79=CT$94) * ($BH$80:$BP$83) ))</f>
        <v>0.9880000000000001</v>
      </c>
      <c r="CU131" s="578">
        <f t="array" ref="CU131">$Z131  * (1 + SUM( ($AU$80:$AU$83=CU$93) * ($BH$79:$BP$79=CU$94) * ($BH$80:$BP$83) ))</f>
        <v>0.77064024235977646</v>
      </c>
      <c r="CV131" s="578">
        <f t="array" ref="CV131">$Z131  * (1 + SUM( ($AU$80:$AU$83=CV$93) * ($BH$79:$BP$79=CV$94) * ($BH$80:$BP$83) ))</f>
        <v>0.79283925757477292</v>
      </c>
      <c r="CW131" s="578">
        <f t="array" ref="CW131">$Z131  * (1 + SUM( ($AU$80:$AU$83=CW$93) * ($BH$79:$BP$79=CW$94) * ($BH$80:$BP$83) ))</f>
        <v>0.8285218820374276</v>
      </c>
      <c r="CX131" s="578">
        <f t="array" ref="CX131">$Z131  * (1 + SUM( ($AU$80:$AU$83=CX$93) * ($BH$79:$BP$79=CX$94) * ($BH$80:$BP$83) ))</f>
        <v>0.87812218811116161</v>
      </c>
      <c r="CY131" s="578">
        <f t="array" ref="CY131">$Z131  * (1 + SUM( ($AU$80:$AU$83=CY$93) * ($BH$79:$BP$79=CY$94) * ($BH$80:$BP$83) ))</f>
        <v>0.9347584224713521</v>
      </c>
      <c r="CZ131" s="578">
        <f t="array" ref="CZ131">$Z131  * (1 + SUM( ($AU$80:$AU$83=CZ$93) * ($BH$79:$BP$79=CZ$94) * ($BH$80:$BP$83) ))</f>
        <v>0.98656969523544402</v>
      </c>
      <c r="DA131" s="578">
        <f t="array" ref="DA131">$Z131  * (1 + SUM( ($AU$80:$AU$83=DA$93) * ($BH$79:$BP$79=DA$94) * ($BH$80:$BP$83) ))</f>
        <v>1.0251969448031375</v>
      </c>
      <c r="DB131" s="578">
        <f t="array" ref="DB131">$Z131  * (1 + SUM( ($AU$80:$AU$83=DB$93) * ($BH$79:$BP$79=DB$94) * ($BH$80:$BP$83) ))</f>
        <v>1.0498260359858889</v>
      </c>
      <c r="DC131" s="578">
        <f t="array" ref="DC131">$Z131  * (1 + SUM( ($AU$80:$AU$83=DC$93) * ($BH$79:$BP$79=DC$94) * ($BH$80:$BP$83) ))</f>
        <v>1.0639999999999998</v>
      </c>
    </row>
    <row r="132" spans="1:107">
      <c r="A132" s="585" t="s">
        <v>1229</v>
      </c>
      <c r="B132" s="585" t="s">
        <v>1228</v>
      </c>
      <c r="C132" s="584" t="s">
        <v>1027</v>
      </c>
      <c r="D132" s="584" t="s">
        <v>971</v>
      </c>
      <c r="E132" s="538">
        <v>0.6</v>
      </c>
      <c r="F132" s="540">
        <v>0.56299999999999994</v>
      </c>
      <c r="G132" s="539">
        <v>100</v>
      </c>
      <c r="H132" s="540">
        <v>0</v>
      </c>
      <c r="I132" s="580"/>
      <c r="J132" s="541">
        <v>1</v>
      </c>
      <c r="K132" s="540">
        <v>0</v>
      </c>
      <c r="L132" s="540">
        <v>0</v>
      </c>
      <c r="M132" s="580"/>
      <c r="N132" s="594"/>
      <c r="O132" s="580"/>
      <c r="P132" s="583">
        <v>0</v>
      </c>
      <c r="Q132" s="581">
        <v>0.05</v>
      </c>
      <c r="R132" s="581">
        <v>0.25</v>
      </c>
      <c r="S132" s="581">
        <v>0.5</v>
      </c>
      <c r="T132" s="580"/>
      <c r="U132" s="582">
        <v>0</v>
      </c>
      <c r="V132" s="581">
        <v>0</v>
      </c>
      <c r="W132" s="581">
        <v>0</v>
      </c>
      <c r="X132" s="581">
        <v>0</v>
      </c>
      <c r="Y132" s="580"/>
      <c r="Z132" s="582">
        <v>0.7</v>
      </c>
      <c r="AA132" s="581">
        <v>0.7</v>
      </c>
      <c r="AB132" s="581">
        <v>0.7</v>
      </c>
      <c r="AC132" s="581">
        <v>0.7</v>
      </c>
      <c r="AD132" s="581">
        <v>0.7</v>
      </c>
      <c r="AE132" s="581">
        <v>0.7</v>
      </c>
      <c r="AF132" s="581">
        <v>0.7</v>
      </c>
      <c r="AG132" s="580"/>
      <c r="AH132" s="1163">
        <v>37</v>
      </c>
      <c r="AI132" s="1162" t="str">
        <f t="shared" si="15"/>
        <v>ISSWAS</v>
      </c>
      <c r="AJ132" s="1160">
        <v>0</v>
      </c>
      <c r="AK132" s="1160">
        <v>0</v>
      </c>
      <c r="AL132" s="1160">
        <v>0</v>
      </c>
      <c r="AM132" s="1160">
        <v>0</v>
      </c>
      <c r="AN132" s="1160">
        <v>0</v>
      </c>
      <c r="AO132" s="1160">
        <v>0</v>
      </c>
      <c r="AP132" s="1160">
        <v>0</v>
      </c>
      <c r="AQ132" s="1160">
        <v>0</v>
      </c>
      <c r="AR132" s="1160">
        <v>0</v>
      </c>
      <c r="AS132" s="1181">
        <v>0</v>
      </c>
      <c r="AT132" s="1181">
        <v>0</v>
      </c>
      <c r="AU132" s="1181">
        <v>0</v>
      </c>
      <c r="AV132" s="1181">
        <v>0</v>
      </c>
      <c r="AW132" s="1181">
        <v>0</v>
      </c>
      <c r="AX132" s="1181">
        <v>0</v>
      </c>
      <c r="AY132" s="1181">
        <v>0</v>
      </c>
      <c r="AZ132" s="1181">
        <v>0</v>
      </c>
      <c r="BA132" s="1181">
        <v>0</v>
      </c>
      <c r="BB132" s="1160">
        <v>0</v>
      </c>
      <c r="BC132" s="1160">
        <v>0</v>
      </c>
      <c r="BD132" s="1160">
        <v>0</v>
      </c>
      <c r="BE132" s="1160">
        <v>0</v>
      </c>
      <c r="BF132" s="1160">
        <v>0</v>
      </c>
      <c r="BG132" s="1160">
        <v>0</v>
      </c>
      <c r="BH132" s="1160">
        <v>0</v>
      </c>
      <c r="BI132" s="1160">
        <v>0</v>
      </c>
      <c r="BJ132" s="1160">
        <v>0</v>
      </c>
      <c r="BK132" s="1159">
        <v>0</v>
      </c>
      <c r="BL132" s="1159">
        <v>0</v>
      </c>
      <c r="BM132" s="1159">
        <v>0</v>
      </c>
      <c r="BN132" s="1159">
        <v>0</v>
      </c>
      <c r="BO132" s="1159">
        <v>0</v>
      </c>
      <c r="BP132" s="1159">
        <v>0</v>
      </c>
      <c r="BQ132" s="1159">
        <v>0</v>
      </c>
      <c r="BR132" s="1159">
        <v>0</v>
      </c>
      <c r="BS132" s="1159">
        <v>0</v>
      </c>
      <c r="BT132" s="579">
        <f t="array" ref="BT132">$Z132  * (1 + SUM( ($AU$80:$AU$83=BT$93) * ($BH$79:$BP$79=BT$94) * ($BH$80:$BP$83) ))</f>
        <v>0.70024500558065272</v>
      </c>
      <c r="BU132" s="579">
        <f t="array" ref="BU132">$Z132  * (1 + SUM( ($AU$80:$AU$83=BU$93) * ($BH$79:$BP$79=BU$94) * ($BH$80:$BP$83) ))</f>
        <v>0.70075616711520849</v>
      </c>
      <c r="BV132" s="579">
        <f t="array" ref="BV132">$Z132  * (1 + SUM( ($AU$80:$AU$83=BV$93) * ($BH$79:$BP$79=BV$94) * ($BH$80:$BP$83) ))</f>
        <v>0.70157780649428281</v>
      </c>
      <c r="BW132" s="579">
        <f t="array" ref="BW132">$Z132  * (1 + SUM( ($AU$80:$AU$83=BW$93) * ($BH$79:$BP$79=BW$94) * ($BH$80:$BP$83) ))</f>
        <v>0.70271991880519113</v>
      </c>
      <c r="BX132" s="579">
        <f t="array" ref="BX132">$Z132  * (1 + SUM( ($AU$80:$AU$83=BX$93) * ($BH$79:$BP$79=BX$94) * ($BH$80:$BP$83) ))</f>
        <v>0.70402404262269558</v>
      </c>
      <c r="BY132" s="579">
        <f t="array" ref="BY132">$Z132  * (1 + SUM( ($AU$80:$AU$83=BY$93) * ($BH$79:$BP$79=BY$94) * ($BH$80:$BP$83) ))</f>
        <v>0.70521706535081619</v>
      </c>
      <c r="BZ132" s="579">
        <f t="array" ref="BZ132">$Z132  * (1 + SUM( ($AU$80:$AU$83=BZ$93) * ($BH$79:$BP$79=BZ$94) * ($BH$80:$BP$83) ))</f>
        <v>0.70610650859744051</v>
      </c>
      <c r="CA132" s="579">
        <f t="array" ref="CA132">$Z132  * (1 + SUM( ($AU$80:$AU$83=CA$93) * ($BH$79:$BP$79=CA$94) * ($BH$80:$BP$83) ))</f>
        <v>0.70667362582862236</v>
      </c>
      <c r="CB132" s="579">
        <f t="array" ref="CB132">$Z132  * (1 + SUM( ($AU$80:$AU$83=CB$93) * ($BH$79:$BP$79=CB$94) * ($BH$80:$BP$83) ))</f>
        <v>0.70699999999999996</v>
      </c>
      <c r="CC132" s="578">
        <f t="array" ref="CC132">$Z132  * (1 + SUM( ($AU$80:$AU$83=CC$93) * ($BH$79:$BP$79=CC$94) * ($BH$80:$BP$83) ))</f>
        <v>0.70367508370979115</v>
      </c>
      <c r="CD132" s="578">
        <f t="array" ref="CD132">$Z132  * (1 + SUM( ($AU$80:$AU$83=CD$93) * ($BH$79:$BP$79=CD$94) * ($BH$80:$BP$83) ))</f>
        <v>0.71134250672812871</v>
      </c>
      <c r="CE132" s="578">
        <f t="array" ref="CE132">$Z132  * (1 + SUM( ($AU$80:$AU$83=CE$93) * ($BH$79:$BP$79=CE$94) * ($BH$80:$BP$83) ))</f>
        <v>0.72366709741424307</v>
      </c>
      <c r="CF132" s="578">
        <f t="array" ref="CF132">$Z132  * (1 + SUM( ($AU$80:$AU$83=CF$93) * ($BH$79:$BP$79=CF$94) * ($BH$80:$BP$83) ))</f>
        <v>0.74079878207786831</v>
      </c>
      <c r="CG132" s="578">
        <f t="array" ref="CG132">$Z132  * (1 + SUM( ($AU$80:$AU$83=CG$93) * ($BH$79:$BP$79=CG$94) * ($BH$80:$BP$83) ))</f>
        <v>0.76036063934043396</v>
      </c>
      <c r="CH132" s="578">
        <f t="array" ref="CH132">$Z132  * (1 + SUM( ($AU$80:$AU$83=CH$93) * ($BH$79:$BP$79=CH$94) * ($BH$80:$BP$83) ))</f>
        <v>0.77825598026224219</v>
      </c>
      <c r="CI132" s="578">
        <f t="array" ref="CI132">$Z132  * (1 + SUM( ($AU$80:$AU$83=CI$93) * ($BH$79:$BP$79=CI$94) * ($BH$80:$BP$83) ))</f>
        <v>0.79159762896160979</v>
      </c>
      <c r="CJ132" s="578">
        <f t="array" ref="CJ132">$Z132  * (1 + SUM( ($AU$80:$AU$83=CJ$93) * ($BH$79:$BP$79=CJ$94) * ($BH$80:$BP$83) ))</f>
        <v>0.80010438742933654</v>
      </c>
      <c r="CK132" s="578">
        <f t="array" ref="CK132">$Z132  * (1 + SUM( ($AU$80:$AU$83=CK$93) * ($BH$79:$BP$79=CK$94) * ($BH$80:$BP$83) ))</f>
        <v>0.80499999999999994</v>
      </c>
      <c r="CL132" s="579">
        <f t="array" ref="CL132">$Z132  * (1 + SUM( ($AU$80:$AU$83=CL$93) * ($BH$79:$BP$79=CL$94) * ($BH$80:$BP$83) ))</f>
        <v>0.70735016741958234</v>
      </c>
      <c r="CM132" s="579">
        <f t="array" ref="CM132">$Z132  * (1 + SUM( ($AU$80:$AU$83=CM$93) * ($BH$79:$BP$79=CM$94) * ($BH$80:$BP$83) ))</f>
        <v>0.72268501345625757</v>
      </c>
      <c r="CN132" s="579">
        <f t="array" ref="CN132">$Z132  * (1 + SUM( ($AU$80:$AU$83=CN$93) * ($BH$79:$BP$79=CN$94) * ($BH$80:$BP$83) ))</f>
        <v>0.74733419482848618</v>
      </c>
      <c r="CO132" s="579">
        <f t="array" ref="CO132">$Z132  * (1 + SUM( ($AU$80:$AU$83=CO$93) * ($BH$79:$BP$79=CO$94) * ($BH$80:$BP$83) ))</f>
        <v>0.78159756415573645</v>
      </c>
      <c r="CP132" s="579">
        <f t="array" ref="CP132">$Z132  * (1 + SUM( ($AU$80:$AU$83=CP$93) * ($BH$79:$BP$79=CP$94) * ($BH$80:$BP$83) ))</f>
        <v>0.82072127868086819</v>
      </c>
      <c r="CQ132" s="579">
        <f t="array" ref="CQ132">$Z132  * (1 + SUM( ($AU$80:$AU$83=CQ$93) * ($BH$79:$BP$79=CQ$94) * ($BH$80:$BP$83) ))</f>
        <v>0.85651196052448431</v>
      </c>
      <c r="CR132" s="579">
        <f t="array" ref="CR132">$Z132  * (1 + SUM( ($AU$80:$AU$83=CR$93) * ($BH$79:$BP$79=CR$94) * ($BH$80:$BP$83) ))</f>
        <v>0.88319525792321985</v>
      </c>
      <c r="CS132" s="579">
        <f t="array" ref="CS132">$Z132  * (1 + SUM( ($AU$80:$AU$83=CS$93) * ($BH$79:$BP$79=CS$94) * ($BH$80:$BP$83) ))</f>
        <v>0.90020877485867323</v>
      </c>
      <c r="CT132" s="579">
        <f t="array" ref="CT132">$Z132  * (1 + SUM( ($AU$80:$AU$83=CT$93) * ($BH$79:$BP$79=CT$94) * ($BH$80:$BP$83) ))</f>
        <v>0.90999999999999992</v>
      </c>
      <c r="CU132" s="578">
        <f t="array" ref="CU132">$Z132  * (1 + SUM( ($AU$80:$AU$83=CU$93) * ($BH$79:$BP$79=CU$94) * ($BH$80:$BP$83) ))</f>
        <v>0.70980022322610981</v>
      </c>
      <c r="CV132" s="578">
        <f t="array" ref="CV132">$Z132  * (1 + SUM( ($AU$80:$AU$83=CV$93) * ($BH$79:$BP$79=CV$94) * ($BH$80:$BP$83) ))</f>
        <v>0.73024668460834341</v>
      </c>
      <c r="CW132" s="578">
        <f t="array" ref="CW132">$Z132  * (1 + SUM( ($AU$80:$AU$83=CW$93) * ($BH$79:$BP$79=CW$94) * ($BH$80:$BP$83) ))</f>
        <v>0.7631122597713148</v>
      </c>
      <c r="CX132" s="578">
        <f t="array" ref="CX132">$Z132  * (1 + SUM( ($AU$80:$AU$83=CX$93) * ($BH$79:$BP$79=CX$94) * ($BH$80:$BP$83) ))</f>
        <v>0.80879675220764879</v>
      </c>
      <c r="CY132" s="578">
        <f t="array" ref="CY132">$Z132  * (1 + SUM( ($AU$80:$AU$83=CY$93) * ($BH$79:$BP$79=CY$94) * ($BH$80:$BP$83) ))</f>
        <v>0.8609617049078242</v>
      </c>
      <c r="CZ132" s="578">
        <f t="array" ref="CZ132">$Z132  * (1 + SUM( ($AU$80:$AU$83=CZ$93) * ($BH$79:$BP$79=CZ$94) * ($BH$80:$BP$83) ))</f>
        <v>0.90868261403264572</v>
      </c>
      <c r="DA132" s="578">
        <f t="array" ref="DA132">$Z132  * (1 + SUM( ($AU$80:$AU$83=DA$93) * ($BH$79:$BP$79=DA$94) * ($BH$80:$BP$83) ))</f>
        <v>0.94426034389762659</v>
      </c>
      <c r="DB132" s="578">
        <f t="array" ref="DB132">$Z132  * (1 + SUM( ($AU$80:$AU$83=DB$93) * ($BH$79:$BP$79=DB$94) * ($BH$80:$BP$83) ))</f>
        <v>0.96694503314489766</v>
      </c>
      <c r="DC132" s="578">
        <f t="array" ref="DC132">$Z132  * (1 + SUM( ($AU$80:$AU$83=DC$93) * ($BH$79:$BP$79=DC$94) * ($BH$80:$BP$83) ))</f>
        <v>0.97999999999999987</v>
      </c>
    </row>
    <row r="133" spans="1:107">
      <c r="A133" s="1167" t="s">
        <v>1227</v>
      </c>
      <c r="B133" s="1167"/>
      <c r="C133" s="1166"/>
      <c r="D133" s="1166"/>
      <c r="E133" s="577"/>
      <c r="F133" s="574">
        <v>0</v>
      </c>
      <c r="G133" s="576"/>
      <c r="H133" s="574"/>
      <c r="I133" s="1164"/>
      <c r="J133" s="575"/>
      <c r="K133" s="574"/>
      <c r="L133" s="574"/>
      <c r="M133" s="1164"/>
      <c r="N133" s="1168"/>
      <c r="O133" s="1164"/>
      <c r="P133" s="1160"/>
      <c r="Q133" s="572"/>
      <c r="R133" s="572"/>
      <c r="S133" s="572"/>
      <c r="T133" s="1164"/>
      <c r="U133" s="573"/>
      <c r="V133" s="572"/>
      <c r="W133" s="572"/>
      <c r="X133" s="572"/>
      <c r="Y133" s="1164"/>
      <c r="Z133" s="573"/>
      <c r="AA133" s="572"/>
      <c r="AB133" s="572"/>
      <c r="AC133" s="572"/>
      <c r="AD133" s="572"/>
      <c r="AE133" s="572"/>
      <c r="AF133" s="572"/>
      <c r="AG133" s="1164"/>
      <c r="AH133" s="1163">
        <v>38</v>
      </c>
      <c r="AI133" s="1162" t="str">
        <f t="shared" si="15"/>
        <v/>
      </c>
      <c r="AJ133" s="1160"/>
      <c r="AK133" s="1160"/>
      <c r="AL133" s="1160"/>
      <c r="AM133" s="1160"/>
      <c r="AN133" s="1160"/>
      <c r="AO133" s="1160"/>
      <c r="AP133" s="1160"/>
      <c r="AQ133" s="1160"/>
      <c r="AR133" s="1160"/>
      <c r="AS133" s="1159"/>
      <c r="AT133" s="1159"/>
      <c r="AU133" s="1159"/>
      <c r="AV133" s="1159"/>
      <c r="AW133" s="1159"/>
      <c r="AX133" s="1159"/>
      <c r="AY133" s="1159"/>
      <c r="AZ133" s="1159"/>
      <c r="BA133" s="1159"/>
      <c r="BB133" s="1160"/>
      <c r="BC133" s="1160"/>
      <c r="BD133" s="1160"/>
      <c r="BE133" s="1160"/>
      <c r="BF133" s="1160"/>
      <c r="BG133" s="1160"/>
      <c r="BH133" s="1160"/>
      <c r="BI133" s="1160"/>
      <c r="BJ133" s="1160"/>
      <c r="BK133" s="1159"/>
      <c r="BL133" s="1159"/>
      <c r="BM133" s="1159"/>
      <c r="BN133" s="1159"/>
      <c r="BO133" s="1159"/>
      <c r="BP133" s="1159"/>
      <c r="BQ133" s="1159"/>
      <c r="BR133" s="1159"/>
      <c r="BS133" s="1159"/>
      <c r="BT133" s="579"/>
      <c r="BU133" s="579"/>
      <c r="BV133" s="579"/>
      <c r="BW133" s="579"/>
      <c r="BX133" s="579"/>
      <c r="BY133" s="579"/>
      <c r="BZ133" s="579"/>
      <c r="CA133" s="579"/>
      <c r="CB133" s="579"/>
      <c r="CC133" s="578"/>
      <c r="CD133" s="578"/>
      <c r="CE133" s="578"/>
      <c r="CF133" s="578"/>
      <c r="CG133" s="578"/>
      <c r="CH133" s="578"/>
      <c r="CI133" s="578"/>
      <c r="CJ133" s="578"/>
      <c r="CK133" s="578"/>
      <c r="CL133" s="579"/>
      <c r="CM133" s="579"/>
      <c r="CN133" s="579"/>
      <c r="CO133" s="579"/>
      <c r="CP133" s="579"/>
      <c r="CQ133" s="579"/>
      <c r="CR133" s="579"/>
      <c r="CS133" s="579"/>
      <c r="CT133" s="579"/>
      <c r="CU133" s="579"/>
      <c r="CV133" s="579"/>
      <c r="CW133" s="579"/>
      <c r="CX133" s="579"/>
      <c r="CY133" s="579"/>
      <c r="CZ133" s="579"/>
      <c r="DA133" s="579"/>
      <c r="DB133" s="579"/>
      <c r="DC133" s="579"/>
    </row>
    <row r="134" spans="1:107">
      <c r="A134" s="585" t="s">
        <v>1226</v>
      </c>
      <c r="B134" s="1167" t="s">
        <v>1225</v>
      </c>
      <c r="C134" s="1166" t="s">
        <v>1224</v>
      </c>
      <c r="D134" s="1166" t="s">
        <v>1221</v>
      </c>
      <c r="E134" s="577">
        <v>1</v>
      </c>
      <c r="F134" s="574">
        <v>1</v>
      </c>
      <c r="G134" s="576">
        <v>100</v>
      </c>
      <c r="H134" s="574">
        <v>50.250383099999993</v>
      </c>
      <c r="I134" s="1164"/>
      <c r="J134" s="575">
        <v>1</v>
      </c>
      <c r="K134" s="574">
        <v>50.250383099999993</v>
      </c>
      <c r="L134" s="574">
        <v>50.250383099999993</v>
      </c>
      <c r="M134" s="1164"/>
      <c r="N134" s="1168"/>
      <c r="O134" s="1164"/>
      <c r="P134" s="1160">
        <v>1</v>
      </c>
      <c r="Q134" s="572">
        <v>1</v>
      </c>
      <c r="R134" s="572">
        <v>1</v>
      </c>
      <c r="S134" s="572">
        <v>1</v>
      </c>
      <c r="T134" s="1164"/>
      <c r="U134" s="573">
        <v>1</v>
      </c>
      <c r="V134" s="572">
        <v>0.6</v>
      </c>
      <c r="W134" s="572">
        <v>0.4</v>
      </c>
      <c r="X134" s="572">
        <v>0.2</v>
      </c>
      <c r="Y134" s="1164"/>
      <c r="Z134" s="573">
        <v>1</v>
      </c>
      <c r="AA134" s="572">
        <v>1</v>
      </c>
      <c r="AB134" s="572">
        <v>1</v>
      </c>
      <c r="AC134" s="572">
        <v>1</v>
      </c>
      <c r="AD134" s="572">
        <v>1</v>
      </c>
      <c r="AE134" s="572">
        <v>1</v>
      </c>
      <c r="AF134" s="572">
        <v>1</v>
      </c>
      <c r="AG134" s="1164"/>
      <c r="AH134" s="1163">
        <v>39</v>
      </c>
      <c r="AI134" s="1162" t="str">
        <f t="shared" si="15"/>
        <v>ISTCOK</v>
      </c>
      <c r="AJ134" s="1165">
        <f t="shared" ref="AJ134:BO134" si="17">1-AJ135</f>
        <v>1</v>
      </c>
      <c r="AK134" s="1165">
        <f t="shared" si="17"/>
        <v>1</v>
      </c>
      <c r="AL134" s="1165">
        <f t="shared" si="17"/>
        <v>1</v>
      </c>
      <c r="AM134" s="1165">
        <f t="shared" si="17"/>
        <v>1</v>
      </c>
      <c r="AN134" s="1165">
        <f t="shared" si="17"/>
        <v>1</v>
      </c>
      <c r="AO134" s="1165">
        <f t="shared" si="17"/>
        <v>1</v>
      </c>
      <c r="AP134" s="1165">
        <f t="shared" si="17"/>
        <v>1</v>
      </c>
      <c r="AQ134" s="1165">
        <f t="shared" si="17"/>
        <v>1</v>
      </c>
      <c r="AR134" s="1165">
        <f t="shared" si="17"/>
        <v>1</v>
      </c>
      <c r="AS134" s="1165">
        <f t="shared" si="17"/>
        <v>1</v>
      </c>
      <c r="AT134" s="1165">
        <f t="shared" si="17"/>
        <v>1</v>
      </c>
      <c r="AU134" s="1165">
        <f t="shared" si="17"/>
        <v>1</v>
      </c>
      <c r="AV134" s="1165">
        <f t="shared" si="17"/>
        <v>1</v>
      </c>
      <c r="AW134" s="1165">
        <f t="shared" si="17"/>
        <v>1</v>
      </c>
      <c r="AX134" s="1165">
        <f t="shared" si="17"/>
        <v>1</v>
      </c>
      <c r="AY134" s="1165">
        <f t="shared" si="17"/>
        <v>1</v>
      </c>
      <c r="AZ134" s="1165">
        <f t="shared" si="17"/>
        <v>1</v>
      </c>
      <c r="BA134" s="1165">
        <f t="shared" si="17"/>
        <v>1</v>
      </c>
      <c r="BB134" s="1165">
        <f t="shared" si="17"/>
        <v>1</v>
      </c>
      <c r="BC134" s="1165">
        <f t="shared" si="17"/>
        <v>1</v>
      </c>
      <c r="BD134" s="1165">
        <f t="shared" si="17"/>
        <v>1</v>
      </c>
      <c r="BE134" s="1165">
        <f t="shared" si="17"/>
        <v>1</v>
      </c>
      <c r="BF134" s="1165">
        <f t="shared" si="17"/>
        <v>1</v>
      </c>
      <c r="BG134" s="1165">
        <f t="shared" si="17"/>
        <v>1</v>
      </c>
      <c r="BH134" s="1165">
        <f t="shared" si="17"/>
        <v>1</v>
      </c>
      <c r="BI134" s="1165">
        <f t="shared" si="17"/>
        <v>1</v>
      </c>
      <c r="BJ134" s="1165">
        <f t="shared" si="17"/>
        <v>1</v>
      </c>
      <c r="BK134" s="1165">
        <f t="shared" si="17"/>
        <v>1</v>
      </c>
      <c r="BL134" s="1165">
        <f t="shared" si="17"/>
        <v>1</v>
      </c>
      <c r="BM134" s="1165">
        <f t="shared" si="17"/>
        <v>1</v>
      </c>
      <c r="BN134" s="1165">
        <f t="shared" si="17"/>
        <v>1</v>
      </c>
      <c r="BO134" s="1165">
        <f t="shared" si="17"/>
        <v>1</v>
      </c>
      <c r="BP134" s="1165">
        <f t="shared" ref="BP134:CU134" si="18">1-BP135</f>
        <v>1</v>
      </c>
      <c r="BQ134" s="1165">
        <f t="shared" si="18"/>
        <v>1</v>
      </c>
      <c r="BR134" s="1165">
        <f t="shared" si="18"/>
        <v>1</v>
      </c>
      <c r="BS134" s="1165">
        <f t="shared" si="18"/>
        <v>1</v>
      </c>
      <c r="BT134" s="1165">
        <f t="shared" si="18"/>
        <v>1</v>
      </c>
      <c r="BU134" s="1165">
        <f t="shared" si="18"/>
        <v>1</v>
      </c>
      <c r="BV134" s="1165">
        <f t="shared" si="18"/>
        <v>1</v>
      </c>
      <c r="BW134" s="1165">
        <f t="shared" si="18"/>
        <v>1</v>
      </c>
      <c r="BX134" s="1165">
        <f t="shared" si="18"/>
        <v>1</v>
      </c>
      <c r="BY134" s="1165">
        <f t="shared" si="18"/>
        <v>1</v>
      </c>
      <c r="BZ134" s="1165">
        <f t="shared" si="18"/>
        <v>1</v>
      </c>
      <c r="CA134" s="1165">
        <f t="shared" si="18"/>
        <v>1</v>
      </c>
      <c r="CB134" s="1165">
        <f t="shared" si="18"/>
        <v>1</v>
      </c>
      <c r="CC134" s="1165">
        <f t="shared" si="18"/>
        <v>1</v>
      </c>
      <c r="CD134" s="1165">
        <f t="shared" si="18"/>
        <v>1</v>
      </c>
      <c r="CE134" s="1165">
        <f t="shared" si="18"/>
        <v>1</v>
      </c>
      <c r="CF134" s="1165">
        <f t="shared" si="18"/>
        <v>1</v>
      </c>
      <c r="CG134" s="1165">
        <f t="shared" si="18"/>
        <v>1</v>
      </c>
      <c r="CH134" s="1165">
        <f t="shared" si="18"/>
        <v>1</v>
      </c>
      <c r="CI134" s="1165">
        <f t="shared" si="18"/>
        <v>1</v>
      </c>
      <c r="CJ134" s="1165">
        <f t="shared" si="18"/>
        <v>1</v>
      </c>
      <c r="CK134" s="1165">
        <f t="shared" si="18"/>
        <v>1</v>
      </c>
      <c r="CL134" s="1165">
        <f t="shared" si="18"/>
        <v>1</v>
      </c>
      <c r="CM134" s="1165">
        <f t="shared" si="18"/>
        <v>1</v>
      </c>
      <c r="CN134" s="1165">
        <f t="shared" si="18"/>
        <v>1</v>
      </c>
      <c r="CO134" s="1165">
        <f t="shared" si="18"/>
        <v>1</v>
      </c>
      <c r="CP134" s="1165">
        <f t="shared" si="18"/>
        <v>1</v>
      </c>
      <c r="CQ134" s="1165">
        <f t="shared" si="18"/>
        <v>1</v>
      </c>
      <c r="CR134" s="1165">
        <f t="shared" si="18"/>
        <v>1</v>
      </c>
      <c r="CS134" s="1165">
        <f t="shared" si="18"/>
        <v>1</v>
      </c>
      <c r="CT134" s="1165">
        <f t="shared" si="18"/>
        <v>1</v>
      </c>
      <c r="CU134" s="1165">
        <f t="shared" si="18"/>
        <v>1</v>
      </c>
      <c r="CV134" s="1165">
        <f t="shared" ref="CV134:DC134" si="19">1-CV135</f>
        <v>1</v>
      </c>
      <c r="CW134" s="1165">
        <f t="shared" si="19"/>
        <v>1</v>
      </c>
      <c r="CX134" s="1165">
        <f t="shared" si="19"/>
        <v>1</v>
      </c>
      <c r="CY134" s="1165">
        <f t="shared" si="19"/>
        <v>1</v>
      </c>
      <c r="CZ134" s="1165">
        <f t="shared" si="19"/>
        <v>1</v>
      </c>
      <c r="DA134" s="1165">
        <f t="shared" si="19"/>
        <v>1</v>
      </c>
      <c r="DB134" s="1165">
        <f t="shared" si="19"/>
        <v>1</v>
      </c>
      <c r="DC134" s="1165">
        <f t="shared" si="19"/>
        <v>1</v>
      </c>
    </row>
    <row r="135" spans="1:107">
      <c r="A135" s="585" t="s">
        <v>1223</v>
      </c>
      <c r="B135" s="585" t="s">
        <v>1222</v>
      </c>
      <c r="C135" s="584" t="s">
        <v>1039</v>
      </c>
      <c r="D135" s="584" t="s">
        <v>1221</v>
      </c>
      <c r="E135" s="538">
        <v>1</v>
      </c>
      <c r="F135" s="540">
        <v>1</v>
      </c>
      <c r="G135" s="539">
        <v>100</v>
      </c>
      <c r="H135" s="540">
        <v>0</v>
      </c>
      <c r="I135" s="580"/>
      <c r="J135" s="595">
        <v>0</v>
      </c>
      <c r="K135" s="540">
        <v>0</v>
      </c>
      <c r="L135" s="540">
        <v>0</v>
      </c>
      <c r="M135" s="580"/>
      <c r="N135" s="594"/>
      <c r="O135" s="580"/>
      <c r="P135" s="583">
        <v>0</v>
      </c>
      <c r="Q135" s="581">
        <v>0.05</v>
      </c>
      <c r="R135" s="581">
        <v>0.25</v>
      </c>
      <c r="S135" s="581">
        <v>0.5</v>
      </c>
      <c r="T135" s="580"/>
      <c r="U135" s="582">
        <v>0</v>
      </c>
      <c r="V135" s="581">
        <v>0</v>
      </c>
      <c r="W135" s="581">
        <v>0</v>
      </c>
      <c r="X135" s="581">
        <v>0</v>
      </c>
      <c r="Y135" s="580"/>
      <c r="Z135" s="582">
        <v>1</v>
      </c>
      <c r="AA135" s="581">
        <v>1</v>
      </c>
      <c r="AB135" s="581">
        <v>1</v>
      </c>
      <c r="AC135" s="581">
        <v>1</v>
      </c>
      <c r="AD135" s="581">
        <v>1</v>
      </c>
      <c r="AE135" s="581">
        <v>1</v>
      </c>
      <c r="AF135" s="581">
        <v>1</v>
      </c>
      <c r="AG135" s="580"/>
      <c r="AH135" s="1163">
        <v>40</v>
      </c>
      <c r="AI135" s="1162" t="str">
        <f t="shared" si="15"/>
        <v>ISTGAS</v>
      </c>
      <c r="AJ135" s="1165">
        <v>0</v>
      </c>
      <c r="AK135" s="1165">
        <v>0</v>
      </c>
      <c r="AL135" s="1165">
        <v>0</v>
      </c>
      <c r="AM135" s="1165">
        <v>0</v>
      </c>
      <c r="AN135" s="1165">
        <v>0</v>
      </c>
      <c r="AO135" s="1165">
        <v>0</v>
      </c>
      <c r="AP135" s="1165">
        <v>0</v>
      </c>
      <c r="AQ135" s="1165">
        <v>0</v>
      </c>
      <c r="AR135" s="1165">
        <v>0</v>
      </c>
      <c r="AS135" s="1165">
        <v>0</v>
      </c>
      <c r="AT135" s="1165">
        <v>0</v>
      </c>
      <c r="AU135" s="1165">
        <v>0</v>
      </c>
      <c r="AV135" s="1165">
        <v>0</v>
      </c>
      <c r="AW135" s="1165">
        <v>0</v>
      </c>
      <c r="AX135" s="1165">
        <v>0</v>
      </c>
      <c r="AY135" s="1165">
        <v>0</v>
      </c>
      <c r="AZ135" s="1165">
        <v>0</v>
      </c>
      <c r="BA135" s="1165">
        <v>0</v>
      </c>
      <c r="BB135" s="1165">
        <v>0</v>
      </c>
      <c r="BC135" s="1165">
        <v>0</v>
      </c>
      <c r="BD135" s="1165">
        <v>0</v>
      </c>
      <c r="BE135" s="1165">
        <v>0</v>
      </c>
      <c r="BF135" s="1165">
        <v>0</v>
      </c>
      <c r="BG135" s="1165">
        <v>0</v>
      </c>
      <c r="BH135" s="1165">
        <v>0</v>
      </c>
      <c r="BI135" s="1165">
        <v>0</v>
      </c>
      <c r="BJ135" s="1165">
        <v>0</v>
      </c>
      <c r="BK135" s="1165">
        <v>0</v>
      </c>
      <c r="BL135" s="1165">
        <v>0</v>
      </c>
      <c r="BM135" s="1165">
        <v>0</v>
      </c>
      <c r="BN135" s="1165">
        <v>0</v>
      </c>
      <c r="BO135" s="1165">
        <v>0</v>
      </c>
      <c r="BP135" s="1165">
        <v>0</v>
      </c>
      <c r="BQ135" s="1165">
        <v>0</v>
      </c>
      <c r="BR135" s="1165">
        <v>0</v>
      </c>
      <c r="BS135" s="1165">
        <v>0</v>
      </c>
      <c r="BT135" s="1165">
        <v>0</v>
      </c>
      <c r="BU135" s="1165">
        <v>0</v>
      </c>
      <c r="BV135" s="1165">
        <v>0</v>
      </c>
      <c r="BW135" s="1165">
        <v>0</v>
      </c>
      <c r="BX135" s="1165">
        <v>0</v>
      </c>
      <c r="BY135" s="1165">
        <v>0</v>
      </c>
      <c r="BZ135" s="1165">
        <v>0</v>
      </c>
      <c r="CA135" s="1165">
        <v>0</v>
      </c>
      <c r="CB135" s="1165">
        <v>0</v>
      </c>
      <c r="CC135" s="1165">
        <v>0</v>
      </c>
      <c r="CD135" s="1165">
        <v>0</v>
      </c>
      <c r="CE135" s="1165">
        <v>0</v>
      </c>
      <c r="CF135" s="1165">
        <v>0</v>
      </c>
      <c r="CG135" s="1165">
        <v>0</v>
      </c>
      <c r="CH135" s="1165">
        <v>0</v>
      </c>
      <c r="CI135" s="1165">
        <v>0</v>
      </c>
      <c r="CJ135" s="1165">
        <v>0</v>
      </c>
      <c r="CK135" s="1165">
        <v>0</v>
      </c>
      <c r="CL135" s="1165">
        <v>0</v>
      </c>
      <c r="CM135" s="1165">
        <v>0</v>
      </c>
      <c r="CN135" s="1165">
        <v>0</v>
      </c>
      <c r="CO135" s="1165">
        <v>0</v>
      </c>
      <c r="CP135" s="1165">
        <v>0</v>
      </c>
      <c r="CQ135" s="1165">
        <v>0</v>
      </c>
      <c r="CR135" s="1165">
        <v>0</v>
      </c>
      <c r="CS135" s="1165">
        <v>0</v>
      </c>
      <c r="CT135" s="1165">
        <v>0</v>
      </c>
      <c r="CU135" s="1165">
        <v>0</v>
      </c>
      <c r="CV135" s="1165">
        <v>0</v>
      </c>
      <c r="CW135" s="1165">
        <v>0</v>
      </c>
      <c r="CX135" s="1165">
        <v>0</v>
      </c>
      <c r="CY135" s="1165">
        <v>0</v>
      </c>
      <c r="CZ135" s="1165">
        <v>0</v>
      </c>
      <c r="DA135" s="1165">
        <v>0</v>
      </c>
      <c r="DB135" s="1165">
        <v>0</v>
      </c>
      <c r="DC135" s="1165">
        <v>0</v>
      </c>
    </row>
    <row r="136" spans="1:107" ht="52" customHeight="1" thickBot="1">
      <c r="A136" s="1180" t="s">
        <v>1064</v>
      </c>
      <c r="B136" s="1179" t="s">
        <v>796</v>
      </c>
      <c r="C136" s="1179" t="s">
        <v>797</v>
      </c>
      <c r="D136" s="1179" t="s">
        <v>798</v>
      </c>
      <c r="E136" s="1179" t="s">
        <v>385</v>
      </c>
      <c r="F136" s="1179" t="s">
        <v>799</v>
      </c>
      <c r="G136" s="1179" t="s">
        <v>800</v>
      </c>
      <c r="H136" s="1179" t="s">
        <v>801</v>
      </c>
      <c r="I136" s="1164"/>
      <c r="J136" s="1179" t="s">
        <v>803</v>
      </c>
      <c r="K136" s="1179" t="s">
        <v>804</v>
      </c>
      <c r="L136" s="1179" t="s">
        <v>805</v>
      </c>
      <c r="M136" s="1179" t="s">
        <v>806</v>
      </c>
      <c r="N136" s="1179" t="s">
        <v>877</v>
      </c>
      <c r="O136" s="1168"/>
      <c r="P136" s="1163" t="s">
        <v>881</v>
      </c>
      <c r="Q136" s="1164"/>
      <c r="R136" s="1164"/>
      <c r="S136" s="1164"/>
      <c r="T136" s="1164"/>
      <c r="U136" s="1163" t="s">
        <v>881</v>
      </c>
      <c r="V136" s="1164"/>
      <c r="W136" s="1164"/>
      <c r="X136" s="1164"/>
      <c r="Y136" s="1164"/>
      <c r="Z136" s="1163" t="s">
        <v>881</v>
      </c>
      <c r="AA136" s="1164"/>
      <c r="AB136" s="1164"/>
      <c r="AC136" s="1164"/>
      <c r="AD136" s="1164"/>
      <c r="AE136" s="1164"/>
      <c r="AF136" s="1164"/>
      <c r="AG136" s="1164"/>
      <c r="AH136" s="1163">
        <v>41</v>
      </c>
      <c r="AI136" s="1162"/>
      <c r="AJ136" s="1163" t="s">
        <v>881</v>
      </c>
      <c r="AK136" s="1163" t="s">
        <v>881</v>
      </c>
      <c r="AL136" s="1163" t="s">
        <v>881</v>
      </c>
      <c r="AM136" s="1163" t="s">
        <v>881</v>
      </c>
      <c r="AN136" s="1163" t="s">
        <v>881</v>
      </c>
      <c r="AO136" s="1163" t="s">
        <v>881</v>
      </c>
      <c r="AP136" s="1163" t="s">
        <v>881</v>
      </c>
      <c r="AQ136" s="1163" t="s">
        <v>881</v>
      </c>
      <c r="AR136" s="1163" t="s">
        <v>881</v>
      </c>
      <c r="AS136" s="1170" t="s">
        <v>881</v>
      </c>
      <c r="AT136" s="1170" t="s">
        <v>881</v>
      </c>
      <c r="AU136" s="1170" t="s">
        <v>881</v>
      </c>
      <c r="AV136" s="1170" t="s">
        <v>881</v>
      </c>
      <c r="AW136" s="1170" t="s">
        <v>881</v>
      </c>
      <c r="AX136" s="1170" t="s">
        <v>881</v>
      </c>
      <c r="AY136" s="1170" t="s">
        <v>881</v>
      </c>
      <c r="AZ136" s="1170" t="s">
        <v>881</v>
      </c>
      <c r="BA136" s="1170" t="s">
        <v>881</v>
      </c>
      <c r="BB136" s="1163" t="s">
        <v>881</v>
      </c>
      <c r="BC136" s="1163" t="s">
        <v>881</v>
      </c>
      <c r="BD136" s="1163" t="s">
        <v>881</v>
      </c>
      <c r="BE136" s="1163" t="s">
        <v>881</v>
      </c>
      <c r="BF136" s="1163" t="s">
        <v>881</v>
      </c>
      <c r="BG136" s="1163" t="s">
        <v>881</v>
      </c>
      <c r="BH136" s="1163" t="s">
        <v>881</v>
      </c>
      <c r="BI136" s="1163" t="s">
        <v>881</v>
      </c>
      <c r="BJ136" s="1163" t="s">
        <v>881</v>
      </c>
      <c r="BK136" s="1170" t="s">
        <v>881</v>
      </c>
      <c r="BL136" s="1170" t="s">
        <v>881</v>
      </c>
      <c r="BM136" s="1170" t="s">
        <v>881</v>
      </c>
      <c r="BN136" s="1170" t="s">
        <v>881</v>
      </c>
      <c r="BO136" s="1170" t="s">
        <v>881</v>
      </c>
      <c r="BP136" s="1170" t="s">
        <v>881</v>
      </c>
      <c r="BQ136" s="1170" t="s">
        <v>881</v>
      </c>
      <c r="BR136" s="1170" t="s">
        <v>881</v>
      </c>
      <c r="BS136" s="1170" t="s">
        <v>881</v>
      </c>
      <c r="BT136" s="592"/>
      <c r="BU136" s="592"/>
      <c r="BV136" s="592"/>
      <c r="BW136" s="592"/>
      <c r="BX136" s="592"/>
      <c r="BY136" s="592"/>
      <c r="BZ136" s="592"/>
      <c r="CA136" s="592"/>
      <c r="CB136" s="592"/>
      <c r="CC136" s="593"/>
      <c r="CD136" s="593"/>
      <c r="CE136" s="593"/>
      <c r="CF136" s="593"/>
      <c r="CG136" s="593"/>
      <c r="CH136" s="593"/>
      <c r="CI136" s="593"/>
      <c r="CJ136" s="593"/>
      <c r="CK136" s="593"/>
      <c r="CL136" s="592"/>
      <c r="CM136" s="592"/>
      <c r="CN136" s="592"/>
      <c r="CO136" s="592"/>
      <c r="CP136" s="592"/>
      <c r="CQ136" s="592"/>
      <c r="CR136" s="592"/>
      <c r="CS136" s="592"/>
      <c r="CT136" s="592"/>
      <c r="CU136" s="592"/>
      <c r="CV136" s="592"/>
      <c r="CW136" s="592"/>
      <c r="CX136" s="592"/>
      <c r="CY136" s="592"/>
      <c r="CZ136" s="592"/>
      <c r="DA136" s="592"/>
      <c r="DB136" s="592"/>
      <c r="DC136" s="592"/>
    </row>
    <row r="137" spans="1:107">
      <c r="A137" s="1173" t="s">
        <v>807</v>
      </c>
      <c r="B137" s="1178" t="s">
        <v>1011</v>
      </c>
      <c r="C137" s="1177"/>
      <c r="D137" s="1177"/>
      <c r="E137" s="1176" t="s">
        <v>808</v>
      </c>
      <c r="F137" s="1176" t="s">
        <v>809</v>
      </c>
      <c r="G137" s="1174" t="s">
        <v>810</v>
      </c>
      <c r="H137" s="1175" t="s">
        <v>811</v>
      </c>
      <c r="I137" s="1164"/>
      <c r="J137" s="1174" t="s">
        <v>812</v>
      </c>
      <c r="K137" s="1174" t="s">
        <v>813</v>
      </c>
      <c r="L137" s="1174" t="s">
        <v>813</v>
      </c>
      <c r="M137" s="1168"/>
      <c r="N137" s="1168"/>
      <c r="O137" s="1168"/>
      <c r="P137" s="1163" t="s">
        <v>881</v>
      </c>
      <c r="Q137" s="1164"/>
      <c r="R137" s="1164"/>
      <c r="S137" s="1164"/>
      <c r="T137" s="1164"/>
      <c r="U137" s="1163" t="s">
        <v>881</v>
      </c>
      <c r="V137" s="1164"/>
      <c r="W137" s="1164"/>
      <c r="X137" s="1164"/>
      <c r="Y137" s="1164"/>
      <c r="Z137" s="1163" t="s">
        <v>881</v>
      </c>
      <c r="AA137" s="1164"/>
      <c r="AB137" s="1164"/>
      <c r="AC137" s="1164"/>
      <c r="AD137" s="1164"/>
      <c r="AE137" s="1164"/>
      <c r="AF137" s="1164"/>
      <c r="AG137" s="1164"/>
      <c r="AH137" s="1163">
        <v>42</v>
      </c>
      <c r="AI137" s="1162" t="str">
        <f>MID(D137,2,2)</f>
        <v/>
      </c>
      <c r="AJ137" s="1163" t="s">
        <v>881</v>
      </c>
      <c r="AK137" s="1163" t="s">
        <v>881</v>
      </c>
      <c r="AL137" s="1163" t="s">
        <v>881</v>
      </c>
      <c r="AM137" s="1163" t="s">
        <v>881</v>
      </c>
      <c r="AN137" s="1163" t="s">
        <v>881</v>
      </c>
      <c r="AO137" s="1163" t="s">
        <v>881</v>
      </c>
      <c r="AP137" s="1163" t="s">
        <v>881</v>
      </c>
      <c r="AQ137" s="1163" t="s">
        <v>881</v>
      </c>
      <c r="AR137" s="1163" t="s">
        <v>881</v>
      </c>
      <c r="AS137" s="1170" t="s">
        <v>881</v>
      </c>
      <c r="AT137" s="1170" t="s">
        <v>881</v>
      </c>
      <c r="AU137" s="1170" t="s">
        <v>881</v>
      </c>
      <c r="AV137" s="1170" t="s">
        <v>881</v>
      </c>
      <c r="AW137" s="1170" t="s">
        <v>881</v>
      </c>
      <c r="AX137" s="1170" t="s">
        <v>881</v>
      </c>
      <c r="AY137" s="1170" t="s">
        <v>881</v>
      </c>
      <c r="AZ137" s="1170" t="s">
        <v>881</v>
      </c>
      <c r="BA137" s="1170" t="s">
        <v>881</v>
      </c>
      <c r="BB137" s="1163" t="s">
        <v>881</v>
      </c>
      <c r="BC137" s="1163" t="s">
        <v>881</v>
      </c>
      <c r="BD137" s="1163" t="s">
        <v>881</v>
      </c>
      <c r="BE137" s="1163" t="s">
        <v>881</v>
      </c>
      <c r="BF137" s="1163" t="s">
        <v>881</v>
      </c>
      <c r="BG137" s="1163" t="s">
        <v>881</v>
      </c>
      <c r="BH137" s="1163" t="s">
        <v>881</v>
      </c>
      <c r="BI137" s="1163" t="s">
        <v>881</v>
      </c>
      <c r="BJ137" s="1163" t="s">
        <v>881</v>
      </c>
      <c r="BK137" s="1170" t="s">
        <v>881</v>
      </c>
      <c r="BL137" s="1170" t="s">
        <v>881</v>
      </c>
      <c r="BM137" s="1170" t="s">
        <v>881</v>
      </c>
      <c r="BN137" s="1170" t="s">
        <v>881</v>
      </c>
      <c r="BO137" s="1170" t="s">
        <v>881</v>
      </c>
      <c r="BP137" s="1170" t="s">
        <v>881</v>
      </c>
      <c r="BQ137" s="1170" t="s">
        <v>881</v>
      </c>
      <c r="BR137" s="1170" t="s">
        <v>881</v>
      </c>
      <c r="BS137" s="1170" t="s">
        <v>881</v>
      </c>
      <c r="BT137" s="590"/>
      <c r="BU137" s="590"/>
      <c r="BV137" s="590"/>
      <c r="BW137" s="590"/>
      <c r="BX137" s="590"/>
      <c r="BY137" s="590"/>
      <c r="BZ137" s="590"/>
      <c r="CA137" s="590"/>
      <c r="CB137" s="590"/>
      <c r="CC137" s="591"/>
      <c r="CD137" s="591"/>
      <c r="CE137" s="591"/>
      <c r="CF137" s="591"/>
      <c r="CG137" s="591"/>
      <c r="CH137" s="591"/>
      <c r="CI137" s="591"/>
      <c r="CJ137" s="591"/>
      <c r="CK137" s="591"/>
      <c r="CL137" s="590"/>
      <c r="CM137" s="590"/>
      <c r="CN137" s="590"/>
      <c r="CO137" s="590"/>
      <c r="CP137" s="590"/>
      <c r="CQ137" s="590"/>
      <c r="CR137" s="590"/>
      <c r="CS137" s="590"/>
      <c r="CT137" s="590"/>
      <c r="CU137" s="590"/>
      <c r="CV137" s="590"/>
      <c r="CW137" s="590"/>
      <c r="CX137" s="590"/>
      <c r="CY137" s="590"/>
      <c r="CZ137" s="590"/>
      <c r="DA137" s="590"/>
      <c r="DB137" s="590"/>
      <c r="DC137" s="590"/>
    </row>
    <row r="138" spans="1:107">
      <c r="A138" s="1173" t="s">
        <v>814</v>
      </c>
      <c r="B138" s="1167"/>
      <c r="C138" s="1172">
        <v>1</v>
      </c>
      <c r="D138" s="1172">
        <v>2</v>
      </c>
      <c r="E138" s="1172">
        <v>3</v>
      </c>
      <c r="F138" s="1172">
        <v>4</v>
      </c>
      <c r="G138" s="1172">
        <v>5</v>
      </c>
      <c r="H138" s="1172">
        <v>6</v>
      </c>
      <c r="I138" s="1164"/>
      <c r="J138" s="589"/>
      <c r="K138" s="1171"/>
      <c r="L138" s="1171"/>
      <c r="M138" s="1168"/>
      <c r="N138" s="1168"/>
      <c r="O138" s="1168"/>
      <c r="P138" s="1163" t="s">
        <v>881</v>
      </c>
      <c r="Q138" s="1164"/>
      <c r="R138" s="1164"/>
      <c r="S138" s="1164"/>
      <c r="T138" s="1164"/>
      <c r="U138" s="1163" t="s">
        <v>881</v>
      </c>
      <c r="V138" s="1164"/>
      <c r="W138" s="1164"/>
      <c r="X138" s="1164"/>
      <c r="Y138" s="1164"/>
      <c r="Z138" s="1163" t="s">
        <v>881</v>
      </c>
      <c r="AA138" s="1164"/>
      <c r="AB138" s="1164"/>
      <c r="AC138" s="1164"/>
      <c r="AD138" s="1164"/>
      <c r="AE138" s="1164"/>
      <c r="AF138" s="1164"/>
      <c r="AG138" s="1164"/>
      <c r="AH138" s="1163">
        <v>43</v>
      </c>
      <c r="AI138" s="1162" t="str">
        <f>MID(D138,2,2)</f>
        <v/>
      </c>
      <c r="AJ138" s="1163" t="s">
        <v>881</v>
      </c>
      <c r="AK138" s="1163" t="s">
        <v>881</v>
      </c>
      <c r="AL138" s="1163" t="s">
        <v>881</v>
      </c>
      <c r="AM138" s="1163" t="s">
        <v>881</v>
      </c>
      <c r="AN138" s="1163" t="s">
        <v>881</v>
      </c>
      <c r="AO138" s="1163" t="s">
        <v>881</v>
      </c>
      <c r="AP138" s="1163" t="s">
        <v>881</v>
      </c>
      <c r="AQ138" s="1163" t="s">
        <v>881</v>
      </c>
      <c r="AR138" s="1163" t="s">
        <v>881</v>
      </c>
      <c r="AS138" s="1170" t="s">
        <v>881</v>
      </c>
      <c r="AT138" s="1170" t="s">
        <v>881</v>
      </c>
      <c r="AU138" s="1170" t="s">
        <v>881</v>
      </c>
      <c r="AV138" s="1170" t="s">
        <v>881</v>
      </c>
      <c r="AW138" s="1170" t="s">
        <v>881</v>
      </c>
      <c r="AX138" s="1170" t="s">
        <v>881</v>
      </c>
      <c r="AY138" s="1170" t="s">
        <v>881</v>
      </c>
      <c r="AZ138" s="1170" t="s">
        <v>881</v>
      </c>
      <c r="BA138" s="1170" t="s">
        <v>881</v>
      </c>
      <c r="BB138" s="1163" t="s">
        <v>881</v>
      </c>
      <c r="BC138" s="1163" t="s">
        <v>881</v>
      </c>
      <c r="BD138" s="1163" t="s">
        <v>881</v>
      </c>
      <c r="BE138" s="1163" t="s">
        <v>881</v>
      </c>
      <c r="BF138" s="1163" t="s">
        <v>881</v>
      </c>
      <c r="BG138" s="1163" t="s">
        <v>881</v>
      </c>
      <c r="BH138" s="1163" t="s">
        <v>881</v>
      </c>
      <c r="BI138" s="1163" t="s">
        <v>881</v>
      </c>
      <c r="BJ138" s="1163" t="s">
        <v>881</v>
      </c>
      <c r="BK138" s="1170" t="s">
        <v>881</v>
      </c>
      <c r="BL138" s="1170" t="s">
        <v>881</v>
      </c>
      <c r="BM138" s="1170" t="s">
        <v>881</v>
      </c>
      <c r="BN138" s="1170" t="s">
        <v>881</v>
      </c>
      <c r="BO138" s="1170" t="s">
        <v>881</v>
      </c>
      <c r="BP138" s="1170" t="s">
        <v>881</v>
      </c>
      <c r="BQ138" s="1170" t="s">
        <v>881</v>
      </c>
      <c r="BR138" s="1170" t="s">
        <v>881</v>
      </c>
      <c r="BS138" s="1170" t="s">
        <v>881</v>
      </c>
      <c r="BT138" s="588"/>
      <c r="BU138" s="588"/>
      <c r="BV138" s="588"/>
      <c r="BW138" s="588"/>
      <c r="BX138" s="588"/>
      <c r="BY138" s="588"/>
      <c r="BZ138" s="588"/>
      <c r="CA138" s="588"/>
      <c r="CB138" s="588"/>
      <c r="CC138" s="578"/>
      <c r="CD138" s="578"/>
      <c r="CE138" s="578"/>
      <c r="CF138" s="578"/>
      <c r="CG138" s="578"/>
      <c r="CH138" s="578"/>
      <c r="CI138" s="578"/>
      <c r="CJ138" s="578"/>
      <c r="CK138" s="578"/>
      <c r="CL138" s="588"/>
      <c r="CM138" s="588"/>
      <c r="CN138" s="588"/>
      <c r="CO138" s="588"/>
      <c r="CP138" s="588"/>
      <c r="CQ138" s="588"/>
      <c r="CR138" s="588"/>
      <c r="CS138" s="588"/>
      <c r="CT138" s="588"/>
      <c r="CU138" s="588"/>
      <c r="CV138" s="588"/>
      <c r="CW138" s="588"/>
      <c r="CX138" s="588"/>
      <c r="CY138" s="588"/>
      <c r="CZ138" s="588"/>
      <c r="DA138" s="588"/>
      <c r="DB138" s="588"/>
      <c r="DC138" s="588"/>
    </row>
    <row r="139" spans="1:107">
      <c r="A139" s="1167" t="s">
        <v>1220</v>
      </c>
      <c r="B139" s="1167" t="s">
        <v>1219</v>
      </c>
      <c r="C139" s="1166" t="s">
        <v>1030</v>
      </c>
      <c r="D139" s="1166" t="s">
        <v>970</v>
      </c>
      <c r="E139" s="577">
        <v>1</v>
      </c>
      <c r="F139" s="574">
        <v>0.79010000000000002</v>
      </c>
      <c r="G139" s="576">
        <v>100</v>
      </c>
      <c r="H139" s="574">
        <v>0.90399590937855978</v>
      </c>
      <c r="I139" s="1164"/>
      <c r="J139" s="575">
        <v>1</v>
      </c>
      <c r="K139" s="574">
        <v>0.7142471680000001</v>
      </c>
      <c r="L139" s="574">
        <v>0.7142471680000001</v>
      </c>
      <c r="M139" s="1168"/>
      <c r="N139" s="1168">
        <v>1</v>
      </c>
      <c r="O139" s="1168"/>
      <c r="P139" s="1163" t="s">
        <v>881</v>
      </c>
      <c r="Q139" s="1164"/>
      <c r="R139" s="1164"/>
      <c r="S139" s="1164"/>
      <c r="T139" s="1164"/>
      <c r="U139" s="1163" t="s">
        <v>881</v>
      </c>
      <c r="V139" s="1164"/>
      <c r="W139" s="1164"/>
      <c r="X139" s="1164"/>
      <c r="Y139" s="1164"/>
      <c r="Z139" s="573">
        <v>1</v>
      </c>
      <c r="AA139" s="572">
        <v>1</v>
      </c>
      <c r="AB139" s="572">
        <v>1</v>
      </c>
      <c r="AC139" s="572">
        <v>1</v>
      </c>
      <c r="AD139" s="572">
        <v>1</v>
      </c>
      <c r="AE139" s="572">
        <v>1</v>
      </c>
      <c r="AF139" s="572">
        <v>1</v>
      </c>
      <c r="AG139" s="1164"/>
      <c r="AH139" s="1163">
        <v>44</v>
      </c>
      <c r="AI139" s="1162" t="str">
        <f>MID(D139,2,2)&amp;C139</f>
        <v>CPINDELC</v>
      </c>
      <c r="AJ139" s="1163" t="s">
        <v>881</v>
      </c>
      <c r="AK139" s="1163" t="s">
        <v>881</v>
      </c>
      <c r="AL139" s="1163" t="s">
        <v>881</v>
      </c>
      <c r="AM139" s="1163" t="s">
        <v>881</v>
      </c>
      <c r="AN139" s="1163" t="s">
        <v>881</v>
      </c>
      <c r="AO139" s="1163" t="s">
        <v>881</v>
      </c>
      <c r="AP139" s="1163" t="s">
        <v>881</v>
      </c>
      <c r="AQ139" s="1163" t="s">
        <v>881</v>
      </c>
      <c r="AR139" s="1163" t="s">
        <v>881</v>
      </c>
      <c r="AS139" s="1170" t="s">
        <v>881</v>
      </c>
      <c r="AT139" s="1170" t="s">
        <v>881</v>
      </c>
      <c r="AU139" s="1170" t="s">
        <v>881</v>
      </c>
      <c r="AV139" s="1170" t="s">
        <v>881</v>
      </c>
      <c r="AW139" s="1170" t="s">
        <v>881</v>
      </c>
      <c r="AX139" s="1170" t="s">
        <v>881</v>
      </c>
      <c r="AY139" s="1170" t="s">
        <v>881</v>
      </c>
      <c r="AZ139" s="1170" t="s">
        <v>881</v>
      </c>
      <c r="BA139" s="1170" t="s">
        <v>881</v>
      </c>
      <c r="BB139" s="1163" t="s">
        <v>881</v>
      </c>
      <c r="BC139" s="1163" t="s">
        <v>881</v>
      </c>
      <c r="BD139" s="1163" t="s">
        <v>881</v>
      </c>
      <c r="BE139" s="1163" t="s">
        <v>881</v>
      </c>
      <c r="BF139" s="1163" t="s">
        <v>881</v>
      </c>
      <c r="BG139" s="1163" t="s">
        <v>881</v>
      </c>
      <c r="BH139" s="1163" t="s">
        <v>881</v>
      </c>
      <c r="BI139" s="1163" t="s">
        <v>881</v>
      </c>
      <c r="BJ139" s="1163" t="s">
        <v>881</v>
      </c>
      <c r="BT139" s="1443">
        <f t="array" ref="BT139">SUM(IFERROR(($AW$42:$AW$76=LEFT($AI139,2)) * ($AU$42:$AU$76=BT$93) * ($BH$41:$BP$41=BT$94) * ($BH$42:$BP$77),0))</f>
        <v>2.100047834166393E-4</v>
      </c>
      <c r="BU139" s="1443">
        <f t="array" ref="BU139">SUM(IFERROR(($AW$42:$AW$76=LEFT($AI139,2)) * ($AU$42:$AU$76=BU$93) * ($BH$41:$BP$41=BU$94) * ($BH$42:$BP$77),0))</f>
        <v>6.4814324160736043E-4</v>
      </c>
      <c r="BV139" s="1443">
        <f t="array" ref="BV139">SUM(IFERROR(($AW$42:$AW$76=LEFT($AI139,2)) * ($AU$42:$AU$76=BV$93) * ($BH$41:$BP$41=BV$94) * ($BH$42:$BP$77),0))</f>
        <v>1.3524055665281763E-3</v>
      </c>
      <c r="BW139" s="1443">
        <f t="array" ref="BW139">SUM(IFERROR(($AW$42:$AW$76=LEFT($AI139,2)) * ($AU$42:$AU$76=BW$93) * ($BH$41:$BP$41=BW$94) * ($BH$42:$BP$77),0))</f>
        <v>2.3313589758781881E-3</v>
      </c>
      <c r="BX139" s="1443">
        <f t="array" ref="BX139">SUM(IFERROR(($AW$42:$AW$76=LEFT($AI139,2)) * ($AU$42:$AU$76=BX$93) * ($BH$41:$BP$41=BX$94) * ($BH$42:$BP$77),0))</f>
        <v>3.4491793908819485E-3</v>
      </c>
      <c r="BY139" s="1443">
        <f t="array" ref="BY139">SUM(IFERROR(($AW$42:$AW$76=LEFT($AI139,2)) * ($AU$42:$AU$76=BY$93) * ($BH$41:$BP$41=BY$94) * ($BH$42:$BP$77),0))</f>
        <v>4.4717703006995546E-3</v>
      </c>
      <c r="BZ139" s="1443">
        <f t="array" ref="BZ139">SUM(IFERROR(($AW$42:$AW$76=LEFT($AI139,2)) * ($AU$42:$AU$76=BZ$93) * ($BH$41:$BP$41=BZ$94) * ($BH$42:$BP$77),0))</f>
        <v>5.2341502263777125E-3</v>
      </c>
      <c r="CA139" s="1443">
        <f t="array" ref="CA139">SUM(IFERROR(($AW$42:$AW$76=LEFT($AI139,2)) * ($AU$42:$AU$76=CA$93) * ($BH$41:$BP$41=CA$94) * ($BH$42:$BP$77),0))</f>
        <v>5.7202507102478081E-3</v>
      </c>
      <c r="CB139" s="1443">
        <f t="array" ref="CB139">SUM(IFERROR(($AW$42:$AW$76=LEFT($AI139,2)) * ($AU$42:$AU$76=CB$93) * ($BH$41:$BP$41=CB$94) * ($BH$42:$BP$77),0))</f>
        <v>6.0000000000000001E-3</v>
      </c>
      <c r="CC139" s="1443">
        <f t="array" ref="CC139">SUM(IFERROR(($AW$42:$AW$76=LEFT($AI139,2)) * ($AU$42:$AU$76=CC$93) * ($BH$41:$BP$41=CC$94) * ($BH$42:$BP$77),0))</f>
        <v>3.9900908849161447E-3</v>
      </c>
      <c r="CD139" s="1443">
        <f t="array" ref="CD139">SUM(IFERROR(($AW$42:$AW$76=LEFT($AI139,2)) * ($AU$42:$AU$76=CD$93) * ($BH$41:$BP$41=CD$94) * ($BH$42:$BP$77),0))</f>
        <v>1.2314721590539842E-2</v>
      </c>
      <c r="CE139" s="1443">
        <f t="array" ref="CE139">SUM(IFERROR(($AW$42:$AW$76=LEFT($AI139,2)) * ($AU$42:$AU$76=CE$93) * ($BH$41:$BP$41=CE$94) * ($BH$42:$BP$77),0))</f>
        <v>2.5695705764035334E-2</v>
      </c>
      <c r="CF139" s="1443">
        <f t="array" ref="CF139">SUM(IFERROR(($AW$42:$AW$76=LEFT($AI139,2)) * ($AU$42:$AU$76=CF$93) * ($BH$41:$BP$41=CF$94) * ($BH$42:$BP$77),0))</f>
        <v>4.429582054168555E-2</v>
      </c>
      <c r="CG139" s="1443">
        <f t="array" ref="CG139">SUM(IFERROR(($AW$42:$AW$76=LEFT($AI139,2)) * ($AU$42:$AU$76=CG$93) * ($BH$41:$BP$41=CG$94) * ($BH$42:$BP$77),0))</f>
        <v>6.5534408426756993E-2</v>
      </c>
      <c r="CH139" s="1443">
        <f t="array" ref="CH139">SUM(IFERROR(($AW$42:$AW$76=LEFT($AI139,2)) * ($AU$42:$AU$76=CH$93) * ($BH$41:$BP$41=CH$94) * ($BH$42:$BP$77),0))</f>
        <v>8.4963635713291491E-2</v>
      </c>
      <c r="CI139" s="1443">
        <f t="array" ref="CI139">SUM(IFERROR(($AW$42:$AW$76=LEFT($AI139,2)) * ($AU$42:$AU$76=CI$93) * ($BH$41:$BP$41=CI$94) * ($BH$42:$BP$77),0))</f>
        <v>9.944885430117649E-2</v>
      </c>
      <c r="CJ139" s="1443">
        <f t="array" ref="CJ139">SUM(IFERROR(($AW$42:$AW$76=LEFT($AI139,2)) * ($AU$42:$AU$76=CJ$93) * ($BH$41:$BP$41=CJ$94) * ($BH$42:$BP$77),0))</f>
        <v>0.10868476349470831</v>
      </c>
      <c r="CK139" s="1443">
        <f t="array" ref="CK139">SUM(IFERROR(($AW$42:$AW$76=LEFT($AI139,2)) * ($AU$42:$AU$76=CK$93) * ($BH$41:$BP$41=CK$94) * ($BH$42:$BP$77),0))</f>
        <v>0.11399999999999995</v>
      </c>
      <c r="CL139" s="1443">
        <f t="array" ref="CL139">SUM(IFERROR(($AW$42:$AW$76=LEFT($AI139,2)) * ($AU$42:$AU$76=CL$93) * ($BH$41:$BP$41=CL$94) * ($BH$42:$BP$77),0))</f>
        <v>1.2294030029182425E-2</v>
      </c>
      <c r="CM139" s="1443">
        <f t="array" ref="CM139">SUM(IFERROR(($AW$42:$AW$76=LEFT($AI139,2)) * ($AU$42:$AU$76=CM$93) * ($BH$41:$BP$41=CM$94) * ($BH$42:$BP$77),0))</f>
        <v>3.7943385602430886E-2</v>
      </c>
      <c r="CN139" s="1443">
        <f t="array" ref="CN139">SUM(IFERROR(($AW$42:$AW$76=LEFT($AI139,2)) * ($AU$42:$AU$76=CN$93) * ($BH$41:$BP$41=CN$94) * ($BH$42:$BP$77),0))</f>
        <v>7.917207587383697E-2</v>
      </c>
      <c r="CO139" s="1443">
        <f t="array" ref="CO139">SUM(IFERROR(($AW$42:$AW$76=LEFT($AI139,2)) * ($AU$42:$AU$76=CO$93) * ($BH$41:$BP$41=CO$94) * ($BH$42:$BP$77),0))</f>
        <v>0.13648164004620225</v>
      </c>
      <c r="CP139" s="1443">
        <f t="array" ref="CP139">SUM(IFERROR(($AW$42:$AW$76=LEFT($AI139,2)) * ($AU$42:$AU$76=CP$93) * ($BH$41:$BP$41=CP$94) * ($BH$42:$BP$77),0))</f>
        <v>0.20192071017454735</v>
      </c>
      <c r="CQ139" s="1443">
        <f t="array" ref="CQ139">SUM(IFERROR(($AW$42:$AW$76=LEFT($AI139,2)) * ($AU$42:$AU$76=CQ$93) * ($BH$41:$BP$41=CQ$94) * ($BH$42:$BP$77),0))</f>
        <v>0.26178488635345304</v>
      </c>
      <c r="CR139" s="1443">
        <f t="array" ref="CR139">SUM(IFERROR(($AW$42:$AW$76=LEFT($AI139,2)) * ($AU$42:$AU$76=CR$93) * ($BH$41:$BP$41=CR$94) * ($BH$42:$BP$77),0))</f>
        <v>0.30641587783586183</v>
      </c>
      <c r="CS139" s="1443">
        <f t="array" ref="CS139">SUM(IFERROR(($AW$42:$AW$76=LEFT($AI139,2)) * ($AU$42:$AU$76=CS$93) * ($BH$41:$BP$41=CS$94) * ($BH$42:$BP$77),0))</f>
        <v>0.33487301032909039</v>
      </c>
      <c r="CT139" s="1443">
        <f t="array" ref="CT139">SUM(IFERROR(($AW$42:$AW$76=LEFT($AI139,2)) * ($AU$42:$AU$76=CT$93) * ($BH$41:$BP$41=CT$94) * ($BH$42:$BP$77),0))</f>
        <v>0.35124999999999995</v>
      </c>
      <c r="CU139" s="1443">
        <f t="array" ref="CU139">SUM(IFERROR(($AW$42:$AW$76=LEFT($AI139,2)) * ($AU$42:$AU$76=CU$93) * ($BH$41:$BP$41=CU$94) * ($BH$42:$BP$77),0))</f>
        <v>1.676538187609504E-2</v>
      </c>
      <c r="CV139" s="1443">
        <f t="array" ref="CV139">SUM(IFERROR(($AW$42:$AW$76=LEFT($AI139,2)) * ($AU$42:$AU$76=CV$93) * ($BH$41:$BP$41=CV$94) * ($BH$42:$BP$77),0))</f>
        <v>5.1743435454987607E-2</v>
      </c>
      <c r="CW139" s="1443">
        <f t="array" ref="CW139">SUM(IFERROR(($AW$42:$AW$76=LEFT($AI139,2)) * ($AU$42:$AU$76=CW$93) * ($BH$41:$BP$41=CW$94) * ($BH$42:$BP$77),0))</f>
        <v>0.1079670443944994</v>
      </c>
      <c r="CX139" s="1443">
        <f t="array" ref="CX139">SUM(IFERROR(($AW$42:$AW$76=LEFT($AI139,2)) * ($AU$42:$AU$76=CX$93) * ($BH$41:$BP$41=CX$94) * ($BH$42:$BP$77),0))</f>
        <v>0.18612015824094202</v>
      </c>
      <c r="CY139" s="1443">
        <f t="array" ref="CY139">SUM(IFERROR(($AW$42:$AW$76=LEFT($AI139,2)) * ($AU$42:$AU$76=CY$93) * ($BH$41:$BP$41=CY$94) * ($BH$42:$BP$77),0))</f>
        <v>0.27535948803874222</v>
      </c>
      <c r="CZ139" s="1443">
        <f t="array" ref="CZ139">SUM(IFERROR(($AW$42:$AW$76=LEFT($AI139,2)) * ($AU$42:$AU$76=CZ$93) * ($BH$41:$BP$41=CZ$94) * ($BH$42:$BP$77),0))</f>
        <v>0.35699632900584777</v>
      </c>
      <c r="DA139" s="1443">
        <f t="array" ref="DA139">SUM(IFERROR(($AW$42:$AW$76=LEFT($AI139,2)) * ($AU$42:$AU$76=DA$93) * ($BH$41:$BP$41=DA$94) * ($BH$42:$BP$77),0))</f>
        <v>0.41785965973915407</v>
      </c>
      <c r="DB139" s="1443">
        <f t="array" ref="DB139">SUM(IFERROR(($AW$42:$AW$76=LEFT($AI139,2)) * ($AU$42:$AU$76=DB$93) * ($BH$41:$BP$41=DB$94) * ($BH$42:$BP$77),0))</f>
        <v>0.45666668170145008</v>
      </c>
      <c r="DC139" s="1443">
        <f t="array" ref="DC139">SUM(IFERROR(($AW$42:$AW$76=LEFT($AI139,2)) * ($AU$42:$AU$76=DC$93) * ($BH$41:$BP$41=DC$94) * ($BH$42:$BP$77),0))</f>
        <v>0.47900000000000004</v>
      </c>
    </row>
    <row r="140" spans="1:107">
      <c r="A140" s="1167" t="s">
        <v>1218</v>
      </c>
      <c r="B140" s="1167" t="s">
        <v>1217</v>
      </c>
      <c r="C140" s="1166" t="s">
        <v>1030</v>
      </c>
      <c r="D140" s="1166" t="s">
        <v>969</v>
      </c>
      <c r="E140" s="577">
        <v>0.05</v>
      </c>
      <c r="F140" s="574">
        <v>0.7833</v>
      </c>
      <c r="G140" s="576">
        <v>100</v>
      </c>
      <c r="H140" s="574">
        <v>0.3419413864419763</v>
      </c>
      <c r="I140" s="1164"/>
      <c r="J140" s="575">
        <v>1</v>
      </c>
      <c r="K140" s="574">
        <v>5.3568537600000008</v>
      </c>
      <c r="L140" s="574">
        <v>0.26784268800000005</v>
      </c>
      <c r="M140" s="1164"/>
      <c r="N140" s="1168"/>
      <c r="O140" s="1164"/>
      <c r="P140" s="1163" t="s">
        <v>881</v>
      </c>
      <c r="Q140" s="1164"/>
      <c r="R140" s="1164"/>
      <c r="S140" s="1164"/>
      <c r="T140" s="1164"/>
      <c r="U140" s="1163" t="s">
        <v>881</v>
      </c>
      <c r="V140" s="1164"/>
      <c r="W140" s="1164"/>
      <c r="X140" s="1164"/>
      <c r="Y140" s="1164"/>
      <c r="Z140" s="573">
        <v>0.05</v>
      </c>
      <c r="AA140" s="572">
        <v>0.05</v>
      </c>
      <c r="AB140" s="572">
        <v>0.05</v>
      </c>
      <c r="AC140" s="572">
        <v>0.05</v>
      </c>
      <c r="AD140" s="572">
        <v>0.05</v>
      </c>
      <c r="AE140" s="572">
        <v>0.05</v>
      </c>
      <c r="AF140" s="572">
        <v>0.05</v>
      </c>
      <c r="AG140" s="1164"/>
      <c r="AH140" s="1163">
        <v>45</v>
      </c>
      <c r="AI140" s="1162"/>
      <c r="AJ140" s="1163" t="s">
        <v>881</v>
      </c>
      <c r="AK140" s="1163" t="s">
        <v>881</v>
      </c>
      <c r="AL140" s="1163" t="s">
        <v>881</v>
      </c>
      <c r="AM140" s="1163" t="s">
        <v>881</v>
      </c>
      <c r="AN140" s="1163" t="s">
        <v>881</v>
      </c>
      <c r="AO140" s="1163" t="s">
        <v>881</v>
      </c>
      <c r="AP140" s="1163" t="s">
        <v>881</v>
      </c>
      <c r="AQ140" s="1163" t="s">
        <v>881</v>
      </c>
      <c r="AR140" s="1163" t="s">
        <v>881</v>
      </c>
      <c r="AS140" s="1170" t="s">
        <v>881</v>
      </c>
      <c r="AT140" s="1170" t="s">
        <v>881</v>
      </c>
      <c r="AU140" s="1170" t="s">
        <v>881</v>
      </c>
      <c r="AV140" s="1170" t="s">
        <v>881</v>
      </c>
      <c r="AW140" s="1170" t="s">
        <v>881</v>
      </c>
      <c r="AX140" s="1170" t="s">
        <v>881</v>
      </c>
      <c r="AY140" s="1170" t="s">
        <v>881</v>
      </c>
      <c r="AZ140" s="1170" t="s">
        <v>881</v>
      </c>
      <c r="BA140" s="1170" t="s">
        <v>881</v>
      </c>
      <c r="BB140" s="1163" t="s">
        <v>881</v>
      </c>
      <c r="BC140" s="1163" t="s">
        <v>881</v>
      </c>
      <c r="BD140" s="1163" t="s">
        <v>881</v>
      </c>
      <c r="BE140" s="1163" t="s">
        <v>881</v>
      </c>
      <c r="BF140" s="1163" t="s">
        <v>881</v>
      </c>
      <c r="BG140" s="1163" t="s">
        <v>881</v>
      </c>
      <c r="BH140" s="1163" t="s">
        <v>881</v>
      </c>
      <c r="BI140" s="1163" t="s">
        <v>881</v>
      </c>
      <c r="BJ140" s="1163" t="s">
        <v>881</v>
      </c>
      <c r="BT140" s="579"/>
      <c r="BU140" s="579"/>
      <c r="BV140" s="579"/>
      <c r="BW140" s="579"/>
      <c r="BX140" s="579"/>
      <c r="BY140" s="579"/>
      <c r="BZ140" s="579"/>
      <c r="CA140" s="579"/>
      <c r="CB140" s="579"/>
      <c r="CC140" s="578"/>
      <c r="CD140" s="578"/>
      <c r="CE140" s="578"/>
      <c r="CF140" s="578"/>
      <c r="CG140" s="578"/>
      <c r="CH140" s="578"/>
      <c r="CI140" s="578"/>
      <c r="CJ140" s="578"/>
      <c r="CK140" s="578"/>
      <c r="CL140" s="579"/>
      <c r="CM140" s="579"/>
      <c r="CN140" s="579"/>
      <c r="CO140" s="579"/>
      <c r="CP140" s="579"/>
      <c r="CQ140" s="579"/>
      <c r="CR140" s="579"/>
      <c r="CS140" s="579"/>
      <c r="CT140" s="579"/>
      <c r="CU140" s="578"/>
      <c r="CV140" s="578"/>
      <c r="CW140" s="578"/>
      <c r="CX140" s="578"/>
      <c r="CY140" s="578"/>
      <c r="CZ140" s="578"/>
      <c r="DA140" s="578"/>
      <c r="DB140" s="578"/>
      <c r="DC140" s="578"/>
    </row>
    <row r="141" spans="1:107">
      <c r="A141" s="1167" t="s">
        <v>1216</v>
      </c>
      <c r="B141" s="1167" t="s">
        <v>1215</v>
      </c>
      <c r="C141" s="1166" t="s">
        <v>1030</v>
      </c>
      <c r="D141" s="1166" t="s">
        <v>968</v>
      </c>
      <c r="E141" s="577">
        <v>0.3</v>
      </c>
      <c r="F141" s="574">
        <v>0.60640000000000005</v>
      </c>
      <c r="G141" s="576">
        <v>100</v>
      </c>
      <c r="H141" s="574">
        <v>0.70670893931398426</v>
      </c>
      <c r="I141" s="1164"/>
      <c r="J141" s="575">
        <v>1</v>
      </c>
      <c r="K141" s="574">
        <v>1.4284943360000002</v>
      </c>
      <c r="L141" s="574">
        <v>0.42854830080000006</v>
      </c>
      <c r="M141" s="1164"/>
      <c r="N141" s="1168"/>
      <c r="O141" s="1164"/>
      <c r="P141" s="1163" t="s">
        <v>881</v>
      </c>
      <c r="Q141" s="1164"/>
      <c r="R141" s="1164"/>
      <c r="S141" s="1164"/>
      <c r="T141" s="1164"/>
      <c r="U141" s="1163" t="s">
        <v>881</v>
      </c>
      <c r="V141" s="1164"/>
      <c r="W141" s="1164"/>
      <c r="X141" s="1164"/>
      <c r="Y141" s="1164"/>
      <c r="Z141" s="573">
        <v>0.3</v>
      </c>
      <c r="AA141" s="572">
        <v>0.3</v>
      </c>
      <c r="AB141" s="572">
        <v>0.3</v>
      </c>
      <c r="AC141" s="572">
        <v>0.3</v>
      </c>
      <c r="AD141" s="572">
        <v>0.3</v>
      </c>
      <c r="AE141" s="572">
        <v>0.3</v>
      </c>
      <c r="AF141" s="572">
        <v>0.3</v>
      </c>
      <c r="AG141" s="1164"/>
      <c r="AH141" s="1163">
        <v>46</v>
      </c>
      <c r="AI141" s="1162"/>
      <c r="AJ141" s="1163" t="s">
        <v>881</v>
      </c>
      <c r="AK141" s="1163" t="s">
        <v>881</v>
      </c>
      <c r="AL141" s="1163" t="s">
        <v>881</v>
      </c>
      <c r="AM141" s="1163" t="s">
        <v>881</v>
      </c>
      <c r="AN141" s="1163" t="s">
        <v>881</v>
      </c>
      <c r="AO141" s="1163" t="s">
        <v>881</v>
      </c>
      <c r="AP141" s="1163" t="s">
        <v>881</v>
      </c>
      <c r="AQ141" s="1163" t="s">
        <v>881</v>
      </c>
      <c r="AR141" s="1163" t="s">
        <v>881</v>
      </c>
      <c r="AS141" s="1170" t="s">
        <v>881</v>
      </c>
      <c r="AT141" s="1170" t="s">
        <v>881</v>
      </c>
      <c r="AU141" s="1170" t="s">
        <v>881</v>
      </c>
      <c r="AV141" s="1170" t="s">
        <v>881</v>
      </c>
      <c r="AW141" s="1170" t="s">
        <v>881</v>
      </c>
      <c r="AX141" s="1170" t="s">
        <v>881</v>
      </c>
      <c r="AY141" s="1170" t="s">
        <v>881</v>
      </c>
      <c r="AZ141" s="1170" t="s">
        <v>881</v>
      </c>
      <c r="BA141" s="1170" t="s">
        <v>881</v>
      </c>
      <c r="BB141" s="1163" t="s">
        <v>881</v>
      </c>
      <c r="BC141" s="1163" t="s">
        <v>881</v>
      </c>
      <c r="BD141" s="1163" t="s">
        <v>881</v>
      </c>
      <c r="BE141" s="1163" t="s">
        <v>881</v>
      </c>
      <c r="BF141" s="1163" t="s">
        <v>881</v>
      </c>
      <c r="BG141" s="1163" t="s">
        <v>881</v>
      </c>
      <c r="BH141" s="1163" t="s">
        <v>881</v>
      </c>
      <c r="BI141" s="1163" t="s">
        <v>881</v>
      </c>
      <c r="BJ141" s="1163" t="s">
        <v>881</v>
      </c>
      <c r="BT141" s="579"/>
      <c r="BU141" s="579"/>
      <c r="BV141" s="579"/>
      <c r="BW141" s="579"/>
      <c r="BX141" s="579"/>
      <c r="BY141" s="579"/>
      <c r="BZ141" s="579"/>
      <c r="CA141" s="579"/>
      <c r="CB141" s="579"/>
      <c r="CC141" s="578"/>
      <c r="CD141" s="578"/>
      <c r="CE141" s="578"/>
      <c r="CF141" s="578"/>
      <c r="CG141" s="578"/>
      <c r="CH141" s="578"/>
      <c r="CI141" s="578"/>
      <c r="CJ141" s="578"/>
      <c r="CK141" s="578"/>
      <c r="CL141" s="579"/>
      <c r="CM141" s="579"/>
      <c r="CN141" s="579"/>
      <c r="CO141" s="579"/>
      <c r="CP141" s="579"/>
      <c r="CQ141" s="579"/>
      <c r="CR141" s="579"/>
      <c r="CS141" s="579"/>
      <c r="CT141" s="579"/>
      <c r="CU141" s="578"/>
      <c r="CV141" s="578"/>
      <c r="CW141" s="578"/>
      <c r="CX141" s="578"/>
      <c r="CY141" s="578"/>
      <c r="CZ141" s="578"/>
      <c r="DA141" s="578"/>
      <c r="DB141" s="578"/>
      <c r="DC141" s="578"/>
    </row>
    <row r="142" spans="1:107">
      <c r="A142" s="1167" t="s">
        <v>1214</v>
      </c>
      <c r="B142" s="1167" t="s">
        <v>1213</v>
      </c>
      <c r="C142" s="1166" t="s">
        <v>1030</v>
      </c>
      <c r="D142" s="1166" t="s">
        <v>967</v>
      </c>
      <c r="E142" s="577">
        <v>2</v>
      </c>
      <c r="F142" s="574">
        <v>0.83289999999999997</v>
      </c>
      <c r="G142" s="576">
        <v>100</v>
      </c>
      <c r="H142" s="574">
        <v>4.2877126185616534</v>
      </c>
      <c r="I142" s="1164"/>
      <c r="J142" s="575">
        <v>1</v>
      </c>
      <c r="K142" s="574">
        <v>1.7856179200000004</v>
      </c>
      <c r="L142" s="574">
        <v>3.5712358400000008</v>
      </c>
      <c r="M142" s="1164"/>
      <c r="N142" s="1168"/>
      <c r="O142" s="1164"/>
      <c r="P142" s="1163" t="s">
        <v>881</v>
      </c>
      <c r="Q142" s="1164"/>
      <c r="R142" s="1164"/>
      <c r="S142" s="1164"/>
      <c r="T142" s="1164"/>
      <c r="U142" s="1163" t="s">
        <v>881</v>
      </c>
      <c r="V142" s="1164"/>
      <c r="W142" s="1164"/>
      <c r="X142" s="1164"/>
      <c r="Y142" s="1164"/>
      <c r="Z142" s="573">
        <v>2</v>
      </c>
      <c r="AA142" s="572">
        <v>2</v>
      </c>
      <c r="AB142" s="572">
        <v>2</v>
      </c>
      <c r="AC142" s="572">
        <v>2</v>
      </c>
      <c r="AD142" s="572">
        <v>2</v>
      </c>
      <c r="AE142" s="572">
        <v>2</v>
      </c>
      <c r="AF142" s="572">
        <v>2</v>
      </c>
      <c r="AG142" s="1164"/>
      <c r="AH142" s="1163">
        <v>47</v>
      </c>
      <c r="AI142" s="1162"/>
      <c r="AJ142" s="1163" t="s">
        <v>881</v>
      </c>
      <c r="AK142" s="1163" t="s">
        <v>881</v>
      </c>
      <c r="AL142" s="1163" t="s">
        <v>881</v>
      </c>
      <c r="AM142" s="1163" t="s">
        <v>881</v>
      </c>
      <c r="AN142" s="1163" t="s">
        <v>881</v>
      </c>
      <c r="AO142" s="1163" t="s">
        <v>881</v>
      </c>
      <c r="AP142" s="1163" t="s">
        <v>881</v>
      </c>
      <c r="AQ142" s="1163" t="s">
        <v>881</v>
      </c>
      <c r="AR142" s="1163" t="s">
        <v>881</v>
      </c>
      <c r="AS142" s="1170" t="s">
        <v>881</v>
      </c>
      <c r="AT142" s="1170" t="s">
        <v>881</v>
      </c>
      <c r="AU142" s="1170" t="s">
        <v>881</v>
      </c>
      <c r="AV142" s="1170" t="s">
        <v>881</v>
      </c>
      <c r="AW142" s="1170" t="s">
        <v>881</v>
      </c>
      <c r="AX142" s="1170" t="s">
        <v>881</v>
      </c>
      <c r="AY142" s="1170" t="s">
        <v>881</v>
      </c>
      <c r="AZ142" s="1170" t="s">
        <v>881</v>
      </c>
      <c r="BA142" s="1170" t="s">
        <v>881</v>
      </c>
      <c r="BB142" s="1163" t="s">
        <v>881</v>
      </c>
      <c r="BC142" s="1163" t="s">
        <v>881</v>
      </c>
      <c r="BD142" s="1163" t="s">
        <v>881</v>
      </c>
      <c r="BE142" s="1163" t="s">
        <v>881</v>
      </c>
      <c r="BF142" s="1163" t="s">
        <v>881</v>
      </c>
      <c r="BG142" s="1163" t="s">
        <v>881</v>
      </c>
      <c r="BH142" s="1163" t="s">
        <v>881</v>
      </c>
      <c r="BI142" s="1163" t="s">
        <v>881</v>
      </c>
      <c r="BJ142" s="1163" t="s">
        <v>881</v>
      </c>
      <c r="BT142" s="579"/>
      <c r="BU142" s="579"/>
      <c r="BV142" s="579"/>
      <c r="BW142" s="579"/>
      <c r="BX142" s="579"/>
      <c r="BY142" s="579"/>
      <c r="BZ142" s="579"/>
      <c r="CA142" s="579"/>
      <c r="CB142" s="579"/>
      <c r="CC142" s="578"/>
      <c r="CD142" s="578"/>
      <c r="CE142" s="578"/>
      <c r="CF142" s="578"/>
      <c r="CG142" s="578"/>
      <c r="CH142" s="578"/>
      <c r="CI142" s="578"/>
      <c r="CJ142" s="578"/>
      <c r="CK142" s="578"/>
      <c r="CL142" s="579"/>
      <c r="CM142" s="579"/>
      <c r="CN142" s="579"/>
      <c r="CO142" s="579"/>
      <c r="CP142" s="579"/>
      <c r="CQ142" s="579"/>
      <c r="CR142" s="579"/>
      <c r="CS142" s="579"/>
      <c r="CT142" s="579"/>
      <c r="CU142" s="578"/>
      <c r="CV142" s="578"/>
      <c r="CW142" s="578"/>
      <c r="CX142" s="578"/>
      <c r="CY142" s="578"/>
      <c r="CZ142" s="578"/>
      <c r="DA142" s="578"/>
      <c r="DB142" s="578"/>
      <c r="DC142" s="578"/>
    </row>
    <row r="143" spans="1:107">
      <c r="A143" s="1167" t="s">
        <v>1212</v>
      </c>
      <c r="B143" s="1167" t="s">
        <v>1211</v>
      </c>
      <c r="C143" s="1166" t="s">
        <v>1030</v>
      </c>
      <c r="D143" s="1166" t="s">
        <v>966</v>
      </c>
      <c r="E143" s="577">
        <v>0.9</v>
      </c>
      <c r="F143" s="574">
        <v>0.60340000000000005</v>
      </c>
      <c r="G143" s="576">
        <v>100</v>
      </c>
      <c r="H143" s="574">
        <v>1.065333860125953</v>
      </c>
      <c r="I143" s="1164"/>
      <c r="J143" s="575">
        <v>1</v>
      </c>
      <c r="K143" s="574">
        <v>0.7142471680000001</v>
      </c>
      <c r="L143" s="574">
        <v>0.64282245120000014</v>
      </c>
      <c r="M143" s="1164"/>
      <c r="N143" s="1168"/>
      <c r="O143" s="1164"/>
      <c r="P143" s="1163" t="s">
        <v>881</v>
      </c>
      <c r="Q143" s="1164"/>
      <c r="R143" s="1164"/>
      <c r="S143" s="1164"/>
      <c r="T143" s="1164"/>
      <c r="U143" s="1163" t="s">
        <v>881</v>
      </c>
      <c r="V143" s="1164"/>
      <c r="W143" s="1164"/>
      <c r="X143" s="1164"/>
      <c r="Y143" s="1164"/>
      <c r="Z143" s="573">
        <v>0.9</v>
      </c>
      <c r="AA143" s="572">
        <v>0.9</v>
      </c>
      <c r="AB143" s="572">
        <v>0.9</v>
      </c>
      <c r="AC143" s="572">
        <v>0.9</v>
      </c>
      <c r="AD143" s="572">
        <v>0.9</v>
      </c>
      <c r="AE143" s="572">
        <v>0.9</v>
      </c>
      <c r="AF143" s="572">
        <v>0.9</v>
      </c>
      <c r="AG143" s="1164"/>
      <c r="AH143" s="1163">
        <v>48</v>
      </c>
      <c r="AI143" s="1162"/>
      <c r="AJ143" s="1163" t="s">
        <v>881</v>
      </c>
      <c r="AK143" s="1163" t="s">
        <v>881</v>
      </c>
      <c r="AL143" s="1163" t="s">
        <v>881</v>
      </c>
      <c r="AM143" s="1163" t="s">
        <v>881</v>
      </c>
      <c r="AN143" s="1163" t="s">
        <v>881</v>
      </c>
      <c r="AO143" s="1163" t="s">
        <v>881</v>
      </c>
      <c r="AP143" s="1163" t="s">
        <v>881</v>
      </c>
      <c r="AQ143" s="1163" t="s">
        <v>881</v>
      </c>
      <c r="AR143" s="1163" t="s">
        <v>881</v>
      </c>
      <c r="AS143" s="1170" t="s">
        <v>881</v>
      </c>
      <c r="AT143" s="1170" t="s">
        <v>881</v>
      </c>
      <c r="AU143" s="1170" t="s">
        <v>881</v>
      </c>
      <c r="AV143" s="1170" t="s">
        <v>881</v>
      </c>
      <c r="AW143" s="1170" t="s">
        <v>881</v>
      </c>
      <c r="AX143" s="1170" t="s">
        <v>881</v>
      </c>
      <c r="AY143" s="1170" t="s">
        <v>881</v>
      </c>
      <c r="AZ143" s="1170" t="s">
        <v>881</v>
      </c>
      <c r="BA143" s="1170" t="s">
        <v>881</v>
      </c>
      <c r="BB143" s="1163" t="s">
        <v>881</v>
      </c>
      <c r="BC143" s="1163" t="s">
        <v>881</v>
      </c>
      <c r="BD143" s="1163" t="s">
        <v>881</v>
      </c>
      <c r="BE143" s="1163" t="s">
        <v>881</v>
      </c>
      <c r="BF143" s="1163" t="s">
        <v>881</v>
      </c>
      <c r="BG143" s="1163" t="s">
        <v>881</v>
      </c>
      <c r="BH143" s="1163" t="s">
        <v>881</v>
      </c>
      <c r="BI143" s="1163" t="s">
        <v>881</v>
      </c>
      <c r="BJ143" s="1163" t="s">
        <v>881</v>
      </c>
      <c r="BT143" s="579"/>
      <c r="BU143" s="579"/>
      <c r="BV143" s="579"/>
      <c r="BW143" s="579"/>
      <c r="BX143" s="579"/>
      <c r="BY143" s="579"/>
      <c r="BZ143" s="579"/>
      <c r="CA143" s="579"/>
      <c r="CB143" s="579"/>
      <c r="CC143" s="578"/>
      <c r="CD143" s="578"/>
      <c r="CE143" s="578"/>
      <c r="CF143" s="578"/>
      <c r="CG143" s="578"/>
      <c r="CH143" s="578"/>
      <c r="CI143" s="578"/>
      <c r="CJ143" s="578"/>
      <c r="CK143" s="578"/>
      <c r="CL143" s="579"/>
      <c r="CM143" s="579"/>
      <c r="CN143" s="579"/>
      <c r="CO143" s="579"/>
      <c r="CP143" s="579"/>
      <c r="CQ143" s="579"/>
      <c r="CR143" s="579"/>
      <c r="CS143" s="579"/>
      <c r="CT143" s="579"/>
      <c r="CU143" s="578"/>
      <c r="CV143" s="578"/>
      <c r="CW143" s="578"/>
      <c r="CX143" s="578"/>
      <c r="CY143" s="578"/>
      <c r="CZ143" s="578"/>
      <c r="DA143" s="578"/>
      <c r="DB143" s="578"/>
      <c r="DC143" s="578"/>
    </row>
    <row r="144" spans="1:107">
      <c r="A144" s="1167" t="s">
        <v>1210</v>
      </c>
      <c r="B144" s="1167" t="s">
        <v>1209</v>
      </c>
      <c r="C144" s="1166" t="s">
        <v>1030</v>
      </c>
      <c r="D144" s="1166" t="s">
        <v>965</v>
      </c>
      <c r="E144" s="577">
        <v>0.8</v>
      </c>
      <c r="F144" s="574">
        <v>0.60940000000000005</v>
      </c>
      <c r="G144" s="576">
        <v>100</v>
      </c>
      <c r="H144" s="574">
        <v>16.408697656711521</v>
      </c>
      <c r="I144" s="1164"/>
      <c r="J144" s="575">
        <v>1</v>
      </c>
      <c r="K144" s="574">
        <v>12.499325440000002</v>
      </c>
      <c r="L144" s="574">
        <v>9.9994603520000016</v>
      </c>
      <c r="M144" s="1164"/>
      <c r="N144" s="1168"/>
      <c r="O144" s="1164"/>
      <c r="P144" s="1163" t="s">
        <v>881</v>
      </c>
      <c r="Q144" s="1164"/>
      <c r="R144" s="1164"/>
      <c r="S144" s="1164"/>
      <c r="T144" s="1164"/>
      <c r="U144" s="1163" t="s">
        <v>881</v>
      </c>
      <c r="V144" s="1164"/>
      <c r="W144" s="1164"/>
      <c r="X144" s="1164"/>
      <c r="Y144" s="1164"/>
      <c r="Z144" s="573">
        <v>0.8</v>
      </c>
      <c r="AA144" s="572">
        <v>0.8</v>
      </c>
      <c r="AB144" s="572">
        <v>0.8</v>
      </c>
      <c r="AC144" s="572">
        <v>0.8</v>
      </c>
      <c r="AD144" s="572">
        <v>0.8</v>
      </c>
      <c r="AE144" s="572">
        <v>0.8</v>
      </c>
      <c r="AF144" s="572">
        <v>0.8</v>
      </c>
      <c r="AG144" s="1164"/>
      <c r="AH144" s="1163">
        <v>49</v>
      </c>
      <c r="AI144" s="1162"/>
      <c r="AJ144" s="1163" t="s">
        <v>881</v>
      </c>
      <c r="AK144" s="1163" t="s">
        <v>881</v>
      </c>
      <c r="AL144" s="1163" t="s">
        <v>881</v>
      </c>
      <c r="AM144" s="1163" t="s">
        <v>881</v>
      </c>
      <c r="AN144" s="1163" t="s">
        <v>881</v>
      </c>
      <c r="AO144" s="1163" t="s">
        <v>881</v>
      </c>
      <c r="AP144" s="1163" t="s">
        <v>881</v>
      </c>
      <c r="AQ144" s="1163" t="s">
        <v>881</v>
      </c>
      <c r="AR144" s="1163" t="s">
        <v>881</v>
      </c>
      <c r="AS144" s="1170" t="s">
        <v>881</v>
      </c>
      <c r="AT144" s="1170" t="s">
        <v>881</v>
      </c>
      <c r="AU144" s="1170" t="s">
        <v>881</v>
      </c>
      <c r="AV144" s="1170" t="s">
        <v>881</v>
      </c>
      <c r="AW144" s="1170" t="s">
        <v>881</v>
      </c>
      <c r="AX144" s="1170" t="s">
        <v>881</v>
      </c>
      <c r="AY144" s="1170" t="s">
        <v>881</v>
      </c>
      <c r="AZ144" s="1170" t="s">
        <v>881</v>
      </c>
      <c r="BA144" s="1170" t="s">
        <v>881</v>
      </c>
      <c r="BB144" s="1163" t="s">
        <v>881</v>
      </c>
      <c r="BC144" s="1163" t="s">
        <v>881</v>
      </c>
      <c r="BD144" s="1163" t="s">
        <v>881</v>
      </c>
      <c r="BE144" s="1163" t="s">
        <v>881</v>
      </c>
      <c r="BF144" s="1163" t="s">
        <v>881</v>
      </c>
      <c r="BG144" s="1163" t="s">
        <v>881</v>
      </c>
      <c r="BH144" s="1163" t="s">
        <v>881</v>
      </c>
      <c r="BI144" s="1163" t="s">
        <v>881</v>
      </c>
      <c r="BJ144" s="1163" t="s">
        <v>881</v>
      </c>
      <c r="BT144" s="579"/>
      <c r="BU144" s="579"/>
      <c r="BV144" s="579"/>
      <c r="BW144" s="579"/>
      <c r="BX144" s="579"/>
      <c r="BY144" s="579"/>
      <c r="BZ144" s="579"/>
      <c r="CA144" s="579"/>
      <c r="CB144" s="579"/>
      <c r="CC144" s="578"/>
      <c r="CD144" s="578"/>
      <c r="CE144" s="578"/>
      <c r="CF144" s="578"/>
      <c r="CG144" s="578"/>
      <c r="CH144" s="578"/>
      <c r="CI144" s="578"/>
      <c r="CJ144" s="578"/>
      <c r="CK144" s="578"/>
      <c r="CL144" s="579"/>
      <c r="CM144" s="579"/>
      <c r="CN144" s="579"/>
      <c r="CO144" s="579"/>
      <c r="CP144" s="579"/>
      <c r="CQ144" s="579"/>
      <c r="CR144" s="579"/>
      <c r="CS144" s="579"/>
      <c r="CT144" s="579"/>
      <c r="CU144" s="578"/>
      <c r="CV144" s="578"/>
      <c r="CW144" s="578"/>
      <c r="CX144" s="578"/>
      <c r="CY144" s="578"/>
      <c r="CZ144" s="578"/>
      <c r="DA144" s="578"/>
      <c r="DB144" s="578"/>
      <c r="DC144" s="578"/>
    </row>
    <row r="145" spans="1:107">
      <c r="A145" s="1167" t="s">
        <v>1208</v>
      </c>
      <c r="B145" s="1167" t="s">
        <v>1207</v>
      </c>
      <c r="C145" s="1166" t="s">
        <v>1030</v>
      </c>
      <c r="D145" s="1166" t="s">
        <v>964</v>
      </c>
      <c r="E145" s="577">
        <v>0.8</v>
      </c>
      <c r="F145" s="574">
        <v>0.65390000000000004</v>
      </c>
      <c r="G145" s="576">
        <v>100</v>
      </c>
      <c r="H145" s="574">
        <v>3.4953218192384159</v>
      </c>
      <c r="I145" s="1164"/>
      <c r="J145" s="575">
        <v>1</v>
      </c>
      <c r="K145" s="574">
        <v>2.8569886720000004</v>
      </c>
      <c r="L145" s="574">
        <v>2.2855909376000003</v>
      </c>
      <c r="M145" s="1164"/>
      <c r="N145" s="1168"/>
      <c r="O145" s="1164"/>
      <c r="P145" s="1163" t="s">
        <v>881</v>
      </c>
      <c r="Q145" s="1164"/>
      <c r="R145" s="1164"/>
      <c r="S145" s="1164"/>
      <c r="T145" s="1164"/>
      <c r="U145" s="1163" t="s">
        <v>881</v>
      </c>
      <c r="V145" s="1164"/>
      <c r="W145" s="1164"/>
      <c r="X145" s="1164"/>
      <c r="Y145" s="1164"/>
      <c r="Z145" s="573">
        <v>0.8</v>
      </c>
      <c r="AA145" s="572">
        <v>0.8</v>
      </c>
      <c r="AB145" s="572">
        <v>0.8</v>
      </c>
      <c r="AC145" s="572">
        <v>0.8</v>
      </c>
      <c r="AD145" s="572">
        <v>0.8</v>
      </c>
      <c r="AE145" s="572">
        <v>0.8</v>
      </c>
      <c r="AF145" s="572">
        <v>0.8</v>
      </c>
      <c r="AG145" s="1164"/>
      <c r="AH145" s="1163">
        <v>50</v>
      </c>
      <c r="AI145" s="1162"/>
      <c r="AJ145" s="1163" t="s">
        <v>881</v>
      </c>
      <c r="AK145" s="1163" t="s">
        <v>881</v>
      </c>
      <c r="AL145" s="1163" t="s">
        <v>881</v>
      </c>
      <c r="AM145" s="1163" t="s">
        <v>881</v>
      </c>
      <c r="AN145" s="1163" t="s">
        <v>881</v>
      </c>
      <c r="AO145" s="1163" t="s">
        <v>881</v>
      </c>
      <c r="AP145" s="1163" t="s">
        <v>881</v>
      </c>
      <c r="AQ145" s="1163" t="s">
        <v>881</v>
      </c>
      <c r="AR145" s="1163" t="s">
        <v>881</v>
      </c>
      <c r="AS145" s="1170" t="s">
        <v>881</v>
      </c>
      <c r="AT145" s="1170" t="s">
        <v>881</v>
      </c>
      <c r="AU145" s="1170" t="s">
        <v>881</v>
      </c>
      <c r="AV145" s="1170" t="s">
        <v>881</v>
      </c>
      <c r="AW145" s="1170" t="s">
        <v>881</v>
      </c>
      <c r="AX145" s="1170" t="s">
        <v>881</v>
      </c>
      <c r="AY145" s="1170" t="s">
        <v>881</v>
      </c>
      <c r="AZ145" s="1170" t="s">
        <v>881</v>
      </c>
      <c r="BA145" s="1170" t="s">
        <v>881</v>
      </c>
      <c r="BB145" s="1163" t="s">
        <v>881</v>
      </c>
      <c r="BC145" s="1163" t="s">
        <v>881</v>
      </c>
      <c r="BD145" s="1163" t="s">
        <v>881</v>
      </c>
      <c r="BE145" s="1163" t="s">
        <v>881</v>
      </c>
      <c r="BF145" s="1163" t="s">
        <v>881</v>
      </c>
      <c r="BG145" s="1163" t="s">
        <v>881</v>
      </c>
      <c r="BH145" s="1163" t="s">
        <v>881</v>
      </c>
      <c r="BI145" s="1163" t="s">
        <v>881</v>
      </c>
      <c r="BJ145" s="1163" t="s">
        <v>881</v>
      </c>
      <c r="BK145" s="1170" t="s">
        <v>881</v>
      </c>
      <c r="BL145" s="1170" t="s">
        <v>881</v>
      </c>
      <c r="BM145" s="1170" t="s">
        <v>881</v>
      </c>
      <c r="BN145" s="1170" t="s">
        <v>881</v>
      </c>
      <c r="BO145" s="1170" t="s">
        <v>881</v>
      </c>
      <c r="BP145" s="1170" t="s">
        <v>881</v>
      </c>
      <c r="BQ145" s="1170" t="s">
        <v>881</v>
      </c>
      <c r="BR145" s="1170" t="s">
        <v>881</v>
      </c>
      <c r="BS145" s="1170" t="s">
        <v>881</v>
      </c>
      <c r="BT145" s="579"/>
      <c r="BU145" s="579"/>
      <c r="BV145" s="579"/>
      <c r="BW145" s="579"/>
      <c r="BX145" s="579"/>
      <c r="BY145" s="579"/>
      <c r="BZ145" s="579"/>
      <c r="CA145" s="579"/>
      <c r="CB145" s="579"/>
      <c r="CC145" s="578"/>
      <c r="CD145" s="578"/>
      <c r="CE145" s="578"/>
      <c r="CF145" s="578"/>
      <c r="CG145" s="578"/>
      <c r="CH145" s="578"/>
      <c r="CI145" s="578"/>
      <c r="CJ145" s="578"/>
      <c r="CK145" s="578"/>
      <c r="CL145" s="579"/>
      <c r="CM145" s="579"/>
      <c r="CN145" s="579"/>
      <c r="CO145" s="579"/>
      <c r="CP145" s="579"/>
      <c r="CQ145" s="579"/>
      <c r="CR145" s="579"/>
      <c r="CS145" s="579"/>
      <c r="CT145" s="579"/>
      <c r="CU145" s="578"/>
      <c r="CV145" s="578"/>
      <c r="CW145" s="578"/>
      <c r="CX145" s="578"/>
      <c r="CY145" s="578"/>
      <c r="CZ145" s="578"/>
      <c r="DA145" s="578"/>
      <c r="DB145" s="578"/>
      <c r="DC145" s="578"/>
    </row>
    <row r="146" spans="1:107">
      <c r="A146" s="1167" t="s">
        <v>1206</v>
      </c>
      <c r="B146" s="1167" t="s">
        <v>1205</v>
      </c>
      <c r="C146" s="1166" t="s">
        <v>1030</v>
      </c>
      <c r="D146" s="1166" t="s">
        <v>963</v>
      </c>
      <c r="E146" s="577">
        <v>0.8</v>
      </c>
      <c r="F146" s="574">
        <v>0.5323</v>
      </c>
      <c r="G146" s="576">
        <v>100</v>
      </c>
      <c r="H146" s="574">
        <v>10.734505624647758</v>
      </c>
      <c r="I146" s="1164"/>
      <c r="J146" s="575">
        <v>1</v>
      </c>
      <c r="K146" s="574">
        <v>7.1424716800000017</v>
      </c>
      <c r="L146" s="574">
        <v>5.7139773440000017</v>
      </c>
      <c r="M146" s="1164"/>
      <c r="N146" s="1168"/>
      <c r="O146" s="1164"/>
      <c r="P146" s="1163" t="s">
        <v>881</v>
      </c>
      <c r="Q146" s="1164"/>
      <c r="R146" s="1164"/>
      <c r="S146" s="1164"/>
      <c r="T146" s="1164"/>
      <c r="U146" s="1163" t="s">
        <v>881</v>
      </c>
      <c r="V146" s="1164"/>
      <c r="W146" s="1164"/>
      <c r="X146" s="1164"/>
      <c r="Y146" s="1164"/>
      <c r="Z146" s="573">
        <v>0.8</v>
      </c>
      <c r="AA146" s="572">
        <v>0.8</v>
      </c>
      <c r="AB146" s="572">
        <v>0.8</v>
      </c>
      <c r="AC146" s="572">
        <v>0.8</v>
      </c>
      <c r="AD146" s="572">
        <v>0.8</v>
      </c>
      <c r="AE146" s="572">
        <v>0.8</v>
      </c>
      <c r="AF146" s="572">
        <v>0.8</v>
      </c>
      <c r="AG146" s="1164"/>
      <c r="AH146" s="1163">
        <v>51</v>
      </c>
      <c r="AI146" s="1162"/>
      <c r="AJ146" s="1163" t="s">
        <v>881</v>
      </c>
      <c r="AK146" s="1163" t="s">
        <v>881</v>
      </c>
      <c r="AL146" s="1163" t="s">
        <v>881</v>
      </c>
      <c r="AM146" s="1163" t="s">
        <v>881</v>
      </c>
      <c r="AN146" s="1163" t="s">
        <v>881</v>
      </c>
      <c r="AO146" s="1163" t="s">
        <v>881</v>
      </c>
      <c r="AP146" s="1163" t="s">
        <v>881</v>
      </c>
      <c r="AQ146" s="1163" t="s">
        <v>881</v>
      </c>
      <c r="AR146" s="1163" t="s">
        <v>881</v>
      </c>
      <c r="AS146" s="1170" t="s">
        <v>881</v>
      </c>
      <c r="AT146" s="1170" t="s">
        <v>881</v>
      </c>
      <c r="AU146" s="1170" t="s">
        <v>881</v>
      </c>
      <c r="AV146" s="1170" t="s">
        <v>881</v>
      </c>
      <c r="AW146" s="1170" t="s">
        <v>881</v>
      </c>
      <c r="AX146" s="1170" t="s">
        <v>881</v>
      </c>
      <c r="AY146" s="1170" t="s">
        <v>881</v>
      </c>
      <c r="AZ146" s="1170" t="s">
        <v>881</v>
      </c>
      <c r="BA146" s="1170" t="s">
        <v>881</v>
      </c>
      <c r="BB146" s="1163" t="s">
        <v>881</v>
      </c>
      <c r="BC146" s="1163" t="s">
        <v>881</v>
      </c>
      <c r="BD146" s="1163" t="s">
        <v>881</v>
      </c>
      <c r="BE146" s="1163" t="s">
        <v>881</v>
      </c>
      <c r="BF146" s="1163" t="s">
        <v>881</v>
      </c>
      <c r="BG146" s="1163" t="s">
        <v>881</v>
      </c>
      <c r="BH146" s="1163" t="s">
        <v>881</v>
      </c>
      <c r="BI146" s="1163" t="s">
        <v>881</v>
      </c>
      <c r="BJ146" s="1163" t="s">
        <v>881</v>
      </c>
      <c r="BK146" s="1170" t="s">
        <v>881</v>
      </c>
      <c r="BL146" s="1170" t="s">
        <v>881</v>
      </c>
      <c r="BM146" s="1170" t="s">
        <v>881</v>
      </c>
      <c r="BN146" s="1170" t="s">
        <v>881</v>
      </c>
      <c r="BO146" s="1170" t="s">
        <v>881</v>
      </c>
      <c r="BP146" s="1170" t="s">
        <v>881</v>
      </c>
      <c r="BQ146" s="1170" t="s">
        <v>881</v>
      </c>
      <c r="BR146" s="1170" t="s">
        <v>881</v>
      </c>
      <c r="BS146" s="1170" t="s">
        <v>881</v>
      </c>
      <c r="BT146" s="579"/>
      <c r="BU146" s="579"/>
      <c r="BV146" s="579"/>
      <c r="BW146" s="579"/>
      <c r="BX146" s="579"/>
      <c r="BY146" s="579"/>
      <c r="BZ146" s="579"/>
      <c r="CA146" s="579"/>
      <c r="CB146" s="579"/>
      <c r="CC146" s="578"/>
      <c r="CD146" s="578"/>
      <c r="CE146" s="578"/>
      <c r="CF146" s="578"/>
      <c r="CG146" s="578"/>
      <c r="CH146" s="578"/>
      <c r="CI146" s="578"/>
      <c r="CJ146" s="578"/>
      <c r="CK146" s="578"/>
      <c r="CL146" s="579"/>
      <c r="CM146" s="579"/>
      <c r="CN146" s="579"/>
      <c r="CO146" s="579"/>
      <c r="CP146" s="579"/>
      <c r="CQ146" s="579"/>
      <c r="CR146" s="579"/>
      <c r="CS146" s="579"/>
      <c r="CT146" s="579"/>
      <c r="CU146" s="578"/>
      <c r="CV146" s="578"/>
      <c r="CW146" s="578"/>
      <c r="CX146" s="578"/>
      <c r="CY146" s="578"/>
      <c r="CZ146" s="578"/>
      <c r="DA146" s="578"/>
      <c r="DB146" s="578"/>
      <c r="DC146" s="578"/>
    </row>
    <row r="147" spans="1:107">
      <c r="A147" s="1167" t="s">
        <v>1204</v>
      </c>
      <c r="B147" s="1167" t="s">
        <v>1203</v>
      </c>
      <c r="C147" s="1166" t="s">
        <v>1030</v>
      </c>
      <c r="D147" s="1166" t="s">
        <v>962</v>
      </c>
      <c r="E147" s="577">
        <v>0.76</v>
      </c>
      <c r="F147" s="574">
        <v>0.6845</v>
      </c>
      <c r="G147" s="576">
        <v>100</v>
      </c>
      <c r="H147" s="574">
        <v>3.1721130616800588</v>
      </c>
      <c r="I147" s="1164"/>
      <c r="J147" s="575">
        <v>1</v>
      </c>
      <c r="K147" s="574">
        <v>2.8569886720000004</v>
      </c>
      <c r="L147" s="574">
        <v>2.1713113907200001</v>
      </c>
      <c r="M147" s="1164"/>
      <c r="N147" s="1168"/>
      <c r="O147" s="1164"/>
      <c r="P147" s="1163" t="s">
        <v>881</v>
      </c>
      <c r="Q147" s="1164"/>
      <c r="R147" s="1164"/>
      <c r="S147" s="1164"/>
      <c r="T147" s="1164"/>
      <c r="U147" s="1163" t="s">
        <v>881</v>
      </c>
      <c r="V147" s="1164"/>
      <c r="W147" s="1164"/>
      <c r="X147" s="1164"/>
      <c r="Y147" s="1164"/>
      <c r="Z147" s="573">
        <v>0.76</v>
      </c>
      <c r="AA147" s="572">
        <v>0.76</v>
      </c>
      <c r="AB147" s="572">
        <v>0.76</v>
      </c>
      <c r="AC147" s="572">
        <v>0.76</v>
      </c>
      <c r="AD147" s="572">
        <v>0.76</v>
      </c>
      <c r="AE147" s="572">
        <v>0.76</v>
      </c>
      <c r="AF147" s="572">
        <v>0.76</v>
      </c>
      <c r="AG147" s="1164"/>
      <c r="AH147" s="1163">
        <v>52</v>
      </c>
      <c r="AI147" s="1162"/>
      <c r="AJ147" s="1163" t="s">
        <v>881</v>
      </c>
      <c r="AK147" s="1163" t="s">
        <v>881</v>
      </c>
      <c r="AL147" s="1163" t="s">
        <v>881</v>
      </c>
      <c r="AM147" s="1163" t="s">
        <v>881</v>
      </c>
      <c r="AN147" s="1163" t="s">
        <v>881</v>
      </c>
      <c r="AO147" s="1163" t="s">
        <v>881</v>
      </c>
      <c r="AP147" s="1163" t="s">
        <v>881</v>
      </c>
      <c r="AQ147" s="1163" t="s">
        <v>881</v>
      </c>
      <c r="AR147" s="1163" t="s">
        <v>881</v>
      </c>
      <c r="AS147" s="1170" t="s">
        <v>881</v>
      </c>
      <c r="AT147" s="1170" t="s">
        <v>881</v>
      </c>
      <c r="AU147" s="1170" t="s">
        <v>881</v>
      </c>
      <c r="AV147" s="1170" t="s">
        <v>881</v>
      </c>
      <c r="AW147" s="1170" t="s">
        <v>881</v>
      </c>
      <c r="AX147" s="1170" t="s">
        <v>881</v>
      </c>
      <c r="AY147" s="1170" t="s">
        <v>881</v>
      </c>
      <c r="AZ147" s="1170" t="s">
        <v>881</v>
      </c>
      <c r="BA147" s="1170" t="s">
        <v>881</v>
      </c>
      <c r="BB147" s="1163" t="s">
        <v>881</v>
      </c>
      <c r="BC147" s="1163" t="s">
        <v>881</v>
      </c>
      <c r="BD147" s="1163" t="s">
        <v>881</v>
      </c>
      <c r="BE147" s="1163" t="s">
        <v>881</v>
      </c>
      <c r="BF147" s="1163" t="s">
        <v>881</v>
      </c>
      <c r="BG147" s="1163" t="s">
        <v>881</v>
      </c>
      <c r="BH147" s="1163" t="s">
        <v>881</v>
      </c>
      <c r="BI147" s="1163" t="s">
        <v>881</v>
      </c>
      <c r="BJ147" s="1163" t="s">
        <v>881</v>
      </c>
      <c r="BK147" s="1170" t="s">
        <v>881</v>
      </c>
      <c r="BL147" s="1170" t="s">
        <v>881</v>
      </c>
      <c r="BM147" s="1170" t="s">
        <v>881</v>
      </c>
      <c r="BN147" s="1170" t="s">
        <v>881</v>
      </c>
      <c r="BO147" s="1170" t="s">
        <v>881</v>
      </c>
      <c r="BP147" s="1170" t="s">
        <v>881</v>
      </c>
      <c r="BQ147" s="1170" t="s">
        <v>881</v>
      </c>
      <c r="BR147" s="1170" t="s">
        <v>881</v>
      </c>
      <c r="BS147" s="1170" t="s">
        <v>881</v>
      </c>
      <c r="BT147" s="579"/>
      <c r="BU147" s="579"/>
      <c r="BV147" s="579"/>
      <c r="BW147" s="579"/>
      <c r="BX147" s="579"/>
      <c r="BY147" s="579"/>
      <c r="BZ147" s="579"/>
      <c r="CA147" s="579"/>
      <c r="CB147" s="579"/>
      <c r="CC147" s="578"/>
      <c r="CD147" s="578"/>
      <c r="CE147" s="578"/>
      <c r="CF147" s="578"/>
      <c r="CG147" s="578"/>
      <c r="CH147" s="578"/>
      <c r="CI147" s="578"/>
      <c r="CJ147" s="578"/>
      <c r="CK147" s="578"/>
      <c r="CL147" s="579"/>
      <c r="CM147" s="579"/>
      <c r="CN147" s="579"/>
      <c r="CO147" s="579"/>
      <c r="CP147" s="579"/>
      <c r="CQ147" s="579"/>
      <c r="CR147" s="579"/>
      <c r="CS147" s="579"/>
      <c r="CT147" s="579"/>
      <c r="CU147" s="578"/>
      <c r="CV147" s="578"/>
      <c r="CW147" s="578"/>
      <c r="CX147" s="578"/>
      <c r="CY147" s="578"/>
      <c r="CZ147" s="578"/>
      <c r="DA147" s="578"/>
      <c r="DB147" s="578"/>
      <c r="DC147" s="578"/>
    </row>
    <row r="148" spans="1:107">
      <c r="A148" s="1167" t="s">
        <v>1045</v>
      </c>
      <c r="B148" s="1167"/>
      <c r="C148" s="1166"/>
      <c r="D148" s="1166" t="s">
        <v>124</v>
      </c>
      <c r="E148" s="577"/>
      <c r="F148" s="574">
        <v>0</v>
      </c>
      <c r="G148" s="576"/>
      <c r="H148" s="574"/>
      <c r="I148" s="1164"/>
      <c r="J148" s="575"/>
      <c r="K148" s="574"/>
      <c r="L148" s="574"/>
      <c r="M148" s="1164"/>
      <c r="N148" s="1168"/>
      <c r="O148" s="1164"/>
      <c r="P148" s="1163" t="s">
        <v>881</v>
      </c>
      <c r="Q148" s="1164"/>
      <c r="R148" s="1164"/>
      <c r="S148" s="1164"/>
      <c r="T148" s="1164"/>
      <c r="U148" s="1163" t="s">
        <v>881</v>
      </c>
      <c r="V148" s="1164"/>
      <c r="W148" s="1164"/>
      <c r="X148" s="1164"/>
      <c r="Y148" s="1164"/>
      <c r="Z148" s="1163" t="s">
        <v>881</v>
      </c>
      <c r="AA148" s="1164"/>
      <c r="AB148" s="1164"/>
      <c r="AC148" s="1164"/>
      <c r="AD148" s="1164"/>
      <c r="AE148" s="1164"/>
      <c r="AF148" s="1164"/>
      <c r="AG148" s="1164"/>
      <c r="AH148" s="1163">
        <v>53</v>
      </c>
      <c r="AI148" s="1162" t="str">
        <f>MID(D148,2,2)</f>
        <v/>
      </c>
      <c r="AJ148" s="1163" t="s">
        <v>881</v>
      </c>
      <c r="AK148" s="1163" t="s">
        <v>881</v>
      </c>
      <c r="AL148" s="1163" t="s">
        <v>881</v>
      </c>
      <c r="AM148" s="1163" t="s">
        <v>881</v>
      </c>
      <c r="AN148" s="1163" t="s">
        <v>881</v>
      </c>
      <c r="AO148" s="1163" t="s">
        <v>881</v>
      </c>
      <c r="AP148" s="1163" t="s">
        <v>881</v>
      </c>
      <c r="AQ148" s="1163" t="s">
        <v>881</v>
      </c>
      <c r="AR148" s="1163" t="s">
        <v>881</v>
      </c>
      <c r="AS148" s="1170" t="s">
        <v>881</v>
      </c>
      <c r="AT148" s="1170" t="s">
        <v>881</v>
      </c>
      <c r="AU148" s="1170" t="s">
        <v>881</v>
      </c>
      <c r="AV148" s="1170" t="s">
        <v>881</v>
      </c>
      <c r="AW148" s="1170" t="s">
        <v>881</v>
      </c>
      <c r="AX148" s="1170" t="s">
        <v>881</v>
      </c>
      <c r="AY148" s="1170" t="s">
        <v>881</v>
      </c>
      <c r="AZ148" s="1170" t="s">
        <v>881</v>
      </c>
      <c r="BA148" s="1170" t="s">
        <v>881</v>
      </c>
      <c r="BB148" s="1163" t="s">
        <v>881</v>
      </c>
      <c r="BC148" s="1163" t="s">
        <v>881</v>
      </c>
      <c r="BD148" s="1163" t="s">
        <v>881</v>
      </c>
      <c r="BE148" s="1163" t="s">
        <v>881</v>
      </c>
      <c r="BF148" s="1163" t="s">
        <v>881</v>
      </c>
      <c r="BG148" s="1163" t="s">
        <v>881</v>
      </c>
      <c r="BH148" s="1163" t="s">
        <v>881</v>
      </c>
      <c r="BI148" s="1163" t="s">
        <v>881</v>
      </c>
      <c r="BJ148" s="1163" t="s">
        <v>881</v>
      </c>
      <c r="BK148" s="1170" t="s">
        <v>881</v>
      </c>
      <c r="BL148" s="1170" t="s">
        <v>881</v>
      </c>
      <c r="BM148" s="1170" t="s">
        <v>881</v>
      </c>
      <c r="BN148" s="1170" t="s">
        <v>881</v>
      </c>
      <c r="BO148" s="1170" t="s">
        <v>881</v>
      </c>
      <c r="BP148" s="1170" t="s">
        <v>881</v>
      </c>
      <c r="BQ148" s="1170" t="s">
        <v>881</v>
      </c>
      <c r="BR148" s="1170" t="s">
        <v>881</v>
      </c>
      <c r="BS148" s="1170" t="s">
        <v>881</v>
      </c>
      <c r="BT148" s="587"/>
      <c r="BU148" s="587"/>
      <c r="BV148" s="587"/>
      <c r="BW148" s="587"/>
      <c r="BX148" s="587"/>
      <c r="BY148" s="587"/>
      <c r="BZ148" s="587"/>
      <c r="CA148" s="587"/>
      <c r="CB148" s="587"/>
      <c r="CC148" s="578"/>
      <c r="CD148" s="578"/>
      <c r="CE148" s="578"/>
      <c r="CF148" s="578"/>
      <c r="CG148" s="578"/>
      <c r="CH148" s="578"/>
      <c r="CI148" s="578"/>
      <c r="CJ148" s="578"/>
      <c r="CK148" s="578"/>
      <c r="CL148" s="587"/>
      <c r="CM148" s="587"/>
      <c r="CN148" s="587"/>
      <c r="CO148" s="587"/>
      <c r="CP148" s="587"/>
      <c r="CQ148" s="587"/>
      <c r="CR148" s="587"/>
      <c r="CS148" s="587"/>
      <c r="CT148" s="587"/>
      <c r="CU148" s="586"/>
      <c r="CV148" s="586"/>
      <c r="CW148" s="586"/>
      <c r="CX148" s="586"/>
      <c r="CY148" s="586"/>
      <c r="CZ148" s="586"/>
      <c r="DA148" s="586"/>
      <c r="DB148" s="586"/>
      <c r="DC148" s="586"/>
    </row>
    <row r="149" spans="1:107">
      <c r="A149" s="1167" t="s">
        <v>1202</v>
      </c>
      <c r="B149" s="1167" t="s">
        <v>1201</v>
      </c>
      <c r="C149" s="1166" t="s">
        <v>1042</v>
      </c>
      <c r="D149" s="1166" t="s">
        <v>961</v>
      </c>
      <c r="E149" s="577">
        <v>0.64</v>
      </c>
      <c r="F149" s="574">
        <v>0.56299999999999994</v>
      </c>
      <c r="G149" s="576">
        <v>100</v>
      </c>
      <c r="H149" s="574">
        <v>57.795400071047958</v>
      </c>
      <c r="I149" s="1164"/>
      <c r="J149" s="575">
        <v>1</v>
      </c>
      <c r="K149" s="574">
        <v>50.84189099999999</v>
      </c>
      <c r="L149" s="574">
        <v>32.538810239999997</v>
      </c>
      <c r="M149" s="1164"/>
      <c r="N149" s="1168"/>
      <c r="O149" s="1164"/>
      <c r="P149" s="1160">
        <v>0.43167516403479089</v>
      </c>
      <c r="Q149" s="572">
        <v>0.48167516403479088</v>
      </c>
      <c r="R149" s="572">
        <v>0.68167516403479089</v>
      </c>
      <c r="S149" s="572">
        <v>0.93167516403479089</v>
      </c>
      <c r="T149" s="1164"/>
      <c r="U149" s="573">
        <v>0.43167516403479089</v>
      </c>
      <c r="V149" s="572">
        <v>0.25900509842087455</v>
      </c>
      <c r="W149" s="572">
        <v>0.17267006561391637</v>
      </c>
      <c r="X149" s="572">
        <v>8.6335032806958187E-2</v>
      </c>
      <c r="Y149" s="1164"/>
      <c r="Z149" s="573">
        <v>0.64</v>
      </c>
      <c r="AA149" s="572">
        <v>0.64</v>
      </c>
      <c r="AB149" s="572">
        <v>0.64</v>
      </c>
      <c r="AC149" s="572">
        <v>0.64</v>
      </c>
      <c r="AD149" s="572">
        <v>0.64</v>
      </c>
      <c r="AE149" s="572">
        <v>0.64</v>
      </c>
      <c r="AF149" s="572">
        <v>0.64</v>
      </c>
      <c r="AG149" s="1164"/>
      <c r="AH149" s="1163">
        <v>54</v>
      </c>
      <c r="AI149" s="1162" t="str">
        <f t="shared" ref="AI149:AI154" si="20">MID(D149,2,3)&amp;RIGHT(C149,3)</f>
        <v>CPSCOA</v>
      </c>
      <c r="AJ149" s="1160">
        <f t="shared" ref="AJ149:AR149" si="21">MAX(0,1-SUM(AJ150:AJ154))</f>
        <v>0.42807445923855569</v>
      </c>
      <c r="AK149" s="1160">
        <f t="shared" si="21"/>
        <v>0.42807445923855569</v>
      </c>
      <c r="AL149" s="1160">
        <f t="shared" si="21"/>
        <v>0.42807445923855569</v>
      </c>
      <c r="AM149" s="1160">
        <f t="shared" si="21"/>
        <v>0.42807445923855569</v>
      </c>
      <c r="AN149" s="1160">
        <f t="shared" si="21"/>
        <v>0.42807445923855569</v>
      </c>
      <c r="AO149" s="1160">
        <f t="shared" si="21"/>
        <v>0.42807445923855569</v>
      </c>
      <c r="AP149" s="1160">
        <f t="shared" si="21"/>
        <v>0.42807445923855569</v>
      </c>
      <c r="AQ149" s="1160">
        <f t="shared" si="21"/>
        <v>0.42807445923855569</v>
      </c>
      <c r="AR149" s="1160">
        <f t="shared" si="21"/>
        <v>0.42807445923855569</v>
      </c>
      <c r="AS149" s="1159">
        <v>0.42807445923855569</v>
      </c>
      <c r="AT149" s="1159">
        <v>0.42807445923855569</v>
      </c>
      <c r="AU149" s="1159">
        <v>0.42807445923855569</v>
      </c>
      <c r="AV149" s="1159">
        <v>0.42807445923855569</v>
      </c>
      <c r="AW149" s="1159">
        <v>0.42807445923855569</v>
      </c>
      <c r="AX149" s="1159">
        <v>0.42807445923855569</v>
      </c>
      <c r="AY149" s="1159">
        <v>0.42807445923855569</v>
      </c>
      <c r="AZ149" s="1159">
        <v>0.42807445923855569</v>
      </c>
      <c r="BA149" s="1159">
        <v>0.42807445923855569</v>
      </c>
      <c r="BB149" s="1160">
        <v>0.42807445923855569</v>
      </c>
      <c r="BC149" s="1160">
        <v>0.42807445923855569</v>
      </c>
      <c r="BD149" s="1160">
        <v>0.42807445923855569</v>
      </c>
      <c r="BE149" s="1160">
        <v>0.42807445923855569</v>
      </c>
      <c r="BF149" s="1160">
        <v>0.42807445923855569</v>
      </c>
      <c r="BG149" s="1160">
        <v>0.42807445923855569</v>
      </c>
      <c r="BH149" s="1160">
        <v>0.42807445923855569</v>
      </c>
      <c r="BI149" s="1160">
        <v>0.42807445923855569</v>
      </c>
      <c r="BJ149" s="1160">
        <v>0.42807445923855569</v>
      </c>
      <c r="BK149" s="1159">
        <v>0.42807445923855569</v>
      </c>
      <c r="BL149" s="1159">
        <v>0.42807445923855569</v>
      </c>
      <c r="BM149" s="1159">
        <v>0.42807445923855569</v>
      </c>
      <c r="BN149" s="1159">
        <v>0.42807445923855569</v>
      </c>
      <c r="BO149" s="1159">
        <v>0.42807445923855569</v>
      </c>
      <c r="BP149" s="1159">
        <v>0.42807445923855569</v>
      </c>
      <c r="BQ149" s="1159">
        <v>0.42807445923855569</v>
      </c>
      <c r="BR149" s="1159">
        <v>0.42807445923855569</v>
      </c>
      <c r="BS149" s="1159">
        <v>0.42807445923855569</v>
      </c>
      <c r="BT149" s="579">
        <f t="array" ref="BT149">$Z149  * (1 + SUM( ($AU$80:$AU$83=BT$93) * ($BH$79:$BP$79=BT$94) * ($BH$80:$BP$83) ))</f>
        <v>0.64022400510231114</v>
      </c>
      <c r="BU149" s="579">
        <f t="array" ref="BU149">$Z149  * (1 + SUM( ($AU$80:$AU$83=BU$93) * ($BH$79:$BP$79=BU$94) * ($BH$80:$BP$83) ))</f>
        <v>0.64069135279104783</v>
      </c>
      <c r="BV149" s="579">
        <f t="array" ref="BV149">$Z149  * (1 + SUM( ($AU$80:$AU$83=BV$93) * ($BH$79:$BP$79=BV$94) * ($BH$80:$BP$83) ))</f>
        <v>0.64144256593763005</v>
      </c>
      <c r="BW149" s="579">
        <f t="array" ref="BW149">$Z149  * (1 + SUM( ($AU$80:$AU$83=BW$93) * ($BH$79:$BP$79=BW$94) * ($BH$80:$BP$83) ))</f>
        <v>0.64248678290760342</v>
      </c>
      <c r="BX149" s="579">
        <f t="array" ref="BX149">$Z149  * (1 + SUM( ($AU$80:$AU$83=BX$93) * ($BH$79:$BP$79=BX$94) * ($BH$80:$BP$83) ))</f>
        <v>0.64367912468360744</v>
      </c>
      <c r="BY149" s="579">
        <f t="array" ref="BY149">$Z149  * (1 + SUM( ($AU$80:$AU$83=BY$93) * ($BH$79:$BP$79=BY$94) * ($BH$80:$BP$83) ))</f>
        <v>0.64476988832074622</v>
      </c>
      <c r="BZ149" s="579">
        <f t="array" ref="BZ149">$Z149  * (1 + SUM( ($AU$80:$AU$83=BZ$93) * ($BH$79:$BP$79=BZ$94) * ($BH$80:$BP$83) ))</f>
        <v>0.64558309357480281</v>
      </c>
      <c r="CA149" s="579">
        <f t="array" ref="CA149">$Z149  * (1 + SUM( ($AU$80:$AU$83=CA$93) * ($BH$79:$BP$79=CA$94) * ($BH$80:$BP$83) ))</f>
        <v>0.6461016007575977</v>
      </c>
      <c r="CB149" s="579">
        <f t="array" ref="CB149">$Z149  * (1 + SUM( ($AU$80:$AU$83=CB$93) * ($BH$79:$BP$79=CB$94) * ($BH$80:$BP$83) ))</f>
        <v>0.64639999999999997</v>
      </c>
      <c r="CC149" s="578">
        <f t="array" ref="CC149">$Z149  * (1 + SUM( ($AU$80:$AU$83=CC$93) * ($BH$79:$BP$79=CC$94) * ($BH$80:$BP$83) ))</f>
        <v>0.6433600765346662</v>
      </c>
      <c r="CD149" s="578">
        <f t="array" ref="CD149">$Z149  * (1 + SUM( ($AU$80:$AU$83=CD$93) * ($BH$79:$BP$79=CD$94) * ($BH$80:$BP$83) ))</f>
        <v>0.65037029186571771</v>
      </c>
      <c r="CE149" s="578">
        <f t="array" ref="CE149">$Z149  * (1 + SUM( ($AU$80:$AU$83=CE$93) * ($BH$79:$BP$79=CE$94) * ($BH$80:$BP$83) ))</f>
        <v>0.66163848906445089</v>
      </c>
      <c r="CF149" s="578">
        <f t="array" ref="CF149">$Z149  * (1 + SUM( ($AU$80:$AU$83=CF$93) * ($BH$79:$BP$79=CF$94) * ($BH$80:$BP$83) ))</f>
        <v>0.67730174361405104</v>
      </c>
      <c r="CG149" s="578">
        <f t="array" ref="CG149">$Z149  * (1 + SUM( ($AU$80:$AU$83=CG$93) * ($BH$79:$BP$79=CG$94) * ($BH$80:$BP$83) ))</f>
        <v>0.69518687025411108</v>
      </c>
      <c r="CH149" s="578">
        <f t="array" ref="CH149">$Z149  * (1 + SUM( ($AU$80:$AU$83=CH$93) * ($BH$79:$BP$79=CH$94) * ($BH$80:$BP$83) ))</f>
        <v>0.7115483248111929</v>
      </c>
      <c r="CI149" s="578">
        <f t="array" ref="CI149">$Z149  * (1 + SUM( ($AU$80:$AU$83=CI$93) * ($BH$79:$BP$79=CI$94) * ($BH$80:$BP$83) ))</f>
        <v>0.72374640362204334</v>
      </c>
      <c r="CJ149" s="578">
        <f t="array" ref="CJ149">$Z149  * (1 + SUM( ($AU$80:$AU$83=CJ$93) * ($BH$79:$BP$79=CJ$94) * ($BH$80:$BP$83) ))</f>
        <v>0.73152401136396494</v>
      </c>
      <c r="CK149" s="578">
        <f t="array" ref="CK149">$Z149  * (1 + SUM( ($AU$80:$AU$83=CK$93) * ($BH$79:$BP$79=CK$94) * ($BH$80:$BP$83) ))</f>
        <v>0.73599999999999999</v>
      </c>
      <c r="CL149" s="579">
        <f t="array" ref="CL149">$Z149  * (1 + SUM( ($AU$80:$AU$83=CL$93) * ($BH$79:$BP$79=CL$94) * ($BH$80:$BP$83) ))</f>
        <v>0.6467201530693325</v>
      </c>
      <c r="CM149" s="579">
        <f t="array" ref="CM149">$Z149  * (1 + SUM( ($AU$80:$AU$83=CM$93) * ($BH$79:$BP$79=CM$94) * ($BH$80:$BP$83) ))</f>
        <v>0.66074058373143563</v>
      </c>
      <c r="CN149" s="579">
        <f t="array" ref="CN149">$Z149  * (1 + SUM( ($AU$80:$AU$83=CN$93) * ($BH$79:$BP$79=CN$94) * ($BH$80:$BP$83) ))</f>
        <v>0.68327697812890165</v>
      </c>
      <c r="CO149" s="579">
        <f t="array" ref="CO149">$Z149  * (1 + SUM( ($AU$80:$AU$83=CO$93) * ($BH$79:$BP$79=CO$94) * ($BH$80:$BP$83) ))</f>
        <v>0.71460348722810196</v>
      </c>
      <c r="CP149" s="579">
        <f t="array" ref="CP149">$Z149  * (1 + SUM( ($AU$80:$AU$83=CP$93) * ($BH$79:$BP$79=CP$94) * ($BH$80:$BP$83) ))</f>
        <v>0.75037374050822236</v>
      </c>
      <c r="CQ149" s="579">
        <f t="array" ref="CQ149">$Z149  * (1 + SUM( ($AU$80:$AU$83=CQ$93) * ($BH$79:$BP$79=CQ$94) * ($BH$80:$BP$83) ))</f>
        <v>0.78309664962238568</v>
      </c>
      <c r="CR149" s="579">
        <f t="array" ref="CR149">$Z149  * (1 + SUM( ($AU$80:$AU$83=CR$93) * ($BH$79:$BP$79=CR$94) * ($BH$80:$BP$83) ))</f>
        <v>0.80749280724408679</v>
      </c>
      <c r="CS149" s="579">
        <f t="array" ref="CS149">$Z149  * (1 + SUM( ($AU$80:$AU$83=CS$93) * ($BH$79:$BP$79=CS$94) * ($BH$80:$BP$83) ))</f>
        <v>0.82304802272792987</v>
      </c>
      <c r="CT149" s="579">
        <f t="array" ref="CT149">$Z149  * (1 + SUM( ($AU$80:$AU$83=CT$93) * ($BH$79:$BP$79=CT$94) * ($BH$80:$BP$83) ))</f>
        <v>0.83200000000000007</v>
      </c>
      <c r="CU149" s="578">
        <f t="array" ref="CU149">$Z149  * (1 + SUM( ($AU$80:$AU$83=CU$93) * ($BH$79:$BP$79=CU$94) * ($BH$80:$BP$83) ))</f>
        <v>0.64896020409244326</v>
      </c>
      <c r="CV149" s="578">
        <f t="array" ref="CV149">$Z149  * (1 + SUM( ($AU$80:$AU$83=CV$93) * ($BH$79:$BP$79=CV$94) * ($BH$80:$BP$83) ))</f>
        <v>0.66765411164191402</v>
      </c>
      <c r="CW149" s="578">
        <f t="array" ref="CW149">$Z149  * (1 + SUM( ($AU$80:$AU$83=CW$93) * ($BH$79:$BP$79=CW$94) * ($BH$80:$BP$83) ))</f>
        <v>0.69770263750520212</v>
      </c>
      <c r="CX149" s="578">
        <f t="array" ref="CX149">$Z149  * (1 + SUM( ($AU$80:$AU$83=CX$93) * ($BH$79:$BP$79=CX$94) * ($BH$80:$BP$83) ))</f>
        <v>0.73947131630413609</v>
      </c>
      <c r="CY149" s="578">
        <f t="array" ref="CY149">$Z149  * (1 + SUM( ($AU$80:$AU$83=CY$93) * ($BH$79:$BP$79=CY$94) * ($BH$80:$BP$83) ))</f>
        <v>0.78716498734429652</v>
      </c>
      <c r="CZ149" s="578">
        <f t="array" ref="CZ149">$Z149  * (1 + SUM( ($AU$80:$AU$83=CZ$93) * ($BH$79:$BP$79=CZ$94) * ($BH$80:$BP$83) ))</f>
        <v>0.83079553282984764</v>
      </c>
      <c r="DA149" s="578">
        <f t="array" ref="DA149">$Z149  * (1 + SUM( ($AU$80:$AU$83=DA$93) * ($BH$79:$BP$79=DA$94) * ($BH$80:$BP$83) ))</f>
        <v>0.86332374299211578</v>
      </c>
      <c r="DB149" s="578">
        <f t="array" ref="DB149">$Z149  * (1 + SUM( ($AU$80:$AU$83=DB$93) * ($BH$79:$BP$79=DB$94) * ($BH$80:$BP$83) ))</f>
        <v>0.88406403030390646</v>
      </c>
      <c r="DC149" s="578">
        <f t="array" ref="DC149">$Z149  * (1 + SUM( ($AU$80:$AU$83=DC$93) * ($BH$79:$BP$79=DC$94) * ($BH$80:$BP$83) ))</f>
        <v>0.89599999999999991</v>
      </c>
    </row>
    <row r="150" spans="1:107">
      <c r="A150" s="1167" t="s">
        <v>1200</v>
      </c>
      <c r="B150" s="1167" t="s">
        <v>1199</v>
      </c>
      <c r="C150" s="1166" t="s">
        <v>1039</v>
      </c>
      <c r="D150" s="1166" t="s">
        <v>961</v>
      </c>
      <c r="E150" s="577">
        <v>0.72</v>
      </c>
      <c r="F150" s="574">
        <v>0.56299999999999994</v>
      </c>
      <c r="G150" s="576">
        <v>100</v>
      </c>
      <c r="H150" s="574">
        <v>75.608836944937835</v>
      </c>
      <c r="I150" s="1164"/>
      <c r="J150" s="575">
        <v>1</v>
      </c>
      <c r="K150" s="574">
        <v>59.121910000000007</v>
      </c>
      <c r="L150" s="574">
        <v>42.5677752</v>
      </c>
      <c r="M150" s="1164"/>
      <c r="N150" s="1168"/>
      <c r="O150" s="1164"/>
      <c r="P150" s="1160">
        <v>0.56472413116897369</v>
      </c>
      <c r="Q150" s="572">
        <v>0.61472413116897373</v>
      </c>
      <c r="R150" s="572">
        <v>0.81472413116897369</v>
      </c>
      <c r="S150" s="572">
        <v>1</v>
      </c>
      <c r="T150" s="1164"/>
      <c r="U150" s="573">
        <v>0.56472413116897369</v>
      </c>
      <c r="V150" s="572">
        <v>0.33883447870138422</v>
      </c>
      <c r="W150" s="572">
        <v>0.22588965246758949</v>
      </c>
      <c r="X150" s="572">
        <v>0.11294482623379475</v>
      </c>
      <c r="Y150" s="1164"/>
      <c r="Z150" s="573">
        <v>0.72</v>
      </c>
      <c r="AA150" s="572">
        <v>0.72</v>
      </c>
      <c r="AB150" s="572">
        <v>0.72</v>
      </c>
      <c r="AC150" s="572">
        <v>0.72</v>
      </c>
      <c r="AD150" s="572">
        <v>0.72</v>
      </c>
      <c r="AE150" s="572">
        <v>0.72</v>
      </c>
      <c r="AF150" s="572">
        <v>0.72</v>
      </c>
      <c r="AG150" s="1164"/>
      <c r="AH150" s="1163">
        <v>55</v>
      </c>
      <c r="AI150" s="1162" t="str">
        <f t="shared" si="20"/>
        <v>CPSGAS</v>
      </c>
      <c r="AJ150" s="1160">
        <v>0.56472413116897369</v>
      </c>
      <c r="AK150" s="1160">
        <v>0.56472413116897369</v>
      </c>
      <c r="AL150" s="1160">
        <v>0.56472413116897369</v>
      </c>
      <c r="AM150" s="1160">
        <v>0.56472413116897369</v>
      </c>
      <c r="AN150" s="1160">
        <v>0.56472413116897369</v>
      </c>
      <c r="AO150" s="1160">
        <v>0.56472413116897369</v>
      </c>
      <c r="AP150" s="1160">
        <v>0.56472413116897369</v>
      </c>
      <c r="AQ150" s="1160">
        <v>0.56472413116897369</v>
      </c>
      <c r="AR150" s="1160">
        <v>0.56472413116897369</v>
      </c>
      <c r="AS150" s="1181">
        <v>0.56472413116897369</v>
      </c>
      <c r="AT150" s="1181">
        <v>0.56472413116897369</v>
      </c>
      <c r="AU150" s="1181">
        <v>0.56472413116897369</v>
      </c>
      <c r="AV150" s="1181">
        <v>0.56472413116897369</v>
      </c>
      <c r="AW150" s="1181">
        <v>0.56472413116897369</v>
      </c>
      <c r="AX150" s="1181">
        <v>0.56472413116897369</v>
      </c>
      <c r="AY150" s="1181">
        <v>0.56472413116897369</v>
      </c>
      <c r="AZ150" s="1181">
        <v>0.56472413116897369</v>
      </c>
      <c r="BA150" s="1181">
        <v>0.56472413116897369</v>
      </c>
      <c r="BB150" s="1160">
        <v>0.56472413116897369</v>
      </c>
      <c r="BC150" s="1160">
        <v>0.56472413116897369</v>
      </c>
      <c r="BD150" s="1160">
        <v>0.56472413116897369</v>
      </c>
      <c r="BE150" s="1160">
        <v>0.56472413116897369</v>
      </c>
      <c r="BF150" s="1160">
        <v>0.56472413116897369</v>
      </c>
      <c r="BG150" s="1160">
        <v>0.56472413116897369</v>
      </c>
      <c r="BH150" s="1160">
        <v>0.56472413116897369</v>
      </c>
      <c r="BI150" s="1160">
        <v>0.56472413116897369</v>
      </c>
      <c r="BJ150" s="1160">
        <v>0.56472413116897369</v>
      </c>
      <c r="BK150" s="1159">
        <v>0.56472413116897369</v>
      </c>
      <c r="BL150" s="1159">
        <v>0.56472413116897369</v>
      </c>
      <c r="BM150" s="1159">
        <v>0.56472413116897369</v>
      </c>
      <c r="BN150" s="1159">
        <v>0.56472413116897369</v>
      </c>
      <c r="BO150" s="1159">
        <v>0.56472413116897369</v>
      </c>
      <c r="BP150" s="1159">
        <v>0.56472413116897369</v>
      </c>
      <c r="BQ150" s="1159">
        <v>0.56472413116897369</v>
      </c>
      <c r="BR150" s="1159">
        <v>0.56472413116897369</v>
      </c>
      <c r="BS150" s="1159">
        <v>0.56472413116897369</v>
      </c>
      <c r="BT150" s="579">
        <f t="array" ref="BT150">$Z150  * (1 + SUM( ($AU$80:$AU$83=BT$93) * ($BH$79:$BP$79=BT$94) * ($BH$80:$BP$83) ))</f>
        <v>0.72025200574009995</v>
      </c>
      <c r="BU150" s="579">
        <f t="array" ref="BU150">$Z150  * (1 + SUM( ($AU$80:$AU$83=BU$93) * ($BH$79:$BP$79=BU$94) * ($BH$80:$BP$83) ))</f>
        <v>0.72077777188992875</v>
      </c>
      <c r="BV150" s="579">
        <f t="array" ref="BV150">$Z150  * (1 + SUM( ($AU$80:$AU$83=BV$93) * ($BH$79:$BP$79=BV$94) * ($BH$80:$BP$83) ))</f>
        <v>0.72162288667983376</v>
      </c>
      <c r="BW150" s="579">
        <f t="array" ref="BW150">$Z150  * (1 + SUM( ($AU$80:$AU$83=BW$93) * ($BH$79:$BP$79=BW$94) * ($BH$80:$BP$83) ))</f>
        <v>0.72279763077105375</v>
      </c>
      <c r="BX150" s="579">
        <f t="array" ref="BX150">$Z150  * (1 + SUM( ($AU$80:$AU$83=BX$93) * ($BH$79:$BP$79=BX$94) * ($BH$80:$BP$83) ))</f>
        <v>0.72413901526905833</v>
      </c>
      <c r="BY150" s="579">
        <f t="array" ref="BY150">$Z150  * (1 + SUM( ($AU$80:$AU$83=BY$93) * ($BH$79:$BP$79=BY$94) * ($BH$80:$BP$83) ))</f>
        <v>0.72536612436083947</v>
      </c>
      <c r="BZ150" s="579">
        <f t="array" ref="BZ150">$Z150  * (1 + SUM( ($AU$80:$AU$83=BZ$93) * ($BH$79:$BP$79=BZ$94) * ($BH$80:$BP$83) ))</f>
        <v>0.72628098027165311</v>
      </c>
      <c r="CA150" s="579">
        <f t="array" ref="CA150">$Z150  * (1 + SUM( ($AU$80:$AU$83=CA$93) * ($BH$79:$BP$79=CA$94) * ($BH$80:$BP$83) ))</f>
        <v>0.72686430085229736</v>
      </c>
      <c r="CB150" s="579">
        <f t="array" ref="CB150">$Z150  * (1 + SUM( ($AU$80:$AU$83=CB$93) * ($BH$79:$BP$79=CB$94) * ($BH$80:$BP$83) ))</f>
        <v>0.72719999999999996</v>
      </c>
      <c r="CC150" s="578">
        <f t="array" ref="CC150">$Z150  * (1 + SUM( ($AU$80:$AU$83=CC$93) * ($BH$79:$BP$79=CC$94) * ($BH$80:$BP$83) ))</f>
        <v>0.72378008610149946</v>
      </c>
      <c r="CD150" s="578">
        <f t="array" ref="CD150">$Z150  * (1 + SUM( ($AU$80:$AU$83=CD$93) * ($BH$79:$BP$79=CD$94) * ($BH$80:$BP$83) ))</f>
        <v>0.73166657834893245</v>
      </c>
      <c r="CE150" s="578">
        <f t="array" ref="CE150">$Z150  * (1 + SUM( ($AU$80:$AU$83=CE$93) * ($BH$79:$BP$79=CE$94) * ($BH$80:$BP$83) ))</f>
        <v>0.74434330019750716</v>
      </c>
      <c r="CF150" s="578">
        <f t="array" ref="CF150">$Z150  * (1 + SUM( ($AU$80:$AU$83=CF$93) * ($BH$79:$BP$79=CF$94) * ($BH$80:$BP$83) ))</f>
        <v>0.76196446156580744</v>
      </c>
      <c r="CG150" s="578">
        <f t="array" ref="CG150">$Z150  * (1 + SUM( ($AU$80:$AU$83=CG$93) * ($BH$79:$BP$79=CG$94) * ($BH$80:$BP$83) ))</f>
        <v>0.78208522903587496</v>
      </c>
      <c r="CH150" s="578">
        <f t="array" ref="CH150">$Z150  * (1 + SUM( ($AU$80:$AU$83=CH$93) * ($BH$79:$BP$79=CH$94) * ($BH$80:$BP$83) ))</f>
        <v>0.80049186541259199</v>
      </c>
      <c r="CI150" s="578">
        <f t="array" ref="CI150">$Z150  * (1 + SUM( ($AU$80:$AU$83=CI$93) * ($BH$79:$BP$79=CI$94) * ($BH$80:$BP$83) ))</f>
        <v>0.81421470407479868</v>
      </c>
      <c r="CJ150" s="578">
        <f t="array" ref="CJ150">$Z150  * (1 + SUM( ($AU$80:$AU$83=CJ$93) * ($BH$79:$BP$79=CJ$94) * ($BH$80:$BP$83) ))</f>
        <v>0.82296451278446048</v>
      </c>
      <c r="CK150" s="578">
        <f t="array" ref="CK150">$Z150  * (1 + SUM( ($AU$80:$AU$83=CK$93) * ($BH$79:$BP$79=CK$94) * ($BH$80:$BP$83) ))</f>
        <v>0.82799999999999996</v>
      </c>
      <c r="CL150" s="579">
        <f t="array" ref="CL150">$Z150  * (1 + SUM( ($AU$80:$AU$83=CL$93) * ($BH$79:$BP$79=CL$94) * ($BH$80:$BP$83) ))</f>
        <v>0.72756017220299896</v>
      </c>
      <c r="CM150" s="579">
        <f t="array" ref="CM150">$Z150  * (1 + SUM( ($AU$80:$AU$83=CM$93) * ($BH$79:$BP$79=CM$94) * ($BH$80:$BP$83) ))</f>
        <v>0.74333315669786504</v>
      </c>
      <c r="CN150" s="579">
        <f t="array" ref="CN150">$Z150  * (1 + SUM( ($AU$80:$AU$83=CN$93) * ($BH$79:$BP$79=CN$94) * ($BH$80:$BP$83) ))</f>
        <v>0.76868660039501435</v>
      </c>
      <c r="CO150" s="579">
        <f t="array" ref="CO150">$Z150  * (1 + SUM( ($AU$80:$AU$83=CO$93) * ($BH$79:$BP$79=CO$94) * ($BH$80:$BP$83) ))</f>
        <v>0.80392892313161468</v>
      </c>
      <c r="CP150" s="579">
        <f t="array" ref="CP150">$Z150  * (1 + SUM( ($AU$80:$AU$83=CP$93) * ($BH$79:$BP$79=CP$94) * ($BH$80:$BP$83) ))</f>
        <v>0.84417045807175017</v>
      </c>
      <c r="CQ150" s="579">
        <f t="array" ref="CQ150">$Z150  * (1 + SUM( ($AU$80:$AU$83=CQ$93) * ($BH$79:$BP$79=CQ$94) * ($BH$80:$BP$83) ))</f>
        <v>0.88098373082518389</v>
      </c>
      <c r="CR150" s="579">
        <f t="array" ref="CR150">$Z150  * (1 + SUM( ($AU$80:$AU$83=CR$93) * ($BH$79:$BP$79=CR$94) * ($BH$80:$BP$83) ))</f>
        <v>0.90842940814959761</v>
      </c>
      <c r="CS150" s="579">
        <f t="array" ref="CS150">$Z150  * (1 + SUM( ($AU$80:$AU$83=CS$93) * ($BH$79:$BP$79=CS$94) * ($BH$80:$BP$83) ))</f>
        <v>0.92592902556892098</v>
      </c>
      <c r="CT150" s="579">
        <f t="array" ref="CT150">$Z150  * (1 + SUM( ($AU$80:$AU$83=CT$93) * ($BH$79:$BP$79=CT$94) * ($BH$80:$BP$83) ))</f>
        <v>0.93599999999999994</v>
      </c>
      <c r="CU150" s="578">
        <f t="array" ref="CU150">$Z150  * (1 + SUM( ($AU$80:$AU$83=CU$93) * ($BH$79:$BP$79=CU$94) * ($BH$80:$BP$83) ))</f>
        <v>0.73008022960399865</v>
      </c>
      <c r="CV150" s="578">
        <f t="array" ref="CV150">$Z150  * (1 + SUM( ($AU$80:$AU$83=CV$93) * ($BH$79:$BP$79=CV$94) * ($BH$80:$BP$83) ))</f>
        <v>0.75111087559715328</v>
      </c>
      <c r="CW150" s="578">
        <f t="array" ref="CW150">$Z150  * (1 + SUM( ($AU$80:$AU$83=CW$93) * ($BH$79:$BP$79=CW$94) * ($BH$80:$BP$83) ))</f>
        <v>0.78491546719335237</v>
      </c>
      <c r="CX150" s="578">
        <f t="array" ref="CX150">$Z150  * (1 + SUM( ($AU$80:$AU$83=CX$93) * ($BH$79:$BP$79=CX$94) * ($BH$80:$BP$83) ))</f>
        <v>0.83190523084215307</v>
      </c>
      <c r="CY150" s="578">
        <f t="array" ref="CY150">$Z150  * (1 + SUM( ($AU$80:$AU$83=CY$93) * ($BH$79:$BP$79=CY$94) * ($BH$80:$BP$83) ))</f>
        <v>0.8855606107623335</v>
      </c>
      <c r="CZ150" s="578">
        <f t="array" ref="CZ150">$Z150  * (1 + SUM( ($AU$80:$AU$83=CZ$93) * ($BH$79:$BP$79=CZ$94) * ($BH$80:$BP$83) ))</f>
        <v>0.93464497443357852</v>
      </c>
      <c r="DA150" s="578">
        <f t="array" ref="DA150">$Z150  * (1 + SUM( ($AU$80:$AU$83=DA$93) * ($BH$79:$BP$79=DA$94) * ($BH$80:$BP$83) ))</f>
        <v>0.97123921086613019</v>
      </c>
      <c r="DB150" s="578">
        <f t="array" ref="DB150">$Z150  * (1 + SUM( ($AU$80:$AU$83=DB$93) * ($BH$79:$BP$79=DB$94) * ($BH$80:$BP$83) ))</f>
        <v>0.99457203409189476</v>
      </c>
      <c r="DC150" s="578">
        <f t="array" ref="DC150">$Z150  * (1 + SUM( ($AU$80:$AU$83=DC$93) * ($BH$79:$BP$79=DC$94) * ($BH$80:$BP$83) ))</f>
        <v>1.008</v>
      </c>
    </row>
    <row r="151" spans="1:107">
      <c r="A151" s="1167" t="s">
        <v>1198</v>
      </c>
      <c r="B151" s="1167" t="s">
        <v>1197</v>
      </c>
      <c r="C151" s="1166" t="s">
        <v>1036</v>
      </c>
      <c r="D151" s="1166" t="s">
        <v>961</v>
      </c>
      <c r="E151" s="577">
        <v>0.68</v>
      </c>
      <c r="F151" s="574">
        <v>0.56299999999999994</v>
      </c>
      <c r="G151" s="576">
        <v>100</v>
      </c>
      <c r="H151" s="574">
        <v>0</v>
      </c>
      <c r="I151" s="1164"/>
      <c r="J151" s="575">
        <v>1</v>
      </c>
      <c r="K151" s="574">
        <v>0</v>
      </c>
      <c r="L151" s="574">
        <v>0</v>
      </c>
      <c r="M151" s="1164"/>
      <c r="N151" s="1168"/>
      <c r="O151" s="1164"/>
      <c r="P151" s="1160">
        <v>0</v>
      </c>
      <c r="Q151" s="572">
        <v>0.05</v>
      </c>
      <c r="R151" s="572">
        <v>0.25</v>
      </c>
      <c r="S151" s="572">
        <v>0.5</v>
      </c>
      <c r="T151" s="1164"/>
      <c r="U151" s="573">
        <v>0</v>
      </c>
      <c r="V151" s="572">
        <v>0</v>
      </c>
      <c r="W151" s="572">
        <v>0</v>
      </c>
      <c r="X151" s="572">
        <v>0</v>
      </c>
      <c r="Y151" s="1164"/>
      <c r="Z151" s="573">
        <v>0.68</v>
      </c>
      <c r="AA151" s="572">
        <v>0.68</v>
      </c>
      <c r="AB151" s="572">
        <v>0.68</v>
      </c>
      <c r="AC151" s="572">
        <v>0.68</v>
      </c>
      <c r="AD151" s="572">
        <v>0.68</v>
      </c>
      <c r="AE151" s="572">
        <v>0.68</v>
      </c>
      <c r="AF151" s="572">
        <v>0.68</v>
      </c>
      <c r="AG151" s="1164"/>
      <c r="AH151" s="1163">
        <v>56</v>
      </c>
      <c r="AI151" s="1162" t="str">
        <f t="shared" si="20"/>
        <v>CPSOHF</v>
      </c>
      <c r="AJ151" s="1160">
        <v>0</v>
      </c>
      <c r="AK151" s="1160">
        <v>0</v>
      </c>
      <c r="AL151" s="1160">
        <v>0</v>
      </c>
      <c r="AM151" s="1160">
        <v>0</v>
      </c>
      <c r="AN151" s="1160">
        <v>0</v>
      </c>
      <c r="AO151" s="1160">
        <v>0</v>
      </c>
      <c r="AP151" s="1160">
        <v>0</v>
      </c>
      <c r="AQ151" s="1160">
        <v>0</v>
      </c>
      <c r="AR151" s="1160">
        <v>0</v>
      </c>
      <c r="AS151" s="1159">
        <v>0</v>
      </c>
      <c r="AT151" s="1159">
        <v>0</v>
      </c>
      <c r="AU151" s="1159">
        <v>0</v>
      </c>
      <c r="AV151" s="1159">
        <v>0</v>
      </c>
      <c r="AW151" s="1159">
        <v>0</v>
      </c>
      <c r="AX151" s="1159">
        <v>0</v>
      </c>
      <c r="AY151" s="1159">
        <v>0</v>
      </c>
      <c r="AZ151" s="1159">
        <v>0</v>
      </c>
      <c r="BA151" s="1159">
        <v>0</v>
      </c>
      <c r="BB151" s="1160">
        <v>0</v>
      </c>
      <c r="BC151" s="1160">
        <v>0</v>
      </c>
      <c r="BD151" s="1160">
        <v>0</v>
      </c>
      <c r="BE151" s="1160">
        <v>0</v>
      </c>
      <c r="BF151" s="1160">
        <v>0</v>
      </c>
      <c r="BG151" s="1160">
        <v>0</v>
      </c>
      <c r="BH151" s="1160">
        <v>0</v>
      </c>
      <c r="BI151" s="1160">
        <v>0</v>
      </c>
      <c r="BJ151" s="1160">
        <v>0</v>
      </c>
      <c r="BK151" s="1159">
        <v>0</v>
      </c>
      <c r="BL151" s="1159">
        <v>0</v>
      </c>
      <c r="BM151" s="1159">
        <v>0</v>
      </c>
      <c r="BN151" s="1159">
        <v>0</v>
      </c>
      <c r="BO151" s="1159">
        <v>0</v>
      </c>
      <c r="BP151" s="1159">
        <v>0</v>
      </c>
      <c r="BQ151" s="1159">
        <v>0</v>
      </c>
      <c r="BR151" s="1159">
        <v>0</v>
      </c>
      <c r="BS151" s="1159">
        <v>0</v>
      </c>
      <c r="BT151" s="579">
        <f t="array" ref="BT151">$Z151  * (1 + SUM( ($AU$80:$AU$83=BT$93) * ($BH$79:$BP$79=BT$94) * ($BH$80:$BP$83) ))</f>
        <v>0.6802380054212056</v>
      </c>
      <c r="BU151" s="579">
        <f t="array" ref="BU151">$Z151  * (1 + SUM( ($AU$80:$AU$83=BU$93) * ($BH$79:$BP$79=BU$94) * ($BH$80:$BP$83) ))</f>
        <v>0.68073456234048835</v>
      </c>
      <c r="BV151" s="579">
        <f t="array" ref="BV151">$Z151  * (1 + SUM( ($AU$80:$AU$83=BV$93) * ($BH$79:$BP$79=BV$94) * ($BH$80:$BP$83) ))</f>
        <v>0.68153272630873196</v>
      </c>
      <c r="BW151" s="579">
        <f t="array" ref="BW151">$Z151  * (1 + SUM( ($AU$80:$AU$83=BW$93) * ($BH$79:$BP$79=BW$94) * ($BH$80:$BP$83) ))</f>
        <v>0.68264220683932864</v>
      </c>
      <c r="BX151" s="579">
        <f t="array" ref="BX151">$Z151  * (1 + SUM( ($AU$80:$AU$83=BX$93) * ($BH$79:$BP$79=BX$94) * ($BH$80:$BP$83) ))</f>
        <v>0.68390906997633294</v>
      </c>
      <c r="BY151" s="579">
        <f t="array" ref="BY151">$Z151  * (1 + SUM( ($AU$80:$AU$83=BY$93) * ($BH$79:$BP$79=BY$94) * ($BH$80:$BP$83) ))</f>
        <v>0.6850680063407929</v>
      </c>
      <c r="BZ151" s="579">
        <f t="array" ref="BZ151">$Z151  * (1 + SUM( ($AU$80:$AU$83=BZ$93) * ($BH$79:$BP$79=BZ$94) * ($BH$80:$BP$83) ))</f>
        <v>0.68593203692322802</v>
      </c>
      <c r="CA151" s="579">
        <f t="array" ref="CA151">$Z151  * (1 + SUM( ($AU$80:$AU$83=CA$93) * ($BH$79:$BP$79=CA$94) * ($BH$80:$BP$83) ))</f>
        <v>0.68648295080494759</v>
      </c>
      <c r="CB151" s="579">
        <f t="array" ref="CB151">$Z151  * (1 + SUM( ($AU$80:$AU$83=CB$93) * ($BH$79:$BP$79=CB$94) * ($BH$80:$BP$83) ))</f>
        <v>0.68680000000000008</v>
      </c>
      <c r="CC151" s="578">
        <f t="array" ref="CC151">$Z151  * (1 + SUM( ($AU$80:$AU$83=CC$93) * ($BH$79:$BP$79=CC$94) * ($BH$80:$BP$83) ))</f>
        <v>0.68357008131808294</v>
      </c>
      <c r="CD151" s="578">
        <f t="array" ref="CD151">$Z151  * (1 + SUM( ($AU$80:$AU$83=CD$93) * ($BH$79:$BP$79=CD$94) * ($BH$80:$BP$83) ))</f>
        <v>0.69101843510732508</v>
      </c>
      <c r="CE151" s="578">
        <f t="array" ref="CE151">$Z151  * (1 + SUM( ($AU$80:$AU$83=CE$93) * ($BH$79:$BP$79=CE$94) * ($BH$80:$BP$83) ))</f>
        <v>0.70299089463097908</v>
      </c>
      <c r="CF151" s="578">
        <f t="array" ref="CF151">$Z151  * (1 + SUM( ($AU$80:$AU$83=CF$93) * ($BH$79:$BP$79=CF$94) * ($BH$80:$BP$83) ))</f>
        <v>0.7196331025899293</v>
      </c>
      <c r="CG151" s="578">
        <f t="array" ref="CG151">$Z151  * (1 + SUM( ($AU$80:$AU$83=CG$93) * ($BH$79:$BP$79=CG$94) * ($BH$80:$BP$83) ))</f>
        <v>0.73863604964499308</v>
      </c>
      <c r="CH151" s="578">
        <f t="array" ref="CH151">$Z151  * (1 + SUM( ($AU$80:$AU$83=CH$93) * ($BH$79:$BP$79=CH$94) * ($BH$80:$BP$83) ))</f>
        <v>0.7560200951118925</v>
      </c>
      <c r="CI151" s="578">
        <f t="array" ref="CI151">$Z151  * (1 + SUM( ($AU$80:$AU$83=CI$93) * ($BH$79:$BP$79=CI$94) * ($BH$80:$BP$83) ))</f>
        <v>0.76898055384842112</v>
      </c>
      <c r="CJ151" s="578">
        <f t="array" ref="CJ151">$Z151  * (1 + SUM( ($AU$80:$AU$83=CJ$93) * ($BH$79:$BP$79=CJ$94) * ($BH$80:$BP$83) ))</f>
        <v>0.77724426207421282</v>
      </c>
      <c r="CK151" s="578">
        <f t="array" ref="CK151">$Z151  * (1 + SUM( ($AU$80:$AU$83=CK$93) * ($BH$79:$BP$79=CK$94) * ($BH$80:$BP$83) ))</f>
        <v>0.78200000000000003</v>
      </c>
      <c r="CL151" s="579">
        <f t="array" ref="CL151">$Z151  * (1 + SUM( ($AU$80:$AU$83=CL$93) * ($BH$79:$BP$79=CL$94) * ($BH$80:$BP$83) ))</f>
        <v>0.68714016263616584</v>
      </c>
      <c r="CM151" s="579">
        <f t="array" ref="CM151">$Z151  * (1 + SUM( ($AU$80:$AU$83=CM$93) * ($BH$79:$BP$79=CM$94) * ($BH$80:$BP$83) ))</f>
        <v>0.70203687021465033</v>
      </c>
      <c r="CN151" s="579">
        <f t="array" ref="CN151">$Z151  * (1 + SUM( ($AU$80:$AU$83=CN$93) * ($BH$79:$BP$79=CN$94) * ($BH$80:$BP$83) ))</f>
        <v>0.725981789261958</v>
      </c>
      <c r="CO151" s="579">
        <f t="array" ref="CO151">$Z151  * (1 + SUM( ($AU$80:$AU$83=CO$93) * ($BH$79:$BP$79=CO$94) * ($BH$80:$BP$83) ))</f>
        <v>0.75926620517985843</v>
      </c>
      <c r="CP151" s="579">
        <f t="array" ref="CP151">$Z151  * (1 + SUM( ($AU$80:$AU$83=CP$93) * ($BH$79:$BP$79=CP$94) * ($BH$80:$BP$83) ))</f>
        <v>0.79727209928998632</v>
      </c>
      <c r="CQ151" s="579">
        <f t="array" ref="CQ151">$Z151  * (1 + SUM( ($AU$80:$AU$83=CQ$93) * ($BH$79:$BP$79=CQ$94) * ($BH$80:$BP$83) ))</f>
        <v>0.83204019022378484</v>
      </c>
      <c r="CR151" s="579">
        <f t="array" ref="CR151">$Z151  * (1 + SUM( ($AU$80:$AU$83=CR$93) * ($BH$79:$BP$79=CR$94) * ($BH$80:$BP$83) ))</f>
        <v>0.85796110769684231</v>
      </c>
      <c r="CS151" s="579">
        <f t="array" ref="CS151">$Z151  * (1 + SUM( ($AU$80:$AU$83=CS$93) * ($BH$79:$BP$79=CS$94) * ($BH$80:$BP$83) ))</f>
        <v>0.87448852414842548</v>
      </c>
      <c r="CT151" s="579">
        <f t="array" ref="CT151">$Z151  * (1 + SUM( ($AU$80:$AU$83=CT$93) * ($BH$79:$BP$79=CT$94) * ($BH$80:$BP$83) ))</f>
        <v>0.88400000000000012</v>
      </c>
      <c r="CU151" s="578">
        <f t="array" ref="CU151">$Z151  * (1 + SUM( ($AU$80:$AU$83=CU$93) * ($BH$79:$BP$79=CU$94) * ($BH$80:$BP$83) ))</f>
        <v>0.68952021684822107</v>
      </c>
      <c r="CV151" s="578">
        <f t="array" ref="CV151">$Z151  * (1 + SUM( ($AU$80:$AU$83=CV$93) * ($BH$79:$BP$79=CV$94) * ($BH$80:$BP$83) ))</f>
        <v>0.70938249361953376</v>
      </c>
      <c r="CW151" s="578">
        <f t="array" ref="CW151">$Z151  * (1 + SUM( ($AU$80:$AU$83=CW$93) * ($BH$79:$BP$79=CW$94) * ($BH$80:$BP$83) ))</f>
        <v>0.74130905234927735</v>
      </c>
      <c r="CX151" s="578">
        <f t="array" ref="CX151">$Z151  * (1 + SUM( ($AU$80:$AU$83=CX$93) * ($BH$79:$BP$79=CX$94) * ($BH$80:$BP$83) ))</f>
        <v>0.78568827357314464</v>
      </c>
      <c r="CY151" s="578">
        <f t="array" ref="CY151">$Z151  * (1 + SUM( ($AU$80:$AU$83=CY$93) * ($BH$79:$BP$79=CY$94) * ($BH$80:$BP$83) ))</f>
        <v>0.83636279905331512</v>
      </c>
      <c r="CZ151" s="578">
        <f t="array" ref="CZ151">$Z151  * (1 + SUM( ($AU$80:$AU$83=CZ$93) * ($BH$79:$BP$79=CZ$94) * ($BH$80:$BP$83) ))</f>
        <v>0.88272025363171314</v>
      </c>
      <c r="DA151" s="578">
        <f t="array" ref="DA151">$Z151  * (1 + SUM( ($AU$80:$AU$83=DA$93) * ($BH$79:$BP$79=DA$94) * ($BH$80:$BP$83) ))</f>
        <v>0.9172814769291231</v>
      </c>
      <c r="DB151" s="578">
        <f t="array" ref="DB151">$Z151  * (1 + SUM( ($AU$80:$AU$83=DB$93) * ($BH$79:$BP$79=DB$94) * ($BH$80:$BP$83) ))</f>
        <v>0.93931803219790067</v>
      </c>
      <c r="DC151" s="578">
        <f t="array" ref="DC151">$Z151  * (1 + SUM( ($AU$80:$AU$83=DC$93) * ($BH$79:$BP$79=DC$94) * ($BH$80:$BP$83) ))</f>
        <v>0.95199999999999996</v>
      </c>
    </row>
    <row r="152" spans="1:107">
      <c r="A152" s="1167" t="s">
        <v>1196</v>
      </c>
      <c r="B152" s="1167" t="s">
        <v>1195</v>
      </c>
      <c r="C152" s="1166" t="s">
        <v>1033</v>
      </c>
      <c r="D152" s="1166" t="s">
        <v>961</v>
      </c>
      <c r="E152" s="577">
        <v>0.72</v>
      </c>
      <c r="F152" s="574">
        <v>0.56299999999999994</v>
      </c>
      <c r="G152" s="576">
        <v>100</v>
      </c>
      <c r="H152" s="574">
        <v>0</v>
      </c>
      <c r="I152" s="1164"/>
      <c r="J152" s="575">
        <v>1</v>
      </c>
      <c r="K152" s="574">
        <v>0</v>
      </c>
      <c r="L152" s="574">
        <v>0</v>
      </c>
      <c r="M152" s="1164"/>
      <c r="N152" s="1168"/>
      <c r="O152" s="1164"/>
      <c r="P152" s="1160">
        <v>0</v>
      </c>
      <c r="Q152" s="572">
        <v>0.05</v>
      </c>
      <c r="R152" s="572">
        <v>0.25</v>
      </c>
      <c r="S152" s="572">
        <v>0.5</v>
      </c>
      <c r="T152" s="1164"/>
      <c r="U152" s="573">
        <v>0</v>
      </c>
      <c r="V152" s="572">
        <v>0</v>
      </c>
      <c r="W152" s="572">
        <v>0</v>
      </c>
      <c r="X152" s="572">
        <v>0</v>
      </c>
      <c r="Y152" s="1164"/>
      <c r="Z152" s="573">
        <v>0.72</v>
      </c>
      <c r="AA152" s="572">
        <v>0.72</v>
      </c>
      <c r="AB152" s="572">
        <v>0.72</v>
      </c>
      <c r="AC152" s="572">
        <v>0.72</v>
      </c>
      <c r="AD152" s="572">
        <v>0.72</v>
      </c>
      <c r="AE152" s="572">
        <v>0.72</v>
      </c>
      <c r="AF152" s="572">
        <v>0.72</v>
      </c>
      <c r="AG152" s="1164"/>
      <c r="AH152" s="1163">
        <v>57</v>
      </c>
      <c r="AI152" s="1162" t="str">
        <f t="shared" si="20"/>
        <v>CPSOLP</v>
      </c>
      <c r="AJ152" s="1160">
        <v>0</v>
      </c>
      <c r="AK152" s="1160">
        <v>0</v>
      </c>
      <c r="AL152" s="1160">
        <v>0</v>
      </c>
      <c r="AM152" s="1160">
        <v>0</v>
      </c>
      <c r="AN152" s="1160">
        <v>0</v>
      </c>
      <c r="AO152" s="1160">
        <v>0</v>
      </c>
      <c r="AP152" s="1160">
        <v>0</v>
      </c>
      <c r="AQ152" s="1160">
        <v>0</v>
      </c>
      <c r="AR152" s="1160">
        <v>0</v>
      </c>
      <c r="AS152" s="1159">
        <v>0</v>
      </c>
      <c r="AT152" s="1159">
        <v>0</v>
      </c>
      <c r="AU152" s="1159">
        <v>0</v>
      </c>
      <c r="AV152" s="1159">
        <v>0</v>
      </c>
      <c r="AW152" s="1159">
        <v>0</v>
      </c>
      <c r="AX152" s="1159">
        <v>0</v>
      </c>
      <c r="AY152" s="1159">
        <v>0</v>
      </c>
      <c r="AZ152" s="1159">
        <v>0</v>
      </c>
      <c r="BA152" s="1159">
        <v>0</v>
      </c>
      <c r="BB152" s="1160">
        <v>0</v>
      </c>
      <c r="BC152" s="1160">
        <v>0</v>
      </c>
      <c r="BD152" s="1160">
        <v>0</v>
      </c>
      <c r="BE152" s="1160">
        <v>0</v>
      </c>
      <c r="BF152" s="1160">
        <v>0</v>
      </c>
      <c r="BG152" s="1160">
        <v>0</v>
      </c>
      <c r="BH152" s="1160">
        <v>0</v>
      </c>
      <c r="BI152" s="1160">
        <v>0</v>
      </c>
      <c r="BJ152" s="1160">
        <v>0</v>
      </c>
      <c r="BK152" s="1159">
        <v>0</v>
      </c>
      <c r="BL152" s="1159">
        <v>0</v>
      </c>
      <c r="BM152" s="1159">
        <v>0</v>
      </c>
      <c r="BN152" s="1159">
        <v>0</v>
      </c>
      <c r="BO152" s="1159">
        <v>0</v>
      </c>
      <c r="BP152" s="1159">
        <v>0</v>
      </c>
      <c r="BQ152" s="1159">
        <v>0</v>
      </c>
      <c r="BR152" s="1159">
        <v>0</v>
      </c>
      <c r="BS152" s="1159">
        <v>0</v>
      </c>
      <c r="BT152" s="579">
        <f t="array" ref="BT152">$Z152  * (1 + SUM( ($AU$80:$AU$83=BT$93) * ($BH$79:$BP$79=BT$94) * ($BH$80:$BP$83) ))</f>
        <v>0.72025200574009995</v>
      </c>
      <c r="BU152" s="579">
        <f t="array" ref="BU152">$Z152  * (1 + SUM( ($AU$80:$AU$83=BU$93) * ($BH$79:$BP$79=BU$94) * ($BH$80:$BP$83) ))</f>
        <v>0.72077777188992875</v>
      </c>
      <c r="BV152" s="579">
        <f t="array" ref="BV152">$Z152  * (1 + SUM( ($AU$80:$AU$83=BV$93) * ($BH$79:$BP$79=BV$94) * ($BH$80:$BP$83) ))</f>
        <v>0.72162288667983376</v>
      </c>
      <c r="BW152" s="579">
        <f t="array" ref="BW152">$Z152  * (1 + SUM( ($AU$80:$AU$83=BW$93) * ($BH$79:$BP$79=BW$94) * ($BH$80:$BP$83) ))</f>
        <v>0.72279763077105375</v>
      </c>
      <c r="BX152" s="579">
        <f t="array" ref="BX152">$Z152  * (1 + SUM( ($AU$80:$AU$83=BX$93) * ($BH$79:$BP$79=BX$94) * ($BH$80:$BP$83) ))</f>
        <v>0.72413901526905833</v>
      </c>
      <c r="BY152" s="579">
        <f t="array" ref="BY152">$Z152  * (1 + SUM( ($AU$80:$AU$83=BY$93) * ($BH$79:$BP$79=BY$94) * ($BH$80:$BP$83) ))</f>
        <v>0.72536612436083947</v>
      </c>
      <c r="BZ152" s="579">
        <f t="array" ref="BZ152">$Z152  * (1 + SUM( ($AU$80:$AU$83=BZ$93) * ($BH$79:$BP$79=BZ$94) * ($BH$80:$BP$83) ))</f>
        <v>0.72628098027165311</v>
      </c>
      <c r="CA152" s="579">
        <f t="array" ref="CA152">$Z152  * (1 + SUM( ($AU$80:$AU$83=CA$93) * ($BH$79:$BP$79=CA$94) * ($BH$80:$BP$83) ))</f>
        <v>0.72686430085229736</v>
      </c>
      <c r="CB152" s="579">
        <f t="array" ref="CB152">$Z152  * (1 + SUM( ($AU$80:$AU$83=CB$93) * ($BH$79:$BP$79=CB$94) * ($BH$80:$BP$83) ))</f>
        <v>0.72719999999999996</v>
      </c>
      <c r="CC152" s="578">
        <f t="array" ref="CC152">$Z152  * (1 + SUM( ($AU$80:$AU$83=CC$93) * ($BH$79:$BP$79=CC$94) * ($BH$80:$BP$83) ))</f>
        <v>0.72378008610149946</v>
      </c>
      <c r="CD152" s="578">
        <f t="array" ref="CD152">$Z152  * (1 + SUM( ($AU$80:$AU$83=CD$93) * ($BH$79:$BP$79=CD$94) * ($BH$80:$BP$83) ))</f>
        <v>0.73166657834893245</v>
      </c>
      <c r="CE152" s="578">
        <f t="array" ref="CE152">$Z152  * (1 + SUM( ($AU$80:$AU$83=CE$93) * ($BH$79:$BP$79=CE$94) * ($BH$80:$BP$83) ))</f>
        <v>0.74434330019750716</v>
      </c>
      <c r="CF152" s="578">
        <f t="array" ref="CF152">$Z152  * (1 + SUM( ($AU$80:$AU$83=CF$93) * ($BH$79:$BP$79=CF$94) * ($BH$80:$BP$83) ))</f>
        <v>0.76196446156580744</v>
      </c>
      <c r="CG152" s="578">
        <f t="array" ref="CG152">$Z152  * (1 + SUM( ($AU$80:$AU$83=CG$93) * ($BH$79:$BP$79=CG$94) * ($BH$80:$BP$83) ))</f>
        <v>0.78208522903587496</v>
      </c>
      <c r="CH152" s="578">
        <f t="array" ref="CH152">$Z152  * (1 + SUM( ($AU$80:$AU$83=CH$93) * ($BH$79:$BP$79=CH$94) * ($BH$80:$BP$83) ))</f>
        <v>0.80049186541259199</v>
      </c>
      <c r="CI152" s="578">
        <f t="array" ref="CI152">$Z152  * (1 + SUM( ($AU$80:$AU$83=CI$93) * ($BH$79:$BP$79=CI$94) * ($BH$80:$BP$83) ))</f>
        <v>0.81421470407479868</v>
      </c>
      <c r="CJ152" s="578">
        <f t="array" ref="CJ152">$Z152  * (1 + SUM( ($AU$80:$AU$83=CJ$93) * ($BH$79:$BP$79=CJ$94) * ($BH$80:$BP$83) ))</f>
        <v>0.82296451278446048</v>
      </c>
      <c r="CK152" s="578">
        <f t="array" ref="CK152">$Z152  * (1 + SUM( ($AU$80:$AU$83=CK$93) * ($BH$79:$BP$79=CK$94) * ($BH$80:$BP$83) ))</f>
        <v>0.82799999999999996</v>
      </c>
      <c r="CL152" s="579">
        <f t="array" ref="CL152">$Z152  * (1 + SUM( ($AU$80:$AU$83=CL$93) * ($BH$79:$BP$79=CL$94) * ($BH$80:$BP$83) ))</f>
        <v>0.72756017220299896</v>
      </c>
      <c r="CM152" s="579">
        <f t="array" ref="CM152">$Z152  * (1 + SUM( ($AU$80:$AU$83=CM$93) * ($BH$79:$BP$79=CM$94) * ($BH$80:$BP$83) ))</f>
        <v>0.74333315669786504</v>
      </c>
      <c r="CN152" s="579">
        <f t="array" ref="CN152">$Z152  * (1 + SUM( ($AU$80:$AU$83=CN$93) * ($BH$79:$BP$79=CN$94) * ($BH$80:$BP$83) ))</f>
        <v>0.76868660039501435</v>
      </c>
      <c r="CO152" s="579">
        <f t="array" ref="CO152">$Z152  * (1 + SUM( ($AU$80:$AU$83=CO$93) * ($BH$79:$BP$79=CO$94) * ($BH$80:$BP$83) ))</f>
        <v>0.80392892313161468</v>
      </c>
      <c r="CP152" s="579">
        <f t="array" ref="CP152">$Z152  * (1 + SUM( ($AU$80:$AU$83=CP$93) * ($BH$79:$BP$79=CP$94) * ($BH$80:$BP$83) ))</f>
        <v>0.84417045807175017</v>
      </c>
      <c r="CQ152" s="579">
        <f t="array" ref="CQ152">$Z152  * (1 + SUM( ($AU$80:$AU$83=CQ$93) * ($BH$79:$BP$79=CQ$94) * ($BH$80:$BP$83) ))</f>
        <v>0.88098373082518389</v>
      </c>
      <c r="CR152" s="579">
        <f t="array" ref="CR152">$Z152  * (1 + SUM( ($AU$80:$AU$83=CR$93) * ($BH$79:$BP$79=CR$94) * ($BH$80:$BP$83) ))</f>
        <v>0.90842940814959761</v>
      </c>
      <c r="CS152" s="579">
        <f t="array" ref="CS152">$Z152  * (1 + SUM( ($AU$80:$AU$83=CS$93) * ($BH$79:$BP$79=CS$94) * ($BH$80:$BP$83) ))</f>
        <v>0.92592902556892098</v>
      </c>
      <c r="CT152" s="579">
        <f t="array" ref="CT152">$Z152  * (1 + SUM( ($AU$80:$AU$83=CT$93) * ($BH$79:$BP$79=CT$94) * ($BH$80:$BP$83) ))</f>
        <v>0.93599999999999994</v>
      </c>
      <c r="CU152" s="578">
        <f t="array" ref="CU152">$Z152  * (1 + SUM( ($AU$80:$AU$83=CU$93) * ($BH$79:$BP$79=CU$94) * ($BH$80:$BP$83) ))</f>
        <v>0.73008022960399865</v>
      </c>
      <c r="CV152" s="578">
        <f t="array" ref="CV152">$Z152  * (1 + SUM( ($AU$80:$AU$83=CV$93) * ($BH$79:$BP$79=CV$94) * ($BH$80:$BP$83) ))</f>
        <v>0.75111087559715328</v>
      </c>
      <c r="CW152" s="578">
        <f t="array" ref="CW152">$Z152  * (1 + SUM( ($AU$80:$AU$83=CW$93) * ($BH$79:$BP$79=CW$94) * ($BH$80:$BP$83) ))</f>
        <v>0.78491546719335237</v>
      </c>
      <c r="CX152" s="578">
        <f t="array" ref="CX152">$Z152  * (1 + SUM( ($AU$80:$AU$83=CX$93) * ($BH$79:$BP$79=CX$94) * ($BH$80:$BP$83) ))</f>
        <v>0.83190523084215307</v>
      </c>
      <c r="CY152" s="578">
        <f t="array" ref="CY152">$Z152  * (1 + SUM( ($AU$80:$AU$83=CY$93) * ($BH$79:$BP$79=CY$94) * ($BH$80:$BP$83) ))</f>
        <v>0.8855606107623335</v>
      </c>
      <c r="CZ152" s="578">
        <f t="array" ref="CZ152">$Z152  * (1 + SUM( ($AU$80:$AU$83=CZ$93) * ($BH$79:$BP$79=CZ$94) * ($BH$80:$BP$83) ))</f>
        <v>0.93464497443357852</v>
      </c>
      <c r="DA152" s="578">
        <f t="array" ref="DA152">$Z152  * (1 + SUM( ($AU$80:$AU$83=DA$93) * ($BH$79:$BP$79=DA$94) * ($BH$80:$BP$83) ))</f>
        <v>0.97123921086613019</v>
      </c>
      <c r="DB152" s="578">
        <f t="array" ref="DB152">$Z152  * (1 + SUM( ($AU$80:$AU$83=DB$93) * ($BH$79:$BP$79=DB$94) * ($BH$80:$BP$83) ))</f>
        <v>0.99457203409189476</v>
      </c>
      <c r="DC152" s="578">
        <f t="array" ref="DC152">$Z152  * (1 + SUM( ($AU$80:$AU$83=DC$93) * ($BH$79:$BP$79=DC$94) * ($BH$80:$BP$83) ))</f>
        <v>1.008</v>
      </c>
    </row>
    <row r="153" spans="1:107">
      <c r="A153" s="1167" t="s">
        <v>1194</v>
      </c>
      <c r="B153" s="1167" t="s">
        <v>1193</v>
      </c>
      <c r="C153" s="1166" t="s">
        <v>1030</v>
      </c>
      <c r="D153" s="1166" t="s">
        <v>961</v>
      </c>
      <c r="E153" s="577">
        <v>0.76</v>
      </c>
      <c r="F153" s="574">
        <v>0.56299999999999994</v>
      </c>
      <c r="G153" s="576">
        <v>100</v>
      </c>
      <c r="H153" s="574">
        <v>0.48208512227353473</v>
      </c>
      <c r="I153" s="1164"/>
      <c r="J153" s="575">
        <v>1</v>
      </c>
      <c r="K153" s="574">
        <v>0.35712358400000005</v>
      </c>
      <c r="L153" s="574">
        <v>0.27141392384000002</v>
      </c>
      <c r="M153" s="1164"/>
      <c r="N153" s="1168"/>
      <c r="O153" s="1164"/>
      <c r="P153" s="1160">
        <v>3.6007047962352988E-3</v>
      </c>
      <c r="Q153" s="572">
        <v>5.3600704796235299E-2</v>
      </c>
      <c r="R153" s="572">
        <v>0.25360070479623531</v>
      </c>
      <c r="S153" s="572">
        <v>0.50360070479623531</v>
      </c>
      <c r="T153" s="1164"/>
      <c r="U153" s="573">
        <v>3.6007047962352988E-3</v>
      </c>
      <c r="V153" s="572">
        <v>2.1604228777411792E-3</v>
      </c>
      <c r="W153" s="572">
        <v>1.4402819184941196E-3</v>
      </c>
      <c r="X153" s="572">
        <v>7.201409592470598E-4</v>
      </c>
      <c r="Y153" s="1164"/>
      <c r="Z153" s="573">
        <v>0.76</v>
      </c>
      <c r="AA153" s="572">
        <v>0.76</v>
      </c>
      <c r="AB153" s="572">
        <v>0.76</v>
      </c>
      <c r="AC153" s="572">
        <v>0.76</v>
      </c>
      <c r="AD153" s="572">
        <v>0.76</v>
      </c>
      <c r="AE153" s="572">
        <v>0.76</v>
      </c>
      <c r="AF153" s="572">
        <v>0.76</v>
      </c>
      <c r="AG153" s="1164"/>
      <c r="AH153" s="1163">
        <v>58</v>
      </c>
      <c r="AI153" s="1162" t="str">
        <f t="shared" si="20"/>
        <v>CPSELC</v>
      </c>
      <c r="AJ153" s="1160">
        <v>3.6007047962352988E-3</v>
      </c>
      <c r="AK153" s="1160">
        <v>3.6007047962352988E-3</v>
      </c>
      <c r="AL153" s="1160">
        <v>3.6007047962352988E-3</v>
      </c>
      <c r="AM153" s="1160">
        <v>3.6007047962352988E-3</v>
      </c>
      <c r="AN153" s="1160">
        <v>3.6007047962352988E-3</v>
      </c>
      <c r="AO153" s="1160">
        <v>3.6007047962352988E-3</v>
      </c>
      <c r="AP153" s="1160">
        <v>3.6007047962352988E-3</v>
      </c>
      <c r="AQ153" s="1160">
        <v>3.6007047962352988E-3</v>
      </c>
      <c r="AR153" s="1160">
        <v>3.6007047962352988E-3</v>
      </c>
      <c r="AS153" s="1159">
        <v>3.6007047962352988E-3</v>
      </c>
      <c r="AT153" s="1159">
        <v>3.6007047962352988E-3</v>
      </c>
      <c r="AU153" s="1159">
        <v>3.6007047962352988E-3</v>
      </c>
      <c r="AV153" s="1159">
        <v>3.6007047962352988E-3</v>
      </c>
      <c r="AW153" s="1159">
        <v>3.6007047962352988E-3</v>
      </c>
      <c r="AX153" s="1159">
        <v>3.6007047962352988E-3</v>
      </c>
      <c r="AY153" s="1159">
        <v>3.6007047962352988E-3</v>
      </c>
      <c r="AZ153" s="1159">
        <v>3.6007047962352988E-3</v>
      </c>
      <c r="BA153" s="1159">
        <v>3.6007047962352988E-3</v>
      </c>
      <c r="BB153" s="1160">
        <v>3.6007047962352988E-3</v>
      </c>
      <c r="BC153" s="1160">
        <v>3.6007047962352988E-3</v>
      </c>
      <c r="BD153" s="1160">
        <v>3.6007047962352988E-3</v>
      </c>
      <c r="BE153" s="1160">
        <v>3.6007047962352988E-3</v>
      </c>
      <c r="BF153" s="1160">
        <v>3.6007047962352988E-3</v>
      </c>
      <c r="BG153" s="1160">
        <v>3.6007047962352988E-3</v>
      </c>
      <c r="BH153" s="1160">
        <v>3.6007047962352988E-3</v>
      </c>
      <c r="BI153" s="1160">
        <v>3.6007047962352988E-3</v>
      </c>
      <c r="BJ153" s="1160">
        <v>3.6007047962352988E-3</v>
      </c>
      <c r="BK153" s="1159">
        <v>3.6007047962352988E-3</v>
      </c>
      <c r="BL153" s="1159">
        <v>3.6007047962352988E-3</v>
      </c>
      <c r="BM153" s="1159">
        <v>3.6007047962352988E-3</v>
      </c>
      <c r="BN153" s="1159">
        <v>3.6007047962352988E-3</v>
      </c>
      <c r="BO153" s="1159">
        <v>3.6007047962352988E-3</v>
      </c>
      <c r="BP153" s="1159">
        <v>3.6007047962352988E-3</v>
      </c>
      <c r="BQ153" s="1159">
        <v>3.6007047962352988E-3</v>
      </c>
      <c r="BR153" s="1159">
        <v>3.6007047962352988E-3</v>
      </c>
      <c r="BS153" s="1159">
        <v>3.6007047962352988E-3</v>
      </c>
      <c r="BT153" s="579">
        <f t="array" ref="BT153">$Z153  * (1 + SUM( ($AU$80:$AU$83=BT$93) * ($BH$79:$BP$79=BT$94) * ($BH$80:$BP$83) ))</f>
        <v>0.76026600605899441</v>
      </c>
      <c r="BU153" s="579">
        <f t="array" ref="BU153">$Z153  * (1 + SUM( ($AU$80:$AU$83=BU$93) * ($BH$79:$BP$79=BU$94) * ($BH$80:$BP$83) ))</f>
        <v>0.76082098143936938</v>
      </c>
      <c r="BV153" s="579">
        <f t="array" ref="BV153">$Z153  * (1 + SUM( ($AU$80:$AU$83=BV$93) * ($BH$79:$BP$79=BV$94) * ($BH$80:$BP$83) ))</f>
        <v>0.76171304705093568</v>
      </c>
      <c r="BW153" s="579">
        <f t="array" ref="BW153">$Z153  * (1 + SUM( ($AU$80:$AU$83=BW$93) * ($BH$79:$BP$79=BW$94) * ($BH$80:$BP$83) ))</f>
        <v>0.76295305470277908</v>
      </c>
      <c r="BX153" s="579">
        <f t="array" ref="BX153">$Z153  * (1 + SUM( ($AU$80:$AU$83=BX$93) * ($BH$79:$BP$79=BX$94) * ($BH$80:$BP$83) ))</f>
        <v>0.76436896056178383</v>
      </c>
      <c r="BY153" s="579">
        <f t="array" ref="BY153">$Z153  * (1 + SUM( ($AU$80:$AU$83=BY$93) * ($BH$79:$BP$79=BY$94) * ($BH$80:$BP$83) ))</f>
        <v>0.76566424238088615</v>
      </c>
      <c r="BZ153" s="579">
        <f t="array" ref="BZ153">$Z153  * (1 + SUM( ($AU$80:$AU$83=BZ$93) * ($BH$79:$BP$79=BZ$94) * ($BH$80:$BP$83) ))</f>
        <v>0.76662992362007842</v>
      </c>
      <c r="CA153" s="579">
        <f t="array" ref="CA153">$Z153  * (1 + SUM( ($AU$80:$AU$83=CA$93) * ($BH$79:$BP$79=CA$94) * ($BH$80:$BP$83) ))</f>
        <v>0.76724565089964725</v>
      </c>
      <c r="CB153" s="579">
        <f t="array" ref="CB153">$Z153  * (1 + SUM( ($AU$80:$AU$83=CB$93) * ($BH$79:$BP$79=CB$94) * ($BH$80:$BP$83) ))</f>
        <v>0.76760000000000006</v>
      </c>
      <c r="CC153" s="578">
        <f t="array" ref="CC153">$Z153  * (1 + SUM( ($AU$80:$AU$83=CC$93) * ($BH$79:$BP$79=CC$94) * ($BH$80:$BP$83) ))</f>
        <v>0.76399009088491621</v>
      </c>
      <c r="CD153" s="578">
        <f t="array" ref="CD153">$Z153  * (1 + SUM( ($AU$80:$AU$83=CD$93) * ($BH$79:$BP$79=CD$94) * ($BH$80:$BP$83) ))</f>
        <v>0.77231472159053982</v>
      </c>
      <c r="CE153" s="578">
        <f t="array" ref="CE153">$Z153  * (1 + SUM( ($AU$80:$AU$83=CE$93) * ($BH$79:$BP$79=CE$94) * ($BH$80:$BP$83) ))</f>
        <v>0.78569570576403536</v>
      </c>
      <c r="CF153" s="578">
        <f t="array" ref="CF153">$Z153  * (1 + SUM( ($AU$80:$AU$83=CF$93) * ($BH$79:$BP$79=CF$94) * ($BH$80:$BP$83) ))</f>
        <v>0.80429582054168558</v>
      </c>
      <c r="CG153" s="578">
        <f t="array" ref="CG153">$Z153  * (1 + SUM( ($AU$80:$AU$83=CG$93) * ($BH$79:$BP$79=CG$94) * ($BH$80:$BP$83) ))</f>
        <v>0.82553440842675696</v>
      </c>
      <c r="CH153" s="578">
        <f t="array" ref="CH153">$Z153  * (1 + SUM( ($AU$80:$AU$83=CH$93) * ($BH$79:$BP$79=CH$94) * ($BH$80:$BP$83) ))</f>
        <v>0.84496363571329147</v>
      </c>
      <c r="CI153" s="578">
        <f t="array" ref="CI153">$Z153  * (1 + SUM( ($AU$80:$AU$83=CI$93) * ($BH$79:$BP$79=CI$94) * ($BH$80:$BP$83) ))</f>
        <v>0.85944885430117646</v>
      </c>
      <c r="CJ153" s="578">
        <f t="array" ref="CJ153">$Z153  * (1 + SUM( ($AU$80:$AU$83=CJ$93) * ($BH$79:$BP$79=CJ$94) * ($BH$80:$BP$83) ))</f>
        <v>0.86868476349470836</v>
      </c>
      <c r="CK153" s="578">
        <f t="array" ref="CK153">$Z153  * (1 + SUM( ($AU$80:$AU$83=CK$93) * ($BH$79:$BP$79=CK$94) * ($BH$80:$BP$83) ))</f>
        <v>0.87399999999999989</v>
      </c>
      <c r="CL153" s="579">
        <f t="array" ref="CL153">$Z153  * (1 + SUM( ($AU$80:$AU$83=CL$93) * ($BH$79:$BP$79=CL$94) * ($BH$80:$BP$83) ))</f>
        <v>0.76798018176983229</v>
      </c>
      <c r="CM153" s="579">
        <f t="array" ref="CM153">$Z153  * (1 + SUM( ($AU$80:$AU$83=CM$93) * ($BH$79:$BP$79=CM$94) * ($BH$80:$BP$83) ))</f>
        <v>0.78462944318107974</v>
      </c>
      <c r="CN153" s="579">
        <f t="array" ref="CN153">$Z153  * (1 + SUM( ($AU$80:$AU$83=CN$93) * ($BH$79:$BP$79=CN$94) * ($BH$80:$BP$83) ))</f>
        <v>0.81139141152807071</v>
      </c>
      <c r="CO153" s="579">
        <f t="array" ref="CO153">$Z153  * (1 + SUM( ($AU$80:$AU$83=CO$93) * ($BH$79:$BP$79=CO$94) * ($BH$80:$BP$83) ))</f>
        <v>0.84859164108337104</v>
      </c>
      <c r="CP153" s="579">
        <f t="array" ref="CP153">$Z153  * (1 + SUM( ($AU$80:$AU$83=CP$93) * ($BH$79:$BP$79=CP$94) * ($BH$80:$BP$83) ))</f>
        <v>0.89106881685351402</v>
      </c>
      <c r="CQ153" s="579">
        <f t="array" ref="CQ153">$Z153  * (1 + SUM( ($AU$80:$AU$83=CQ$93) * ($BH$79:$BP$79=CQ$94) * ($BH$80:$BP$83) ))</f>
        <v>0.92992727142658305</v>
      </c>
      <c r="CR153" s="579">
        <f t="array" ref="CR153">$Z153  * (1 + SUM( ($AU$80:$AU$83=CR$93) * ($BH$79:$BP$79=CR$94) * ($BH$80:$BP$83) ))</f>
        <v>0.95889770860235302</v>
      </c>
      <c r="CS153" s="579">
        <f t="array" ref="CS153">$Z153  * (1 + SUM( ($AU$80:$AU$83=CS$93) * ($BH$79:$BP$79=CS$94) * ($BH$80:$BP$83) ))</f>
        <v>0.9773695269894167</v>
      </c>
      <c r="CT153" s="579">
        <f t="array" ref="CT153">$Z153  * (1 + SUM( ($AU$80:$AU$83=CT$93) * ($BH$79:$BP$79=CT$94) * ($BH$80:$BP$83) ))</f>
        <v>0.9880000000000001</v>
      </c>
      <c r="CU153" s="578">
        <f t="array" ref="CU153">$Z153  * (1 + SUM( ($AU$80:$AU$83=CU$93) * ($BH$79:$BP$79=CU$94) * ($BH$80:$BP$83) ))</f>
        <v>0.77064024235977646</v>
      </c>
      <c r="CV153" s="578">
        <f t="array" ref="CV153">$Z153  * (1 + SUM( ($AU$80:$AU$83=CV$93) * ($BH$79:$BP$79=CV$94) * ($BH$80:$BP$83) ))</f>
        <v>0.79283925757477292</v>
      </c>
      <c r="CW153" s="578">
        <f t="array" ref="CW153">$Z153  * (1 + SUM( ($AU$80:$AU$83=CW$93) * ($BH$79:$BP$79=CW$94) * ($BH$80:$BP$83) ))</f>
        <v>0.8285218820374276</v>
      </c>
      <c r="CX153" s="578">
        <f t="array" ref="CX153">$Z153  * (1 + SUM( ($AU$80:$AU$83=CX$93) * ($BH$79:$BP$79=CX$94) * ($BH$80:$BP$83) ))</f>
        <v>0.87812218811116161</v>
      </c>
      <c r="CY153" s="578">
        <f t="array" ref="CY153">$Z153  * (1 + SUM( ($AU$80:$AU$83=CY$93) * ($BH$79:$BP$79=CY$94) * ($BH$80:$BP$83) ))</f>
        <v>0.9347584224713521</v>
      </c>
      <c r="CZ153" s="578">
        <f t="array" ref="CZ153">$Z153  * (1 + SUM( ($AU$80:$AU$83=CZ$93) * ($BH$79:$BP$79=CZ$94) * ($BH$80:$BP$83) ))</f>
        <v>0.98656969523544402</v>
      </c>
      <c r="DA153" s="578">
        <f t="array" ref="DA153">$Z153  * (1 + SUM( ($AU$80:$AU$83=DA$93) * ($BH$79:$BP$79=DA$94) * ($BH$80:$BP$83) ))</f>
        <v>1.0251969448031375</v>
      </c>
      <c r="DB153" s="578">
        <f t="array" ref="DB153">$Z153  * (1 + SUM( ($AU$80:$AU$83=DB$93) * ($BH$79:$BP$79=DB$94) * ($BH$80:$BP$83) ))</f>
        <v>1.0498260359858889</v>
      </c>
      <c r="DC153" s="578">
        <f t="array" ref="DC153">$Z153  * (1 + SUM( ($AU$80:$AU$83=DC$93) * ($BH$79:$BP$79=DC$94) * ($BH$80:$BP$83) ))</f>
        <v>1.0639999999999998</v>
      </c>
    </row>
    <row r="154" spans="1:107">
      <c r="A154" s="585" t="s">
        <v>1192</v>
      </c>
      <c r="B154" s="585" t="s">
        <v>1191</v>
      </c>
      <c r="C154" s="584" t="s">
        <v>1027</v>
      </c>
      <c r="D154" s="584" t="s">
        <v>961</v>
      </c>
      <c r="E154" s="538">
        <v>0.6</v>
      </c>
      <c r="F154" s="540">
        <v>0.56299999999999994</v>
      </c>
      <c r="G154" s="539">
        <v>100</v>
      </c>
      <c r="H154" s="540">
        <v>0</v>
      </c>
      <c r="I154" s="580"/>
      <c r="J154" s="541">
        <v>1</v>
      </c>
      <c r="K154" s="540">
        <v>0</v>
      </c>
      <c r="L154" s="540">
        <v>0</v>
      </c>
      <c r="M154" s="580"/>
      <c r="N154" s="594"/>
      <c r="O154" s="580"/>
      <c r="P154" s="583">
        <v>0</v>
      </c>
      <c r="Q154" s="581">
        <v>0.05</v>
      </c>
      <c r="R154" s="581">
        <v>0.25</v>
      </c>
      <c r="S154" s="581">
        <v>0.5</v>
      </c>
      <c r="T154" s="580"/>
      <c r="U154" s="582">
        <v>0</v>
      </c>
      <c r="V154" s="581">
        <v>0</v>
      </c>
      <c r="W154" s="581">
        <v>0</v>
      </c>
      <c r="X154" s="581">
        <v>0</v>
      </c>
      <c r="Y154" s="580"/>
      <c r="Z154" s="582">
        <v>0.7</v>
      </c>
      <c r="AA154" s="581">
        <v>0.7</v>
      </c>
      <c r="AB154" s="581">
        <v>0.7</v>
      </c>
      <c r="AC154" s="581">
        <v>0.7</v>
      </c>
      <c r="AD154" s="581">
        <v>0.7</v>
      </c>
      <c r="AE154" s="581">
        <v>0.7</v>
      </c>
      <c r="AF154" s="581">
        <v>0.7</v>
      </c>
      <c r="AG154" s="580"/>
      <c r="AH154" s="1163">
        <v>59</v>
      </c>
      <c r="AI154" s="1162" t="str">
        <f t="shared" si="20"/>
        <v>CPSWAS</v>
      </c>
      <c r="AJ154" s="1160">
        <v>3.6007047962352988E-3</v>
      </c>
      <c r="AK154" s="1160">
        <v>3.6007047962352988E-3</v>
      </c>
      <c r="AL154" s="1160">
        <v>3.6007047962352988E-3</v>
      </c>
      <c r="AM154" s="1160">
        <v>3.6007047962352988E-3</v>
      </c>
      <c r="AN154" s="1160">
        <v>3.6007047962352988E-3</v>
      </c>
      <c r="AO154" s="1160">
        <v>3.6007047962352988E-3</v>
      </c>
      <c r="AP154" s="1160">
        <v>3.6007047962352988E-3</v>
      </c>
      <c r="AQ154" s="1160">
        <v>3.6007047962352988E-3</v>
      </c>
      <c r="AR154" s="1160">
        <v>3.6007047962352988E-3</v>
      </c>
      <c r="AS154" s="1181">
        <v>3.6007047962352988E-3</v>
      </c>
      <c r="AT154" s="1181">
        <v>3.6007047962352988E-3</v>
      </c>
      <c r="AU154" s="1181">
        <v>3.6007047962352988E-3</v>
      </c>
      <c r="AV154" s="1181">
        <v>3.6007047962352988E-3</v>
      </c>
      <c r="AW154" s="1181">
        <v>3.6007047962352988E-3</v>
      </c>
      <c r="AX154" s="1181">
        <v>3.6007047962352988E-3</v>
      </c>
      <c r="AY154" s="1181">
        <v>3.6007047962352988E-3</v>
      </c>
      <c r="AZ154" s="1181">
        <v>3.6007047962352988E-3</v>
      </c>
      <c r="BA154" s="1181">
        <v>3.6007047962352988E-3</v>
      </c>
      <c r="BB154" s="1160">
        <v>3.6007047962352988E-3</v>
      </c>
      <c r="BC154" s="1160">
        <v>3.6007047962352988E-3</v>
      </c>
      <c r="BD154" s="1160">
        <v>3.6007047962352988E-3</v>
      </c>
      <c r="BE154" s="1160">
        <v>3.6007047962352988E-3</v>
      </c>
      <c r="BF154" s="1160">
        <v>3.6007047962352988E-3</v>
      </c>
      <c r="BG154" s="1160">
        <v>3.6007047962352988E-3</v>
      </c>
      <c r="BH154" s="1160">
        <v>3.6007047962352988E-3</v>
      </c>
      <c r="BI154" s="1160">
        <v>3.6007047962352988E-3</v>
      </c>
      <c r="BJ154" s="1160">
        <v>3.6007047962352988E-3</v>
      </c>
      <c r="BK154" s="1159">
        <v>3.6007047962352988E-3</v>
      </c>
      <c r="BL154" s="1159">
        <v>3.6007047962352988E-3</v>
      </c>
      <c r="BM154" s="1159">
        <v>3.6007047962352988E-3</v>
      </c>
      <c r="BN154" s="1159">
        <v>3.6007047962352988E-3</v>
      </c>
      <c r="BO154" s="1159">
        <v>3.6007047962352988E-3</v>
      </c>
      <c r="BP154" s="1159">
        <v>3.6007047962352988E-3</v>
      </c>
      <c r="BQ154" s="1159">
        <v>3.6007047962352988E-3</v>
      </c>
      <c r="BR154" s="1159">
        <v>3.6007047962352988E-3</v>
      </c>
      <c r="BS154" s="1159">
        <v>3.6007047962352988E-3</v>
      </c>
      <c r="BT154" s="579">
        <f t="array" ref="BT154">$Z154  * (1 + SUM( ($AU$80:$AU$83=BT$93) * ($BH$79:$BP$79=BT$94) * ($BH$80:$BP$83) ))</f>
        <v>0.70024500558065272</v>
      </c>
      <c r="BU154" s="579">
        <f t="array" ref="BU154">$Z154  * (1 + SUM( ($AU$80:$AU$83=BU$93) * ($BH$79:$BP$79=BU$94) * ($BH$80:$BP$83) ))</f>
        <v>0.70075616711520849</v>
      </c>
      <c r="BV154" s="579">
        <f t="array" ref="BV154">$Z154  * (1 + SUM( ($AU$80:$AU$83=BV$93) * ($BH$79:$BP$79=BV$94) * ($BH$80:$BP$83) ))</f>
        <v>0.70157780649428281</v>
      </c>
      <c r="BW154" s="579">
        <f t="array" ref="BW154">$Z154  * (1 + SUM( ($AU$80:$AU$83=BW$93) * ($BH$79:$BP$79=BW$94) * ($BH$80:$BP$83) ))</f>
        <v>0.70271991880519113</v>
      </c>
      <c r="BX154" s="579">
        <f t="array" ref="BX154">$Z154  * (1 + SUM( ($AU$80:$AU$83=BX$93) * ($BH$79:$BP$79=BX$94) * ($BH$80:$BP$83) ))</f>
        <v>0.70402404262269558</v>
      </c>
      <c r="BY154" s="579">
        <f t="array" ref="BY154">$Z154  * (1 + SUM( ($AU$80:$AU$83=BY$93) * ($BH$79:$BP$79=BY$94) * ($BH$80:$BP$83) ))</f>
        <v>0.70521706535081619</v>
      </c>
      <c r="BZ154" s="579">
        <f t="array" ref="BZ154">$Z154  * (1 + SUM( ($AU$80:$AU$83=BZ$93) * ($BH$79:$BP$79=BZ$94) * ($BH$80:$BP$83) ))</f>
        <v>0.70610650859744051</v>
      </c>
      <c r="CA154" s="579">
        <f t="array" ref="CA154">$Z154  * (1 + SUM( ($AU$80:$AU$83=CA$93) * ($BH$79:$BP$79=CA$94) * ($BH$80:$BP$83) ))</f>
        <v>0.70667362582862236</v>
      </c>
      <c r="CB154" s="579">
        <f t="array" ref="CB154">$Z154  * (1 + SUM( ($AU$80:$AU$83=CB$93) * ($BH$79:$BP$79=CB$94) * ($BH$80:$BP$83) ))</f>
        <v>0.70699999999999996</v>
      </c>
      <c r="CC154" s="578">
        <f t="array" ref="CC154">$Z154  * (1 + SUM( ($AU$80:$AU$83=CC$93) * ($BH$79:$BP$79=CC$94) * ($BH$80:$BP$83) ))</f>
        <v>0.70367508370979115</v>
      </c>
      <c r="CD154" s="578">
        <f t="array" ref="CD154">$Z154  * (1 + SUM( ($AU$80:$AU$83=CD$93) * ($BH$79:$BP$79=CD$94) * ($BH$80:$BP$83) ))</f>
        <v>0.71134250672812871</v>
      </c>
      <c r="CE154" s="578">
        <f t="array" ref="CE154">$Z154  * (1 + SUM( ($AU$80:$AU$83=CE$93) * ($BH$79:$BP$79=CE$94) * ($BH$80:$BP$83) ))</f>
        <v>0.72366709741424307</v>
      </c>
      <c r="CF154" s="578">
        <f t="array" ref="CF154">$Z154  * (1 + SUM( ($AU$80:$AU$83=CF$93) * ($BH$79:$BP$79=CF$94) * ($BH$80:$BP$83) ))</f>
        <v>0.74079878207786831</v>
      </c>
      <c r="CG154" s="578">
        <f t="array" ref="CG154">$Z154  * (1 + SUM( ($AU$80:$AU$83=CG$93) * ($BH$79:$BP$79=CG$94) * ($BH$80:$BP$83) ))</f>
        <v>0.76036063934043396</v>
      </c>
      <c r="CH154" s="578">
        <f t="array" ref="CH154">$Z154  * (1 + SUM( ($AU$80:$AU$83=CH$93) * ($BH$79:$BP$79=CH$94) * ($BH$80:$BP$83) ))</f>
        <v>0.77825598026224219</v>
      </c>
      <c r="CI154" s="578">
        <f t="array" ref="CI154">$Z154  * (1 + SUM( ($AU$80:$AU$83=CI$93) * ($BH$79:$BP$79=CI$94) * ($BH$80:$BP$83) ))</f>
        <v>0.79159762896160979</v>
      </c>
      <c r="CJ154" s="578">
        <f t="array" ref="CJ154">$Z154  * (1 + SUM( ($AU$80:$AU$83=CJ$93) * ($BH$79:$BP$79=CJ$94) * ($BH$80:$BP$83) ))</f>
        <v>0.80010438742933654</v>
      </c>
      <c r="CK154" s="578">
        <f t="array" ref="CK154">$Z154  * (1 + SUM( ($AU$80:$AU$83=CK$93) * ($BH$79:$BP$79=CK$94) * ($BH$80:$BP$83) ))</f>
        <v>0.80499999999999994</v>
      </c>
      <c r="CL154" s="579">
        <f t="array" ref="CL154">$Z154  * (1 + SUM( ($AU$80:$AU$83=CL$93) * ($BH$79:$BP$79=CL$94) * ($BH$80:$BP$83) ))</f>
        <v>0.70735016741958234</v>
      </c>
      <c r="CM154" s="579">
        <f t="array" ref="CM154">$Z154  * (1 + SUM( ($AU$80:$AU$83=CM$93) * ($BH$79:$BP$79=CM$94) * ($BH$80:$BP$83) ))</f>
        <v>0.72268501345625757</v>
      </c>
      <c r="CN154" s="579">
        <f t="array" ref="CN154">$Z154  * (1 + SUM( ($AU$80:$AU$83=CN$93) * ($BH$79:$BP$79=CN$94) * ($BH$80:$BP$83) ))</f>
        <v>0.74733419482848618</v>
      </c>
      <c r="CO154" s="579">
        <f t="array" ref="CO154">$Z154  * (1 + SUM( ($AU$80:$AU$83=CO$93) * ($BH$79:$BP$79=CO$94) * ($BH$80:$BP$83) ))</f>
        <v>0.78159756415573645</v>
      </c>
      <c r="CP154" s="579">
        <f t="array" ref="CP154">$Z154  * (1 + SUM( ($AU$80:$AU$83=CP$93) * ($BH$79:$BP$79=CP$94) * ($BH$80:$BP$83) ))</f>
        <v>0.82072127868086819</v>
      </c>
      <c r="CQ154" s="579">
        <f t="array" ref="CQ154">$Z154  * (1 + SUM( ($AU$80:$AU$83=CQ$93) * ($BH$79:$BP$79=CQ$94) * ($BH$80:$BP$83) ))</f>
        <v>0.85651196052448431</v>
      </c>
      <c r="CR154" s="579">
        <f t="array" ref="CR154">$Z154  * (1 + SUM( ($AU$80:$AU$83=CR$93) * ($BH$79:$BP$79=CR$94) * ($BH$80:$BP$83) ))</f>
        <v>0.88319525792321985</v>
      </c>
      <c r="CS154" s="579">
        <f t="array" ref="CS154">$Z154  * (1 + SUM( ($AU$80:$AU$83=CS$93) * ($BH$79:$BP$79=CS$94) * ($BH$80:$BP$83) ))</f>
        <v>0.90020877485867323</v>
      </c>
      <c r="CT154" s="579">
        <f t="array" ref="CT154">$Z154  * (1 + SUM( ($AU$80:$AU$83=CT$93) * ($BH$79:$BP$79=CT$94) * ($BH$80:$BP$83) ))</f>
        <v>0.90999999999999992</v>
      </c>
      <c r="CU154" s="578">
        <f t="array" ref="CU154">$Z154  * (1 + SUM( ($AU$80:$AU$83=CU$93) * ($BH$79:$BP$79=CU$94) * ($BH$80:$BP$83) ))</f>
        <v>0.70980022322610981</v>
      </c>
      <c r="CV154" s="578">
        <f t="array" ref="CV154">$Z154  * (1 + SUM( ($AU$80:$AU$83=CV$93) * ($BH$79:$BP$79=CV$94) * ($BH$80:$BP$83) ))</f>
        <v>0.73024668460834341</v>
      </c>
      <c r="CW154" s="578">
        <f t="array" ref="CW154">$Z154  * (1 + SUM( ($AU$80:$AU$83=CW$93) * ($BH$79:$BP$79=CW$94) * ($BH$80:$BP$83) ))</f>
        <v>0.7631122597713148</v>
      </c>
      <c r="CX154" s="578">
        <f t="array" ref="CX154">$Z154  * (1 + SUM( ($AU$80:$AU$83=CX$93) * ($BH$79:$BP$79=CX$94) * ($BH$80:$BP$83) ))</f>
        <v>0.80879675220764879</v>
      </c>
      <c r="CY154" s="578">
        <f t="array" ref="CY154">$Z154  * (1 + SUM( ($AU$80:$AU$83=CY$93) * ($BH$79:$BP$79=CY$94) * ($BH$80:$BP$83) ))</f>
        <v>0.8609617049078242</v>
      </c>
      <c r="CZ154" s="578">
        <f t="array" ref="CZ154">$Z154  * (1 + SUM( ($AU$80:$AU$83=CZ$93) * ($BH$79:$BP$79=CZ$94) * ($BH$80:$BP$83) ))</f>
        <v>0.90868261403264572</v>
      </c>
      <c r="DA154" s="578">
        <f t="array" ref="DA154">$Z154  * (1 + SUM( ($AU$80:$AU$83=DA$93) * ($BH$79:$BP$79=DA$94) * ($BH$80:$BP$83) ))</f>
        <v>0.94426034389762659</v>
      </c>
      <c r="DB154" s="578">
        <f t="array" ref="DB154">$Z154  * (1 + SUM( ($AU$80:$AU$83=DB$93) * ($BH$79:$BP$79=DB$94) * ($BH$80:$BP$83) ))</f>
        <v>0.96694503314489766</v>
      </c>
      <c r="DC154" s="578">
        <f t="array" ref="DC154">$Z154  * (1 + SUM( ($AU$80:$AU$83=DC$93) * ($BH$79:$BP$79=DC$94) * ($BH$80:$BP$83) ))</f>
        <v>0.97999999999999987</v>
      </c>
    </row>
    <row r="155" spans="1:107" ht="52" customHeight="1" thickBot="1">
      <c r="A155" s="1180" t="s">
        <v>1064</v>
      </c>
      <c r="B155" s="1179" t="s">
        <v>796</v>
      </c>
      <c r="C155" s="1179" t="s">
        <v>797</v>
      </c>
      <c r="D155" s="1179" t="s">
        <v>798</v>
      </c>
      <c r="E155" s="1179" t="s">
        <v>385</v>
      </c>
      <c r="F155" s="1179" t="s">
        <v>799</v>
      </c>
      <c r="G155" s="1179" t="s">
        <v>800</v>
      </c>
      <c r="H155" s="1179" t="s">
        <v>801</v>
      </c>
      <c r="I155" s="1164"/>
      <c r="J155" s="1179" t="s">
        <v>803</v>
      </c>
      <c r="K155" s="1179" t="s">
        <v>804</v>
      </c>
      <c r="L155" s="1179" t="s">
        <v>805</v>
      </c>
      <c r="M155" s="1179" t="s">
        <v>806</v>
      </c>
      <c r="N155" s="1179" t="s">
        <v>877</v>
      </c>
      <c r="O155" s="1168"/>
      <c r="P155" s="1163" t="s">
        <v>881</v>
      </c>
      <c r="Q155" s="1164"/>
      <c r="R155" s="1164"/>
      <c r="S155" s="1164"/>
      <c r="T155" s="1164"/>
      <c r="U155" s="1163" t="s">
        <v>881</v>
      </c>
      <c r="V155" s="1164"/>
      <c r="W155" s="1164"/>
      <c r="X155" s="1164"/>
      <c r="Y155" s="1164"/>
      <c r="Z155" s="1163" t="s">
        <v>881</v>
      </c>
      <c r="AA155" s="1164"/>
      <c r="AB155" s="1164"/>
      <c r="AC155" s="1164"/>
      <c r="AD155" s="1164"/>
      <c r="AE155" s="1164"/>
      <c r="AF155" s="1164"/>
      <c r="AG155" s="1164"/>
      <c r="AH155" s="1163">
        <v>60</v>
      </c>
      <c r="AI155" s="1162"/>
      <c r="AJ155" s="1163" t="s">
        <v>881</v>
      </c>
      <c r="AK155" s="1163" t="s">
        <v>881</v>
      </c>
      <c r="AL155" s="1163" t="s">
        <v>881</v>
      </c>
      <c r="AM155" s="1163" t="s">
        <v>881</v>
      </c>
      <c r="AN155" s="1163" t="s">
        <v>881</v>
      </c>
      <c r="AO155" s="1163" t="s">
        <v>881</v>
      </c>
      <c r="AP155" s="1163" t="s">
        <v>881</v>
      </c>
      <c r="AQ155" s="1163" t="s">
        <v>881</v>
      </c>
      <c r="AR155" s="1163" t="s">
        <v>881</v>
      </c>
      <c r="AS155" s="1170" t="s">
        <v>881</v>
      </c>
      <c r="AT155" s="1170" t="s">
        <v>881</v>
      </c>
      <c r="AU155" s="1170" t="s">
        <v>881</v>
      </c>
      <c r="AV155" s="1170" t="s">
        <v>881</v>
      </c>
      <c r="AW155" s="1170" t="s">
        <v>881</v>
      </c>
      <c r="AX155" s="1170" t="s">
        <v>881</v>
      </c>
      <c r="AY155" s="1170" t="s">
        <v>881</v>
      </c>
      <c r="AZ155" s="1170" t="s">
        <v>881</v>
      </c>
      <c r="BA155" s="1170" t="s">
        <v>881</v>
      </c>
      <c r="BB155" s="1163" t="s">
        <v>881</v>
      </c>
      <c r="BC155" s="1163" t="s">
        <v>881</v>
      </c>
      <c r="BD155" s="1163" t="s">
        <v>881</v>
      </c>
      <c r="BE155" s="1163" t="s">
        <v>881</v>
      </c>
      <c r="BF155" s="1163" t="s">
        <v>881</v>
      </c>
      <c r="BG155" s="1163" t="s">
        <v>881</v>
      </c>
      <c r="BH155" s="1163" t="s">
        <v>881</v>
      </c>
      <c r="BI155" s="1163" t="s">
        <v>881</v>
      </c>
      <c r="BJ155" s="1163" t="s">
        <v>881</v>
      </c>
      <c r="BK155" s="1170" t="s">
        <v>881</v>
      </c>
      <c r="BL155" s="1170" t="s">
        <v>881</v>
      </c>
      <c r="BM155" s="1170" t="s">
        <v>881</v>
      </c>
      <c r="BN155" s="1170" t="s">
        <v>881</v>
      </c>
      <c r="BO155" s="1170" t="s">
        <v>881</v>
      </c>
      <c r="BP155" s="1170" t="s">
        <v>881</v>
      </c>
      <c r="BQ155" s="1170" t="s">
        <v>881</v>
      </c>
      <c r="BR155" s="1170" t="s">
        <v>881</v>
      </c>
      <c r="BS155" s="1170" t="s">
        <v>881</v>
      </c>
      <c r="BT155" s="592"/>
      <c r="BU155" s="592"/>
      <c r="BV155" s="592"/>
      <c r="BW155" s="592"/>
      <c r="BX155" s="592"/>
      <c r="BY155" s="592"/>
      <c r="BZ155" s="592"/>
      <c r="CA155" s="592"/>
      <c r="CB155" s="592"/>
      <c r="CC155" s="593"/>
      <c r="CD155" s="593"/>
      <c r="CE155" s="593"/>
      <c r="CF155" s="593"/>
      <c r="CG155" s="593"/>
      <c r="CH155" s="593"/>
      <c r="CI155" s="593"/>
      <c r="CJ155" s="593"/>
      <c r="CK155" s="593"/>
      <c r="CL155" s="592"/>
      <c r="CM155" s="592"/>
      <c r="CN155" s="592"/>
      <c r="CO155" s="592"/>
      <c r="CP155" s="592"/>
      <c r="CQ155" s="592"/>
      <c r="CR155" s="592"/>
      <c r="CS155" s="592"/>
      <c r="CT155" s="592"/>
      <c r="CU155" s="579"/>
      <c r="CV155" s="579"/>
      <c r="CW155" s="579"/>
      <c r="CX155" s="579"/>
      <c r="CY155" s="579"/>
      <c r="CZ155" s="579"/>
      <c r="DA155" s="579"/>
      <c r="DB155" s="579"/>
      <c r="DC155" s="579"/>
    </row>
    <row r="156" spans="1:107">
      <c r="A156" s="1173" t="s">
        <v>807</v>
      </c>
      <c r="B156" s="1178" t="s">
        <v>1009</v>
      </c>
      <c r="C156" s="1177"/>
      <c r="D156" s="1177"/>
      <c r="E156" s="1176" t="s">
        <v>808</v>
      </c>
      <c r="F156" s="1176" t="s">
        <v>809</v>
      </c>
      <c r="G156" s="1174" t="s">
        <v>810</v>
      </c>
      <c r="H156" s="1175" t="s">
        <v>811</v>
      </c>
      <c r="I156" s="1164"/>
      <c r="J156" s="1174" t="s">
        <v>812</v>
      </c>
      <c r="K156" s="1174" t="s">
        <v>813</v>
      </c>
      <c r="L156" s="1174" t="s">
        <v>813</v>
      </c>
      <c r="M156" s="1168"/>
      <c r="N156" s="1168"/>
      <c r="O156" s="1168"/>
      <c r="P156" s="1163" t="s">
        <v>881</v>
      </c>
      <c r="Q156" s="1164"/>
      <c r="R156" s="1164"/>
      <c r="S156" s="1164"/>
      <c r="T156" s="1164"/>
      <c r="U156" s="1163" t="s">
        <v>881</v>
      </c>
      <c r="V156" s="1164"/>
      <c r="W156" s="1164"/>
      <c r="X156" s="1164"/>
      <c r="Y156" s="1164"/>
      <c r="Z156" s="1163" t="s">
        <v>881</v>
      </c>
      <c r="AA156" s="1164"/>
      <c r="AB156" s="1164"/>
      <c r="AC156" s="1164"/>
      <c r="AD156" s="1164"/>
      <c r="AE156" s="1164"/>
      <c r="AF156" s="1164"/>
      <c r="AG156" s="1164"/>
      <c r="AH156" s="1163">
        <v>61</v>
      </c>
      <c r="AI156" s="1162" t="str">
        <f>MID(D156,2,2)</f>
        <v/>
      </c>
      <c r="AJ156" s="1163" t="s">
        <v>881</v>
      </c>
      <c r="AK156" s="1163" t="s">
        <v>881</v>
      </c>
      <c r="AL156" s="1163" t="s">
        <v>881</v>
      </c>
      <c r="AM156" s="1163" t="s">
        <v>881</v>
      </c>
      <c r="AN156" s="1163" t="s">
        <v>881</v>
      </c>
      <c r="AO156" s="1163" t="s">
        <v>881</v>
      </c>
      <c r="AP156" s="1163" t="s">
        <v>881</v>
      </c>
      <c r="AQ156" s="1163" t="s">
        <v>881</v>
      </c>
      <c r="AR156" s="1163" t="s">
        <v>881</v>
      </c>
      <c r="AS156" s="1170" t="s">
        <v>881</v>
      </c>
      <c r="AT156" s="1170" t="s">
        <v>881</v>
      </c>
      <c r="AU156" s="1170" t="s">
        <v>881</v>
      </c>
      <c r="AV156" s="1170" t="s">
        <v>881</v>
      </c>
      <c r="AW156" s="1170" t="s">
        <v>881</v>
      </c>
      <c r="AX156" s="1170" t="s">
        <v>881</v>
      </c>
      <c r="AY156" s="1170" t="s">
        <v>881</v>
      </c>
      <c r="AZ156" s="1170" t="s">
        <v>881</v>
      </c>
      <c r="BA156" s="1170" t="s">
        <v>881</v>
      </c>
      <c r="BB156" s="1163" t="s">
        <v>881</v>
      </c>
      <c r="BC156" s="1163" t="s">
        <v>881</v>
      </c>
      <c r="BD156" s="1163" t="s">
        <v>881</v>
      </c>
      <c r="BE156" s="1163" t="s">
        <v>881</v>
      </c>
      <c r="BF156" s="1163" t="s">
        <v>881</v>
      </c>
      <c r="BG156" s="1163" t="s">
        <v>881</v>
      </c>
      <c r="BH156" s="1163" t="s">
        <v>881</v>
      </c>
      <c r="BI156" s="1163" t="s">
        <v>881</v>
      </c>
      <c r="BJ156" s="1163" t="s">
        <v>881</v>
      </c>
      <c r="BK156" s="1170" t="s">
        <v>881</v>
      </c>
      <c r="BL156" s="1170" t="s">
        <v>881</v>
      </c>
      <c r="BM156" s="1170" t="s">
        <v>881</v>
      </c>
      <c r="BN156" s="1170" t="s">
        <v>881</v>
      </c>
      <c r="BO156" s="1170" t="s">
        <v>881</v>
      </c>
      <c r="BP156" s="1170" t="s">
        <v>881</v>
      </c>
      <c r="BQ156" s="1170" t="s">
        <v>881</v>
      </c>
      <c r="BR156" s="1170" t="s">
        <v>881</v>
      </c>
      <c r="BS156" s="1170" t="s">
        <v>881</v>
      </c>
      <c r="BT156" s="590"/>
      <c r="BU156" s="590"/>
      <c r="BV156" s="590"/>
      <c r="BW156" s="590"/>
      <c r="BX156" s="590"/>
      <c r="BY156" s="590"/>
      <c r="BZ156" s="590"/>
      <c r="CA156" s="590"/>
      <c r="CB156" s="590"/>
      <c r="CC156" s="591"/>
      <c r="CD156" s="591"/>
      <c r="CE156" s="591"/>
      <c r="CF156" s="591"/>
      <c r="CG156" s="591"/>
      <c r="CH156" s="591"/>
      <c r="CI156" s="591"/>
      <c r="CJ156" s="591"/>
      <c r="CK156" s="591"/>
      <c r="CL156" s="590"/>
      <c r="CM156" s="590"/>
      <c r="CN156" s="590"/>
      <c r="CO156" s="590"/>
      <c r="CP156" s="590"/>
      <c r="CQ156" s="590"/>
      <c r="CR156" s="590"/>
      <c r="CS156" s="590"/>
      <c r="CT156" s="590"/>
      <c r="CU156" s="578"/>
      <c r="CV156" s="578"/>
      <c r="CW156" s="578"/>
      <c r="CX156" s="578"/>
      <c r="CY156" s="578"/>
      <c r="CZ156" s="578"/>
      <c r="DA156" s="578"/>
      <c r="DB156" s="578"/>
      <c r="DC156" s="578"/>
    </row>
    <row r="157" spans="1:107">
      <c r="A157" s="1173" t="s">
        <v>814</v>
      </c>
      <c r="B157" s="1167"/>
      <c r="C157" s="1172">
        <v>1</v>
      </c>
      <c r="D157" s="1172">
        <v>2</v>
      </c>
      <c r="E157" s="1172">
        <v>3</v>
      </c>
      <c r="F157" s="1172">
        <v>4</v>
      </c>
      <c r="G157" s="1172">
        <v>5</v>
      </c>
      <c r="H157" s="1172">
        <v>6</v>
      </c>
      <c r="I157" s="1164"/>
      <c r="J157" s="589"/>
      <c r="K157" s="1171"/>
      <c r="L157" s="1171"/>
      <c r="M157" s="1168"/>
      <c r="N157" s="1168"/>
      <c r="O157" s="1168"/>
      <c r="P157" s="1163" t="s">
        <v>881</v>
      </c>
      <c r="Q157" s="1164"/>
      <c r="R157" s="1164"/>
      <c r="S157" s="1164"/>
      <c r="T157" s="1164"/>
      <c r="U157" s="1163" t="s">
        <v>881</v>
      </c>
      <c r="V157" s="1164"/>
      <c r="W157" s="1164"/>
      <c r="X157" s="1164"/>
      <c r="Y157" s="1164"/>
      <c r="Z157" s="1163" t="s">
        <v>881</v>
      </c>
      <c r="AA157" s="1164"/>
      <c r="AB157" s="1164"/>
      <c r="AC157" s="1164"/>
      <c r="AD157" s="1164"/>
      <c r="AE157" s="1164"/>
      <c r="AF157" s="1164"/>
      <c r="AG157" s="1164"/>
      <c r="AH157" s="1163">
        <v>62</v>
      </c>
      <c r="AI157" s="1162" t="str">
        <f>MID(D157,2,2)</f>
        <v/>
      </c>
      <c r="AJ157" s="1163" t="s">
        <v>881</v>
      </c>
      <c r="AK157" s="1163" t="s">
        <v>881</v>
      </c>
      <c r="AL157" s="1163" t="s">
        <v>881</v>
      </c>
      <c r="AM157" s="1163" t="s">
        <v>881</v>
      </c>
      <c r="AN157" s="1163" t="s">
        <v>881</v>
      </c>
      <c r="AO157" s="1163" t="s">
        <v>881</v>
      </c>
      <c r="AP157" s="1163" t="s">
        <v>881</v>
      </c>
      <c r="AQ157" s="1163" t="s">
        <v>881</v>
      </c>
      <c r="AR157" s="1163" t="s">
        <v>881</v>
      </c>
      <c r="AS157" s="1170" t="s">
        <v>881</v>
      </c>
      <c r="AT157" s="1170" t="s">
        <v>881</v>
      </c>
      <c r="AU157" s="1170" t="s">
        <v>881</v>
      </c>
      <c r="AV157" s="1170" t="s">
        <v>881</v>
      </c>
      <c r="AW157" s="1170" t="s">
        <v>881</v>
      </c>
      <c r="AX157" s="1170" t="s">
        <v>881</v>
      </c>
      <c r="AY157" s="1170" t="s">
        <v>881</v>
      </c>
      <c r="AZ157" s="1170" t="s">
        <v>881</v>
      </c>
      <c r="BA157" s="1170" t="s">
        <v>881</v>
      </c>
      <c r="BB157" s="1163" t="s">
        <v>881</v>
      </c>
      <c r="BC157" s="1163" t="s">
        <v>881</v>
      </c>
      <c r="BD157" s="1163" t="s">
        <v>881</v>
      </c>
      <c r="BE157" s="1163" t="s">
        <v>881</v>
      </c>
      <c r="BF157" s="1163" t="s">
        <v>881</v>
      </c>
      <c r="BG157" s="1163" t="s">
        <v>881</v>
      </c>
      <c r="BH157" s="1163" t="s">
        <v>881</v>
      </c>
      <c r="BI157" s="1163" t="s">
        <v>881</v>
      </c>
      <c r="BJ157" s="1163" t="s">
        <v>881</v>
      </c>
      <c r="BK157" s="1170" t="s">
        <v>881</v>
      </c>
      <c r="BL157" s="1170" t="s">
        <v>881</v>
      </c>
      <c r="BM157" s="1170" t="s">
        <v>881</v>
      </c>
      <c r="BN157" s="1170" t="s">
        <v>881</v>
      </c>
      <c r="BO157" s="1170" t="s">
        <v>881</v>
      </c>
      <c r="BP157" s="1170" t="s">
        <v>881</v>
      </c>
      <c r="BQ157" s="1170" t="s">
        <v>881</v>
      </c>
      <c r="BR157" s="1170" t="s">
        <v>881</v>
      </c>
      <c r="BS157" s="1170" t="s">
        <v>881</v>
      </c>
      <c r="BT157" s="588"/>
      <c r="BU157" s="588"/>
      <c r="BV157" s="588"/>
      <c r="BW157" s="588"/>
      <c r="BX157" s="588"/>
      <c r="BY157" s="588"/>
      <c r="BZ157" s="588"/>
      <c r="CA157" s="588"/>
      <c r="CB157" s="588"/>
      <c r="CC157" s="578"/>
      <c r="CD157" s="578"/>
      <c r="CE157" s="578"/>
      <c r="CF157" s="578"/>
      <c r="CG157" s="578"/>
      <c r="CH157" s="578"/>
      <c r="CI157" s="578"/>
      <c r="CJ157" s="578"/>
      <c r="CK157" s="578"/>
      <c r="CL157" s="588"/>
      <c r="CM157" s="588"/>
      <c r="CN157" s="588"/>
      <c r="CO157" s="588"/>
      <c r="CP157" s="588"/>
      <c r="CQ157" s="588"/>
      <c r="CR157" s="588"/>
      <c r="CS157" s="588"/>
      <c r="CT157" s="588"/>
      <c r="CU157" s="588"/>
      <c r="CV157" s="588"/>
      <c r="CW157" s="588"/>
      <c r="CX157" s="588"/>
      <c r="CY157" s="588"/>
      <c r="CZ157" s="588"/>
      <c r="DA157" s="588"/>
      <c r="DB157" s="588"/>
      <c r="DC157" s="588"/>
    </row>
    <row r="158" spans="1:107">
      <c r="A158" s="1167" t="s">
        <v>1190</v>
      </c>
      <c r="B158" s="1167" t="s">
        <v>1189</v>
      </c>
      <c r="C158" s="1166" t="s">
        <v>1030</v>
      </c>
      <c r="D158" s="1166" t="s">
        <v>960</v>
      </c>
      <c r="E158" s="577">
        <v>1</v>
      </c>
      <c r="F158" s="574">
        <v>0.79010000000000002</v>
      </c>
      <c r="G158" s="576">
        <v>100</v>
      </c>
      <c r="H158" s="574">
        <v>0.94524210261992159</v>
      </c>
      <c r="I158" s="1164"/>
      <c r="J158" s="575">
        <v>1</v>
      </c>
      <c r="K158" s="574">
        <v>0.74683578528000005</v>
      </c>
      <c r="L158" s="574">
        <v>0.74683578528000005</v>
      </c>
      <c r="M158" s="1168"/>
      <c r="N158" s="1168">
        <v>1</v>
      </c>
      <c r="O158" s="1168"/>
      <c r="P158" s="1163" t="s">
        <v>881</v>
      </c>
      <c r="Q158" s="1164"/>
      <c r="R158" s="1164"/>
      <c r="S158" s="1164"/>
      <c r="T158" s="1164"/>
      <c r="U158" s="1163" t="s">
        <v>881</v>
      </c>
      <c r="V158" s="1164"/>
      <c r="W158" s="1164"/>
      <c r="X158" s="1164"/>
      <c r="Y158" s="1164"/>
      <c r="Z158" s="573">
        <v>1</v>
      </c>
      <c r="AA158" s="572">
        <v>1</v>
      </c>
      <c r="AB158" s="572">
        <v>1</v>
      </c>
      <c r="AC158" s="572">
        <v>1</v>
      </c>
      <c r="AD158" s="572">
        <v>1</v>
      </c>
      <c r="AE158" s="572">
        <v>1</v>
      </c>
      <c r="AF158" s="572">
        <v>1</v>
      </c>
      <c r="AG158" s="1164"/>
      <c r="AH158" s="1163">
        <v>63</v>
      </c>
      <c r="AI158" s="1162" t="str">
        <f>MID(D158,2,2)&amp;C158</f>
        <v>NFINDELC</v>
      </c>
      <c r="AJ158" s="1163" t="s">
        <v>881</v>
      </c>
      <c r="AK158" s="1163" t="s">
        <v>881</v>
      </c>
      <c r="AL158" s="1163" t="s">
        <v>881</v>
      </c>
      <c r="AM158" s="1163" t="s">
        <v>881</v>
      </c>
      <c r="AN158" s="1163" t="s">
        <v>881</v>
      </c>
      <c r="AO158" s="1163" t="s">
        <v>881</v>
      </c>
      <c r="AP158" s="1163" t="s">
        <v>881</v>
      </c>
      <c r="AQ158" s="1163" t="s">
        <v>881</v>
      </c>
      <c r="AR158" s="1163" t="s">
        <v>881</v>
      </c>
      <c r="AS158" s="1170" t="s">
        <v>881</v>
      </c>
      <c r="AT158" s="1170" t="s">
        <v>881</v>
      </c>
      <c r="AU158" s="1170" t="s">
        <v>881</v>
      </c>
      <c r="AV158" s="1170" t="s">
        <v>881</v>
      </c>
      <c r="AW158" s="1170" t="s">
        <v>881</v>
      </c>
      <c r="AX158" s="1170" t="s">
        <v>881</v>
      </c>
      <c r="AY158" s="1170" t="s">
        <v>881</v>
      </c>
      <c r="AZ158" s="1170" t="s">
        <v>881</v>
      </c>
      <c r="BA158" s="1170" t="s">
        <v>881</v>
      </c>
      <c r="BB158" s="1163" t="s">
        <v>881</v>
      </c>
      <c r="BC158" s="1163" t="s">
        <v>881</v>
      </c>
      <c r="BD158" s="1163" t="s">
        <v>881</v>
      </c>
      <c r="BE158" s="1163" t="s">
        <v>881</v>
      </c>
      <c r="BF158" s="1163" t="s">
        <v>881</v>
      </c>
      <c r="BG158" s="1163" t="s">
        <v>881</v>
      </c>
      <c r="BH158" s="1163" t="s">
        <v>881</v>
      </c>
      <c r="BI158" s="1163" t="s">
        <v>881</v>
      </c>
      <c r="BJ158" s="1163" t="s">
        <v>881</v>
      </c>
      <c r="BT158" s="1443">
        <f t="array" ref="BT158">SUM(IFERROR(($AW$42:$AW$76=LEFT($AI158,2)) * ($AU$42:$AU$76=BT$93) * ($BH$41:$BP$41=BT$94) * ($BH$42:$BP$77),0))</f>
        <v>3.5000797236106555E-5</v>
      </c>
      <c r="BU158" s="1443">
        <f t="array" ref="BU158">SUM(IFERROR(($AW$42:$AW$76=LEFT($AI158,2)) * ($AU$42:$AU$76=BU$93) * ($BH$41:$BP$41=BU$94) * ($BH$42:$BP$77),0))</f>
        <v>1.0802387360122672E-4</v>
      </c>
      <c r="BV158" s="1443">
        <f t="array" ref="BV158">SUM(IFERROR(($AW$42:$AW$76=LEFT($AI158,2)) * ($AU$42:$AU$76=BV$93) * ($BH$41:$BP$41=BV$94) * ($BH$42:$BP$77),0))</f>
        <v>2.2540092775469604E-4</v>
      </c>
      <c r="BW158" s="1443">
        <f t="array" ref="BW158">SUM(IFERROR(($AW$42:$AW$76=LEFT($AI158,2)) * ($AU$42:$AU$76=BW$93) * ($BH$41:$BP$41=BW$94) * ($BH$42:$BP$77),0))</f>
        <v>3.8855982931303135E-4</v>
      </c>
      <c r="BX158" s="1443">
        <f t="array" ref="BX158">SUM(IFERROR(($AW$42:$AW$76=LEFT($AI158,2)) * ($AU$42:$AU$76=BX$93) * ($BH$41:$BP$41=BX$94) * ($BH$42:$BP$77),0))</f>
        <v>5.7486323181365811E-4</v>
      </c>
      <c r="BY158" s="1443">
        <f t="array" ref="BY158">SUM(IFERROR(($AW$42:$AW$76=LEFT($AI158,2)) * ($AU$42:$AU$76=BY$93) * ($BH$41:$BP$41=BY$94) * ($BH$42:$BP$77),0))</f>
        <v>7.4529505011659239E-4</v>
      </c>
      <c r="BZ158" s="1443">
        <f t="array" ref="BZ158">SUM(IFERROR(($AW$42:$AW$76=LEFT($AI158,2)) * ($AU$42:$AU$76=BZ$93) * ($BH$41:$BP$41=BZ$94) * ($BH$42:$BP$77),0))</f>
        <v>8.7235837106295201E-4</v>
      </c>
      <c r="CA158" s="1443">
        <f t="array" ref="CA158">SUM(IFERROR(($AW$42:$AW$76=LEFT($AI158,2)) * ($AU$42:$AU$76=CA$93) * ($BH$41:$BP$41=CA$94) * ($BH$42:$BP$77),0))</f>
        <v>9.5337511837463476E-4</v>
      </c>
      <c r="CB158" s="1443">
        <f t="array" ref="CB158">SUM(IFERROR(($AW$42:$AW$76=LEFT($AI158,2)) * ($AU$42:$AU$76=CB$93) * ($BH$41:$BP$41=CB$94) * ($BH$42:$BP$77),0))</f>
        <v>1E-3</v>
      </c>
      <c r="CC158" s="1443">
        <f t="array" ref="CC158">SUM(IFERROR(($AW$42:$AW$76=LEFT($AI158,2)) * ($AU$42:$AU$76=CC$93) * ($BH$41:$BP$41=CC$94) * ($BH$42:$BP$77),0))</f>
        <v>3.5700813180828727E-3</v>
      </c>
      <c r="CD158" s="1443">
        <f t="array" ref="CD158">SUM(IFERROR(($AW$42:$AW$76=LEFT($AI158,2)) * ($AU$42:$AU$76=CD$93) * ($BH$41:$BP$41=CD$94) * ($BH$42:$BP$77),0))</f>
        <v>1.101843510732514E-2</v>
      </c>
      <c r="CE158" s="1443">
        <f t="array" ref="CE158">SUM(IFERROR(($AW$42:$AW$76=LEFT($AI158,2)) * ($AU$42:$AU$76=CE$93) * ($BH$41:$BP$41=CE$94) * ($BH$42:$BP$77),0))</f>
        <v>2.2990894630979024E-2</v>
      </c>
      <c r="CF158" s="1443">
        <f t="array" ref="CF158">SUM(IFERROR(($AW$42:$AW$76=LEFT($AI158,2)) * ($AU$42:$AU$76=CF$93) * ($BH$41:$BP$41=CF$94) * ($BH$42:$BP$77),0))</f>
        <v>3.9633102589929248E-2</v>
      </c>
      <c r="CG158" s="1443">
        <f t="array" ref="CG158">SUM(IFERROR(($AW$42:$AW$76=LEFT($AI158,2)) * ($AU$42:$AU$76=CG$93) * ($BH$41:$BP$41=CG$94) * ($BH$42:$BP$77),0))</f>
        <v>5.86360496449932E-2</v>
      </c>
      <c r="CH158" s="1443">
        <f t="array" ref="CH158">SUM(IFERROR(($AW$42:$AW$76=LEFT($AI158,2)) * ($AU$42:$AU$76=CH$93) * ($BH$41:$BP$41=CH$94) * ($BH$42:$BP$77),0))</f>
        <v>7.6020095111892519E-2</v>
      </c>
      <c r="CI158" s="1443">
        <f t="array" ref="CI158">SUM(IFERROR(($AW$42:$AW$76=LEFT($AI158,2)) * ($AU$42:$AU$76=CI$93) * ($BH$41:$BP$41=CI$94) * ($BH$42:$BP$77),0))</f>
        <v>8.8980553848421226E-2</v>
      </c>
      <c r="CJ158" s="1443">
        <f t="array" ref="CJ158">SUM(IFERROR(($AW$42:$AW$76=LEFT($AI158,2)) * ($AU$42:$AU$76=CJ$93) * ($BH$41:$BP$41=CJ$94) * ($BH$42:$BP$77),0))</f>
        <v>9.724426207421287E-2</v>
      </c>
      <c r="CK158" s="1443">
        <f t="array" ref="CK158">SUM(IFERROR(($AW$42:$AW$76=LEFT($AI158,2)) * ($AU$42:$AU$76=CK$93) * ($BH$41:$BP$41=CK$94) * ($BH$42:$BP$77),0))</f>
        <v>0.10200000000000013</v>
      </c>
      <c r="CL158" s="1443">
        <f t="array" ref="CL158">SUM(IFERROR(($AW$42:$AW$76=LEFT($AI158,2)) * ($AU$42:$AU$76=CL$93) * ($BH$41:$BP$41=CL$94) * ($BH$42:$BP$77),0))</f>
        <v>7.6389239967802561E-3</v>
      </c>
      <c r="CM158" s="1443">
        <f t="array" ref="CM158">SUM(IFERROR(($AW$42:$AW$76=LEFT($AI158,2)) * ($AU$42:$AU$76=CM$93) * ($BH$41:$BP$41=CM$94) * ($BH$42:$BP$77),0))</f>
        <v>2.3576210413467736E-2</v>
      </c>
      <c r="CN158" s="1443">
        <f t="array" ref="CN158">SUM(IFERROR(($AW$42:$AW$76=LEFT($AI158,2)) * ($AU$42:$AU$76=CN$93) * ($BH$41:$BP$41=CN$94) * ($BH$42:$BP$77),0))</f>
        <v>4.9193752482462418E-2</v>
      </c>
      <c r="CO158" s="1443">
        <f t="array" ref="CO158">SUM(IFERROR(($AW$42:$AW$76=LEFT($AI158,2)) * ($AU$42:$AU$76=CO$93) * ($BH$41:$BP$41=CO$94) * ($BH$42:$BP$77),0))</f>
        <v>8.4803182747569109E-2</v>
      </c>
      <c r="CP158" s="1443">
        <f t="array" ref="CP158">SUM(IFERROR(($AW$42:$AW$76=LEFT($AI158,2)) * ($AU$42:$AU$76=CP$93) * ($BH$41:$BP$41=CP$94) * ($BH$42:$BP$77),0))</f>
        <v>0.12546390034333088</v>
      </c>
      <c r="CQ158" s="1443">
        <f t="array" ref="CQ158">SUM(IFERROR(($AW$42:$AW$76=LEFT($AI158,2)) * ($AU$42:$AU$76=CQ$93) * ($BH$41:$BP$41=CQ$94) * ($BH$42:$BP$77),0))</f>
        <v>0.1626606446879463</v>
      </c>
      <c r="CR158" s="1443">
        <f t="array" ref="CR158">SUM(IFERROR(($AW$42:$AW$76=LEFT($AI158,2)) * ($AU$42:$AU$76=CR$93) * ($BH$41:$BP$41=CR$94) * ($BH$42:$BP$77),0))</f>
        <v>0.19039221448448929</v>
      </c>
      <c r="CS158" s="1443">
        <f t="array" ref="CS158">SUM(IFERROR(($AW$42:$AW$76=LEFT($AI158,2)) * ($AU$42:$AU$76=CS$93) * ($BH$41:$BP$41=CS$94) * ($BH$42:$BP$77),0))</f>
        <v>0.20807411958526406</v>
      </c>
      <c r="CT158" s="1443">
        <f t="array" ref="CT158">SUM(IFERROR(($AW$42:$AW$76=LEFT($AI158,2)) * ($AU$42:$AU$76=CT$93) * ($BH$41:$BP$41=CT$94) * ($BH$42:$BP$77),0))</f>
        <v>0.21825000000000003</v>
      </c>
      <c r="CU158" s="1443">
        <f t="array" ref="CU158">SUM(IFERROR(($AW$42:$AW$76=LEFT($AI158,2)) * ($AU$42:$AU$76=CU$93) * ($BH$41:$BP$41=CU$94) * ($BH$42:$BP$77),0))</f>
        <v>1.4385327664039795E-2</v>
      </c>
      <c r="CV158" s="1443">
        <f t="array" ref="CV158">SUM(IFERROR(($AW$42:$AW$76=LEFT($AI158,2)) * ($AU$42:$AU$76=CV$93) * ($BH$41:$BP$41=CV$94) * ($BH$42:$BP$77),0))</f>
        <v>4.4397812050104193E-2</v>
      </c>
      <c r="CW158" s="1443">
        <f t="array" ref="CW158">SUM(IFERROR(($AW$42:$AW$76=LEFT($AI158,2)) * ($AU$42:$AU$76=CW$93) * ($BH$41:$BP$41=CW$94) * ($BH$42:$BP$77),0))</f>
        <v>9.2639781307180091E-2</v>
      </c>
      <c r="CX158" s="1443">
        <f t="array" ref="CX158">SUM(IFERROR(($AW$42:$AW$76=LEFT($AI158,2)) * ($AU$42:$AU$76=CX$93) * ($BH$41:$BP$41=CX$94) * ($BH$42:$BP$77),0))</f>
        <v>0.15969808984765591</v>
      </c>
      <c r="CY158" s="1443">
        <f t="array" ref="CY158">SUM(IFERROR(($AW$42:$AW$76=LEFT($AI158,2)) * ($AU$42:$AU$76=CY$93) * ($BH$41:$BP$41=CY$94) * ($BH$42:$BP$77),0))</f>
        <v>0.2362687882754135</v>
      </c>
      <c r="CZ158" s="1443">
        <f t="array" ref="CZ158">SUM(IFERROR(($AW$42:$AW$76=LEFT($AI158,2)) * ($AU$42:$AU$76=CZ$93) * ($BH$41:$BP$41=CZ$94) * ($BH$42:$BP$77),0))</f>
        <v>0.30631626559791952</v>
      </c>
      <c r="DA158" s="1443">
        <f t="array" ref="DA158">SUM(IFERROR(($AW$42:$AW$76=LEFT($AI158,2)) * ($AU$42:$AU$76=DA$93) * ($BH$41:$BP$41=DA$94) * ($BH$42:$BP$77),0))</f>
        <v>0.35853929050687333</v>
      </c>
      <c r="DB158" s="1443">
        <f t="array" ref="DB158">SUM(IFERROR(($AW$42:$AW$76=LEFT($AI158,2)) * ($AU$42:$AU$76=DB$93) * ($BH$41:$BP$41=DB$94) * ($BH$42:$BP$77),0))</f>
        <v>0.39183717365197496</v>
      </c>
      <c r="DC158" s="1443">
        <f t="array" ref="DC158">SUM(IFERROR(($AW$42:$AW$76=LEFT($AI158,2)) * ($AU$42:$AU$76=DC$93) * ($BH$41:$BP$41=DC$94) * ($BH$42:$BP$77),0))</f>
        <v>0.41100000000000009</v>
      </c>
    </row>
    <row r="159" spans="1:107">
      <c r="A159" s="1167" t="s">
        <v>1188</v>
      </c>
      <c r="B159" s="1167" t="s">
        <v>1187</v>
      </c>
      <c r="C159" s="1166" t="s">
        <v>1030</v>
      </c>
      <c r="D159" s="1166" t="s">
        <v>959</v>
      </c>
      <c r="E159" s="577">
        <v>0.05</v>
      </c>
      <c r="F159" s="574">
        <v>0.7833</v>
      </c>
      <c r="G159" s="576">
        <v>100</v>
      </c>
      <c r="H159" s="574">
        <v>0</v>
      </c>
      <c r="I159" s="1164"/>
      <c r="J159" s="575">
        <v>1</v>
      </c>
      <c r="K159" s="574">
        <v>0</v>
      </c>
      <c r="L159" s="574">
        <v>0</v>
      </c>
      <c r="M159" s="1164"/>
      <c r="N159" s="1168"/>
      <c r="O159" s="1164"/>
      <c r="P159" s="1163" t="s">
        <v>881</v>
      </c>
      <c r="Q159" s="1164"/>
      <c r="R159" s="1164"/>
      <c r="S159" s="1164"/>
      <c r="T159" s="1164"/>
      <c r="U159" s="1163" t="s">
        <v>881</v>
      </c>
      <c r="V159" s="1164"/>
      <c r="W159" s="1164"/>
      <c r="X159" s="1164"/>
      <c r="Y159" s="1164"/>
      <c r="Z159" s="573">
        <v>0.05</v>
      </c>
      <c r="AA159" s="572">
        <v>0.05</v>
      </c>
      <c r="AB159" s="572">
        <v>0.05</v>
      </c>
      <c r="AC159" s="572">
        <v>0.05</v>
      </c>
      <c r="AD159" s="572">
        <v>0.05</v>
      </c>
      <c r="AE159" s="572">
        <v>0.05</v>
      </c>
      <c r="AF159" s="572">
        <v>0.05</v>
      </c>
      <c r="AG159" s="1164"/>
      <c r="AH159" s="1163">
        <v>64</v>
      </c>
      <c r="AI159" s="1162"/>
      <c r="AJ159" s="1163" t="s">
        <v>881</v>
      </c>
      <c r="AK159" s="1163" t="s">
        <v>881</v>
      </c>
      <c r="AL159" s="1163" t="s">
        <v>881</v>
      </c>
      <c r="AM159" s="1163" t="s">
        <v>881</v>
      </c>
      <c r="AN159" s="1163" t="s">
        <v>881</v>
      </c>
      <c r="AO159" s="1163" t="s">
        <v>881</v>
      </c>
      <c r="AP159" s="1163" t="s">
        <v>881</v>
      </c>
      <c r="AQ159" s="1163" t="s">
        <v>881</v>
      </c>
      <c r="AR159" s="1163" t="s">
        <v>881</v>
      </c>
      <c r="AS159" s="1170" t="s">
        <v>881</v>
      </c>
      <c r="AT159" s="1170" t="s">
        <v>881</v>
      </c>
      <c r="AU159" s="1170" t="s">
        <v>881</v>
      </c>
      <c r="AV159" s="1170" t="s">
        <v>881</v>
      </c>
      <c r="AW159" s="1170" t="s">
        <v>881</v>
      </c>
      <c r="AX159" s="1170" t="s">
        <v>881</v>
      </c>
      <c r="AY159" s="1170" t="s">
        <v>881</v>
      </c>
      <c r="AZ159" s="1170" t="s">
        <v>881</v>
      </c>
      <c r="BA159" s="1170" t="s">
        <v>881</v>
      </c>
      <c r="BB159" s="1163" t="s">
        <v>881</v>
      </c>
      <c r="BC159" s="1163" t="s">
        <v>881</v>
      </c>
      <c r="BD159" s="1163" t="s">
        <v>881</v>
      </c>
      <c r="BE159" s="1163" t="s">
        <v>881</v>
      </c>
      <c r="BF159" s="1163" t="s">
        <v>881</v>
      </c>
      <c r="BG159" s="1163" t="s">
        <v>881</v>
      </c>
      <c r="BH159" s="1163" t="s">
        <v>881</v>
      </c>
      <c r="BI159" s="1163" t="s">
        <v>881</v>
      </c>
      <c r="BJ159" s="1163" t="s">
        <v>881</v>
      </c>
      <c r="BT159" s="579"/>
      <c r="BU159" s="579"/>
      <c r="BV159" s="579"/>
      <c r="BW159" s="579"/>
      <c r="BX159" s="579"/>
      <c r="BY159" s="579"/>
      <c r="BZ159" s="579"/>
      <c r="CA159" s="579"/>
      <c r="CB159" s="579"/>
      <c r="CC159" s="578"/>
      <c r="CD159" s="578"/>
      <c r="CE159" s="578"/>
      <c r="CF159" s="578"/>
      <c r="CG159" s="578"/>
      <c r="CH159" s="578"/>
      <c r="CI159" s="578"/>
      <c r="CJ159" s="578"/>
      <c r="CK159" s="578"/>
      <c r="CL159" s="579"/>
      <c r="CM159" s="579"/>
      <c r="CN159" s="579"/>
      <c r="CO159" s="579"/>
      <c r="CP159" s="579"/>
      <c r="CQ159" s="579"/>
      <c r="CR159" s="579"/>
      <c r="CS159" s="579"/>
      <c r="CT159" s="579"/>
      <c r="CU159" s="578"/>
      <c r="CV159" s="578"/>
      <c r="CW159" s="578"/>
      <c r="CX159" s="578"/>
      <c r="CY159" s="578"/>
      <c r="CZ159" s="578"/>
      <c r="DA159" s="578"/>
      <c r="DB159" s="578"/>
      <c r="DC159" s="578"/>
    </row>
    <row r="160" spans="1:107">
      <c r="A160" s="1167" t="s">
        <v>1186</v>
      </c>
      <c r="B160" s="1167" t="s">
        <v>1185</v>
      </c>
      <c r="C160" s="1166" t="s">
        <v>1030</v>
      </c>
      <c r="D160" s="1166" t="s">
        <v>958</v>
      </c>
      <c r="E160" s="577">
        <v>0.3</v>
      </c>
      <c r="F160" s="574">
        <v>0.60640000000000005</v>
      </c>
      <c r="G160" s="576">
        <v>100</v>
      </c>
      <c r="H160" s="574">
        <v>0.36947680670184696</v>
      </c>
      <c r="I160" s="1164"/>
      <c r="J160" s="575">
        <v>1</v>
      </c>
      <c r="K160" s="574">
        <v>0.74683578528000005</v>
      </c>
      <c r="L160" s="574">
        <v>0.22405073558400002</v>
      </c>
      <c r="M160" s="1164"/>
      <c r="N160" s="1168"/>
      <c r="O160" s="1164"/>
      <c r="P160" s="1163" t="s">
        <v>881</v>
      </c>
      <c r="Q160" s="1164"/>
      <c r="R160" s="1164"/>
      <c r="S160" s="1164"/>
      <c r="T160" s="1164"/>
      <c r="U160" s="1163" t="s">
        <v>881</v>
      </c>
      <c r="V160" s="1164"/>
      <c r="W160" s="1164"/>
      <c r="X160" s="1164"/>
      <c r="Y160" s="1164"/>
      <c r="Z160" s="573">
        <v>0.3</v>
      </c>
      <c r="AA160" s="572">
        <v>0.3</v>
      </c>
      <c r="AB160" s="572">
        <v>0.3</v>
      </c>
      <c r="AC160" s="572">
        <v>0.3</v>
      </c>
      <c r="AD160" s="572">
        <v>0.3</v>
      </c>
      <c r="AE160" s="572">
        <v>0.3</v>
      </c>
      <c r="AF160" s="572">
        <v>0.3</v>
      </c>
      <c r="AG160" s="1164"/>
      <c r="AH160" s="1163">
        <v>65</v>
      </c>
      <c r="AI160" s="1162"/>
      <c r="AJ160" s="1163" t="s">
        <v>881</v>
      </c>
      <c r="AK160" s="1163" t="s">
        <v>881</v>
      </c>
      <c r="AL160" s="1163" t="s">
        <v>881</v>
      </c>
      <c r="AM160" s="1163" t="s">
        <v>881</v>
      </c>
      <c r="AN160" s="1163" t="s">
        <v>881</v>
      </c>
      <c r="AO160" s="1163" t="s">
        <v>881</v>
      </c>
      <c r="AP160" s="1163" t="s">
        <v>881</v>
      </c>
      <c r="AQ160" s="1163" t="s">
        <v>881</v>
      </c>
      <c r="AR160" s="1163" t="s">
        <v>881</v>
      </c>
      <c r="AS160" s="1170" t="s">
        <v>881</v>
      </c>
      <c r="AT160" s="1170" t="s">
        <v>881</v>
      </c>
      <c r="AU160" s="1170" t="s">
        <v>881</v>
      </c>
      <c r="AV160" s="1170" t="s">
        <v>881</v>
      </c>
      <c r="AW160" s="1170" t="s">
        <v>881</v>
      </c>
      <c r="AX160" s="1170" t="s">
        <v>881</v>
      </c>
      <c r="AY160" s="1170" t="s">
        <v>881</v>
      </c>
      <c r="AZ160" s="1170" t="s">
        <v>881</v>
      </c>
      <c r="BA160" s="1170" t="s">
        <v>881</v>
      </c>
      <c r="BB160" s="1163" t="s">
        <v>881</v>
      </c>
      <c r="BC160" s="1163" t="s">
        <v>881</v>
      </c>
      <c r="BD160" s="1163" t="s">
        <v>881</v>
      </c>
      <c r="BE160" s="1163" t="s">
        <v>881</v>
      </c>
      <c r="BF160" s="1163" t="s">
        <v>881</v>
      </c>
      <c r="BG160" s="1163" t="s">
        <v>881</v>
      </c>
      <c r="BH160" s="1163" t="s">
        <v>881</v>
      </c>
      <c r="BI160" s="1163" t="s">
        <v>881</v>
      </c>
      <c r="BJ160" s="1163" t="s">
        <v>881</v>
      </c>
      <c r="BT160" s="579"/>
      <c r="BU160" s="579"/>
      <c r="BV160" s="579"/>
      <c r="BW160" s="579"/>
      <c r="BX160" s="579"/>
      <c r="BY160" s="579"/>
      <c r="BZ160" s="579"/>
      <c r="CA160" s="579"/>
      <c r="CB160" s="579"/>
      <c r="CC160" s="578"/>
      <c r="CD160" s="578"/>
      <c r="CE160" s="578"/>
      <c r="CF160" s="578"/>
      <c r="CG160" s="578"/>
      <c r="CH160" s="578"/>
      <c r="CI160" s="578"/>
      <c r="CJ160" s="578"/>
      <c r="CK160" s="578"/>
      <c r="CL160" s="579"/>
      <c r="CM160" s="579"/>
      <c r="CN160" s="579"/>
      <c r="CO160" s="579"/>
      <c r="CP160" s="579"/>
      <c r="CQ160" s="579"/>
      <c r="CR160" s="579"/>
      <c r="CS160" s="579"/>
      <c r="CT160" s="579"/>
      <c r="CU160" s="578"/>
      <c r="CV160" s="578"/>
      <c r="CW160" s="578"/>
      <c r="CX160" s="578"/>
      <c r="CY160" s="578"/>
      <c r="CZ160" s="578"/>
      <c r="DA160" s="578"/>
      <c r="DB160" s="578"/>
      <c r="DC160" s="578"/>
    </row>
    <row r="161" spans="1:107">
      <c r="A161" s="1167" t="s">
        <v>1184</v>
      </c>
      <c r="B161" s="1167" t="s">
        <v>1183</v>
      </c>
      <c r="C161" s="1166" t="s">
        <v>1030</v>
      </c>
      <c r="D161" s="1166" t="s">
        <v>957</v>
      </c>
      <c r="E161" s="577">
        <v>2</v>
      </c>
      <c r="F161" s="574">
        <v>0.83289999999999997</v>
      </c>
      <c r="G161" s="576">
        <v>100</v>
      </c>
      <c r="H161" s="574">
        <v>0</v>
      </c>
      <c r="I161" s="1164"/>
      <c r="J161" s="575">
        <v>1</v>
      </c>
      <c r="K161" s="574">
        <v>0</v>
      </c>
      <c r="L161" s="574">
        <v>0</v>
      </c>
      <c r="M161" s="1164"/>
      <c r="N161" s="1168"/>
      <c r="O161" s="1164"/>
      <c r="P161" s="1163" t="s">
        <v>881</v>
      </c>
      <c r="Q161" s="1164"/>
      <c r="R161" s="1164"/>
      <c r="S161" s="1164"/>
      <c r="T161" s="1164"/>
      <c r="U161" s="1163" t="s">
        <v>881</v>
      </c>
      <c r="V161" s="1164"/>
      <c r="W161" s="1164"/>
      <c r="X161" s="1164"/>
      <c r="Y161" s="1164"/>
      <c r="Z161" s="573">
        <v>2</v>
      </c>
      <c r="AA161" s="572">
        <v>2</v>
      </c>
      <c r="AB161" s="572">
        <v>2</v>
      </c>
      <c r="AC161" s="572">
        <v>2</v>
      </c>
      <c r="AD161" s="572">
        <v>2</v>
      </c>
      <c r="AE161" s="572">
        <v>2</v>
      </c>
      <c r="AF161" s="572">
        <v>2</v>
      </c>
      <c r="AG161" s="1164"/>
      <c r="AH161" s="1163">
        <v>66</v>
      </c>
      <c r="AI161" s="1162"/>
      <c r="AJ161" s="1163" t="s">
        <v>881</v>
      </c>
      <c r="AK161" s="1163" t="s">
        <v>881</v>
      </c>
      <c r="AL161" s="1163" t="s">
        <v>881</v>
      </c>
      <c r="AM161" s="1163" t="s">
        <v>881</v>
      </c>
      <c r="AN161" s="1163" t="s">
        <v>881</v>
      </c>
      <c r="AO161" s="1163" t="s">
        <v>881</v>
      </c>
      <c r="AP161" s="1163" t="s">
        <v>881</v>
      </c>
      <c r="AQ161" s="1163" t="s">
        <v>881</v>
      </c>
      <c r="AR161" s="1163" t="s">
        <v>881</v>
      </c>
      <c r="AS161" s="1170" t="s">
        <v>881</v>
      </c>
      <c r="AT161" s="1170" t="s">
        <v>881</v>
      </c>
      <c r="AU161" s="1170" t="s">
        <v>881</v>
      </c>
      <c r="AV161" s="1170" t="s">
        <v>881</v>
      </c>
      <c r="AW161" s="1170" t="s">
        <v>881</v>
      </c>
      <c r="AX161" s="1170" t="s">
        <v>881</v>
      </c>
      <c r="AY161" s="1170" t="s">
        <v>881</v>
      </c>
      <c r="AZ161" s="1170" t="s">
        <v>881</v>
      </c>
      <c r="BA161" s="1170" t="s">
        <v>881</v>
      </c>
      <c r="BB161" s="1163" t="s">
        <v>881</v>
      </c>
      <c r="BC161" s="1163" t="s">
        <v>881</v>
      </c>
      <c r="BD161" s="1163" t="s">
        <v>881</v>
      </c>
      <c r="BE161" s="1163" t="s">
        <v>881</v>
      </c>
      <c r="BF161" s="1163" t="s">
        <v>881</v>
      </c>
      <c r="BG161" s="1163" t="s">
        <v>881</v>
      </c>
      <c r="BH161" s="1163" t="s">
        <v>881</v>
      </c>
      <c r="BI161" s="1163" t="s">
        <v>881</v>
      </c>
      <c r="BJ161" s="1163" t="s">
        <v>881</v>
      </c>
      <c r="BT161" s="579"/>
      <c r="BU161" s="579"/>
      <c r="BV161" s="579"/>
      <c r="BW161" s="579"/>
      <c r="BX161" s="579"/>
      <c r="BY161" s="579"/>
      <c r="BZ161" s="579"/>
      <c r="CA161" s="579"/>
      <c r="CB161" s="579"/>
      <c r="CC161" s="578"/>
      <c r="CD161" s="578"/>
      <c r="CE161" s="578"/>
      <c r="CF161" s="578"/>
      <c r="CG161" s="578"/>
      <c r="CH161" s="578"/>
      <c r="CI161" s="578"/>
      <c r="CJ161" s="578"/>
      <c r="CK161" s="578"/>
      <c r="CL161" s="579"/>
      <c r="CM161" s="579"/>
      <c r="CN161" s="579"/>
      <c r="CO161" s="579"/>
      <c r="CP161" s="579"/>
      <c r="CQ161" s="579"/>
      <c r="CR161" s="579"/>
      <c r="CS161" s="579"/>
      <c r="CT161" s="579"/>
      <c r="CU161" s="578"/>
      <c r="CV161" s="578"/>
      <c r="CW161" s="578"/>
      <c r="CX161" s="578"/>
      <c r="CY161" s="578"/>
      <c r="CZ161" s="578"/>
      <c r="DA161" s="578"/>
      <c r="DB161" s="578"/>
      <c r="DC161" s="578"/>
    </row>
    <row r="162" spans="1:107">
      <c r="A162" s="1167" t="s">
        <v>1182</v>
      </c>
      <c r="B162" s="1167" t="s">
        <v>1181</v>
      </c>
      <c r="C162" s="1166" t="s">
        <v>1030</v>
      </c>
      <c r="D162" s="1166" t="s">
        <v>956</v>
      </c>
      <c r="E162" s="577">
        <v>0.9</v>
      </c>
      <c r="F162" s="574">
        <v>0.60340000000000005</v>
      </c>
      <c r="G162" s="576">
        <v>100</v>
      </c>
      <c r="H162" s="574">
        <v>1.1139413436393768</v>
      </c>
      <c r="I162" s="1164"/>
      <c r="J162" s="575">
        <v>1</v>
      </c>
      <c r="K162" s="574">
        <v>0.74683578528000005</v>
      </c>
      <c r="L162" s="574">
        <v>0.67215220675200005</v>
      </c>
      <c r="M162" s="1164"/>
      <c r="N162" s="1168"/>
      <c r="O162" s="1164"/>
      <c r="P162" s="1163" t="s">
        <v>881</v>
      </c>
      <c r="Q162" s="1164"/>
      <c r="R162" s="1164"/>
      <c r="S162" s="1164"/>
      <c r="T162" s="1164"/>
      <c r="U162" s="1163" t="s">
        <v>881</v>
      </c>
      <c r="V162" s="1164"/>
      <c r="W162" s="1164"/>
      <c r="X162" s="1164"/>
      <c r="Y162" s="1164"/>
      <c r="Z162" s="573">
        <v>0.9</v>
      </c>
      <c r="AA162" s="572">
        <v>0.9</v>
      </c>
      <c r="AB162" s="572">
        <v>0.9</v>
      </c>
      <c r="AC162" s="572">
        <v>0.9</v>
      </c>
      <c r="AD162" s="572">
        <v>0.9</v>
      </c>
      <c r="AE162" s="572">
        <v>0.9</v>
      </c>
      <c r="AF162" s="572">
        <v>0.9</v>
      </c>
      <c r="AG162" s="1164"/>
      <c r="AH162" s="1163">
        <v>67</v>
      </c>
      <c r="AI162" s="1162"/>
      <c r="AJ162" s="1163" t="s">
        <v>881</v>
      </c>
      <c r="AK162" s="1163" t="s">
        <v>881</v>
      </c>
      <c r="AL162" s="1163" t="s">
        <v>881</v>
      </c>
      <c r="AM162" s="1163" t="s">
        <v>881</v>
      </c>
      <c r="AN162" s="1163" t="s">
        <v>881</v>
      </c>
      <c r="AO162" s="1163" t="s">
        <v>881</v>
      </c>
      <c r="AP162" s="1163" t="s">
        <v>881</v>
      </c>
      <c r="AQ162" s="1163" t="s">
        <v>881</v>
      </c>
      <c r="AR162" s="1163" t="s">
        <v>881</v>
      </c>
      <c r="AS162" s="1170" t="s">
        <v>881</v>
      </c>
      <c r="AT162" s="1170" t="s">
        <v>881</v>
      </c>
      <c r="AU162" s="1170" t="s">
        <v>881</v>
      </c>
      <c r="AV162" s="1170" t="s">
        <v>881</v>
      </c>
      <c r="AW162" s="1170" t="s">
        <v>881</v>
      </c>
      <c r="AX162" s="1170" t="s">
        <v>881</v>
      </c>
      <c r="AY162" s="1170" t="s">
        <v>881</v>
      </c>
      <c r="AZ162" s="1170" t="s">
        <v>881</v>
      </c>
      <c r="BA162" s="1170" t="s">
        <v>881</v>
      </c>
      <c r="BB162" s="1163" t="s">
        <v>881</v>
      </c>
      <c r="BC162" s="1163" t="s">
        <v>881</v>
      </c>
      <c r="BD162" s="1163" t="s">
        <v>881</v>
      </c>
      <c r="BE162" s="1163" t="s">
        <v>881</v>
      </c>
      <c r="BF162" s="1163" t="s">
        <v>881</v>
      </c>
      <c r="BG162" s="1163" t="s">
        <v>881</v>
      </c>
      <c r="BH162" s="1163" t="s">
        <v>881</v>
      </c>
      <c r="BI162" s="1163" t="s">
        <v>881</v>
      </c>
      <c r="BJ162" s="1163" t="s">
        <v>881</v>
      </c>
      <c r="BT162" s="579"/>
      <c r="BU162" s="579"/>
      <c r="BV162" s="579"/>
      <c r="BW162" s="579"/>
      <c r="BX162" s="579"/>
      <c r="BY162" s="579"/>
      <c r="BZ162" s="579"/>
      <c r="CA162" s="579"/>
      <c r="CB162" s="579"/>
      <c r="CC162" s="578"/>
      <c r="CD162" s="578"/>
      <c r="CE162" s="578"/>
      <c r="CF162" s="578"/>
      <c r="CG162" s="578"/>
      <c r="CH162" s="578"/>
      <c r="CI162" s="578"/>
      <c r="CJ162" s="578"/>
      <c r="CK162" s="578"/>
      <c r="CL162" s="579"/>
      <c r="CM162" s="579"/>
      <c r="CN162" s="579"/>
      <c r="CO162" s="579"/>
      <c r="CP162" s="579"/>
      <c r="CQ162" s="579"/>
      <c r="CR162" s="579"/>
      <c r="CS162" s="579"/>
      <c r="CT162" s="579"/>
      <c r="CU162" s="578"/>
      <c r="CV162" s="578"/>
      <c r="CW162" s="578"/>
      <c r="CX162" s="578"/>
      <c r="CY162" s="578"/>
      <c r="CZ162" s="578"/>
      <c r="DA162" s="578"/>
      <c r="DB162" s="578"/>
      <c r="DC162" s="578"/>
    </row>
    <row r="163" spans="1:107">
      <c r="A163" s="1167" t="s">
        <v>1180</v>
      </c>
      <c r="B163" s="1167" t="s">
        <v>1179</v>
      </c>
      <c r="C163" s="1166" t="s">
        <v>1030</v>
      </c>
      <c r="D163" s="1166" t="s">
        <v>955</v>
      </c>
      <c r="E163" s="577">
        <v>0.8</v>
      </c>
      <c r="F163" s="574">
        <v>0.60940000000000005</v>
      </c>
      <c r="G163" s="576">
        <v>100</v>
      </c>
      <c r="H163" s="574">
        <v>0</v>
      </c>
      <c r="I163" s="1164"/>
      <c r="J163" s="575">
        <v>1</v>
      </c>
      <c r="K163" s="574">
        <v>0</v>
      </c>
      <c r="L163" s="574">
        <v>0</v>
      </c>
      <c r="M163" s="1164"/>
      <c r="N163" s="1168"/>
      <c r="O163" s="1164"/>
      <c r="P163" s="1163" t="s">
        <v>881</v>
      </c>
      <c r="Q163" s="1164"/>
      <c r="R163" s="1164"/>
      <c r="S163" s="1164"/>
      <c r="T163" s="1164"/>
      <c r="U163" s="1163" t="s">
        <v>881</v>
      </c>
      <c r="V163" s="1164"/>
      <c r="W163" s="1164"/>
      <c r="X163" s="1164"/>
      <c r="Y163" s="1164"/>
      <c r="Z163" s="573">
        <v>0.8</v>
      </c>
      <c r="AA163" s="572">
        <v>0.8</v>
      </c>
      <c r="AB163" s="572">
        <v>0.8</v>
      </c>
      <c r="AC163" s="572">
        <v>0.8</v>
      </c>
      <c r="AD163" s="572">
        <v>0.8</v>
      </c>
      <c r="AE163" s="572">
        <v>0.8</v>
      </c>
      <c r="AF163" s="572">
        <v>0.8</v>
      </c>
      <c r="AG163" s="1164"/>
      <c r="AH163" s="1163">
        <v>68</v>
      </c>
      <c r="AI163" s="1162"/>
      <c r="AJ163" s="1163" t="s">
        <v>881</v>
      </c>
      <c r="AK163" s="1163" t="s">
        <v>881</v>
      </c>
      <c r="AL163" s="1163" t="s">
        <v>881</v>
      </c>
      <c r="AM163" s="1163" t="s">
        <v>881</v>
      </c>
      <c r="AN163" s="1163" t="s">
        <v>881</v>
      </c>
      <c r="AO163" s="1163" t="s">
        <v>881</v>
      </c>
      <c r="AP163" s="1163" t="s">
        <v>881</v>
      </c>
      <c r="AQ163" s="1163" t="s">
        <v>881</v>
      </c>
      <c r="AR163" s="1163" t="s">
        <v>881</v>
      </c>
      <c r="AS163" s="1170" t="s">
        <v>881</v>
      </c>
      <c r="AT163" s="1170" t="s">
        <v>881</v>
      </c>
      <c r="AU163" s="1170" t="s">
        <v>881</v>
      </c>
      <c r="AV163" s="1170" t="s">
        <v>881</v>
      </c>
      <c r="AW163" s="1170" t="s">
        <v>881</v>
      </c>
      <c r="AX163" s="1170" t="s">
        <v>881</v>
      </c>
      <c r="AY163" s="1170" t="s">
        <v>881</v>
      </c>
      <c r="AZ163" s="1170" t="s">
        <v>881</v>
      </c>
      <c r="BA163" s="1170" t="s">
        <v>881</v>
      </c>
      <c r="BB163" s="1163" t="s">
        <v>881</v>
      </c>
      <c r="BC163" s="1163" t="s">
        <v>881</v>
      </c>
      <c r="BD163" s="1163" t="s">
        <v>881</v>
      </c>
      <c r="BE163" s="1163" t="s">
        <v>881</v>
      </c>
      <c r="BF163" s="1163" t="s">
        <v>881</v>
      </c>
      <c r="BG163" s="1163" t="s">
        <v>881</v>
      </c>
      <c r="BH163" s="1163" t="s">
        <v>881</v>
      </c>
      <c r="BI163" s="1163" t="s">
        <v>881</v>
      </c>
      <c r="BJ163" s="1163" t="s">
        <v>881</v>
      </c>
      <c r="BK163" s="1170" t="s">
        <v>881</v>
      </c>
      <c r="BL163" s="1170" t="s">
        <v>881</v>
      </c>
      <c r="BM163" s="1170" t="s">
        <v>881</v>
      </c>
      <c r="BN163" s="1170" t="s">
        <v>881</v>
      </c>
      <c r="BO163" s="1170" t="s">
        <v>881</v>
      </c>
      <c r="BP163" s="1170" t="s">
        <v>881</v>
      </c>
      <c r="BQ163" s="1170" t="s">
        <v>881</v>
      </c>
      <c r="BR163" s="1170" t="s">
        <v>881</v>
      </c>
      <c r="BS163" s="1170" t="s">
        <v>881</v>
      </c>
      <c r="BT163" s="579"/>
      <c r="BU163" s="579"/>
      <c r="BV163" s="579"/>
      <c r="BW163" s="579"/>
      <c r="BX163" s="579"/>
      <c r="BY163" s="579"/>
      <c r="BZ163" s="579"/>
      <c r="CA163" s="579"/>
      <c r="CB163" s="579"/>
      <c r="CC163" s="578"/>
      <c r="CD163" s="578"/>
      <c r="CE163" s="578"/>
      <c r="CF163" s="578"/>
      <c r="CG163" s="578"/>
      <c r="CH163" s="578"/>
      <c r="CI163" s="578"/>
      <c r="CJ163" s="578"/>
      <c r="CK163" s="578"/>
      <c r="CL163" s="579"/>
      <c r="CM163" s="579"/>
      <c r="CN163" s="579"/>
      <c r="CO163" s="579"/>
      <c r="CP163" s="579"/>
      <c r="CQ163" s="579"/>
      <c r="CR163" s="579"/>
      <c r="CS163" s="579"/>
      <c r="CT163" s="579"/>
      <c r="CU163" s="578"/>
      <c r="CV163" s="578"/>
      <c r="CW163" s="578"/>
      <c r="CX163" s="578"/>
      <c r="CY163" s="578"/>
      <c r="CZ163" s="578"/>
      <c r="DA163" s="578"/>
      <c r="DB163" s="578"/>
      <c r="DC163" s="578"/>
    </row>
    <row r="164" spans="1:107">
      <c r="A164" s="1167" t="s">
        <v>1178</v>
      </c>
      <c r="B164" s="1167" t="s">
        <v>1177</v>
      </c>
      <c r="C164" s="1166" t="s">
        <v>1030</v>
      </c>
      <c r="D164" s="1166" t="s">
        <v>954</v>
      </c>
      <c r="E164" s="577">
        <v>0.8</v>
      </c>
      <c r="F164" s="574">
        <v>0.65390000000000004</v>
      </c>
      <c r="G164" s="576">
        <v>100</v>
      </c>
      <c r="H164" s="574">
        <v>0</v>
      </c>
      <c r="I164" s="1164"/>
      <c r="J164" s="575">
        <v>1</v>
      </c>
      <c r="K164" s="574">
        <v>0</v>
      </c>
      <c r="L164" s="574">
        <v>0</v>
      </c>
      <c r="M164" s="1164"/>
      <c r="N164" s="1168"/>
      <c r="O164" s="1164"/>
      <c r="P164" s="1163" t="s">
        <v>881</v>
      </c>
      <c r="Q164" s="1164"/>
      <c r="R164" s="1164"/>
      <c r="S164" s="1164"/>
      <c r="T164" s="1164"/>
      <c r="U164" s="1163" t="s">
        <v>881</v>
      </c>
      <c r="V164" s="1164"/>
      <c r="W164" s="1164"/>
      <c r="X164" s="1164"/>
      <c r="Y164" s="1164"/>
      <c r="Z164" s="573">
        <v>0.8</v>
      </c>
      <c r="AA164" s="572">
        <v>0.8</v>
      </c>
      <c r="AB164" s="572">
        <v>0.8</v>
      </c>
      <c r="AC164" s="572">
        <v>0.8</v>
      </c>
      <c r="AD164" s="572">
        <v>0.8</v>
      </c>
      <c r="AE164" s="572">
        <v>0.8</v>
      </c>
      <c r="AF164" s="572">
        <v>0.8</v>
      </c>
      <c r="AG164" s="1164"/>
      <c r="AH164" s="1163">
        <v>69</v>
      </c>
      <c r="AI164" s="1162"/>
      <c r="AJ164" s="1163" t="s">
        <v>881</v>
      </c>
      <c r="AK164" s="1163" t="s">
        <v>881</v>
      </c>
      <c r="AL164" s="1163" t="s">
        <v>881</v>
      </c>
      <c r="AM164" s="1163" t="s">
        <v>881</v>
      </c>
      <c r="AN164" s="1163" t="s">
        <v>881</v>
      </c>
      <c r="AO164" s="1163" t="s">
        <v>881</v>
      </c>
      <c r="AP164" s="1163" t="s">
        <v>881</v>
      </c>
      <c r="AQ164" s="1163" t="s">
        <v>881</v>
      </c>
      <c r="AR164" s="1163" t="s">
        <v>881</v>
      </c>
      <c r="AS164" s="1170" t="s">
        <v>881</v>
      </c>
      <c r="AT164" s="1170" t="s">
        <v>881</v>
      </c>
      <c r="AU164" s="1170" t="s">
        <v>881</v>
      </c>
      <c r="AV164" s="1170" t="s">
        <v>881</v>
      </c>
      <c r="AW164" s="1170" t="s">
        <v>881</v>
      </c>
      <c r="AX164" s="1170" t="s">
        <v>881</v>
      </c>
      <c r="AY164" s="1170" t="s">
        <v>881</v>
      </c>
      <c r="AZ164" s="1170" t="s">
        <v>881</v>
      </c>
      <c r="BA164" s="1170" t="s">
        <v>881</v>
      </c>
      <c r="BB164" s="1163" t="s">
        <v>881</v>
      </c>
      <c r="BC164" s="1163" t="s">
        <v>881</v>
      </c>
      <c r="BD164" s="1163" t="s">
        <v>881</v>
      </c>
      <c r="BE164" s="1163" t="s">
        <v>881</v>
      </c>
      <c r="BF164" s="1163" t="s">
        <v>881</v>
      </c>
      <c r="BG164" s="1163" t="s">
        <v>881</v>
      </c>
      <c r="BH164" s="1163" t="s">
        <v>881</v>
      </c>
      <c r="BI164" s="1163" t="s">
        <v>881</v>
      </c>
      <c r="BJ164" s="1163" t="s">
        <v>881</v>
      </c>
      <c r="BK164" s="1170" t="s">
        <v>881</v>
      </c>
      <c r="BL164" s="1170" t="s">
        <v>881</v>
      </c>
      <c r="BM164" s="1170" t="s">
        <v>881</v>
      </c>
      <c r="BN164" s="1170" t="s">
        <v>881</v>
      </c>
      <c r="BO164" s="1170" t="s">
        <v>881</v>
      </c>
      <c r="BP164" s="1170" t="s">
        <v>881</v>
      </c>
      <c r="BQ164" s="1170" t="s">
        <v>881</v>
      </c>
      <c r="BR164" s="1170" t="s">
        <v>881</v>
      </c>
      <c r="BS164" s="1170" t="s">
        <v>881</v>
      </c>
      <c r="BT164" s="579"/>
      <c r="BU164" s="579"/>
      <c r="BV164" s="579"/>
      <c r="BW164" s="579"/>
      <c r="BX164" s="579"/>
      <c r="BY164" s="579"/>
      <c r="BZ164" s="579"/>
      <c r="CA164" s="579"/>
      <c r="CB164" s="579"/>
      <c r="CC164" s="578"/>
      <c r="CD164" s="578"/>
      <c r="CE164" s="578"/>
      <c r="CF164" s="578"/>
      <c r="CG164" s="578"/>
      <c r="CH164" s="578"/>
      <c r="CI164" s="578"/>
      <c r="CJ164" s="578"/>
      <c r="CK164" s="578"/>
      <c r="CL164" s="579"/>
      <c r="CM164" s="579"/>
      <c r="CN164" s="579"/>
      <c r="CO164" s="579"/>
      <c r="CP164" s="579"/>
      <c r="CQ164" s="579"/>
      <c r="CR164" s="579"/>
      <c r="CS164" s="579"/>
      <c r="CT164" s="579"/>
      <c r="CU164" s="578"/>
      <c r="CV164" s="578"/>
      <c r="CW164" s="578"/>
      <c r="CX164" s="578"/>
      <c r="CY164" s="578"/>
      <c r="CZ164" s="578"/>
      <c r="DA164" s="578"/>
      <c r="DB164" s="578"/>
      <c r="DC164" s="578"/>
    </row>
    <row r="165" spans="1:107">
      <c r="A165" s="1167" t="s">
        <v>1176</v>
      </c>
      <c r="B165" s="1167" t="s">
        <v>1175</v>
      </c>
      <c r="C165" s="1166" t="s">
        <v>1030</v>
      </c>
      <c r="D165" s="1166" t="s">
        <v>953</v>
      </c>
      <c r="E165" s="577">
        <v>0.8</v>
      </c>
      <c r="F165" s="574">
        <v>0.5323</v>
      </c>
      <c r="G165" s="576">
        <v>100</v>
      </c>
      <c r="H165" s="574">
        <v>7.856998680383243</v>
      </c>
      <c r="I165" s="1164"/>
      <c r="J165" s="575">
        <v>1</v>
      </c>
      <c r="K165" s="574">
        <v>5.2278504969600004</v>
      </c>
      <c r="L165" s="574">
        <v>4.1822803975680003</v>
      </c>
      <c r="M165" s="1164"/>
      <c r="N165" s="1168"/>
      <c r="O165" s="1164"/>
      <c r="P165" s="1163" t="s">
        <v>881</v>
      </c>
      <c r="Q165" s="1164"/>
      <c r="R165" s="1164"/>
      <c r="S165" s="1164"/>
      <c r="T165" s="1164"/>
      <c r="U165" s="1163" t="s">
        <v>881</v>
      </c>
      <c r="V165" s="1164"/>
      <c r="W165" s="1164"/>
      <c r="X165" s="1164"/>
      <c r="Y165" s="1164"/>
      <c r="Z165" s="573">
        <v>0.8</v>
      </c>
      <c r="AA165" s="572">
        <v>0.8</v>
      </c>
      <c r="AB165" s="572">
        <v>0.8</v>
      </c>
      <c r="AC165" s="572">
        <v>0.8</v>
      </c>
      <c r="AD165" s="572">
        <v>0.8</v>
      </c>
      <c r="AE165" s="572">
        <v>0.8</v>
      </c>
      <c r="AF165" s="572">
        <v>0.8</v>
      </c>
      <c r="AG165" s="1164"/>
      <c r="AH165" s="1163">
        <v>70</v>
      </c>
      <c r="AI165" s="1162"/>
      <c r="AJ165" s="1163" t="s">
        <v>881</v>
      </c>
      <c r="AK165" s="1163" t="s">
        <v>881</v>
      </c>
      <c r="AL165" s="1163" t="s">
        <v>881</v>
      </c>
      <c r="AM165" s="1163" t="s">
        <v>881</v>
      </c>
      <c r="AN165" s="1163" t="s">
        <v>881</v>
      </c>
      <c r="AO165" s="1163" t="s">
        <v>881</v>
      </c>
      <c r="AP165" s="1163" t="s">
        <v>881</v>
      </c>
      <c r="AQ165" s="1163" t="s">
        <v>881</v>
      </c>
      <c r="AR165" s="1163" t="s">
        <v>881</v>
      </c>
      <c r="AS165" s="1170" t="s">
        <v>881</v>
      </c>
      <c r="AT165" s="1170" t="s">
        <v>881</v>
      </c>
      <c r="AU165" s="1170" t="s">
        <v>881</v>
      </c>
      <c r="AV165" s="1170" t="s">
        <v>881</v>
      </c>
      <c r="AW165" s="1170" t="s">
        <v>881</v>
      </c>
      <c r="AX165" s="1170" t="s">
        <v>881</v>
      </c>
      <c r="AY165" s="1170" t="s">
        <v>881</v>
      </c>
      <c r="AZ165" s="1170" t="s">
        <v>881</v>
      </c>
      <c r="BA165" s="1170" t="s">
        <v>881</v>
      </c>
      <c r="BB165" s="1163" t="s">
        <v>881</v>
      </c>
      <c r="BC165" s="1163" t="s">
        <v>881</v>
      </c>
      <c r="BD165" s="1163" t="s">
        <v>881</v>
      </c>
      <c r="BE165" s="1163" t="s">
        <v>881</v>
      </c>
      <c r="BF165" s="1163" t="s">
        <v>881</v>
      </c>
      <c r="BG165" s="1163" t="s">
        <v>881</v>
      </c>
      <c r="BH165" s="1163" t="s">
        <v>881</v>
      </c>
      <c r="BI165" s="1163" t="s">
        <v>881</v>
      </c>
      <c r="BJ165" s="1163" t="s">
        <v>881</v>
      </c>
      <c r="BK165" s="1170" t="s">
        <v>881</v>
      </c>
      <c r="BL165" s="1170" t="s">
        <v>881</v>
      </c>
      <c r="BM165" s="1170" t="s">
        <v>881</v>
      </c>
      <c r="BN165" s="1170" t="s">
        <v>881</v>
      </c>
      <c r="BO165" s="1170" t="s">
        <v>881</v>
      </c>
      <c r="BP165" s="1170" t="s">
        <v>881</v>
      </c>
      <c r="BQ165" s="1170" t="s">
        <v>881</v>
      </c>
      <c r="BR165" s="1170" t="s">
        <v>881</v>
      </c>
      <c r="BS165" s="1170" t="s">
        <v>881</v>
      </c>
      <c r="BT165" s="579"/>
      <c r="BU165" s="579"/>
      <c r="BV165" s="579"/>
      <c r="BW165" s="579"/>
      <c r="BX165" s="579"/>
      <c r="BY165" s="579"/>
      <c r="BZ165" s="579"/>
      <c r="CA165" s="579"/>
      <c r="CB165" s="579"/>
      <c r="CC165" s="578"/>
      <c r="CD165" s="578"/>
      <c r="CE165" s="578"/>
      <c r="CF165" s="578"/>
      <c r="CG165" s="578"/>
      <c r="CH165" s="578"/>
      <c r="CI165" s="578"/>
      <c r="CJ165" s="578"/>
      <c r="CK165" s="578"/>
      <c r="CL165" s="579"/>
      <c r="CM165" s="579"/>
      <c r="CN165" s="579"/>
      <c r="CO165" s="579"/>
      <c r="CP165" s="579"/>
      <c r="CQ165" s="579"/>
      <c r="CR165" s="579"/>
      <c r="CS165" s="579"/>
      <c r="CT165" s="579"/>
      <c r="CU165" s="578"/>
      <c r="CV165" s="578"/>
      <c r="CW165" s="578"/>
      <c r="CX165" s="578"/>
      <c r="CY165" s="578"/>
      <c r="CZ165" s="578"/>
      <c r="DA165" s="578"/>
      <c r="DB165" s="578"/>
      <c r="DC165" s="578"/>
    </row>
    <row r="166" spans="1:107">
      <c r="A166" s="1167" t="s">
        <v>1174</v>
      </c>
      <c r="B166" s="1167" t="s">
        <v>1173</v>
      </c>
      <c r="C166" s="1166" t="s">
        <v>1030</v>
      </c>
      <c r="D166" s="1166" t="s">
        <v>952</v>
      </c>
      <c r="E166" s="577">
        <v>0.76</v>
      </c>
      <c r="F166" s="574">
        <v>0.6845</v>
      </c>
      <c r="G166" s="576">
        <v>100</v>
      </c>
      <c r="H166" s="574">
        <v>74.629025147044558</v>
      </c>
      <c r="I166" s="1164"/>
      <c r="J166" s="575">
        <v>1</v>
      </c>
      <c r="K166" s="574">
        <v>67.215220675200001</v>
      </c>
      <c r="L166" s="574">
        <v>51.083567713152</v>
      </c>
      <c r="M166" s="1164"/>
      <c r="N166" s="1168"/>
      <c r="O166" s="1164"/>
      <c r="P166" s="1163" t="s">
        <v>881</v>
      </c>
      <c r="Q166" s="1164"/>
      <c r="R166" s="1164"/>
      <c r="S166" s="1164"/>
      <c r="T166" s="1164"/>
      <c r="U166" s="1163" t="s">
        <v>881</v>
      </c>
      <c r="V166" s="1164"/>
      <c r="W166" s="1164"/>
      <c r="X166" s="1164"/>
      <c r="Y166" s="1164"/>
      <c r="Z166" s="573">
        <v>0.76</v>
      </c>
      <c r="AA166" s="572">
        <v>0.76</v>
      </c>
      <c r="AB166" s="572">
        <v>0.76</v>
      </c>
      <c r="AC166" s="572">
        <v>0.76</v>
      </c>
      <c r="AD166" s="572">
        <v>0.76</v>
      </c>
      <c r="AE166" s="572">
        <v>0.76</v>
      </c>
      <c r="AF166" s="572">
        <v>0.76</v>
      </c>
      <c r="AG166" s="1164"/>
      <c r="AH166" s="1163">
        <v>71</v>
      </c>
      <c r="AI166" s="1162"/>
      <c r="AJ166" s="1163" t="s">
        <v>881</v>
      </c>
      <c r="AK166" s="1163" t="s">
        <v>881</v>
      </c>
      <c r="AL166" s="1163" t="s">
        <v>881</v>
      </c>
      <c r="AM166" s="1163" t="s">
        <v>881</v>
      </c>
      <c r="AN166" s="1163" t="s">
        <v>881</v>
      </c>
      <c r="AO166" s="1163" t="s">
        <v>881</v>
      </c>
      <c r="AP166" s="1163" t="s">
        <v>881</v>
      </c>
      <c r="AQ166" s="1163" t="s">
        <v>881</v>
      </c>
      <c r="AR166" s="1163" t="s">
        <v>881</v>
      </c>
      <c r="AS166" s="1170" t="s">
        <v>881</v>
      </c>
      <c r="AT166" s="1170" t="s">
        <v>881</v>
      </c>
      <c r="AU166" s="1170" t="s">
        <v>881</v>
      </c>
      <c r="AV166" s="1170" t="s">
        <v>881</v>
      </c>
      <c r="AW166" s="1170" t="s">
        <v>881</v>
      </c>
      <c r="AX166" s="1170" t="s">
        <v>881</v>
      </c>
      <c r="AY166" s="1170" t="s">
        <v>881</v>
      </c>
      <c r="AZ166" s="1170" t="s">
        <v>881</v>
      </c>
      <c r="BA166" s="1170" t="s">
        <v>881</v>
      </c>
      <c r="BB166" s="1163" t="s">
        <v>881</v>
      </c>
      <c r="BC166" s="1163" t="s">
        <v>881</v>
      </c>
      <c r="BD166" s="1163" t="s">
        <v>881</v>
      </c>
      <c r="BE166" s="1163" t="s">
        <v>881</v>
      </c>
      <c r="BF166" s="1163" t="s">
        <v>881</v>
      </c>
      <c r="BG166" s="1163" t="s">
        <v>881</v>
      </c>
      <c r="BH166" s="1163" t="s">
        <v>881</v>
      </c>
      <c r="BI166" s="1163" t="s">
        <v>881</v>
      </c>
      <c r="BJ166" s="1163" t="s">
        <v>881</v>
      </c>
      <c r="BK166" s="1170" t="s">
        <v>881</v>
      </c>
      <c r="BL166" s="1170" t="s">
        <v>881</v>
      </c>
      <c r="BM166" s="1170" t="s">
        <v>881</v>
      </c>
      <c r="BN166" s="1170" t="s">
        <v>881</v>
      </c>
      <c r="BO166" s="1170" t="s">
        <v>881</v>
      </c>
      <c r="BP166" s="1170" t="s">
        <v>881</v>
      </c>
      <c r="BQ166" s="1170" t="s">
        <v>881</v>
      </c>
      <c r="BR166" s="1170" t="s">
        <v>881</v>
      </c>
      <c r="BS166" s="1170" t="s">
        <v>881</v>
      </c>
      <c r="BT166" s="579"/>
      <c r="BU166" s="579"/>
      <c r="BV166" s="579"/>
      <c r="BW166" s="579"/>
      <c r="BX166" s="579"/>
      <c r="BY166" s="579"/>
      <c r="BZ166" s="579"/>
      <c r="CA166" s="579"/>
      <c r="CB166" s="579"/>
      <c r="CC166" s="578"/>
      <c r="CD166" s="578"/>
      <c r="CE166" s="578"/>
      <c r="CF166" s="578"/>
      <c r="CG166" s="578"/>
      <c r="CH166" s="578"/>
      <c r="CI166" s="578"/>
      <c r="CJ166" s="578"/>
      <c r="CK166" s="578"/>
      <c r="CL166" s="579"/>
      <c r="CM166" s="579"/>
      <c r="CN166" s="579"/>
      <c r="CO166" s="579"/>
      <c r="CP166" s="579"/>
      <c r="CQ166" s="579"/>
      <c r="CR166" s="579"/>
      <c r="CS166" s="579"/>
      <c r="CT166" s="579"/>
      <c r="CU166" s="578"/>
      <c r="CV166" s="578"/>
      <c r="CW166" s="578"/>
      <c r="CX166" s="578"/>
      <c r="CY166" s="578"/>
      <c r="CZ166" s="578"/>
      <c r="DA166" s="578"/>
      <c r="DB166" s="578"/>
      <c r="DC166" s="578"/>
    </row>
    <row r="167" spans="1:107">
      <c r="A167" s="1167" t="s">
        <v>1045</v>
      </c>
      <c r="B167" s="1167"/>
      <c r="C167" s="1166"/>
      <c r="D167" s="1166" t="s">
        <v>124</v>
      </c>
      <c r="E167" s="577"/>
      <c r="F167" s="574">
        <v>0</v>
      </c>
      <c r="G167" s="576"/>
      <c r="H167" s="574"/>
      <c r="I167" s="1164"/>
      <c r="J167" s="575"/>
      <c r="K167" s="574"/>
      <c r="L167" s="574"/>
      <c r="M167" s="1164"/>
      <c r="N167" s="1168"/>
      <c r="O167" s="1164"/>
      <c r="P167" s="1163" t="s">
        <v>881</v>
      </c>
      <c r="Q167" s="1164"/>
      <c r="R167" s="1164"/>
      <c r="S167" s="1164"/>
      <c r="T167" s="1164"/>
      <c r="U167" s="1163" t="s">
        <v>881</v>
      </c>
      <c r="V167" s="1164"/>
      <c r="W167" s="1164"/>
      <c r="X167" s="1164"/>
      <c r="Y167" s="1164"/>
      <c r="Z167" s="1163" t="s">
        <v>881</v>
      </c>
      <c r="AA167" s="1164"/>
      <c r="AB167" s="1164"/>
      <c r="AC167" s="1164"/>
      <c r="AD167" s="1164"/>
      <c r="AE167" s="1164"/>
      <c r="AF167" s="1164"/>
      <c r="AG167" s="1164"/>
      <c r="AH167" s="1163">
        <v>72</v>
      </c>
      <c r="AI167" s="1162"/>
      <c r="AJ167" s="1163" t="s">
        <v>881</v>
      </c>
      <c r="AK167" s="1163" t="s">
        <v>881</v>
      </c>
      <c r="AL167" s="1163" t="s">
        <v>881</v>
      </c>
      <c r="AM167" s="1163" t="s">
        <v>881</v>
      </c>
      <c r="AN167" s="1163" t="s">
        <v>881</v>
      </c>
      <c r="AO167" s="1163" t="s">
        <v>881</v>
      </c>
      <c r="AP167" s="1163" t="s">
        <v>881</v>
      </c>
      <c r="AQ167" s="1163" t="s">
        <v>881</v>
      </c>
      <c r="AR167" s="1163" t="s">
        <v>881</v>
      </c>
      <c r="AS167" s="1170" t="s">
        <v>881</v>
      </c>
      <c r="AT167" s="1170" t="s">
        <v>881</v>
      </c>
      <c r="AU167" s="1170" t="s">
        <v>881</v>
      </c>
      <c r="AV167" s="1170" t="s">
        <v>881</v>
      </c>
      <c r="AW167" s="1170" t="s">
        <v>881</v>
      </c>
      <c r="AX167" s="1170" t="s">
        <v>881</v>
      </c>
      <c r="AY167" s="1170" t="s">
        <v>881</v>
      </c>
      <c r="AZ167" s="1170" t="s">
        <v>881</v>
      </c>
      <c r="BA167" s="1170" t="s">
        <v>881</v>
      </c>
      <c r="BB167" s="1163" t="s">
        <v>881</v>
      </c>
      <c r="BC167" s="1163" t="s">
        <v>881</v>
      </c>
      <c r="BD167" s="1163" t="s">
        <v>881</v>
      </c>
      <c r="BE167" s="1163" t="s">
        <v>881</v>
      </c>
      <c r="BF167" s="1163" t="s">
        <v>881</v>
      </c>
      <c r="BG167" s="1163" t="s">
        <v>881</v>
      </c>
      <c r="BH167" s="1163" t="s">
        <v>881</v>
      </c>
      <c r="BI167" s="1163" t="s">
        <v>881</v>
      </c>
      <c r="BJ167" s="1163" t="s">
        <v>881</v>
      </c>
      <c r="BK167" s="1170" t="s">
        <v>881</v>
      </c>
      <c r="BL167" s="1170" t="s">
        <v>881</v>
      </c>
      <c r="BM167" s="1170" t="s">
        <v>881</v>
      </c>
      <c r="BN167" s="1170" t="s">
        <v>881</v>
      </c>
      <c r="BO167" s="1170" t="s">
        <v>881</v>
      </c>
      <c r="BP167" s="1170" t="s">
        <v>881</v>
      </c>
      <c r="BQ167" s="1170" t="s">
        <v>881</v>
      </c>
      <c r="BR167" s="1170" t="s">
        <v>881</v>
      </c>
      <c r="BS167" s="1170" t="s">
        <v>881</v>
      </c>
      <c r="BT167" s="587"/>
      <c r="BU167" s="587"/>
      <c r="BV167" s="587"/>
      <c r="BW167" s="587"/>
      <c r="BX167" s="587"/>
      <c r="BY167" s="587"/>
      <c r="BZ167" s="587"/>
      <c r="CA167" s="587"/>
      <c r="CB167" s="587"/>
      <c r="CC167" s="578"/>
      <c r="CD167" s="578"/>
      <c r="CE167" s="578"/>
      <c r="CF167" s="578"/>
      <c r="CG167" s="578"/>
      <c r="CH167" s="578"/>
      <c r="CI167" s="578"/>
      <c r="CJ167" s="578"/>
      <c r="CK167" s="578"/>
      <c r="CL167" s="587"/>
      <c r="CM167" s="587"/>
      <c r="CN167" s="587"/>
      <c r="CO167" s="587"/>
      <c r="CP167" s="587"/>
      <c r="CQ167" s="587"/>
      <c r="CR167" s="587"/>
      <c r="CS167" s="587"/>
      <c r="CT167" s="587"/>
      <c r="CU167" s="586"/>
      <c r="CV167" s="586"/>
      <c r="CW167" s="586"/>
      <c r="CX167" s="586"/>
      <c r="CY167" s="586"/>
      <c r="CZ167" s="586"/>
      <c r="DA167" s="586"/>
      <c r="DB167" s="586"/>
      <c r="DC167" s="586"/>
    </row>
    <row r="168" spans="1:107">
      <c r="A168" s="1167" t="s">
        <v>1172</v>
      </c>
      <c r="B168" s="1167" t="s">
        <v>1171</v>
      </c>
      <c r="C168" s="1166" t="s">
        <v>1042</v>
      </c>
      <c r="D168" s="1166" t="s">
        <v>951</v>
      </c>
      <c r="E168" s="577">
        <v>0.64</v>
      </c>
      <c r="F168" s="574">
        <v>0.56299999999999994</v>
      </c>
      <c r="G168" s="576">
        <v>100</v>
      </c>
      <c r="H168" s="574">
        <v>0.92078152753108333</v>
      </c>
      <c r="I168" s="1164"/>
      <c r="J168" s="575">
        <v>1</v>
      </c>
      <c r="K168" s="574">
        <v>0.80999999999999972</v>
      </c>
      <c r="L168" s="574">
        <v>0.51839999999999986</v>
      </c>
      <c r="M168" s="1164"/>
      <c r="N168" s="1168"/>
      <c r="O168" s="1164"/>
      <c r="P168" s="1160">
        <v>1</v>
      </c>
      <c r="Q168" s="572">
        <v>1</v>
      </c>
      <c r="R168" s="572">
        <v>1</v>
      </c>
      <c r="S168" s="572">
        <v>1</v>
      </c>
      <c r="T168" s="1164"/>
      <c r="U168" s="573">
        <v>1</v>
      </c>
      <c r="V168" s="572">
        <v>0.6</v>
      </c>
      <c r="W168" s="572">
        <v>0.4</v>
      </c>
      <c r="X168" s="572">
        <v>0.2</v>
      </c>
      <c r="Y168" s="1164"/>
      <c r="Z168" s="573">
        <v>0.64</v>
      </c>
      <c r="AA168" s="572">
        <v>0.64</v>
      </c>
      <c r="AB168" s="572">
        <v>0.64</v>
      </c>
      <c r="AC168" s="572">
        <v>0.64</v>
      </c>
      <c r="AD168" s="572">
        <v>0.64</v>
      </c>
      <c r="AE168" s="572">
        <v>0.64</v>
      </c>
      <c r="AF168" s="572">
        <v>0.64</v>
      </c>
      <c r="AG168" s="1164"/>
      <c r="AH168" s="1163">
        <v>73</v>
      </c>
      <c r="AI168" s="1162" t="str">
        <f t="shared" ref="AI168:AI173" si="22">MID(D168,2,3)&amp;RIGHT(C168,3)</f>
        <v>NFSCOA</v>
      </c>
      <c r="AJ168" s="1160">
        <f t="shared" ref="AJ168:AR168" si="23">MAX(0,1-SUM(AJ169:AJ173))</f>
        <v>1</v>
      </c>
      <c r="AK168" s="1160">
        <f t="shared" si="23"/>
        <v>1</v>
      </c>
      <c r="AL168" s="1160">
        <f t="shared" si="23"/>
        <v>1</v>
      </c>
      <c r="AM168" s="1160">
        <f t="shared" si="23"/>
        <v>1</v>
      </c>
      <c r="AN168" s="1160">
        <f t="shared" si="23"/>
        <v>1</v>
      </c>
      <c r="AO168" s="1160">
        <f t="shared" si="23"/>
        <v>1</v>
      </c>
      <c r="AP168" s="1160">
        <f t="shared" si="23"/>
        <v>1</v>
      </c>
      <c r="AQ168" s="1160">
        <f t="shared" si="23"/>
        <v>1</v>
      </c>
      <c r="AR168" s="1160">
        <f t="shared" si="23"/>
        <v>1</v>
      </c>
      <c r="AS168" s="1159">
        <v>1</v>
      </c>
      <c r="AT168" s="1159">
        <v>1</v>
      </c>
      <c r="AU168" s="1159">
        <v>1</v>
      </c>
      <c r="AV168" s="1159">
        <v>1</v>
      </c>
      <c r="AW168" s="1159">
        <v>1</v>
      </c>
      <c r="AX168" s="1159">
        <v>1</v>
      </c>
      <c r="AY168" s="1159">
        <v>1</v>
      </c>
      <c r="AZ168" s="1159">
        <v>1</v>
      </c>
      <c r="BA168" s="1159">
        <v>1</v>
      </c>
      <c r="BB168" s="1160">
        <v>1</v>
      </c>
      <c r="BC168" s="1160">
        <v>1</v>
      </c>
      <c r="BD168" s="1160">
        <v>1</v>
      </c>
      <c r="BE168" s="1160">
        <v>1</v>
      </c>
      <c r="BF168" s="1160">
        <v>1</v>
      </c>
      <c r="BG168" s="1160">
        <v>1</v>
      </c>
      <c r="BH168" s="1160">
        <v>1</v>
      </c>
      <c r="BI168" s="1160">
        <v>1</v>
      </c>
      <c r="BJ168" s="1160">
        <v>1</v>
      </c>
      <c r="BK168" s="1159">
        <v>1</v>
      </c>
      <c r="BL168" s="1159">
        <v>1</v>
      </c>
      <c r="BM168" s="1159">
        <v>1</v>
      </c>
      <c r="BN168" s="1159">
        <v>1</v>
      </c>
      <c r="BO168" s="1159">
        <v>1</v>
      </c>
      <c r="BP168" s="1159">
        <v>1</v>
      </c>
      <c r="BQ168" s="1159">
        <v>1</v>
      </c>
      <c r="BR168" s="1159">
        <v>1</v>
      </c>
      <c r="BS168" s="1159">
        <v>1</v>
      </c>
      <c r="BT168" s="579">
        <f t="array" ref="BT168">$Z168  * (1 + SUM( ($AU$80:$AU$83=BT$93) * ($BH$79:$BP$79=BT$94) * ($BH$80:$BP$83) ))</f>
        <v>0.64022400510231114</v>
      </c>
      <c r="BU168" s="579">
        <f t="array" ref="BU168">$Z168  * (1 + SUM( ($AU$80:$AU$83=BU$93) * ($BH$79:$BP$79=BU$94) * ($BH$80:$BP$83) ))</f>
        <v>0.64069135279104783</v>
      </c>
      <c r="BV168" s="579">
        <f t="array" ref="BV168">$Z168  * (1 + SUM( ($AU$80:$AU$83=BV$93) * ($BH$79:$BP$79=BV$94) * ($BH$80:$BP$83) ))</f>
        <v>0.64144256593763005</v>
      </c>
      <c r="BW168" s="579">
        <f t="array" ref="BW168">$Z168  * (1 + SUM( ($AU$80:$AU$83=BW$93) * ($BH$79:$BP$79=BW$94) * ($BH$80:$BP$83) ))</f>
        <v>0.64248678290760342</v>
      </c>
      <c r="BX168" s="579">
        <f t="array" ref="BX168">$Z168  * (1 + SUM( ($AU$80:$AU$83=BX$93) * ($BH$79:$BP$79=BX$94) * ($BH$80:$BP$83) ))</f>
        <v>0.64367912468360744</v>
      </c>
      <c r="BY168" s="579">
        <f t="array" ref="BY168">$Z168  * (1 + SUM( ($AU$80:$AU$83=BY$93) * ($BH$79:$BP$79=BY$94) * ($BH$80:$BP$83) ))</f>
        <v>0.64476988832074622</v>
      </c>
      <c r="BZ168" s="579">
        <f t="array" ref="BZ168">$Z168  * (1 + SUM( ($AU$80:$AU$83=BZ$93) * ($BH$79:$BP$79=BZ$94) * ($BH$80:$BP$83) ))</f>
        <v>0.64558309357480281</v>
      </c>
      <c r="CA168" s="579">
        <f t="array" ref="CA168">$Z168  * (1 + SUM( ($AU$80:$AU$83=CA$93) * ($BH$79:$BP$79=CA$94) * ($BH$80:$BP$83) ))</f>
        <v>0.6461016007575977</v>
      </c>
      <c r="CB168" s="579">
        <f t="array" ref="CB168">$Z168  * (1 + SUM( ($AU$80:$AU$83=CB$93) * ($BH$79:$BP$79=CB$94) * ($BH$80:$BP$83) ))</f>
        <v>0.64639999999999997</v>
      </c>
      <c r="CC168" s="578">
        <f t="array" ref="CC168">$Z168  * (1 + SUM( ($AU$80:$AU$83=CC$93) * ($BH$79:$BP$79=CC$94) * ($BH$80:$BP$83) ))</f>
        <v>0.6433600765346662</v>
      </c>
      <c r="CD168" s="578">
        <f t="array" ref="CD168">$Z168  * (1 + SUM( ($AU$80:$AU$83=CD$93) * ($BH$79:$BP$79=CD$94) * ($BH$80:$BP$83) ))</f>
        <v>0.65037029186571771</v>
      </c>
      <c r="CE168" s="578">
        <f t="array" ref="CE168">$Z168  * (1 + SUM( ($AU$80:$AU$83=CE$93) * ($BH$79:$BP$79=CE$94) * ($BH$80:$BP$83) ))</f>
        <v>0.66163848906445089</v>
      </c>
      <c r="CF168" s="578">
        <f t="array" ref="CF168">$Z168  * (1 + SUM( ($AU$80:$AU$83=CF$93) * ($BH$79:$BP$79=CF$94) * ($BH$80:$BP$83) ))</f>
        <v>0.67730174361405104</v>
      </c>
      <c r="CG168" s="578">
        <f t="array" ref="CG168">$Z168  * (1 + SUM( ($AU$80:$AU$83=CG$93) * ($BH$79:$BP$79=CG$94) * ($BH$80:$BP$83) ))</f>
        <v>0.69518687025411108</v>
      </c>
      <c r="CH168" s="578">
        <f t="array" ref="CH168">$Z168  * (1 + SUM( ($AU$80:$AU$83=CH$93) * ($BH$79:$BP$79=CH$94) * ($BH$80:$BP$83) ))</f>
        <v>0.7115483248111929</v>
      </c>
      <c r="CI168" s="578">
        <f t="array" ref="CI168">$Z168  * (1 + SUM( ($AU$80:$AU$83=CI$93) * ($BH$79:$BP$79=CI$94) * ($BH$80:$BP$83) ))</f>
        <v>0.72374640362204334</v>
      </c>
      <c r="CJ168" s="578">
        <f t="array" ref="CJ168">$Z168  * (1 + SUM( ($AU$80:$AU$83=CJ$93) * ($BH$79:$BP$79=CJ$94) * ($BH$80:$BP$83) ))</f>
        <v>0.73152401136396494</v>
      </c>
      <c r="CK168" s="578">
        <f t="array" ref="CK168">$Z168  * (1 + SUM( ($AU$80:$AU$83=CK$93) * ($BH$79:$BP$79=CK$94) * ($BH$80:$BP$83) ))</f>
        <v>0.73599999999999999</v>
      </c>
      <c r="CL168" s="579">
        <f t="array" ref="CL168">$Z168  * (1 + SUM( ($AU$80:$AU$83=CL$93) * ($BH$79:$BP$79=CL$94) * ($BH$80:$BP$83) ))</f>
        <v>0.6467201530693325</v>
      </c>
      <c r="CM168" s="579">
        <f t="array" ref="CM168">$Z168  * (1 + SUM( ($AU$80:$AU$83=CM$93) * ($BH$79:$BP$79=CM$94) * ($BH$80:$BP$83) ))</f>
        <v>0.66074058373143563</v>
      </c>
      <c r="CN168" s="579">
        <f t="array" ref="CN168">$Z168  * (1 + SUM( ($AU$80:$AU$83=CN$93) * ($BH$79:$BP$79=CN$94) * ($BH$80:$BP$83) ))</f>
        <v>0.68327697812890165</v>
      </c>
      <c r="CO168" s="579">
        <f t="array" ref="CO168">$Z168  * (1 + SUM( ($AU$80:$AU$83=CO$93) * ($BH$79:$BP$79=CO$94) * ($BH$80:$BP$83) ))</f>
        <v>0.71460348722810196</v>
      </c>
      <c r="CP168" s="579">
        <f t="array" ref="CP168">$Z168  * (1 + SUM( ($AU$80:$AU$83=CP$93) * ($BH$79:$BP$79=CP$94) * ($BH$80:$BP$83) ))</f>
        <v>0.75037374050822236</v>
      </c>
      <c r="CQ168" s="579">
        <f t="array" ref="CQ168">$Z168  * (1 + SUM( ($AU$80:$AU$83=CQ$93) * ($BH$79:$BP$79=CQ$94) * ($BH$80:$BP$83) ))</f>
        <v>0.78309664962238568</v>
      </c>
      <c r="CR168" s="579">
        <f t="array" ref="CR168">$Z168  * (1 + SUM( ($AU$80:$AU$83=CR$93) * ($BH$79:$BP$79=CR$94) * ($BH$80:$BP$83) ))</f>
        <v>0.80749280724408679</v>
      </c>
      <c r="CS168" s="579">
        <f t="array" ref="CS168">$Z168  * (1 + SUM( ($AU$80:$AU$83=CS$93) * ($BH$79:$BP$79=CS$94) * ($BH$80:$BP$83) ))</f>
        <v>0.82304802272792987</v>
      </c>
      <c r="CT168" s="579">
        <f t="array" ref="CT168">$Z168  * (1 + SUM( ($AU$80:$AU$83=CT$93) * ($BH$79:$BP$79=CT$94) * ($BH$80:$BP$83) ))</f>
        <v>0.83200000000000007</v>
      </c>
      <c r="CU168" s="578">
        <f t="array" ref="CU168">$Z168  * (1 + SUM( ($AU$80:$AU$83=CU$93) * ($BH$79:$BP$79=CU$94) * ($BH$80:$BP$83) ))</f>
        <v>0.64896020409244326</v>
      </c>
      <c r="CV168" s="578">
        <f t="array" ref="CV168">$Z168  * (1 + SUM( ($AU$80:$AU$83=CV$93) * ($BH$79:$BP$79=CV$94) * ($BH$80:$BP$83) ))</f>
        <v>0.66765411164191402</v>
      </c>
      <c r="CW168" s="578">
        <f t="array" ref="CW168">$Z168  * (1 + SUM( ($AU$80:$AU$83=CW$93) * ($BH$79:$BP$79=CW$94) * ($BH$80:$BP$83) ))</f>
        <v>0.69770263750520212</v>
      </c>
      <c r="CX168" s="578">
        <f t="array" ref="CX168">$Z168  * (1 + SUM( ($AU$80:$AU$83=CX$93) * ($BH$79:$BP$79=CX$94) * ($BH$80:$BP$83) ))</f>
        <v>0.73947131630413609</v>
      </c>
      <c r="CY168" s="578">
        <f t="array" ref="CY168">$Z168  * (1 + SUM( ($AU$80:$AU$83=CY$93) * ($BH$79:$BP$79=CY$94) * ($BH$80:$BP$83) ))</f>
        <v>0.78716498734429652</v>
      </c>
      <c r="CZ168" s="578">
        <f t="array" ref="CZ168">$Z168  * (1 + SUM( ($AU$80:$AU$83=CZ$93) * ($BH$79:$BP$79=CZ$94) * ($BH$80:$BP$83) ))</f>
        <v>0.83079553282984764</v>
      </c>
      <c r="DA168" s="578">
        <f t="array" ref="DA168">$Z168  * (1 + SUM( ($AU$80:$AU$83=DA$93) * ($BH$79:$BP$79=DA$94) * ($BH$80:$BP$83) ))</f>
        <v>0.86332374299211578</v>
      </c>
      <c r="DB168" s="578">
        <f t="array" ref="DB168">$Z168  * (1 + SUM( ($AU$80:$AU$83=DB$93) * ($BH$79:$BP$79=DB$94) * ($BH$80:$BP$83) ))</f>
        <v>0.88406403030390646</v>
      </c>
      <c r="DC168" s="578">
        <f t="array" ref="DC168">$Z168  * (1 + SUM( ($AU$80:$AU$83=DC$93) * ($BH$79:$BP$79=DC$94) * ($BH$80:$BP$83) ))</f>
        <v>0.89599999999999991</v>
      </c>
    </row>
    <row r="169" spans="1:107">
      <c r="A169" s="1167" t="s">
        <v>1170</v>
      </c>
      <c r="B169" s="1167" t="s">
        <v>1169</v>
      </c>
      <c r="C169" s="1166" t="s">
        <v>1039</v>
      </c>
      <c r="D169" s="1166" t="s">
        <v>951</v>
      </c>
      <c r="E169" s="577">
        <v>0.72</v>
      </c>
      <c r="F169" s="574">
        <v>0.56299999999999994</v>
      </c>
      <c r="G169" s="576">
        <v>100</v>
      </c>
      <c r="H169" s="574">
        <v>0</v>
      </c>
      <c r="I169" s="1164"/>
      <c r="J169" s="575">
        <v>1</v>
      </c>
      <c r="K169" s="574">
        <v>0</v>
      </c>
      <c r="L169" s="574">
        <v>0</v>
      </c>
      <c r="M169" s="1164"/>
      <c r="N169" s="1168"/>
      <c r="O169" s="1164"/>
      <c r="P169" s="1160">
        <v>0</v>
      </c>
      <c r="Q169" s="572">
        <v>0.05</v>
      </c>
      <c r="R169" s="572">
        <v>0.25</v>
      </c>
      <c r="S169" s="572">
        <v>0.5</v>
      </c>
      <c r="T169" s="1164"/>
      <c r="U169" s="573">
        <v>0</v>
      </c>
      <c r="V169" s="572">
        <v>0</v>
      </c>
      <c r="W169" s="572">
        <v>0</v>
      </c>
      <c r="X169" s="572">
        <v>0</v>
      </c>
      <c r="Y169" s="1164"/>
      <c r="Z169" s="573">
        <v>0.72</v>
      </c>
      <c r="AA169" s="572">
        <v>0.72</v>
      </c>
      <c r="AB169" s="572">
        <v>0.72</v>
      </c>
      <c r="AC169" s="572">
        <v>0.72</v>
      </c>
      <c r="AD169" s="572">
        <v>0.72</v>
      </c>
      <c r="AE169" s="572">
        <v>0.72</v>
      </c>
      <c r="AF169" s="572">
        <v>0.72</v>
      </c>
      <c r="AG169" s="1164"/>
      <c r="AH169" s="1163">
        <v>74</v>
      </c>
      <c r="AI169" s="1162" t="str">
        <f t="shared" si="22"/>
        <v>NFSGAS</v>
      </c>
      <c r="AJ169" s="1160">
        <v>0</v>
      </c>
      <c r="AK169" s="1160">
        <v>0</v>
      </c>
      <c r="AL169" s="1160">
        <v>0</v>
      </c>
      <c r="AM169" s="1160">
        <v>0</v>
      </c>
      <c r="AN169" s="1160">
        <v>0</v>
      </c>
      <c r="AO169" s="1160">
        <v>0</v>
      </c>
      <c r="AP169" s="1160">
        <v>0</v>
      </c>
      <c r="AQ169" s="1160">
        <v>0</v>
      </c>
      <c r="AR169" s="1160">
        <v>0</v>
      </c>
      <c r="AS169" s="1181">
        <v>0</v>
      </c>
      <c r="AT169" s="1181">
        <v>0</v>
      </c>
      <c r="AU169" s="1181">
        <v>0</v>
      </c>
      <c r="AV169" s="1181">
        <v>0</v>
      </c>
      <c r="AW169" s="1181">
        <v>0</v>
      </c>
      <c r="AX169" s="1181">
        <v>0</v>
      </c>
      <c r="AY169" s="1181">
        <v>0</v>
      </c>
      <c r="AZ169" s="1181">
        <v>0</v>
      </c>
      <c r="BA169" s="1181">
        <v>0</v>
      </c>
      <c r="BB169" s="1160">
        <v>0</v>
      </c>
      <c r="BC169" s="1160">
        <v>0</v>
      </c>
      <c r="BD169" s="1160">
        <v>0</v>
      </c>
      <c r="BE169" s="1160">
        <v>0</v>
      </c>
      <c r="BF169" s="1160">
        <v>0</v>
      </c>
      <c r="BG169" s="1160">
        <v>0</v>
      </c>
      <c r="BH169" s="1160">
        <v>0</v>
      </c>
      <c r="BI169" s="1160">
        <v>0</v>
      </c>
      <c r="BJ169" s="1160">
        <v>0</v>
      </c>
      <c r="BK169" s="1159">
        <v>0</v>
      </c>
      <c r="BL169" s="1159">
        <v>0</v>
      </c>
      <c r="BM169" s="1159">
        <v>0</v>
      </c>
      <c r="BN169" s="1159">
        <v>0</v>
      </c>
      <c r="BO169" s="1159">
        <v>0</v>
      </c>
      <c r="BP169" s="1159">
        <v>0</v>
      </c>
      <c r="BQ169" s="1159">
        <v>0</v>
      </c>
      <c r="BR169" s="1159">
        <v>0</v>
      </c>
      <c r="BS169" s="1159">
        <v>0</v>
      </c>
      <c r="BT169" s="579">
        <f t="array" ref="BT169">$Z169  * (1 + SUM( ($AU$80:$AU$83=BT$93) * ($BH$79:$BP$79=BT$94) * ($BH$80:$BP$83) ))</f>
        <v>0.72025200574009995</v>
      </c>
      <c r="BU169" s="579">
        <f t="array" ref="BU169">$Z169  * (1 + SUM( ($AU$80:$AU$83=BU$93) * ($BH$79:$BP$79=BU$94) * ($BH$80:$BP$83) ))</f>
        <v>0.72077777188992875</v>
      </c>
      <c r="BV169" s="579">
        <f t="array" ref="BV169">$Z169  * (1 + SUM( ($AU$80:$AU$83=BV$93) * ($BH$79:$BP$79=BV$94) * ($BH$80:$BP$83) ))</f>
        <v>0.72162288667983376</v>
      </c>
      <c r="BW169" s="579">
        <f t="array" ref="BW169">$Z169  * (1 + SUM( ($AU$80:$AU$83=BW$93) * ($BH$79:$BP$79=BW$94) * ($BH$80:$BP$83) ))</f>
        <v>0.72279763077105375</v>
      </c>
      <c r="BX169" s="579">
        <f t="array" ref="BX169">$Z169  * (1 + SUM( ($AU$80:$AU$83=BX$93) * ($BH$79:$BP$79=BX$94) * ($BH$80:$BP$83) ))</f>
        <v>0.72413901526905833</v>
      </c>
      <c r="BY169" s="579">
        <f t="array" ref="BY169">$Z169  * (1 + SUM( ($AU$80:$AU$83=BY$93) * ($BH$79:$BP$79=BY$94) * ($BH$80:$BP$83) ))</f>
        <v>0.72536612436083947</v>
      </c>
      <c r="BZ169" s="579">
        <f t="array" ref="BZ169">$Z169  * (1 + SUM( ($AU$80:$AU$83=BZ$93) * ($BH$79:$BP$79=BZ$94) * ($BH$80:$BP$83) ))</f>
        <v>0.72628098027165311</v>
      </c>
      <c r="CA169" s="579">
        <f t="array" ref="CA169">$Z169  * (1 + SUM( ($AU$80:$AU$83=CA$93) * ($BH$79:$BP$79=CA$94) * ($BH$80:$BP$83) ))</f>
        <v>0.72686430085229736</v>
      </c>
      <c r="CB169" s="579">
        <f t="array" ref="CB169">$Z169  * (1 + SUM( ($AU$80:$AU$83=CB$93) * ($BH$79:$BP$79=CB$94) * ($BH$80:$BP$83) ))</f>
        <v>0.72719999999999996</v>
      </c>
      <c r="CC169" s="578">
        <f t="array" ref="CC169">$Z169  * (1 + SUM( ($AU$80:$AU$83=CC$93) * ($BH$79:$BP$79=CC$94) * ($BH$80:$BP$83) ))</f>
        <v>0.72378008610149946</v>
      </c>
      <c r="CD169" s="578">
        <f t="array" ref="CD169">$Z169  * (1 + SUM( ($AU$80:$AU$83=CD$93) * ($BH$79:$BP$79=CD$94) * ($BH$80:$BP$83) ))</f>
        <v>0.73166657834893245</v>
      </c>
      <c r="CE169" s="578">
        <f t="array" ref="CE169">$Z169  * (1 + SUM( ($AU$80:$AU$83=CE$93) * ($BH$79:$BP$79=CE$94) * ($BH$80:$BP$83) ))</f>
        <v>0.74434330019750716</v>
      </c>
      <c r="CF169" s="578">
        <f t="array" ref="CF169">$Z169  * (1 + SUM( ($AU$80:$AU$83=CF$93) * ($BH$79:$BP$79=CF$94) * ($BH$80:$BP$83) ))</f>
        <v>0.76196446156580744</v>
      </c>
      <c r="CG169" s="578">
        <f t="array" ref="CG169">$Z169  * (1 + SUM( ($AU$80:$AU$83=CG$93) * ($BH$79:$BP$79=CG$94) * ($BH$80:$BP$83) ))</f>
        <v>0.78208522903587496</v>
      </c>
      <c r="CH169" s="578">
        <f t="array" ref="CH169">$Z169  * (1 + SUM( ($AU$80:$AU$83=CH$93) * ($BH$79:$BP$79=CH$94) * ($BH$80:$BP$83) ))</f>
        <v>0.80049186541259199</v>
      </c>
      <c r="CI169" s="578">
        <f t="array" ref="CI169">$Z169  * (1 + SUM( ($AU$80:$AU$83=CI$93) * ($BH$79:$BP$79=CI$94) * ($BH$80:$BP$83) ))</f>
        <v>0.81421470407479868</v>
      </c>
      <c r="CJ169" s="578">
        <f t="array" ref="CJ169">$Z169  * (1 + SUM( ($AU$80:$AU$83=CJ$93) * ($BH$79:$BP$79=CJ$94) * ($BH$80:$BP$83) ))</f>
        <v>0.82296451278446048</v>
      </c>
      <c r="CK169" s="578">
        <f t="array" ref="CK169">$Z169  * (1 + SUM( ($AU$80:$AU$83=CK$93) * ($BH$79:$BP$79=CK$94) * ($BH$80:$BP$83) ))</f>
        <v>0.82799999999999996</v>
      </c>
      <c r="CL169" s="579">
        <f t="array" ref="CL169">$Z169  * (1 + SUM( ($AU$80:$AU$83=CL$93) * ($BH$79:$BP$79=CL$94) * ($BH$80:$BP$83) ))</f>
        <v>0.72756017220299896</v>
      </c>
      <c r="CM169" s="579">
        <f t="array" ref="CM169">$Z169  * (1 + SUM( ($AU$80:$AU$83=CM$93) * ($BH$79:$BP$79=CM$94) * ($BH$80:$BP$83) ))</f>
        <v>0.74333315669786504</v>
      </c>
      <c r="CN169" s="579">
        <f t="array" ref="CN169">$Z169  * (1 + SUM( ($AU$80:$AU$83=CN$93) * ($BH$79:$BP$79=CN$94) * ($BH$80:$BP$83) ))</f>
        <v>0.76868660039501435</v>
      </c>
      <c r="CO169" s="579">
        <f t="array" ref="CO169">$Z169  * (1 + SUM( ($AU$80:$AU$83=CO$93) * ($BH$79:$BP$79=CO$94) * ($BH$80:$BP$83) ))</f>
        <v>0.80392892313161468</v>
      </c>
      <c r="CP169" s="579">
        <f t="array" ref="CP169">$Z169  * (1 + SUM( ($AU$80:$AU$83=CP$93) * ($BH$79:$BP$79=CP$94) * ($BH$80:$BP$83) ))</f>
        <v>0.84417045807175017</v>
      </c>
      <c r="CQ169" s="579">
        <f t="array" ref="CQ169">$Z169  * (1 + SUM( ($AU$80:$AU$83=CQ$93) * ($BH$79:$BP$79=CQ$94) * ($BH$80:$BP$83) ))</f>
        <v>0.88098373082518389</v>
      </c>
      <c r="CR169" s="579">
        <f t="array" ref="CR169">$Z169  * (1 + SUM( ($AU$80:$AU$83=CR$93) * ($BH$79:$BP$79=CR$94) * ($BH$80:$BP$83) ))</f>
        <v>0.90842940814959761</v>
      </c>
      <c r="CS169" s="579">
        <f t="array" ref="CS169">$Z169  * (1 + SUM( ($AU$80:$AU$83=CS$93) * ($BH$79:$BP$79=CS$94) * ($BH$80:$BP$83) ))</f>
        <v>0.92592902556892098</v>
      </c>
      <c r="CT169" s="579">
        <f t="array" ref="CT169">$Z169  * (1 + SUM( ($AU$80:$AU$83=CT$93) * ($BH$79:$BP$79=CT$94) * ($BH$80:$BP$83) ))</f>
        <v>0.93599999999999994</v>
      </c>
      <c r="CU169" s="578">
        <f t="array" ref="CU169">$Z169  * (1 + SUM( ($AU$80:$AU$83=CU$93) * ($BH$79:$BP$79=CU$94) * ($BH$80:$BP$83) ))</f>
        <v>0.73008022960399865</v>
      </c>
      <c r="CV169" s="578">
        <f t="array" ref="CV169">$Z169  * (1 + SUM( ($AU$80:$AU$83=CV$93) * ($BH$79:$BP$79=CV$94) * ($BH$80:$BP$83) ))</f>
        <v>0.75111087559715328</v>
      </c>
      <c r="CW169" s="578">
        <f t="array" ref="CW169">$Z169  * (1 + SUM( ($AU$80:$AU$83=CW$93) * ($BH$79:$BP$79=CW$94) * ($BH$80:$BP$83) ))</f>
        <v>0.78491546719335237</v>
      </c>
      <c r="CX169" s="578">
        <f t="array" ref="CX169">$Z169  * (1 + SUM( ($AU$80:$AU$83=CX$93) * ($BH$79:$BP$79=CX$94) * ($BH$80:$BP$83) ))</f>
        <v>0.83190523084215307</v>
      </c>
      <c r="CY169" s="578">
        <f t="array" ref="CY169">$Z169  * (1 + SUM( ($AU$80:$AU$83=CY$93) * ($BH$79:$BP$79=CY$94) * ($BH$80:$BP$83) ))</f>
        <v>0.8855606107623335</v>
      </c>
      <c r="CZ169" s="578">
        <f t="array" ref="CZ169">$Z169  * (1 + SUM( ($AU$80:$AU$83=CZ$93) * ($BH$79:$BP$79=CZ$94) * ($BH$80:$BP$83) ))</f>
        <v>0.93464497443357852</v>
      </c>
      <c r="DA169" s="578">
        <f t="array" ref="DA169">$Z169  * (1 + SUM( ($AU$80:$AU$83=DA$93) * ($BH$79:$BP$79=DA$94) * ($BH$80:$BP$83) ))</f>
        <v>0.97123921086613019</v>
      </c>
      <c r="DB169" s="578">
        <f t="array" ref="DB169">$Z169  * (1 + SUM( ($AU$80:$AU$83=DB$93) * ($BH$79:$BP$79=DB$94) * ($BH$80:$BP$83) ))</f>
        <v>0.99457203409189476</v>
      </c>
      <c r="DC169" s="578">
        <f t="array" ref="DC169">$Z169  * (1 + SUM( ($AU$80:$AU$83=DC$93) * ($BH$79:$BP$79=DC$94) * ($BH$80:$BP$83) ))</f>
        <v>1.008</v>
      </c>
    </row>
    <row r="170" spans="1:107">
      <c r="A170" s="1167" t="s">
        <v>1168</v>
      </c>
      <c r="B170" s="1167" t="s">
        <v>1167</v>
      </c>
      <c r="C170" s="1166" t="s">
        <v>1036</v>
      </c>
      <c r="D170" s="1166" t="s">
        <v>951</v>
      </c>
      <c r="E170" s="577">
        <v>0.68</v>
      </c>
      <c r="F170" s="574">
        <v>0.56299999999999994</v>
      </c>
      <c r="G170" s="576">
        <v>100</v>
      </c>
      <c r="H170" s="574">
        <v>0</v>
      </c>
      <c r="I170" s="1164"/>
      <c r="J170" s="575">
        <v>1</v>
      </c>
      <c r="K170" s="574">
        <v>0</v>
      </c>
      <c r="L170" s="574">
        <v>0</v>
      </c>
      <c r="M170" s="1164"/>
      <c r="N170" s="1168"/>
      <c r="O170" s="1164"/>
      <c r="P170" s="1160">
        <v>0</v>
      </c>
      <c r="Q170" s="572">
        <v>0.05</v>
      </c>
      <c r="R170" s="572">
        <v>0.25</v>
      </c>
      <c r="S170" s="572">
        <v>0.5</v>
      </c>
      <c r="T170" s="1164"/>
      <c r="U170" s="573">
        <v>0</v>
      </c>
      <c r="V170" s="572">
        <v>0</v>
      </c>
      <c r="W170" s="572">
        <v>0</v>
      </c>
      <c r="X170" s="572">
        <v>0</v>
      </c>
      <c r="Y170" s="1164"/>
      <c r="Z170" s="573">
        <v>0.68</v>
      </c>
      <c r="AA170" s="572">
        <v>0.68</v>
      </c>
      <c r="AB170" s="572">
        <v>0.68</v>
      </c>
      <c r="AC170" s="572">
        <v>0.68</v>
      </c>
      <c r="AD170" s="572">
        <v>0.68</v>
      </c>
      <c r="AE170" s="572">
        <v>0.68</v>
      </c>
      <c r="AF170" s="572">
        <v>0.68</v>
      </c>
      <c r="AG170" s="1164"/>
      <c r="AH170" s="1163">
        <v>75</v>
      </c>
      <c r="AI170" s="1162" t="str">
        <f t="shared" si="22"/>
        <v>NFSOHF</v>
      </c>
      <c r="AJ170" s="1160">
        <v>0</v>
      </c>
      <c r="AK170" s="1160">
        <v>0</v>
      </c>
      <c r="AL170" s="1160">
        <v>0</v>
      </c>
      <c r="AM170" s="1160">
        <v>0</v>
      </c>
      <c r="AN170" s="1160">
        <v>0</v>
      </c>
      <c r="AO170" s="1160">
        <v>0</v>
      </c>
      <c r="AP170" s="1160">
        <v>0</v>
      </c>
      <c r="AQ170" s="1160">
        <v>0</v>
      </c>
      <c r="AR170" s="1160">
        <v>0</v>
      </c>
      <c r="AS170" s="1159">
        <v>0</v>
      </c>
      <c r="AT170" s="1159">
        <v>0</v>
      </c>
      <c r="AU170" s="1159">
        <v>0</v>
      </c>
      <c r="AV170" s="1159">
        <v>0</v>
      </c>
      <c r="AW170" s="1159">
        <v>0</v>
      </c>
      <c r="AX170" s="1159">
        <v>0</v>
      </c>
      <c r="AY170" s="1159">
        <v>0</v>
      </c>
      <c r="AZ170" s="1159">
        <v>0</v>
      </c>
      <c r="BA170" s="1159">
        <v>0</v>
      </c>
      <c r="BB170" s="1160">
        <v>0</v>
      </c>
      <c r="BC170" s="1160">
        <v>0</v>
      </c>
      <c r="BD170" s="1160">
        <v>0</v>
      </c>
      <c r="BE170" s="1160">
        <v>0</v>
      </c>
      <c r="BF170" s="1160">
        <v>0</v>
      </c>
      <c r="BG170" s="1160">
        <v>0</v>
      </c>
      <c r="BH170" s="1160">
        <v>0</v>
      </c>
      <c r="BI170" s="1160">
        <v>0</v>
      </c>
      <c r="BJ170" s="1160">
        <v>0</v>
      </c>
      <c r="BK170" s="1159">
        <v>0</v>
      </c>
      <c r="BL170" s="1159">
        <v>0</v>
      </c>
      <c r="BM170" s="1159">
        <v>0</v>
      </c>
      <c r="BN170" s="1159">
        <v>0</v>
      </c>
      <c r="BO170" s="1159">
        <v>0</v>
      </c>
      <c r="BP170" s="1159">
        <v>0</v>
      </c>
      <c r="BQ170" s="1159">
        <v>0</v>
      </c>
      <c r="BR170" s="1159">
        <v>0</v>
      </c>
      <c r="BS170" s="1159">
        <v>0</v>
      </c>
      <c r="BT170" s="579">
        <f t="array" ref="BT170">$Z170  * (1 + SUM( ($AU$80:$AU$83=BT$93) * ($BH$79:$BP$79=BT$94) * ($BH$80:$BP$83) ))</f>
        <v>0.6802380054212056</v>
      </c>
      <c r="BU170" s="579">
        <f t="array" ref="BU170">$Z170  * (1 + SUM( ($AU$80:$AU$83=BU$93) * ($BH$79:$BP$79=BU$94) * ($BH$80:$BP$83) ))</f>
        <v>0.68073456234048835</v>
      </c>
      <c r="BV170" s="579">
        <f t="array" ref="BV170">$Z170  * (1 + SUM( ($AU$80:$AU$83=BV$93) * ($BH$79:$BP$79=BV$94) * ($BH$80:$BP$83) ))</f>
        <v>0.68153272630873196</v>
      </c>
      <c r="BW170" s="579">
        <f t="array" ref="BW170">$Z170  * (1 + SUM( ($AU$80:$AU$83=BW$93) * ($BH$79:$BP$79=BW$94) * ($BH$80:$BP$83) ))</f>
        <v>0.68264220683932864</v>
      </c>
      <c r="BX170" s="579">
        <f t="array" ref="BX170">$Z170  * (1 + SUM( ($AU$80:$AU$83=BX$93) * ($BH$79:$BP$79=BX$94) * ($BH$80:$BP$83) ))</f>
        <v>0.68390906997633294</v>
      </c>
      <c r="BY170" s="579">
        <f t="array" ref="BY170">$Z170  * (1 + SUM( ($AU$80:$AU$83=BY$93) * ($BH$79:$BP$79=BY$94) * ($BH$80:$BP$83) ))</f>
        <v>0.6850680063407929</v>
      </c>
      <c r="BZ170" s="579">
        <f t="array" ref="BZ170">$Z170  * (1 + SUM( ($AU$80:$AU$83=BZ$93) * ($BH$79:$BP$79=BZ$94) * ($BH$80:$BP$83) ))</f>
        <v>0.68593203692322802</v>
      </c>
      <c r="CA170" s="579">
        <f t="array" ref="CA170">$Z170  * (1 + SUM( ($AU$80:$AU$83=CA$93) * ($BH$79:$BP$79=CA$94) * ($BH$80:$BP$83) ))</f>
        <v>0.68648295080494759</v>
      </c>
      <c r="CB170" s="579">
        <f t="array" ref="CB170">$Z170  * (1 + SUM( ($AU$80:$AU$83=CB$93) * ($BH$79:$BP$79=CB$94) * ($BH$80:$BP$83) ))</f>
        <v>0.68680000000000008</v>
      </c>
      <c r="CC170" s="578">
        <f t="array" ref="CC170">$Z170  * (1 + SUM( ($AU$80:$AU$83=CC$93) * ($BH$79:$BP$79=CC$94) * ($BH$80:$BP$83) ))</f>
        <v>0.68357008131808294</v>
      </c>
      <c r="CD170" s="578">
        <f t="array" ref="CD170">$Z170  * (1 + SUM( ($AU$80:$AU$83=CD$93) * ($BH$79:$BP$79=CD$94) * ($BH$80:$BP$83) ))</f>
        <v>0.69101843510732508</v>
      </c>
      <c r="CE170" s="578">
        <f t="array" ref="CE170">$Z170  * (1 + SUM( ($AU$80:$AU$83=CE$93) * ($BH$79:$BP$79=CE$94) * ($BH$80:$BP$83) ))</f>
        <v>0.70299089463097908</v>
      </c>
      <c r="CF170" s="578">
        <f t="array" ref="CF170">$Z170  * (1 + SUM( ($AU$80:$AU$83=CF$93) * ($BH$79:$BP$79=CF$94) * ($BH$80:$BP$83) ))</f>
        <v>0.7196331025899293</v>
      </c>
      <c r="CG170" s="578">
        <f t="array" ref="CG170">$Z170  * (1 + SUM( ($AU$80:$AU$83=CG$93) * ($BH$79:$BP$79=CG$94) * ($BH$80:$BP$83) ))</f>
        <v>0.73863604964499308</v>
      </c>
      <c r="CH170" s="578">
        <f t="array" ref="CH170">$Z170  * (1 + SUM( ($AU$80:$AU$83=CH$93) * ($BH$79:$BP$79=CH$94) * ($BH$80:$BP$83) ))</f>
        <v>0.7560200951118925</v>
      </c>
      <c r="CI170" s="578">
        <f t="array" ref="CI170">$Z170  * (1 + SUM( ($AU$80:$AU$83=CI$93) * ($BH$79:$BP$79=CI$94) * ($BH$80:$BP$83) ))</f>
        <v>0.76898055384842112</v>
      </c>
      <c r="CJ170" s="578">
        <f t="array" ref="CJ170">$Z170  * (1 + SUM( ($AU$80:$AU$83=CJ$93) * ($BH$79:$BP$79=CJ$94) * ($BH$80:$BP$83) ))</f>
        <v>0.77724426207421282</v>
      </c>
      <c r="CK170" s="578">
        <f t="array" ref="CK170">$Z170  * (1 + SUM( ($AU$80:$AU$83=CK$93) * ($BH$79:$BP$79=CK$94) * ($BH$80:$BP$83) ))</f>
        <v>0.78200000000000003</v>
      </c>
      <c r="CL170" s="579">
        <f t="array" ref="CL170">$Z170  * (1 + SUM( ($AU$80:$AU$83=CL$93) * ($BH$79:$BP$79=CL$94) * ($BH$80:$BP$83) ))</f>
        <v>0.68714016263616584</v>
      </c>
      <c r="CM170" s="579">
        <f t="array" ref="CM170">$Z170  * (1 + SUM( ($AU$80:$AU$83=CM$93) * ($BH$79:$BP$79=CM$94) * ($BH$80:$BP$83) ))</f>
        <v>0.70203687021465033</v>
      </c>
      <c r="CN170" s="579">
        <f t="array" ref="CN170">$Z170  * (1 + SUM( ($AU$80:$AU$83=CN$93) * ($BH$79:$BP$79=CN$94) * ($BH$80:$BP$83) ))</f>
        <v>0.725981789261958</v>
      </c>
      <c r="CO170" s="579">
        <f t="array" ref="CO170">$Z170  * (1 + SUM( ($AU$80:$AU$83=CO$93) * ($BH$79:$BP$79=CO$94) * ($BH$80:$BP$83) ))</f>
        <v>0.75926620517985843</v>
      </c>
      <c r="CP170" s="579">
        <f t="array" ref="CP170">$Z170  * (1 + SUM( ($AU$80:$AU$83=CP$93) * ($BH$79:$BP$79=CP$94) * ($BH$80:$BP$83) ))</f>
        <v>0.79727209928998632</v>
      </c>
      <c r="CQ170" s="579">
        <f t="array" ref="CQ170">$Z170  * (1 + SUM( ($AU$80:$AU$83=CQ$93) * ($BH$79:$BP$79=CQ$94) * ($BH$80:$BP$83) ))</f>
        <v>0.83204019022378484</v>
      </c>
      <c r="CR170" s="579">
        <f t="array" ref="CR170">$Z170  * (1 + SUM( ($AU$80:$AU$83=CR$93) * ($BH$79:$BP$79=CR$94) * ($BH$80:$BP$83) ))</f>
        <v>0.85796110769684231</v>
      </c>
      <c r="CS170" s="579">
        <f t="array" ref="CS170">$Z170  * (1 + SUM( ($AU$80:$AU$83=CS$93) * ($BH$79:$BP$79=CS$94) * ($BH$80:$BP$83) ))</f>
        <v>0.87448852414842548</v>
      </c>
      <c r="CT170" s="579">
        <f t="array" ref="CT170">$Z170  * (1 + SUM( ($AU$80:$AU$83=CT$93) * ($BH$79:$BP$79=CT$94) * ($BH$80:$BP$83) ))</f>
        <v>0.88400000000000012</v>
      </c>
      <c r="CU170" s="578">
        <f t="array" ref="CU170">$Z170  * (1 + SUM( ($AU$80:$AU$83=CU$93) * ($BH$79:$BP$79=CU$94) * ($BH$80:$BP$83) ))</f>
        <v>0.68952021684822107</v>
      </c>
      <c r="CV170" s="578">
        <f t="array" ref="CV170">$Z170  * (1 + SUM( ($AU$80:$AU$83=CV$93) * ($BH$79:$BP$79=CV$94) * ($BH$80:$BP$83) ))</f>
        <v>0.70938249361953376</v>
      </c>
      <c r="CW170" s="578">
        <f t="array" ref="CW170">$Z170  * (1 + SUM( ($AU$80:$AU$83=CW$93) * ($BH$79:$BP$79=CW$94) * ($BH$80:$BP$83) ))</f>
        <v>0.74130905234927735</v>
      </c>
      <c r="CX170" s="578">
        <f t="array" ref="CX170">$Z170  * (1 + SUM( ($AU$80:$AU$83=CX$93) * ($BH$79:$BP$79=CX$94) * ($BH$80:$BP$83) ))</f>
        <v>0.78568827357314464</v>
      </c>
      <c r="CY170" s="578">
        <f t="array" ref="CY170">$Z170  * (1 + SUM( ($AU$80:$AU$83=CY$93) * ($BH$79:$BP$79=CY$94) * ($BH$80:$BP$83) ))</f>
        <v>0.83636279905331512</v>
      </c>
      <c r="CZ170" s="578">
        <f t="array" ref="CZ170">$Z170  * (1 + SUM( ($AU$80:$AU$83=CZ$93) * ($BH$79:$BP$79=CZ$94) * ($BH$80:$BP$83) ))</f>
        <v>0.88272025363171314</v>
      </c>
      <c r="DA170" s="578">
        <f t="array" ref="DA170">$Z170  * (1 + SUM( ($AU$80:$AU$83=DA$93) * ($BH$79:$BP$79=DA$94) * ($BH$80:$BP$83) ))</f>
        <v>0.9172814769291231</v>
      </c>
      <c r="DB170" s="578">
        <f t="array" ref="DB170">$Z170  * (1 + SUM( ($AU$80:$AU$83=DB$93) * ($BH$79:$BP$79=DB$94) * ($BH$80:$BP$83) ))</f>
        <v>0.93931803219790067</v>
      </c>
      <c r="DC170" s="578">
        <f t="array" ref="DC170">$Z170  * (1 + SUM( ($AU$80:$AU$83=DC$93) * ($BH$79:$BP$79=DC$94) * ($BH$80:$BP$83) ))</f>
        <v>0.95199999999999996</v>
      </c>
    </row>
    <row r="171" spans="1:107">
      <c r="A171" s="1167" t="s">
        <v>1166</v>
      </c>
      <c r="B171" s="1167" t="s">
        <v>1165</v>
      </c>
      <c r="C171" s="1166" t="s">
        <v>1033</v>
      </c>
      <c r="D171" s="1166" t="s">
        <v>951</v>
      </c>
      <c r="E171" s="577">
        <v>0.72</v>
      </c>
      <c r="F171" s="574">
        <v>0.56299999999999994</v>
      </c>
      <c r="G171" s="576">
        <v>100</v>
      </c>
      <c r="H171" s="574">
        <v>0</v>
      </c>
      <c r="I171" s="1164"/>
      <c r="J171" s="575">
        <v>1</v>
      </c>
      <c r="K171" s="574">
        <v>0</v>
      </c>
      <c r="L171" s="574">
        <v>0</v>
      </c>
      <c r="M171" s="1164"/>
      <c r="N171" s="1168"/>
      <c r="O171" s="1164"/>
      <c r="P171" s="1160">
        <v>0</v>
      </c>
      <c r="Q171" s="572">
        <v>0.05</v>
      </c>
      <c r="R171" s="572">
        <v>0.25</v>
      </c>
      <c r="S171" s="572">
        <v>0.5</v>
      </c>
      <c r="T171" s="1164"/>
      <c r="U171" s="573">
        <v>0</v>
      </c>
      <c r="V171" s="572">
        <v>0</v>
      </c>
      <c r="W171" s="572">
        <v>0</v>
      </c>
      <c r="X171" s="572">
        <v>0</v>
      </c>
      <c r="Y171" s="1164"/>
      <c r="Z171" s="573">
        <v>0.72</v>
      </c>
      <c r="AA171" s="572">
        <v>0.72</v>
      </c>
      <c r="AB171" s="572">
        <v>0.72</v>
      </c>
      <c r="AC171" s="572">
        <v>0.72</v>
      </c>
      <c r="AD171" s="572">
        <v>0.72</v>
      </c>
      <c r="AE171" s="572">
        <v>0.72</v>
      </c>
      <c r="AF171" s="572">
        <v>0.72</v>
      </c>
      <c r="AG171" s="1164"/>
      <c r="AH171" s="1163">
        <v>76</v>
      </c>
      <c r="AI171" s="1162" t="str">
        <f t="shared" si="22"/>
        <v>NFSOLP</v>
      </c>
      <c r="AJ171" s="1160">
        <v>0</v>
      </c>
      <c r="AK171" s="1160">
        <v>0</v>
      </c>
      <c r="AL171" s="1160">
        <v>0</v>
      </c>
      <c r="AM171" s="1160">
        <v>0</v>
      </c>
      <c r="AN171" s="1160">
        <v>0</v>
      </c>
      <c r="AO171" s="1160">
        <v>0</v>
      </c>
      <c r="AP171" s="1160">
        <v>0</v>
      </c>
      <c r="AQ171" s="1160">
        <v>0</v>
      </c>
      <c r="AR171" s="1160">
        <v>0</v>
      </c>
      <c r="AS171" s="1159">
        <v>0</v>
      </c>
      <c r="AT171" s="1159">
        <v>0</v>
      </c>
      <c r="AU171" s="1159">
        <v>0</v>
      </c>
      <c r="AV171" s="1159">
        <v>0</v>
      </c>
      <c r="AW171" s="1159">
        <v>0</v>
      </c>
      <c r="AX171" s="1159">
        <v>0</v>
      </c>
      <c r="AY171" s="1159">
        <v>0</v>
      </c>
      <c r="AZ171" s="1159">
        <v>0</v>
      </c>
      <c r="BA171" s="1159">
        <v>0</v>
      </c>
      <c r="BB171" s="1160">
        <v>0</v>
      </c>
      <c r="BC171" s="1160">
        <v>0</v>
      </c>
      <c r="BD171" s="1160">
        <v>0</v>
      </c>
      <c r="BE171" s="1160">
        <v>0</v>
      </c>
      <c r="BF171" s="1160">
        <v>0</v>
      </c>
      <c r="BG171" s="1160">
        <v>0</v>
      </c>
      <c r="BH171" s="1160">
        <v>0</v>
      </c>
      <c r="BI171" s="1160">
        <v>0</v>
      </c>
      <c r="BJ171" s="1160">
        <v>0</v>
      </c>
      <c r="BK171" s="1159">
        <v>0</v>
      </c>
      <c r="BL171" s="1159">
        <v>0</v>
      </c>
      <c r="BM171" s="1159">
        <v>0</v>
      </c>
      <c r="BN171" s="1159">
        <v>0</v>
      </c>
      <c r="BO171" s="1159">
        <v>0</v>
      </c>
      <c r="BP171" s="1159">
        <v>0</v>
      </c>
      <c r="BQ171" s="1159">
        <v>0</v>
      </c>
      <c r="BR171" s="1159">
        <v>0</v>
      </c>
      <c r="BS171" s="1159">
        <v>0</v>
      </c>
      <c r="BT171" s="579">
        <f t="array" ref="BT171">$Z171  * (1 + SUM( ($AU$80:$AU$83=BT$93) * ($BH$79:$BP$79=BT$94) * ($BH$80:$BP$83) ))</f>
        <v>0.72025200574009995</v>
      </c>
      <c r="BU171" s="579">
        <f t="array" ref="BU171">$Z171  * (1 + SUM( ($AU$80:$AU$83=BU$93) * ($BH$79:$BP$79=BU$94) * ($BH$80:$BP$83) ))</f>
        <v>0.72077777188992875</v>
      </c>
      <c r="BV171" s="579">
        <f t="array" ref="BV171">$Z171  * (1 + SUM( ($AU$80:$AU$83=BV$93) * ($BH$79:$BP$79=BV$94) * ($BH$80:$BP$83) ))</f>
        <v>0.72162288667983376</v>
      </c>
      <c r="BW171" s="579">
        <f t="array" ref="BW171">$Z171  * (1 + SUM( ($AU$80:$AU$83=BW$93) * ($BH$79:$BP$79=BW$94) * ($BH$80:$BP$83) ))</f>
        <v>0.72279763077105375</v>
      </c>
      <c r="BX171" s="579">
        <f t="array" ref="BX171">$Z171  * (1 + SUM( ($AU$80:$AU$83=BX$93) * ($BH$79:$BP$79=BX$94) * ($BH$80:$BP$83) ))</f>
        <v>0.72413901526905833</v>
      </c>
      <c r="BY171" s="579">
        <f t="array" ref="BY171">$Z171  * (1 + SUM( ($AU$80:$AU$83=BY$93) * ($BH$79:$BP$79=BY$94) * ($BH$80:$BP$83) ))</f>
        <v>0.72536612436083947</v>
      </c>
      <c r="BZ171" s="579">
        <f t="array" ref="BZ171">$Z171  * (1 + SUM( ($AU$80:$AU$83=BZ$93) * ($BH$79:$BP$79=BZ$94) * ($BH$80:$BP$83) ))</f>
        <v>0.72628098027165311</v>
      </c>
      <c r="CA171" s="579">
        <f t="array" ref="CA171">$Z171  * (1 + SUM( ($AU$80:$AU$83=CA$93) * ($BH$79:$BP$79=CA$94) * ($BH$80:$BP$83) ))</f>
        <v>0.72686430085229736</v>
      </c>
      <c r="CB171" s="579">
        <f t="array" ref="CB171">$Z171  * (1 + SUM( ($AU$80:$AU$83=CB$93) * ($BH$79:$BP$79=CB$94) * ($BH$80:$BP$83) ))</f>
        <v>0.72719999999999996</v>
      </c>
      <c r="CC171" s="578">
        <f t="array" ref="CC171">$Z171  * (1 + SUM( ($AU$80:$AU$83=CC$93) * ($BH$79:$BP$79=CC$94) * ($BH$80:$BP$83) ))</f>
        <v>0.72378008610149946</v>
      </c>
      <c r="CD171" s="578">
        <f t="array" ref="CD171">$Z171  * (1 + SUM( ($AU$80:$AU$83=CD$93) * ($BH$79:$BP$79=CD$94) * ($BH$80:$BP$83) ))</f>
        <v>0.73166657834893245</v>
      </c>
      <c r="CE171" s="578">
        <f t="array" ref="CE171">$Z171  * (1 + SUM( ($AU$80:$AU$83=CE$93) * ($BH$79:$BP$79=CE$94) * ($BH$80:$BP$83) ))</f>
        <v>0.74434330019750716</v>
      </c>
      <c r="CF171" s="578">
        <f t="array" ref="CF171">$Z171  * (1 + SUM( ($AU$80:$AU$83=CF$93) * ($BH$79:$BP$79=CF$94) * ($BH$80:$BP$83) ))</f>
        <v>0.76196446156580744</v>
      </c>
      <c r="CG171" s="578">
        <f t="array" ref="CG171">$Z171  * (1 + SUM( ($AU$80:$AU$83=CG$93) * ($BH$79:$BP$79=CG$94) * ($BH$80:$BP$83) ))</f>
        <v>0.78208522903587496</v>
      </c>
      <c r="CH171" s="578">
        <f t="array" ref="CH171">$Z171  * (1 + SUM( ($AU$80:$AU$83=CH$93) * ($BH$79:$BP$79=CH$94) * ($BH$80:$BP$83) ))</f>
        <v>0.80049186541259199</v>
      </c>
      <c r="CI171" s="578">
        <f t="array" ref="CI171">$Z171  * (1 + SUM( ($AU$80:$AU$83=CI$93) * ($BH$79:$BP$79=CI$94) * ($BH$80:$BP$83) ))</f>
        <v>0.81421470407479868</v>
      </c>
      <c r="CJ171" s="578">
        <f t="array" ref="CJ171">$Z171  * (1 + SUM( ($AU$80:$AU$83=CJ$93) * ($BH$79:$BP$79=CJ$94) * ($BH$80:$BP$83) ))</f>
        <v>0.82296451278446048</v>
      </c>
      <c r="CK171" s="578">
        <f t="array" ref="CK171">$Z171  * (1 + SUM( ($AU$80:$AU$83=CK$93) * ($BH$79:$BP$79=CK$94) * ($BH$80:$BP$83) ))</f>
        <v>0.82799999999999996</v>
      </c>
      <c r="CL171" s="579">
        <f t="array" ref="CL171">$Z171  * (1 + SUM( ($AU$80:$AU$83=CL$93) * ($BH$79:$BP$79=CL$94) * ($BH$80:$BP$83) ))</f>
        <v>0.72756017220299896</v>
      </c>
      <c r="CM171" s="579">
        <f t="array" ref="CM171">$Z171  * (1 + SUM( ($AU$80:$AU$83=CM$93) * ($BH$79:$BP$79=CM$94) * ($BH$80:$BP$83) ))</f>
        <v>0.74333315669786504</v>
      </c>
      <c r="CN171" s="579">
        <f t="array" ref="CN171">$Z171  * (1 + SUM( ($AU$80:$AU$83=CN$93) * ($BH$79:$BP$79=CN$94) * ($BH$80:$BP$83) ))</f>
        <v>0.76868660039501435</v>
      </c>
      <c r="CO171" s="579">
        <f t="array" ref="CO171">$Z171  * (1 + SUM( ($AU$80:$AU$83=CO$93) * ($BH$79:$BP$79=CO$94) * ($BH$80:$BP$83) ))</f>
        <v>0.80392892313161468</v>
      </c>
      <c r="CP171" s="579">
        <f t="array" ref="CP171">$Z171  * (1 + SUM( ($AU$80:$AU$83=CP$93) * ($BH$79:$BP$79=CP$94) * ($BH$80:$BP$83) ))</f>
        <v>0.84417045807175017</v>
      </c>
      <c r="CQ171" s="579">
        <f t="array" ref="CQ171">$Z171  * (1 + SUM( ($AU$80:$AU$83=CQ$93) * ($BH$79:$BP$79=CQ$94) * ($BH$80:$BP$83) ))</f>
        <v>0.88098373082518389</v>
      </c>
      <c r="CR171" s="579">
        <f t="array" ref="CR171">$Z171  * (1 + SUM( ($AU$80:$AU$83=CR$93) * ($BH$79:$BP$79=CR$94) * ($BH$80:$BP$83) ))</f>
        <v>0.90842940814959761</v>
      </c>
      <c r="CS171" s="579">
        <f t="array" ref="CS171">$Z171  * (1 + SUM( ($AU$80:$AU$83=CS$93) * ($BH$79:$BP$79=CS$94) * ($BH$80:$BP$83) ))</f>
        <v>0.92592902556892098</v>
      </c>
      <c r="CT171" s="579">
        <f t="array" ref="CT171">$Z171  * (1 + SUM( ($AU$80:$AU$83=CT$93) * ($BH$79:$BP$79=CT$94) * ($BH$80:$BP$83) ))</f>
        <v>0.93599999999999994</v>
      </c>
      <c r="CU171" s="578">
        <f t="array" ref="CU171">$Z171  * (1 + SUM( ($AU$80:$AU$83=CU$93) * ($BH$79:$BP$79=CU$94) * ($BH$80:$BP$83) ))</f>
        <v>0.73008022960399865</v>
      </c>
      <c r="CV171" s="578">
        <f t="array" ref="CV171">$Z171  * (1 + SUM( ($AU$80:$AU$83=CV$93) * ($BH$79:$BP$79=CV$94) * ($BH$80:$BP$83) ))</f>
        <v>0.75111087559715328</v>
      </c>
      <c r="CW171" s="578">
        <f t="array" ref="CW171">$Z171  * (1 + SUM( ($AU$80:$AU$83=CW$93) * ($BH$79:$BP$79=CW$94) * ($BH$80:$BP$83) ))</f>
        <v>0.78491546719335237</v>
      </c>
      <c r="CX171" s="578">
        <f t="array" ref="CX171">$Z171  * (1 + SUM( ($AU$80:$AU$83=CX$93) * ($BH$79:$BP$79=CX$94) * ($BH$80:$BP$83) ))</f>
        <v>0.83190523084215307</v>
      </c>
      <c r="CY171" s="578">
        <f t="array" ref="CY171">$Z171  * (1 + SUM( ($AU$80:$AU$83=CY$93) * ($BH$79:$BP$79=CY$94) * ($BH$80:$BP$83) ))</f>
        <v>0.8855606107623335</v>
      </c>
      <c r="CZ171" s="578">
        <f t="array" ref="CZ171">$Z171  * (1 + SUM( ($AU$80:$AU$83=CZ$93) * ($BH$79:$BP$79=CZ$94) * ($BH$80:$BP$83) ))</f>
        <v>0.93464497443357852</v>
      </c>
      <c r="DA171" s="578">
        <f t="array" ref="DA171">$Z171  * (1 + SUM( ($AU$80:$AU$83=DA$93) * ($BH$79:$BP$79=DA$94) * ($BH$80:$BP$83) ))</f>
        <v>0.97123921086613019</v>
      </c>
      <c r="DB171" s="578">
        <f t="array" ref="DB171">$Z171  * (1 + SUM( ($AU$80:$AU$83=DB$93) * ($BH$79:$BP$79=DB$94) * ($BH$80:$BP$83) ))</f>
        <v>0.99457203409189476</v>
      </c>
      <c r="DC171" s="578">
        <f t="array" ref="DC171">$Z171  * (1 + SUM( ($AU$80:$AU$83=DC$93) * ($BH$79:$BP$79=DC$94) * ($BH$80:$BP$83) ))</f>
        <v>1.008</v>
      </c>
    </row>
    <row r="172" spans="1:107">
      <c r="A172" s="1167" t="s">
        <v>1164</v>
      </c>
      <c r="B172" s="1167" t="s">
        <v>1163</v>
      </c>
      <c r="C172" s="1166" t="s">
        <v>1030</v>
      </c>
      <c r="D172" s="1166" t="s">
        <v>951</v>
      </c>
      <c r="E172" s="577">
        <v>0.76</v>
      </c>
      <c r="F172" s="574">
        <v>0.56299999999999994</v>
      </c>
      <c r="G172" s="576">
        <v>100</v>
      </c>
      <c r="H172" s="574">
        <v>0</v>
      </c>
      <c r="I172" s="1164"/>
      <c r="J172" s="575">
        <v>1</v>
      </c>
      <c r="K172" s="574">
        <v>0</v>
      </c>
      <c r="L172" s="574">
        <v>0</v>
      </c>
      <c r="M172" s="1164"/>
      <c r="N172" s="1168"/>
      <c r="O172" s="1164"/>
      <c r="P172" s="1160">
        <v>0</v>
      </c>
      <c r="Q172" s="572">
        <v>0.05</v>
      </c>
      <c r="R172" s="572">
        <v>0.25</v>
      </c>
      <c r="S172" s="572">
        <v>0.5</v>
      </c>
      <c r="T172" s="1164"/>
      <c r="U172" s="573">
        <v>0</v>
      </c>
      <c r="V172" s="572">
        <v>0</v>
      </c>
      <c r="W172" s="572">
        <v>0</v>
      </c>
      <c r="X172" s="572">
        <v>0</v>
      </c>
      <c r="Y172" s="1164"/>
      <c r="Z172" s="573">
        <v>0.76</v>
      </c>
      <c r="AA172" s="572">
        <v>0.76</v>
      </c>
      <c r="AB172" s="572">
        <v>0.76</v>
      </c>
      <c r="AC172" s="572">
        <v>0.76</v>
      </c>
      <c r="AD172" s="572">
        <v>0.76</v>
      </c>
      <c r="AE172" s="572">
        <v>0.76</v>
      </c>
      <c r="AF172" s="572">
        <v>0.76</v>
      </c>
      <c r="AG172" s="1164"/>
      <c r="AH172" s="1163">
        <v>77</v>
      </c>
      <c r="AI172" s="1162" t="str">
        <f t="shared" si="22"/>
        <v>NFSELC</v>
      </c>
      <c r="AJ172" s="1160">
        <v>0</v>
      </c>
      <c r="AK172" s="1160">
        <v>0</v>
      </c>
      <c r="AL172" s="1160">
        <v>0</v>
      </c>
      <c r="AM172" s="1160">
        <v>0</v>
      </c>
      <c r="AN172" s="1160">
        <v>0</v>
      </c>
      <c r="AO172" s="1160">
        <v>0</v>
      </c>
      <c r="AP172" s="1160">
        <v>0</v>
      </c>
      <c r="AQ172" s="1160">
        <v>0</v>
      </c>
      <c r="AR172" s="1160">
        <v>0</v>
      </c>
      <c r="AS172" s="1159">
        <v>0</v>
      </c>
      <c r="AT172" s="1159">
        <v>0</v>
      </c>
      <c r="AU172" s="1159">
        <v>0</v>
      </c>
      <c r="AV172" s="1159">
        <v>0</v>
      </c>
      <c r="AW172" s="1159">
        <v>0</v>
      </c>
      <c r="AX172" s="1159">
        <v>0</v>
      </c>
      <c r="AY172" s="1159">
        <v>0</v>
      </c>
      <c r="AZ172" s="1159">
        <v>0</v>
      </c>
      <c r="BA172" s="1159">
        <v>0</v>
      </c>
      <c r="BB172" s="1160">
        <v>0</v>
      </c>
      <c r="BC172" s="1160">
        <v>0</v>
      </c>
      <c r="BD172" s="1160">
        <v>0</v>
      </c>
      <c r="BE172" s="1160">
        <v>0</v>
      </c>
      <c r="BF172" s="1160">
        <v>0</v>
      </c>
      <c r="BG172" s="1160">
        <v>0</v>
      </c>
      <c r="BH172" s="1160">
        <v>0</v>
      </c>
      <c r="BI172" s="1160">
        <v>0</v>
      </c>
      <c r="BJ172" s="1160">
        <v>0</v>
      </c>
      <c r="BK172" s="1159">
        <v>0</v>
      </c>
      <c r="BL172" s="1159">
        <v>0</v>
      </c>
      <c r="BM172" s="1159">
        <v>0</v>
      </c>
      <c r="BN172" s="1159">
        <v>0</v>
      </c>
      <c r="BO172" s="1159">
        <v>0</v>
      </c>
      <c r="BP172" s="1159">
        <v>0</v>
      </c>
      <c r="BQ172" s="1159">
        <v>0</v>
      </c>
      <c r="BR172" s="1159">
        <v>0</v>
      </c>
      <c r="BS172" s="1159">
        <v>0</v>
      </c>
      <c r="BT172" s="579">
        <f t="array" ref="BT172">$Z172  * (1 + SUM( ($AU$80:$AU$83=BT$93) * ($BH$79:$BP$79=BT$94) * ($BH$80:$BP$83) ))</f>
        <v>0.76026600605899441</v>
      </c>
      <c r="BU172" s="579">
        <f t="array" ref="BU172">$Z172  * (1 + SUM( ($AU$80:$AU$83=BU$93) * ($BH$79:$BP$79=BU$94) * ($BH$80:$BP$83) ))</f>
        <v>0.76082098143936938</v>
      </c>
      <c r="BV172" s="579">
        <f t="array" ref="BV172">$Z172  * (1 + SUM( ($AU$80:$AU$83=BV$93) * ($BH$79:$BP$79=BV$94) * ($BH$80:$BP$83) ))</f>
        <v>0.76171304705093568</v>
      </c>
      <c r="BW172" s="579">
        <f t="array" ref="BW172">$Z172  * (1 + SUM( ($AU$80:$AU$83=BW$93) * ($BH$79:$BP$79=BW$94) * ($BH$80:$BP$83) ))</f>
        <v>0.76295305470277908</v>
      </c>
      <c r="BX172" s="579">
        <f t="array" ref="BX172">$Z172  * (1 + SUM( ($AU$80:$AU$83=BX$93) * ($BH$79:$BP$79=BX$94) * ($BH$80:$BP$83) ))</f>
        <v>0.76436896056178383</v>
      </c>
      <c r="BY172" s="579">
        <f t="array" ref="BY172">$Z172  * (1 + SUM( ($AU$80:$AU$83=BY$93) * ($BH$79:$BP$79=BY$94) * ($BH$80:$BP$83) ))</f>
        <v>0.76566424238088615</v>
      </c>
      <c r="BZ172" s="579">
        <f t="array" ref="BZ172">$Z172  * (1 + SUM( ($AU$80:$AU$83=BZ$93) * ($BH$79:$BP$79=BZ$94) * ($BH$80:$BP$83) ))</f>
        <v>0.76662992362007842</v>
      </c>
      <c r="CA172" s="579">
        <f t="array" ref="CA172">$Z172  * (1 + SUM( ($AU$80:$AU$83=CA$93) * ($BH$79:$BP$79=CA$94) * ($BH$80:$BP$83) ))</f>
        <v>0.76724565089964725</v>
      </c>
      <c r="CB172" s="579">
        <f t="array" ref="CB172">$Z172  * (1 + SUM( ($AU$80:$AU$83=CB$93) * ($BH$79:$BP$79=CB$94) * ($BH$80:$BP$83) ))</f>
        <v>0.76760000000000006</v>
      </c>
      <c r="CC172" s="578">
        <f t="array" ref="CC172">$Z172  * (1 + SUM( ($AU$80:$AU$83=CC$93) * ($BH$79:$BP$79=CC$94) * ($BH$80:$BP$83) ))</f>
        <v>0.76399009088491621</v>
      </c>
      <c r="CD172" s="578">
        <f t="array" ref="CD172">$Z172  * (1 + SUM( ($AU$80:$AU$83=CD$93) * ($BH$79:$BP$79=CD$94) * ($BH$80:$BP$83) ))</f>
        <v>0.77231472159053982</v>
      </c>
      <c r="CE172" s="578">
        <f t="array" ref="CE172">$Z172  * (1 + SUM( ($AU$80:$AU$83=CE$93) * ($BH$79:$BP$79=CE$94) * ($BH$80:$BP$83) ))</f>
        <v>0.78569570576403536</v>
      </c>
      <c r="CF172" s="578">
        <f t="array" ref="CF172">$Z172  * (1 + SUM( ($AU$80:$AU$83=CF$93) * ($BH$79:$BP$79=CF$94) * ($BH$80:$BP$83) ))</f>
        <v>0.80429582054168558</v>
      </c>
      <c r="CG172" s="578">
        <f t="array" ref="CG172">$Z172  * (1 + SUM( ($AU$80:$AU$83=CG$93) * ($BH$79:$BP$79=CG$94) * ($BH$80:$BP$83) ))</f>
        <v>0.82553440842675696</v>
      </c>
      <c r="CH172" s="578">
        <f t="array" ref="CH172">$Z172  * (1 + SUM( ($AU$80:$AU$83=CH$93) * ($BH$79:$BP$79=CH$94) * ($BH$80:$BP$83) ))</f>
        <v>0.84496363571329147</v>
      </c>
      <c r="CI172" s="578">
        <f t="array" ref="CI172">$Z172  * (1 + SUM( ($AU$80:$AU$83=CI$93) * ($BH$79:$BP$79=CI$94) * ($BH$80:$BP$83) ))</f>
        <v>0.85944885430117646</v>
      </c>
      <c r="CJ172" s="578">
        <f t="array" ref="CJ172">$Z172  * (1 + SUM( ($AU$80:$AU$83=CJ$93) * ($BH$79:$BP$79=CJ$94) * ($BH$80:$BP$83) ))</f>
        <v>0.86868476349470836</v>
      </c>
      <c r="CK172" s="578">
        <f t="array" ref="CK172">$Z172  * (1 + SUM( ($AU$80:$AU$83=CK$93) * ($BH$79:$BP$79=CK$94) * ($BH$80:$BP$83) ))</f>
        <v>0.87399999999999989</v>
      </c>
      <c r="CL172" s="579">
        <f t="array" ref="CL172">$Z172  * (1 + SUM( ($AU$80:$AU$83=CL$93) * ($BH$79:$BP$79=CL$94) * ($BH$80:$BP$83) ))</f>
        <v>0.76798018176983229</v>
      </c>
      <c r="CM172" s="579">
        <f t="array" ref="CM172">$Z172  * (1 + SUM( ($AU$80:$AU$83=CM$93) * ($BH$79:$BP$79=CM$94) * ($BH$80:$BP$83) ))</f>
        <v>0.78462944318107974</v>
      </c>
      <c r="CN172" s="579">
        <f t="array" ref="CN172">$Z172  * (1 + SUM( ($AU$80:$AU$83=CN$93) * ($BH$79:$BP$79=CN$94) * ($BH$80:$BP$83) ))</f>
        <v>0.81139141152807071</v>
      </c>
      <c r="CO172" s="579">
        <f t="array" ref="CO172">$Z172  * (1 + SUM( ($AU$80:$AU$83=CO$93) * ($BH$79:$BP$79=CO$94) * ($BH$80:$BP$83) ))</f>
        <v>0.84859164108337104</v>
      </c>
      <c r="CP172" s="579">
        <f t="array" ref="CP172">$Z172  * (1 + SUM( ($AU$80:$AU$83=CP$93) * ($BH$79:$BP$79=CP$94) * ($BH$80:$BP$83) ))</f>
        <v>0.89106881685351402</v>
      </c>
      <c r="CQ172" s="579">
        <f t="array" ref="CQ172">$Z172  * (1 + SUM( ($AU$80:$AU$83=CQ$93) * ($BH$79:$BP$79=CQ$94) * ($BH$80:$BP$83) ))</f>
        <v>0.92992727142658305</v>
      </c>
      <c r="CR172" s="579">
        <f t="array" ref="CR172">$Z172  * (1 + SUM( ($AU$80:$AU$83=CR$93) * ($BH$79:$BP$79=CR$94) * ($BH$80:$BP$83) ))</f>
        <v>0.95889770860235302</v>
      </c>
      <c r="CS172" s="579">
        <f t="array" ref="CS172">$Z172  * (1 + SUM( ($AU$80:$AU$83=CS$93) * ($BH$79:$BP$79=CS$94) * ($BH$80:$BP$83) ))</f>
        <v>0.9773695269894167</v>
      </c>
      <c r="CT172" s="579">
        <f t="array" ref="CT172">$Z172  * (1 + SUM( ($AU$80:$AU$83=CT$93) * ($BH$79:$BP$79=CT$94) * ($BH$80:$BP$83) ))</f>
        <v>0.9880000000000001</v>
      </c>
      <c r="CU172" s="578">
        <f t="array" ref="CU172">$Z172  * (1 + SUM( ($AU$80:$AU$83=CU$93) * ($BH$79:$BP$79=CU$94) * ($BH$80:$BP$83) ))</f>
        <v>0.77064024235977646</v>
      </c>
      <c r="CV172" s="578">
        <f t="array" ref="CV172">$Z172  * (1 + SUM( ($AU$80:$AU$83=CV$93) * ($BH$79:$BP$79=CV$94) * ($BH$80:$BP$83) ))</f>
        <v>0.79283925757477292</v>
      </c>
      <c r="CW172" s="578">
        <f t="array" ref="CW172">$Z172  * (1 + SUM( ($AU$80:$AU$83=CW$93) * ($BH$79:$BP$79=CW$94) * ($BH$80:$BP$83) ))</f>
        <v>0.8285218820374276</v>
      </c>
      <c r="CX172" s="578">
        <f t="array" ref="CX172">$Z172  * (1 + SUM( ($AU$80:$AU$83=CX$93) * ($BH$79:$BP$79=CX$94) * ($BH$80:$BP$83) ))</f>
        <v>0.87812218811116161</v>
      </c>
      <c r="CY172" s="578">
        <f t="array" ref="CY172">$Z172  * (1 + SUM( ($AU$80:$AU$83=CY$93) * ($BH$79:$BP$79=CY$94) * ($BH$80:$BP$83) ))</f>
        <v>0.9347584224713521</v>
      </c>
      <c r="CZ172" s="578">
        <f t="array" ref="CZ172">$Z172  * (1 + SUM( ($AU$80:$AU$83=CZ$93) * ($BH$79:$BP$79=CZ$94) * ($BH$80:$BP$83) ))</f>
        <v>0.98656969523544402</v>
      </c>
      <c r="DA172" s="578">
        <f t="array" ref="DA172">$Z172  * (1 + SUM( ($AU$80:$AU$83=DA$93) * ($BH$79:$BP$79=DA$94) * ($BH$80:$BP$83) ))</f>
        <v>1.0251969448031375</v>
      </c>
      <c r="DB172" s="578">
        <f t="array" ref="DB172">$Z172  * (1 + SUM( ($AU$80:$AU$83=DB$93) * ($BH$79:$BP$79=DB$94) * ($BH$80:$BP$83) ))</f>
        <v>1.0498260359858889</v>
      </c>
      <c r="DC172" s="578">
        <f t="array" ref="DC172">$Z172  * (1 + SUM( ($AU$80:$AU$83=DC$93) * ($BH$79:$BP$79=DC$94) * ($BH$80:$BP$83) ))</f>
        <v>1.0639999999999998</v>
      </c>
    </row>
    <row r="173" spans="1:107">
      <c r="A173" s="585" t="s">
        <v>1162</v>
      </c>
      <c r="B173" s="585" t="s">
        <v>1161</v>
      </c>
      <c r="C173" s="584" t="s">
        <v>1027</v>
      </c>
      <c r="D173" s="584" t="s">
        <v>951</v>
      </c>
      <c r="E173" s="538">
        <v>0.6</v>
      </c>
      <c r="F173" s="540">
        <v>0.56299999999999994</v>
      </c>
      <c r="G173" s="539">
        <v>100</v>
      </c>
      <c r="H173" s="540">
        <v>0</v>
      </c>
      <c r="I173" s="580"/>
      <c r="J173" s="541">
        <v>1</v>
      </c>
      <c r="K173" s="540">
        <v>0</v>
      </c>
      <c r="L173" s="540">
        <v>0</v>
      </c>
      <c r="M173" s="580"/>
      <c r="N173" s="594"/>
      <c r="O173" s="580"/>
      <c r="P173" s="583">
        <v>0</v>
      </c>
      <c r="Q173" s="581">
        <v>0.05</v>
      </c>
      <c r="R173" s="581">
        <v>0.25</v>
      </c>
      <c r="S173" s="581">
        <v>0.5</v>
      </c>
      <c r="T173" s="580"/>
      <c r="U173" s="582">
        <v>0</v>
      </c>
      <c r="V173" s="581">
        <v>0</v>
      </c>
      <c r="W173" s="581">
        <v>0</v>
      </c>
      <c r="X173" s="581">
        <v>0</v>
      </c>
      <c r="Y173" s="580"/>
      <c r="Z173" s="582">
        <v>0.7</v>
      </c>
      <c r="AA173" s="581">
        <v>0.7</v>
      </c>
      <c r="AB173" s="581">
        <v>0.7</v>
      </c>
      <c r="AC173" s="581">
        <v>0.7</v>
      </c>
      <c r="AD173" s="581">
        <v>0.7</v>
      </c>
      <c r="AE173" s="581">
        <v>0.7</v>
      </c>
      <c r="AF173" s="581">
        <v>0.7</v>
      </c>
      <c r="AG173" s="580"/>
      <c r="AH173" s="1163">
        <v>78</v>
      </c>
      <c r="AI173" s="1162" t="str">
        <f t="shared" si="22"/>
        <v>NFSWAS</v>
      </c>
      <c r="AJ173" s="1160">
        <v>0</v>
      </c>
      <c r="AK173" s="1160">
        <v>0</v>
      </c>
      <c r="AL173" s="1160">
        <v>0</v>
      </c>
      <c r="AM173" s="1160">
        <v>0</v>
      </c>
      <c r="AN173" s="1160">
        <v>0</v>
      </c>
      <c r="AO173" s="1160">
        <v>0</v>
      </c>
      <c r="AP173" s="1160">
        <v>0</v>
      </c>
      <c r="AQ173" s="1160">
        <v>0</v>
      </c>
      <c r="AR173" s="1160">
        <v>0</v>
      </c>
      <c r="AS173" s="1181">
        <v>0</v>
      </c>
      <c r="AT173" s="1181">
        <v>0</v>
      </c>
      <c r="AU173" s="1181">
        <v>0</v>
      </c>
      <c r="AV173" s="1181">
        <v>0</v>
      </c>
      <c r="AW173" s="1181">
        <v>0</v>
      </c>
      <c r="AX173" s="1181">
        <v>0</v>
      </c>
      <c r="AY173" s="1181">
        <v>0</v>
      </c>
      <c r="AZ173" s="1181">
        <v>0</v>
      </c>
      <c r="BA173" s="1181">
        <v>0</v>
      </c>
      <c r="BB173" s="1160">
        <v>0</v>
      </c>
      <c r="BC173" s="1160">
        <v>0</v>
      </c>
      <c r="BD173" s="1160">
        <v>0</v>
      </c>
      <c r="BE173" s="1160">
        <v>0</v>
      </c>
      <c r="BF173" s="1160">
        <v>0</v>
      </c>
      <c r="BG173" s="1160">
        <v>0</v>
      </c>
      <c r="BH173" s="1160">
        <v>0</v>
      </c>
      <c r="BI173" s="1160">
        <v>0</v>
      </c>
      <c r="BJ173" s="1160">
        <v>0</v>
      </c>
      <c r="BK173" s="1159">
        <v>0</v>
      </c>
      <c r="BL173" s="1159">
        <v>0</v>
      </c>
      <c r="BM173" s="1159">
        <v>0</v>
      </c>
      <c r="BN173" s="1159">
        <v>0</v>
      </c>
      <c r="BO173" s="1159">
        <v>0</v>
      </c>
      <c r="BP173" s="1159">
        <v>0</v>
      </c>
      <c r="BQ173" s="1159">
        <v>0</v>
      </c>
      <c r="BR173" s="1159">
        <v>0</v>
      </c>
      <c r="BS173" s="1159">
        <v>0</v>
      </c>
      <c r="BT173" s="579">
        <f t="array" ref="BT173">$Z173  * (1 + SUM( ($AU$80:$AU$83=BT$93) * ($BH$79:$BP$79=BT$94) * ($BH$80:$BP$83) ))</f>
        <v>0.70024500558065272</v>
      </c>
      <c r="BU173" s="579">
        <f t="array" ref="BU173">$Z173  * (1 + SUM( ($AU$80:$AU$83=BU$93) * ($BH$79:$BP$79=BU$94) * ($BH$80:$BP$83) ))</f>
        <v>0.70075616711520849</v>
      </c>
      <c r="BV173" s="579">
        <f t="array" ref="BV173">$Z173  * (1 + SUM( ($AU$80:$AU$83=BV$93) * ($BH$79:$BP$79=BV$94) * ($BH$80:$BP$83) ))</f>
        <v>0.70157780649428281</v>
      </c>
      <c r="BW173" s="579">
        <f t="array" ref="BW173">$Z173  * (1 + SUM( ($AU$80:$AU$83=BW$93) * ($BH$79:$BP$79=BW$94) * ($BH$80:$BP$83) ))</f>
        <v>0.70271991880519113</v>
      </c>
      <c r="BX173" s="579">
        <f t="array" ref="BX173">$Z173  * (1 + SUM( ($AU$80:$AU$83=BX$93) * ($BH$79:$BP$79=BX$94) * ($BH$80:$BP$83) ))</f>
        <v>0.70402404262269558</v>
      </c>
      <c r="BY173" s="579">
        <f t="array" ref="BY173">$Z173  * (1 + SUM( ($AU$80:$AU$83=BY$93) * ($BH$79:$BP$79=BY$94) * ($BH$80:$BP$83) ))</f>
        <v>0.70521706535081619</v>
      </c>
      <c r="BZ173" s="579">
        <f t="array" ref="BZ173">$Z173  * (1 + SUM( ($AU$80:$AU$83=BZ$93) * ($BH$79:$BP$79=BZ$94) * ($BH$80:$BP$83) ))</f>
        <v>0.70610650859744051</v>
      </c>
      <c r="CA173" s="579">
        <f t="array" ref="CA173">$Z173  * (1 + SUM( ($AU$80:$AU$83=CA$93) * ($BH$79:$BP$79=CA$94) * ($BH$80:$BP$83) ))</f>
        <v>0.70667362582862236</v>
      </c>
      <c r="CB173" s="579">
        <f t="array" ref="CB173">$Z173  * (1 + SUM( ($AU$80:$AU$83=CB$93) * ($BH$79:$BP$79=CB$94) * ($BH$80:$BP$83) ))</f>
        <v>0.70699999999999996</v>
      </c>
      <c r="CC173" s="578">
        <f t="array" ref="CC173">$Z173  * (1 + SUM( ($AU$80:$AU$83=CC$93) * ($BH$79:$BP$79=CC$94) * ($BH$80:$BP$83) ))</f>
        <v>0.70367508370979115</v>
      </c>
      <c r="CD173" s="578">
        <f t="array" ref="CD173">$Z173  * (1 + SUM( ($AU$80:$AU$83=CD$93) * ($BH$79:$BP$79=CD$94) * ($BH$80:$BP$83) ))</f>
        <v>0.71134250672812871</v>
      </c>
      <c r="CE173" s="578">
        <f t="array" ref="CE173">$Z173  * (1 + SUM( ($AU$80:$AU$83=CE$93) * ($BH$79:$BP$79=CE$94) * ($BH$80:$BP$83) ))</f>
        <v>0.72366709741424307</v>
      </c>
      <c r="CF173" s="578">
        <f t="array" ref="CF173">$Z173  * (1 + SUM( ($AU$80:$AU$83=CF$93) * ($BH$79:$BP$79=CF$94) * ($BH$80:$BP$83) ))</f>
        <v>0.74079878207786831</v>
      </c>
      <c r="CG173" s="578">
        <f t="array" ref="CG173">$Z173  * (1 + SUM( ($AU$80:$AU$83=CG$93) * ($BH$79:$BP$79=CG$94) * ($BH$80:$BP$83) ))</f>
        <v>0.76036063934043396</v>
      </c>
      <c r="CH173" s="578">
        <f t="array" ref="CH173">$Z173  * (1 + SUM( ($AU$80:$AU$83=CH$93) * ($BH$79:$BP$79=CH$94) * ($BH$80:$BP$83) ))</f>
        <v>0.77825598026224219</v>
      </c>
      <c r="CI173" s="578">
        <f t="array" ref="CI173">$Z173  * (1 + SUM( ($AU$80:$AU$83=CI$93) * ($BH$79:$BP$79=CI$94) * ($BH$80:$BP$83) ))</f>
        <v>0.79159762896160979</v>
      </c>
      <c r="CJ173" s="578">
        <f t="array" ref="CJ173">$Z173  * (1 + SUM( ($AU$80:$AU$83=CJ$93) * ($BH$79:$BP$79=CJ$94) * ($BH$80:$BP$83) ))</f>
        <v>0.80010438742933654</v>
      </c>
      <c r="CK173" s="578">
        <f t="array" ref="CK173">$Z173  * (1 + SUM( ($AU$80:$AU$83=CK$93) * ($BH$79:$BP$79=CK$94) * ($BH$80:$BP$83) ))</f>
        <v>0.80499999999999994</v>
      </c>
      <c r="CL173" s="579">
        <f t="array" ref="CL173">$Z173  * (1 + SUM( ($AU$80:$AU$83=CL$93) * ($BH$79:$BP$79=CL$94) * ($BH$80:$BP$83) ))</f>
        <v>0.70735016741958234</v>
      </c>
      <c r="CM173" s="579">
        <f t="array" ref="CM173">$Z173  * (1 + SUM( ($AU$80:$AU$83=CM$93) * ($BH$79:$BP$79=CM$94) * ($BH$80:$BP$83) ))</f>
        <v>0.72268501345625757</v>
      </c>
      <c r="CN173" s="579">
        <f t="array" ref="CN173">$Z173  * (1 + SUM( ($AU$80:$AU$83=CN$93) * ($BH$79:$BP$79=CN$94) * ($BH$80:$BP$83) ))</f>
        <v>0.74733419482848618</v>
      </c>
      <c r="CO173" s="579">
        <f t="array" ref="CO173">$Z173  * (1 + SUM( ($AU$80:$AU$83=CO$93) * ($BH$79:$BP$79=CO$94) * ($BH$80:$BP$83) ))</f>
        <v>0.78159756415573645</v>
      </c>
      <c r="CP173" s="579">
        <f t="array" ref="CP173">$Z173  * (1 + SUM( ($AU$80:$AU$83=CP$93) * ($BH$79:$BP$79=CP$94) * ($BH$80:$BP$83) ))</f>
        <v>0.82072127868086819</v>
      </c>
      <c r="CQ173" s="579">
        <f t="array" ref="CQ173">$Z173  * (1 + SUM( ($AU$80:$AU$83=CQ$93) * ($BH$79:$BP$79=CQ$94) * ($BH$80:$BP$83) ))</f>
        <v>0.85651196052448431</v>
      </c>
      <c r="CR173" s="579">
        <f t="array" ref="CR173">$Z173  * (1 + SUM( ($AU$80:$AU$83=CR$93) * ($BH$79:$BP$79=CR$94) * ($BH$80:$BP$83) ))</f>
        <v>0.88319525792321985</v>
      </c>
      <c r="CS173" s="579">
        <f t="array" ref="CS173">$Z173  * (1 + SUM( ($AU$80:$AU$83=CS$93) * ($BH$79:$BP$79=CS$94) * ($BH$80:$BP$83) ))</f>
        <v>0.90020877485867323</v>
      </c>
      <c r="CT173" s="579">
        <f t="array" ref="CT173">$Z173  * (1 + SUM( ($AU$80:$AU$83=CT$93) * ($BH$79:$BP$79=CT$94) * ($BH$80:$BP$83) ))</f>
        <v>0.90999999999999992</v>
      </c>
      <c r="CU173" s="578">
        <f t="array" ref="CU173">$Z173  * (1 + SUM( ($AU$80:$AU$83=CU$93) * ($BH$79:$BP$79=CU$94) * ($BH$80:$BP$83) ))</f>
        <v>0.70980022322610981</v>
      </c>
      <c r="CV173" s="578">
        <f t="array" ref="CV173">$Z173  * (1 + SUM( ($AU$80:$AU$83=CV$93) * ($BH$79:$BP$79=CV$94) * ($BH$80:$BP$83) ))</f>
        <v>0.73024668460834341</v>
      </c>
      <c r="CW173" s="578">
        <f t="array" ref="CW173">$Z173  * (1 + SUM( ($AU$80:$AU$83=CW$93) * ($BH$79:$BP$79=CW$94) * ($BH$80:$BP$83) ))</f>
        <v>0.7631122597713148</v>
      </c>
      <c r="CX173" s="578">
        <f t="array" ref="CX173">$Z173  * (1 + SUM( ($AU$80:$AU$83=CX$93) * ($BH$79:$BP$79=CX$94) * ($BH$80:$BP$83) ))</f>
        <v>0.80879675220764879</v>
      </c>
      <c r="CY173" s="578">
        <f t="array" ref="CY173">$Z173  * (1 + SUM( ($AU$80:$AU$83=CY$93) * ($BH$79:$BP$79=CY$94) * ($BH$80:$BP$83) ))</f>
        <v>0.8609617049078242</v>
      </c>
      <c r="CZ173" s="578">
        <f t="array" ref="CZ173">$Z173  * (1 + SUM( ($AU$80:$AU$83=CZ$93) * ($BH$79:$BP$79=CZ$94) * ($BH$80:$BP$83) ))</f>
        <v>0.90868261403264572</v>
      </c>
      <c r="DA173" s="578">
        <f t="array" ref="DA173">$Z173  * (1 + SUM( ($AU$80:$AU$83=DA$93) * ($BH$79:$BP$79=DA$94) * ($BH$80:$BP$83) ))</f>
        <v>0.94426034389762659</v>
      </c>
      <c r="DB173" s="578">
        <f t="array" ref="DB173">$Z173  * (1 + SUM( ($AU$80:$AU$83=DB$93) * ($BH$79:$BP$79=DB$94) * ($BH$80:$BP$83) ))</f>
        <v>0.96694503314489766</v>
      </c>
      <c r="DC173" s="578">
        <f t="array" ref="DC173">$Z173  * (1 + SUM( ($AU$80:$AU$83=DC$93) * ($BH$79:$BP$79=DC$94) * ($BH$80:$BP$83) ))</f>
        <v>0.97999999999999987</v>
      </c>
    </row>
    <row r="174" spans="1:107" ht="52" customHeight="1" thickBot="1">
      <c r="A174" s="1180" t="s">
        <v>1064</v>
      </c>
      <c r="B174" s="1179" t="s">
        <v>796</v>
      </c>
      <c r="C174" s="1179" t="s">
        <v>797</v>
      </c>
      <c r="D174" s="1179" t="s">
        <v>798</v>
      </c>
      <c r="E174" s="1179" t="s">
        <v>385</v>
      </c>
      <c r="F174" s="1179" t="s">
        <v>799</v>
      </c>
      <c r="G174" s="1179" t="s">
        <v>800</v>
      </c>
      <c r="H174" s="1179" t="s">
        <v>801</v>
      </c>
      <c r="I174" s="1164"/>
      <c r="J174" s="1179" t="s">
        <v>803</v>
      </c>
      <c r="K174" s="1179" t="s">
        <v>804</v>
      </c>
      <c r="L174" s="1179" t="s">
        <v>805</v>
      </c>
      <c r="M174" s="1179" t="s">
        <v>806</v>
      </c>
      <c r="N174" s="1179" t="s">
        <v>877</v>
      </c>
      <c r="O174" s="1168"/>
      <c r="P174" s="1163" t="s">
        <v>881</v>
      </c>
      <c r="Q174" s="1164"/>
      <c r="R174" s="1164"/>
      <c r="S174" s="1164"/>
      <c r="T174" s="1164"/>
      <c r="U174" s="1163" t="s">
        <v>881</v>
      </c>
      <c r="V174" s="1164"/>
      <c r="W174" s="1164"/>
      <c r="X174" s="1164"/>
      <c r="Y174" s="1164"/>
      <c r="Z174" s="1163" t="s">
        <v>881</v>
      </c>
      <c r="AA174" s="1164"/>
      <c r="AB174" s="1164"/>
      <c r="AC174" s="1164"/>
      <c r="AD174" s="1164"/>
      <c r="AE174" s="1164"/>
      <c r="AF174" s="1164"/>
      <c r="AG174" s="1164"/>
      <c r="AH174" s="1163">
        <v>79</v>
      </c>
      <c r="AI174" s="1162"/>
      <c r="AJ174" s="1163" t="s">
        <v>881</v>
      </c>
      <c r="AK174" s="1163" t="s">
        <v>881</v>
      </c>
      <c r="AL174" s="1163" t="s">
        <v>881</v>
      </c>
      <c r="AM174" s="1163" t="s">
        <v>881</v>
      </c>
      <c r="AN174" s="1163" t="s">
        <v>881</v>
      </c>
      <c r="AO174" s="1163" t="s">
        <v>881</v>
      </c>
      <c r="AP174" s="1163" t="s">
        <v>881</v>
      </c>
      <c r="AQ174" s="1163" t="s">
        <v>881</v>
      </c>
      <c r="AR174" s="1163" t="s">
        <v>881</v>
      </c>
      <c r="AS174" s="1170" t="s">
        <v>881</v>
      </c>
      <c r="AT174" s="1170" t="s">
        <v>881</v>
      </c>
      <c r="AU174" s="1170" t="s">
        <v>881</v>
      </c>
      <c r="AV174" s="1170" t="s">
        <v>881</v>
      </c>
      <c r="AW174" s="1170" t="s">
        <v>881</v>
      </c>
      <c r="AX174" s="1170" t="s">
        <v>881</v>
      </c>
      <c r="AY174" s="1170" t="s">
        <v>881</v>
      </c>
      <c r="AZ174" s="1170" t="s">
        <v>881</v>
      </c>
      <c r="BA174" s="1170" t="s">
        <v>881</v>
      </c>
      <c r="BB174" s="1163" t="s">
        <v>881</v>
      </c>
      <c r="BC174" s="1163" t="s">
        <v>881</v>
      </c>
      <c r="BD174" s="1163" t="s">
        <v>881</v>
      </c>
      <c r="BE174" s="1163" t="s">
        <v>881</v>
      </c>
      <c r="BF174" s="1163" t="s">
        <v>881</v>
      </c>
      <c r="BG174" s="1163" t="s">
        <v>881</v>
      </c>
      <c r="BH174" s="1163" t="s">
        <v>881</v>
      </c>
      <c r="BI174" s="1163" t="s">
        <v>881</v>
      </c>
      <c r="BJ174" s="1163" t="s">
        <v>881</v>
      </c>
      <c r="BK174" s="1170" t="s">
        <v>881</v>
      </c>
      <c r="BL174" s="1170" t="s">
        <v>881</v>
      </c>
      <c r="BM174" s="1170" t="s">
        <v>881</v>
      </c>
      <c r="BN174" s="1170" t="s">
        <v>881</v>
      </c>
      <c r="BO174" s="1170" t="s">
        <v>881</v>
      </c>
      <c r="BP174" s="1170" t="s">
        <v>881</v>
      </c>
      <c r="BQ174" s="1170" t="s">
        <v>881</v>
      </c>
      <c r="BR174" s="1170" t="s">
        <v>881</v>
      </c>
      <c r="BS174" s="1170" t="s">
        <v>881</v>
      </c>
      <c r="BT174" s="592"/>
      <c r="BU174" s="592"/>
      <c r="BV174" s="592"/>
      <c r="BW174" s="592"/>
      <c r="BX174" s="592"/>
      <c r="BY174" s="592"/>
      <c r="BZ174" s="592"/>
      <c r="CA174" s="592"/>
      <c r="CB174" s="592"/>
      <c r="CC174" s="593"/>
      <c r="CD174" s="593"/>
      <c r="CE174" s="593"/>
      <c r="CF174" s="593"/>
      <c r="CG174" s="593"/>
      <c r="CH174" s="593"/>
      <c r="CI174" s="593"/>
      <c r="CJ174" s="593"/>
      <c r="CK174" s="593"/>
      <c r="CL174" s="592"/>
      <c r="CM174" s="592"/>
      <c r="CN174" s="592"/>
      <c r="CO174" s="592"/>
      <c r="CP174" s="592"/>
      <c r="CQ174" s="592"/>
      <c r="CR174" s="592"/>
      <c r="CS174" s="592"/>
      <c r="CT174" s="592"/>
      <c r="CU174" s="592"/>
      <c r="CV174" s="592"/>
      <c r="CW174" s="592"/>
      <c r="CX174" s="592"/>
      <c r="CY174" s="592"/>
      <c r="CZ174" s="592"/>
      <c r="DA174" s="592"/>
      <c r="DB174" s="592"/>
      <c r="DC174" s="592"/>
    </row>
    <row r="175" spans="1:107">
      <c r="A175" s="1173" t="s">
        <v>807</v>
      </c>
      <c r="B175" s="1178" t="s">
        <v>1007</v>
      </c>
      <c r="C175" s="1177"/>
      <c r="D175" s="1177"/>
      <c r="E175" s="1176" t="s">
        <v>808</v>
      </c>
      <c r="F175" s="1176" t="s">
        <v>809</v>
      </c>
      <c r="G175" s="1174" t="s">
        <v>810</v>
      </c>
      <c r="H175" s="1175" t="s">
        <v>811</v>
      </c>
      <c r="I175" s="1164"/>
      <c r="J175" s="1174" t="s">
        <v>812</v>
      </c>
      <c r="K175" s="1174" t="s">
        <v>813</v>
      </c>
      <c r="L175" s="1174" t="s">
        <v>813</v>
      </c>
      <c r="M175" s="1168"/>
      <c r="N175" s="1168"/>
      <c r="O175" s="1168"/>
      <c r="P175" s="1163" t="s">
        <v>881</v>
      </c>
      <c r="Q175" s="1164"/>
      <c r="R175" s="1164"/>
      <c r="S175" s="1164"/>
      <c r="T175" s="1164"/>
      <c r="U175" s="1163" t="s">
        <v>881</v>
      </c>
      <c r="V175" s="1164"/>
      <c r="W175" s="1164"/>
      <c r="X175" s="1164"/>
      <c r="Y175" s="1164"/>
      <c r="Z175" s="1163" t="s">
        <v>881</v>
      </c>
      <c r="AA175" s="1164"/>
      <c r="AB175" s="1164"/>
      <c r="AC175" s="1164"/>
      <c r="AD175" s="1164"/>
      <c r="AE175" s="1164"/>
      <c r="AF175" s="1164"/>
      <c r="AG175" s="1164"/>
      <c r="AH175" s="1163">
        <v>80</v>
      </c>
      <c r="AI175" s="1162" t="str">
        <f>MID(D175,2,2)</f>
        <v/>
      </c>
      <c r="AJ175" s="1163" t="s">
        <v>881</v>
      </c>
      <c r="AK175" s="1163" t="s">
        <v>881</v>
      </c>
      <c r="AL175" s="1163" t="s">
        <v>881</v>
      </c>
      <c r="AM175" s="1163" t="s">
        <v>881</v>
      </c>
      <c r="AN175" s="1163" t="s">
        <v>881</v>
      </c>
      <c r="AO175" s="1163" t="s">
        <v>881</v>
      </c>
      <c r="AP175" s="1163" t="s">
        <v>881</v>
      </c>
      <c r="AQ175" s="1163" t="s">
        <v>881</v>
      </c>
      <c r="AR175" s="1163" t="s">
        <v>881</v>
      </c>
      <c r="AS175" s="1170" t="s">
        <v>881</v>
      </c>
      <c r="AT175" s="1170" t="s">
        <v>881</v>
      </c>
      <c r="AU175" s="1170" t="s">
        <v>881</v>
      </c>
      <c r="AV175" s="1170" t="s">
        <v>881</v>
      </c>
      <c r="AW175" s="1170" t="s">
        <v>881</v>
      </c>
      <c r="AX175" s="1170" t="s">
        <v>881</v>
      </c>
      <c r="AY175" s="1170" t="s">
        <v>881</v>
      </c>
      <c r="AZ175" s="1170" t="s">
        <v>881</v>
      </c>
      <c r="BA175" s="1170" t="s">
        <v>881</v>
      </c>
      <c r="BB175" s="1163" t="s">
        <v>881</v>
      </c>
      <c r="BC175" s="1163" t="s">
        <v>881</v>
      </c>
      <c r="BD175" s="1163" t="s">
        <v>881</v>
      </c>
      <c r="BE175" s="1163" t="s">
        <v>881</v>
      </c>
      <c r="BF175" s="1163" t="s">
        <v>881</v>
      </c>
      <c r="BG175" s="1163" t="s">
        <v>881</v>
      </c>
      <c r="BH175" s="1163" t="s">
        <v>881</v>
      </c>
      <c r="BI175" s="1163" t="s">
        <v>881</v>
      </c>
      <c r="BJ175" s="1163" t="s">
        <v>881</v>
      </c>
      <c r="BK175" s="1170" t="s">
        <v>881</v>
      </c>
      <c r="BL175" s="1170" t="s">
        <v>881</v>
      </c>
      <c r="BM175" s="1170" t="s">
        <v>881</v>
      </c>
      <c r="BN175" s="1170" t="s">
        <v>881</v>
      </c>
      <c r="BO175" s="1170" t="s">
        <v>881</v>
      </c>
      <c r="BP175" s="1170" t="s">
        <v>881</v>
      </c>
      <c r="BQ175" s="1170" t="s">
        <v>881</v>
      </c>
      <c r="BR175" s="1170" t="s">
        <v>881</v>
      </c>
      <c r="BS175" s="1170" t="s">
        <v>881</v>
      </c>
      <c r="BT175" s="590"/>
      <c r="BU175" s="590"/>
      <c r="BV175" s="590"/>
      <c r="BW175" s="590"/>
      <c r="BX175" s="590"/>
      <c r="BY175" s="590"/>
      <c r="BZ175" s="590"/>
      <c r="CA175" s="590"/>
      <c r="CB175" s="590"/>
      <c r="CC175" s="591"/>
      <c r="CD175" s="591"/>
      <c r="CE175" s="591"/>
      <c r="CF175" s="591"/>
      <c r="CG175" s="591"/>
      <c r="CH175" s="591"/>
      <c r="CI175" s="591"/>
      <c r="CJ175" s="591"/>
      <c r="CK175" s="591"/>
      <c r="CL175" s="590"/>
      <c r="CM175" s="590"/>
      <c r="CN175" s="590"/>
      <c r="CO175" s="590"/>
      <c r="CP175" s="590"/>
      <c r="CQ175" s="590"/>
      <c r="CR175" s="590"/>
      <c r="CS175" s="590"/>
      <c r="CT175" s="590"/>
      <c r="CU175" s="590"/>
      <c r="CV175" s="590"/>
      <c r="CW175" s="590"/>
      <c r="CX175" s="590"/>
      <c r="CY175" s="590"/>
      <c r="CZ175" s="590"/>
      <c r="DA175" s="590"/>
      <c r="DB175" s="590"/>
      <c r="DC175" s="590"/>
    </row>
    <row r="176" spans="1:107">
      <c r="A176" s="1173" t="s">
        <v>814</v>
      </c>
      <c r="B176" s="1167"/>
      <c r="C176" s="1172">
        <v>1</v>
      </c>
      <c r="D176" s="1172">
        <v>2</v>
      </c>
      <c r="E176" s="1172">
        <v>3</v>
      </c>
      <c r="F176" s="1172">
        <v>4</v>
      </c>
      <c r="G176" s="1172">
        <v>5</v>
      </c>
      <c r="H176" s="1172">
        <v>6</v>
      </c>
      <c r="I176" s="1164"/>
      <c r="J176" s="589"/>
      <c r="K176" s="1171"/>
      <c r="L176" s="1171"/>
      <c r="M176" s="1168"/>
      <c r="N176" s="1168"/>
      <c r="O176" s="1168"/>
      <c r="P176" s="1163" t="s">
        <v>881</v>
      </c>
      <c r="Q176" s="1164"/>
      <c r="R176" s="1164"/>
      <c r="S176" s="1164"/>
      <c r="T176" s="1164"/>
      <c r="U176" s="1163" t="s">
        <v>881</v>
      </c>
      <c r="V176" s="1164"/>
      <c r="W176" s="1164"/>
      <c r="X176" s="1164"/>
      <c r="Y176" s="1164"/>
      <c r="Z176" s="1163" t="s">
        <v>881</v>
      </c>
      <c r="AA176" s="1164"/>
      <c r="AB176" s="1164"/>
      <c r="AC176" s="1164"/>
      <c r="AD176" s="1164"/>
      <c r="AE176" s="1164"/>
      <c r="AF176" s="1164"/>
      <c r="AG176" s="1164"/>
      <c r="AH176" s="1163">
        <v>81</v>
      </c>
      <c r="AI176" s="1162" t="str">
        <f>MID(D176,2,2)</f>
        <v/>
      </c>
      <c r="AJ176" s="1163" t="s">
        <v>881</v>
      </c>
      <c r="AK176" s="1163" t="s">
        <v>881</v>
      </c>
      <c r="AL176" s="1163" t="s">
        <v>881</v>
      </c>
      <c r="AM176" s="1163" t="s">
        <v>881</v>
      </c>
      <c r="AN176" s="1163" t="s">
        <v>881</v>
      </c>
      <c r="AO176" s="1163" t="s">
        <v>881</v>
      </c>
      <c r="AP176" s="1163" t="s">
        <v>881</v>
      </c>
      <c r="AQ176" s="1163" t="s">
        <v>881</v>
      </c>
      <c r="AR176" s="1163" t="s">
        <v>881</v>
      </c>
      <c r="AS176" s="1170" t="s">
        <v>881</v>
      </c>
      <c r="AT176" s="1170" t="s">
        <v>881</v>
      </c>
      <c r="AU176" s="1170" t="s">
        <v>881</v>
      </c>
      <c r="AV176" s="1170" t="s">
        <v>881</v>
      </c>
      <c r="AW176" s="1170" t="s">
        <v>881</v>
      </c>
      <c r="AX176" s="1170" t="s">
        <v>881</v>
      </c>
      <c r="AY176" s="1170" t="s">
        <v>881</v>
      </c>
      <c r="AZ176" s="1170" t="s">
        <v>881</v>
      </c>
      <c r="BA176" s="1170" t="s">
        <v>881</v>
      </c>
      <c r="BB176" s="1163" t="s">
        <v>881</v>
      </c>
      <c r="BC176" s="1163" t="s">
        <v>881</v>
      </c>
      <c r="BD176" s="1163" t="s">
        <v>881</v>
      </c>
      <c r="BE176" s="1163" t="s">
        <v>881</v>
      </c>
      <c r="BF176" s="1163" t="s">
        <v>881</v>
      </c>
      <c r="BG176" s="1163" t="s">
        <v>881</v>
      </c>
      <c r="BH176" s="1163" t="s">
        <v>881</v>
      </c>
      <c r="BI176" s="1163" t="s">
        <v>881</v>
      </c>
      <c r="BJ176" s="1163" t="s">
        <v>881</v>
      </c>
      <c r="BK176" s="1170" t="s">
        <v>881</v>
      </c>
      <c r="BL176" s="1170" t="s">
        <v>881</v>
      </c>
      <c r="BM176" s="1170" t="s">
        <v>881</v>
      </c>
      <c r="BN176" s="1170" t="s">
        <v>881</v>
      </c>
      <c r="BO176" s="1170" t="s">
        <v>881</v>
      </c>
      <c r="BP176" s="1170" t="s">
        <v>881</v>
      </c>
      <c r="BQ176" s="1170" t="s">
        <v>881</v>
      </c>
      <c r="BR176" s="1170" t="s">
        <v>881</v>
      </c>
      <c r="BS176" s="1170" t="s">
        <v>881</v>
      </c>
      <c r="BT176" s="588"/>
      <c r="BU176" s="588"/>
      <c r="BV176" s="588"/>
      <c r="BW176" s="588"/>
      <c r="BX176" s="588"/>
      <c r="BY176" s="588"/>
      <c r="BZ176" s="588"/>
      <c r="CA176" s="588"/>
      <c r="CB176" s="588"/>
      <c r="CC176" s="578"/>
      <c r="CD176" s="578"/>
      <c r="CE176" s="578"/>
      <c r="CF176" s="578"/>
      <c r="CG176" s="578"/>
      <c r="CH176" s="578"/>
      <c r="CI176" s="578"/>
      <c r="CJ176" s="578"/>
      <c r="CK176" s="578"/>
      <c r="CL176" s="588"/>
      <c r="CM176" s="588"/>
      <c r="CN176" s="588"/>
      <c r="CO176" s="588"/>
      <c r="CP176" s="588"/>
      <c r="CQ176" s="588"/>
      <c r="CR176" s="588"/>
      <c r="CS176" s="588"/>
      <c r="CT176" s="588"/>
      <c r="CU176" s="588"/>
      <c r="CV176" s="588"/>
      <c r="CW176" s="588"/>
      <c r="CX176" s="588"/>
      <c r="CY176" s="588"/>
      <c r="CZ176" s="588"/>
      <c r="DA176" s="588"/>
      <c r="DB176" s="588"/>
      <c r="DC176" s="588"/>
    </row>
    <row r="177" spans="1:109">
      <c r="A177" s="1167" t="s">
        <v>1160</v>
      </c>
      <c r="B177" s="1167" t="s">
        <v>1159</v>
      </c>
      <c r="C177" s="1166" t="s">
        <v>1030</v>
      </c>
      <c r="D177" s="1166" t="s">
        <v>950</v>
      </c>
      <c r="E177" s="577">
        <v>1</v>
      </c>
      <c r="F177" s="574">
        <v>0.79010000000000002</v>
      </c>
      <c r="G177" s="576">
        <v>100</v>
      </c>
      <c r="H177" s="574">
        <v>6.9957605771421356</v>
      </c>
      <c r="I177" s="1164"/>
      <c r="J177" s="575">
        <v>1</v>
      </c>
      <c r="K177" s="574">
        <v>5.5273504320000013</v>
      </c>
      <c r="L177" s="574">
        <v>5.5273504320000013</v>
      </c>
      <c r="M177" s="1168"/>
      <c r="N177" s="1168">
        <v>1</v>
      </c>
      <c r="O177" s="1168"/>
      <c r="P177" s="1163" t="s">
        <v>881</v>
      </c>
      <c r="Q177" s="1164"/>
      <c r="R177" s="1164"/>
      <c r="S177" s="1164"/>
      <c r="T177" s="1164"/>
      <c r="U177" s="1163" t="s">
        <v>881</v>
      </c>
      <c r="V177" s="1164"/>
      <c r="W177" s="1164"/>
      <c r="X177" s="1164"/>
      <c r="Y177" s="1164"/>
      <c r="Z177" s="573">
        <v>1</v>
      </c>
      <c r="AA177" s="572">
        <v>1</v>
      </c>
      <c r="AB177" s="572">
        <v>1</v>
      </c>
      <c r="AC177" s="572">
        <v>1</v>
      </c>
      <c r="AD177" s="572">
        <v>1</v>
      </c>
      <c r="AE177" s="572">
        <v>1</v>
      </c>
      <c r="AF177" s="572">
        <v>1</v>
      </c>
      <c r="AG177" s="1164"/>
      <c r="AH177" s="1163">
        <v>82</v>
      </c>
      <c r="AI177" s="1162" t="str">
        <f>MID(D177,2,2)&amp;C177</f>
        <v>NMINDELC</v>
      </c>
      <c r="AJ177" s="1163" t="s">
        <v>881</v>
      </c>
      <c r="AK177" s="1163" t="s">
        <v>881</v>
      </c>
      <c r="AL177" s="1163" t="s">
        <v>881</v>
      </c>
      <c r="AM177" s="1163" t="s">
        <v>881</v>
      </c>
      <c r="AN177" s="1163" t="s">
        <v>881</v>
      </c>
      <c r="AO177" s="1163" t="s">
        <v>881</v>
      </c>
      <c r="AP177" s="1163" t="s">
        <v>881</v>
      </c>
      <c r="AQ177" s="1163" t="s">
        <v>881</v>
      </c>
      <c r="AR177" s="1163" t="s">
        <v>881</v>
      </c>
      <c r="AS177" s="1170" t="s">
        <v>881</v>
      </c>
      <c r="AT177" s="1170" t="s">
        <v>881</v>
      </c>
      <c r="AU177" s="1170" t="s">
        <v>881</v>
      </c>
      <c r="AV177" s="1170" t="s">
        <v>881</v>
      </c>
      <c r="AW177" s="1170" t="s">
        <v>881</v>
      </c>
      <c r="AX177" s="1170" t="s">
        <v>881</v>
      </c>
      <c r="AY177" s="1170" t="s">
        <v>881</v>
      </c>
      <c r="AZ177" s="1170" t="s">
        <v>881</v>
      </c>
      <c r="BA177" s="1170" t="s">
        <v>881</v>
      </c>
      <c r="BB177" s="1163" t="s">
        <v>881</v>
      </c>
      <c r="BC177" s="1163" t="s">
        <v>881</v>
      </c>
      <c r="BD177" s="1163" t="s">
        <v>881</v>
      </c>
      <c r="BE177" s="1163" t="s">
        <v>881</v>
      </c>
      <c r="BF177" s="1163" t="s">
        <v>881</v>
      </c>
      <c r="BG177" s="1163" t="s">
        <v>881</v>
      </c>
      <c r="BH177" s="1163" t="s">
        <v>881</v>
      </c>
      <c r="BI177" s="1163" t="s">
        <v>881</v>
      </c>
      <c r="BJ177" s="1163" t="s">
        <v>881</v>
      </c>
      <c r="BT177" s="1443">
        <f t="array" ref="BT177">SUM(IFERROR(($AW$42:$AW$76=LEFT($AI177,2)) * ($AU$42:$AU$76=BT$93) * ($BH$41:$BP$41=BT$94) * ($BH$42:$BP$77),0))</f>
        <v>2.4500558065274585E-4</v>
      </c>
      <c r="BU177" s="1443">
        <f t="array" ref="BU177">SUM(IFERROR(($AW$42:$AW$76=LEFT($AI177,2)) * ($AU$42:$AU$76=BU$93) * ($BH$41:$BP$41=BU$94) * ($BH$42:$BP$77),0))</f>
        <v>7.5616711520858711E-4</v>
      </c>
      <c r="BV177" s="1443">
        <f t="array" ref="BV177">SUM(IFERROR(($AW$42:$AW$76=LEFT($AI177,2)) * ($AU$42:$AU$76=BV$93) * ($BH$41:$BP$41=BV$94) * ($BH$42:$BP$77),0))</f>
        <v>1.5778064942828722E-3</v>
      </c>
      <c r="BW177" s="1443">
        <f t="array" ref="BW177">SUM(IFERROR(($AW$42:$AW$76=LEFT($AI177,2)) * ($AU$42:$AU$76=BW$93) * ($BH$41:$BP$41=BW$94) * ($BH$42:$BP$77),0))</f>
        <v>2.7199188051912197E-3</v>
      </c>
      <c r="BX177" s="1443">
        <f t="array" ref="BX177">SUM(IFERROR(($AW$42:$AW$76=LEFT($AI177,2)) * ($AU$42:$AU$76=BX$93) * ($BH$41:$BP$41=BX$94) * ($BH$42:$BP$77),0))</f>
        <v>4.0240426226956063E-3</v>
      </c>
      <c r="BY177" s="1443">
        <f t="array" ref="BY177">SUM(IFERROR(($AW$42:$AW$76=LEFT($AI177,2)) * ($AU$42:$AU$76=BY$93) * ($BH$41:$BP$41=BY$94) * ($BH$42:$BP$77),0))</f>
        <v>5.2170653508161469E-3</v>
      </c>
      <c r="BZ177" s="1443">
        <f t="array" ref="BZ177">SUM(IFERROR(($AW$42:$AW$76=LEFT($AI177,2)) * ($AU$42:$AU$76=BZ$93) * ($BH$41:$BP$41=BZ$94) * ($BH$42:$BP$77),0))</f>
        <v>6.1065085974406639E-3</v>
      </c>
      <c r="CA177" s="1443">
        <f t="array" ref="CA177">SUM(IFERROR(($AW$42:$AW$76=LEFT($AI177,2)) * ($AU$42:$AU$76=CA$93) * ($BH$41:$BP$41=CA$94) * ($BH$42:$BP$77),0))</f>
        <v>6.6736258286224431E-3</v>
      </c>
      <c r="CB177" s="1443">
        <f t="array" ref="CB177">SUM(IFERROR(($AW$42:$AW$76=LEFT($AI177,2)) * ($AU$42:$AU$76=CB$93) * ($BH$41:$BP$41=CB$94) * ($BH$42:$BP$77),0))</f>
        <v>7.0000000000000001E-3</v>
      </c>
      <c r="CC177" s="1443">
        <f t="array" ref="CC177">SUM(IFERROR(($AW$42:$AW$76=LEFT($AI177,2)) * ($AU$42:$AU$76=CC$93) * ($BH$41:$BP$41=CC$94) * ($BH$42:$BP$77),0))</f>
        <v>4.2718473026668053E-3</v>
      </c>
      <c r="CD177" s="1443">
        <f t="array" ref="CD177">SUM(IFERROR(($AW$42:$AW$76=LEFT($AI177,2)) * ($AU$42:$AU$76=CD$93) * ($BH$41:$BP$41=CD$94) * ($BH$42:$BP$77),0))</f>
        <v>1.3184313773029725E-2</v>
      </c>
      <c r="CE177" s="1443">
        <f t="array" ref="CE177">SUM(IFERROR(($AW$42:$AW$76=LEFT($AI177,2)) * ($AU$42:$AU$76=CE$93) * ($BH$41:$BP$41=CE$94) * ($BH$42:$BP$77),0))</f>
        <v>2.7510183232460655E-2</v>
      </c>
      <c r="CF177" s="1443">
        <f t="array" ref="CF177">SUM(IFERROR(($AW$42:$AW$76=LEFT($AI177,2)) * ($AU$42:$AU$76=CF$93) * ($BH$41:$BP$41=CF$94) * ($BH$42:$BP$77),0))</f>
        <v>4.7423727167655486E-2</v>
      </c>
      <c r="CG177" s="1443">
        <f t="array" ref="CG177">SUM(IFERROR(($AW$42:$AW$76=LEFT($AI177,2)) * ($AU$42:$AU$76=CG$93) * ($BH$41:$BP$41=CG$94) * ($BH$42:$BP$77),0))</f>
        <v>7.0162057442856973E-2</v>
      </c>
      <c r="CH177" s="1443">
        <f t="array" ref="CH177">SUM(IFERROR(($AW$42:$AW$76=LEFT($AI177,2)) * ($AU$42:$AU$76=CH$93) * ($BH$41:$BP$41=CH$94) * ($BH$42:$BP$77),0))</f>
        <v>9.0963260866730108E-2</v>
      </c>
      <c r="CI177" s="1443">
        <f t="array" ref="CI177">SUM(IFERROR(($AW$42:$AW$76=LEFT($AI177,2)) * ($AU$42:$AU$76=CI$93) * ($BH$41:$BP$41=CI$94) * ($BH$42:$BP$77),0))</f>
        <v>0.1064713391882333</v>
      </c>
      <c r="CJ177" s="1443">
        <f t="array" ref="CJ177">SUM(IFERROR(($AW$42:$AW$76=LEFT($AI177,2)) * ($AU$42:$AU$76=CJ$93) * ($BH$41:$BP$41=CJ$94) * ($BH$42:$BP$77),0))</f>
        <v>0.11635943319762419</v>
      </c>
      <c r="CK177" s="1443">
        <f t="array" ref="CK177">SUM(IFERROR(($AW$42:$AW$76=LEFT($AI177,2)) * ($AU$42:$AU$76=CK$93) * ($BH$41:$BP$41=CK$94) * ($BH$42:$BP$77),0))</f>
        <v>0.12205000000000002</v>
      </c>
      <c r="CL177" s="1443">
        <f t="array" ref="CL177">SUM(IFERROR(($AW$42:$AW$76=LEFT($AI177,2)) * ($AU$42:$AU$76=CL$93) * ($BH$41:$BP$41=CL$94) * ($BH$42:$BP$77),0))</f>
        <v>1.1839019665113039E-2</v>
      </c>
      <c r="CM177" s="1443">
        <f t="array" ref="CM177">SUM(IFERROR(($AW$42:$AW$76=LEFT($AI177,2)) * ($AU$42:$AU$76=CM$93) * ($BH$41:$BP$41=CM$94) * ($BH$42:$BP$77),0))</f>
        <v>3.6539075245614935E-2</v>
      </c>
      <c r="CN177" s="1443">
        <f t="array" ref="CN177">SUM(IFERROR(($AW$42:$AW$76=LEFT($AI177,2)) * ($AU$42:$AU$76=CN$93) * ($BH$41:$BP$41=CN$94) * ($BH$42:$BP$77),0))</f>
        <v>7.6241863813025917E-2</v>
      </c>
      <c r="CO177" s="1443">
        <f t="array" ref="CO177">SUM(IFERROR(($AW$42:$AW$76=LEFT($AI177,2)) * ($AU$42:$AU$76=CO$93) * ($BH$41:$BP$41=CO$94) * ($BH$42:$BP$77),0))</f>
        <v>0.13143036226513283</v>
      </c>
      <c r="CP177" s="1443">
        <f t="array" ref="CP177">SUM(IFERROR(($AW$42:$AW$76=LEFT($AI177,2)) * ($AU$42:$AU$76=CP$93) * ($BH$41:$BP$41=CP$94) * ($BH$42:$BP$77),0))</f>
        <v>0.19444748816096979</v>
      </c>
      <c r="CQ177" s="1443">
        <f t="array" ref="CQ177">SUM(IFERROR(($AW$42:$AW$76=LEFT($AI177,2)) * ($AU$42:$AU$76=CQ$93) * ($BH$41:$BP$41=CQ$94) * ($BH$42:$BP$77),0))</f>
        <v>0.2520960507019373</v>
      </c>
      <c r="CR177" s="1443">
        <f t="array" ref="CR177">SUM(IFERROR(($AW$42:$AW$76=LEFT($AI177,2)) * ($AU$42:$AU$76=CR$93) * ($BH$41:$BP$41=CR$94) * ($BH$42:$BP$77),0))</f>
        <v>0.29507521901204348</v>
      </c>
      <c r="CS177" s="1443">
        <f t="array" ref="CS177">SUM(IFERROR(($AW$42:$AW$76=LEFT($AI177,2)) * ($AU$42:$AU$76=CS$93) * ($BH$41:$BP$41=CS$94) * ($BH$42:$BP$77),0))</f>
        <v>0.32247913379022014</v>
      </c>
      <c r="CT177" s="1443">
        <f t="array" ref="CT177">SUM(IFERROR(($AW$42:$AW$76=LEFT($AI177,2)) * ($AU$42:$AU$76=CT$93) * ($BH$41:$BP$41=CT$94) * ($BH$42:$BP$77),0))</f>
        <v>0.33824999999999994</v>
      </c>
      <c r="CU177" s="1443">
        <f t="array" ref="CU177">SUM(IFERROR(($AW$42:$AW$76=LEFT($AI177,2)) * ($AU$42:$AU$76=CU$93) * ($BH$41:$BP$41=CU$94) * ($BH$42:$BP$77),0))</f>
        <v>1.5785359553484053E-2</v>
      </c>
      <c r="CV177" s="1443">
        <f t="array" ref="CV177">SUM(IFERROR(($AW$42:$AW$76=LEFT($AI177,2)) * ($AU$42:$AU$76=CV$93) * ($BH$41:$BP$41=CV$94) * ($BH$42:$BP$77),0))</f>
        <v>4.8718766994153249E-2</v>
      </c>
      <c r="CW177" s="1443">
        <f t="array" ref="CW177">SUM(IFERROR(($AW$42:$AW$76=LEFT($AI177,2)) * ($AU$42:$AU$76=CW$93) * ($BH$41:$BP$41=CW$94) * ($BH$42:$BP$77),0))</f>
        <v>0.1016558184173679</v>
      </c>
      <c r="CX177" s="1443">
        <f t="array" ref="CX177">SUM(IFERROR(($AW$42:$AW$76=LEFT($AI177,2)) * ($AU$42:$AU$76=CX$93) * ($BH$41:$BP$41=CX$94) * ($BH$42:$BP$77),0))</f>
        <v>0.17524048302017711</v>
      </c>
      <c r="CY177" s="1443">
        <f t="array" ref="CY177">SUM(IFERROR(($AW$42:$AW$76=LEFT($AI177,2)) * ($AU$42:$AU$76=CY$93) * ($BH$41:$BP$41=CY$94) * ($BH$42:$BP$77),0))</f>
        <v>0.25926331754795978</v>
      </c>
      <c r="CZ177" s="1443">
        <f t="array" ref="CZ177">SUM(IFERROR(($AW$42:$AW$76=LEFT($AI177,2)) * ($AU$42:$AU$76=CZ$93) * ($BH$41:$BP$41=CZ$94) * ($BH$42:$BP$77),0))</f>
        <v>0.33612806760258312</v>
      </c>
      <c r="DA177" s="1443">
        <f t="array" ref="DA177">SUM(IFERROR(($AW$42:$AW$76=LEFT($AI177,2)) * ($AU$42:$AU$76=DA$93) * ($BH$41:$BP$41=DA$94) * ($BH$42:$BP$77),0))</f>
        <v>0.3934336253493913</v>
      </c>
      <c r="DB177" s="1443">
        <f t="array" ref="DB177">SUM(IFERROR(($AW$42:$AW$76=LEFT($AI177,2)) * ($AU$42:$AU$76=DB$93) * ($BH$41:$BP$41=DB$94) * ($BH$42:$BP$77),0))</f>
        <v>0.42997217838696022</v>
      </c>
      <c r="DC177" s="1443">
        <f t="array" ref="DC177">SUM(IFERROR(($AW$42:$AW$76=LEFT($AI177,2)) * ($AU$42:$AU$76=DC$93) * ($BH$41:$BP$41=DC$94) * ($BH$42:$BP$77),0))</f>
        <v>0.45099999999999996</v>
      </c>
    </row>
    <row r="178" spans="1:109">
      <c r="A178" s="1167" t="s">
        <v>1158</v>
      </c>
      <c r="B178" s="1167" t="s">
        <v>1157</v>
      </c>
      <c r="C178" s="1166" t="s">
        <v>1030</v>
      </c>
      <c r="D178" s="1166" t="s">
        <v>949</v>
      </c>
      <c r="E178" s="577">
        <v>0.05</v>
      </c>
      <c r="F178" s="574">
        <v>0.7833</v>
      </c>
      <c r="G178" s="576">
        <v>100</v>
      </c>
      <c r="H178" s="574">
        <v>0.19942260896208355</v>
      </c>
      <c r="I178" s="1164"/>
      <c r="J178" s="575">
        <v>1</v>
      </c>
      <c r="K178" s="574">
        <v>3.1241545920000005</v>
      </c>
      <c r="L178" s="574">
        <v>0.15620772960000004</v>
      </c>
      <c r="M178" s="1164"/>
      <c r="N178" s="1168"/>
      <c r="O178" s="1164"/>
      <c r="P178" s="1163" t="s">
        <v>881</v>
      </c>
      <c r="Q178" s="1164"/>
      <c r="R178" s="1164"/>
      <c r="S178" s="1164"/>
      <c r="T178" s="1164"/>
      <c r="U178" s="1163" t="s">
        <v>881</v>
      </c>
      <c r="V178" s="1164"/>
      <c r="W178" s="1164"/>
      <c r="X178" s="1164"/>
      <c r="Y178" s="1164"/>
      <c r="Z178" s="573">
        <v>0.05</v>
      </c>
      <c r="AA178" s="572">
        <v>0.05</v>
      </c>
      <c r="AB178" s="572">
        <v>0.05</v>
      </c>
      <c r="AC178" s="572">
        <v>0.05</v>
      </c>
      <c r="AD178" s="572">
        <v>0.05</v>
      </c>
      <c r="AE178" s="572">
        <v>0.05</v>
      </c>
      <c r="AF178" s="572">
        <v>0.05</v>
      </c>
      <c r="AG178" s="1164"/>
      <c r="AH178" s="1163">
        <v>83</v>
      </c>
      <c r="AI178" s="1162"/>
      <c r="AJ178" s="1163" t="s">
        <v>881</v>
      </c>
      <c r="AK178" s="1163" t="s">
        <v>881</v>
      </c>
      <c r="AL178" s="1163" t="s">
        <v>881</v>
      </c>
      <c r="AM178" s="1163" t="s">
        <v>881</v>
      </c>
      <c r="AN178" s="1163" t="s">
        <v>881</v>
      </c>
      <c r="AO178" s="1163" t="s">
        <v>881</v>
      </c>
      <c r="AP178" s="1163" t="s">
        <v>881</v>
      </c>
      <c r="AQ178" s="1163" t="s">
        <v>881</v>
      </c>
      <c r="AR178" s="1163" t="s">
        <v>881</v>
      </c>
      <c r="AS178" s="1170" t="s">
        <v>881</v>
      </c>
      <c r="AT178" s="1170" t="s">
        <v>881</v>
      </c>
      <c r="AU178" s="1170" t="s">
        <v>881</v>
      </c>
      <c r="AV178" s="1170" t="s">
        <v>881</v>
      </c>
      <c r="AW178" s="1170" t="s">
        <v>881</v>
      </c>
      <c r="AX178" s="1170" t="s">
        <v>881</v>
      </c>
      <c r="AY178" s="1170" t="s">
        <v>881</v>
      </c>
      <c r="AZ178" s="1170" t="s">
        <v>881</v>
      </c>
      <c r="BA178" s="1170" t="s">
        <v>881</v>
      </c>
      <c r="BB178" s="1163" t="s">
        <v>881</v>
      </c>
      <c r="BC178" s="1163" t="s">
        <v>881</v>
      </c>
      <c r="BD178" s="1163" t="s">
        <v>881</v>
      </c>
      <c r="BE178" s="1163" t="s">
        <v>881</v>
      </c>
      <c r="BF178" s="1163" t="s">
        <v>881</v>
      </c>
      <c r="BG178" s="1163" t="s">
        <v>881</v>
      </c>
      <c r="BH178" s="1163" t="s">
        <v>881</v>
      </c>
      <c r="BI178" s="1163" t="s">
        <v>881</v>
      </c>
      <c r="BJ178" s="1163" t="s">
        <v>881</v>
      </c>
      <c r="BT178" s="579"/>
      <c r="BU178" s="579"/>
      <c r="BV178" s="579"/>
      <c r="BW178" s="579"/>
      <c r="BX178" s="579"/>
      <c r="BY178" s="579"/>
      <c r="BZ178" s="579"/>
      <c r="CA178" s="579"/>
      <c r="CB178" s="579"/>
      <c r="CC178" s="578"/>
      <c r="CD178" s="578"/>
      <c r="CE178" s="578"/>
      <c r="CF178" s="578"/>
      <c r="CG178" s="578"/>
      <c r="CH178" s="578"/>
      <c r="CI178" s="578"/>
      <c r="CJ178" s="578"/>
      <c r="CK178" s="578"/>
      <c r="CL178" s="579"/>
      <c r="CM178" s="579"/>
      <c r="CN178" s="579"/>
      <c r="CO178" s="579"/>
      <c r="CP178" s="579"/>
      <c r="CQ178" s="579"/>
      <c r="CR178" s="579"/>
      <c r="CS178" s="579"/>
      <c r="CT178" s="579"/>
      <c r="CU178" s="578"/>
      <c r="CV178" s="578"/>
      <c r="CW178" s="578"/>
      <c r="CX178" s="578"/>
      <c r="CY178" s="578"/>
      <c r="CZ178" s="578"/>
      <c r="DA178" s="578"/>
      <c r="DB178" s="578"/>
      <c r="DC178" s="578"/>
    </row>
    <row r="179" spans="1:109">
      <c r="A179" s="1167" t="s">
        <v>1156</v>
      </c>
      <c r="B179" s="1167" t="s">
        <v>1155</v>
      </c>
      <c r="C179" s="1166" t="s">
        <v>1030</v>
      </c>
      <c r="D179" s="1166" t="s">
        <v>948</v>
      </c>
      <c r="E179" s="577">
        <v>0.3</v>
      </c>
      <c r="F179" s="574">
        <v>0.60640000000000005</v>
      </c>
      <c r="G179" s="576">
        <v>100</v>
      </c>
      <c r="H179" s="574">
        <v>0.59445807387862803</v>
      </c>
      <c r="I179" s="1164"/>
      <c r="J179" s="575">
        <v>1</v>
      </c>
      <c r="K179" s="574">
        <v>1.2015979200000002</v>
      </c>
      <c r="L179" s="574">
        <v>0.36047937600000007</v>
      </c>
      <c r="M179" s="1164"/>
      <c r="N179" s="1168"/>
      <c r="O179" s="1164"/>
      <c r="P179" s="1163" t="s">
        <v>881</v>
      </c>
      <c r="Q179" s="1164"/>
      <c r="R179" s="1164"/>
      <c r="S179" s="1164"/>
      <c r="T179" s="1164"/>
      <c r="U179" s="1163" t="s">
        <v>881</v>
      </c>
      <c r="V179" s="1164"/>
      <c r="W179" s="1164"/>
      <c r="X179" s="1164"/>
      <c r="Y179" s="1164"/>
      <c r="Z179" s="573">
        <v>0.3</v>
      </c>
      <c r="AA179" s="572">
        <v>0.3</v>
      </c>
      <c r="AB179" s="572">
        <v>0.3</v>
      </c>
      <c r="AC179" s="572">
        <v>0.3</v>
      </c>
      <c r="AD179" s="572">
        <v>0.3</v>
      </c>
      <c r="AE179" s="572">
        <v>0.3</v>
      </c>
      <c r="AF179" s="572">
        <v>0.3</v>
      </c>
      <c r="AG179" s="1164"/>
      <c r="AH179" s="1163">
        <v>84</v>
      </c>
      <c r="AI179" s="1162"/>
      <c r="AJ179" s="1163" t="s">
        <v>881</v>
      </c>
      <c r="AK179" s="1163" t="s">
        <v>881</v>
      </c>
      <c r="AL179" s="1163" t="s">
        <v>881</v>
      </c>
      <c r="AM179" s="1163" t="s">
        <v>881</v>
      </c>
      <c r="AN179" s="1163" t="s">
        <v>881</v>
      </c>
      <c r="AO179" s="1163" t="s">
        <v>881</v>
      </c>
      <c r="AP179" s="1163" t="s">
        <v>881</v>
      </c>
      <c r="AQ179" s="1163" t="s">
        <v>881</v>
      </c>
      <c r="AR179" s="1163" t="s">
        <v>881</v>
      </c>
      <c r="AS179" s="1170" t="s">
        <v>881</v>
      </c>
      <c r="AT179" s="1170" t="s">
        <v>881</v>
      </c>
      <c r="AU179" s="1170" t="s">
        <v>881</v>
      </c>
      <c r="AV179" s="1170" t="s">
        <v>881</v>
      </c>
      <c r="AW179" s="1170" t="s">
        <v>881</v>
      </c>
      <c r="AX179" s="1170" t="s">
        <v>881</v>
      </c>
      <c r="AY179" s="1170" t="s">
        <v>881</v>
      </c>
      <c r="AZ179" s="1170" t="s">
        <v>881</v>
      </c>
      <c r="BA179" s="1170" t="s">
        <v>881</v>
      </c>
      <c r="BB179" s="1163" t="s">
        <v>881</v>
      </c>
      <c r="BC179" s="1163" t="s">
        <v>881</v>
      </c>
      <c r="BD179" s="1163" t="s">
        <v>881</v>
      </c>
      <c r="BE179" s="1163" t="s">
        <v>881</v>
      </c>
      <c r="BF179" s="1163" t="s">
        <v>881</v>
      </c>
      <c r="BG179" s="1163" t="s">
        <v>881</v>
      </c>
      <c r="BH179" s="1163" t="s">
        <v>881</v>
      </c>
      <c r="BI179" s="1163" t="s">
        <v>881</v>
      </c>
      <c r="BJ179" s="1163" t="s">
        <v>881</v>
      </c>
      <c r="BT179" s="579"/>
      <c r="BU179" s="579"/>
      <c r="BV179" s="579"/>
      <c r="BW179" s="579"/>
      <c r="BX179" s="579"/>
      <c r="BY179" s="579"/>
      <c r="BZ179" s="579"/>
      <c r="CA179" s="579"/>
      <c r="CB179" s="579"/>
      <c r="CC179" s="578"/>
      <c r="CD179" s="578"/>
      <c r="CE179" s="578"/>
      <c r="CF179" s="578"/>
      <c r="CG179" s="578"/>
      <c r="CH179" s="578"/>
      <c r="CI179" s="578"/>
      <c r="CJ179" s="578"/>
      <c r="CK179" s="578"/>
      <c r="CL179" s="579"/>
      <c r="CM179" s="579"/>
      <c r="CN179" s="579"/>
      <c r="CO179" s="579"/>
      <c r="CP179" s="579"/>
      <c r="CQ179" s="579"/>
      <c r="CR179" s="579"/>
      <c r="CS179" s="579"/>
      <c r="CT179" s="579"/>
      <c r="CU179" s="578"/>
      <c r="CV179" s="578"/>
      <c r="CW179" s="578"/>
      <c r="CX179" s="578"/>
      <c r="CY179" s="578"/>
      <c r="CZ179" s="578"/>
      <c r="DA179" s="578"/>
      <c r="DB179" s="578"/>
      <c r="DC179" s="578"/>
    </row>
    <row r="180" spans="1:109">
      <c r="A180" s="1167" t="s">
        <v>1154</v>
      </c>
      <c r="B180" s="1167" t="s">
        <v>1153</v>
      </c>
      <c r="C180" s="1166" t="s">
        <v>1030</v>
      </c>
      <c r="D180" s="1166" t="s">
        <v>947</v>
      </c>
      <c r="E180" s="577">
        <v>2</v>
      </c>
      <c r="F180" s="574">
        <v>0.83289999999999997</v>
      </c>
      <c r="G180" s="576">
        <v>100</v>
      </c>
      <c r="H180" s="574">
        <v>0</v>
      </c>
      <c r="I180" s="1164"/>
      <c r="J180" s="575">
        <v>1</v>
      </c>
      <c r="K180" s="574">
        <v>0</v>
      </c>
      <c r="L180" s="574">
        <v>0</v>
      </c>
      <c r="M180" s="1164"/>
      <c r="N180" s="1168"/>
      <c r="O180" s="1164"/>
      <c r="P180" s="1163" t="s">
        <v>881</v>
      </c>
      <c r="Q180" s="1164"/>
      <c r="R180" s="1164"/>
      <c r="S180" s="1164"/>
      <c r="T180" s="1164"/>
      <c r="U180" s="1163" t="s">
        <v>881</v>
      </c>
      <c r="V180" s="1164"/>
      <c r="W180" s="1164"/>
      <c r="X180" s="1164"/>
      <c r="Y180" s="1164"/>
      <c r="Z180" s="573">
        <v>2</v>
      </c>
      <c r="AA180" s="572">
        <v>2</v>
      </c>
      <c r="AB180" s="572">
        <v>2</v>
      </c>
      <c r="AC180" s="572">
        <v>2</v>
      </c>
      <c r="AD180" s="572">
        <v>2</v>
      </c>
      <c r="AE180" s="572">
        <v>2</v>
      </c>
      <c r="AF180" s="572">
        <v>2</v>
      </c>
      <c r="AG180" s="1164"/>
      <c r="AH180" s="1163">
        <v>85</v>
      </c>
      <c r="AI180" s="1162"/>
      <c r="AJ180" s="1163" t="s">
        <v>881</v>
      </c>
      <c r="AK180" s="1163" t="s">
        <v>881</v>
      </c>
      <c r="AL180" s="1163" t="s">
        <v>881</v>
      </c>
      <c r="AM180" s="1163" t="s">
        <v>881</v>
      </c>
      <c r="AN180" s="1163" t="s">
        <v>881</v>
      </c>
      <c r="AO180" s="1163" t="s">
        <v>881</v>
      </c>
      <c r="AP180" s="1163" t="s">
        <v>881</v>
      </c>
      <c r="AQ180" s="1163" t="s">
        <v>881</v>
      </c>
      <c r="AR180" s="1163" t="s">
        <v>881</v>
      </c>
      <c r="AS180" s="1170" t="s">
        <v>881</v>
      </c>
      <c r="AT180" s="1170" t="s">
        <v>881</v>
      </c>
      <c r="AU180" s="1170" t="s">
        <v>881</v>
      </c>
      <c r="AV180" s="1170" t="s">
        <v>881</v>
      </c>
      <c r="AW180" s="1170" t="s">
        <v>881</v>
      </c>
      <c r="AX180" s="1170" t="s">
        <v>881</v>
      </c>
      <c r="AY180" s="1170" t="s">
        <v>881</v>
      </c>
      <c r="AZ180" s="1170" t="s">
        <v>881</v>
      </c>
      <c r="BA180" s="1170" t="s">
        <v>881</v>
      </c>
      <c r="BB180" s="1163" t="s">
        <v>881</v>
      </c>
      <c r="BC180" s="1163" t="s">
        <v>881</v>
      </c>
      <c r="BD180" s="1163" t="s">
        <v>881</v>
      </c>
      <c r="BE180" s="1163" t="s">
        <v>881</v>
      </c>
      <c r="BF180" s="1163" t="s">
        <v>881</v>
      </c>
      <c r="BG180" s="1163" t="s">
        <v>881</v>
      </c>
      <c r="BH180" s="1163" t="s">
        <v>881</v>
      </c>
      <c r="BI180" s="1163" t="s">
        <v>881</v>
      </c>
      <c r="BJ180" s="1163" t="s">
        <v>881</v>
      </c>
      <c r="BT180" s="579"/>
      <c r="BU180" s="579"/>
      <c r="BV180" s="579"/>
      <c r="BW180" s="579"/>
      <c r="BX180" s="579"/>
      <c r="BY180" s="579"/>
      <c r="BZ180" s="579"/>
      <c r="CA180" s="579"/>
      <c r="CB180" s="579"/>
      <c r="CC180" s="578"/>
      <c r="CD180" s="578"/>
      <c r="CE180" s="578"/>
      <c r="CF180" s="578"/>
      <c r="CG180" s="578"/>
      <c r="CH180" s="578"/>
      <c r="CI180" s="578"/>
      <c r="CJ180" s="578"/>
      <c r="CK180" s="578"/>
      <c r="CL180" s="579"/>
      <c r="CM180" s="579"/>
      <c r="CN180" s="579"/>
      <c r="CO180" s="579"/>
      <c r="CP180" s="579"/>
      <c r="CQ180" s="579"/>
      <c r="CR180" s="579"/>
      <c r="CS180" s="579"/>
      <c r="CT180" s="579"/>
      <c r="CU180" s="578"/>
      <c r="CV180" s="578"/>
      <c r="CW180" s="578"/>
      <c r="CX180" s="578"/>
      <c r="CY180" s="578"/>
      <c r="CZ180" s="578"/>
      <c r="DA180" s="578"/>
      <c r="DB180" s="578"/>
      <c r="DC180" s="578"/>
    </row>
    <row r="181" spans="1:109">
      <c r="A181" s="1167" t="s">
        <v>1152</v>
      </c>
      <c r="B181" s="1167" t="s">
        <v>1151</v>
      </c>
      <c r="C181" s="1166" t="s">
        <v>1030</v>
      </c>
      <c r="D181" s="1166" t="s">
        <v>946</v>
      </c>
      <c r="E181" s="577">
        <v>0.9</v>
      </c>
      <c r="F181" s="574">
        <v>0.60340000000000005</v>
      </c>
      <c r="G181" s="576">
        <v>100</v>
      </c>
      <c r="H181" s="574">
        <v>0.71689633941001007</v>
      </c>
      <c r="I181" s="1164"/>
      <c r="J181" s="575">
        <v>1</v>
      </c>
      <c r="K181" s="574">
        <v>0.48063916800000012</v>
      </c>
      <c r="L181" s="574">
        <v>0.43257525120000012</v>
      </c>
      <c r="M181" s="1164"/>
      <c r="N181" s="1168"/>
      <c r="O181" s="1164"/>
      <c r="P181" s="1163" t="s">
        <v>881</v>
      </c>
      <c r="Q181" s="1164"/>
      <c r="R181" s="1164"/>
      <c r="S181" s="1164"/>
      <c r="T181" s="1164"/>
      <c r="U181" s="1163" t="s">
        <v>881</v>
      </c>
      <c r="V181" s="1164"/>
      <c r="W181" s="1164"/>
      <c r="X181" s="1164"/>
      <c r="Y181" s="1164"/>
      <c r="Z181" s="573">
        <v>0.9</v>
      </c>
      <c r="AA181" s="572">
        <v>0.9</v>
      </c>
      <c r="AB181" s="572">
        <v>0.9</v>
      </c>
      <c r="AC181" s="572">
        <v>0.9</v>
      </c>
      <c r="AD181" s="572">
        <v>0.9</v>
      </c>
      <c r="AE181" s="572">
        <v>0.9</v>
      </c>
      <c r="AF181" s="572">
        <v>0.9</v>
      </c>
      <c r="AG181" s="1164"/>
      <c r="AH181" s="1163">
        <v>86</v>
      </c>
      <c r="AI181" s="1162"/>
      <c r="AJ181" s="1163" t="s">
        <v>881</v>
      </c>
      <c r="AK181" s="1163" t="s">
        <v>881</v>
      </c>
      <c r="AL181" s="1163" t="s">
        <v>881</v>
      </c>
      <c r="AM181" s="1163" t="s">
        <v>881</v>
      </c>
      <c r="AN181" s="1163" t="s">
        <v>881</v>
      </c>
      <c r="AO181" s="1163" t="s">
        <v>881</v>
      </c>
      <c r="AP181" s="1163" t="s">
        <v>881</v>
      </c>
      <c r="AQ181" s="1163" t="s">
        <v>881</v>
      </c>
      <c r="AR181" s="1163" t="s">
        <v>881</v>
      </c>
      <c r="AS181" s="1170" t="s">
        <v>881</v>
      </c>
      <c r="AT181" s="1170" t="s">
        <v>881</v>
      </c>
      <c r="AU181" s="1170" t="s">
        <v>881</v>
      </c>
      <c r="AV181" s="1170" t="s">
        <v>881</v>
      </c>
      <c r="AW181" s="1170" t="s">
        <v>881</v>
      </c>
      <c r="AX181" s="1170" t="s">
        <v>881</v>
      </c>
      <c r="AY181" s="1170" t="s">
        <v>881</v>
      </c>
      <c r="AZ181" s="1170" t="s">
        <v>881</v>
      </c>
      <c r="BA181" s="1170" t="s">
        <v>881</v>
      </c>
      <c r="BB181" s="1163" t="s">
        <v>881</v>
      </c>
      <c r="BC181" s="1163" t="s">
        <v>881</v>
      </c>
      <c r="BD181" s="1163" t="s">
        <v>881</v>
      </c>
      <c r="BE181" s="1163" t="s">
        <v>881</v>
      </c>
      <c r="BF181" s="1163" t="s">
        <v>881</v>
      </c>
      <c r="BG181" s="1163" t="s">
        <v>881</v>
      </c>
      <c r="BH181" s="1163" t="s">
        <v>881</v>
      </c>
      <c r="BI181" s="1163" t="s">
        <v>881</v>
      </c>
      <c r="BJ181" s="1163" t="s">
        <v>881</v>
      </c>
      <c r="BK181" s="1170" t="s">
        <v>881</v>
      </c>
      <c r="BL181" s="1170" t="s">
        <v>881</v>
      </c>
      <c r="BM181" s="1170" t="s">
        <v>881</v>
      </c>
      <c r="BN181" s="1170" t="s">
        <v>881</v>
      </c>
      <c r="BO181" s="1170" t="s">
        <v>881</v>
      </c>
      <c r="BP181" s="1170" t="s">
        <v>881</v>
      </c>
      <c r="BQ181" s="1170" t="s">
        <v>881</v>
      </c>
      <c r="BR181" s="1170" t="s">
        <v>881</v>
      </c>
      <c r="BS181" s="1170" t="s">
        <v>881</v>
      </c>
      <c r="BT181" s="579"/>
      <c r="BU181" s="579"/>
      <c r="BV181" s="579"/>
      <c r="BW181" s="579"/>
      <c r="BX181" s="579"/>
      <c r="BY181" s="579"/>
      <c r="BZ181" s="579"/>
      <c r="CA181" s="579"/>
      <c r="CB181" s="579"/>
      <c r="CC181" s="578"/>
      <c r="CD181" s="578"/>
      <c r="CE181" s="578"/>
      <c r="CF181" s="578"/>
      <c r="CG181" s="578"/>
      <c r="CH181" s="578"/>
      <c r="CI181" s="578"/>
      <c r="CJ181" s="578"/>
      <c r="CK181" s="578"/>
      <c r="CL181" s="579"/>
      <c r="CM181" s="579"/>
      <c r="CN181" s="579"/>
      <c r="CO181" s="579"/>
      <c r="CP181" s="579"/>
      <c r="CQ181" s="579"/>
      <c r="CR181" s="579"/>
      <c r="CS181" s="579"/>
      <c r="CT181" s="579"/>
      <c r="CU181" s="578"/>
      <c r="CV181" s="578"/>
      <c r="CW181" s="578"/>
      <c r="CX181" s="578"/>
      <c r="CY181" s="578"/>
      <c r="CZ181" s="578"/>
      <c r="DA181" s="578"/>
      <c r="DB181" s="578"/>
      <c r="DC181" s="578"/>
    </row>
    <row r="182" spans="1:109">
      <c r="A182" s="1167" t="s">
        <v>1150</v>
      </c>
      <c r="B182" s="1167" t="s">
        <v>1149</v>
      </c>
      <c r="C182" s="1166" t="s">
        <v>1030</v>
      </c>
      <c r="D182" s="1166" t="s">
        <v>945</v>
      </c>
      <c r="E182" s="577">
        <v>0.8</v>
      </c>
      <c r="F182" s="574">
        <v>0.60940000000000005</v>
      </c>
      <c r="G182" s="576">
        <v>100</v>
      </c>
      <c r="H182" s="574">
        <v>2.6816100610436502</v>
      </c>
      <c r="I182" s="1164"/>
      <c r="J182" s="575">
        <v>1</v>
      </c>
      <c r="K182" s="574">
        <v>2.0427164640000006</v>
      </c>
      <c r="L182" s="574">
        <v>1.6341731712000005</v>
      </c>
      <c r="M182" s="1164"/>
      <c r="N182" s="1168"/>
      <c r="O182" s="1164"/>
      <c r="P182" s="1163" t="s">
        <v>881</v>
      </c>
      <c r="Q182" s="1164"/>
      <c r="R182" s="1164"/>
      <c r="S182" s="1164"/>
      <c r="T182" s="1164"/>
      <c r="U182" s="1163" t="s">
        <v>881</v>
      </c>
      <c r="V182" s="1164"/>
      <c r="W182" s="1164"/>
      <c r="X182" s="1164"/>
      <c r="Y182" s="1164"/>
      <c r="Z182" s="573">
        <v>0.8</v>
      </c>
      <c r="AA182" s="572">
        <v>0.8</v>
      </c>
      <c r="AB182" s="572">
        <v>0.8</v>
      </c>
      <c r="AC182" s="572">
        <v>0.8</v>
      </c>
      <c r="AD182" s="572">
        <v>0.8</v>
      </c>
      <c r="AE182" s="572">
        <v>0.8</v>
      </c>
      <c r="AF182" s="572">
        <v>0.8</v>
      </c>
      <c r="AG182" s="1164"/>
      <c r="AH182" s="1163">
        <v>87</v>
      </c>
      <c r="AI182" s="1162"/>
      <c r="AJ182" s="1163" t="s">
        <v>881</v>
      </c>
      <c r="AK182" s="1163" t="s">
        <v>881</v>
      </c>
      <c r="AL182" s="1163" t="s">
        <v>881</v>
      </c>
      <c r="AM182" s="1163" t="s">
        <v>881</v>
      </c>
      <c r="AN182" s="1163" t="s">
        <v>881</v>
      </c>
      <c r="AO182" s="1163" t="s">
        <v>881</v>
      </c>
      <c r="AP182" s="1163" t="s">
        <v>881</v>
      </c>
      <c r="AQ182" s="1163" t="s">
        <v>881</v>
      </c>
      <c r="AR182" s="1163" t="s">
        <v>881</v>
      </c>
      <c r="AS182" s="1170" t="s">
        <v>881</v>
      </c>
      <c r="AT182" s="1170" t="s">
        <v>881</v>
      </c>
      <c r="AU182" s="1170" t="s">
        <v>881</v>
      </c>
      <c r="AV182" s="1170" t="s">
        <v>881</v>
      </c>
      <c r="AW182" s="1170" t="s">
        <v>881</v>
      </c>
      <c r="AX182" s="1170" t="s">
        <v>881</v>
      </c>
      <c r="AY182" s="1170" t="s">
        <v>881</v>
      </c>
      <c r="AZ182" s="1170" t="s">
        <v>881</v>
      </c>
      <c r="BA182" s="1170" t="s">
        <v>881</v>
      </c>
      <c r="BB182" s="1163" t="s">
        <v>881</v>
      </c>
      <c r="BC182" s="1163" t="s">
        <v>881</v>
      </c>
      <c r="BD182" s="1163" t="s">
        <v>881</v>
      </c>
      <c r="BE182" s="1163" t="s">
        <v>881</v>
      </c>
      <c r="BF182" s="1163" t="s">
        <v>881</v>
      </c>
      <c r="BG182" s="1163" t="s">
        <v>881</v>
      </c>
      <c r="BH182" s="1163" t="s">
        <v>881</v>
      </c>
      <c r="BI182" s="1163" t="s">
        <v>881</v>
      </c>
      <c r="BJ182" s="1163" t="s">
        <v>881</v>
      </c>
      <c r="BK182" s="1170" t="s">
        <v>881</v>
      </c>
      <c r="BL182" s="1170" t="s">
        <v>881</v>
      </c>
      <c r="BM182" s="1170" t="s">
        <v>881</v>
      </c>
      <c r="BN182" s="1170" t="s">
        <v>881</v>
      </c>
      <c r="BO182" s="1170" t="s">
        <v>881</v>
      </c>
      <c r="BP182" s="1170" t="s">
        <v>881</v>
      </c>
      <c r="BQ182" s="1170" t="s">
        <v>881</v>
      </c>
      <c r="BR182" s="1170" t="s">
        <v>881</v>
      </c>
      <c r="BS182" s="1170" t="s">
        <v>881</v>
      </c>
      <c r="BT182" s="579"/>
      <c r="BU182" s="579"/>
      <c r="BV182" s="579"/>
      <c r="BW182" s="579"/>
      <c r="BX182" s="579"/>
      <c r="BY182" s="579"/>
      <c r="BZ182" s="579"/>
      <c r="CA182" s="579"/>
      <c r="CB182" s="579"/>
      <c r="CC182" s="578"/>
      <c r="CD182" s="578"/>
      <c r="CE182" s="578"/>
      <c r="CF182" s="578"/>
      <c r="CG182" s="578"/>
      <c r="CH182" s="578"/>
      <c r="CI182" s="578"/>
      <c r="CJ182" s="578"/>
      <c r="CK182" s="578"/>
      <c r="CL182" s="579"/>
      <c r="CM182" s="579"/>
      <c r="CN182" s="579"/>
      <c r="CO182" s="579"/>
      <c r="CP182" s="579"/>
      <c r="CQ182" s="579"/>
      <c r="CR182" s="579"/>
      <c r="CS182" s="579"/>
      <c r="CT182" s="579"/>
      <c r="CU182" s="578"/>
      <c r="CV182" s="578"/>
      <c r="CW182" s="578"/>
      <c r="CX182" s="578"/>
      <c r="CY182" s="578"/>
      <c r="CZ182" s="578"/>
      <c r="DA182" s="578"/>
      <c r="DB182" s="578"/>
      <c r="DC182" s="578"/>
    </row>
    <row r="183" spans="1:109">
      <c r="A183" s="1167" t="s">
        <v>1148</v>
      </c>
      <c r="B183" s="1167" t="s">
        <v>1147</v>
      </c>
      <c r="C183" s="1166" t="s">
        <v>1030</v>
      </c>
      <c r="D183" s="1166" t="s">
        <v>944</v>
      </c>
      <c r="E183" s="577">
        <v>0.8</v>
      </c>
      <c r="F183" s="574">
        <v>0.65390000000000004</v>
      </c>
      <c r="G183" s="576">
        <v>100</v>
      </c>
      <c r="H183" s="574">
        <v>2.6461247970637714</v>
      </c>
      <c r="I183" s="1164"/>
      <c r="J183" s="575">
        <v>1</v>
      </c>
      <c r="K183" s="574">
        <v>2.1628762560000001</v>
      </c>
      <c r="L183" s="574">
        <v>1.7303010048000003</v>
      </c>
      <c r="M183" s="1164"/>
      <c r="N183" s="1168"/>
      <c r="O183" s="1164"/>
      <c r="P183" s="1163" t="s">
        <v>881</v>
      </c>
      <c r="Q183" s="1164"/>
      <c r="R183" s="1164"/>
      <c r="S183" s="1164"/>
      <c r="T183" s="1164"/>
      <c r="U183" s="1163" t="s">
        <v>881</v>
      </c>
      <c r="V183" s="1164"/>
      <c r="W183" s="1164"/>
      <c r="X183" s="1164"/>
      <c r="Y183" s="1164"/>
      <c r="Z183" s="573">
        <v>0.8</v>
      </c>
      <c r="AA183" s="572">
        <v>0.8</v>
      </c>
      <c r="AB183" s="572">
        <v>0.8</v>
      </c>
      <c r="AC183" s="572">
        <v>0.8</v>
      </c>
      <c r="AD183" s="572">
        <v>0.8</v>
      </c>
      <c r="AE183" s="572">
        <v>0.8</v>
      </c>
      <c r="AF183" s="572">
        <v>0.8</v>
      </c>
      <c r="AG183" s="1164"/>
      <c r="AH183" s="1163">
        <v>88</v>
      </c>
      <c r="AI183" s="1162"/>
      <c r="AJ183" s="1163" t="s">
        <v>881</v>
      </c>
      <c r="AK183" s="1163" t="s">
        <v>881</v>
      </c>
      <c r="AL183" s="1163" t="s">
        <v>881</v>
      </c>
      <c r="AM183" s="1163" t="s">
        <v>881</v>
      </c>
      <c r="AN183" s="1163" t="s">
        <v>881</v>
      </c>
      <c r="AO183" s="1163" t="s">
        <v>881</v>
      </c>
      <c r="AP183" s="1163" t="s">
        <v>881</v>
      </c>
      <c r="AQ183" s="1163" t="s">
        <v>881</v>
      </c>
      <c r="AR183" s="1163" t="s">
        <v>881</v>
      </c>
      <c r="AS183" s="1170" t="s">
        <v>881</v>
      </c>
      <c r="AT183" s="1170" t="s">
        <v>881</v>
      </c>
      <c r="AU183" s="1170" t="s">
        <v>881</v>
      </c>
      <c r="AV183" s="1170" t="s">
        <v>881</v>
      </c>
      <c r="AW183" s="1170" t="s">
        <v>881</v>
      </c>
      <c r="AX183" s="1170" t="s">
        <v>881</v>
      </c>
      <c r="AY183" s="1170" t="s">
        <v>881</v>
      </c>
      <c r="AZ183" s="1170" t="s">
        <v>881</v>
      </c>
      <c r="BA183" s="1170" t="s">
        <v>881</v>
      </c>
      <c r="BB183" s="1163" t="s">
        <v>881</v>
      </c>
      <c r="BC183" s="1163" t="s">
        <v>881</v>
      </c>
      <c r="BD183" s="1163" t="s">
        <v>881</v>
      </c>
      <c r="BE183" s="1163" t="s">
        <v>881</v>
      </c>
      <c r="BF183" s="1163" t="s">
        <v>881</v>
      </c>
      <c r="BG183" s="1163" t="s">
        <v>881</v>
      </c>
      <c r="BH183" s="1163" t="s">
        <v>881</v>
      </c>
      <c r="BI183" s="1163" t="s">
        <v>881</v>
      </c>
      <c r="BJ183" s="1163" t="s">
        <v>881</v>
      </c>
      <c r="BK183" s="1170" t="s">
        <v>881</v>
      </c>
      <c r="BL183" s="1170" t="s">
        <v>881</v>
      </c>
      <c r="BM183" s="1170" t="s">
        <v>881</v>
      </c>
      <c r="BN183" s="1170" t="s">
        <v>881</v>
      </c>
      <c r="BO183" s="1170" t="s">
        <v>881</v>
      </c>
      <c r="BP183" s="1170" t="s">
        <v>881</v>
      </c>
      <c r="BQ183" s="1170" t="s">
        <v>881</v>
      </c>
      <c r="BR183" s="1170" t="s">
        <v>881</v>
      </c>
      <c r="BS183" s="1170" t="s">
        <v>881</v>
      </c>
      <c r="BT183" s="579"/>
      <c r="BU183" s="579"/>
      <c r="BV183" s="579"/>
      <c r="BW183" s="579"/>
      <c r="BX183" s="579"/>
      <c r="BY183" s="579"/>
      <c r="BZ183" s="579"/>
      <c r="CA183" s="579"/>
      <c r="CB183" s="579"/>
      <c r="CC183" s="578"/>
      <c r="CD183" s="578"/>
      <c r="CE183" s="578"/>
      <c r="CF183" s="578"/>
      <c r="CG183" s="578"/>
      <c r="CH183" s="578"/>
      <c r="CI183" s="578"/>
      <c r="CJ183" s="578"/>
      <c r="CK183" s="578"/>
      <c r="CL183" s="579"/>
      <c r="CM183" s="579"/>
      <c r="CN183" s="579"/>
      <c r="CO183" s="579"/>
      <c r="CP183" s="579"/>
      <c r="CQ183" s="579"/>
      <c r="CR183" s="579"/>
      <c r="CS183" s="579"/>
      <c r="CT183" s="579"/>
      <c r="CU183" s="578"/>
      <c r="CV183" s="578"/>
      <c r="CW183" s="578"/>
      <c r="CX183" s="578"/>
      <c r="CY183" s="578"/>
      <c r="CZ183" s="578"/>
      <c r="DA183" s="578"/>
      <c r="DB183" s="578"/>
      <c r="DC183" s="578"/>
    </row>
    <row r="184" spans="1:109">
      <c r="A184" s="1167" t="s">
        <v>1146</v>
      </c>
      <c r="B184" s="1167" t="s">
        <v>1145</v>
      </c>
      <c r="C184" s="1166" t="s">
        <v>1030</v>
      </c>
      <c r="D184" s="1166" t="s">
        <v>943</v>
      </c>
      <c r="E184" s="577">
        <v>0.8</v>
      </c>
      <c r="F184" s="574">
        <v>0.5323</v>
      </c>
      <c r="G184" s="576">
        <v>100</v>
      </c>
      <c r="H184" s="574">
        <v>14.266576844636488</v>
      </c>
      <c r="I184" s="1164"/>
      <c r="J184" s="575">
        <v>1</v>
      </c>
      <c r="K184" s="574">
        <v>9.4926235680000026</v>
      </c>
      <c r="L184" s="574">
        <v>7.5940988544000021</v>
      </c>
      <c r="M184" s="1164"/>
      <c r="N184" s="1168"/>
      <c r="O184" s="1164"/>
      <c r="P184" s="1163" t="s">
        <v>881</v>
      </c>
      <c r="Q184" s="1164"/>
      <c r="R184" s="1164"/>
      <c r="S184" s="1164"/>
      <c r="T184" s="1164"/>
      <c r="U184" s="1163" t="s">
        <v>881</v>
      </c>
      <c r="V184" s="1164"/>
      <c r="W184" s="1164"/>
      <c r="X184" s="1164"/>
      <c r="Y184" s="1164"/>
      <c r="Z184" s="573">
        <v>0.8</v>
      </c>
      <c r="AA184" s="572">
        <v>0.8</v>
      </c>
      <c r="AB184" s="572">
        <v>0.8</v>
      </c>
      <c r="AC184" s="572">
        <v>0.8</v>
      </c>
      <c r="AD184" s="572">
        <v>0.8</v>
      </c>
      <c r="AE184" s="572">
        <v>0.8</v>
      </c>
      <c r="AF184" s="572">
        <v>0.8</v>
      </c>
      <c r="AG184" s="1164"/>
      <c r="AH184" s="1163">
        <v>89</v>
      </c>
      <c r="AI184" s="1162"/>
      <c r="AJ184" s="1163" t="s">
        <v>881</v>
      </c>
      <c r="AK184" s="1163" t="s">
        <v>881</v>
      </c>
      <c r="AL184" s="1163" t="s">
        <v>881</v>
      </c>
      <c r="AM184" s="1163" t="s">
        <v>881</v>
      </c>
      <c r="AN184" s="1163" t="s">
        <v>881</v>
      </c>
      <c r="AO184" s="1163" t="s">
        <v>881</v>
      </c>
      <c r="AP184" s="1163" t="s">
        <v>881</v>
      </c>
      <c r="AQ184" s="1163" t="s">
        <v>881</v>
      </c>
      <c r="AR184" s="1163" t="s">
        <v>881</v>
      </c>
      <c r="AS184" s="1170" t="s">
        <v>881</v>
      </c>
      <c r="AT184" s="1170" t="s">
        <v>881</v>
      </c>
      <c r="AU184" s="1170" t="s">
        <v>881</v>
      </c>
      <c r="AV184" s="1170" t="s">
        <v>881</v>
      </c>
      <c r="AW184" s="1170" t="s">
        <v>881</v>
      </c>
      <c r="AX184" s="1170" t="s">
        <v>881</v>
      </c>
      <c r="AY184" s="1170" t="s">
        <v>881</v>
      </c>
      <c r="AZ184" s="1170" t="s">
        <v>881</v>
      </c>
      <c r="BA184" s="1170" t="s">
        <v>881</v>
      </c>
      <c r="BB184" s="1163" t="s">
        <v>881</v>
      </c>
      <c r="BC184" s="1163" t="s">
        <v>881</v>
      </c>
      <c r="BD184" s="1163" t="s">
        <v>881</v>
      </c>
      <c r="BE184" s="1163" t="s">
        <v>881</v>
      </c>
      <c r="BF184" s="1163" t="s">
        <v>881</v>
      </c>
      <c r="BG184" s="1163" t="s">
        <v>881</v>
      </c>
      <c r="BH184" s="1163" t="s">
        <v>881</v>
      </c>
      <c r="BI184" s="1163" t="s">
        <v>881</v>
      </c>
      <c r="BJ184" s="1163" t="s">
        <v>881</v>
      </c>
      <c r="BK184" s="1170" t="s">
        <v>881</v>
      </c>
      <c r="BL184" s="1170" t="s">
        <v>881</v>
      </c>
      <c r="BM184" s="1170" t="s">
        <v>881</v>
      </c>
      <c r="BN184" s="1170" t="s">
        <v>881</v>
      </c>
      <c r="BO184" s="1170" t="s">
        <v>881</v>
      </c>
      <c r="BP184" s="1170" t="s">
        <v>881</v>
      </c>
      <c r="BQ184" s="1170" t="s">
        <v>881</v>
      </c>
      <c r="BR184" s="1170" t="s">
        <v>881</v>
      </c>
      <c r="BS184" s="1170" t="s">
        <v>881</v>
      </c>
      <c r="BT184" s="579"/>
      <c r="BU184" s="579"/>
      <c r="BV184" s="579"/>
      <c r="BW184" s="579"/>
      <c r="BX184" s="579"/>
      <c r="BY184" s="579"/>
      <c r="BZ184" s="579"/>
      <c r="CA184" s="579"/>
      <c r="CB184" s="579"/>
      <c r="CC184" s="578"/>
      <c r="CD184" s="578"/>
      <c r="CE184" s="578"/>
      <c r="CF184" s="578"/>
      <c r="CG184" s="578"/>
      <c r="CH184" s="578"/>
      <c r="CI184" s="578"/>
      <c r="CJ184" s="578"/>
      <c r="CK184" s="578"/>
      <c r="CL184" s="579"/>
      <c r="CM184" s="579"/>
      <c r="CN184" s="579"/>
      <c r="CO184" s="579"/>
      <c r="CP184" s="579"/>
      <c r="CQ184" s="579"/>
      <c r="CR184" s="579"/>
      <c r="CS184" s="579"/>
      <c r="CT184" s="579"/>
      <c r="CU184" s="578"/>
      <c r="CV184" s="578"/>
      <c r="CW184" s="578"/>
      <c r="CX184" s="578"/>
      <c r="CY184" s="578"/>
      <c r="CZ184" s="578"/>
      <c r="DA184" s="578"/>
      <c r="DB184" s="578"/>
      <c r="DC184" s="578"/>
    </row>
    <row r="185" spans="1:109">
      <c r="A185" s="1167" t="s">
        <v>1144</v>
      </c>
      <c r="B185" s="1167" t="s">
        <v>1143</v>
      </c>
      <c r="C185" s="1166" t="s">
        <v>1030</v>
      </c>
      <c r="D185" s="1166" t="s">
        <v>942</v>
      </c>
      <c r="E185" s="577">
        <v>0.76</v>
      </c>
      <c r="F185" s="574">
        <v>0.6845</v>
      </c>
      <c r="G185" s="576">
        <v>100</v>
      </c>
      <c r="H185" s="574">
        <v>0</v>
      </c>
      <c r="I185" s="1164"/>
      <c r="J185" s="575">
        <v>1</v>
      </c>
      <c r="K185" s="574">
        <v>0</v>
      </c>
      <c r="L185" s="574">
        <v>0</v>
      </c>
      <c r="M185" s="1164"/>
      <c r="N185" s="1168"/>
      <c r="O185" s="1164"/>
      <c r="P185" s="1163" t="s">
        <v>881</v>
      </c>
      <c r="Q185" s="1164"/>
      <c r="R185" s="1164"/>
      <c r="S185" s="1164"/>
      <c r="T185" s="1164"/>
      <c r="U185" s="1163" t="s">
        <v>881</v>
      </c>
      <c r="V185" s="1164"/>
      <c r="W185" s="1164"/>
      <c r="X185" s="1164"/>
      <c r="Y185" s="1164"/>
      <c r="Z185" s="573">
        <v>0.76</v>
      </c>
      <c r="AA185" s="572">
        <v>0.76</v>
      </c>
      <c r="AB185" s="572">
        <v>0.76</v>
      </c>
      <c r="AC185" s="572">
        <v>0.76</v>
      </c>
      <c r="AD185" s="572">
        <v>0.76</v>
      </c>
      <c r="AE185" s="572">
        <v>0.76</v>
      </c>
      <c r="AF185" s="572">
        <v>0.76</v>
      </c>
      <c r="AG185" s="1164"/>
      <c r="AH185" s="1163">
        <v>90</v>
      </c>
      <c r="AI185" s="1162"/>
      <c r="AJ185" s="1163" t="s">
        <v>881</v>
      </c>
      <c r="AK185" s="1163" t="s">
        <v>881</v>
      </c>
      <c r="AL185" s="1163" t="s">
        <v>881</v>
      </c>
      <c r="AM185" s="1163" t="s">
        <v>881</v>
      </c>
      <c r="AN185" s="1163" t="s">
        <v>881</v>
      </c>
      <c r="AO185" s="1163" t="s">
        <v>881</v>
      </c>
      <c r="AP185" s="1163" t="s">
        <v>881</v>
      </c>
      <c r="AQ185" s="1163" t="s">
        <v>881</v>
      </c>
      <c r="AR185" s="1163" t="s">
        <v>881</v>
      </c>
      <c r="AS185" s="1170" t="s">
        <v>881</v>
      </c>
      <c r="AT185" s="1170" t="s">
        <v>881</v>
      </c>
      <c r="AU185" s="1170" t="s">
        <v>881</v>
      </c>
      <c r="AV185" s="1170" t="s">
        <v>881</v>
      </c>
      <c r="AW185" s="1170" t="s">
        <v>881</v>
      </c>
      <c r="AX185" s="1170" t="s">
        <v>881</v>
      </c>
      <c r="AY185" s="1170" t="s">
        <v>881</v>
      </c>
      <c r="AZ185" s="1170" t="s">
        <v>881</v>
      </c>
      <c r="BA185" s="1170" t="s">
        <v>881</v>
      </c>
      <c r="BB185" s="1163" t="s">
        <v>881</v>
      </c>
      <c r="BC185" s="1163" t="s">
        <v>881</v>
      </c>
      <c r="BD185" s="1163" t="s">
        <v>881</v>
      </c>
      <c r="BE185" s="1163" t="s">
        <v>881</v>
      </c>
      <c r="BF185" s="1163" t="s">
        <v>881</v>
      </c>
      <c r="BG185" s="1163" t="s">
        <v>881</v>
      </c>
      <c r="BH185" s="1163" t="s">
        <v>881</v>
      </c>
      <c r="BI185" s="1163" t="s">
        <v>881</v>
      </c>
      <c r="BJ185" s="1163" t="s">
        <v>881</v>
      </c>
      <c r="BK185" s="1170" t="s">
        <v>881</v>
      </c>
      <c r="BL185" s="1170" t="s">
        <v>881</v>
      </c>
      <c r="BM185" s="1170" t="s">
        <v>881</v>
      </c>
      <c r="BN185" s="1170" t="s">
        <v>881</v>
      </c>
      <c r="BO185" s="1170" t="s">
        <v>881</v>
      </c>
      <c r="BP185" s="1170" t="s">
        <v>881</v>
      </c>
      <c r="BQ185" s="1170" t="s">
        <v>881</v>
      </c>
      <c r="BR185" s="1170" t="s">
        <v>881</v>
      </c>
      <c r="BS185" s="1170" t="s">
        <v>881</v>
      </c>
      <c r="BT185" s="579"/>
      <c r="BU185" s="579"/>
      <c r="BV185" s="579"/>
      <c r="BW185" s="579"/>
      <c r="BX185" s="579"/>
      <c r="BY185" s="579"/>
      <c r="BZ185" s="579"/>
      <c r="CA185" s="579"/>
      <c r="CB185" s="579"/>
      <c r="CC185" s="578"/>
      <c r="CD185" s="578"/>
      <c r="CE185" s="578"/>
      <c r="CF185" s="578"/>
      <c r="CG185" s="578"/>
      <c r="CH185" s="578"/>
      <c r="CI185" s="578"/>
      <c r="CJ185" s="578"/>
      <c r="CK185" s="578"/>
      <c r="CL185" s="579"/>
      <c r="CM185" s="579"/>
      <c r="CN185" s="579"/>
      <c r="CO185" s="579"/>
      <c r="CP185" s="579"/>
      <c r="CQ185" s="579"/>
      <c r="CR185" s="579"/>
      <c r="CS185" s="579"/>
      <c r="CT185" s="579"/>
      <c r="CU185" s="578"/>
      <c r="CV185" s="578"/>
      <c r="CW185" s="578"/>
      <c r="CX185" s="578"/>
      <c r="CY185" s="578"/>
      <c r="CZ185" s="578"/>
      <c r="DA185" s="578"/>
      <c r="DB185" s="578"/>
      <c r="DC185" s="578"/>
    </row>
    <row r="186" spans="1:109">
      <c r="A186" s="1167" t="s">
        <v>1045</v>
      </c>
      <c r="B186" s="1167"/>
      <c r="C186" s="1166"/>
      <c r="D186" s="1166" t="s">
        <v>124</v>
      </c>
      <c r="E186" s="577"/>
      <c r="F186" s="574">
        <v>0</v>
      </c>
      <c r="G186" s="576"/>
      <c r="H186" s="574"/>
      <c r="I186" s="1164"/>
      <c r="J186" s="575"/>
      <c r="K186" s="574"/>
      <c r="L186" s="574"/>
      <c r="M186" s="1164"/>
      <c r="N186" s="1168"/>
      <c r="O186" s="1164"/>
      <c r="P186" s="1163" t="s">
        <v>881</v>
      </c>
      <c r="Q186" s="1164"/>
      <c r="R186" s="1164"/>
      <c r="S186" s="1164"/>
      <c r="T186" s="1164"/>
      <c r="U186" s="1163" t="s">
        <v>881</v>
      </c>
      <c r="V186" s="1164"/>
      <c r="W186" s="1164"/>
      <c r="X186" s="1164"/>
      <c r="Y186" s="1164"/>
      <c r="Z186" s="1163" t="s">
        <v>881</v>
      </c>
      <c r="AA186" s="1164"/>
      <c r="AB186" s="1164"/>
      <c r="AC186" s="1164"/>
      <c r="AD186" s="1164"/>
      <c r="AE186" s="1164"/>
      <c r="AF186" s="1164"/>
      <c r="AG186" s="1164"/>
      <c r="AH186" s="1163">
        <v>91</v>
      </c>
      <c r="AI186" s="1162" t="str">
        <f>MID(D186,2,2)</f>
        <v/>
      </c>
      <c r="AJ186" s="1163" t="s">
        <v>881</v>
      </c>
      <c r="AK186" s="1163" t="s">
        <v>881</v>
      </c>
      <c r="AL186" s="1163" t="s">
        <v>881</v>
      </c>
      <c r="AM186" s="1163" t="s">
        <v>881</v>
      </c>
      <c r="AN186" s="1163" t="s">
        <v>881</v>
      </c>
      <c r="AO186" s="1163" t="s">
        <v>881</v>
      </c>
      <c r="AP186" s="1163" t="s">
        <v>881</v>
      </c>
      <c r="AQ186" s="1163" t="s">
        <v>881</v>
      </c>
      <c r="AR186" s="1163" t="s">
        <v>881</v>
      </c>
      <c r="AS186" s="1170" t="s">
        <v>881</v>
      </c>
      <c r="AT186" s="1170" t="s">
        <v>881</v>
      </c>
      <c r="AU186" s="1170" t="s">
        <v>881</v>
      </c>
      <c r="AV186" s="1170" t="s">
        <v>881</v>
      </c>
      <c r="AW186" s="1170" t="s">
        <v>881</v>
      </c>
      <c r="AX186" s="1170" t="s">
        <v>881</v>
      </c>
      <c r="AY186" s="1170" t="s">
        <v>881</v>
      </c>
      <c r="AZ186" s="1170" t="s">
        <v>881</v>
      </c>
      <c r="BA186" s="1170" t="s">
        <v>881</v>
      </c>
      <c r="BB186" s="1163" t="s">
        <v>881</v>
      </c>
      <c r="BC186" s="1163" t="s">
        <v>881</v>
      </c>
      <c r="BD186" s="1163" t="s">
        <v>881</v>
      </c>
      <c r="BE186" s="1163" t="s">
        <v>881</v>
      </c>
      <c r="BF186" s="1163" t="s">
        <v>881</v>
      </c>
      <c r="BG186" s="1163" t="s">
        <v>881</v>
      </c>
      <c r="BH186" s="1163" t="s">
        <v>881</v>
      </c>
      <c r="BI186" s="1163" t="s">
        <v>881</v>
      </c>
      <c r="BJ186" s="1163" t="s">
        <v>881</v>
      </c>
      <c r="BK186" s="1170" t="s">
        <v>881</v>
      </c>
      <c r="BL186" s="1170" t="s">
        <v>881</v>
      </c>
      <c r="BM186" s="1170" t="s">
        <v>881</v>
      </c>
      <c r="BN186" s="1170" t="s">
        <v>881</v>
      </c>
      <c r="BO186" s="1170" t="s">
        <v>881</v>
      </c>
      <c r="BP186" s="1170" t="s">
        <v>881</v>
      </c>
      <c r="BQ186" s="1170" t="s">
        <v>881</v>
      </c>
      <c r="BR186" s="1170" t="s">
        <v>881</v>
      </c>
      <c r="BS186" s="1170" t="s">
        <v>881</v>
      </c>
      <c r="BT186" s="587"/>
      <c r="BU186" s="587"/>
      <c r="BV186" s="587"/>
      <c r="BW186" s="587"/>
      <c r="BX186" s="587"/>
      <c r="BY186" s="587"/>
      <c r="BZ186" s="587"/>
      <c r="CA186" s="587"/>
      <c r="CB186" s="587"/>
      <c r="CC186" s="578"/>
      <c r="CD186" s="578"/>
      <c r="CE186" s="578"/>
      <c r="CF186" s="578"/>
      <c r="CG186" s="578"/>
      <c r="CH186" s="578"/>
      <c r="CI186" s="578"/>
      <c r="CJ186" s="578"/>
      <c r="CK186" s="578"/>
      <c r="CL186" s="587"/>
      <c r="CM186" s="587"/>
      <c r="CN186" s="587"/>
      <c r="CO186" s="587"/>
      <c r="CP186" s="587"/>
      <c r="CQ186" s="587"/>
      <c r="CR186" s="587"/>
      <c r="CS186" s="587"/>
      <c r="CT186" s="587"/>
      <c r="CU186" s="586"/>
      <c r="CV186" s="586"/>
      <c r="CW186" s="586"/>
      <c r="CX186" s="586"/>
      <c r="CY186" s="586"/>
      <c r="CZ186" s="586"/>
      <c r="DA186" s="586"/>
      <c r="DB186" s="586"/>
      <c r="DC186" s="586"/>
    </row>
    <row r="187" spans="1:109">
      <c r="A187" s="1167" t="s">
        <v>1142</v>
      </c>
      <c r="B187" s="1167" t="s">
        <v>1141</v>
      </c>
      <c r="C187" s="1166" t="s">
        <v>1042</v>
      </c>
      <c r="D187" s="1166" t="s">
        <v>941</v>
      </c>
      <c r="E187" s="577">
        <v>0.64</v>
      </c>
      <c r="F187" s="574">
        <v>0.56299999999999994</v>
      </c>
      <c r="G187" s="576">
        <v>100</v>
      </c>
      <c r="H187" s="574">
        <v>61.385435168738894</v>
      </c>
      <c r="I187" s="1164"/>
      <c r="J187" s="575">
        <v>1</v>
      </c>
      <c r="K187" s="574">
        <v>53.999999999999986</v>
      </c>
      <c r="L187" s="574">
        <v>34.559999999999995</v>
      </c>
      <c r="M187" s="1164"/>
      <c r="N187" s="1168"/>
      <c r="O187" s="1164"/>
      <c r="P187" s="1160">
        <v>0.859160349749859</v>
      </c>
      <c r="Q187" s="572">
        <v>0.90916034974985904</v>
      </c>
      <c r="R187" s="572">
        <v>1</v>
      </c>
      <c r="S187" s="572">
        <v>1</v>
      </c>
      <c r="T187" s="1164"/>
      <c r="U187" s="573">
        <v>0.859160349749859</v>
      </c>
      <c r="V187" s="572">
        <v>0.5154962098499154</v>
      </c>
      <c r="W187" s="572">
        <v>0.3436641398999436</v>
      </c>
      <c r="X187" s="572">
        <v>0.1718320699499718</v>
      </c>
      <c r="Y187" s="1164"/>
      <c r="Z187" s="573">
        <v>0.64</v>
      </c>
      <c r="AA187" s="572">
        <v>0.64</v>
      </c>
      <c r="AB187" s="572">
        <v>0.64</v>
      </c>
      <c r="AC187" s="572">
        <v>0.64</v>
      </c>
      <c r="AD187" s="572">
        <v>0.64</v>
      </c>
      <c r="AE187" s="572">
        <v>0.64</v>
      </c>
      <c r="AF187" s="572">
        <v>0.64</v>
      </c>
      <c r="AG187" s="1164"/>
      <c r="AH187" s="1163">
        <v>92</v>
      </c>
      <c r="AI187" s="1162" t="str">
        <f t="shared" ref="AI187:AI192" si="24">MID(D187,2,3)&amp;RIGHT(C187,3)</f>
        <v>NMSCOA</v>
      </c>
      <c r="AJ187" s="1160">
        <f t="shared" ref="AJ187:AR187" si="25">MAX(0,1-SUM(AJ188:AJ192))</f>
        <v>0.859160349749859</v>
      </c>
      <c r="AK187" s="1160">
        <f t="shared" si="25"/>
        <v>0.859160349749859</v>
      </c>
      <c r="AL187" s="1160">
        <f t="shared" si="25"/>
        <v>0.859160349749859</v>
      </c>
      <c r="AM187" s="1160">
        <f t="shared" si="25"/>
        <v>0.859160349749859</v>
      </c>
      <c r="AN187" s="1160">
        <f t="shared" si="25"/>
        <v>0.859160349749859</v>
      </c>
      <c r="AO187" s="1160">
        <f t="shared" si="25"/>
        <v>0.859160349749859</v>
      </c>
      <c r="AP187" s="1160">
        <f t="shared" si="25"/>
        <v>0.859160349749859</v>
      </c>
      <c r="AQ187" s="1160">
        <f t="shared" si="25"/>
        <v>0.859160349749859</v>
      </c>
      <c r="AR187" s="1160">
        <f t="shared" si="25"/>
        <v>0.859160349749859</v>
      </c>
      <c r="AS187" s="1159">
        <v>0.859160349749859</v>
      </c>
      <c r="AT187" s="1159">
        <v>0.859160349749859</v>
      </c>
      <c r="AU187" s="1159">
        <v>0.859160349749859</v>
      </c>
      <c r="AV187" s="1159">
        <v>0.859160349749859</v>
      </c>
      <c r="AW187" s="1159">
        <v>0.859160349749859</v>
      </c>
      <c r="AX187" s="1159">
        <v>0.859160349749859</v>
      </c>
      <c r="AY187" s="1159">
        <v>0.859160349749859</v>
      </c>
      <c r="AZ187" s="1159">
        <v>0.859160349749859</v>
      </c>
      <c r="BA187" s="1159">
        <v>0.859160349749859</v>
      </c>
      <c r="BB187" s="1160">
        <v>0.859160349749859</v>
      </c>
      <c r="BC187" s="1160">
        <v>0.859160349749859</v>
      </c>
      <c r="BD187" s="1160">
        <v>0.859160349749859</v>
      </c>
      <c r="BE187" s="1160">
        <v>0.859160349749859</v>
      </c>
      <c r="BF187" s="1160">
        <v>0.859160349749859</v>
      </c>
      <c r="BG187" s="1160">
        <v>0.859160349749859</v>
      </c>
      <c r="BH187" s="1160">
        <v>0.859160349749859</v>
      </c>
      <c r="BI187" s="1160">
        <v>0.859160349749859</v>
      </c>
      <c r="BJ187" s="1160">
        <v>0.859160349749859</v>
      </c>
      <c r="BK187" s="1159">
        <v>0.859160349749859</v>
      </c>
      <c r="BL187" s="1159">
        <v>0.859160349749859</v>
      </c>
      <c r="BM187" s="1159">
        <v>0.859160349749859</v>
      </c>
      <c r="BN187" s="1159">
        <v>0.859160349749859</v>
      </c>
      <c r="BO187" s="1159">
        <v>0.859160349749859</v>
      </c>
      <c r="BP187" s="1159">
        <v>0.859160349749859</v>
      </c>
      <c r="BQ187" s="1159">
        <v>0.859160349749859</v>
      </c>
      <c r="BR187" s="1159">
        <v>0.859160349749859</v>
      </c>
      <c r="BS187" s="1159">
        <v>0.859160349749859</v>
      </c>
      <c r="BT187" s="579">
        <f t="array" ref="BT187">$Z187  * (1 + SUM( ($AU$80:$AU$83=BT$93) * ($BH$79:$BP$79=BT$94) * ($BH$80:$BP$83) ))</f>
        <v>0.64022400510231114</v>
      </c>
      <c r="BU187" s="579">
        <f t="array" ref="BU187">$Z187  * (1 + SUM( ($AU$80:$AU$83=BU$93) * ($BH$79:$BP$79=BU$94) * ($BH$80:$BP$83) ))</f>
        <v>0.64069135279104783</v>
      </c>
      <c r="BV187" s="579">
        <f t="array" ref="BV187">$Z187  * (1 + SUM( ($AU$80:$AU$83=BV$93) * ($BH$79:$BP$79=BV$94) * ($BH$80:$BP$83) ))</f>
        <v>0.64144256593763005</v>
      </c>
      <c r="BW187" s="579">
        <f t="array" ref="BW187">$Z187  * (1 + SUM( ($AU$80:$AU$83=BW$93) * ($BH$79:$BP$79=BW$94) * ($BH$80:$BP$83) ))</f>
        <v>0.64248678290760342</v>
      </c>
      <c r="BX187" s="579">
        <f t="array" ref="BX187">$Z187  * (1 + SUM( ($AU$80:$AU$83=BX$93) * ($BH$79:$BP$79=BX$94) * ($BH$80:$BP$83) ))</f>
        <v>0.64367912468360744</v>
      </c>
      <c r="BY187" s="579">
        <f t="array" ref="BY187">$Z187  * (1 + SUM( ($AU$80:$AU$83=BY$93) * ($BH$79:$BP$79=BY$94) * ($BH$80:$BP$83) ))</f>
        <v>0.64476988832074622</v>
      </c>
      <c r="BZ187" s="579">
        <f t="array" ref="BZ187">$Z187  * (1 + SUM( ($AU$80:$AU$83=BZ$93) * ($BH$79:$BP$79=BZ$94) * ($BH$80:$BP$83) ))</f>
        <v>0.64558309357480281</v>
      </c>
      <c r="CA187" s="579">
        <f t="array" ref="CA187">$Z187  * (1 + SUM( ($AU$80:$AU$83=CA$93) * ($BH$79:$BP$79=CA$94) * ($BH$80:$BP$83) ))</f>
        <v>0.6461016007575977</v>
      </c>
      <c r="CB187" s="579">
        <f t="array" ref="CB187">$Z187  * (1 + SUM( ($AU$80:$AU$83=CB$93) * ($BH$79:$BP$79=CB$94) * ($BH$80:$BP$83) ))</f>
        <v>0.64639999999999997</v>
      </c>
      <c r="CC187" s="578">
        <f t="array" ref="CC187">$Z187  * (1 + SUM( ($AU$80:$AU$83=CC$93) * ($BH$79:$BP$79=CC$94) * ($BH$80:$BP$83) ))</f>
        <v>0.6433600765346662</v>
      </c>
      <c r="CD187" s="578">
        <f t="array" ref="CD187">$Z187  * (1 + SUM( ($AU$80:$AU$83=CD$93) * ($BH$79:$BP$79=CD$94) * ($BH$80:$BP$83) ))</f>
        <v>0.65037029186571771</v>
      </c>
      <c r="CE187" s="578">
        <f t="array" ref="CE187">$Z187  * (1 + SUM( ($AU$80:$AU$83=CE$93) * ($BH$79:$BP$79=CE$94) * ($BH$80:$BP$83) ))</f>
        <v>0.66163848906445089</v>
      </c>
      <c r="CF187" s="578">
        <f t="array" ref="CF187">$Z187  * (1 + SUM( ($AU$80:$AU$83=CF$93) * ($BH$79:$BP$79=CF$94) * ($BH$80:$BP$83) ))</f>
        <v>0.67730174361405104</v>
      </c>
      <c r="CG187" s="578">
        <f t="array" ref="CG187">$Z187  * (1 + SUM( ($AU$80:$AU$83=CG$93) * ($BH$79:$BP$79=CG$94) * ($BH$80:$BP$83) ))</f>
        <v>0.69518687025411108</v>
      </c>
      <c r="CH187" s="578">
        <f t="array" ref="CH187">$Z187  * (1 + SUM( ($AU$80:$AU$83=CH$93) * ($BH$79:$BP$79=CH$94) * ($BH$80:$BP$83) ))</f>
        <v>0.7115483248111929</v>
      </c>
      <c r="CI187" s="578">
        <f t="array" ref="CI187">$Z187  * (1 + SUM( ($AU$80:$AU$83=CI$93) * ($BH$79:$BP$79=CI$94) * ($BH$80:$BP$83) ))</f>
        <v>0.72374640362204334</v>
      </c>
      <c r="CJ187" s="578">
        <f t="array" ref="CJ187">$Z187  * (1 + SUM( ($AU$80:$AU$83=CJ$93) * ($BH$79:$BP$79=CJ$94) * ($BH$80:$BP$83) ))</f>
        <v>0.73152401136396494</v>
      </c>
      <c r="CK187" s="578">
        <f t="array" ref="CK187">$Z187  * (1 + SUM( ($AU$80:$AU$83=CK$93) * ($BH$79:$BP$79=CK$94) * ($BH$80:$BP$83) ))</f>
        <v>0.73599999999999999</v>
      </c>
      <c r="CL187" s="579">
        <f t="array" ref="CL187">$Z187  * (1 + SUM( ($AU$80:$AU$83=CL$93) * ($BH$79:$BP$79=CL$94) * ($BH$80:$BP$83) ))</f>
        <v>0.6467201530693325</v>
      </c>
      <c r="CM187" s="579">
        <f t="array" ref="CM187">$Z187  * (1 + SUM( ($AU$80:$AU$83=CM$93) * ($BH$79:$BP$79=CM$94) * ($BH$80:$BP$83) ))</f>
        <v>0.66074058373143563</v>
      </c>
      <c r="CN187" s="579">
        <f t="array" ref="CN187">$Z187  * (1 + SUM( ($AU$80:$AU$83=CN$93) * ($BH$79:$BP$79=CN$94) * ($BH$80:$BP$83) ))</f>
        <v>0.68327697812890165</v>
      </c>
      <c r="CO187" s="579">
        <f t="array" ref="CO187">$Z187  * (1 + SUM( ($AU$80:$AU$83=CO$93) * ($BH$79:$BP$79=CO$94) * ($BH$80:$BP$83) ))</f>
        <v>0.71460348722810196</v>
      </c>
      <c r="CP187" s="579">
        <f t="array" ref="CP187">$Z187  * (1 + SUM( ($AU$80:$AU$83=CP$93) * ($BH$79:$BP$79=CP$94) * ($BH$80:$BP$83) ))</f>
        <v>0.75037374050822236</v>
      </c>
      <c r="CQ187" s="579">
        <f t="array" ref="CQ187">$Z187  * (1 + SUM( ($AU$80:$AU$83=CQ$93) * ($BH$79:$BP$79=CQ$94) * ($BH$80:$BP$83) ))</f>
        <v>0.78309664962238568</v>
      </c>
      <c r="CR187" s="579">
        <f t="array" ref="CR187">$Z187  * (1 + SUM( ($AU$80:$AU$83=CR$93) * ($BH$79:$BP$79=CR$94) * ($BH$80:$BP$83) ))</f>
        <v>0.80749280724408679</v>
      </c>
      <c r="CS187" s="579">
        <f t="array" ref="CS187">$Z187  * (1 + SUM( ($AU$80:$AU$83=CS$93) * ($BH$79:$BP$79=CS$94) * ($BH$80:$BP$83) ))</f>
        <v>0.82304802272792987</v>
      </c>
      <c r="CT187" s="579">
        <f t="array" ref="CT187">$Z187  * (1 + SUM( ($AU$80:$AU$83=CT$93) * ($BH$79:$BP$79=CT$94) * ($BH$80:$BP$83) ))</f>
        <v>0.83200000000000007</v>
      </c>
      <c r="CU187" s="578">
        <f t="array" ref="CU187">$Z187  * (1 + SUM( ($AU$80:$AU$83=CU$93) * ($BH$79:$BP$79=CU$94) * ($BH$80:$BP$83) ))</f>
        <v>0.64896020409244326</v>
      </c>
      <c r="CV187" s="578">
        <f t="array" ref="CV187">$Z187  * (1 + SUM( ($AU$80:$AU$83=CV$93) * ($BH$79:$BP$79=CV$94) * ($BH$80:$BP$83) ))</f>
        <v>0.66765411164191402</v>
      </c>
      <c r="CW187" s="578">
        <f t="array" ref="CW187">$Z187  * (1 + SUM( ($AU$80:$AU$83=CW$93) * ($BH$79:$BP$79=CW$94) * ($BH$80:$BP$83) ))</f>
        <v>0.69770263750520212</v>
      </c>
      <c r="CX187" s="578">
        <f t="array" ref="CX187">$Z187  * (1 + SUM( ($AU$80:$AU$83=CX$93) * ($BH$79:$BP$79=CX$94) * ($BH$80:$BP$83) ))</f>
        <v>0.73947131630413609</v>
      </c>
      <c r="CY187" s="578">
        <f t="array" ref="CY187">$Z187  * (1 + SUM( ($AU$80:$AU$83=CY$93) * ($BH$79:$BP$79=CY$94) * ($BH$80:$BP$83) ))</f>
        <v>0.78716498734429652</v>
      </c>
      <c r="CZ187" s="578">
        <f t="array" ref="CZ187">$Z187  * (1 + SUM( ($AU$80:$AU$83=CZ$93) * ($BH$79:$BP$79=CZ$94) * ($BH$80:$BP$83) ))</f>
        <v>0.83079553282984764</v>
      </c>
      <c r="DA187" s="578">
        <f t="array" ref="DA187">$Z187  * (1 + SUM( ($AU$80:$AU$83=DA$93) * ($BH$79:$BP$79=DA$94) * ($BH$80:$BP$83) ))</f>
        <v>0.86332374299211578</v>
      </c>
      <c r="DB187" s="578">
        <f t="array" ref="DB187">$Z187  * (1 + SUM( ($AU$80:$AU$83=DB$93) * ($BH$79:$BP$79=DB$94) * ($BH$80:$BP$83) ))</f>
        <v>0.88406403030390646</v>
      </c>
      <c r="DC187" s="578">
        <f t="array" ref="DC187">$Z187  * (1 + SUM( ($AU$80:$AU$83=DC$93) * ($BH$79:$BP$79=DC$94) * ($BH$80:$BP$83) ))</f>
        <v>0.89599999999999991</v>
      </c>
    </row>
    <row r="188" spans="1:109">
      <c r="A188" s="1167" t="s">
        <v>1140</v>
      </c>
      <c r="B188" s="1167" t="s">
        <v>1139</v>
      </c>
      <c r="C188" s="1166" t="s">
        <v>1039</v>
      </c>
      <c r="D188" s="1166" t="s">
        <v>941</v>
      </c>
      <c r="E188" s="577">
        <v>0.72</v>
      </c>
      <c r="F188" s="574">
        <v>0.56299999999999994</v>
      </c>
      <c r="G188" s="576">
        <v>100</v>
      </c>
      <c r="H188" s="574">
        <v>10.062735346358792</v>
      </c>
      <c r="I188" s="1164"/>
      <c r="J188" s="575">
        <v>1</v>
      </c>
      <c r="K188" s="574">
        <v>7.8685</v>
      </c>
      <c r="L188" s="574">
        <v>5.6653199999999995</v>
      </c>
      <c r="M188" s="1164"/>
      <c r="N188" s="1168"/>
      <c r="O188" s="1164"/>
      <c r="P188" s="1160">
        <v>0.14083965025014095</v>
      </c>
      <c r="Q188" s="572">
        <v>0.19083965025014094</v>
      </c>
      <c r="R188" s="572">
        <v>0.39083965025014095</v>
      </c>
      <c r="S188" s="572">
        <v>0.640839650250141</v>
      </c>
      <c r="T188" s="1164"/>
      <c r="U188" s="573">
        <v>0.14083965025014095</v>
      </c>
      <c r="V188" s="572">
        <v>8.4503790150084565E-2</v>
      </c>
      <c r="W188" s="572">
        <v>5.6335860100056381E-2</v>
      </c>
      <c r="X188" s="572">
        <v>2.8167930050028191E-2</v>
      </c>
      <c r="Y188" s="1164"/>
      <c r="Z188" s="573">
        <v>0.72</v>
      </c>
      <c r="AA188" s="572">
        <v>0.72</v>
      </c>
      <c r="AB188" s="572">
        <v>0.72</v>
      </c>
      <c r="AC188" s="572">
        <v>0.72</v>
      </c>
      <c r="AD188" s="572">
        <v>0.72</v>
      </c>
      <c r="AE188" s="572">
        <v>0.72</v>
      </c>
      <c r="AF188" s="572">
        <v>0.72</v>
      </c>
      <c r="AG188" s="1164"/>
      <c r="AH188" s="1163">
        <v>93</v>
      </c>
      <c r="AI188" s="1162" t="str">
        <f t="shared" si="24"/>
        <v>NMSGAS</v>
      </c>
      <c r="AJ188" s="1160">
        <v>0.14083965025014095</v>
      </c>
      <c r="AK188" s="1160">
        <v>0.14083965025014095</v>
      </c>
      <c r="AL188" s="1160">
        <v>0.14083965025014095</v>
      </c>
      <c r="AM188" s="1160">
        <v>0.14083965025014095</v>
      </c>
      <c r="AN188" s="1160">
        <v>0.14083965025014095</v>
      </c>
      <c r="AO188" s="1160">
        <v>0.14083965025014095</v>
      </c>
      <c r="AP188" s="1160">
        <v>0.14083965025014095</v>
      </c>
      <c r="AQ188" s="1160">
        <v>0.14083965025014095</v>
      </c>
      <c r="AR188" s="1160">
        <v>0.14083965025014095</v>
      </c>
      <c r="AS188" s="1159">
        <v>0.14083965025014095</v>
      </c>
      <c r="AT188" s="1159">
        <v>0.14083965025014095</v>
      </c>
      <c r="AU188" s="1159">
        <v>0.14083965025014095</v>
      </c>
      <c r="AV188" s="1159">
        <v>0.14083965025014095</v>
      </c>
      <c r="AW188" s="1159">
        <v>0.14083965025014095</v>
      </c>
      <c r="AX188" s="1159">
        <v>0.14083965025014095</v>
      </c>
      <c r="AY188" s="1159">
        <v>0.14083965025014095</v>
      </c>
      <c r="AZ188" s="1159">
        <v>0.14083965025014095</v>
      </c>
      <c r="BA188" s="1159">
        <v>0.14083965025014095</v>
      </c>
      <c r="BB188" s="1160">
        <v>0.14083965025014095</v>
      </c>
      <c r="BC188" s="1160">
        <v>0.14083965025014095</v>
      </c>
      <c r="BD188" s="1160">
        <v>0.14083965025014095</v>
      </c>
      <c r="BE188" s="1160">
        <v>0.14083965025014095</v>
      </c>
      <c r="BF188" s="1160">
        <v>0.14083965025014095</v>
      </c>
      <c r="BG188" s="1160">
        <v>0.14083965025014095</v>
      </c>
      <c r="BH188" s="1160">
        <v>0.14083965025014095</v>
      </c>
      <c r="BI188" s="1160">
        <v>0.14083965025014095</v>
      </c>
      <c r="BJ188" s="1160">
        <v>0.14083965025014095</v>
      </c>
      <c r="BK188" s="1159">
        <v>0.14083965025014095</v>
      </c>
      <c r="BL188" s="1159">
        <v>0.14083965025014095</v>
      </c>
      <c r="BM188" s="1159">
        <v>0.14083965025014095</v>
      </c>
      <c r="BN188" s="1159">
        <v>0.14083965025014095</v>
      </c>
      <c r="BO188" s="1159">
        <v>0.14083965025014095</v>
      </c>
      <c r="BP188" s="1159">
        <v>0.14083965025014095</v>
      </c>
      <c r="BQ188" s="1159">
        <v>0.14083965025014095</v>
      </c>
      <c r="BR188" s="1159">
        <v>0.14083965025014095</v>
      </c>
      <c r="BS188" s="1159">
        <v>0.14083965025014095</v>
      </c>
      <c r="BT188" s="579">
        <f t="array" ref="BT188">$Z188  * (1 + SUM( ($AU$80:$AU$83=BT$93) * ($BH$79:$BP$79=BT$94) * ($BH$80:$BP$83) ))</f>
        <v>0.72025200574009995</v>
      </c>
      <c r="BU188" s="579">
        <f t="array" ref="BU188">$Z188  * (1 + SUM( ($AU$80:$AU$83=BU$93) * ($BH$79:$BP$79=BU$94) * ($BH$80:$BP$83) ))</f>
        <v>0.72077777188992875</v>
      </c>
      <c r="BV188" s="579">
        <f t="array" ref="BV188">$Z188  * (1 + SUM( ($AU$80:$AU$83=BV$93) * ($BH$79:$BP$79=BV$94) * ($BH$80:$BP$83) ))</f>
        <v>0.72162288667983376</v>
      </c>
      <c r="BW188" s="579">
        <f t="array" ref="BW188">$Z188  * (1 + SUM( ($AU$80:$AU$83=BW$93) * ($BH$79:$BP$79=BW$94) * ($BH$80:$BP$83) ))</f>
        <v>0.72279763077105375</v>
      </c>
      <c r="BX188" s="579">
        <f t="array" ref="BX188">$Z188  * (1 + SUM( ($AU$80:$AU$83=BX$93) * ($BH$79:$BP$79=BX$94) * ($BH$80:$BP$83) ))</f>
        <v>0.72413901526905833</v>
      </c>
      <c r="BY188" s="579">
        <f t="array" ref="BY188">$Z188  * (1 + SUM( ($AU$80:$AU$83=BY$93) * ($BH$79:$BP$79=BY$94) * ($BH$80:$BP$83) ))</f>
        <v>0.72536612436083947</v>
      </c>
      <c r="BZ188" s="579">
        <f t="array" ref="BZ188">$Z188  * (1 + SUM( ($AU$80:$AU$83=BZ$93) * ($BH$79:$BP$79=BZ$94) * ($BH$80:$BP$83) ))</f>
        <v>0.72628098027165311</v>
      </c>
      <c r="CA188" s="579">
        <f t="array" ref="CA188">$Z188  * (1 + SUM( ($AU$80:$AU$83=CA$93) * ($BH$79:$BP$79=CA$94) * ($BH$80:$BP$83) ))</f>
        <v>0.72686430085229736</v>
      </c>
      <c r="CB188" s="579">
        <f t="array" ref="CB188">$Z188  * (1 + SUM( ($AU$80:$AU$83=CB$93) * ($BH$79:$BP$79=CB$94) * ($BH$80:$BP$83) ))</f>
        <v>0.72719999999999996</v>
      </c>
      <c r="CC188" s="578">
        <f t="array" ref="CC188">$Z188  * (1 + SUM( ($AU$80:$AU$83=CC$93) * ($BH$79:$BP$79=CC$94) * ($BH$80:$BP$83) ))</f>
        <v>0.72378008610149946</v>
      </c>
      <c r="CD188" s="578">
        <f t="array" ref="CD188">$Z188  * (1 + SUM( ($AU$80:$AU$83=CD$93) * ($BH$79:$BP$79=CD$94) * ($BH$80:$BP$83) ))</f>
        <v>0.73166657834893245</v>
      </c>
      <c r="CE188" s="578">
        <f t="array" ref="CE188">$Z188  * (1 + SUM( ($AU$80:$AU$83=CE$93) * ($BH$79:$BP$79=CE$94) * ($BH$80:$BP$83) ))</f>
        <v>0.74434330019750716</v>
      </c>
      <c r="CF188" s="578">
        <f t="array" ref="CF188">$Z188  * (1 + SUM( ($AU$80:$AU$83=CF$93) * ($BH$79:$BP$79=CF$94) * ($BH$80:$BP$83) ))</f>
        <v>0.76196446156580744</v>
      </c>
      <c r="CG188" s="578">
        <f t="array" ref="CG188">$Z188  * (1 + SUM( ($AU$80:$AU$83=CG$93) * ($BH$79:$BP$79=CG$94) * ($BH$80:$BP$83) ))</f>
        <v>0.78208522903587496</v>
      </c>
      <c r="CH188" s="578">
        <f t="array" ref="CH188">$Z188  * (1 + SUM( ($AU$80:$AU$83=CH$93) * ($BH$79:$BP$79=CH$94) * ($BH$80:$BP$83) ))</f>
        <v>0.80049186541259199</v>
      </c>
      <c r="CI188" s="578">
        <f t="array" ref="CI188">$Z188  * (1 + SUM( ($AU$80:$AU$83=CI$93) * ($BH$79:$BP$79=CI$94) * ($BH$80:$BP$83) ))</f>
        <v>0.81421470407479868</v>
      </c>
      <c r="CJ188" s="578">
        <f t="array" ref="CJ188">$Z188  * (1 + SUM( ($AU$80:$AU$83=CJ$93) * ($BH$79:$BP$79=CJ$94) * ($BH$80:$BP$83) ))</f>
        <v>0.82296451278446048</v>
      </c>
      <c r="CK188" s="578">
        <f t="array" ref="CK188">$Z188  * (1 + SUM( ($AU$80:$AU$83=CK$93) * ($BH$79:$BP$79=CK$94) * ($BH$80:$BP$83) ))</f>
        <v>0.82799999999999996</v>
      </c>
      <c r="CL188" s="579">
        <f t="array" ref="CL188">$Z188  * (1 + SUM( ($AU$80:$AU$83=CL$93) * ($BH$79:$BP$79=CL$94) * ($BH$80:$BP$83) ))</f>
        <v>0.72756017220299896</v>
      </c>
      <c r="CM188" s="579">
        <f t="array" ref="CM188">$Z188  * (1 + SUM( ($AU$80:$AU$83=CM$93) * ($BH$79:$BP$79=CM$94) * ($BH$80:$BP$83) ))</f>
        <v>0.74333315669786504</v>
      </c>
      <c r="CN188" s="579">
        <f t="array" ref="CN188">$Z188  * (1 + SUM( ($AU$80:$AU$83=CN$93) * ($BH$79:$BP$79=CN$94) * ($BH$80:$BP$83) ))</f>
        <v>0.76868660039501435</v>
      </c>
      <c r="CO188" s="579">
        <f t="array" ref="CO188">$Z188  * (1 + SUM( ($AU$80:$AU$83=CO$93) * ($BH$79:$BP$79=CO$94) * ($BH$80:$BP$83) ))</f>
        <v>0.80392892313161468</v>
      </c>
      <c r="CP188" s="579">
        <f t="array" ref="CP188">$Z188  * (1 + SUM( ($AU$80:$AU$83=CP$93) * ($BH$79:$BP$79=CP$94) * ($BH$80:$BP$83) ))</f>
        <v>0.84417045807175017</v>
      </c>
      <c r="CQ188" s="579">
        <f t="array" ref="CQ188">$Z188  * (1 + SUM( ($AU$80:$AU$83=CQ$93) * ($BH$79:$BP$79=CQ$94) * ($BH$80:$BP$83) ))</f>
        <v>0.88098373082518389</v>
      </c>
      <c r="CR188" s="579">
        <f t="array" ref="CR188">$Z188  * (1 + SUM( ($AU$80:$AU$83=CR$93) * ($BH$79:$BP$79=CR$94) * ($BH$80:$BP$83) ))</f>
        <v>0.90842940814959761</v>
      </c>
      <c r="CS188" s="579">
        <f t="array" ref="CS188">$Z188  * (1 + SUM( ($AU$80:$AU$83=CS$93) * ($BH$79:$BP$79=CS$94) * ($BH$80:$BP$83) ))</f>
        <v>0.92592902556892098</v>
      </c>
      <c r="CT188" s="579">
        <f t="array" ref="CT188">$Z188  * (1 + SUM( ($AU$80:$AU$83=CT$93) * ($BH$79:$BP$79=CT$94) * ($BH$80:$BP$83) ))</f>
        <v>0.93599999999999994</v>
      </c>
      <c r="CU188" s="578">
        <f t="array" ref="CU188">$Z188  * (1 + SUM( ($AU$80:$AU$83=CU$93) * ($BH$79:$BP$79=CU$94) * ($BH$80:$BP$83) ))</f>
        <v>0.73008022960399865</v>
      </c>
      <c r="CV188" s="578">
        <f t="array" ref="CV188">$Z188  * (1 + SUM( ($AU$80:$AU$83=CV$93) * ($BH$79:$BP$79=CV$94) * ($BH$80:$BP$83) ))</f>
        <v>0.75111087559715328</v>
      </c>
      <c r="CW188" s="578">
        <f t="array" ref="CW188">$Z188  * (1 + SUM( ($AU$80:$AU$83=CW$93) * ($BH$79:$BP$79=CW$94) * ($BH$80:$BP$83) ))</f>
        <v>0.78491546719335237</v>
      </c>
      <c r="CX188" s="578">
        <f t="array" ref="CX188">$Z188  * (1 + SUM( ($AU$80:$AU$83=CX$93) * ($BH$79:$BP$79=CX$94) * ($BH$80:$BP$83) ))</f>
        <v>0.83190523084215307</v>
      </c>
      <c r="CY188" s="578">
        <f t="array" ref="CY188">$Z188  * (1 + SUM( ($AU$80:$AU$83=CY$93) * ($BH$79:$BP$79=CY$94) * ($BH$80:$BP$83) ))</f>
        <v>0.8855606107623335</v>
      </c>
      <c r="CZ188" s="578">
        <f t="array" ref="CZ188">$Z188  * (1 + SUM( ($AU$80:$AU$83=CZ$93) * ($BH$79:$BP$79=CZ$94) * ($BH$80:$BP$83) ))</f>
        <v>0.93464497443357852</v>
      </c>
      <c r="DA188" s="578">
        <f t="array" ref="DA188">$Z188  * (1 + SUM( ($AU$80:$AU$83=DA$93) * ($BH$79:$BP$79=DA$94) * ($BH$80:$BP$83) ))</f>
        <v>0.97123921086613019</v>
      </c>
      <c r="DB188" s="578">
        <f t="array" ref="DB188">$Z188  * (1 + SUM( ($AU$80:$AU$83=DB$93) * ($BH$79:$BP$79=DB$94) * ($BH$80:$BP$83) ))</f>
        <v>0.99457203409189476</v>
      </c>
      <c r="DC188" s="578">
        <f t="array" ref="DC188">$Z188  * (1 + SUM( ($AU$80:$AU$83=DC$93) * ($BH$79:$BP$79=DC$94) * ($BH$80:$BP$83) ))</f>
        <v>1.008</v>
      </c>
    </row>
    <row r="189" spans="1:109">
      <c r="A189" s="1167" t="s">
        <v>1138</v>
      </c>
      <c r="B189" s="1167" t="s">
        <v>1137</v>
      </c>
      <c r="C189" s="1166" t="s">
        <v>1036</v>
      </c>
      <c r="D189" s="1166" t="s">
        <v>941</v>
      </c>
      <c r="E189" s="577">
        <v>0.68</v>
      </c>
      <c r="F189" s="574">
        <v>0.56299999999999994</v>
      </c>
      <c r="G189" s="576">
        <v>100</v>
      </c>
      <c r="H189" s="574">
        <v>0</v>
      </c>
      <c r="I189" s="1164"/>
      <c r="J189" s="575">
        <v>1</v>
      </c>
      <c r="K189" s="574">
        <v>0</v>
      </c>
      <c r="L189" s="574">
        <v>0</v>
      </c>
      <c r="M189" s="1164"/>
      <c r="N189" s="1168"/>
      <c r="O189" s="1164"/>
      <c r="P189" s="1160">
        <v>0</v>
      </c>
      <c r="Q189" s="572">
        <v>0.05</v>
      </c>
      <c r="R189" s="572">
        <v>0.25</v>
      </c>
      <c r="S189" s="572">
        <v>0.5</v>
      </c>
      <c r="T189" s="1164"/>
      <c r="U189" s="573">
        <v>0</v>
      </c>
      <c r="V189" s="572">
        <v>0</v>
      </c>
      <c r="W189" s="572">
        <v>0</v>
      </c>
      <c r="X189" s="572">
        <v>0</v>
      </c>
      <c r="Y189" s="1164"/>
      <c r="Z189" s="573">
        <v>0.68</v>
      </c>
      <c r="AA189" s="572">
        <v>0.68</v>
      </c>
      <c r="AB189" s="572">
        <v>0.68</v>
      </c>
      <c r="AC189" s="572">
        <v>0.68</v>
      </c>
      <c r="AD189" s="572">
        <v>0.68</v>
      </c>
      <c r="AE189" s="572">
        <v>0.68</v>
      </c>
      <c r="AF189" s="572">
        <v>0.68</v>
      </c>
      <c r="AG189" s="1164"/>
      <c r="AH189" s="1163">
        <v>94</v>
      </c>
      <c r="AI189" s="1162" t="str">
        <f t="shared" si="24"/>
        <v>NMSOHF</v>
      </c>
      <c r="AJ189" s="1160">
        <v>0</v>
      </c>
      <c r="AK189" s="1160">
        <v>0</v>
      </c>
      <c r="AL189" s="1160">
        <v>0</v>
      </c>
      <c r="AM189" s="1160">
        <v>0</v>
      </c>
      <c r="AN189" s="1160">
        <v>0</v>
      </c>
      <c r="AO189" s="1160">
        <v>0</v>
      </c>
      <c r="AP189" s="1160">
        <v>0</v>
      </c>
      <c r="AQ189" s="1160">
        <v>0</v>
      </c>
      <c r="AR189" s="1160">
        <v>0</v>
      </c>
      <c r="AS189" s="1159">
        <v>0</v>
      </c>
      <c r="AT189" s="1159">
        <v>0</v>
      </c>
      <c r="AU189" s="1159">
        <v>0</v>
      </c>
      <c r="AV189" s="1159">
        <v>0</v>
      </c>
      <c r="AW189" s="1159">
        <v>0</v>
      </c>
      <c r="AX189" s="1159">
        <v>0</v>
      </c>
      <c r="AY189" s="1159">
        <v>0</v>
      </c>
      <c r="AZ189" s="1159">
        <v>0</v>
      </c>
      <c r="BA189" s="1159">
        <v>0</v>
      </c>
      <c r="BB189" s="1160">
        <v>0</v>
      </c>
      <c r="BC189" s="1160">
        <v>0</v>
      </c>
      <c r="BD189" s="1160">
        <v>0</v>
      </c>
      <c r="BE189" s="1160">
        <v>0</v>
      </c>
      <c r="BF189" s="1160">
        <v>0</v>
      </c>
      <c r="BG189" s="1160">
        <v>0</v>
      </c>
      <c r="BH189" s="1160">
        <v>0</v>
      </c>
      <c r="BI189" s="1160">
        <v>0</v>
      </c>
      <c r="BJ189" s="1160">
        <v>0</v>
      </c>
      <c r="BK189" s="1159">
        <v>0</v>
      </c>
      <c r="BL189" s="1159">
        <v>0</v>
      </c>
      <c r="BM189" s="1159">
        <v>0</v>
      </c>
      <c r="BN189" s="1159">
        <v>0</v>
      </c>
      <c r="BO189" s="1159">
        <v>0</v>
      </c>
      <c r="BP189" s="1159">
        <v>0</v>
      </c>
      <c r="BQ189" s="1159">
        <v>0</v>
      </c>
      <c r="BR189" s="1159">
        <v>0</v>
      </c>
      <c r="BS189" s="1159">
        <v>0</v>
      </c>
      <c r="BT189" s="579">
        <f t="array" ref="BT189">$Z189  * (1 + SUM( ($AU$80:$AU$83=BT$93) * ($BH$79:$BP$79=BT$94) * ($BH$80:$BP$83) ))</f>
        <v>0.6802380054212056</v>
      </c>
      <c r="BU189" s="579">
        <f t="array" ref="BU189">$Z189  * (1 + SUM( ($AU$80:$AU$83=BU$93) * ($BH$79:$BP$79=BU$94) * ($BH$80:$BP$83) ))</f>
        <v>0.68073456234048835</v>
      </c>
      <c r="BV189" s="579">
        <f t="array" ref="BV189">$Z189  * (1 + SUM( ($AU$80:$AU$83=BV$93) * ($BH$79:$BP$79=BV$94) * ($BH$80:$BP$83) ))</f>
        <v>0.68153272630873196</v>
      </c>
      <c r="BW189" s="579">
        <f t="array" ref="BW189">$Z189  * (1 + SUM( ($AU$80:$AU$83=BW$93) * ($BH$79:$BP$79=BW$94) * ($BH$80:$BP$83) ))</f>
        <v>0.68264220683932864</v>
      </c>
      <c r="BX189" s="579">
        <f t="array" ref="BX189">$Z189  * (1 + SUM( ($AU$80:$AU$83=BX$93) * ($BH$79:$BP$79=BX$94) * ($BH$80:$BP$83) ))</f>
        <v>0.68390906997633294</v>
      </c>
      <c r="BY189" s="579">
        <f t="array" ref="BY189">$Z189  * (1 + SUM( ($AU$80:$AU$83=BY$93) * ($BH$79:$BP$79=BY$94) * ($BH$80:$BP$83) ))</f>
        <v>0.6850680063407929</v>
      </c>
      <c r="BZ189" s="579">
        <f t="array" ref="BZ189">$Z189  * (1 + SUM( ($AU$80:$AU$83=BZ$93) * ($BH$79:$BP$79=BZ$94) * ($BH$80:$BP$83) ))</f>
        <v>0.68593203692322802</v>
      </c>
      <c r="CA189" s="579">
        <f t="array" ref="CA189">$Z189  * (1 + SUM( ($AU$80:$AU$83=CA$93) * ($BH$79:$BP$79=CA$94) * ($BH$80:$BP$83) ))</f>
        <v>0.68648295080494759</v>
      </c>
      <c r="CB189" s="579">
        <f t="array" ref="CB189">$Z189  * (1 + SUM( ($AU$80:$AU$83=CB$93) * ($BH$79:$BP$79=CB$94) * ($BH$80:$BP$83) ))</f>
        <v>0.68680000000000008</v>
      </c>
      <c r="CC189" s="578">
        <f t="array" ref="CC189">$Z189  * (1 + SUM( ($AU$80:$AU$83=CC$93) * ($BH$79:$BP$79=CC$94) * ($BH$80:$BP$83) ))</f>
        <v>0.68357008131808294</v>
      </c>
      <c r="CD189" s="578">
        <f t="array" ref="CD189">$Z189  * (1 + SUM( ($AU$80:$AU$83=CD$93) * ($BH$79:$BP$79=CD$94) * ($BH$80:$BP$83) ))</f>
        <v>0.69101843510732508</v>
      </c>
      <c r="CE189" s="578">
        <f t="array" ref="CE189">$Z189  * (1 + SUM( ($AU$80:$AU$83=CE$93) * ($BH$79:$BP$79=CE$94) * ($BH$80:$BP$83) ))</f>
        <v>0.70299089463097908</v>
      </c>
      <c r="CF189" s="578">
        <f t="array" ref="CF189">$Z189  * (1 + SUM( ($AU$80:$AU$83=CF$93) * ($BH$79:$BP$79=CF$94) * ($BH$80:$BP$83) ))</f>
        <v>0.7196331025899293</v>
      </c>
      <c r="CG189" s="578">
        <f t="array" ref="CG189">$Z189  * (1 + SUM( ($AU$80:$AU$83=CG$93) * ($BH$79:$BP$79=CG$94) * ($BH$80:$BP$83) ))</f>
        <v>0.73863604964499308</v>
      </c>
      <c r="CH189" s="578">
        <f t="array" ref="CH189">$Z189  * (1 + SUM( ($AU$80:$AU$83=CH$93) * ($BH$79:$BP$79=CH$94) * ($BH$80:$BP$83) ))</f>
        <v>0.7560200951118925</v>
      </c>
      <c r="CI189" s="578">
        <f t="array" ref="CI189">$Z189  * (1 + SUM( ($AU$80:$AU$83=CI$93) * ($BH$79:$BP$79=CI$94) * ($BH$80:$BP$83) ))</f>
        <v>0.76898055384842112</v>
      </c>
      <c r="CJ189" s="578">
        <f t="array" ref="CJ189">$Z189  * (1 + SUM( ($AU$80:$AU$83=CJ$93) * ($BH$79:$BP$79=CJ$94) * ($BH$80:$BP$83) ))</f>
        <v>0.77724426207421282</v>
      </c>
      <c r="CK189" s="578">
        <f t="array" ref="CK189">$Z189  * (1 + SUM( ($AU$80:$AU$83=CK$93) * ($BH$79:$BP$79=CK$94) * ($BH$80:$BP$83) ))</f>
        <v>0.78200000000000003</v>
      </c>
      <c r="CL189" s="579">
        <f t="array" ref="CL189">$Z189  * (1 + SUM( ($AU$80:$AU$83=CL$93) * ($BH$79:$BP$79=CL$94) * ($BH$80:$BP$83) ))</f>
        <v>0.68714016263616584</v>
      </c>
      <c r="CM189" s="579">
        <f t="array" ref="CM189">$Z189  * (1 + SUM( ($AU$80:$AU$83=CM$93) * ($BH$79:$BP$79=CM$94) * ($BH$80:$BP$83) ))</f>
        <v>0.70203687021465033</v>
      </c>
      <c r="CN189" s="579">
        <f t="array" ref="CN189">$Z189  * (1 + SUM( ($AU$80:$AU$83=CN$93) * ($BH$79:$BP$79=CN$94) * ($BH$80:$BP$83) ))</f>
        <v>0.725981789261958</v>
      </c>
      <c r="CO189" s="579">
        <f t="array" ref="CO189">$Z189  * (1 + SUM( ($AU$80:$AU$83=CO$93) * ($BH$79:$BP$79=CO$94) * ($BH$80:$BP$83) ))</f>
        <v>0.75926620517985843</v>
      </c>
      <c r="CP189" s="579">
        <f t="array" ref="CP189">$Z189  * (1 + SUM( ($AU$80:$AU$83=CP$93) * ($BH$79:$BP$79=CP$94) * ($BH$80:$BP$83) ))</f>
        <v>0.79727209928998632</v>
      </c>
      <c r="CQ189" s="579">
        <f t="array" ref="CQ189">$Z189  * (1 + SUM( ($AU$80:$AU$83=CQ$93) * ($BH$79:$BP$79=CQ$94) * ($BH$80:$BP$83) ))</f>
        <v>0.83204019022378484</v>
      </c>
      <c r="CR189" s="579">
        <f t="array" ref="CR189">$Z189  * (1 + SUM( ($AU$80:$AU$83=CR$93) * ($BH$79:$BP$79=CR$94) * ($BH$80:$BP$83) ))</f>
        <v>0.85796110769684231</v>
      </c>
      <c r="CS189" s="579">
        <f t="array" ref="CS189">$Z189  * (1 + SUM( ($AU$80:$AU$83=CS$93) * ($BH$79:$BP$79=CS$94) * ($BH$80:$BP$83) ))</f>
        <v>0.87448852414842548</v>
      </c>
      <c r="CT189" s="579">
        <f t="array" ref="CT189">$Z189  * (1 + SUM( ($AU$80:$AU$83=CT$93) * ($BH$79:$BP$79=CT$94) * ($BH$80:$BP$83) ))</f>
        <v>0.88400000000000012</v>
      </c>
      <c r="CU189" s="578">
        <f t="array" ref="CU189">$Z189  * (1 + SUM( ($AU$80:$AU$83=CU$93) * ($BH$79:$BP$79=CU$94) * ($BH$80:$BP$83) ))</f>
        <v>0.68952021684822107</v>
      </c>
      <c r="CV189" s="578">
        <f t="array" ref="CV189">$Z189  * (1 + SUM( ($AU$80:$AU$83=CV$93) * ($BH$79:$BP$79=CV$94) * ($BH$80:$BP$83) ))</f>
        <v>0.70938249361953376</v>
      </c>
      <c r="CW189" s="578">
        <f t="array" ref="CW189">$Z189  * (1 + SUM( ($AU$80:$AU$83=CW$93) * ($BH$79:$BP$79=CW$94) * ($BH$80:$BP$83) ))</f>
        <v>0.74130905234927735</v>
      </c>
      <c r="CX189" s="578">
        <f t="array" ref="CX189">$Z189  * (1 + SUM( ($AU$80:$AU$83=CX$93) * ($BH$79:$BP$79=CX$94) * ($BH$80:$BP$83) ))</f>
        <v>0.78568827357314464</v>
      </c>
      <c r="CY189" s="578">
        <f t="array" ref="CY189">$Z189  * (1 + SUM( ($AU$80:$AU$83=CY$93) * ($BH$79:$BP$79=CY$94) * ($BH$80:$BP$83) ))</f>
        <v>0.83636279905331512</v>
      </c>
      <c r="CZ189" s="578">
        <f t="array" ref="CZ189">$Z189  * (1 + SUM( ($AU$80:$AU$83=CZ$93) * ($BH$79:$BP$79=CZ$94) * ($BH$80:$BP$83) ))</f>
        <v>0.88272025363171314</v>
      </c>
      <c r="DA189" s="578">
        <f t="array" ref="DA189">$Z189  * (1 + SUM( ($AU$80:$AU$83=DA$93) * ($BH$79:$BP$79=DA$94) * ($BH$80:$BP$83) ))</f>
        <v>0.9172814769291231</v>
      </c>
      <c r="DB189" s="578">
        <f t="array" ref="DB189">$Z189  * (1 + SUM( ($AU$80:$AU$83=DB$93) * ($BH$79:$BP$79=DB$94) * ($BH$80:$BP$83) ))</f>
        <v>0.93931803219790067</v>
      </c>
      <c r="DC189" s="578">
        <f t="array" ref="DC189">$Z189  * (1 + SUM( ($AU$80:$AU$83=DC$93) * ($BH$79:$BP$79=DC$94) * ($BH$80:$BP$83) ))</f>
        <v>0.95199999999999996</v>
      </c>
    </row>
    <row r="190" spans="1:109">
      <c r="A190" s="1167" t="s">
        <v>1136</v>
      </c>
      <c r="B190" s="1167" t="s">
        <v>1135</v>
      </c>
      <c r="C190" s="1166" t="s">
        <v>1033</v>
      </c>
      <c r="D190" s="1166" t="s">
        <v>941</v>
      </c>
      <c r="E190" s="577">
        <v>0.72</v>
      </c>
      <c r="F190" s="574">
        <v>0.56299999999999994</v>
      </c>
      <c r="G190" s="576">
        <v>100</v>
      </c>
      <c r="H190" s="574">
        <v>0</v>
      </c>
      <c r="I190" s="1164"/>
      <c r="J190" s="575">
        <v>1</v>
      </c>
      <c r="K190" s="574">
        <v>0</v>
      </c>
      <c r="L190" s="574">
        <v>0</v>
      </c>
      <c r="M190" s="1164"/>
      <c r="N190" s="1168"/>
      <c r="O190" s="1164"/>
      <c r="P190" s="1160">
        <v>0</v>
      </c>
      <c r="Q190" s="572">
        <v>0.05</v>
      </c>
      <c r="R190" s="572">
        <v>0.25</v>
      </c>
      <c r="S190" s="572">
        <v>0.5</v>
      </c>
      <c r="T190" s="1164"/>
      <c r="U190" s="573">
        <v>0</v>
      </c>
      <c r="V190" s="572">
        <v>0</v>
      </c>
      <c r="W190" s="572">
        <v>0</v>
      </c>
      <c r="X190" s="572">
        <v>0</v>
      </c>
      <c r="Y190" s="1164"/>
      <c r="Z190" s="573">
        <v>0.72</v>
      </c>
      <c r="AA190" s="572">
        <v>0.72</v>
      </c>
      <c r="AB190" s="572">
        <v>0.72</v>
      </c>
      <c r="AC190" s="572">
        <v>0.72</v>
      </c>
      <c r="AD190" s="572">
        <v>0.72</v>
      </c>
      <c r="AE190" s="572">
        <v>0.72</v>
      </c>
      <c r="AF190" s="572">
        <v>0.72</v>
      </c>
      <c r="AG190" s="1164"/>
      <c r="AH190" s="1163">
        <v>95</v>
      </c>
      <c r="AI190" s="1162" t="str">
        <f t="shared" si="24"/>
        <v>NMSOLP</v>
      </c>
      <c r="AJ190" s="1160">
        <v>0</v>
      </c>
      <c r="AK190" s="1160">
        <v>0</v>
      </c>
      <c r="AL190" s="1160">
        <v>0</v>
      </c>
      <c r="AM190" s="1160">
        <v>0</v>
      </c>
      <c r="AN190" s="1160">
        <v>0</v>
      </c>
      <c r="AO190" s="1160">
        <v>0</v>
      </c>
      <c r="AP190" s="1160">
        <v>0</v>
      </c>
      <c r="AQ190" s="1160">
        <v>0</v>
      </c>
      <c r="AR190" s="1160">
        <v>0</v>
      </c>
      <c r="AS190" s="1159">
        <v>0</v>
      </c>
      <c r="AT190" s="1159">
        <v>0</v>
      </c>
      <c r="AU190" s="1159">
        <v>0</v>
      </c>
      <c r="AV190" s="1159">
        <v>0</v>
      </c>
      <c r="AW190" s="1159">
        <v>0</v>
      </c>
      <c r="AX190" s="1159">
        <v>0</v>
      </c>
      <c r="AY190" s="1159">
        <v>0</v>
      </c>
      <c r="AZ190" s="1159">
        <v>0</v>
      </c>
      <c r="BA190" s="1159">
        <v>0</v>
      </c>
      <c r="BB190" s="1160">
        <v>0</v>
      </c>
      <c r="BC190" s="1160">
        <v>0</v>
      </c>
      <c r="BD190" s="1160">
        <v>0</v>
      </c>
      <c r="BE190" s="1160">
        <v>0</v>
      </c>
      <c r="BF190" s="1160">
        <v>0</v>
      </c>
      <c r="BG190" s="1160">
        <v>0</v>
      </c>
      <c r="BH190" s="1160">
        <v>0</v>
      </c>
      <c r="BI190" s="1160">
        <v>0</v>
      </c>
      <c r="BJ190" s="1160">
        <v>0</v>
      </c>
      <c r="BK190" s="1159">
        <v>0</v>
      </c>
      <c r="BL190" s="1159">
        <v>0</v>
      </c>
      <c r="BM190" s="1159">
        <v>0</v>
      </c>
      <c r="BN190" s="1159">
        <v>0</v>
      </c>
      <c r="BO190" s="1159">
        <v>0</v>
      </c>
      <c r="BP190" s="1159">
        <v>0</v>
      </c>
      <c r="BQ190" s="1159">
        <v>0</v>
      </c>
      <c r="BR190" s="1159">
        <v>0</v>
      </c>
      <c r="BS190" s="1159">
        <v>0</v>
      </c>
      <c r="BT190" s="579">
        <f t="array" ref="BT190">$Z190  * (1 + SUM( ($AU$80:$AU$83=BT$93) * ($BH$79:$BP$79=BT$94) * ($BH$80:$BP$83) ))</f>
        <v>0.72025200574009995</v>
      </c>
      <c r="BU190" s="579">
        <f t="array" ref="BU190">$Z190  * (1 + SUM( ($AU$80:$AU$83=BU$93) * ($BH$79:$BP$79=BU$94) * ($BH$80:$BP$83) ))</f>
        <v>0.72077777188992875</v>
      </c>
      <c r="BV190" s="579">
        <f t="array" ref="BV190">$Z190  * (1 + SUM( ($AU$80:$AU$83=BV$93) * ($BH$79:$BP$79=BV$94) * ($BH$80:$BP$83) ))</f>
        <v>0.72162288667983376</v>
      </c>
      <c r="BW190" s="579">
        <f t="array" ref="BW190">$Z190  * (1 + SUM( ($AU$80:$AU$83=BW$93) * ($BH$79:$BP$79=BW$94) * ($BH$80:$BP$83) ))</f>
        <v>0.72279763077105375</v>
      </c>
      <c r="BX190" s="579">
        <f t="array" ref="BX190">$Z190  * (1 + SUM( ($AU$80:$AU$83=BX$93) * ($BH$79:$BP$79=BX$94) * ($BH$80:$BP$83) ))</f>
        <v>0.72413901526905833</v>
      </c>
      <c r="BY190" s="579">
        <f t="array" ref="BY190">$Z190  * (1 + SUM( ($AU$80:$AU$83=BY$93) * ($BH$79:$BP$79=BY$94) * ($BH$80:$BP$83) ))</f>
        <v>0.72536612436083947</v>
      </c>
      <c r="BZ190" s="579">
        <f t="array" ref="BZ190">$Z190  * (1 + SUM( ($AU$80:$AU$83=BZ$93) * ($BH$79:$BP$79=BZ$94) * ($BH$80:$BP$83) ))</f>
        <v>0.72628098027165311</v>
      </c>
      <c r="CA190" s="579">
        <f t="array" ref="CA190">$Z190  * (1 + SUM( ($AU$80:$AU$83=CA$93) * ($BH$79:$BP$79=CA$94) * ($BH$80:$BP$83) ))</f>
        <v>0.72686430085229736</v>
      </c>
      <c r="CB190" s="579">
        <f t="array" ref="CB190">$Z190  * (1 + SUM( ($AU$80:$AU$83=CB$93) * ($BH$79:$BP$79=CB$94) * ($BH$80:$BP$83) ))</f>
        <v>0.72719999999999996</v>
      </c>
      <c r="CC190" s="578">
        <f t="array" ref="CC190">$Z190  * (1 + SUM( ($AU$80:$AU$83=CC$93) * ($BH$79:$BP$79=CC$94) * ($BH$80:$BP$83) ))</f>
        <v>0.72378008610149946</v>
      </c>
      <c r="CD190" s="578">
        <f t="array" ref="CD190">$Z190  * (1 + SUM( ($AU$80:$AU$83=CD$93) * ($BH$79:$BP$79=CD$94) * ($BH$80:$BP$83) ))</f>
        <v>0.73166657834893245</v>
      </c>
      <c r="CE190" s="578">
        <f t="array" ref="CE190">$Z190  * (1 + SUM( ($AU$80:$AU$83=CE$93) * ($BH$79:$BP$79=CE$94) * ($BH$80:$BP$83) ))</f>
        <v>0.74434330019750716</v>
      </c>
      <c r="CF190" s="578">
        <f t="array" ref="CF190">$Z190  * (1 + SUM( ($AU$80:$AU$83=CF$93) * ($BH$79:$BP$79=CF$94) * ($BH$80:$BP$83) ))</f>
        <v>0.76196446156580744</v>
      </c>
      <c r="CG190" s="578">
        <f t="array" ref="CG190">$Z190  * (1 + SUM( ($AU$80:$AU$83=CG$93) * ($BH$79:$BP$79=CG$94) * ($BH$80:$BP$83) ))</f>
        <v>0.78208522903587496</v>
      </c>
      <c r="CH190" s="578">
        <f t="array" ref="CH190">$Z190  * (1 + SUM( ($AU$80:$AU$83=CH$93) * ($BH$79:$BP$79=CH$94) * ($BH$80:$BP$83) ))</f>
        <v>0.80049186541259199</v>
      </c>
      <c r="CI190" s="578">
        <f t="array" ref="CI190">$Z190  * (1 + SUM( ($AU$80:$AU$83=CI$93) * ($BH$79:$BP$79=CI$94) * ($BH$80:$BP$83) ))</f>
        <v>0.81421470407479868</v>
      </c>
      <c r="CJ190" s="578">
        <f t="array" ref="CJ190">$Z190  * (1 + SUM( ($AU$80:$AU$83=CJ$93) * ($BH$79:$BP$79=CJ$94) * ($BH$80:$BP$83) ))</f>
        <v>0.82296451278446048</v>
      </c>
      <c r="CK190" s="578">
        <f t="array" ref="CK190">$Z190  * (1 + SUM( ($AU$80:$AU$83=CK$93) * ($BH$79:$BP$79=CK$94) * ($BH$80:$BP$83) ))</f>
        <v>0.82799999999999996</v>
      </c>
      <c r="CL190" s="579">
        <f t="array" ref="CL190">$Z190  * (1 + SUM( ($AU$80:$AU$83=CL$93) * ($BH$79:$BP$79=CL$94) * ($BH$80:$BP$83) ))</f>
        <v>0.72756017220299896</v>
      </c>
      <c r="CM190" s="579">
        <f t="array" ref="CM190">$Z190  * (1 + SUM( ($AU$80:$AU$83=CM$93) * ($BH$79:$BP$79=CM$94) * ($BH$80:$BP$83) ))</f>
        <v>0.74333315669786504</v>
      </c>
      <c r="CN190" s="579">
        <f t="array" ref="CN190">$Z190  * (1 + SUM( ($AU$80:$AU$83=CN$93) * ($BH$79:$BP$79=CN$94) * ($BH$80:$BP$83) ))</f>
        <v>0.76868660039501435</v>
      </c>
      <c r="CO190" s="579">
        <f t="array" ref="CO190">$Z190  * (1 + SUM( ($AU$80:$AU$83=CO$93) * ($BH$79:$BP$79=CO$94) * ($BH$80:$BP$83) ))</f>
        <v>0.80392892313161468</v>
      </c>
      <c r="CP190" s="579">
        <f t="array" ref="CP190">$Z190  * (1 + SUM( ($AU$80:$AU$83=CP$93) * ($BH$79:$BP$79=CP$94) * ($BH$80:$BP$83) ))</f>
        <v>0.84417045807175017</v>
      </c>
      <c r="CQ190" s="579">
        <f t="array" ref="CQ190">$Z190  * (1 + SUM( ($AU$80:$AU$83=CQ$93) * ($BH$79:$BP$79=CQ$94) * ($BH$80:$BP$83) ))</f>
        <v>0.88098373082518389</v>
      </c>
      <c r="CR190" s="579">
        <f t="array" ref="CR190">$Z190  * (1 + SUM( ($AU$80:$AU$83=CR$93) * ($BH$79:$BP$79=CR$94) * ($BH$80:$BP$83) ))</f>
        <v>0.90842940814959761</v>
      </c>
      <c r="CS190" s="579">
        <f t="array" ref="CS190">$Z190  * (1 + SUM( ($AU$80:$AU$83=CS$93) * ($BH$79:$BP$79=CS$94) * ($BH$80:$BP$83) ))</f>
        <v>0.92592902556892098</v>
      </c>
      <c r="CT190" s="579">
        <f t="array" ref="CT190">$Z190  * (1 + SUM( ($AU$80:$AU$83=CT$93) * ($BH$79:$BP$79=CT$94) * ($BH$80:$BP$83) ))</f>
        <v>0.93599999999999994</v>
      </c>
      <c r="CU190" s="578">
        <f t="array" ref="CU190">$Z190  * (1 + SUM( ($AU$80:$AU$83=CU$93) * ($BH$79:$BP$79=CU$94) * ($BH$80:$BP$83) ))</f>
        <v>0.73008022960399865</v>
      </c>
      <c r="CV190" s="578">
        <f t="array" ref="CV190">$Z190  * (1 + SUM( ($AU$80:$AU$83=CV$93) * ($BH$79:$BP$79=CV$94) * ($BH$80:$BP$83) ))</f>
        <v>0.75111087559715328</v>
      </c>
      <c r="CW190" s="578">
        <f t="array" ref="CW190">$Z190  * (1 + SUM( ($AU$80:$AU$83=CW$93) * ($BH$79:$BP$79=CW$94) * ($BH$80:$BP$83) ))</f>
        <v>0.78491546719335237</v>
      </c>
      <c r="CX190" s="578">
        <f t="array" ref="CX190">$Z190  * (1 + SUM( ($AU$80:$AU$83=CX$93) * ($BH$79:$BP$79=CX$94) * ($BH$80:$BP$83) ))</f>
        <v>0.83190523084215307</v>
      </c>
      <c r="CY190" s="578">
        <f t="array" ref="CY190">$Z190  * (1 + SUM( ($AU$80:$AU$83=CY$93) * ($BH$79:$BP$79=CY$94) * ($BH$80:$BP$83) ))</f>
        <v>0.8855606107623335</v>
      </c>
      <c r="CZ190" s="578">
        <f t="array" ref="CZ190">$Z190  * (1 + SUM( ($AU$80:$AU$83=CZ$93) * ($BH$79:$BP$79=CZ$94) * ($BH$80:$BP$83) ))</f>
        <v>0.93464497443357852</v>
      </c>
      <c r="DA190" s="578">
        <f t="array" ref="DA190">$Z190  * (1 + SUM( ($AU$80:$AU$83=DA$93) * ($BH$79:$BP$79=DA$94) * ($BH$80:$BP$83) ))</f>
        <v>0.97123921086613019</v>
      </c>
      <c r="DB190" s="578">
        <f t="array" ref="DB190">$Z190  * (1 + SUM( ($AU$80:$AU$83=DB$93) * ($BH$79:$BP$79=DB$94) * ($BH$80:$BP$83) ))</f>
        <v>0.99457203409189476</v>
      </c>
      <c r="DC190" s="578">
        <f t="array" ref="DC190">$Z190  * (1 + SUM( ($AU$80:$AU$83=DC$93) * ($BH$79:$BP$79=DC$94) * ($BH$80:$BP$83) ))</f>
        <v>1.008</v>
      </c>
    </row>
    <row r="191" spans="1:109">
      <c r="A191" s="1167" t="s">
        <v>1134</v>
      </c>
      <c r="B191" s="1167" t="s">
        <v>1133</v>
      </c>
      <c r="C191" s="1166" t="s">
        <v>1030</v>
      </c>
      <c r="D191" s="1166" t="s">
        <v>941</v>
      </c>
      <c r="E191" s="577">
        <v>0.76</v>
      </c>
      <c r="F191" s="574">
        <v>0.56299999999999994</v>
      </c>
      <c r="G191" s="576">
        <v>100</v>
      </c>
      <c r="H191" s="574">
        <v>0</v>
      </c>
      <c r="I191" s="1164"/>
      <c r="J191" s="575">
        <v>1</v>
      </c>
      <c r="K191" s="574">
        <v>0</v>
      </c>
      <c r="L191" s="574">
        <v>0</v>
      </c>
      <c r="M191" s="1164"/>
      <c r="N191" s="1168"/>
      <c r="O191" s="1164"/>
      <c r="P191" s="1160">
        <v>0</v>
      </c>
      <c r="Q191" s="572">
        <v>0.05</v>
      </c>
      <c r="R191" s="572">
        <v>0.25</v>
      </c>
      <c r="S191" s="572">
        <v>0.5</v>
      </c>
      <c r="T191" s="1164"/>
      <c r="U191" s="573">
        <v>0</v>
      </c>
      <c r="V191" s="572">
        <v>0</v>
      </c>
      <c r="W191" s="572">
        <v>0</v>
      </c>
      <c r="X191" s="572">
        <v>0</v>
      </c>
      <c r="Y191" s="1164"/>
      <c r="Z191" s="573">
        <v>0.76</v>
      </c>
      <c r="AA191" s="572">
        <v>0.76</v>
      </c>
      <c r="AB191" s="572">
        <v>0.76</v>
      </c>
      <c r="AC191" s="572">
        <v>0.76</v>
      </c>
      <c r="AD191" s="572">
        <v>0.76</v>
      </c>
      <c r="AE191" s="572">
        <v>0.76</v>
      </c>
      <c r="AF191" s="572">
        <v>0.76</v>
      </c>
      <c r="AG191" s="1164"/>
      <c r="AH191" s="1163">
        <v>96</v>
      </c>
      <c r="AI191" s="1162" t="str">
        <f t="shared" si="24"/>
        <v>NMSELC</v>
      </c>
      <c r="AJ191" s="1160">
        <v>0</v>
      </c>
      <c r="AK191" s="1160">
        <v>0</v>
      </c>
      <c r="AL191" s="1160">
        <v>0</v>
      </c>
      <c r="AM191" s="1160">
        <v>0</v>
      </c>
      <c r="AN191" s="1160">
        <v>0</v>
      </c>
      <c r="AO191" s="1160">
        <v>0</v>
      </c>
      <c r="AP191" s="1160">
        <v>0</v>
      </c>
      <c r="AQ191" s="1160">
        <v>0</v>
      </c>
      <c r="AR191" s="1160">
        <v>0</v>
      </c>
      <c r="AS191" s="1159">
        <v>0</v>
      </c>
      <c r="AT191" s="1159">
        <v>0</v>
      </c>
      <c r="AU191" s="1159">
        <v>0</v>
      </c>
      <c r="AV191" s="1159">
        <v>0</v>
      </c>
      <c r="AW191" s="1159">
        <v>0</v>
      </c>
      <c r="AX191" s="1159">
        <v>0</v>
      </c>
      <c r="AY191" s="1159">
        <v>0</v>
      </c>
      <c r="AZ191" s="1159">
        <v>0</v>
      </c>
      <c r="BA191" s="1159">
        <v>0</v>
      </c>
      <c r="BB191" s="1160">
        <v>0</v>
      </c>
      <c r="BC191" s="1160">
        <v>0</v>
      </c>
      <c r="BD191" s="1160">
        <v>0</v>
      </c>
      <c r="BE191" s="1160">
        <v>0</v>
      </c>
      <c r="BF191" s="1160">
        <v>0</v>
      </c>
      <c r="BG191" s="1160">
        <v>0</v>
      </c>
      <c r="BH191" s="1160">
        <v>0</v>
      </c>
      <c r="BI191" s="1160">
        <v>0</v>
      </c>
      <c r="BJ191" s="1160">
        <v>0</v>
      </c>
      <c r="BK191" s="1159">
        <v>0</v>
      </c>
      <c r="BL191" s="1159">
        <v>0</v>
      </c>
      <c r="BM191" s="1159">
        <v>0</v>
      </c>
      <c r="BN191" s="1159">
        <v>0</v>
      </c>
      <c r="BO191" s="1159">
        <v>0</v>
      </c>
      <c r="BP191" s="1159">
        <v>0</v>
      </c>
      <c r="BQ191" s="1159">
        <v>0</v>
      </c>
      <c r="BR191" s="1159">
        <v>0</v>
      </c>
      <c r="BS191" s="1159">
        <v>0</v>
      </c>
      <c r="BT191" s="579">
        <f t="array" ref="BT191">$Z191  * (1 + SUM( ($AU$80:$AU$83=BT$93) * ($BH$79:$BP$79=BT$94) * ($BH$80:$BP$83) ))</f>
        <v>0.76026600605899441</v>
      </c>
      <c r="BU191" s="579">
        <f t="array" ref="BU191">$Z191  * (1 + SUM( ($AU$80:$AU$83=BU$93) * ($BH$79:$BP$79=BU$94) * ($BH$80:$BP$83) ))</f>
        <v>0.76082098143936938</v>
      </c>
      <c r="BV191" s="579">
        <f t="array" ref="BV191">$Z191  * (1 + SUM( ($AU$80:$AU$83=BV$93) * ($BH$79:$BP$79=BV$94) * ($BH$80:$BP$83) ))</f>
        <v>0.76171304705093568</v>
      </c>
      <c r="BW191" s="579">
        <f t="array" ref="BW191">$Z191  * (1 + SUM( ($AU$80:$AU$83=BW$93) * ($BH$79:$BP$79=BW$94) * ($BH$80:$BP$83) ))</f>
        <v>0.76295305470277908</v>
      </c>
      <c r="BX191" s="579">
        <f t="array" ref="BX191">$Z191  * (1 + SUM( ($AU$80:$AU$83=BX$93) * ($BH$79:$BP$79=BX$94) * ($BH$80:$BP$83) ))</f>
        <v>0.76436896056178383</v>
      </c>
      <c r="BY191" s="579">
        <f t="array" ref="BY191">$Z191  * (1 + SUM( ($AU$80:$AU$83=BY$93) * ($BH$79:$BP$79=BY$94) * ($BH$80:$BP$83) ))</f>
        <v>0.76566424238088615</v>
      </c>
      <c r="BZ191" s="579">
        <f t="array" ref="BZ191">$Z191  * (1 + SUM( ($AU$80:$AU$83=BZ$93) * ($BH$79:$BP$79=BZ$94) * ($BH$80:$BP$83) ))</f>
        <v>0.76662992362007842</v>
      </c>
      <c r="CA191" s="579">
        <f t="array" ref="CA191">$Z191  * (1 + SUM( ($AU$80:$AU$83=CA$93) * ($BH$79:$BP$79=CA$94) * ($BH$80:$BP$83) ))</f>
        <v>0.76724565089964725</v>
      </c>
      <c r="CB191" s="579">
        <f t="array" ref="CB191">$Z191  * (1 + SUM( ($AU$80:$AU$83=CB$93) * ($BH$79:$BP$79=CB$94) * ($BH$80:$BP$83) ))</f>
        <v>0.76760000000000006</v>
      </c>
      <c r="CC191" s="578">
        <f t="array" ref="CC191">$Z191  * (1 + SUM( ($AU$80:$AU$83=CC$93) * ($BH$79:$BP$79=CC$94) * ($BH$80:$BP$83) ))</f>
        <v>0.76399009088491621</v>
      </c>
      <c r="CD191" s="578">
        <f t="array" ref="CD191">$Z191  * (1 + SUM( ($AU$80:$AU$83=CD$93) * ($BH$79:$BP$79=CD$94) * ($BH$80:$BP$83) ))</f>
        <v>0.77231472159053982</v>
      </c>
      <c r="CE191" s="578">
        <f t="array" ref="CE191">$Z191  * (1 + SUM( ($AU$80:$AU$83=CE$93) * ($BH$79:$BP$79=CE$94) * ($BH$80:$BP$83) ))</f>
        <v>0.78569570576403536</v>
      </c>
      <c r="CF191" s="578">
        <f t="array" ref="CF191">$Z191  * (1 + SUM( ($AU$80:$AU$83=CF$93) * ($BH$79:$BP$79=CF$94) * ($BH$80:$BP$83) ))</f>
        <v>0.80429582054168558</v>
      </c>
      <c r="CG191" s="578">
        <f t="array" ref="CG191">$Z191  * (1 + SUM( ($AU$80:$AU$83=CG$93) * ($BH$79:$BP$79=CG$94) * ($BH$80:$BP$83) ))</f>
        <v>0.82553440842675696</v>
      </c>
      <c r="CH191" s="578">
        <f t="array" ref="CH191">$Z191  * (1 + SUM( ($AU$80:$AU$83=CH$93) * ($BH$79:$BP$79=CH$94) * ($BH$80:$BP$83) ))</f>
        <v>0.84496363571329147</v>
      </c>
      <c r="CI191" s="578">
        <f t="array" ref="CI191">$Z191  * (1 + SUM( ($AU$80:$AU$83=CI$93) * ($BH$79:$BP$79=CI$94) * ($BH$80:$BP$83) ))</f>
        <v>0.85944885430117646</v>
      </c>
      <c r="CJ191" s="578">
        <f t="array" ref="CJ191">$Z191  * (1 + SUM( ($AU$80:$AU$83=CJ$93) * ($BH$79:$BP$79=CJ$94) * ($BH$80:$BP$83) ))</f>
        <v>0.86868476349470836</v>
      </c>
      <c r="CK191" s="578">
        <f t="array" ref="CK191">$Z191  * (1 + SUM( ($AU$80:$AU$83=CK$93) * ($BH$79:$BP$79=CK$94) * ($BH$80:$BP$83) ))</f>
        <v>0.87399999999999989</v>
      </c>
      <c r="CL191" s="579">
        <f t="array" ref="CL191">$Z191  * (1 + SUM( ($AU$80:$AU$83=CL$93) * ($BH$79:$BP$79=CL$94) * ($BH$80:$BP$83) ))</f>
        <v>0.76798018176983229</v>
      </c>
      <c r="CM191" s="579">
        <f t="array" ref="CM191">$Z191  * (1 + SUM( ($AU$80:$AU$83=CM$93) * ($BH$79:$BP$79=CM$94) * ($BH$80:$BP$83) ))</f>
        <v>0.78462944318107974</v>
      </c>
      <c r="CN191" s="579">
        <f t="array" ref="CN191">$Z191  * (1 + SUM( ($AU$80:$AU$83=CN$93) * ($BH$79:$BP$79=CN$94) * ($BH$80:$BP$83) ))</f>
        <v>0.81139141152807071</v>
      </c>
      <c r="CO191" s="579">
        <f t="array" ref="CO191">$Z191  * (1 + SUM( ($AU$80:$AU$83=CO$93) * ($BH$79:$BP$79=CO$94) * ($BH$80:$BP$83) ))</f>
        <v>0.84859164108337104</v>
      </c>
      <c r="CP191" s="579">
        <f t="array" ref="CP191">$Z191  * (1 + SUM( ($AU$80:$AU$83=CP$93) * ($BH$79:$BP$79=CP$94) * ($BH$80:$BP$83) ))</f>
        <v>0.89106881685351402</v>
      </c>
      <c r="CQ191" s="579">
        <f t="array" ref="CQ191">$Z191  * (1 + SUM( ($AU$80:$AU$83=CQ$93) * ($BH$79:$BP$79=CQ$94) * ($BH$80:$BP$83) ))</f>
        <v>0.92992727142658305</v>
      </c>
      <c r="CR191" s="579">
        <f t="array" ref="CR191">$Z191  * (1 + SUM( ($AU$80:$AU$83=CR$93) * ($BH$79:$BP$79=CR$94) * ($BH$80:$BP$83) ))</f>
        <v>0.95889770860235302</v>
      </c>
      <c r="CS191" s="579">
        <f t="array" ref="CS191">$Z191  * (1 + SUM( ($AU$80:$AU$83=CS$93) * ($BH$79:$BP$79=CS$94) * ($BH$80:$BP$83) ))</f>
        <v>0.9773695269894167</v>
      </c>
      <c r="CT191" s="579">
        <f t="array" ref="CT191">$Z191  * (1 + SUM( ($AU$80:$AU$83=CT$93) * ($BH$79:$BP$79=CT$94) * ($BH$80:$BP$83) ))</f>
        <v>0.9880000000000001</v>
      </c>
      <c r="CU191" s="578">
        <f t="array" ref="CU191">$Z191  * (1 + SUM( ($AU$80:$AU$83=CU$93) * ($BH$79:$BP$79=CU$94) * ($BH$80:$BP$83) ))</f>
        <v>0.77064024235977646</v>
      </c>
      <c r="CV191" s="578">
        <f t="array" ref="CV191">$Z191  * (1 + SUM( ($AU$80:$AU$83=CV$93) * ($BH$79:$BP$79=CV$94) * ($BH$80:$BP$83) ))</f>
        <v>0.79283925757477292</v>
      </c>
      <c r="CW191" s="578">
        <f t="array" ref="CW191">$Z191  * (1 + SUM( ($AU$80:$AU$83=CW$93) * ($BH$79:$BP$79=CW$94) * ($BH$80:$BP$83) ))</f>
        <v>0.8285218820374276</v>
      </c>
      <c r="CX191" s="578">
        <f t="array" ref="CX191">$Z191  * (1 + SUM( ($AU$80:$AU$83=CX$93) * ($BH$79:$BP$79=CX$94) * ($BH$80:$BP$83) ))</f>
        <v>0.87812218811116161</v>
      </c>
      <c r="CY191" s="578">
        <f t="array" ref="CY191">$Z191  * (1 + SUM( ($AU$80:$AU$83=CY$93) * ($BH$79:$BP$79=CY$94) * ($BH$80:$BP$83) ))</f>
        <v>0.9347584224713521</v>
      </c>
      <c r="CZ191" s="578">
        <f t="array" ref="CZ191">$Z191  * (1 + SUM( ($AU$80:$AU$83=CZ$93) * ($BH$79:$BP$79=CZ$94) * ($BH$80:$BP$83) ))</f>
        <v>0.98656969523544402</v>
      </c>
      <c r="DA191" s="578">
        <f t="array" ref="DA191">$Z191  * (1 + SUM( ($AU$80:$AU$83=DA$93) * ($BH$79:$BP$79=DA$94) * ($BH$80:$BP$83) ))</f>
        <v>1.0251969448031375</v>
      </c>
      <c r="DB191" s="578">
        <f t="array" ref="DB191">$Z191  * (1 + SUM( ($AU$80:$AU$83=DB$93) * ($BH$79:$BP$79=DB$94) * ($BH$80:$BP$83) ))</f>
        <v>1.0498260359858889</v>
      </c>
      <c r="DC191" s="578">
        <f t="array" ref="DC191">$Z191  * (1 + SUM( ($AU$80:$AU$83=DC$93) * ($BH$79:$BP$79=DC$94) * ($BH$80:$BP$83) ))</f>
        <v>1.0639999999999998</v>
      </c>
    </row>
    <row r="192" spans="1:109">
      <c r="A192" s="585" t="s">
        <v>1132</v>
      </c>
      <c r="B192" s="585" t="s">
        <v>1131</v>
      </c>
      <c r="C192" s="584" t="s">
        <v>1027</v>
      </c>
      <c r="D192" s="584" t="s">
        <v>941</v>
      </c>
      <c r="E192" s="538">
        <v>0.6</v>
      </c>
      <c r="F192" s="540">
        <v>0.56299999999999994</v>
      </c>
      <c r="G192" s="539">
        <v>100</v>
      </c>
      <c r="H192" s="540">
        <v>0</v>
      </c>
      <c r="I192" s="580"/>
      <c r="J192" s="541">
        <v>1</v>
      </c>
      <c r="K192" s="540">
        <v>0</v>
      </c>
      <c r="L192" s="540">
        <v>0</v>
      </c>
      <c r="M192" s="580"/>
      <c r="N192" s="594"/>
      <c r="O192" s="580"/>
      <c r="P192" s="583">
        <v>0</v>
      </c>
      <c r="Q192" s="581">
        <v>0.05</v>
      </c>
      <c r="R192" s="581">
        <v>0.25</v>
      </c>
      <c r="S192" s="581">
        <v>0.5</v>
      </c>
      <c r="T192" s="580"/>
      <c r="U192" s="582">
        <v>0</v>
      </c>
      <c r="V192" s="581">
        <v>0</v>
      </c>
      <c r="W192" s="581">
        <v>0</v>
      </c>
      <c r="X192" s="581">
        <v>0</v>
      </c>
      <c r="Y192" s="580"/>
      <c r="Z192" s="582">
        <v>0.7</v>
      </c>
      <c r="AA192" s="581">
        <v>0.7</v>
      </c>
      <c r="AB192" s="581">
        <v>0.7</v>
      </c>
      <c r="AC192" s="581">
        <v>0.7</v>
      </c>
      <c r="AD192" s="581">
        <v>0.7</v>
      </c>
      <c r="AE192" s="581">
        <v>0.7</v>
      </c>
      <c r="AF192" s="581">
        <v>0.7</v>
      </c>
      <c r="AG192" s="580"/>
      <c r="AH192" s="1163">
        <v>97</v>
      </c>
      <c r="AI192" s="1162" t="str">
        <f t="shared" si="24"/>
        <v>NMSWAS</v>
      </c>
      <c r="AJ192" s="1160">
        <v>0</v>
      </c>
      <c r="AK192" s="1160">
        <v>0</v>
      </c>
      <c r="AL192" s="1160">
        <v>0</v>
      </c>
      <c r="AM192" s="1160">
        <v>0</v>
      </c>
      <c r="AN192" s="1160">
        <v>0</v>
      </c>
      <c r="AO192" s="1160">
        <v>0</v>
      </c>
      <c r="AP192" s="1160">
        <v>0</v>
      </c>
      <c r="AQ192" s="1160">
        <v>0</v>
      </c>
      <c r="AR192" s="1160">
        <v>0</v>
      </c>
      <c r="AS192" s="1159">
        <v>0</v>
      </c>
      <c r="AT192" s="1159">
        <v>0</v>
      </c>
      <c r="AU192" s="1159">
        <v>0</v>
      </c>
      <c r="AV192" s="1159">
        <v>0</v>
      </c>
      <c r="AW192" s="1159">
        <v>0</v>
      </c>
      <c r="AX192" s="1159">
        <v>0</v>
      </c>
      <c r="AY192" s="1159">
        <v>0</v>
      </c>
      <c r="AZ192" s="1159">
        <v>0</v>
      </c>
      <c r="BA192" s="1159">
        <v>0</v>
      </c>
      <c r="BB192" s="1160">
        <v>0</v>
      </c>
      <c r="BC192" s="1160">
        <v>0</v>
      </c>
      <c r="BD192" s="1160">
        <v>0</v>
      </c>
      <c r="BE192" s="1160">
        <v>0</v>
      </c>
      <c r="BF192" s="1160">
        <v>0</v>
      </c>
      <c r="BG192" s="1160">
        <v>0</v>
      </c>
      <c r="BH192" s="1160">
        <v>0</v>
      </c>
      <c r="BI192" s="1160">
        <v>0</v>
      </c>
      <c r="BJ192" s="1160">
        <v>0</v>
      </c>
      <c r="BK192" s="1159">
        <v>0</v>
      </c>
      <c r="BL192" s="1159">
        <v>0</v>
      </c>
      <c r="BM192" s="1159">
        <v>0</v>
      </c>
      <c r="BN192" s="1159">
        <v>0</v>
      </c>
      <c r="BO192" s="1159">
        <v>0</v>
      </c>
      <c r="BP192" s="1159">
        <v>0</v>
      </c>
      <c r="BQ192" s="1159">
        <v>0</v>
      </c>
      <c r="BR192" s="1159">
        <v>0</v>
      </c>
      <c r="BS192" s="1159">
        <v>0</v>
      </c>
      <c r="BT192" s="579">
        <f t="array" ref="BT192">$Z192  * (1 + SUM( ($AU$80:$AU$83=BT$93) * ($BH$79:$BP$79=BT$94) * ($BH$80:$BP$83) ))</f>
        <v>0.70024500558065272</v>
      </c>
      <c r="BU192" s="579">
        <f t="array" ref="BU192">$Z192  * (1 + SUM( ($AU$80:$AU$83=BU$93) * ($BH$79:$BP$79=BU$94) * ($BH$80:$BP$83) ))</f>
        <v>0.70075616711520849</v>
      </c>
      <c r="BV192" s="579">
        <f t="array" ref="BV192">$Z192  * (1 + SUM( ($AU$80:$AU$83=BV$93) * ($BH$79:$BP$79=BV$94) * ($BH$80:$BP$83) ))</f>
        <v>0.70157780649428281</v>
      </c>
      <c r="BW192" s="579">
        <f t="array" ref="BW192">$Z192  * (1 + SUM( ($AU$80:$AU$83=BW$93) * ($BH$79:$BP$79=BW$94) * ($BH$80:$BP$83) ))</f>
        <v>0.70271991880519113</v>
      </c>
      <c r="BX192" s="579">
        <f t="array" ref="BX192">$Z192  * (1 + SUM( ($AU$80:$AU$83=BX$93) * ($BH$79:$BP$79=BX$94) * ($BH$80:$BP$83) ))</f>
        <v>0.70402404262269558</v>
      </c>
      <c r="BY192" s="579">
        <f t="array" ref="BY192">$Z192  * (1 + SUM( ($AU$80:$AU$83=BY$93) * ($BH$79:$BP$79=BY$94) * ($BH$80:$BP$83) ))</f>
        <v>0.70521706535081619</v>
      </c>
      <c r="BZ192" s="579">
        <f t="array" ref="BZ192">$Z192  * (1 + SUM( ($AU$80:$AU$83=BZ$93) * ($BH$79:$BP$79=BZ$94) * ($BH$80:$BP$83) ))</f>
        <v>0.70610650859744051</v>
      </c>
      <c r="CA192" s="579">
        <f t="array" ref="CA192">$Z192  * (1 + SUM( ($AU$80:$AU$83=CA$93) * ($BH$79:$BP$79=CA$94) * ($BH$80:$BP$83) ))</f>
        <v>0.70667362582862236</v>
      </c>
      <c r="CB192" s="579">
        <f t="array" ref="CB192">$Z192  * (1 + SUM( ($AU$80:$AU$83=CB$93) * ($BH$79:$BP$79=CB$94) * ($BH$80:$BP$83) ))</f>
        <v>0.70699999999999996</v>
      </c>
      <c r="CC192" s="578">
        <f t="array" ref="CC192">$Z192  * (1 + SUM( ($AU$80:$AU$83=CC$93) * ($BH$79:$BP$79=CC$94) * ($BH$80:$BP$83) ))</f>
        <v>0.70367508370979115</v>
      </c>
      <c r="CD192" s="578">
        <f t="array" ref="CD192">$Z192  * (1 + SUM( ($AU$80:$AU$83=CD$93) * ($BH$79:$BP$79=CD$94) * ($BH$80:$BP$83) ))</f>
        <v>0.71134250672812871</v>
      </c>
      <c r="CE192" s="578">
        <f t="array" ref="CE192">$Z192  * (1 + SUM( ($AU$80:$AU$83=CE$93) * ($BH$79:$BP$79=CE$94) * ($BH$80:$BP$83) ))</f>
        <v>0.72366709741424307</v>
      </c>
      <c r="CF192" s="578">
        <f t="array" ref="CF192">$Z192  * (1 + SUM( ($AU$80:$AU$83=CF$93) * ($BH$79:$BP$79=CF$94) * ($BH$80:$BP$83) ))</f>
        <v>0.74079878207786831</v>
      </c>
      <c r="CG192" s="578">
        <f t="array" ref="CG192">$Z192  * (1 + SUM( ($AU$80:$AU$83=CG$93) * ($BH$79:$BP$79=CG$94) * ($BH$80:$BP$83) ))</f>
        <v>0.76036063934043396</v>
      </c>
      <c r="CH192" s="578">
        <f t="array" ref="CH192">$Z192  * (1 + SUM( ($AU$80:$AU$83=CH$93) * ($BH$79:$BP$79=CH$94) * ($BH$80:$BP$83) ))</f>
        <v>0.77825598026224219</v>
      </c>
      <c r="CI192" s="578">
        <f t="array" ref="CI192">$Z192  * (1 + SUM( ($AU$80:$AU$83=CI$93) * ($BH$79:$BP$79=CI$94) * ($BH$80:$BP$83) ))</f>
        <v>0.79159762896160979</v>
      </c>
      <c r="CJ192" s="578">
        <f t="array" ref="CJ192">$Z192  * (1 + SUM( ($AU$80:$AU$83=CJ$93) * ($BH$79:$BP$79=CJ$94) * ($BH$80:$BP$83) ))</f>
        <v>0.80010438742933654</v>
      </c>
      <c r="CK192" s="578">
        <f t="array" ref="CK192">$Z192  * (1 + SUM( ($AU$80:$AU$83=CK$93) * ($BH$79:$BP$79=CK$94) * ($BH$80:$BP$83) ))</f>
        <v>0.80499999999999994</v>
      </c>
      <c r="CL192" s="579">
        <f t="array" ref="CL192">$Z192  * (1 + SUM( ($AU$80:$AU$83=CL$93) * ($BH$79:$BP$79=CL$94) * ($BH$80:$BP$83) ))</f>
        <v>0.70735016741958234</v>
      </c>
      <c r="CM192" s="579">
        <f t="array" ref="CM192">$Z192  * (1 + SUM( ($AU$80:$AU$83=CM$93) * ($BH$79:$BP$79=CM$94) * ($BH$80:$BP$83) ))</f>
        <v>0.72268501345625757</v>
      </c>
      <c r="CN192" s="579">
        <f t="array" ref="CN192">$Z192  * (1 + SUM( ($AU$80:$AU$83=CN$93) * ($BH$79:$BP$79=CN$94) * ($BH$80:$BP$83) ))</f>
        <v>0.74733419482848618</v>
      </c>
      <c r="CO192" s="579">
        <f t="array" ref="CO192">$Z192  * (1 + SUM( ($AU$80:$AU$83=CO$93) * ($BH$79:$BP$79=CO$94) * ($BH$80:$BP$83) ))</f>
        <v>0.78159756415573645</v>
      </c>
      <c r="CP192" s="579">
        <f t="array" ref="CP192">$Z192  * (1 + SUM( ($AU$80:$AU$83=CP$93) * ($BH$79:$BP$79=CP$94) * ($BH$80:$BP$83) ))</f>
        <v>0.82072127868086819</v>
      </c>
      <c r="CQ192" s="579">
        <f t="array" ref="CQ192">$Z192  * (1 + SUM( ($AU$80:$AU$83=CQ$93) * ($BH$79:$BP$79=CQ$94) * ($BH$80:$BP$83) ))</f>
        <v>0.85651196052448431</v>
      </c>
      <c r="CR192" s="579">
        <f t="array" ref="CR192">$Z192  * (1 + SUM( ($AU$80:$AU$83=CR$93) * ($BH$79:$BP$79=CR$94) * ($BH$80:$BP$83) ))</f>
        <v>0.88319525792321985</v>
      </c>
      <c r="CS192" s="579">
        <f t="array" ref="CS192">$Z192  * (1 + SUM( ($AU$80:$AU$83=CS$93) * ($BH$79:$BP$79=CS$94) * ($BH$80:$BP$83) ))</f>
        <v>0.90020877485867323</v>
      </c>
      <c r="CT192" s="579">
        <f t="array" ref="CT192">$Z192  * (1 + SUM( ($AU$80:$AU$83=CT$93) * ($BH$79:$BP$79=CT$94) * ($BH$80:$BP$83) ))</f>
        <v>0.90999999999999992</v>
      </c>
      <c r="CU192" s="578">
        <f t="array" ref="CU192">$Z192  * (1 + SUM( ($AU$80:$AU$83=CU$93) * ($BH$79:$BP$79=CU$94) * ($BH$80:$BP$83) ))</f>
        <v>0.70980022322610981</v>
      </c>
      <c r="CV192" s="578">
        <f t="array" ref="CV192">$Z192  * (1 + SUM( ($AU$80:$AU$83=CV$93) * ($BH$79:$BP$79=CV$94) * ($BH$80:$BP$83) ))</f>
        <v>0.73024668460834341</v>
      </c>
      <c r="CW192" s="578">
        <f t="array" ref="CW192">$Z192  * (1 + SUM( ($AU$80:$AU$83=CW$93) * ($BH$79:$BP$79=CW$94) * ($BH$80:$BP$83) ))</f>
        <v>0.7631122597713148</v>
      </c>
      <c r="CX192" s="578">
        <f t="array" ref="CX192">$Z192  * (1 + SUM( ($AU$80:$AU$83=CX$93) * ($BH$79:$BP$79=CX$94) * ($BH$80:$BP$83) ))</f>
        <v>0.80879675220764879</v>
      </c>
      <c r="CY192" s="578">
        <f t="array" ref="CY192">$Z192  * (1 + SUM( ($AU$80:$AU$83=CY$93) * ($BH$79:$BP$79=CY$94) * ($BH$80:$BP$83) ))</f>
        <v>0.8609617049078242</v>
      </c>
      <c r="CZ192" s="578">
        <f t="array" ref="CZ192">$Z192  * (1 + SUM( ($AU$80:$AU$83=CZ$93) * ($BH$79:$BP$79=CZ$94) * ($BH$80:$BP$83) ))</f>
        <v>0.90868261403264572</v>
      </c>
      <c r="DA192" s="578">
        <f t="array" ref="DA192">$Z192  * (1 + SUM( ($AU$80:$AU$83=DA$93) * ($BH$79:$BP$79=DA$94) * ($BH$80:$BP$83) ))</f>
        <v>0.94426034389762659</v>
      </c>
      <c r="DB192" s="578">
        <f t="array" ref="DB192">$Z192  * (1 + SUM( ($AU$80:$AU$83=DB$93) * ($BH$79:$BP$79=DB$94) * ($BH$80:$BP$83) ))</f>
        <v>0.96694503314489766</v>
      </c>
      <c r="DC192" s="578">
        <f t="array" ref="DC192">$Z192  * (1 + SUM( ($AU$80:$AU$83=DC$93) * ($BH$79:$BP$79=DC$94) * ($BH$80:$BP$83) ))</f>
        <v>0.97999999999999987</v>
      </c>
      <c r="DE192" s="901"/>
    </row>
    <row r="193" spans="1:107" ht="52" customHeight="1" thickBot="1">
      <c r="A193" s="1180" t="s">
        <v>1064</v>
      </c>
      <c r="B193" s="1179" t="s">
        <v>796</v>
      </c>
      <c r="C193" s="1179" t="s">
        <v>797</v>
      </c>
      <c r="D193" s="1179" t="s">
        <v>798</v>
      </c>
      <c r="E193" s="1179" t="s">
        <v>385</v>
      </c>
      <c r="F193" s="1179" t="s">
        <v>799</v>
      </c>
      <c r="G193" s="1179" t="s">
        <v>800</v>
      </c>
      <c r="H193" s="1179" t="s">
        <v>801</v>
      </c>
      <c r="I193" s="1164"/>
      <c r="J193" s="1179" t="s">
        <v>803</v>
      </c>
      <c r="K193" s="1179" t="s">
        <v>804</v>
      </c>
      <c r="L193" s="1179" t="s">
        <v>805</v>
      </c>
      <c r="M193" s="1179" t="s">
        <v>806</v>
      </c>
      <c r="N193" s="1179" t="s">
        <v>877</v>
      </c>
      <c r="O193" s="1168"/>
      <c r="P193" s="1163" t="s">
        <v>881</v>
      </c>
      <c r="Q193" s="1164"/>
      <c r="R193" s="1164"/>
      <c r="S193" s="1164"/>
      <c r="T193" s="1164"/>
      <c r="U193" s="1163" t="s">
        <v>881</v>
      </c>
      <c r="V193" s="1164"/>
      <c r="W193" s="1164"/>
      <c r="X193" s="1164"/>
      <c r="Y193" s="1164"/>
      <c r="Z193" s="1163" t="s">
        <v>881</v>
      </c>
      <c r="AA193" s="1164"/>
      <c r="AB193" s="1164"/>
      <c r="AC193" s="1164"/>
      <c r="AD193" s="1164"/>
      <c r="AE193" s="1164"/>
      <c r="AF193" s="1164"/>
      <c r="AG193" s="1164"/>
      <c r="AH193" s="1163">
        <v>98</v>
      </c>
      <c r="AI193" s="1162"/>
      <c r="AJ193" s="1163" t="s">
        <v>881</v>
      </c>
      <c r="AK193" s="1163" t="s">
        <v>881</v>
      </c>
      <c r="AL193" s="1163" t="s">
        <v>881</v>
      </c>
      <c r="AM193" s="1163" t="s">
        <v>881</v>
      </c>
      <c r="AN193" s="1163" t="s">
        <v>881</v>
      </c>
      <c r="AO193" s="1163" t="s">
        <v>881</v>
      </c>
      <c r="AP193" s="1163" t="s">
        <v>881</v>
      </c>
      <c r="AQ193" s="1163" t="s">
        <v>881</v>
      </c>
      <c r="AR193" s="1163" t="s">
        <v>881</v>
      </c>
      <c r="AS193" s="1170" t="s">
        <v>881</v>
      </c>
      <c r="AT193" s="1170" t="s">
        <v>881</v>
      </c>
      <c r="AU193" s="1170" t="s">
        <v>881</v>
      </c>
      <c r="AV193" s="1170" t="s">
        <v>881</v>
      </c>
      <c r="AW193" s="1170" t="s">
        <v>881</v>
      </c>
      <c r="AX193" s="1170" t="s">
        <v>881</v>
      </c>
      <c r="AY193" s="1170" t="s">
        <v>881</v>
      </c>
      <c r="AZ193" s="1170" t="s">
        <v>881</v>
      </c>
      <c r="BA193" s="1170" t="s">
        <v>881</v>
      </c>
      <c r="BB193" s="1163" t="s">
        <v>881</v>
      </c>
      <c r="BC193" s="1163" t="s">
        <v>881</v>
      </c>
      <c r="BD193" s="1163" t="s">
        <v>881</v>
      </c>
      <c r="BE193" s="1163" t="s">
        <v>881</v>
      </c>
      <c r="BF193" s="1163" t="s">
        <v>881</v>
      </c>
      <c r="BG193" s="1163" t="s">
        <v>881</v>
      </c>
      <c r="BH193" s="1163" t="s">
        <v>881</v>
      </c>
      <c r="BI193" s="1163" t="s">
        <v>881</v>
      </c>
      <c r="BJ193" s="1163" t="s">
        <v>881</v>
      </c>
      <c r="BK193" s="1170" t="s">
        <v>881</v>
      </c>
      <c r="BL193" s="1170" t="s">
        <v>881</v>
      </c>
      <c r="BM193" s="1170" t="s">
        <v>881</v>
      </c>
      <c r="BN193" s="1170" t="s">
        <v>881</v>
      </c>
      <c r="BO193" s="1170" t="s">
        <v>881</v>
      </c>
      <c r="BP193" s="1170" t="s">
        <v>881</v>
      </c>
      <c r="BQ193" s="1170" t="s">
        <v>881</v>
      </c>
      <c r="BR193" s="1170" t="s">
        <v>881</v>
      </c>
      <c r="BS193" s="1170" t="s">
        <v>881</v>
      </c>
      <c r="BT193" s="592"/>
      <c r="BU193" s="592"/>
      <c r="BV193" s="592"/>
      <c r="BW193" s="592"/>
      <c r="BX193" s="592"/>
      <c r="BY193" s="592"/>
      <c r="BZ193" s="592"/>
      <c r="CA193" s="592"/>
      <c r="CB193" s="592"/>
      <c r="CC193" s="593"/>
      <c r="CD193" s="593"/>
      <c r="CE193" s="593"/>
      <c r="CF193" s="593"/>
      <c r="CG193" s="593"/>
      <c r="CH193" s="593"/>
      <c r="CI193" s="593"/>
      <c r="CJ193" s="593"/>
      <c r="CK193" s="593"/>
      <c r="CL193" s="592"/>
      <c r="CM193" s="592"/>
      <c r="CN193" s="592"/>
      <c r="CO193" s="592"/>
      <c r="CP193" s="592"/>
      <c r="CQ193" s="592"/>
      <c r="CR193" s="592"/>
      <c r="CS193" s="592"/>
      <c r="CT193" s="592"/>
      <c r="CU193" s="592"/>
      <c r="CV193" s="592"/>
      <c r="CW193" s="592"/>
      <c r="CX193" s="592"/>
      <c r="CY193" s="592"/>
      <c r="CZ193" s="592"/>
      <c r="DA193" s="592"/>
      <c r="DB193" s="592"/>
      <c r="DC193" s="592"/>
    </row>
    <row r="194" spans="1:107">
      <c r="A194" s="1173" t="s">
        <v>807</v>
      </c>
      <c r="B194" s="1178" t="s">
        <v>1005</v>
      </c>
      <c r="C194" s="1177"/>
      <c r="D194" s="1177"/>
      <c r="E194" s="1176" t="s">
        <v>808</v>
      </c>
      <c r="F194" s="1176" t="s">
        <v>809</v>
      </c>
      <c r="G194" s="1174" t="s">
        <v>810</v>
      </c>
      <c r="H194" s="1175" t="s">
        <v>811</v>
      </c>
      <c r="I194" s="1164"/>
      <c r="J194" s="1174" t="s">
        <v>812</v>
      </c>
      <c r="K194" s="1174" t="s">
        <v>813</v>
      </c>
      <c r="L194" s="1174" t="s">
        <v>813</v>
      </c>
      <c r="M194" s="1168"/>
      <c r="N194" s="1168"/>
      <c r="O194" s="1168"/>
      <c r="P194" s="1163" t="s">
        <v>881</v>
      </c>
      <c r="Q194" s="1164"/>
      <c r="R194" s="1164"/>
      <c r="S194" s="1164"/>
      <c r="T194" s="1164"/>
      <c r="U194" s="1163" t="s">
        <v>881</v>
      </c>
      <c r="V194" s="1164"/>
      <c r="W194" s="1164"/>
      <c r="X194" s="1164"/>
      <c r="Y194" s="1164"/>
      <c r="Z194" s="1163" t="s">
        <v>881</v>
      </c>
      <c r="AA194" s="1164"/>
      <c r="AB194" s="1164"/>
      <c r="AC194" s="1164"/>
      <c r="AD194" s="1164"/>
      <c r="AE194" s="1164"/>
      <c r="AF194" s="1164"/>
      <c r="AG194" s="1164"/>
      <c r="AH194" s="1163">
        <v>99</v>
      </c>
      <c r="AI194" s="1162" t="str">
        <f>MID(D194,2,2)</f>
        <v/>
      </c>
      <c r="AJ194" s="1163" t="s">
        <v>881</v>
      </c>
      <c r="AK194" s="1163" t="s">
        <v>881</v>
      </c>
      <c r="AL194" s="1163" t="s">
        <v>881</v>
      </c>
      <c r="AM194" s="1163" t="s">
        <v>881</v>
      </c>
      <c r="AN194" s="1163" t="s">
        <v>881</v>
      </c>
      <c r="AO194" s="1163" t="s">
        <v>881</v>
      </c>
      <c r="AP194" s="1163" t="s">
        <v>881</v>
      </c>
      <c r="AQ194" s="1163" t="s">
        <v>881</v>
      </c>
      <c r="AR194" s="1163" t="s">
        <v>881</v>
      </c>
      <c r="AS194" s="1170" t="s">
        <v>881</v>
      </c>
      <c r="AT194" s="1170" t="s">
        <v>881</v>
      </c>
      <c r="AU194" s="1170" t="s">
        <v>881</v>
      </c>
      <c r="AV194" s="1170" t="s">
        <v>881</v>
      </c>
      <c r="AW194" s="1170" t="s">
        <v>881</v>
      </c>
      <c r="AX194" s="1170" t="s">
        <v>881</v>
      </c>
      <c r="AY194" s="1170" t="s">
        <v>881</v>
      </c>
      <c r="AZ194" s="1170" t="s">
        <v>881</v>
      </c>
      <c r="BA194" s="1170" t="s">
        <v>881</v>
      </c>
      <c r="BB194" s="1163" t="s">
        <v>881</v>
      </c>
      <c r="BC194" s="1163" t="s">
        <v>881</v>
      </c>
      <c r="BD194" s="1163" t="s">
        <v>881</v>
      </c>
      <c r="BE194" s="1163" t="s">
        <v>881</v>
      </c>
      <c r="BF194" s="1163" t="s">
        <v>881</v>
      </c>
      <c r="BG194" s="1163" t="s">
        <v>881</v>
      </c>
      <c r="BH194" s="1163" t="s">
        <v>881</v>
      </c>
      <c r="BI194" s="1163" t="s">
        <v>881</v>
      </c>
      <c r="BJ194" s="1163" t="s">
        <v>881</v>
      </c>
      <c r="BK194" s="1170" t="s">
        <v>881</v>
      </c>
      <c r="BL194" s="1170" t="s">
        <v>881</v>
      </c>
      <c r="BM194" s="1170" t="s">
        <v>881</v>
      </c>
      <c r="BN194" s="1170" t="s">
        <v>881</v>
      </c>
      <c r="BO194" s="1170" t="s">
        <v>881</v>
      </c>
      <c r="BP194" s="1170" t="s">
        <v>881</v>
      </c>
      <c r="BQ194" s="1170" t="s">
        <v>881</v>
      </c>
      <c r="BR194" s="1170" t="s">
        <v>881</v>
      </c>
      <c r="BS194" s="1170" t="s">
        <v>881</v>
      </c>
      <c r="BT194" s="590"/>
      <c r="BU194" s="590"/>
      <c r="BV194" s="590"/>
      <c r="BW194" s="590"/>
      <c r="BX194" s="590"/>
      <c r="BY194" s="590"/>
      <c r="BZ194" s="590"/>
      <c r="CA194" s="590"/>
      <c r="CB194" s="590"/>
      <c r="CC194" s="591"/>
      <c r="CD194" s="591"/>
      <c r="CE194" s="591"/>
      <c r="CF194" s="591"/>
      <c r="CG194" s="591"/>
      <c r="CH194" s="591"/>
      <c r="CI194" s="591"/>
      <c r="CJ194" s="591"/>
      <c r="CK194" s="591"/>
      <c r="CL194" s="590"/>
      <c r="CM194" s="590"/>
      <c r="CN194" s="590"/>
      <c r="CO194" s="590"/>
      <c r="CP194" s="590"/>
      <c r="CQ194" s="590"/>
      <c r="CR194" s="590"/>
      <c r="CS194" s="590"/>
      <c r="CT194" s="590"/>
      <c r="CU194" s="590"/>
      <c r="CV194" s="590"/>
      <c r="CW194" s="590"/>
      <c r="CX194" s="590"/>
      <c r="CY194" s="590"/>
      <c r="CZ194" s="590"/>
      <c r="DA194" s="590"/>
      <c r="DB194" s="590"/>
      <c r="DC194" s="590"/>
    </row>
    <row r="195" spans="1:107">
      <c r="A195" s="1173" t="s">
        <v>814</v>
      </c>
      <c r="B195" s="1167"/>
      <c r="C195" s="1172">
        <v>1</v>
      </c>
      <c r="D195" s="1172">
        <v>2</v>
      </c>
      <c r="E195" s="1172">
        <v>3</v>
      </c>
      <c r="F195" s="1172">
        <v>4</v>
      </c>
      <c r="G195" s="1172">
        <v>5</v>
      </c>
      <c r="H195" s="1172">
        <v>6</v>
      </c>
      <c r="I195" s="1164"/>
      <c r="J195" s="589"/>
      <c r="K195" s="1171"/>
      <c r="L195" s="1171"/>
      <c r="M195" s="1168"/>
      <c r="N195" s="1168"/>
      <c r="O195" s="1168"/>
      <c r="P195" s="1163" t="s">
        <v>881</v>
      </c>
      <c r="Q195" s="1164"/>
      <c r="R195" s="1164"/>
      <c r="S195" s="1164"/>
      <c r="T195" s="1164"/>
      <c r="U195" s="1163" t="s">
        <v>881</v>
      </c>
      <c r="V195" s="1164"/>
      <c r="W195" s="1164"/>
      <c r="X195" s="1164"/>
      <c r="Y195" s="1164"/>
      <c r="Z195" s="1163" t="s">
        <v>881</v>
      </c>
      <c r="AA195" s="1164"/>
      <c r="AB195" s="1164"/>
      <c r="AC195" s="1164"/>
      <c r="AD195" s="1164"/>
      <c r="AE195" s="1164"/>
      <c r="AF195" s="1164"/>
      <c r="AG195" s="1164"/>
      <c r="AH195" s="1163">
        <v>100</v>
      </c>
      <c r="AI195" s="1162" t="str">
        <f>MID(D195,2,2)</f>
        <v/>
      </c>
      <c r="AJ195" s="1163" t="s">
        <v>881</v>
      </c>
      <c r="AK195" s="1163" t="s">
        <v>881</v>
      </c>
      <c r="AL195" s="1163" t="s">
        <v>881</v>
      </c>
      <c r="AM195" s="1163" t="s">
        <v>881</v>
      </c>
      <c r="AN195" s="1163" t="s">
        <v>881</v>
      </c>
      <c r="AO195" s="1163" t="s">
        <v>881</v>
      </c>
      <c r="AP195" s="1163" t="s">
        <v>881</v>
      </c>
      <c r="AQ195" s="1163" t="s">
        <v>881</v>
      </c>
      <c r="AR195" s="1163" t="s">
        <v>881</v>
      </c>
      <c r="AS195" s="1170" t="s">
        <v>881</v>
      </c>
      <c r="AT195" s="1170" t="s">
        <v>881</v>
      </c>
      <c r="AU195" s="1170" t="s">
        <v>881</v>
      </c>
      <c r="AV195" s="1170" t="s">
        <v>881</v>
      </c>
      <c r="AW195" s="1170" t="s">
        <v>881</v>
      </c>
      <c r="AX195" s="1170" t="s">
        <v>881</v>
      </c>
      <c r="AY195" s="1170" t="s">
        <v>881</v>
      </c>
      <c r="AZ195" s="1170" t="s">
        <v>881</v>
      </c>
      <c r="BA195" s="1170" t="s">
        <v>881</v>
      </c>
      <c r="BB195" s="1163" t="s">
        <v>881</v>
      </c>
      <c r="BC195" s="1163" t="s">
        <v>881</v>
      </c>
      <c r="BD195" s="1163" t="s">
        <v>881</v>
      </c>
      <c r="BE195" s="1163" t="s">
        <v>881</v>
      </c>
      <c r="BF195" s="1163" t="s">
        <v>881</v>
      </c>
      <c r="BG195" s="1163" t="s">
        <v>881</v>
      </c>
      <c r="BH195" s="1163" t="s">
        <v>881</v>
      </c>
      <c r="BI195" s="1163" t="s">
        <v>881</v>
      </c>
      <c r="BJ195" s="1163" t="s">
        <v>881</v>
      </c>
      <c r="BK195" s="1170" t="s">
        <v>881</v>
      </c>
      <c r="BL195" s="1170" t="s">
        <v>881</v>
      </c>
      <c r="BM195" s="1170" t="s">
        <v>881</v>
      </c>
      <c r="BN195" s="1170" t="s">
        <v>881</v>
      </c>
      <c r="BO195" s="1170" t="s">
        <v>881</v>
      </c>
      <c r="BP195" s="1170" t="s">
        <v>881</v>
      </c>
      <c r="BQ195" s="1170" t="s">
        <v>881</v>
      </c>
      <c r="BR195" s="1170" t="s">
        <v>881</v>
      </c>
      <c r="BS195" s="1170" t="s">
        <v>881</v>
      </c>
      <c r="BT195" s="588"/>
      <c r="BU195" s="588"/>
      <c r="BV195" s="588"/>
      <c r="BW195" s="588"/>
      <c r="BX195" s="588"/>
      <c r="BY195" s="588"/>
      <c r="BZ195" s="588"/>
      <c r="CA195" s="588"/>
      <c r="CB195" s="588"/>
      <c r="CC195" s="578"/>
      <c r="CD195" s="578"/>
      <c r="CE195" s="578"/>
      <c r="CF195" s="578"/>
      <c r="CG195" s="578"/>
      <c r="CH195" s="578"/>
      <c r="CI195" s="578"/>
      <c r="CJ195" s="578"/>
      <c r="CK195" s="578"/>
      <c r="CL195" s="588"/>
      <c r="CM195" s="588"/>
      <c r="CN195" s="588"/>
      <c r="CO195" s="588"/>
      <c r="CP195" s="588"/>
      <c r="CQ195" s="588"/>
      <c r="CR195" s="588"/>
      <c r="CS195" s="588"/>
      <c r="CT195" s="588"/>
      <c r="CU195" s="588"/>
      <c r="CV195" s="588"/>
      <c r="CW195" s="588"/>
      <c r="CX195" s="588"/>
      <c r="CY195" s="588"/>
      <c r="CZ195" s="588"/>
      <c r="DA195" s="588"/>
      <c r="DB195" s="588"/>
      <c r="DC195" s="588"/>
    </row>
    <row r="196" spans="1:107">
      <c r="A196" s="1167" t="s">
        <v>1130</v>
      </c>
      <c r="B196" s="1167" t="s">
        <v>1129</v>
      </c>
      <c r="C196" s="1166" t="s">
        <v>1030</v>
      </c>
      <c r="D196" s="1166" t="s">
        <v>940</v>
      </c>
      <c r="E196" s="577">
        <v>1</v>
      </c>
      <c r="F196" s="574">
        <v>0.79010000000000002</v>
      </c>
      <c r="G196" s="576">
        <v>100</v>
      </c>
      <c r="H196" s="574">
        <v>1.3318255815719531</v>
      </c>
      <c r="I196" s="1164"/>
      <c r="J196" s="575">
        <v>1</v>
      </c>
      <c r="K196" s="574">
        <v>1.0522753920000001</v>
      </c>
      <c r="L196" s="574">
        <v>1.0522753920000001</v>
      </c>
      <c r="M196" s="1168"/>
      <c r="N196" s="1168">
        <v>1</v>
      </c>
      <c r="O196" s="1168"/>
      <c r="P196" s="1163" t="s">
        <v>881</v>
      </c>
      <c r="Q196" s="1164"/>
      <c r="R196" s="1164"/>
      <c r="S196" s="1164"/>
      <c r="T196" s="1164"/>
      <c r="U196" s="1163" t="s">
        <v>881</v>
      </c>
      <c r="V196" s="1164"/>
      <c r="W196" s="1164"/>
      <c r="X196" s="1164"/>
      <c r="Y196" s="1164"/>
      <c r="Z196" s="573">
        <v>1</v>
      </c>
      <c r="AA196" s="572">
        <v>1</v>
      </c>
      <c r="AB196" s="572">
        <v>1</v>
      </c>
      <c r="AC196" s="572">
        <v>1</v>
      </c>
      <c r="AD196" s="572">
        <v>1</v>
      </c>
      <c r="AE196" s="572">
        <v>1</v>
      </c>
      <c r="AF196" s="572">
        <v>1</v>
      </c>
      <c r="AG196" s="1164"/>
      <c r="AH196" s="1163">
        <v>101</v>
      </c>
      <c r="AI196" s="1162" t="str">
        <f>MID(D196,2,2)&amp;C196</f>
        <v>FBINDELC</v>
      </c>
      <c r="AJ196" s="1163" t="s">
        <v>881</v>
      </c>
      <c r="AK196" s="1163" t="s">
        <v>881</v>
      </c>
      <c r="AL196" s="1163" t="s">
        <v>881</v>
      </c>
      <c r="AM196" s="1163" t="s">
        <v>881</v>
      </c>
      <c r="AN196" s="1163" t="s">
        <v>881</v>
      </c>
      <c r="AO196" s="1163" t="s">
        <v>881</v>
      </c>
      <c r="AP196" s="1163" t="s">
        <v>881</v>
      </c>
      <c r="AQ196" s="1163" t="s">
        <v>881</v>
      </c>
      <c r="AR196" s="1163" t="s">
        <v>881</v>
      </c>
      <c r="AS196" s="1170" t="s">
        <v>881</v>
      </c>
      <c r="AT196" s="1170" t="s">
        <v>881</v>
      </c>
      <c r="AU196" s="1170" t="s">
        <v>881</v>
      </c>
      <c r="AV196" s="1170" t="s">
        <v>881</v>
      </c>
      <c r="AW196" s="1170" t="s">
        <v>881</v>
      </c>
      <c r="AX196" s="1170" t="s">
        <v>881</v>
      </c>
      <c r="AY196" s="1170" t="s">
        <v>881</v>
      </c>
      <c r="AZ196" s="1170" t="s">
        <v>881</v>
      </c>
      <c r="BA196" s="1170" t="s">
        <v>881</v>
      </c>
      <c r="BB196" s="1163" t="s">
        <v>881</v>
      </c>
      <c r="BC196" s="1163" t="s">
        <v>881</v>
      </c>
      <c r="BD196" s="1163" t="s">
        <v>881</v>
      </c>
      <c r="BE196" s="1163" t="s">
        <v>881</v>
      </c>
      <c r="BF196" s="1163" t="s">
        <v>881</v>
      </c>
      <c r="BG196" s="1163" t="s">
        <v>881</v>
      </c>
      <c r="BH196" s="1163" t="s">
        <v>881</v>
      </c>
      <c r="BI196" s="1163" t="s">
        <v>881</v>
      </c>
      <c r="BJ196" s="1163" t="s">
        <v>881</v>
      </c>
      <c r="BT196" s="1443">
        <f t="array" ref="BT196">SUM(IFERROR(($AW$42:$AW$76=LEFT($AI196,2)) * ($AU$42:$AU$76=BT$93) * ($BH$41:$BP$41=BT$94) * ($BH$42:$BP$77),0))</f>
        <v>2.100047834166393E-4</v>
      </c>
      <c r="BU196" s="1443">
        <f t="array" ref="BU196">SUM(IFERROR(($AW$42:$AW$76=LEFT($AI196,2)) * ($AU$42:$AU$76=BU$93) * ($BH$41:$BP$41=BU$94) * ($BH$42:$BP$77),0))</f>
        <v>6.4814324160736043E-4</v>
      </c>
      <c r="BV196" s="1443">
        <f t="array" ref="BV196">SUM(IFERROR(($AW$42:$AW$76=LEFT($AI196,2)) * ($AU$42:$AU$76=BV$93) * ($BH$41:$BP$41=BV$94) * ($BH$42:$BP$77),0))</f>
        <v>1.3524055665281763E-3</v>
      </c>
      <c r="BW196" s="1443">
        <f t="array" ref="BW196">SUM(IFERROR(($AW$42:$AW$76=LEFT($AI196,2)) * ($AU$42:$AU$76=BW$93) * ($BH$41:$BP$41=BW$94) * ($BH$42:$BP$77),0))</f>
        <v>2.3313589758781881E-3</v>
      </c>
      <c r="BX196" s="1443">
        <f t="array" ref="BX196">SUM(IFERROR(($AW$42:$AW$76=LEFT($AI196,2)) * ($AU$42:$AU$76=BX$93) * ($BH$41:$BP$41=BX$94) * ($BH$42:$BP$77),0))</f>
        <v>3.4491793908819485E-3</v>
      </c>
      <c r="BY196" s="1443">
        <f t="array" ref="BY196">SUM(IFERROR(($AW$42:$AW$76=LEFT($AI196,2)) * ($AU$42:$AU$76=BY$93) * ($BH$41:$BP$41=BY$94) * ($BH$42:$BP$77),0))</f>
        <v>4.4717703006995546E-3</v>
      </c>
      <c r="BZ196" s="1443">
        <f t="array" ref="BZ196">SUM(IFERROR(($AW$42:$AW$76=LEFT($AI196,2)) * ($AU$42:$AU$76=BZ$93) * ($BH$41:$BP$41=BZ$94) * ($BH$42:$BP$77),0))</f>
        <v>5.2341502263777125E-3</v>
      </c>
      <c r="CA196" s="1443">
        <f t="array" ref="CA196">SUM(IFERROR(($AW$42:$AW$76=LEFT($AI196,2)) * ($AU$42:$AU$76=CA$93) * ($BH$41:$BP$41=CA$94) * ($BH$42:$BP$77),0))</f>
        <v>5.7202507102478081E-3</v>
      </c>
      <c r="CB196" s="1443">
        <f t="array" ref="CB196">SUM(IFERROR(($AW$42:$AW$76=LEFT($AI196,2)) * ($AU$42:$AU$76=CB$93) * ($BH$41:$BP$41=CB$94) * ($BH$42:$BP$77),0))</f>
        <v>6.0000000000000001E-3</v>
      </c>
      <c r="CC196" s="1443">
        <f t="array" ref="CC196">SUM(IFERROR(($AW$42:$AW$76=LEFT($AI196,2)) * ($AU$42:$AU$76=CC$93) * ($BH$41:$BP$41=CC$94) * ($BH$42:$BP$77),0))</f>
        <v>4.0740927982828032E-3</v>
      </c>
      <c r="CD196" s="1443">
        <f t="array" ref="CD196">SUM(IFERROR(($AW$42:$AW$76=LEFT($AI196,2)) * ($AU$42:$AU$76=CD$93) * ($BH$41:$BP$41=CD$94) * ($BH$42:$BP$77),0))</f>
        <v>1.2573978887182794E-2</v>
      </c>
      <c r="CE196" s="1443">
        <f t="array" ref="CE196">SUM(IFERROR(($AW$42:$AW$76=LEFT($AI196,2)) * ($AU$42:$AU$76=CE$93) * ($BH$41:$BP$41=CE$94) * ($BH$42:$BP$77),0))</f>
        <v>2.6236667990646622E-2</v>
      </c>
      <c r="CF196" s="1443">
        <f t="array" ref="CF196">SUM(IFERROR(($AW$42:$AW$76=LEFT($AI196,2)) * ($AU$42:$AU$76=CF$93) * ($BH$41:$BP$41=CF$94) * ($BH$42:$BP$77),0))</f>
        <v>4.5228364132036854E-2</v>
      </c>
      <c r="CG196" s="1443">
        <f t="array" ref="CG196">SUM(IFERROR(($AW$42:$AW$76=LEFT($AI196,2)) * ($AU$42:$AU$76=CG$93) * ($BH$41:$BP$41=CG$94) * ($BH$42:$BP$77),0))</f>
        <v>6.6914080183109806E-2</v>
      </c>
      <c r="CH196" s="1443">
        <f t="array" ref="CH196">SUM(IFERROR(($AW$42:$AW$76=LEFT($AI196,2)) * ($AU$42:$AU$76=CH$93) * ($BH$41:$BP$41=CH$94) * ($BH$42:$BP$77),0))</f>
        <v>8.675234383357136E-2</v>
      </c>
      <c r="CI196" s="1443">
        <f t="array" ref="CI196">SUM(IFERROR(($AW$42:$AW$76=LEFT($AI196,2)) * ($AU$42:$AU$76=CI$93) * ($BH$41:$BP$41=CI$94) * ($BH$42:$BP$77),0))</f>
        <v>0.10154251439172762</v>
      </c>
      <c r="CJ196" s="1443">
        <f t="array" ref="CJ196">SUM(IFERROR(($AW$42:$AW$76=LEFT($AI196,2)) * ($AU$42:$AU$76=CJ$93) * ($BH$41:$BP$41=CJ$94) * ($BH$42:$BP$77),0))</f>
        <v>0.1109728637788075</v>
      </c>
      <c r="CK196" s="1443">
        <f t="array" ref="CK196">SUM(IFERROR(($AW$42:$AW$76=LEFT($AI196,2)) * ($AU$42:$AU$76=CK$93) * ($BH$41:$BP$41=CK$94) * ($BH$42:$BP$77),0))</f>
        <v>0.11640000000000002</v>
      </c>
      <c r="CL196" s="1443">
        <f t="array" ref="CL196">SUM(IFERROR(($AW$42:$AW$76=LEFT($AI196,2)) * ($AU$42:$AU$76=CL$93) * ($BH$41:$BP$41=CL$94) * ($BH$42:$BP$77),0))</f>
        <v>1.2679038798779598E-2</v>
      </c>
      <c r="CM196" s="1443">
        <f t="array" ref="CM196">SUM(IFERROR(($AW$42:$AW$76=LEFT($AI196,2)) * ($AU$42:$AU$76=CM$93) * ($BH$41:$BP$41=CM$94) * ($BH$42:$BP$77),0))</f>
        <v>3.9131648212044387E-2</v>
      </c>
      <c r="CN196" s="1443">
        <f t="array" ref="CN196">SUM(IFERROR(($AW$42:$AW$76=LEFT($AI196,2)) * ($AU$42:$AU$76=CN$93) * ($BH$41:$BP$41=CN$94) * ($BH$42:$BP$77),0))</f>
        <v>8.1651486079138635E-2</v>
      </c>
      <c r="CO196" s="1443">
        <f t="array" ref="CO196">SUM(IFERROR(($AW$42:$AW$76=LEFT($AI196,2)) * ($AU$42:$AU$76=CO$93) * ($BH$41:$BP$41=CO$94) * ($BH$42:$BP$77),0))</f>
        <v>0.14075579816864561</v>
      </c>
      <c r="CP196" s="1443">
        <f t="array" ref="CP196">SUM(IFERROR(($AW$42:$AW$76=LEFT($AI196,2)) * ($AU$42:$AU$76=CP$93) * ($BH$41:$BP$41=CP$94) * ($BH$42:$BP$77),0))</f>
        <v>0.20824420572449764</v>
      </c>
      <c r="CQ196" s="1443">
        <f t="array" ref="CQ196">SUM(IFERROR(($AW$42:$AW$76=LEFT($AI196,2)) * ($AU$42:$AU$76=CQ$93) * ($BH$41:$BP$41=CQ$94) * ($BH$42:$BP$77),0))</f>
        <v>0.26998313190473561</v>
      </c>
      <c r="CR196" s="1443">
        <f t="array" ref="CR196">SUM(IFERROR(($AW$42:$AW$76=LEFT($AI196,2)) * ($AU$42:$AU$76=CR$93) * ($BH$41:$BP$41=CR$94) * ($BH$42:$BP$77),0))</f>
        <v>0.31601181991755439</v>
      </c>
      <c r="CS196" s="1443">
        <f t="array" ref="CS196">SUM(IFERROR(($AW$42:$AW$76=LEFT($AI196,2)) * ($AU$42:$AU$76=CS$93) * ($BH$41:$BP$41=CS$94) * ($BH$42:$BP$77),0))</f>
        <v>0.34536013663121146</v>
      </c>
      <c r="CT196" s="1443">
        <f t="array" ref="CT196">SUM(IFERROR(($AW$42:$AW$76=LEFT($AI196,2)) * ($AU$42:$AU$76=CT$93) * ($BH$41:$BP$41=CT$94) * ($BH$42:$BP$77),0))</f>
        <v>0.36225000000000002</v>
      </c>
      <c r="CU196" s="1443">
        <f t="array" ref="CU196">SUM(IFERROR(($AW$42:$AW$76=LEFT($AI196,2)) * ($AU$42:$AU$76=CU$93) * ($BH$41:$BP$41=CU$94) * ($BH$42:$BP$77),0))</f>
        <v>1.6905385065039465E-2</v>
      </c>
      <c r="CV196" s="1443">
        <f t="array" ref="CV196">SUM(IFERROR(($AW$42:$AW$76=LEFT($AI196,2)) * ($AU$42:$AU$76=CV$93) * ($BH$41:$BP$41=CV$94) * ($BH$42:$BP$77),0))</f>
        <v>5.2175530949392514E-2</v>
      </c>
      <c r="CW196" s="1443">
        <f t="array" ref="CW196">SUM(IFERROR(($AW$42:$AW$76=LEFT($AI196,2)) * ($AU$42:$AU$76=CW$93) * ($BH$41:$BP$41=CW$94) * ($BH$42:$BP$77),0))</f>
        <v>0.10886864810551819</v>
      </c>
      <c r="CX196" s="1443">
        <f t="array" ref="CX196">SUM(IFERROR(($AW$42:$AW$76=LEFT($AI196,2)) * ($AU$42:$AU$76=CX$93) * ($BH$41:$BP$41=CX$94) * ($BH$42:$BP$77),0))</f>
        <v>0.18767439755819415</v>
      </c>
      <c r="CY196" s="1443">
        <f t="array" ref="CY196">SUM(IFERROR(($AW$42:$AW$76=LEFT($AI196,2)) * ($AU$42:$AU$76=CY$93) * ($BH$41:$BP$41=CY$94) * ($BH$42:$BP$77),0))</f>
        <v>0.27765894096599686</v>
      </c>
      <c r="CZ196" s="1443">
        <f t="array" ref="CZ196">SUM(IFERROR(($AW$42:$AW$76=LEFT($AI196,2)) * ($AU$42:$AU$76=CZ$93) * ($BH$41:$BP$41=CZ$94) * ($BH$42:$BP$77),0))</f>
        <v>0.35997750920631416</v>
      </c>
      <c r="DA196" s="1443">
        <f t="array" ref="DA196">SUM(IFERROR(($AW$42:$AW$76=LEFT($AI196,2)) * ($AU$42:$AU$76=DA$93) * ($BH$41:$BP$41=DA$94) * ($BH$42:$BP$77),0))</f>
        <v>0.42134909322340586</v>
      </c>
      <c r="DB196" s="1443">
        <f t="array" ref="DB196">SUM(IFERROR(($AW$42:$AW$76=LEFT($AI196,2)) * ($AU$42:$AU$76=DB$93) * ($BH$41:$BP$41=DB$94) * ($BH$42:$BP$77),0))</f>
        <v>0.46048018217494863</v>
      </c>
      <c r="DC196" s="1443">
        <f t="array" ref="DC196">SUM(IFERROR(($AW$42:$AW$76=LEFT($AI196,2)) * ($AU$42:$AU$76=DC$93) * ($BH$41:$BP$41=DC$94) * ($BH$42:$BP$77),0))</f>
        <v>0.48300000000000004</v>
      </c>
    </row>
    <row r="197" spans="1:107">
      <c r="A197" s="1167" t="s">
        <v>1128</v>
      </c>
      <c r="B197" s="1167" t="s">
        <v>1127</v>
      </c>
      <c r="C197" s="1166" t="s">
        <v>1030</v>
      </c>
      <c r="D197" s="1166" t="s">
        <v>939</v>
      </c>
      <c r="E197" s="577">
        <v>0.05</v>
      </c>
      <c r="F197" s="574">
        <v>0.7833</v>
      </c>
      <c r="G197" s="576">
        <v>100</v>
      </c>
      <c r="H197" s="574">
        <v>3.8382498659517435E-2</v>
      </c>
      <c r="I197" s="1164"/>
      <c r="J197" s="575">
        <v>1</v>
      </c>
      <c r="K197" s="574">
        <v>0.60130022400000005</v>
      </c>
      <c r="L197" s="574">
        <v>3.0065011200000005E-2</v>
      </c>
      <c r="M197" s="1164"/>
      <c r="N197" s="1168"/>
      <c r="O197" s="1164"/>
      <c r="P197" s="1163" t="s">
        <v>881</v>
      </c>
      <c r="Q197" s="1164"/>
      <c r="R197" s="1164"/>
      <c r="S197" s="1164"/>
      <c r="T197" s="1164"/>
      <c r="U197" s="1163" t="s">
        <v>881</v>
      </c>
      <c r="V197" s="1164"/>
      <c r="W197" s="1164"/>
      <c r="X197" s="1164"/>
      <c r="Y197" s="1164"/>
      <c r="Z197" s="573">
        <v>0.05</v>
      </c>
      <c r="AA197" s="572">
        <v>0.05</v>
      </c>
      <c r="AB197" s="572">
        <v>0.05</v>
      </c>
      <c r="AC197" s="572">
        <v>0.05</v>
      </c>
      <c r="AD197" s="572">
        <v>0.05</v>
      </c>
      <c r="AE197" s="572">
        <v>0.05</v>
      </c>
      <c r="AF197" s="572">
        <v>0.05</v>
      </c>
      <c r="AG197" s="1164"/>
      <c r="AH197" s="1163">
        <v>102</v>
      </c>
      <c r="AI197" s="1162"/>
      <c r="AJ197" s="1163" t="s">
        <v>881</v>
      </c>
      <c r="AK197" s="1163" t="s">
        <v>881</v>
      </c>
      <c r="AL197" s="1163" t="s">
        <v>881</v>
      </c>
      <c r="AM197" s="1163" t="s">
        <v>881</v>
      </c>
      <c r="AN197" s="1163" t="s">
        <v>881</v>
      </c>
      <c r="AO197" s="1163" t="s">
        <v>881</v>
      </c>
      <c r="AP197" s="1163" t="s">
        <v>881</v>
      </c>
      <c r="AQ197" s="1163" t="s">
        <v>881</v>
      </c>
      <c r="AR197" s="1163" t="s">
        <v>881</v>
      </c>
      <c r="AS197" s="1170" t="s">
        <v>881</v>
      </c>
      <c r="AT197" s="1170" t="s">
        <v>881</v>
      </c>
      <c r="AU197" s="1170" t="s">
        <v>881</v>
      </c>
      <c r="AV197" s="1170" t="s">
        <v>881</v>
      </c>
      <c r="AW197" s="1170" t="s">
        <v>881</v>
      </c>
      <c r="AX197" s="1170" t="s">
        <v>881</v>
      </c>
      <c r="AY197" s="1170" t="s">
        <v>881</v>
      </c>
      <c r="AZ197" s="1170" t="s">
        <v>881</v>
      </c>
      <c r="BA197" s="1170" t="s">
        <v>881</v>
      </c>
      <c r="BB197" s="1163" t="s">
        <v>881</v>
      </c>
      <c r="BC197" s="1163" t="s">
        <v>881</v>
      </c>
      <c r="BD197" s="1163" t="s">
        <v>881</v>
      </c>
      <c r="BE197" s="1163" t="s">
        <v>881</v>
      </c>
      <c r="BF197" s="1163" t="s">
        <v>881</v>
      </c>
      <c r="BG197" s="1163" t="s">
        <v>881</v>
      </c>
      <c r="BH197" s="1163" t="s">
        <v>881</v>
      </c>
      <c r="BI197" s="1163" t="s">
        <v>881</v>
      </c>
      <c r="BJ197" s="1163" t="s">
        <v>881</v>
      </c>
      <c r="BT197" s="579"/>
      <c r="BU197" s="579"/>
      <c r="BV197" s="579"/>
      <c r="BW197" s="579"/>
      <c r="BX197" s="579"/>
      <c r="BY197" s="579"/>
      <c r="BZ197" s="579"/>
      <c r="CA197" s="579"/>
      <c r="CB197" s="579"/>
      <c r="CC197" s="578"/>
      <c r="CD197" s="578"/>
      <c r="CE197" s="578"/>
      <c r="CF197" s="578"/>
      <c r="CG197" s="578"/>
      <c r="CH197" s="578"/>
      <c r="CI197" s="578"/>
      <c r="CJ197" s="578"/>
      <c r="CK197" s="578"/>
      <c r="CL197" s="579"/>
      <c r="CM197" s="579"/>
      <c r="CN197" s="579"/>
      <c r="CO197" s="579"/>
      <c r="CP197" s="579"/>
      <c r="CQ197" s="579"/>
      <c r="CR197" s="579"/>
      <c r="CS197" s="579"/>
      <c r="CT197" s="579"/>
      <c r="CU197" s="578"/>
      <c r="CV197" s="578"/>
      <c r="CW197" s="578"/>
      <c r="CX197" s="578"/>
      <c r="CY197" s="578"/>
      <c r="CZ197" s="578"/>
      <c r="DA197" s="578"/>
      <c r="DB197" s="578"/>
      <c r="DC197" s="578"/>
    </row>
    <row r="198" spans="1:107">
      <c r="A198" s="1167" t="s">
        <v>1126</v>
      </c>
      <c r="B198" s="1167" t="s">
        <v>1125</v>
      </c>
      <c r="C198" s="1166" t="s">
        <v>1030</v>
      </c>
      <c r="D198" s="1166" t="s">
        <v>938</v>
      </c>
      <c r="E198" s="577">
        <v>0.3</v>
      </c>
      <c r="F198" s="574">
        <v>0.60640000000000005</v>
      </c>
      <c r="G198" s="576">
        <v>100</v>
      </c>
      <c r="H198" s="574">
        <v>0.3718462796833773</v>
      </c>
      <c r="I198" s="1164"/>
      <c r="J198" s="575">
        <v>1</v>
      </c>
      <c r="K198" s="574">
        <v>0.75162528000000006</v>
      </c>
      <c r="L198" s="574">
        <v>0.22548758400000002</v>
      </c>
      <c r="M198" s="1164"/>
      <c r="N198" s="1168"/>
      <c r="O198" s="1164"/>
      <c r="P198" s="1163" t="s">
        <v>881</v>
      </c>
      <c r="Q198" s="1164"/>
      <c r="R198" s="1164"/>
      <c r="S198" s="1164"/>
      <c r="T198" s="1164"/>
      <c r="U198" s="1163" t="s">
        <v>881</v>
      </c>
      <c r="V198" s="1164"/>
      <c r="W198" s="1164"/>
      <c r="X198" s="1164"/>
      <c r="Y198" s="1164"/>
      <c r="Z198" s="573">
        <v>0.3</v>
      </c>
      <c r="AA198" s="572">
        <v>0.3</v>
      </c>
      <c r="AB198" s="572">
        <v>0.3</v>
      </c>
      <c r="AC198" s="572">
        <v>0.3</v>
      </c>
      <c r="AD198" s="572">
        <v>0.3</v>
      </c>
      <c r="AE198" s="572">
        <v>0.3</v>
      </c>
      <c r="AF198" s="572">
        <v>0.3</v>
      </c>
      <c r="AG198" s="1164"/>
      <c r="AH198" s="1163">
        <v>103</v>
      </c>
      <c r="AI198" s="1162"/>
      <c r="AJ198" s="1163" t="s">
        <v>881</v>
      </c>
      <c r="AK198" s="1163" t="s">
        <v>881</v>
      </c>
      <c r="AL198" s="1163" t="s">
        <v>1824</v>
      </c>
      <c r="AM198" s="1163"/>
      <c r="AN198" s="1163"/>
      <c r="AO198" s="1163" t="s">
        <v>1825</v>
      </c>
      <c r="AP198" s="1163" t="s">
        <v>881</v>
      </c>
      <c r="AQ198" s="1163" t="s">
        <v>881</v>
      </c>
      <c r="AR198" s="1163" t="s">
        <v>881</v>
      </c>
      <c r="AS198" s="1170" t="s">
        <v>881</v>
      </c>
      <c r="AT198" s="1170" t="s">
        <v>881</v>
      </c>
      <c r="AU198" s="1170" t="s">
        <v>881</v>
      </c>
      <c r="AV198" s="1170" t="s">
        <v>881</v>
      </c>
      <c r="AW198" s="1170" t="s">
        <v>881</v>
      </c>
      <c r="AX198" s="1170" t="s">
        <v>881</v>
      </c>
      <c r="AY198" s="1170" t="s">
        <v>881</v>
      </c>
      <c r="AZ198" s="1170" t="s">
        <v>881</v>
      </c>
      <c r="BA198" s="1170" t="s">
        <v>881</v>
      </c>
      <c r="BB198" s="1163" t="s">
        <v>881</v>
      </c>
      <c r="BC198" s="1163" t="s">
        <v>881</v>
      </c>
      <c r="BD198" s="1163" t="s">
        <v>881</v>
      </c>
      <c r="BE198" s="1163" t="s">
        <v>881</v>
      </c>
      <c r="BF198" s="1163" t="s">
        <v>881</v>
      </c>
      <c r="BG198" s="1163" t="s">
        <v>881</v>
      </c>
      <c r="BH198" s="1163" t="s">
        <v>881</v>
      </c>
      <c r="BI198" s="1163" t="s">
        <v>881</v>
      </c>
      <c r="BJ198" s="1163" t="s">
        <v>881</v>
      </c>
      <c r="BT198" s="579"/>
      <c r="BU198" s="579"/>
      <c r="BV198" s="579"/>
      <c r="BW198" s="579"/>
      <c r="BX198" s="579"/>
      <c r="BY198" s="579"/>
      <c r="BZ198" s="579"/>
      <c r="CA198" s="579"/>
      <c r="CB198" s="579"/>
      <c r="CC198" s="578"/>
      <c r="CD198" s="578"/>
      <c r="CE198" s="578"/>
      <c r="CF198" s="578"/>
      <c r="CG198" s="578"/>
      <c r="CH198" s="578"/>
      <c r="CI198" s="578"/>
      <c r="CJ198" s="578"/>
      <c r="CK198" s="578"/>
      <c r="CL198" s="579"/>
      <c r="CM198" s="579"/>
      <c r="CN198" s="579"/>
      <c r="CO198" s="579"/>
      <c r="CP198" s="579"/>
      <c r="CQ198" s="579"/>
      <c r="CR198" s="579"/>
      <c r="CS198" s="579"/>
      <c r="CT198" s="579"/>
      <c r="CU198" s="578"/>
      <c r="CV198" s="578"/>
      <c r="CW198" s="578"/>
      <c r="CX198" s="578"/>
      <c r="CY198" s="578"/>
      <c r="CZ198" s="578"/>
      <c r="DA198" s="578"/>
      <c r="DB198" s="578"/>
      <c r="DC198" s="578"/>
    </row>
    <row r="199" spans="1:107">
      <c r="A199" s="1167" t="s">
        <v>1124</v>
      </c>
      <c r="B199" s="1167" t="s">
        <v>1123</v>
      </c>
      <c r="C199" s="1166" t="s">
        <v>1030</v>
      </c>
      <c r="D199" s="1166" t="s">
        <v>937</v>
      </c>
      <c r="E199" s="577">
        <v>2</v>
      </c>
      <c r="F199" s="574">
        <v>0.83289999999999997</v>
      </c>
      <c r="G199" s="576">
        <v>100</v>
      </c>
      <c r="H199" s="574">
        <v>8.3022602665385996</v>
      </c>
      <c r="I199" s="1164"/>
      <c r="J199" s="575">
        <v>1</v>
      </c>
      <c r="K199" s="574">
        <v>3.4574762880000001</v>
      </c>
      <c r="L199" s="574">
        <v>6.9149525760000001</v>
      </c>
      <c r="M199" s="1164"/>
      <c r="N199" s="1168"/>
      <c r="O199" s="1164"/>
      <c r="P199" s="1163" t="s">
        <v>881</v>
      </c>
      <c r="Q199" s="1164"/>
      <c r="R199" s="1164"/>
      <c r="S199" s="1164"/>
      <c r="T199" s="1164"/>
      <c r="U199" s="1163" t="s">
        <v>881</v>
      </c>
      <c r="V199" s="1164"/>
      <c r="W199" s="1164"/>
      <c r="X199" s="1164"/>
      <c r="Y199" s="1164"/>
      <c r="Z199" s="573">
        <v>2</v>
      </c>
      <c r="AA199" s="572">
        <v>2</v>
      </c>
      <c r="AB199" s="572">
        <v>2</v>
      </c>
      <c r="AC199" s="572">
        <v>2</v>
      </c>
      <c r="AD199" s="572">
        <v>2</v>
      </c>
      <c r="AE199" s="572">
        <v>2</v>
      </c>
      <c r="AF199" s="572">
        <v>2</v>
      </c>
      <c r="AG199" s="1164"/>
      <c r="AH199" s="1163">
        <v>104</v>
      </c>
      <c r="AI199" s="1162"/>
      <c r="AJ199" s="1163" t="s">
        <v>881</v>
      </c>
      <c r="AK199" s="1163" t="s">
        <v>881</v>
      </c>
      <c r="AL199" s="1163">
        <v>0.66786111111111102</v>
      </c>
      <c r="AM199" s="1163" t="s">
        <v>881</v>
      </c>
      <c r="AN199" s="1163" t="s">
        <v>881</v>
      </c>
      <c r="AO199" s="1163" t="s">
        <v>881</v>
      </c>
      <c r="AP199" s="1163" t="s">
        <v>881</v>
      </c>
      <c r="AQ199" s="1163" t="s">
        <v>881</v>
      </c>
      <c r="AR199" s="1163" t="s">
        <v>881</v>
      </c>
      <c r="AS199" s="1170" t="s">
        <v>881</v>
      </c>
      <c r="AT199" s="1170" t="s">
        <v>881</v>
      </c>
      <c r="AU199" s="1170" t="s">
        <v>881</v>
      </c>
      <c r="AV199" s="1170" t="s">
        <v>881</v>
      </c>
      <c r="AW199" s="1170" t="s">
        <v>881</v>
      </c>
      <c r="AX199" s="1170" t="s">
        <v>881</v>
      </c>
      <c r="AY199" s="1170" t="s">
        <v>881</v>
      </c>
      <c r="AZ199" s="1170" t="s">
        <v>881</v>
      </c>
      <c r="BA199" s="1170" t="s">
        <v>881</v>
      </c>
      <c r="BB199" s="1163" t="s">
        <v>881</v>
      </c>
      <c r="BC199" s="1163" t="s">
        <v>881</v>
      </c>
      <c r="BD199" s="1163" t="s">
        <v>881</v>
      </c>
      <c r="BE199" s="1163" t="s">
        <v>881</v>
      </c>
      <c r="BF199" s="1163" t="s">
        <v>881</v>
      </c>
      <c r="BG199" s="1163" t="s">
        <v>881</v>
      </c>
      <c r="BH199" s="1163" t="s">
        <v>881</v>
      </c>
      <c r="BI199" s="1163" t="s">
        <v>881</v>
      </c>
      <c r="BJ199" s="1163" t="s">
        <v>881</v>
      </c>
      <c r="BK199" s="1170" t="s">
        <v>881</v>
      </c>
      <c r="BL199" s="1170" t="s">
        <v>881</v>
      </c>
      <c r="BM199" s="1170" t="s">
        <v>881</v>
      </c>
      <c r="BN199" s="1170" t="s">
        <v>881</v>
      </c>
      <c r="BO199" s="1170" t="s">
        <v>881</v>
      </c>
      <c r="BP199" s="1170" t="s">
        <v>881</v>
      </c>
      <c r="BQ199" s="1170" t="s">
        <v>881</v>
      </c>
      <c r="BR199" s="1170" t="s">
        <v>881</v>
      </c>
      <c r="BS199" s="1170" t="s">
        <v>881</v>
      </c>
      <c r="BT199" s="579"/>
      <c r="BU199" s="579"/>
      <c r="BV199" s="579"/>
      <c r="BW199" s="579"/>
      <c r="BX199" s="579"/>
      <c r="BY199" s="579"/>
      <c r="BZ199" s="579"/>
      <c r="CA199" s="579"/>
      <c r="CB199" s="579"/>
      <c r="CC199" s="578"/>
      <c r="CD199" s="578"/>
      <c r="CE199" s="578"/>
      <c r="CF199" s="578"/>
      <c r="CG199" s="578"/>
      <c r="CH199" s="578"/>
      <c r="CI199" s="578"/>
      <c r="CJ199" s="578"/>
      <c r="CK199" s="578"/>
      <c r="CL199" s="579"/>
      <c r="CM199" s="579"/>
      <c r="CN199" s="579"/>
      <c r="CO199" s="579"/>
      <c r="CP199" s="579"/>
      <c r="CQ199" s="579"/>
      <c r="CR199" s="579"/>
      <c r="CS199" s="579"/>
      <c r="CT199" s="579"/>
      <c r="CU199" s="578"/>
      <c r="CV199" s="578"/>
      <c r="CW199" s="578"/>
      <c r="CX199" s="578"/>
      <c r="CY199" s="578"/>
      <c r="CZ199" s="578"/>
      <c r="DA199" s="578"/>
      <c r="DB199" s="578"/>
      <c r="DC199" s="578"/>
    </row>
    <row r="200" spans="1:107">
      <c r="A200" s="1167" t="s">
        <v>1122</v>
      </c>
      <c r="B200" s="1167" t="s">
        <v>1121</v>
      </c>
      <c r="C200" s="1166" t="s">
        <v>1030</v>
      </c>
      <c r="D200" s="1166" t="s">
        <v>936</v>
      </c>
      <c r="E200" s="577">
        <v>0.9</v>
      </c>
      <c r="F200" s="574">
        <v>0.60340000000000005</v>
      </c>
      <c r="G200" s="576">
        <v>100</v>
      </c>
      <c r="H200" s="574">
        <v>1.345302125290023</v>
      </c>
      <c r="I200" s="1164"/>
      <c r="J200" s="575">
        <v>1</v>
      </c>
      <c r="K200" s="574">
        <v>0.90195033599999996</v>
      </c>
      <c r="L200" s="574">
        <v>0.81175530239999993</v>
      </c>
      <c r="M200" s="1164"/>
      <c r="N200" s="1168"/>
      <c r="O200" s="1164"/>
      <c r="P200" s="1163" t="s">
        <v>881</v>
      </c>
      <c r="Q200" s="1164"/>
      <c r="R200" s="1164"/>
      <c r="S200" s="1164"/>
      <c r="T200" s="1164"/>
      <c r="U200" s="1163" t="s">
        <v>881</v>
      </c>
      <c r="V200" s="1164"/>
      <c r="W200" s="1164"/>
      <c r="X200" s="1164"/>
      <c r="Y200" s="1164"/>
      <c r="Z200" s="573">
        <v>0.9</v>
      </c>
      <c r="AA200" s="572">
        <v>0.9</v>
      </c>
      <c r="AB200" s="572">
        <v>0.9</v>
      </c>
      <c r="AC200" s="572">
        <v>0.9</v>
      </c>
      <c r="AD200" s="572">
        <v>0.9</v>
      </c>
      <c r="AE200" s="572">
        <v>0.9</v>
      </c>
      <c r="AF200" s="572">
        <v>0.9</v>
      </c>
      <c r="AG200" s="1164"/>
      <c r="AH200" s="1163">
        <v>105</v>
      </c>
      <c r="AI200" s="1162"/>
      <c r="AJ200" s="1163" t="s">
        <v>881</v>
      </c>
      <c r="AK200" s="1163" t="s">
        <v>881</v>
      </c>
      <c r="AL200" s="1163" t="s">
        <v>881</v>
      </c>
      <c r="AM200" s="1163" t="s">
        <v>881</v>
      </c>
      <c r="AN200" s="1163" t="s">
        <v>881</v>
      </c>
      <c r="AO200" s="1163" t="s">
        <v>881</v>
      </c>
      <c r="AP200" s="1163" t="s">
        <v>881</v>
      </c>
      <c r="AQ200" s="1163" t="s">
        <v>881</v>
      </c>
      <c r="AR200" s="1163" t="s">
        <v>881</v>
      </c>
      <c r="AS200" s="1170" t="s">
        <v>881</v>
      </c>
      <c r="AT200" s="1170" t="s">
        <v>881</v>
      </c>
      <c r="AU200" s="1170" t="s">
        <v>881</v>
      </c>
      <c r="AV200" s="1170" t="s">
        <v>881</v>
      </c>
      <c r="AW200" s="1170" t="s">
        <v>881</v>
      </c>
      <c r="AX200" s="1170" t="s">
        <v>881</v>
      </c>
      <c r="AY200" s="1170" t="s">
        <v>881</v>
      </c>
      <c r="AZ200" s="1170" t="s">
        <v>881</v>
      </c>
      <c r="BA200" s="1170" t="s">
        <v>881</v>
      </c>
      <c r="BB200" s="1163" t="s">
        <v>881</v>
      </c>
      <c r="BC200" s="1163" t="s">
        <v>881</v>
      </c>
      <c r="BD200" s="1163" t="s">
        <v>881</v>
      </c>
      <c r="BE200" s="1163" t="s">
        <v>881</v>
      </c>
      <c r="BF200" s="1163" t="s">
        <v>881</v>
      </c>
      <c r="BG200" s="1163" t="s">
        <v>881</v>
      </c>
      <c r="BH200" s="1163" t="s">
        <v>881</v>
      </c>
      <c r="BI200" s="1163" t="s">
        <v>881</v>
      </c>
      <c r="BJ200" s="1163" t="s">
        <v>881</v>
      </c>
      <c r="BK200" s="1170" t="s">
        <v>881</v>
      </c>
      <c r="BL200" s="1170" t="s">
        <v>881</v>
      </c>
      <c r="BM200" s="1170" t="s">
        <v>881</v>
      </c>
      <c r="BN200" s="1170" t="s">
        <v>881</v>
      </c>
      <c r="BO200" s="1170" t="s">
        <v>881</v>
      </c>
      <c r="BP200" s="1170" t="s">
        <v>881</v>
      </c>
      <c r="BQ200" s="1170" t="s">
        <v>881</v>
      </c>
      <c r="BR200" s="1170" t="s">
        <v>881</v>
      </c>
      <c r="BS200" s="1170" t="s">
        <v>881</v>
      </c>
      <c r="BT200" s="579"/>
      <c r="BU200" s="579"/>
      <c r="BV200" s="579"/>
      <c r="BW200" s="579"/>
      <c r="BX200" s="579"/>
      <c r="BY200" s="579"/>
      <c r="BZ200" s="579"/>
      <c r="CA200" s="579"/>
      <c r="CB200" s="579"/>
      <c r="CC200" s="578"/>
      <c r="CD200" s="578"/>
      <c r="CE200" s="578"/>
      <c r="CF200" s="578"/>
      <c r="CG200" s="578"/>
      <c r="CH200" s="578"/>
      <c r="CI200" s="578"/>
      <c r="CJ200" s="578"/>
      <c r="CK200" s="578"/>
      <c r="CL200" s="579"/>
      <c r="CM200" s="579"/>
      <c r="CN200" s="579"/>
      <c r="CO200" s="579"/>
      <c r="CP200" s="579"/>
      <c r="CQ200" s="579"/>
      <c r="CR200" s="579"/>
      <c r="CS200" s="579"/>
      <c r="CT200" s="579"/>
      <c r="CU200" s="578"/>
      <c r="CV200" s="578"/>
      <c r="CW200" s="578"/>
      <c r="CX200" s="578"/>
      <c r="CY200" s="578"/>
      <c r="CZ200" s="578"/>
      <c r="DA200" s="578"/>
      <c r="DB200" s="578"/>
      <c r="DC200" s="578"/>
    </row>
    <row r="201" spans="1:107">
      <c r="A201" s="1167" t="s">
        <v>1120</v>
      </c>
      <c r="B201" s="1167" t="s">
        <v>1119</v>
      </c>
      <c r="C201" s="1166" t="s">
        <v>1030</v>
      </c>
      <c r="D201" s="1166" t="s">
        <v>935</v>
      </c>
      <c r="E201" s="577">
        <v>0.8</v>
      </c>
      <c r="F201" s="574">
        <v>0.60940000000000005</v>
      </c>
      <c r="G201" s="576">
        <v>100</v>
      </c>
      <c r="H201" s="574">
        <v>5.525568189038399</v>
      </c>
      <c r="I201" s="1164"/>
      <c r="J201" s="575">
        <v>1</v>
      </c>
      <c r="K201" s="574">
        <v>4.2091015680000003</v>
      </c>
      <c r="L201" s="574">
        <v>3.3672812544000004</v>
      </c>
      <c r="M201" s="1164"/>
      <c r="N201" s="1168"/>
      <c r="O201" s="1164"/>
      <c r="P201" s="1163" t="s">
        <v>881</v>
      </c>
      <c r="Q201" s="1164"/>
      <c r="R201" s="1164"/>
      <c r="S201" s="1164"/>
      <c r="T201" s="1164"/>
      <c r="U201" s="1163" t="s">
        <v>881</v>
      </c>
      <c r="V201" s="1164"/>
      <c r="W201" s="1164"/>
      <c r="X201" s="1164"/>
      <c r="Y201" s="1164"/>
      <c r="Z201" s="573">
        <v>0.8</v>
      </c>
      <c r="AA201" s="572">
        <v>0.8</v>
      </c>
      <c r="AB201" s="572">
        <v>0.8</v>
      </c>
      <c r="AC201" s="572">
        <v>0.8</v>
      </c>
      <c r="AD201" s="572">
        <v>0.8</v>
      </c>
      <c r="AE201" s="572">
        <v>0.8</v>
      </c>
      <c r="AF201" s="572">
        <v>0.8</v>
      </c>
      <c r="AG201" s="1164"/>
      <c r="AH201" s="1163">
        <v>106</v>
      </c>
      <c r="AI201" s="1162"/>
      <c r="AJ201" s="1163" t="s">
        <v>881</v>
      </c>
      <c r="AK201" s="1163" t="s">
        <v>881</v>
      </c>
      <c r="AM201" s="1163" t="s">
        <v>881</v>
      </c>
      <c r="AN201" s="1163" t="s">
        <v>881</v>
      </c>
      <c r="AO201" s="1163" t="s">
        <v>881</v>
      </c>
      <c r="AP201" s="1163" t="s">
        <v>881</v>
      </c>
      <c r="AQ201" s="1163" t="s">
        <v>881</v>
      </c>
      <c r="AR201" s="1163" t="s">
        <v>881</v>
      </c>
      <c r="AS201" s="1170" t="s">
        <v>881</v>
      </c>
      <c r="AT201" s="1170" t="s">
        <v>881</v>
      </c>
      <c r="AU201" s="1170" t="s">
        <v>881</v>
      </c>
      <c r="AV201" s="1170" t="s">
        <v>881</v>
      </c>
      <c r="AW201" s="1170" t="s">
        <v>881</v>
      </c>
      <c r="AX201" s="1170" t="s">
        <v>881</v>
      </c>
      <c r="AY201" s="1170" t="s">
        <v>881</v>
      </c>
      <c r="AZ201" s="1170" t="s">
        <v>881</v>
      </c>
      <c r="BA201" s="1170" t="s">
        <v>881</v>
      </c>
      <c r="BB201" s="1163" t="s">
        <v>881</v>
      </c>
      <c r="BC201" s="1163" t="s">
        <v>881</v>
      </c>
      <c r="BD201" s="1163" t="s">
        <v>881</v>
      </c>
      <c r="BE201" s="1163" t="s">
        <v>881</v>
      </c>
      <c r="BF201" s="1163" t="s">
        <v>881</v>
      </c>
      <c r="BG201" s="1163" t="s">
        <v>881</v>
      </c>
      <c r="BH201" s="1163" t="s">
        <v>881</v>
      </c>
      <c r="BI201" s="1163" t="s">
        <v>881</v>
      </c>
      <c r="BJ201" s="1163" t="s">
        <v>881</v>
      </c>
      <c r="BK201" s="1170" t="s">
        <v>881</v>
      </c>
      <c r="BL201" s="1170" t="s">
        <v>881</v>
      </c>
      <c r="BM201" s="1170" t="s">
        <v>881</v>
      </c>
      <c r="BN201" s="1170" t="s">
        <v>881</v>
      </c>
      <c r="BO201" s="1170" t="s">
        <v>881</v>
      </c>
      <c r="BP201" s="1170" t="s">
        <v>881</v>
      </c>
      <c r="BQ201" s="1170" t="s">
        <v>881</v>
      </c>
      <c r="BR201" s="1170" t="s">
        <v>881</v>
      </c>
      <c r="BS201" s="1170" t="s">
        <v>881</v>
      </c>
      <c r="BT201" s="579"/>
      <c r="BU201" s="579"/>
      <c r="BV201" s="579"/>
      <c r="BW201" s="579"/>
      <c r="BX201" s="579"/>
      <c r="BY201" s="579"/>
      <c r="BZ201" s="579"/>
      <c r="CA201" s="579"/>
      <c r="CB201" s="579"/>
      <c r="CC201" s="578"/>
      <c r="CD201" s="578"/>
      <c r="CE201" s="578"/>
      <c r="CF201" s="578"/>
      <c r="CG201" s="578"/>
      <c r="CH201" s="578"/>
      <c r="CI201" s="578"/>
      <c r="CJ201" s="578"/>
      <c r="CK201" s="578"/>
      <c r="CL201" s="579"/>
      <c r="CM201" s="579"/>
      <c r="CN201" s="579"/>
      <c r="CO201" s="579"/>
      <c r="CP201" s="579"/>
      <c r="CQ201" s="579"/>
      <c r="CR201" s="579"/>
      <c r="CS201" s="579"/>
      <c r="CT201" s="579"/>
      <c r="CU201" s="578"/>
      <c r="CV201" s="578"/>
      <c r="CW201" s="578"/>
      <c r="CX201" s="578"/>
      <c r="CY201" s="578"/>
      <c r="CZ201" s="578"/>
      <c r="DA201" s="578"/>
      <c r="DB201" s="578"/>
      <c r="DC201" s="578"/>
    </row>
    <row r="202" spans="1:107">
      <c r="A202" s="1167" t="s">
        <v>1118</v>
      </c>
      <c r="B202" s="1167" t="s">
        <v>1117</v>
      </c>
      <c r="C202" s="1166" t="s">
        <v>1030</v>
      </c>
      <c r="D202" s="1166" t="s">
        <v>934</v>
      </c>
      <c r="E202" s="577">
        <v>0.8</v>
      </c>
      <c r="F202" s="574">
        <v>0.65390000000000004</v>
      </c>
      <c r="G202" s="576">
        <v>100</v>
      </c>
      <c r="H202" s="574">
        <v>0.73564792659428058</v>
      </c>
      <c r="I202" s="1164"/>
      <c r="J202" s="575">
        <v>1</v>
      </c>
      <c r="K202" s="574">
        <v>0.60130022400000005</v>
      </c>
      <c r="L202" s="574">
        <v>0.48104017920000008</v>
      </c>
      <c r="M202" s="1164"/>
      <c r="N202" s="1168"/>
      <c r="O202" s="1164"/>
      <c r="P202" s="1163" t="s">
        <v>881</v>
      </c>
      <c r="Q202" s="1164"/>
      <c r="R202" s="1164"/>
      <c r="S202" s="1164"/>
      <c r="T202" s="1164"/>
      <c r="U202" s="1163" t="s">
        <v>881</v>
      </c>
      <c r="V202" s="1164"/>
      <c r="W202" s="1164"/>
      <c r="X202" s="1164"/>
      <c r="Y202" s="1164"/>
      <c r="Z202" s="573">
        <v>0.8</v>
      </c>
      <c r="AA202" s="572">
        <v>0.8</v>
      </c>
      <c r="AB202" s="572">
        <v>0.8</v>
      </c>
      <c r="AC202" s="572">
        <v>0.8</v>
      </c>
      <c r="AD202" s="572">
        <v>0.8</v>
      </c>
      <c r="AE202" s="572">
        <v>0.8</v>
      </c>
      <c r="AF202" s="572">
        <v>0.8</v>
      </c>
      <c r="AG202" s="1164"/>
      <c r="AH202" s="1163">
        <v>107</v>
      </c>
      <c r="AI202" s="1162"/>
      <c r="AJ202" s="1163" t="s">
        <v>881</v>
      </c>
      <c r="AK202" s="1163" t="s">
        <v>881</v>
      </c>
      <c r="AL202" s="1163" t="s">
        <v>881</v>
      </c>
      <c r="AM202" s="1163" t="s">
        <v>881</v>
      </c>
      <c r="AN202" s="1163" t="s">
        <v>881</v>
      </c>
      <c r="AO202" s="1163" t="s">
        <v>881</v>
      </c>
      <c r="AP202" s="1163" t="s">
        <v>881</v>
      </c>
      <c r="AQ202" s="1163" t="s">
        <v>881</v>
      </c>
      <c r="AR202" s="1163" t="s">
        <v>881</v>
      </c>
      <c r="AS202" s="1170" t="s">
        <v>881</v>
      </c>
      <c r="AT202" s="1170" t="s">
        <v>881</v>
      </c>
      <c r="AU202" s="1170" t="s">
        <v>881</v>
      </c>
      <c r="AV202" s="1170" t="s">
        <v>881</v>
      </c>
      <c r="AW202" s="1170" t="s">
        <v>881</v>
      </c>
      <c r="AX202" s="1170" t="s">
        <v>881</v>
      </c>
      <c r="AY202" s="1170" t="s">
        <v>881</v>
      </c>
      <c r="AZ202" s="1170" t="s">
        <v>881</v>
      </c>
      <c r="BA202" s="1170" t="s">
        <v>881</v>
      </c>
      <c r="BB202" s="1163" t="s">
        <v>881</v>
      </c>
      <c r="BC202" s="1163" t="s">
        <v>881</v>
      </c>
      <c r="BD202" s="1163" t="s">
        <v>881</v>
      </c>
      <c r="BE202" s="1163" t="s">
        <v>881</v>
      </c>
      <c r="BF202" s="1163" t="s">
        <v>881</v>
      </c>
      <c r="BG202" s="1163" t="s">
        <v>881</v>
      </c>
      <c r="BH202" s="1163" t="s">
        <v>881</v>
      </c>
      <c r="BI202" s="1163" t="s">
        <v>881</v>
      </c>
      <c r="BJ202" s="1163" t="s">
        <v>881</v>
      </c>
      <c r="BK202" s="1170" t="s">
        <v>881</v>
      </c>
      <c r="BL202" s="1170" t="s">
        <v>881</v>
      </c>
      <c r="BM202" s="1170" t="s">
        <v>881</v>
      </c>
      <c r="BN202" s="1170" t="s">
        <v>881</v>
      </c>
      <c r="BO202" s="1170" t="s">
        <v>881</v>
      </c>
      <c r="BP202" s="1170" t="s">
        <v>881</v>
      </c>
      <c r="BQ202" s="1170" t="s">
        <v>881</v>
      </c>
      <c r="BR202" s="1170" t="s">
        <v>881</v>
      </c>
      <c r="BS202" s="1170" t="s">
        <v>881</v>
      </c>
      <c r="BT202" s="579"/>
      <c r="BU202" s="579"/>
      <c r="BV202" s="579"/>
      <c r="BW202" s="579"/>
      <c r="BX202" s="579"/>
      <c r="BY202" s="579"/>
      <c r="BZ202" s="579"/>
      <c r="CA202" s="579"/>
      <c r="CB202" s="579"/>
      <c r="CC202" s="578"/>
      <c r="CD202" s="578"/>
      <c r="CE202" s="578"/>
      <c r="CF202" s="578"/>
      <c r="CG202" s="578"/>
      <c r="CH202" s="578"/>
      <c r="CI202" s="578"/>
      <c r="CJ202" s="578"/>
      <c r="CK202" s="578"/>
      <c r="CL202" s="579"/>
      <c r="CM202" s="579"/>
      <c r="CN202" s="579"/>
      <c r="CO202" s="579"/>
      <c r="CP202" s="579"/>
      <c r="CQ202" s="579"/>
      <c r="CR202" s="579"/>
      <c r="CS202" s="579"/>
      <c r="CT202" s="579"/>
      <c r="CU202" s="578"/>
      <c r="CV202" s="578"/>
      <c r="CW202" s="578"/>
      <c r="CX202" s="578"/>
      <c r="CY202" s="578"/>
      <c r="CZ202" s="578"/>
      <c r="DA202" s="578"/>
      <c r="DB202" s="578"/>
      <c r="DC202" s="578"/>
    </row>
    <row r="203" spans="1:107">
      <c r="A203" s="1167" t="s">
        <v>1116</v>
      </c>
      <c r="B203" s="1167" t="s">
        <v>1115</v>
      </c>
      <c r="C203" s="1166" t="s">
        <v>1030</v>
      </c>
      <c r="D203" s="1166" t="s">
        <v>933</v>
      </c>
      <c r="E203" s="577">
        <v>0.8</v>
      </c>
      <c r="F203" s="574">
        <v>0.5323</v>
      </c>
      <c r="G203" s="576">
        <v>100</v>
      </c>
      <c r="H203" s="574">
        <v>4.7444316002254379</v>
      </c>
      <c r="I203" s="1164"/>
      <c r="J203" s="575">
        <v>1</v>
      </c>
      <c r="K203" s="574">
        <v>3.156826176</v>
      </c>
      <c r="L203" s="574">
        <v>2.5254609408000004</v>
      </c>
      <c r="M203" s="1164"/>
      <c r="N203" s="1168"/>
      <c r="O203" s="1164"/>
      <c r="P203" s="1163" t="s">
        <v>881</v>
      </c>
      <c r="Q203" s="1164"/>
      <c r="R203" s="1164"/>
      <c r="S203" s="1164"/>
      <c r="T203" s="1164"/>
      <c r="U203" s="1163" t="s">
        <v>881</v>
      </c>
      <c r="V203" s="1164"/>
      <c r="W203" s="1164"/>
      <c r="X203" s="1164"/>
      <c r="Y203" s="1164"/>
      <c r="Z203" s="573">
        <v>0.8</v>
      </c>
      <c r="AA203" s="572">
        <v>0.8</v>
      </c>
      <c r="AB203" s="572">
        <v>0.8</v>
      </c>
      <c r="AC203" s="572">
        <v>0.8</v>
      </c>
      <c r="AD203" s="572">
        <v>0.8</v>
      </c>
      <c r="AE203" s="572">
        <v>0.8</v>
      </c>
      <c r="AF203" s="572">
        <v>0.8</v>
      </c>
      <c r="AG203" s="1164"/>
      <c r="AH203" s="1163">
        <v>108</v>
      </c>
      <c r="AI203" s="1162"/>
      <c r="AJ203" s="1163" t="s">
        <v>881</v>
      </c>
      <c r="AK203" s="1163" t="s">
        <v>881</v>
      </c>
      <c r="AL203" s="1163" t="s">
        <v>881</v>
      </c>
      <c r="AM203" s="1163" t="s">
        <v>881</v>
      </c>
      <c r="AN203" s="1163" t="s">
        <v>881</v>
      </c>
      <c r="AO203" s="1163" t="s">
        <v>881</v>
      </c>
      <c r="AP203" s="1163" t="s">
        <v>881</v>
      </c>
      <c r="AQ203" s="1163" t="s">
        <v>881</v>
      </c>
      <c r="AR203" s="1163" t="s">
        <v>881</v>
      </c>
      <c r="AS203" s="1170" t="s">
        <v>881</v>
      </c>
      <c r="AT203" s="1170" t="s">
        <v>881</v>
      </c>
      <c r="AU203" s="1170" t="s">
        <v>881</v>
      </c>
      <c r="AV203" s="1170" t="s">
        <v>881</v>
      </c>
      <c r="AW203" s="1170" t="s">
        <v>881</v>
      </c>
      <c r="AX203" s="1170" t="s">
        <v>881</v>
      </c>
      <c r="AY203" s="1170" t="s">
        <v>881</v>
      </c>
      <c r="AZ203" s="1170" t="s">
        <v>881</v>
      </c>
      <c r="BA203" s="1170" t="s">
        <v>881</v>
      </c>
      <c r="BB203" s="1163" t="s">
        <v>881</v>
      </c>
      <c r="BC203" s="1163" t="s">
        <v>881</v>
      </c>
      <c r="BD203" s="1163" t="s">
        <v>881</v>
      </c>
      <c r="BE203" s="1163" t="s">
        <v>881</v>
      </c>
      <c r="BF203" s="1163" t="s">
        <v>881</v>
      </c>
      <c r="BG203" s="1163" t="s">
        <v>881</v>
      </c>
      <c r="BH203" s="1163" t="s">
        <v>881</v>
      </c>
      <c r="BI203" s="1163" t="s">
        <v>881</v>
      </c>
      <c r="BJ203" s="1163" t="s">
        <v>881</v>
      </c>
      <c r="BK203" s="1170" t="s">
        <v>881</v>
      </c>
      <c r="BL203" s="1170" t="s">
        <v>881</v>
      </c>
      <c r="BM203" s="1170" t="s">
        <v>881</v>
      </c>
      <c r="BN203" s="1170" t="s">
        <v>881</v>
      </c>
      <c r="BO203" s="1170" t="s">
        <v>881</v>
      </c>
      <c r="BP203" s="1170" t="s">
        <v>881</v>
      </c>
      <c r="BQ203" s="1170" t="s">
        <v>881</v>
      </c>
      <c r="BR203" s="1170" t="s">
        <v>881</v>
      </c>
      <c r="BS203" s="1170" t="s">
        <v>881</v>
      </c>
      <c r="BT203" s="579"/>
      <c r="BU203" s="579"/>
      <c r="BV203" s="579"/>
      <c r="BW203" s="579"/>
      <c r="BX203" s="579"/>
      <c r="BY203" s="579"/>
      <c r="BZ203" s="579"/>
      <c r="CA203" s="579"/>
      <c r="CB203" s="579"/>
      <c r="CC203" s="578"/>
      <c r="CD203" s="578"/>
      <c r="CE203" s="578"/>
      <c r="CF203" s="578"/>
      <c r="CG203" s="578"/>
      <c r="CH203" s="578"/>
      <c r="CI203" s="578"/>
      <c r="CJ203" s="578"/>
      <c r="CK203" s="578"/>
      <c r="CL203" s="579"/>
      <c r="CM203" s="579"/>
      <c r="CN203" s="579"/>
      <c r="CO203" s="579"/>
      <c r="CP203" s="579"/>
      <c r="CQ203" s="579"/>
      <c r="CR203" s="579"/>
      <c r="CS203" s="579"/>
      <c r="CT203" s="579"/>
      <c r="CU203" s="578"/>
      <c r="CV203" s="578"/>
      <c r="CW203" s="578"/>
      <c r="CX203" s="578"/>
      <c r="CY203" s="578"/>
      <c r="CZ203" s="578"/>
      <c r="DA203" s="578"/>
      <c r="DB203" s="578"/>
      <c r="DC203" s="578"/>
    </row>
    <row r="204" spans="1:107">
      <c r="A204" s="1167" t="s">
        <v>1114</v>
      </c>
      <c r="B204" s="1167" t="s">
        <v>1113</v>
      </c>
      <c r="C204" s="1166" t="s">
        <v>1030</v>
      </c>
      <c r="D204" s="1166" t="s">
        <v>932</v>
      </c>
      <c r="E204" s="577">
        <v>0.76</v>
      </c>
      <c r="F204" s="574">
        <v>0.6845</v>
      </c>
      <c r="G204" s="576">
        <v>100</v>
      </c>
      <c r="H204" s="574">
        <v>0</v>
      </c>
      <c r="I204" s="1164"/>
      <c r="J204" s="575">
        <v>1</v>
      </c>
      <c r="K204" s="574">
        <v>0</v>
      </c>
      <c r="L204" s="574">
        <v>0</v>
      </c>
      <c r="M204" s="1164"/>
      <c r="N204" s="1168"/>
      <c r="O204" s="1164"/>
      <c r="P204" s="1163" t="s">
        <v>881</v>
      </c>
      <c r="Q204" s="1164"/>
      <c r="R204" s="1164"/>
      <c r="S204" s="1164"/>
      <c r="T204" s="1164"/>
      <c r="U204" s="1163" t="s">
        <v>881</v>
      </c>
      <c r="V204" s="1164"/>
      <c r="W204" s="1164"/>
      <c r="X204" s="1164"/>
      <c r="Y204" s="1164"/>
      <c r="Z204" s="573">
        <v>0.76</v>
      </c>
      <c r="AA204" s="572">
        <v>0.76</v>
      </c>
      <c r="AB204" s="572">
        <v>0.76</v>
      </c>
      <c r="AC204" s="572">
        <v>0.76</v>
      </c>
      <c r="AD204" s="572">
        <v>0.76</v>
      </c>
      <c r="AE204" s="572">
        <v>0.76</v>
      </c>
      <c r="AF204" s="572">
        <v>0.76</v>
      </c>
      <c r="AG204" s="1164"/>
      <c r="AH204" s="1163">
        <v>109</v>
      </c>
      <c r="AI204" s="1162"/>
      <c r="AJ204" s="1163" t="s">
        <v>881</v>
      </c>
      <c r="AK204" s="1163" t="s">
        <v>881</v>
      </c>
      <c r="AL204" s="1163" t="s">
        <v>881</v>
      </c>
      <c r="AM204" s="1163" t="s">
        <v>881</v>
      </c>
      <c r="AN204" s="1163" t="s">
        <v>881</v>
      </c>
      <c r="AO204" s="1163" t="s">
        <v>881</v>
      </c>
      <c r="AP204" s="1163" t="s">
        <v>881</v>
      </c>
      <c r="AQ204" s="1163" t="s">
        <v>881</v>
      </c>
      <c r="AR204" s="1163" t="s">
        <v>881</v>
      </c>
      <c r="AS204" s="1170" t="s">
        <v>881</v>
      </c>
      <c r="AT204" s="1170" t="s">
        <v>881</v>
      </c>
      <c r="AU204" s="1170" t="s">
        <v>881</v>
      </c>
      <c r="AV204" s="1170" t="s">
        <v>881</v>
      </c>
      <c r="AW204" s="1170" t="s">
        <v>881</v>
      </c>
      <c r="AX204" s="1170" t="s">
        <v>881</v>
      </c>
      <c r="AY204" s="1170" t="s">
        <v>881</v>
      </c>
      <c r="AZ204" s="1170" t="s">
        <v>881</v>
      </c>
      <c r="BA204" s="1170" t="s">
        <v>881</v>
      </c>
      <c r="BB204" s="1163" t="s">
        <v>881</v>
      </c>
      <c r="BC204" s="1163" t="s">
        <v>881</v>
      </c>
      <c r="BD204" s="1163" t="s">
        <v>881</v>
      </c>
      <c r="BE204" s="1163" t="s">
        <v>881</v>
      </c>
      <c r="BF204" s="1163" t="s">
        <v>881</v>
      </c>
      <c r="BG204" s="1163" t="s">
        <v>881</v>
      </c>
      <c r="BH204" s="1163" t="s">
        <v>881</v>
      </c>
      <c r="BI204" s="1163" t="s">
        <v>881</v>
      </c>
      <c r="BJ204" s="1163" t="s">
        <v>881</v>
      </c>
      <c r="BK204" s="1170" t="s">
        <v>881</v>
      </c>
      <c r="BL204" s="1170" t="s">
        <v>881</v>
      </c>
      <c r="BM204" s="1170" t="s">
        <v>881</v>
      </c>
      <c r="BN204" s="1170" t="s">
        <v>881</v>
      </c>
      <c r="BO204" s="1170" t="s">
        <v>881</v>
      </c>
      <c r="BP204" s="1170" t="s">
        <v>881</v>
      </c>
      <c r="BQ204" s="1170" t="s">
        <v>881</v>
      </c>
      <c r="BR204" s="1170" t="s">
        <v>881</v>
      </c>
      <c r="BS204" s="1170" t="s">
        <v>881</v>
      </c>
      <c r="BT204" s="579"/>
      <c r="BU204" s="579"/>
      <c r="BV204" s="579"/>
      <c r="BW204" s="579"/>
      <c r="BX204" s="579"/>
      <c r="BY204" s="579"/>
      <c r="BZ204" s="579"/>
      <c r="CA204" s="579"/>
      <c r="CB204" s="579"/>
      <c r="CC204" s="578"/>
      <c r="CD204" s="578"/>
      <c r="CE204" s="578"/>
      <c r="CF204" s="578"/>
      <c r="CG204" s="578"/>
      <c r="CH204" s="578"/>
      <c r="CI204" s="578"/>
      <c r="CJ204" s="578"/>
      <c r="CK204" s="578"/>
      <c r="CL204" s="579"/>
      <c r="CM204" s="579"/>
      <c r="CN204" s="579"/>
      <c r="CO204" s="579"/>
      <c r="CP204" s="579"/>
      <c r="CQ204" s="579"/>
      <c r="CR204" s="579"/>
      <c r="CS204" s="579"/>
      <c r="CT204" s="579"/>
      <c r="CU204" s="578"/>
      <c r="CV204" s="578"/>
      <c r="CW204" s="578"/>
      <c r="CX204" s="578"/>
      <c r="CY204" s="578"/>
      <c r="CZ204" s="578"/>
      <c r="DA204" s="578"/>
      <c r="DB204" s="578"/>
      <c r="DC204" s="578"/>
    </row>
    <row r="205" spans="1:107">
      <c r="A205" s="1167" t="s">
        <v>1045</v>
      </c>
      <c r="B205" s="1167"/>
      <c r="C205" s="1166"/>
      <c r="D205" s="1166" t="s">
        <v>124</v>
      </c>
      <c r="E205" s="577"/>
      <c r="F205" s="574">
        <v>0</v>
      </c>
      <c r="G205" s="576"/>
      <c r="H205" s="574"/>
      <c r="I205" s="1164"/>
      <c r="J205" s="575"/>
      <c r="K205" s="574"/>
      <c r="L205" s="574"/>
      <c r="M205" s="1164"/>
      <c r="N205" s="1168"/>
      <c r="O205" s="1164"/>
      <c r="P205" s="1163" t="s">
        <v>881</v>
      </c>
      <c r="Q205" s="1164"/>
      <c r="R205" s="1164"/>
      <c r="S205" s="1164"/>
      <c r="T205" s="1164"/>
      <c r="U205" s="1163" t="s">
        <v>881</v>
      </c>
      <c r="V205" s="1164"/>
      <c r="W205" s="1164"/>
      <c r="X205" s="1164"/>
      <c r="Y205" s="1164"/>
      <c r="Z205" s="1163" t="s">
        <v>881</v>
      </c>
      <c r="AA205" s="1164"/>
      <c r="AB205" s="1164"/>
      <c r="AC205" s="1164"/>
      <c r="AD205" s="1164"/>
      <c r="AE205" s="1164"/>
      <c r="AF205" s="1164"/>
      <c r="AG205" s="1164"/>
      <c r="AH205" s="1163">
        <v>110</v>
      </c>
      <c r="AI205" s="1162" t="str">
        <f>MID(D205,2,2)</f>
        <v/>
      </c>
      <c r="AJ205" s="1163" t="s">
        <v>881</v>
      </c>
      <c r="AK205" s="1163" t="s">
        <v>881</v>
      </c>
      <c r="AL205" s="1163" t="s">
        <v>881</v>
      </c>
      <c r="AM205" s="1163" t="s">
        <v>881</v>
      </c>
      <c r="AN205" s="1163" t="s">
        <v>881</v>
      </c>
      <c r="AO205" s="1163" t="s">
        <v>881</v>
      </c>
      <c r="AP205" s="1163" t="s">
        <v>881</v>
      </c>
      <c r="AQ205" s="1163" t="s">
        <v>881</v>
      </c>
      <c r="AR205" s="1163" t="s">
        <v>881</v>
      </c>
      <c r="AS205" s="1170" t="s">
        <v>881</v>
      </c>
      <c r="AT205" s="1170" t="s">
        <v>881</v>
      </c>
      <c r="AU205" s="1170" t="s">
        <v>881</v>
      </c>
      <c r="AV205" s="1170" t="s">
        <v>881</v>
      </c>
      <c r="AW205" s="1170" t="s">
        <v>881</v>
      </c>
      <c r="AX205" s="1170" t="s">
        <v>881</v>
      </c>
      <c r="AY205" s="1170" t="s">
        <v>881</v>
      </c>
      <c r="AZ205" s="1170" t="s">
        <v>881</v>
      </c>
      <c r="BA205" s="1170" t="s">
        <v>881</v>
      </c>
      <c r="BB205" s="1163" t="s">
        <v>881</v>
      </c>
      <c r="BC205" s="1163" t="s">
        <v>881</v>
      </c>
      <c r="BD205" s="1163" t="s">
        <v>881</v>
      </c>
      <c r="BE205" s="1163" t="s">
        <v>881</v>
      </c>
      <c r="BF205" s="1163" t="s">
        <v>881</v>
      </c>
      <c r="BG205" s="1163" t="s">
        <v>881</v>
      </c>
      <c r="BH205" s="1163" t="s">
        <v>881</v>
      </c>
      <c r="BI205" s="1163" t="s">
        <v>881</v>
      </c>
      <c r="BJ205" s="1163" t="s">
        <v>881</v>
      </c>
      <c r="BK205" s="1170" t="s">
        <v>881</v>
      </c>
      <c r="BL205" s="1170" t="s">
        <v>881</v>
      </c>
      <c r="BM205" s="1170" t="s">
        <v>881</v>
      </c>
      <c r="BN205" s="1170" t="s">
        <v>881</v>
      </c>
      <c r="BO205" s="1170" t="s">
        <v>881</v>
      </c>
      <c r="BP205" s="1170" t="s">
        <v>881</v>
      </c>
      <c r="BQ205" s="1170" t="s">
        <v>881</v>
      </c>
      <c r="BR205" s="1170" t="s">
        <v>881</v>
      </c>
      <c r="BS205" s="1170" t="s">
        <v>881</v>
      </c>
      <c r="BT205" s="587"/>
      <c r="BU205" s="587"/>
      <c r="BV205" s="587"/>
      <c r="BW205" s="587"/>
      <c r="BX205" s="587"/>
      <c r="BY205" s="587"/>
      <c r="BZ205" s="587"/>
      <c r="CA205" s="587"/>
      <c r="CB205" s="587"/>
      <c r="CC205" s="578"/>
      <c r="CD205" s="578"/>
      <c r="CE205" s="578"/>
      <c r="CF205" s="578"/>
      <c r="CG205" s="578"/>
      <c r="CH205" s="578"/>
      <c r="CI205" s="578"/>
      <c r="CJ205" s="578"/>
      <c r="CK205" s="578"/>
      <c r="CL205" s="587"/>
      <c r="CM205" s="587"/>
      <c r="CN205" s="587"/>
      <c r="CO205" s="587"/>
      <c r="CP205" s="587"/>
      <c r="CQ205" s="587"/>
      <c r="CR205" s="587"/>
      <c r="CS205" s="587"/>
      <c r="CT205" s="587"/>
      <c r="CU205" s="586"/>
      <c r="CV205" s="586"/>
      <c r="CW205" s="586"/>
      <c r="CX205" s="586"/>
      <c r="CY205" s="586"/>
      <c r="CZ205" s="586"/>
      <c r="DA205" s="586"/>
      <c r="DB205" s="586"/>
      <c r="DC205" s="586"/>
    </row>
    <row r="206" spans="1:107">
      <c r="A206" s="1167" t="s">
        <v>1112</v>
      </c>
      <c r="B206" s="1167" t="s">
        <v>1111</v>
      </c>
      <c r="C206" s="1166" t="s">
        <v>1042</v>
      </c>
      <c r="D206" s="1166" t="s">
        <v>931</v>
      </c>
      <c r="E206" s="577">
        <v>0.64</v>
      </c>
      <c r="F206" s="574">
        <v>0.56299999999999994</v>
      </c>
      <c r="G206" s="576">
        <v>100</v>
      </c>
      <c r="H206" s="574">
        <v>36.831261101243328</v>
      </c>
      <c r="I206" s="1164"/>
      <c r="J206" s="575">
        <v>1</v>
      </c>
      <c r="K206" s="574">
        <v>32.399999999999991</v>
      </c>
      <c r="L206" s="574">
        <v>20.735999999999994</v>
      </c>
      <c r="M206" s="1164"/>
      <c r="N206" s="1168"/>
      <c r="O206" s="1164"/>
      <c r="P206" s="1160">
        <v>0.74136261909567958</v>
      </c>
      <c r="Q206" s="572">
        <v>0.79136261909567962</v>
      </c>
      <c r="R206" s="572">
        <v>0.99136261909567958</v>
      </c>
      <c r="S206" s="572">
        <v>1</v>
      </c>
      <c r="T206" s="1164"/>
      <c r="U206" s="573">
        <v>0.74136261909567958</v>
      </c>
      <c r="V206" s="572">
        <v>0.44481757145740775</v>
      </c>
      <c r="W206" s="572">
        <v>0.29654504763827183</v>
      </c>
      <c r="X206" s="572">
        <v>0.14827252381913592</v>
      </c>
      <c r="Y206" s="1164"/>
      <c r="Z206" s="573">
        <v>0.64</v>
      </c>
      <c r="AA206" s="572">
        <v>0.64</v>
      </c>
      <c r="AB206" s="572">
        <v>0.64</v>
      </c>
      <c r="AC206" s="572">
        <v>0.64</v>
      </c>
      <c r="AD206" s="572">
        <v>0.64</v>
      </c>
      <c r="AE206" s="572">
        <v>0.64</v>
      </c>
      <c r="AF206" s="572">
        <v>0.64</v>
      </c>
      <c r="AG206" s="1164"/>
      <c r="AH206" s="1163">
        <v>111</v>
      </c>
      <c r="AI206" s="1162" t="str">
        <f t="shared" ref="AI206:AI212" si="26">MID(D206,2,3)&amp;RIGHT(C206,3)</f>
        <v>FBSCOA</v>
      </c>
      <c r="AJ206" s="1160">
        <f t="shared" ref="AJ206:AR206" si="27">MAX(0,1-SUM(AJ207:AJ212))</f>
        <v>0.74136261909567969</v>
      </c>
      <c r="AK206" s="1160">
        <f t="shared" si="27"/>
        <v>0.74136261909567969</v>
      </c>
      <c r="AL206" s="1160">
        <f t="shared" si="27"/>
        <v>0.74136261909567969</v>
      </c>
      <c r="AM206" s="1160">
        <f t="shared" si="27"/>
        <v>0.74136261909567969</v>
      </c>
      <c r="AN206" s="1160">
        <f t="shared" si="27"/>
        <v>0.74136261909567969</v>
      </c>
      <c r="AO206" s="1160">
        <f t="shared" si="27"/>
        <v>0.74136261909567969</v>
      </c>
      <c r="AP206" s="1160">
        <f t="shared" si="27"/>
        <v>0.74136261909567969</v>
      </c>
      <c r="AQ206" s="1160">
        <f t="shared" si="27"/>
        <v>0.74136261909567969</v>
      </c>
      <c r="AR206" s="1160">
        <f t="shared" si="27"/>
        <v>0.74136261909567969</v>
      </c>
      <c r="AS206" s="1159">
        <v>0.74136261909567969</v>
      </c>
      <c r="AT206" s="1159">
        <v>0.74136261909567969</v>
      </c>
      <c r="AU206" s="1159">
        <v>0.74136261909567969</v>
      </c>
      <c r="AV206" s="1159">
        <v>0.74136261909567969</v>
      </c>
      <c r="AW206" s="1159">
        <v>0.74136261909567969</v>
      </c>
      <c r="AX206" s="1159">
        <v>0.74136261909567969</v>
      </c>
      <c r="AY206" s="1159">
        <v>0.74136261909567969</v>
      </c>
      <c r="AZ206" s="1159">
        <v>0.74136261909567969</v>
      </c>
      <c r="BA206" s="1159">
        <v>0.74136261909567969</v>
      </c>
      <c r="BB206" s="1160">
        <v>0.74136261909567969</v>
      </c>
      <c r="BC206" s="1160">
        <v>0.74136261909567969</v>
      </c>
      <c r="BD206" s="1160">
        <v>0.74136261909567969</v>
      </c>
      <c r="BE206" s="1160">
        <v>0.74136261909567969</v>
      </c>
      <c r="BF206" s="1160">
        <v>0.74136261909567969</v>
      </c>
      <c r="BG206" s="1160">
        <v>0.74136261909567969</v>
      </c>
      <c r="BH206" s="1160">
        <v>0.74136261909567969</v>
      </c>
      <c r="BI206" s="1160">
        <v>0.74136261909567969</v>
      </c>
      <c r="BJ206" s="1160">
        <v>0.74136261909567969</v>
      </c>
      <c r="BK206" s="1159">
        <v>0.74136261909567969</v>
      </c>
      <c r="BL206" s="1159">
        <v>0.74136261909567969</v>
      </c>
      <c r="BM206" s="1159">
        <v>0.74136261909567969</v>
      </c>
      <c r="BN206" s="1159">
        <v>0.74136261909567969</v>
      </c>
      <c r="BO206" s="1159">
        <v>0.74136261909567969</v>
      </c>
      <c r="BP206" s="1159">
        <v>0.74136261909567969</v>
      </c>
      <c r="BQ206" s="1159">
        <v>0.74136261909567969</v>
      </c>
      <c r="BR206" s="1159">
        <v>0.74136261909567969</v>
      </c>
      <c r="BS206" s="1159">
        <v>0.74136261909567969</v>
      </c>
      <c r="BT206" s="579">
        <f t="array" ref="BT206">$Z206  * (1 + SUM( ($AU$80:$AU$83=BT$93) * ($BH$79:$BP$79=BT$94) * ($BH$80:$BP$83) ))</f>
        <v>0.64022400510231114</v>
      </c>
      <c r="BU206" s="579">
        <f t="array" ref="BU206">$Z206  * (1 + SUM( ($AU$80:$AU$83=BU$93) * ($BH$79:$BP$79=BU$94) * ($BH$80:$BP$83) ))</f>
        <v>0.64069135279104783</v>
      </c>
      <c r="BV206" s="579">
        <f t="array" ref="BV206">$Z206  * (1 + SUM( ($AU$80:$AU$83=BV$93) * ($BH$79:$BP$79=BV$94) * ($BH$80:$BP$83) ))</f>
        <v>0.64144256593763005</v>
      </c>
      <c r="BW206" s="579">
        <f t="array" ref="BW206">$Z206  * (1 + SUM( ($AU$80:$AU$83=BW$93) * ($BH$79:$BP$79=BW$94) * ($BH$80:$BP$83) ))</f>
        <v>0.64248678290760342</v>
      </c>
      <c r="BX206" s="579">
        <f t="array" ref="BX206">$Z206  * (1 + SUM( ($AU$80:$AU$83=BX$93) * ($BH$79:$BP$79=BX$94) * ($BH$80:$BP$83) ))</f>
        <v>0.64367912468360744</v>
      </c>
      <c r="BY206" s="579">
        <f t="array" ref="BY206">$Z206  * (1 + SUM( ($AU$80:$AU$83=BY$93) * ($BH$79:$BP$79=BY$94) * ($BH$80:$BP$83) ))</f>
        <v>0.64476988832074622</v>
      </c>
      <c r="BZ206" s="579">
        <f t="array" ref="BZ206">$Z206  * (1 + SUM( ($AU$80:$AU$83=BZ$93) * ($BH$79:$BP$79=BZ$94) * ($BH$80:$BP$83) ))</f>
        <v>0.64558309357480281</v>
      </c>
      <c r="CA206" s="579">
        <f t="array" ref="CA206">$Z206  * (1 + SUM( ($AU$80:$AU$83=CA$93) * ($BH$79:$BP$79=CA$94) * ($BH$80:$BP$83) ))</f>
        <v>0.6461016007575977</v>
      </c>
      <c r="CB206" s="579">
        <f t="array" ref="CB206">$Z206  * (1 + SUM( ($AU$80:$AU$83=CB$93) * ($BH$79:$BP$79=CB$94) * ($BH$80:$BP$83) ))</f>
        <v>0.64639999999999997</v>
      </c>
      <c r="CC206" s="578">
        <f t="array" ref="CC206">$Z206  * (1 + SUM( ($AU$80:$AU$83=CC$93) * ($BH$79:$BP$79=CC$94) * ($BH$80:$BP$83) ))</f>
        <v>0.6433600765346662</v>
      </c>
      <c r="CD206" s="578">
        <f t="array" ref="CD206">$Z206  * (1 + SUM( ($AU$80:$AU$83=CD$93) * ($BH$79:$BP$79=CD$94) * ($BH$80:$BP$83) ))</f>
        <v>0.65037029186571771</v>
      </c>
      <c r="CE206" s="578">
        <f t="array" ref="CE206">$Z206  * (1 + SUM( ($AU$80:$AU$83=CE$93) * ($BH$79:$BP$79=CE$94) * ($BH$80:$BP$83) ))</f>
        <v>0.66163848906445089</v>
      </c>
      <c r="CF206" s="578">
        <f t="array" ref="CF206">$Z206  * (1 + SUM( ($AU$80:$AU$83=CF$93) * ($BH$79:$BP$79=CF$94) * ($BH$80:$BP$83) ))</f>
        <v>0.67730174361405104</v>
      </c>
      <c r="CG206" s="578">
        <f t="array" ref="CG206">$Z206  * (1 + SUM( ($AU$80:$AU$83=CG$93) * ($BH$79:$BP$79=CG$94) * ($BH$80:$BP$83) ))</f>
        <v>0.69518687025411108</v>
      </c>
      <c r="CH206" s="578">
        <f t="array" ref="CH206">$Z206  * (1 + SUM( ($AU$80:$AU$83=CH$93) * ($BH$79:$BP$79=CH$94) * ($BH$80:$BP$83) ))</f>
        <v>0.7115483248111929</v>
      </c>
      <c r="CI206" s="578">
        <f t="array" ref="CI206">$Z206  * (1 + SUM( ($AU$80:$AU$83=CI$93) * ($BH$79:$BP$79=CI$94) * ($BH$80:$BP$83) ))</f>
        <v>0.72374640362204334</v>
      </c>
      <c r="CJ206" s="578">
        <f t="array" ref="CJ206">$Z206  * (1 + SUM( ($AU$80:$AU$83=CJ$93) * ($BH$79:$BP$79=CJ$94) * ($BH$80:$BP$83) ))</f>
        <v>0.73152401136396494</v>
      </c>
      <c r="CK206" s="578">
        <f t="array" ref="CK206">$Z206  * (1 + SUM( ($AU$80:$AU$83=CK$93) * ($BH$79:$BP$79=CK$94) * ($BH$80:$BP$83) ))</f>
        <v>0.73599999999999999</v>
      </c>
      <c r="CL206" s="579">
        <f t="array" ref="CL206">$Z206  * (1 + SUM( ($AU$80:$AU$83=CL$93) * ($BH$79:$BP$79=CL$94) * ($BH$80:$BP$83) ))</f>
        <v>0.6467201530693325</v>
      </c>
      <c r="CM206" s="579">
        <f t="array" ref="CM206">$Z206  * (1 + SUM( ($AU$80:$AU$83=CM$93) * ($BH$79:$BP$79=CM$94) * ($BH$80:$BP$83) ))</f>
        <v>0.66074058373143563</v>
      </c>
      <c r="CN206" s="579">
        <f t="array" ref="CN206">$Z206  * (1 + SUM( ($AU$80:$AU$83=CN$93) * ($BH$79:$BP$79=CN$94) * ($BH$80:$BP$83) ))</f>
        <v>0.68327697812890165</v>
      </c>
      <c r="CO206" s="579">
        <f t="array" ref="CO206">$Z206  * (1 + SUM( ($AU$80:$AU$83=CO$93) * ($BH$79:$BP$79=CO$94) * ($BH$80:$BP$83) ))</f>
        <v>0.71460348722810196</v>
      </c>
      <c r="CP206" s="579">
        <f t="array" ref="CP206">$Z206  * (1 + SUM( ($AU$80:$AU$83=CP$93) * ($BH$79:$BP$79=CP$94) * ($BH$80:$BP$83) ))</f>
        <v>0.75037374050822236</v>
      </c>
      <c r="CQ206" s="579">
        <f t="array" ref="CQ206">$Z206  * (1 + SUM( ($AU$80:$AU$83=CQ$93) * ($BH$79:$BP$79=CQ$94) * ($BH$80:$BP$83) ))</f>
        <v>0.78309664962238568</v>
      </c>
      <c r="CR206" s="579">
        <f t="array" ref="CR206">$Z206  * (1 + SUM( ($AU$80:$AU$83=CR$93) * ($BH$79:$BP$79=CR$94) * ($BH$80:$BP$83) ))</f>
        <v>0.80749280724408679</v>
      </c>
      <c r="CS206" s="579">
        <f t="array" ref="CS206">$Z206  * (1 + SUM( ($AU$80:$AU$83=CS$93) * ($BH$79:$BP$79=CS$94) * ($BH$80:$BP$83) ))</f>
        <v>0.82304802272792987</v>
      </c>
      <c r="CT206" s="579">
        <f t="array" ref="CT206">$Z206  * (1 + SUM( ($AU$80:$AU$83=CT$93) * ($BH$79:$BP$79=CT$94) * ($BH$80:$BP$83) ))</f>
        <v>0.83200000000000007</v>
      </c>
      <c r="CU206" s="578">
        <f t="array" ref="CU206">$Z206  * (1 + SUM( ($AU$80:$AU$83=CU$93) * ($BH$79:$BP$79=CU$94) * ($BH$80:$BP$83) ))</f>
        <v>0.64896020409244326</v>
      </c>
      <c r="CV206" s="578">
        <f t="array" ref="CV206">$Z206  * (1 + SUM( ($AU$80:$AU$83=CV$93) * ($BH$79:$BP$79=CV$94) * ($BH$80:$BP$83) ))</f>
        <v>0.66765411164191402</v>
      </c>
      <c r="CW206" s="578">
        <f t="array" ref="CW206">$Z206  * (1 + SUM( ($AU$80:$AU$83=CW$93) * ($BH$79:$BP$79=CW$94) * ($BH$80:$BP$83) ))</f>
        <v>0.69770263750520212</v>
      </c>
      <c r="CX206" s="578">
        <f t="array" ref="CX206">$Z206  * (1 + SUM( ($AU$80:$AU$83=CX$93) * ($BH$79:$BP$79=CX$94) * ($BH$80:$BP$83) ))</f>
        <v>0.73947131630413609</v>
      </c>
      <c r="CY206" s="578">
        <f t="array" ref="CY206">$Z206  * (1 + SUM( ($AU$80:$AU$83=CY$93) * ($BH$79:$BP$79=CY$94) * ($BH$80:$BP$83) ))</f>
        <v>0.78716498734429652</v>
      </c>
      <c r="CZ206" s="578">
        <f t="array" ref="CZ206">$Z206  * (1 + SUM( ($AU$80:$AU$83=CZ$93) * ($BH$79:$BP$79=CZ$94) * ($BH$80:$BP$83) ))</f>
        <v>0.83079553282984764</v>
      </c>
      <c r="DA206" s="578">
        <f t="array" ref="DA206">$Z206  * (1 + SUM( ($AU$80:$AU$83=DA$93) * ($BH$79:$BP$79=DA$94) * ($BH$80:$BP$83) ))</f>
        <v>0.86332374299211578</v>
      </c>
      <c r="DB206" s="578">
        <f t="array" ref="DB206">$Z206  * (1 + SUM( ($AU$80:$AU$83=DB$93) * ($BH$79:$BP$79=DB$94) * ($BH$80:$BP$83) ))</f>
        <v>0.88406403030390646</v>
      </c>
      <c r="DC206" s="578">
        <f t="array" ref="DC206">$Z206  * (1 + SUM( ($AU$80:$AU$83=DC$93) * ($BH$79:$BP$79=DC$94) * ($BH$80:$BP$83) ))</f>
        <v>0.89599999999999991</v>
      </c>
    </row>
    <row r="207" spans="1:107">
      <c r="A207" s="1167" t="s">
        <v>1110</v>
      </c>
      <c r="B207" s="1167" t="s">
        <v>1109</v>
      </c>
      <c r="C207" s="1166" t="s">
        <v>1039</v>
      </c>
      <c r="D207" s="1166" t="s">
        <v>931</v>
      </c>
      <c r="E207" s="577">
        <v>0.72</v>
      </c>
      <c r="F207" s="574">
        <v>0.56299999999999994</v>
      </c>
      <c r="G207" s="576">
        <v>100</v>
      </c>
      <c r="H207" s="574">
        <v>1.7861882770870341</v>
      </c>
      <c r="I207" s="1164"/>
      <c r="J207" s="575">
        <v>1</v>
      </c>
      <c r="K207" s="574">
        <v>1.3967000000000001</v>
      </c>
      <c r="L207" s="574">
        <v>1.0056240000000001</v>
      </c>
      <c r="M207" s="1164"/>
      <c r="N207" s="1168"/>
      <c r="O207" s="1164"/>
      <c r="P207" s="1160">
        <v>3.5953512850379725E-2</v>
      </c>
      <c r="Q207" s="572">
        <v>8.5953512850379721E-2</v>
      </c>
      <c r="R207" s="572">
        <v>0.28595351285037973</v>
      </c>
      <c r="S207" s="572">
        <v>0.53595351285037973</v>
      </c>
      <c r="T207" s="1164"/>
      <c r="U207" s="573">
        <v>3.5953512850379725E-2</v>
      </c>
      <c r="V207" s="1169">
        <v>3.5953512850379725E-2</v>
      </c>
      <c r="W207" s="1169">
        <v>3.5953512850379725E-2</v>
      </c>
      <c r="X207" s="1169">
        <v>3.5953512850379725E-2</v>
      </c>
      <c r="Y207" s="1164"/>
      <c r="Z207" s="573">
        <v>0.72</v>
      </c>
      <c r="AA207" s="572">
        <v>0.72</v>
      </c>
      <c r="AB207" s="572">
        <v>0.72</v>
      </c>
      <c r="AC207" s="572">
        <v>0.72</v>
      </c>
      <c r="AD207" s="572">
        <v>0.72</v>
      </c>
      <c r="AE207" s="572">
        <v>0.72</v>
      </c>
      <c r="AF207" s="572">
        <v>0.72</v>
      </c>
      <c r="AG207" s="1164"/>
      <c r="AH207" s="1163">
        <v>112</v>
      </c>
      <c r="AI207" s="1162" t="str">
        <f t="shared" si="26"/>
        <v>FBSGAS</v>
      </c>
      <c r="AJ207" s="1160">
        <v>3.5953512850379725E-2</v>
      </c>
      <c r="AK207" s="1160">
        <v>3.5953512850379725E-2</v>
      </c>
      <c r="AL207" s="1160">
        <v>3.5953512850379725E-2</v>
      </c>
      <c r="AM207" s="1160">
        <v>3.5953512850379725E-2</v>
      </c>
      <c r="AN207" s="1160">
        <v>3.5953512850379725E-2</v>
      </c>
      <c r="AO207" s="1160">
        <v>3.5953512850379725E-2</v>
      </c>
      <c r="AP207" s="1160">
        <v>3.5953512850379725E-2</v>
      </c>
      <c r="AQ207" s="1160">
        <v>3.5953512850379725E-2</v>
      </c>
      <c r="AR207" s="1160">
        <v>3.5953512850379725E-2</v>
      </c>
      <c r="AS207" s="1159">
        <v>3.5953512850379725E-2</v>
      </c>
      <c r="AT207" s="1159">
        <v>3.5953512850379725E-2</v>
      </c>
      <c r="AU207" s="1159">
        <v>3.5953512850379725E-2</v>
      </c>
      <c r="AV207" s="1159">
        <v>3.5953512850379725E-2</v>
      </c>
      <c r="AW207" s="1159">
        <v>3.5953512850379725E-2</v>
      </c>
      <c r="AX207" s="1159">
        <v>3.5953512850379725E-2</v>
      </c>
      <c r="AY207" s="1159">
        <v>3.5953512850379725E-2</v>
      </c>
      <c r="AZ207" s="1159">
        <v>3.5953512850379725E-2</v>
      </c>
      <c r="BA207" s="1159">
        <v>3.5953512850379725E-2</v>
      </c>
      <c r="BB207" s="1160">
        <v>3.5953512850379725E-2</v>
      </c>
      <c r="BC207" s="1160">
        <v>3.5953512850379725E-2</v>
      </c>
      <c r="BD207" s="1160">
        <v>3.5953512850379725E-2</v>
      </c>
      <c r="BE207" s="1160">
        <v>3.5953512850379725E-2</v>
      </c>
      <c r="BF207" s="1160">
        <v>3.5953512850379725E-2</v>
      </c>
      <c r="BG207" s="1160">
        <v>3.5953512850379725E-2</v>
      </c>
      <c r="BH207" s="1160">
        <v>3.5953512850379725E-2</v>
      </c>
      <c r="BI207" s="1160">
        <v>3.5953512850379725E-2</v>
      </c>
      <c r="BJ207" s="1160">
        <v>3.5953512850379725E-2</v>
      </c>
      <c r="BK207" s="1159">
        <v>3.5953512850379725E-2</v>
      </c>
      <c r="BL207" s="1159">
        <v>3.5953512850379725E-2</v>
      </c>
      <c r="BM207" s="1159">
        <v>3.5953512850379725E-2</v>
      </c>
      <c r="BN207" s="1159">
        <v>3.5953512850379725E-2</v>
      </c>
      <c r="BO207" s="1159">
        <v>3.5953512850379725E-2</v>
      </c>
      <c r="BP207" s="1159">
        <v>3.5953512850379725E-2</v>
      </c>
      <c r="BQ207" s="1159">
        <v>3.5953512850379725E-2</v>
      </c>
      <c r="BR207" s="1159">
        <v>3.5953512850379725E-2</v>
      </c>
      <c r="BS207" s="1159">
        <v>3.5953512850379725E-2</v>
      </c>
      <c r="BT207" s="579">
        <f t="array" ref="BT207">$Z207  * (1 + SUM( ($AU$80:$AU$83=BT$93) * ($BH$79:$BP$79=BT$94) * ($BH$80:$BP$83) ))</f>
        <v>0.72025200574009995</v>
      </c>
      <c r="BU207" s="579">
        <f t="array" ref="BU207">$Z207  * (1 + SUM( ($AU$80:$AU$83=BU$93) * ($BH$79:$BP$79=BU$94) * ($BH$80:$BP$83) ))</f>
        <v>0.72077777188992875</v>
      </c>
      <c r="BV207" s="579">
        <f t="array" ref="BV207">$Z207  * (1 + SUM( ($AU$80:$AU$83=BV$93) * ($BH$79:$BP$79=BV$94) * ($BH$80:$BP$83) ))</f>
        <v>0.72162288667983376</v>
      </c>
      <c r="BW207" s="579">
        <f t="array" ref="BW207">$Z207  * (1 + SUM( ($AU$80:$AU$83=BW$93) * ($BH$79:$BP$79=BW$94) * ($BH$80:$BP$83) ))</f>
        <v>0.72279763077105375</v>
      </c>
      <c r="BX207" s="579">
        <f t="array" ref="BX207">$Z207  * (1 + SUM( ($AU$80:$AU$83=BX$93) * ($BH$79:$BP$79=BX$94) * ($BH$80:$BP$83) ))</f>
        <v>0.72413901526905833</v>
      </c>
      <c r="BY207" s="579">
        <f t="array" ref="BY207">$Z207  * (1 + SUM( ($AU$80:$AU$83=BY$93) * ($BH$79:$BP$79=BY$94) * ($BH$80:$BP$83) ))</f>
        <v>0.72536612436083947</v>
      </c>
      <c r="BZ207" s="579">
        <f t="array" ref="BZ207">$Z207  * (1 + SUM( ($AU$80:$AU$83=BZ$93) * ($BH$79:$BP$79=BZ$94) * ($BH$80:$BP$83) ))</f>
        <v>0.72628098027165311</v>
      </c>
      <c r="CA207" s="579">
        <f t="array" ref="CA207">$Z207  * (1 + SUM( ($AU$80:$AU$83=CA$93) * ($BH$79:$BP$79=CA$94) * ($BH$80:$BP$83) ))</f>
        <v>0.72686430085229736</v>
      </c>
      <c r="CB207" s="579">
        <f t="array" ref="CB207">$Z207  * (1 + SUM( ($AU$80:$AU$83=CB$93) * ($BH$79:$BP$79=CB$94) * ($BH$80:$BP$83) ))</f>
        <v>0.72719999999999996</v>
      </c>
      <c r="CC207" s="578">
        <f t="array" ref="CC207">$Z207  * (1 + SUM( ($AU$80:$AU$83=CC$93) * ($BH$79:$BP$79=CC$94) * ($BH$80:$BP$83) ))</f>
        <v>0.72378008610149946</v>
      </c>
      <c r="CD207" s="578">
        <f t="array" ref="CD207">$Z207  * (1 + SUM( ($AU$80:$AU$83=CD$93) * ($BH$79:$BP$79=CD$94) * ($BH$80:$BP$83) ))</f>
        <v>0.73166657834893245</v>
      </c>
      <c r="CE207" s="578">
        <f t="array" ref="CE207">$Z207  * (1 + SUM( ($AU$80:$AU$83=CE$93) * ($BH$79:$BP$79=CE$94) * ($BH$80:$BP$83) ))</f>
        <v>0.74434330019750716</v>
      </c>
      <c r="CF207" s="578">
        <f t="array" ref="CF207">$Z207  * (1 + SUM( ($AU$80:$AU$83=CF$93) * ($BH$79:$BP$79=CF$94) * ($BH$80:$BP$83) ))</f>
        <v>0.76196446156580744</v>
      </c>
      <c r="CG207" s="578">
        <f t="array" ref="CG207">$Z207  * (1 + SUM( ($AU$80:$AU$83=CG$93) * ($BH$79:$BP$79=CG$94) * ($BH$80:$BP$83) ))</f>
        <v>0.78208522903587496</v>
      </c>
      <c r="CH207" s="578">
        <f t="array" ref="CH207">$Z207  * (1 + SUM( ($AU$80:$AU$83=CH$93) * ($BH$79:$BP$79=CH$94) * ($BH$80:$BP$83) ))</f>
        <v>0.80049186541259199</v>
      </c>
      <c r="CI207" s="578">
        <f t="array" ref="CI207">$Z207  * (1 + SUM( ($AU$80:$AU$83=CI$93) * ($BH$79:$BP$79=CI$94) * ($BH$80:$BP$83) ))</f>
        <v>0.81421470407479868</v>
      </c>
      <c r="CJ207" s="578">
        <f t="array" ref="CJ207">$Z207  * (1 + SUM( ($AU$80:$AU$83=CJ$93) * ($BH$79:$BP$79=CJ$94) * ($BH$80:$BP$83) ))</f>
        <v>0.82296451278446048</v>
      </c>
      <c r="CK207" s="578">
        <f t="array" ref="CK207">$Z207  * (1 + SUM( ($AU$80:$AU$83=CK$93) * ($BH$79:$BP$79=CK$94) * ($BH$80:$BP$83) ))</f>
        <v>0.82799999999999996</v>
      </c>
      <c r="CL207" s="579">
        <f t="array" ref="CL207">$Z207  * (1 + SUM( ($AU$80:$AU$83=CL$93) * ($BH$79:$BP$79=CL$94) * ($BH$80:$BP$83) ))</f>
        <v>0.72756017220299896</v>
      </c>
      <c r="CM207" s="579">
        <f t="array" ref="CM207">$Z207  * (1 + SUM( ($AU$80:$AU$83=CM$93) * ($BH$79:$BP$79=CM$94) * ($BH$80:$BP$83) ))</f>
        <v>0.74333315669786504</v>
      </c>
      <c r="CN207" s="579">
        <f t="array" ref="CN207">$Z207  * (1 + SUM( ($AU$80:$AU$83=CN$93) * ($BH$79:$BP$79=CN$94) * ($BH$80:$BP$83) ))</f>
        <v>0.76868660039501435</v>
      </c>
      <c r="CO207" s="579">
        <f t="array" ref="CO207">$Z207  * (1 + SUM( ($AU$80:$AU$83=CO$93) * ($BH$79:$BP$79=CO$94) * ($BH$80:$BP$83) ))</f>
        <v>0.80392892313161468</v>
      </c>
      <c r="CP207" s="579">
        <f t="array" ref="CP207">$Z207  * (1 + SUM( ($AU$80:$AU$83=CP$93) * ($BH$79:$BP$79=CP$94) * ($BH$80:$BP$83) ))</f>
        <v>0.84417045807175017</v>
      </c>
      <c r="CQ207" s="579">
        <f t="array" ref="CQ207">$Z207  * (1 + SUM( ($AU$80:$AU$83=CQ$93) * ($BH$79:$BP$79=CQ$94) * ($BH$80:$BP$83) ))</f>
        <v>0.88098373082518389</v>
      </c>
      <c r="CR207" s="579">
        <f t="array" ref="CR207">$Z207  * (1 + SUM( ($AU$80:$AU$83=CR$93) * ($BH$79:$BP$79=CR$94) * ($BH$80:$BP$83) ))</f>
        <v>0.90842940814959761</v>
      </c>
      <c r="CS207" s="579">
        <f t="array" ref="CS207">$Z207  * (1 + SUM( ($AU$80:$AU$83=CS$93) * ($BH$79:$BP$79=CS$94) * ($BH$80:$BP$83) ))</f>
        <v>0.92592902556892098</v>
      </c>
      <c r="CT207" s="579">
        <f t="array" ref="CT207">$Z207  * (1 + SUM( ($AU$80:$AU$83=CT$93) * ($BH$79:$BP$79=CT$94) * ($BH$80:$BP$83) ))</f>
        <v>0.93599999999999994</v>
      </c>
      <c r="CU207" s="578">
        <f t="array" ref="CU207">$Z207  * (1 + SUM( ($AU$80:$AU$83=CU$93) * ($BH$79:$BP$79=CU$94) * ($BH$80:$BP$83) ))</f>
        <v>0.73008022960399865</v>
      </c>
      <c r="CV207" s="578">
        <f t="array" ref="CV207">$Z207  * (1 + SUM( ($AU$80:$AU$83=CV$93) * ($BH$79:$BP$79=CV$94) * ($BH$80:$BP$83) ))</f>
        <v>0.75111087559715328</v>
      </c>
      <c r="CW207" s="578">
        <f t="array" ref="CW207">$Z207  * (1 + SUM( ($AU$80:$AU$83=CW$93) * ($BH$79:$BP$79=CW$94) * ($BH$80:$BP$83) ))</f>
        <v>0.78491546719335237</v>
      </c>
      <c r="CX207" s="578">
        <f t="array" ref="CX207">$Z207  * (1 + SUM( ($AU$80:$AU$83=CX$93) * ($BH$79:$BP$79=CX$94) * ($BH$80:$BP$83) ))</f>
        <v>0.83190523084215307</v>
      </c>
      <c r="CY207" s="578">
        <f t="array" ref="CY207">$Z207  * (1 + SUM( ($AU$80:$AU$83=CY$93) * ($BH$79:$BP$79=CY$94) * ($BH$80:$BP$83) ))</f>
        <v>0.8855606107623335</v>
      </c>
      <c r="CZ207" s="578">
        <f t="array" ref="CZ207">$Z207  * (1 + SUM( ($AU$80:$AU$83=CZ$93) * ($BH$79:$BP$79=CZ$94) * ($BH$80:$BP$83) ))</f>
        <v>0.93464497443357852</v>
      </c>
      <c r="DA207" s="578">
        <f t="array" ref="DA207">$Z207  * (1 + SUM( ($AU$80:$AU$83=DA$93) * ($BH$79:$BP$79=DA$94) * ($BH$80:$BP$83) ))</f>
        <v>0.97123921086613019</v>
      </c>
      <c r="DB207" s="578">
        <f t="array" ref="DB207">$Z207  * (1 + SUM( ($AU$80:$AU$83=DB$93) * ($BH$79:$BP$79=DB$94) * ($BH$80:$BP$83) ))</f>
        <v>0.99457203409189476</v>
      </c>
      <c r="DC207" s="578">
        <f t="array" ref="DC207">$Z207  * (1 + SUM( ($AU$80:$AU$83=DC$93) * ($BH$79:$BP$79=DC$94) * ($BH$80:$BP$83) ))</f>
        <v>1.008</v>
      </c>
    </row>
    <row r="208" spans="1:107">
      <c r="A208" s="1167" t="s">
        <v>1108</v>
      </c>
      <c r="B208" s="1167" t="s">
        <v>1107</v>
      </c>
      <c r="C208" s="1166" t="s">
        <v>1036</v>
      </c>
      <c r="D208" s="1166" t="s">
        <v>931</v>
      </c>
      <c r="E208" s="577">
        <v>0.68</v>
      </c>
      <c r="F208" s="574">
        <v>0.56299999999999994</v>
      </c>
      <c r="G208" s="576">
        <v>100</v>
      </c>
      <c r="H208" s="574">
        <v>0</v>
      </c>
      <c r="I208" s="1164"/>
      <c r="J208" s="575">
        <v>1</v>
      </c>
      <c r="K208" s="574">
        <v>0</v>
      </c>
      <c r="L208" s="574">
        <v>0</v>
      </c>
      <c r="M208" s="1164"/>
      <c r="N208" s="1168"/>
      <c r="O208" s="1164"/>
      <c r="P208" s="1160">
        <v>0</v>
      </c>
      <c r="Q208" s="572">
        <v>0.05</v>
      </c>
      <c r="R208" s="572">
        <v>0.25</v>
      </c>
      <c r="S208" s="572">
        <v>0.5</v>
      </c>
      <c r="T208" s="1164"/>
      <c r="U208" s="573">
        <v>0</v>
      </c>
      <c r="V208" s="572">
        <v>0</v>
      </c>
      <c r="W208" s="572">
        <v>0</v>
      </c>
      <c r="X208" s="572">
        <v>0</v>
      </c>
      <c r="Y208" s="1164"/>
      <c r="Z208" s="573">
        <v>0.68</v>
      </c>
      <c r="AA208" s="572">
        <v>0.68</v>
      </c>
      <c r="AB208" s="572">
        <v>0.68</v>
      </c>
      <c r="AC208" s="572">
        <v>0.68</v>
      </c>
      <c r="AD208" s="572">
        <v>0.68</v>
      </c>
      <c r="AE208" s="572">
        <v>0.68</v>
      </c>
      <c r="AF208" s="572">
        <v>0.68</v>
      </c>
      <c r="AG208" s="1164"/>
      <c r="AH208" s="1163">
        <v>113</v>
      </c>
      <c r="AI208" s="1162" t="str">
        <f t="shared" si="26"/>
        <v>FBSOHF</v>
      </c>
      <c r="AJ208" s="1160">
        <v>0</v>
      </c>
      <c r="AK208" s="1160">
        <v>0</v>
      </c>
      <c r="AL208" s="1160">
        <v>0</v>
      </c>
      <c r="AM208" s="1160">
        <v>0</v>
      </c>
      <c r="AN208" s="1160">
        <v>0</v>
      </c>
      <c r="AO208" s="1160">
        <v>0</v>
      </c>
      <c r="AP208" s="1160">
        <v>0</v>
      </c>
      <c r="AQ208" s="1160">
        <v>0</v>
      </c>
      <c r="AR208" s="1160">
        <v>0</v>
      </c>
      <c r="AS208" s="1159">
        <v>0</v>
      </c>
      <c r="AT208" s="1159">
        <v>0</v>
      </c>
      <c r="AU208" s="1159">
        <v>0</v>
      </c>
      <c r="AV208" s="1159">
        <v>0</v>
      </c>
      <c r="AW208" s="1159">
        <v>0</v>
      </c>
      <c r="AX208" s="1159">
        <v>0</v>
      </c>
      <c r="AY208" s="1159">
        <v>0</v>
      </c>
      <c r="AZ208" s="1159">
        <v>0</v>
      </c>
      <c r="BA208" s="1159">
        <v>0</v>
      </c>
      <c r="BB208" s="1160">
        <v>0</v>
      </c>
      <c r="BC208" s="1160">
        <v>0</v>
      </c>
      <c r="BD208" s="1160">
        <v>0</v>
      </c>
      <c r="BE208" s="1160">
        <v>0</v>
      </c>
      <c r="BF208" s="1160">
        <v>0</v>
      </c>
      <c r="BG208" s="1160">
        <v>0</v>
      </c>
      <c r="BH208" s="1160">
        <v>0</v>
      </c>
      <c r="BI208" s="1160">
        <v>0</v>
      </c>
      <c r="BJ208" s="1160">
        <v>0</v>
      </c>
      <c r="BK208" s="1159">
        <v>0</v>
      </c>
      <c r="BL208" s="1159">
        <v>0</v>
      </c>
      <c r="BM208" s="1159">
        <v>0</v>
      </c>
      <c r="BN208" s="1159">
        <v>0</v>
      </c>
      <c r="BO208" s="1159">
        <v>0</v>
      </c>
      <c r="BP208" s="1159">
        <v>0</v>
      </c>
      <c r="BQ208" s="1159">
        <v>0</v>
      </c>
      <c r="BR208" s="1159">
        <v>0</v>
      </c>
      <c r="BS208" s="1159">
        <v>0</v>
      </c>
      <c r="BT208" s="579">
        <f t="array" ref="BT208">$Z208  * (1 + SUM( ($AU$80:$AU$83=BT$93) * ($BH$79:$BP$79=BT$94) * ($BH$80:$BP$83) ))</f>
        <v>0.6802380054212056</v>
      </c>
      <c r="BU208" s="579">
        <f t="array" ref="BU208">$Z208  * (1 + SUM( ($AU$80:$AU$83=BU$93) * ($BH$79:$BP$79=BU$94) * ($BH$80:$BP$83) ))</f>
        <v>0.68073456234048835</v>
      </c>
      <c r="BV208" s="579">
        <f t="array" ref="BV208">$Z208  * (1 + SUM( ($AU$80:$AU$83=BV$93) * ($BH$79:$BP$79=BV$94) * ($BH$80:$BP$83) ))</f>
        <v>0.68153272630873196</v>
      </c>
      <c r="BW208" s="579">
        <f t="array" ref="BW208">$Z208  * (1 + SUM( ($AU$80:$AU$83=BW$93) * ($BH$79:$BP$79=BW$94) * ($BH$80:$BP$83) ))</f>
        <v>0.68264220683932864</v>
      </c>
      <c r="BX208" s="579">
        <f t="array" ref="BX208">$Z208  * (1 + SUM( ($AU$80:$AU$83=BX$93) * ($BH$79:$BP$79=BX$94) * ($BH$80:$BP$83) ))</f>
        <v>0.68390906997633294</v>
      </c>
      <c r="BY208" s="579">
        <f t="array" ref="BY208">$Z208  * (1 + SUM( ($AU$80:$AU$83=BY$93) * ($BH$79:$BP$79=BY$94) * ($BH$80:$BP$83) ))</f>
        <v>0.6850680063407929</v>
      </c>
      <c r="BZ208" s="579">
        <f t="array" ref="BZ208">$Z208  * (1 + SUM( ($AU$80:$AU$83=BZ$93) * ($BH$79:$BP$79=BZ$94) * ($BH$80:$BP$83) ))</f>
        <v>0.68593203692322802</v>
      </c>
      <c r="CA208" s="579">
        <f t="array" ref="CA208">$Z208  * (1 + SUM( ($AU$80:$AU$83=CA$93) * ($BH$79:$BP$79=CA$94) * ($BH$80:$BP$83) ))</f>
        <v>0.68648295080494759</v>
      </c>
      <c r="CB208" s="579">
        <f t="array" ref="CB208">$Z208  * (1 + SUM( ($AU$80:$AU$83=CB$93) * ($BH$79:$BP$79=CB$94) * ($BH$80:$BP$83) ))</f>
        <v>0.68680000000000008</v>
      </c>
      <c r="CC208" s="578">
        <f t="array" ref="CC208">$Z208  * (1 + SUM( ($AU$80:$AU$83=CC$93) * ($BH$79:$BP$79=CC$94) * ($BH$80:$BP$83) ))</f>
        <v>0.68357008131808294</v>
      </c>
      <c r="CD208" s="578">
        <f t="array" ref="CD208">$Z208  * (1 + SUM( ($AU$80:$AU$83=CD$93) * ($BH$79:$BP$79=CD$94) * ($BH$80:$BP$83) ))</f>
        <v>0.69101843510732508</v>
      </c>
      <c r="CE208" s="578">
        <f t="array" ref="CE208">$Z208  * (1 + SUM( ($AU$80:$AU$83=CE$93) * ($BH$79:$BP$79=CE$94) * ($BH$80:$BP$83) ))</f>
        <v>0.70299089463097908</v>
      </c>
      <c r="CF208" s="578">
        <f t="array" ref="CF208">$Z208  * (1 + SUM( ($AU$80:$AU$83=CF$93) * ($BH$79:$BP$79=CF$94) * ($BH$80:$BP$83) ))</f>
        <v>0.7196331025899293</v>
      </c>
      <c r="CG208" s="578">
        <f t="array" ref="CG208">$Z208  * (1 + SUM( ($AU$80:$AU$83=CG$93) * ($BH$79:$BP$79=CG$94) * ($BH$80:$BP$83) ))</f>
        <v>0.73863604964499308</v>
      </c>
      <c r="CH208" s="578">
        <f t="array" ref="CH208">$Z208  * (1 + SUM( ($AU$80:$AU$83=CH$93) * ($BH$79:$BP$79=CH$94) * ($BH$80:$BP$83) ))</f>
        <v>0.7560200951118925</v>
      </c>
      <c r="CI208" s="578">
        <f t="array" ref="CI208">$Z208  * (1 + SUM( ($AU$80:$AU$83=CI$93) * ($BH$79:$BP$79=CI$94) * ($BH$80:$BP$83) ))</f>
        <v>0.76898055384842112</v>
      </c>
      <c r="CJ208" s="578">
        <f t="array" ref="CJ208">$Z208  * (1 + SUM( ($AU$80:$AU$83=CJ$93) * ($BH$79:$BP$79=CJ$94) * ($BH$80:$BP$83) ))</f>
        <v>0.77724426207421282</v>
      </c>
      <c r="CK208" s="578">
        <f t="array" ref="CK208">$Z208  * (1 + SUM( ($AU$80:$AU$83=CK$93) * ($BH$79:$BP$79=CK$94) * ($BH$80:$BP$83) ))</f>
        <v>0.78200000000000003</v>
      </c>
      <c r="CL208" s="579">
        <f t="array" ref="CL208">$Z208  * (1 + SUM( ($AU$80:$AU$83=CL$93) * ($BH$79:$BP$79=CL$94) * ($BH$80:$BP$83) ))</f>
        <v>0.68714016263616584</v>
      </c>
      <c r="CM208" s="579">
        <f t="array" ref="CM208">$Z208  * (1 + SUM( ($AU$80:$AU$83=CM$93) * ($BH$79:$BP$79=CM$94) * ($BH$80:$BP$83) ))</f>
        <v>0.70203687021465033</v>
      </c>
      <c r="CN208" s="579">
        <f t="array" ref="CN208">$Z208  * (1 + SUM( ($AU$80:$AU$83=CN$93) * ($BH$79:$BP$79=CN$94) * ($BH$80:$BP$83) ))</f>
        <v>0.725981789261958</v>
      </c>
      <c r="CO208" s="579">
        <f t="array" ref="CO208">$Z208  * (1 + SUM( ($AU$80:$AU$83=CO$93) * ($BH$79:$BP$79=CO$94) * ($BH$80:$BP$83) ))</f>
        <v>0.75926620517985843</v>
      </c>
      <c r="CP208" s="579">
        <f t="array" ref="CP208">$Z208  * (1 + SUM( ($AU$80:$AU$83=CP$93) * ($BH$79:$BP$79=CP$94) * ($BH$80:$BP$83) ))</f>
        <v>0.79727209928998632</v>
      </c>
      <c r="CQ208" s="579">
        <f t="array" ref="CQ208">$Z208  * (1 + SUM( ($AU$80:$AU$83=CQ$93) * ($BH$79:$BP$79=CQ$94) * ($BH$80:$BP$83) ))</f>
        <v>0.83204019022378484</v>
      </c>
      <c r="CR208" s="579">
        <f t="array" ref="CR208">$Z208  * (1 + SUM( ($AU$80:$AU$83=CR$93) * ($BH$79:$BP$79=CR$94) * ($BH$80:$BP$83) ))</f>
        <v>0.85796110769684231</v>
      </c>
      <c r="CS208" s="579">
        <f t="array" ref="CS208">$Z208  * (1 + SUM( ($AU$80:$AU$83=CS$93) * ($BH$79:$BP$79=CS$94) * ($BH$80:$BP$83) ))</f>
        <v>0.87448852414842548</v>
      </c>
      <c r="CT208" s="579">
        <f t="array" ref="CT208">$Z208  * (1 + SUM( ($AU$80:$AU$83=CT$93) * ($BH$79:$BP$79=CT$94) * ($BH$80:$BP$83) ))</f>
        <v>0.88400000000000012</v>
      </c>
      <c r="CU208" s="578">
        <f t="array" ref="CU208">$Z208  * (1 + SUM( ($AU$80:$AU$83=CU$93) * ($BH$79:$BP$79=CU$94) * ($BH$80:$BP$83) ))</f>
        <v>0.68952021684822107</v>
      </c>
      <c r="CV208" s="578">
        <f t="array" ref="CV208">$Z208  * (1 + SUM( ($AU$80:$AU$83=CV$93) * ($BH$79:$BP$79=CV$94) * ($BH$80:$BP$83) ))</f>
        <v>0.70938249361953376</v>
      </c>
      <c r="CW208" s="578">
        <f t="array" ref="CW208">$Z208  * (1 + SUM( ($AU$80:$AU$83=CW$93) * ($BH$79:$BP$79=CW$94) * ($BH$80:$BP$83) ))</f>
        <v>0.74130905234927735</v>
      </c>
      <c r="CX208" s="578">
        <f t="array" ref="CX208">$Z208  * (1 + SUM( ($AU$80:$AU$83=CX$93) * ($BH$79:$BP$79=CX$94) * ($BH$80:$BP$83) ))</f>
        <v>0.78568827357314464</v>
      </c>
      <c r="CY208" s="578">
        <f t="array" ref="CY208">$Z208  * (1 + SUM( ($AU$80:$AU$83=CY$93) * ($BH$79:$BP$79=CY$94) * ($BH$80:$BP$83) ))</f>
        <v>0.83636279905331512</v>
      </c>
      <c r="CZ208" s="578">
        <f t="array" ref="CZ208">$Z208  * (1 + SUM( ($AU$80:$AU$83=CZ$93) * ($BH$79:$BP$79=CZ$94) * ($BH$80:$BP$83) ))</f>
        <v>0.88272025363171314</v>
      </c>
      <c r="DA208" s="578">
        <f t="array" ref="DA208">$Z208  * (1 + SUM( ($AU$80:$AU$83=DA$93) * ($BH$79:$BP$79=DA$94) * ($BH$80:$BP$83) ))</f>
        <v>0.9172814769291231</v>
      </c>
      <c r="DB208" s="578">
        <f t="array" ref="DB208">$Z208  * (1 + SUM( ($AU$80:$AU$83=DB$93) * ($BH$79:$BP$79=DB$94) * ($BH$80:$BP$83) ))</f>
        <v>0.93931803219790067</v>
      </c>
      <c r="DC208" s="578">
        <f t="array" ref="DC208">$Z208  * (1 + SUM( ($AU$80:$AU$83=DC$93) * ($BH$79:$BP$79=DC$94) * ($BH$80:$BP$83) ))</f>
        <v>0.95199999999999996</v>
      </c>
    </row>
    <row r="209" spans="1:107">
      <c r="A209" s="1167" t="s">
        <v>1106</v>
      </c>
      <c r="B209" s="1167" t="s">
        <v>1105</v>
      </c>
      <c r="C209" s="1166" t="s">
        <v>1033</v>
      </c>
      <c r="D209" s="1166" t="s">
        <v>931</v>
      </c>
      <c r="E209" s="577">
        <v>0.72</v>
      </c>
      <c r="F209" s="574">
        <v>0.56299999999999994</v>
      </c>
      <c r="G209" s="576">
        <v>100</v>
      </c>
      <c r="H209" s="574">
        <v>0</v>
      </c>
      <c r="I209" s="1164"/>
      <c r="J209" s="575">
        <v>1</v>
      </c>
      <c r="K209" s="574">
        <v>0</v>
      </c>
      <c r="L209" s="574">
        <v>0</v>
      </c>
      <c r="M209" s="1164"/>
      <c r="N209" s="1168"/>
      <c r="O209" s="1164"/>
      <c r="P209" s="1160">
        <v>0</v>
      </c>
      <c r="Q209" s="572">
        <v>0.05</v>
      </c>
      <c r="R209" s="572">
        <v>0.25</v>
      </c>
      <c r="S209" s="572">
        <v>0.5</v>
      </c>
      <c r="T209" s="1164"/>
      <c r="U209" s="573">
        <v>0</v>
      </c>
      <c r="V209" s="572">
        <v>0</v>
      </c>
      <c r="W209" s="572">
        <v>0</v>
      </c>
      <c r="X209" s="572">
        <v>0</v>
      </c>
      <c r="Y209" s="1164"/>
      <c r="Z209" s="573">
        <v>0.72</v>
      </c>
      <c r="AA209" s="572">
        <v>0.72</v>
      </c>
      <c r="AB209" s="572">
        <v>0.72</v>
      </c>
      <c r="AC209" s="572">
        <v>0.72</v>
      </c>
      <c r="AD209" s="572">
        <v>0.72</v>
      </c>
      <c r="AE209" s="572">
        <v>0.72</v>
      </c>
      <c r="AF209" s="572">
        <v>0.72</v>
      </c>
      <c r="AG209" s="1164"/>
      <c r="AH209" s="1163">
        <v>114</v>
      </c>
      <c r="AI209" s="1162" t="str">
        <f t="shared" si="26"/>
        <v>FBSOLP</v>
      </c>
      <c r="AJ209" s="1160">
        <v>0</v>
      </c>
      <c r="AK209" s="1160">
        <v>0</v>
      </c>
      <c r="AL209" s="1160">
        <v>0</v>
      </c>
      <c r="AM209" s="1160">
        <v>0</v>
      </c>
      <c r="AN209" s="1160">
        <v>0</v>
      </c>
      <c r="AO209" s="1160">
        <v>0</v>
      </c>
      <c r="AP209" s="1160">
        <v>0</v>
      </c>
      <c r="AQ209" s="1160">
        <v>0</v>
      </c>
      <c r="AR209" s="1160">
        <v>0</v>
      </c>
      <c r="AS209" s="1159">
        <v>0</v>
      </c>
      <c r="AT209" s="1159">
        <v>0</v>
      </c>
      <c r="AU209" s="1159">
        <v>0</v>
      </c>
      <c r="AV209" s="1159">
        <v>0</v>
      </c>
      <c r="AW209" s="1159">
        <v>0</v>
      </c>
      <c r="AX209" s="1159">
        <v>0</v>
      </c>
      <c r="AY209" s="1159">
        <v>0</v>
      </c>
      <c r="AZ209" s="1159">
        <v>0</v>
      </c>
      <c r="BA209" s="1159">
        <v>0</v>
      </c>
      <c r="BB209" s="1160">
        <v>0</v>
      </c>
      <c r="BC209" s="1160">
        <v>0</v>
      </c>
      <c r="BD209" s="1160">
        <v>0</v>
      </c>
      <c r="BE209" s="1160">
        <v>0</v>
      </c>
      <c r="BF209" s="1160">
        <v>0</v>
      </c>
      <c r="BG209" s="1160">
        <v>0</v>
      </c>
      <c r="BH209" s="1160">
        <v>0</v>
      </c>
      <c r="BI209" s="1160">
        <v>0</v>
      </c>
      <c r="BJ209" s="1160">
        <v>0</v>
      </c>
      <c r="BK209" s="1159">
        <v>0</v>
      </c>
      <c r="BL209" s="1159">
        <v>0</v>
      </c>
      <c r="BM209" s="1159">
        <v>0</v>
      </c>
      <c r="BN209" s="1159">
        <v>0</v>
      </c>
      <c r="BO209" s="1159">
        <v>0</v>
      </c>
      <c r="BP209" s="1159">
        <v>0</v>
      </c>
      <c r="BQ209" s="1159">
        <v>0</v>
      </c>
      <c r="BR209" s="1159">
        <v>0</v>
      </c>
      <c r="BS209" s="1159">
        <v>0</v>
      </c>
      <c r="BT209" s="579">
        <f t="array" ref="BT209">$Z209  * (1 + SUM( ($AU$80:$AU$83=BT$93) * ($BH$79:$BP$79=BT$94) * ($BH$80:$BP$83) ))</f>
        <v>0.72025200574009995</v>
      </c>
      <c r="BU209" s="579">
        <f t="array" ref="BU209">$Z209  * (1 + SUM( ($AU$80:$AU$83=BU$93) * ($BH$79:$BP$79=BU$94) * ($BH$80:$BP$83) ))</f>
        <v>0.72077777188992875</v>
      </c>
      <c r="BV209" s="579">
        <f t="array" ref="BV209">$Z209  * (1 + SUM( ($AU$80:$AU$83=BV$93) * ($BH$79:$BP$79=BV$94) * ($BH$80:$BP$83) ))</f>
        <v>0.72162288667983376</v>
      </c>
      <c r="BW209" s="579">
        <f t="array" ref="BW209">$Z209  * (1 + SUM( ($AU$80:$AU$83=BW$93) * ($BH$79:$BP$79=BW$94) * ($BH$80:$BP$83) ))</f>
        <v>0.72279763077105375</v>
      </c>
      <c r="BX209" s="579">
        <f t="array" ref="BX209">$Z209  * (1 + SUM( ($AU$80:$AU$83=BX$93) * ($BH$79:$BP$79=BX$94) * ($BH$80:$BP$83) ))</f>
        <v>0.72413901526905833</v>
      </c>
      <c r="BY209" s="579">
        <f t="array" ref="BY209">$Z209  * (1 + SUM( ($AU$80:$AU$83=BY$93) * ($BH$79:$BP$79=BY$94) * ($BH$80:$BP$83) ))</f>
        <v>0.72536612436083947</v>
      </c>
      <c r="BZ209" s="579">
        <f t="array" ref="BZ209">$Z209  * (1 + SUM( ($AU$80:$AU$83=BZ$93) * ($BH$79:$BP$79=BZ$94) * ($BH$80:$BP$83) ))</f>
        <v>0.72628098027165311</v>
      </c>
      <c r="CA209" s="579">
        <f t="array" ref="CA209">$Z209  * (1 + SUM( ($AU$80:$AU$83=CA$93) * ($BH$79:$BP$79=CA$94) * ($BH$80:$BP$83) ))</f>
        <v>0.72686430085229736</v>
      </c>
      <c r="CB209" s="579">
        <f t="array" ref="CB209">$Z209  * (1 + SUM( ($AU$80:$AU$83=CB$93) * ($BH$79:$BP$79=CB$94) * ($BH$80:$BP$83) ))</f>
        <v>0.72719999999999996</v>
      </c>
      <c r="CC209" s="578">
        <f t="array" ref="CC209">$Z209  * (1 + SUM( ($AU$80:$AU$83=CC$93) * ($BH$79:$BP$79=CC$94) * ($BH$80:$BP$83) ))</f>
        <v>0.72378008610149946</v>
      </c>
      <c r="CD209" s="578">
        <f t="array" ref="CD209">$Z209  * (1 + SUM( ($AU$80:$AU$83=CD$93) * ($BH$79:$BP$79=CD$94) * ($BH$80:$BP$83) ))</f>
        <v>0.73166657834893245</v>
      </c>
      <c r="CE209" s="578">
        <f t="array" ref="CE209">$Z209  * (1 + SUM( ($AU$80:$AU$83=CE$93) * ($BH$79:$BP$79=CE$94) * ($BH$80:$BP$83) ))</f>
        <v>0.74434330019750716</v>
      </c>
      <c r="CF209" s="578">
        <f t="array" ref="CF209">$Z209  * (1 + SUM( ($AU$80:$AU$83=CF$93) * ($BH$79:$BP$79=CF$94) * ($BH$80:$BP$83) ))</f>
        <v>0.76196446156580744</v>
      </c>
      <c r="CG209" s="578">
        <f t="array" ref="CG209">$Z209  * (1 + SUM( ($AU$80:$AU$83=CG$93) * ($BH$79:$BP$79=CG$94) * ($BH$80:$BP$83) ))</f>
        <v>0.78208522903587496</v>
      </c>
      <c r="CH209" s="578">
        <f t="array" ref="CH209">$Z209  * (1 + SUM( ($AU$80:$AU$83=CH$93) * ($BH$79:$BP$79=CH$94) * ($BH$80:$BP$83) ))</f>
        <v>0.80049186541259199</v>
      </c>
      <c r="CI209" s="578">
        <f t="array" ref="CI209">$Z209  * (1 + SUM( ($AU$80:$AU$83=CI$93) * ($BH$79:$BP$79=CI$94) * ($BH$80:$BP$83) ))</f>
        <v>0.81421470407479868</v>
      </c>
      <c r="CJ209" s="578">
        <f t="array" ref="CJ209">$Z209  * (1 + SUM( ($AU$80:$AU$83=CJ$93) * ($BH$79:$BP$79=CJ$94) * ($BH$80:$BP$83) ))</f>
        <v>0.82296451278446048</v>
      </c>
      <c r="CK209" s="578">
        <f t="array" ref="CK209">$Z209  * (1 + SUM( ($AU$80:$AU$83=CK$93) * ($BH$79:$BP$79=CK$94) * ($BH$80:$BP$83) ))</f>
        <v>0.82799999999999996</v>
      </c>
      <c r="CL209" s="579">
        <f t="array" ref="CL209">$Z209  * (1 + SUM( ($AU$80:$AU$83=CL$93) * ($BH$79:$BP$79=CL$94) * ($BH$80:$BP$83) ))</f>
        <v>0.72756017220299896</v>
      </c>
      <c r="CM209" s="579">
        <f t="array" ref="CM209">$Z209  * (1 + SUM( ($AU$80:$AU$83=CM$93) * ($BH$79:$BP$79=CM$94) * ($BH$80:$BP$83) ))</f>
        <v>0.74333315669786504</v>
      </c>
      <c r="CN209" s="579">
        <f t="array" ref="CN209">$Z209  * (1 + SUM( ($AU$80:$AU$83=CN$93) * ($BH$79:$BP$79=CN$94) * ($BH$80:$BP$83) ))</f>
        <v>0.76868660039501435</v>
      </c>
      <c r="CO209" s="579">
        <f t="array" ref="CO209">$Z209  * (1 + SUM( ($AU$80:$AU$83=CO$93) * ($BH$79:$BP$79=CO$94) * ($BH$80:$BP$83) ))</f>
        <v>0.80392892313161468</v>
      </c>
      <c r="CP209" s="579">
        <f t="array" ref="CP209">$Z209  * (1 + SUM( ($AU$80:$AU$83=CP$93) * ($BH$79:$BP$79=CP$94) * ($BH$80:$BP$83) ))</f>
        <v>0.84417045807175017</v>
      </c>
      <c r="CQ209" s="579">
        <f t="array" ref="CQ209">$Z209  * (1 + SUM( ($AU$80:$AU$83=CQ$93) * ($BH$79:$BP$79=CQ$94) * ($BH$80:$BP$83) ))</f>
        <v>0.88098373082518389</v>
      </c>
      <c r="CR209" s="579">
        <f t="array" ref="CR209">$Z209  * (1 + SUM( ($AU$80:$AU$83=CR$93) * ($BH$79:$BP$79=CR$94) * ($BH$80:$BP$83) ))</f>
        <v>0.90842940814959761</v>
      </c>
      <c r="CS209" s="579">
        <f t="array" ref="CS209">$Z209  * (1 + SUM( ($AU$80:$AU$83=CS$93) * ($BH$79:$BP$79=CS$94) * ($BH$80:$BP$83) ))</f>
        <v>0.92592902556892098</v>
      </c>
      <c r="CT209" s="579">
        <f t="array" ref="CT209">$Z209  * (1 + SUM( ($AU$80:$AU$83=CT$93) * ($BH$79:$BP$79=CT$94) * ($BH$80:$BP$83) ))</f>
        <v>0.93599999999999994</v>
      </c>
      <c r="CU209" s="578">
        <f t="array" ref="CU209">$Z209  * (1 + SUM( ($AU$80:$AU$83=CU$93) * ($BH$79:$BP$79=CU$94) * ($BH$80:$BP$83) ))</f>
        <v>0.73008022960399865</v>
      </c>
      <c r="CV209" s="578">
        <f t="array" ref="CV209">$Z209  * (1 + SUM( ($AU$80:$AU$83=CV$93) * ($BH$79:$BP$79=CV$94) * ($BH$80:$BP$83) ))</f>
        <v>0.75111087559715328</v>
      </c>
      <c r="CW209" s="578">
        <f t="array" ref="CW209">$Z209  * (1 + SUM( ($AU$80:$AU$83=CW$93) * ($BH$79:$BP$79=CW$94) * ($BH$80:$BP$83) ))</f>
        <v>0.78491546719335237</v>
      </c>
      <c r="CX209" s="578">
        <f t="array" ref="CX209">$Z209  * (1 + SUM( ($AU$80:$AU$83=CX$93) * ($BH$79:$BP$79=CX$94) * ($BH$80:$BP$83) ))</f>
        <v>0.83190523084215307</v>
      </c>
      <c r="CY209" s="578">
        <f t="array" ref="CY209">$Z209  * (1 + SUM( ($AU$80:$AU$83=CY$93) * ($BH$79:$BP$79=CY$94) * ($BH$80:$BP$83) ))</f>
        <v>0.8855606107623335</v>
      </c>
      <c r="CZ209" s="578">
        <f t="array" ref="CZ209">$Z209  * (1 + SUM( ($AU$80:$AU$83=CZ$93) * ($BH$79:$BP$79=CZ$94) * ($BH$80:$BP$83) ))</f>
        <v>0.93464497443357852</v>
      </c>
      <c r="DA209" s="578">
        <f t="array" ref="DA209">$Z209  * (1 + SUM( ($AU$80:$AU$83=DA$93) * ($BH$79:$BP$79=DA$94) * ($BH$80:$BP$83) ))</f>
        <v>0.97123921086613019</v>
      </c>
      <c r="DB209" s="578">
        <f t="array" ref="DB209">$Z209  * (1 + SUM( ($AU$80:$AU$83=DB$93) * ($BH$79:$BP$79=DB$94) * ($BH$80:$BP$83) ))</f>
        <v>0.99457203409189476</v>
      </c>
      <c r="DC209" s="578">
        <f t="array" ref="DC209">$Z209  * (1 + SUM( ($AU$80:$AU$83=DC$93) * ($BH$79:$BP$79=DC$94) * ($BH$80:$BP$83) ))</f>
        <v>1.008</v>
      </c>
    </row>
    <row r="210" spans="1:107">
      <c r="A210" s="1167" t="s">
        <v>1104</v>
      </c>
      <c r="B210" s="1167" t="s">
        <v>1103</v>
      </c>
      <c r="C210" s="1166" t="s">
        <v>1030</v>
      </c>
      <c r="D210" s="1166" t="s">
        <v>931</v>
      </c>
      <c r="E210" s="577">
        <v>0.76</v>
      </c>
      <c r="F210" s="574">
        <v>0.56299999999999994</v>
      </c>
      <c r="G210" s="576">
        <v>100</v>
      </c>
      <c r="H210" s="574">
        <v>0.40585095047957381</v>
      </c>
      <c r="I210" s="1164"/>
      <c r="J210" s="575">
        <v>1</v>
      </c>
      <c r="K210" s="574">
        <v>0.30065011200000002</v>
      </c>
      <c r="L210" s="574">
        <v>0.22849408512000002</v>
      </c>
      <c r="M210" s="1164"/>
      <c r="N210" s="1168"/>
      <c r="O210" s="1164"/>
      <c r="P210" s="1160">
        <v>8.1692213248666292E-3</v>
      </c>
      <c r="Q210" s="572">
        <v>5.8169221324866634E-2</v>
      </c>
      <c r="R210" s="572">
        <v>0.25816922132486664</v>
      </c>
      <c r="S210" s="572">
        <v>0.50816922132486664</v>
      </c>
      <c r="T210" s="1164"/>
      <c r="U210" s="573">
        <v>8.1692213248666292E-3</v>
      </c>
      <c r="V210" s="1169">
        <v>8.1692213248666292E-3</v>
      </c>
      <c r="W210" s="1169">
        <v>8.1692213248666292E-3</v>
      </c>
      <c r="X210" s="1169">
        <v>8.1692213248666292E-3</v>
      </c>
      <c r="Y210" s="1164"/>
      <c r="Z210" s="573">
        <v>0.76</v>
      </c>
      <c r="AA210" s="572">
        <v>0.76</v>
      </c>
      <c r="AB210" s="572">
        <v>0.76</v>
      </c>
      <c r="AC210" s="572">
        <v>0.76</v>
      </c>
      <c r="AD210" s="572">
        <v>0.76</v>
      </c>
      <c r="AE210" s="572">
        <v>0.76</v>
      </c>
      <c r="AF210" s="572">
        <v>0.76</v>
      </c>
      <c r="AG210" s="1164"/>
      <c r="AH210" s="1163">
        <v>115</v>
      </c>
      <c r="AI210" s="1162" t="str">
        <f t="shared" si="26"/>
        <v>FBSELC</v>
      </c>
      <c r="AJ210" s="1160">
        <v>8.1692213248666292E-3</v>
      </c>
      <c r="AK210" s="1160">
        <v>8.1692213248666292E-3</v>
      </c>
      <c r="AL210" s="1160">
        <v>8.1692213248666292E-3</v>
      </c>
      <c r="AM210" s="1160">
        <v>8.1692213248666292E-3</v>
      </c>
      <c r="AN210" s="1160">
        <v>8.1692213248666292E-3</v>
      </c>
      <c r="AO210" s="1160">
        <v>8.1692213248666292E-3</v>
      </c>
      <c r="AP210" s="1160">
        <v>8.1692213248666292E-3</v>
      </c>
      <c r="AQ210" s="1160">
        <v>8.1692213248666292E-3</v>
      </c>
      <c r="AR210" s="1160">
        <v>8.1692213248666292E-3</v>
      </c>
      <c r="AS210" s="1159">
        <v>8.1692213248666292E-3</v>
      </c>
      <c r="AT210" s="1159">
        <v>8.1692213248666292E-3</v>
      </c>
      <c r="AU210" s="1159">
        <v>8.1692213248666292E-3</v>
      </c>
      <c r="AV210" s="1159">
        <v>8.1692213248666292E-3</v>
      </c>
      <c r="AW210" s="1159">
        <v>8.1692213248666292E-3</v>
      </c>
      <c r="AX210" s="1159">
        <v>8.1692213248666292E-3</v>
      </c>
      <c r="AY210" s="1159">
        <v>8.1692213248666292E-3</v>
      </c>
      <c r="AZ210" s="1159">
        <v>8.1692213248666292E-3</v>
      </c>
      <c r="BA210" s="1159">
        <v>8.1692213248666292E-3</v>
      </c>
      <c r="BB210" s="1160">
        <v>8.1692213248666292E-3</v>
      </c>
      <c r="BC210" s="1160">
        <v>8.1692213248666292E-3</v>
      </c>
      <c r="BD210" s="1160">
        <v>8.1692213248666292E-3</v>
      </c>
      <c r="BE210" s="1160">
        <v>8.1692213248666292E-3</v>
      </c>
      <c r="BF210" s="1160">
        <v>8.1692213248666292E-3</v>
      </c>
      <c r="BG210" s="1160">
        <v>8.1692213248666292E-3</v>
      </c>
      <c r="BH210" s="1160">
        <v>8.1692213248666292E-3</v>
      </c>
      <c r="BI210" s="1160">
        <v>8.1692213248666292E-3</v>
      </c>
      <c r="BJ210" s="1160">
        <v>8.1692213248666292E-3</v>
      </c>
      <c r="BK210" s="1159">
        <v>8.1692213248666292E-3</v>
      </c>
      <c r="BL210" s="1159">
        <v>8.1692213248666292E-3</v>
      </c>
      <c r="BM210" s="1159">
        <v>8.1692213248666292E-3</v>
      </c>
      <c r="BN210" s="1159">
        <v>8.1692213248666292E-3</v>
      </c>
      <c r="BO210" s="1159">
        <v>8.1692213248666292E-3</v>
      </c>
      <c r="BP210" s="1159">
        <v>8.1692213248666292E-3</v>
      </c>
      <c r="BQ210" s="1159">
        <v>8.1692213248666292E-3</v>
      </c>
      <c r="BR210" s="1159">
        <v>8.1692213248666292E-3</v>
      </c>
      <c r="BS210" s="1159">
        <v>8.1692213248666292E-3</v>
      </c>
      <c r="BT210" s="579">
        <f t="array" ref="BT210">$Z210  * (1 + SUM( ($AU$80:$AU$83=BT$93) * ($BH$79:$BP$79=BT$94) * ($BH$80:$BP$83) ))</f>
        <v>0.76026600605899441</v>
      </c>
      <c r="BU210" s="579">
        <f t="array" ref="BU210">$Z210  * (1 + SUM( ($AU$80:$AU$83=BU$93) * ($BH$79:$BP$79=BU$94) * ($BH$80:$BP$83) ))</f>
        <v>0.76082098143936938</v>
      </c>
      <c r="BV210" s="579">
        <f t="array" ref="BV210">$Z210  * (1 + SUM( ($AU$80:$AU$83=BV$93) * ($BH$79:$BP$79=BV$94) * ($BH$80:$BP$83) ))</f>
        <v>0.76171304705093568</v>
      </c>
      <c r="BW210" s="579">
        <f t="array" ref="BW210">$Z210  * (1 + SUM( ($AU$80:$AU$83=BW$93) * ($BH$79:$BP$79=BW$94) * ($BH$80:$BP$83) ))</f>
        <v>0.76295305470277908</v>
      </c>
      <c r="BX210" s="579">
        <f t="array" ref="BX210">$Z210  * (1 + SUM( ($AU$80:$AU$83=BX$93) * ($BH$79:$BP$79=BX$94) * ($BH$80:$BP$83) ))</f>
        <v>0.76436896056178383</v>
      </c>
      <c r="BY210" s="579">
        <f t="array" ref="BY210">$Z210  * (1 + SUM( ($AU$80:$AU$83=BY$93) * ($BH$79:$BP$79=BY$94) * ($BH$80:$BP$83) ))</f>
        <v>0.76566424238088615</v>
      </c>
      <c r="BZ210" s="579">
        <f t="array" ref="BZ210">$Z210  * (1 + SUM( ($AU$80:$AU$83=BZ$93) * ($BH$79:$BP$79=BZ$94) * ($BH$80:$BP$83) ))</f>
        <v>0.76662992362007842</v>
      </c>
      <c r="CA210" s="579">
        <f t="array" ref="CA210">$Z210  * (1 + SUM( ($AU$80:$AU$83=CA$93) * ($BH$79:$BP$79=CA$94) * ($BH$80:$BP$83) ))</f>
        <v>0.76724565089964725</v>
      </c>
      <c r="CB210" s="579">
        <f t="array" ref="CB210">$Z210  * (1 + SUM( ($AU$80:$AU$83=CB$93) * ($BH$79:$BP$79=CB$94) * ($BH$80:$BP$83) ))</f>
        <v>0.76760000000000006</v>
      </c>
      <c r="CC210" s="578">
        <f t="array" ref="CC210">$Z210  * (1 + SUM( ($AU$80:$AU$83=CC$93) * ($BH$79:$BP$79=CC$94) * ($BH$80:$BP$83) ))</f>
        <v>0.76399009088491621</v>
      </c>
      <c r="CD210" s="578">
        <f t="array" ref="CD210">$Z210  * (1 + SUM( ($AU$80:$AU$83=CD$93) * ($BH$79:$BP$79=CD$94) * ($BH$80:$BP$83) ))</f>
        <v>0.77231472159053982</v>
      </c>
      <c r="CE210" s="578">
        <f t="array" ref="CE210">$Z210  * (1 + SUM( ($AU$80:$AU$83=CE$93) * ($BH$79:$BP$79=CE$94) * ($BH$80:$BP$83) ))</f>
        <v>0.78569570576403536</v>
      </c>
      <c r="CF210" s="578">
        <f t="array" ref="CF210">$Z210  * (1 + SUM( ($AU$80:$AU$83=CF$93) * ($BH$79:$BP$79=CF$94) * ($BH$80:$BP$83) ))</f>
        <v>0.80429582054168558</v>
      </c>
      <c r="CG210" s="578">
        <f t="array" ref="CG210">$Z210  * (1 + SUM( ($AU$80:$AU$83=CG$93) * ($BH$79:$BP$79=CG$94) * ($BH$80:$BP$83) ))</f>
        <v>0.82553440842675696</v>
      </c>
      <c r="CH210" s="578">
        <f t="array" ref="CH210">$Z210  * (1 + SUM( ($AU$80:$AU$83=CH$93) * ($BH$79:$BP$79=CH$94) * ($BH$80:$BP$83) ))</f>
        <v>0.84496363571329147</v>
      </c>
      <c r="CI210" s="578">
        <f t="array" ref="CI210">$Z210  * (1 + SUM( ($AU$80:$AU$83=CI$93) * ($BH$79:$BP$79=CI$94) * ($BH$80:$BP$83) ))</f>
        <v>0.85944885430117646</v>
      </c>
      <c r="CJ210" s="578">
        <f t="array" ref="CJ210">$Z210  * (1 + SUM( ($AU$80:$AU$83=CJ$93) * ($BH$79:$BP$79=CJ$94) * ($BH$80:$BP$83) ))</f>
        <v>0.86868476349470836</v>
      </c>
      <c r="CK210" s="578">
        <f t="array" ref="CK210">$Z210  * (1 + SUM( ($AU$80:$AU$83=CK$93) * ($BH$79:$BP$79=CK$94) * ($BH$80:$BP$83) ))</f>
        <v>0.87399999999999989</v>
      </c>
      <c r="CL210" s="579">
        <f t="array" ref="CL210">$Z210  * (1 + SUM( ($AU$80:$AU$83=CL$93) * ($BH$79:$BP$79=CL$94) * ($BH$80:$BP$83) ))</f>
        <v>0.76798018176983229</v>
      </c>
      <c r="CM210" s="579">
        <f t="array" ref="CM210">$Z210  * (1 + SUM( ($AU$80:$AU$83=CM$93) * ($BH$79:$BP$79=CM$94) * ($BH$80:$BP$83) ))</f>
        <v>0.78462944318107974</v>
      </c>
      <c r="CN210" s="579">
        <f t="array" ref="CN210">$Z210  * (1 + SUM( ($AU$80:$AU$83=CN$93) * ($BH$79:$BP$79=CN$94) * ($BH$80:$BP$83) ))</f>
        <v>0.81139141152807071</v>
      </c>
      <c r="CO210" s="579">
        <f t="array" ref="CO210">$Z210  * (1 + SUM( ($AU$80:$AU$83=CO$93) * ($BH$79:$BP$79=CO$94) * ($BH$80:$BP$83) ))</f>
        <v>0.84859164108337104</v>
      </c>
      <c r="CP210" s="579">
        <f t="array" ref="CP210">$Z210  * (1 + SUM( ($AU$80:$AU$83=CP$93) * ($BH$79:$BP$79=CP$94) * ($BH$80:$BP$83) ))</f>
        <v>0.89106881685351402</v>
      </c>
      <c r="CQ210" s="579">
        <f t="array" ref="CQ210">$Z210  * (1 + SUM( ($AU$80:$AU$83=CQ$93) * ($BH$79:$BP$79=CQ$94) * ($BH$80:$BP$83) ))</f>
        <v>0.92992727142658305</v>
      </c>
      <c r="CR210" s="579">
        <f t="array" ref="CR210">$Z210  * (1 + SUM( ($AU$80:$AU$83=CR$93) * ($BH$79:$BP$79=CR$94) * ($BH$80:$BP$83) ))</f>
        <v>0.95889770860235302</v>
      </c>
      <c r="CS210" s="579">
        <f t="array" ref="CS210">$Z210  * (1 + SUM( ($AU$80:$AU$83=CS$93) * ($BH$79:$BP$79=CS$94) * ($BH$80:$BP$83) ))</f>
        <v>0.9773695269894167</v>
      </c>
      <c r="CT210" s="579">
        <f t="array" ref="CT210">$Z210  * (1 + SUM( ($AU$80:$AU$83=CT$93) * ($BH$79:$BP$79=CT$94) * ($BH$80:$BP$83) ))</f>
        <v>0.9880000000000001</v>
      </c>
      <c r="CU210" s="578">
        <f t="array" ref="CU210">$Z210  * (1 + SUM( ($AU$80:$AU$83=CU$93) * ($BH$79:$BP$79=CU$94) * ($BH$80:$BP$83) ))</f>
        <v>0.77064024235977646</v>
      </c>
      <c r="CV210" s="578">
        <f t="array" ref="CV210">$Z210  * (1 + SUM( ($AU$80:$AU$83=CV$93) * ($BH$79:$BP$79=CV$94) * ($BH$80:$BP$83) ))</f>
        <v>0.79283925757477292</v>
      </c>
      <c r="CW210" s="578">
        <f t="array" ref="CW210">$Z210  * (1 + SUM( ($AU$80:$AU$83=CW$93) * ($BH$79:$BP$79=CW$94) * ($BH$80:$BP$83) ))</f>
        <v>0.8285218820374276</v>
      </c>
      <c r="CX210" s="578">
        <f t="array" ref="CX210">$Z210  * (1 + SUM( ($AU$80:$AU$83=CX$93) * ($BH$79:$BP$79=CX$94) * ($BH$80:$BP$83) ))</f>
        <v>0.87812218811116161</v>
      </c>
      <c r="CY210" s="578">
        <f t="array" ref="CY210">$Z210  * (1 + SUM( ($AU$80:$AU$83=CY$93) * ($BH$79:$BP$79=CY$94) * ($BH$80:$BP$83) ))</f>
        <v>0.9347584224713521</v>
      </c>
      <c r="CZ210" s="578">
        <f t="array" ref="CZ210">$Z210  * (1 + SUM( ($AU$80:$AU$83=CZ$93) * ($BH$79:$BP$79=CZ$94) * ($BH$80:$BP$83) ))</f>
        <v>0.98656969523544402</v>
      </c>
      <c r="DA210" s="578">
        <f t="array" ref="DA210">$Z210  * (1 + SUM( ($AU$80:$AU$83=DA$93) * ($BH$79:$BP$79=DA$94) * ($BH$80:$BP$83) ))</f>
        <v>1.0251969448031375</v>
      </c>
      <c r="DB210" s="578">
        <f t="array" ref="DB210">$Z210  * (1 + SUM( ($AU$80:$AU$83=DB$93) * ($BH$79:$BP$79=DB$94) * ($BH$80:$BP$83) ))</f>
        <v>1.0498260359858889</v>
      </c>
      <c r="DC210" s="578">
        <f t="array" ref="DC210">$Z210  * (1 + SUM( ($AU$80:$AU$83=DC$93) * ($BH$79:$BP$79=DC$94) * ($BH$80:$BP$83) ))</f>
        <v>1.0639999999999998</v>
      </c>
    </row>
    <row r="211" spans="1:107">
      <c r="A211" s="1167" t="s">
        <v>1102</v>
      </c>
      <c r="B211" s="1167" t="s">
        <v>1101</v>
      </c>
      <c r="C211" s="1166" t="s">
        <v>1100</v>
      </c>
      <c r="D211" s="1166" t="s">
        <v>931</v>
      </c>
      <c r="E211" s="577">
        <v>0.6</v>
      </c>
      <c r="F211" s="574">
        <v>0.56299999999999994</v>
      </c>
      <c r="G211" s="576">
        <v>100</v>
      </c>
      <c r="H211" s="574">
        <v>10.657193605683837</v>
      </c>
      <c r="I211" s="1164"/>
      <c r="J211" s="575">
        <v>1</v>
      </c>
      <c r="K211" s="574">
        <v>10</v>
      </c>
      <c r="L211" s="574">
        <v>6</v>
      </c>
      <c r="M211" s="1164"/>
      <c r="N211" s="1168"/>
      <c r="O211" s="1164"/>
      <c r="P211" s="1160">
        <v>0.21451464672907403</v>
      </c>
      <c r="Q211" s="572">
        <v>0.26451464672907404</v>
      </c>
      <c r="R211" s="572">
        <v>0.46451464672907405</v>
      </c>
      <c r="S211" s="572">
        <v>0.71451464672907405</v>
      </c>
      <c r="T211" s="1164"/>
      <c r="U211" s="573">
        <v>0.21451464672907403</v>
      </c>
      <c r="V211" s="572">
        <v>0.1287087880374444</v>
      </c>
      <c r="W211" s="572">
        <v>8.5805858691629613E-2</v>
      </c>
      <c r="X211" s="572">
        <v>4.2902929345814807E-2</v>
      </c>
      <c r="Y211" s="1164"/>
      <c r="Z211" s="573">
        <v>0.6</v>
      </c>
      <c r="AA211" s="572">
        <v>0.6</v>
      </c>
      <c r="AB211" s="572">
        <v>0.6</v>
      </c>
      <c r="AC211" s="572">
        <v>0.6</v>
      </c>
      <c r="AD211" s="572">
        <v>0.6</v>
      </c>
      <c r="AE211" s="572">
        <v>0.6</v>
      </c>
      <c r="AF211" s="572">
        <v>0.6</v>
      </c>
      <c r="AG211" s="1164"/>
      <c r="AH211" s="1163">
        <v>116</v>
      </c>
      <c r="AI211" s="1162" t="str">
        <f t="shared" si="26"/>
        <v>FBSBIB</v>
      </c>
      <c r="AJ211" s="1160">
        <v>0.21451464672907403</v>
      </c>
      <c r="AK211" s="1160">
        <v>0.21451464672907403</v>
      </c>
      <c r="AL211" s="1160">
        <v>0.21451464672907403</v>
      </c>
      <c r="AM211" s="1160">
        <v>0.21451464672907403</v>
      </c>
      <c r="AN211" s="1160">
        <v>0.21451464672907403</v>
      </c>
      <c r="AO211" s="1160">
        <v>0.21451464672907403</v>
      </c>
      <c r="AP211" s="1160">
        <v>0.21451464672907403</v>
      </c>
      <c r="AQ211" s="1160">
        <v>0.21451464672907403</v>
      </c>
      <c r="AR211" s="1160">
        <v>0.21451464672907403</v>
      </c>
      <c r="AS211" s="1159">
        <v>0.21451464672907403</v>
      </c>
      <c r="AT211" s="1159">
        <v>0.21451464672907403</v>
      </c>
      <c r="AU211" s="1159">
        <v>0.21451464672907403</v>
      </c>
      <c r="AV211" s="1159">
        <v>0.21451464672907403</v>
      </c>
      <c r="AW211" s="1159">
        <v>0.21451464672907403</v>
      </c>
      <c r="AX211" s="1159">
        <v>0.21451464672907403</v>
      </c>
      <c r="AY211" s="1159">
        <v>0.21451464672907403</v>
      </c>
      <c r="AZ211" s="1159">
        <v>0.21451464672907403</v>
      </c>
      <c r="BA211" s="1159">
        <v>0.21451464672907403</v>
      </c>
      <c r="BB211" s="1160">
        <v>0.21451464672907403</v>
      </c>
      <c r="BC211" s="1160">
        <v>0.21451464672907403</v>
      </c>
      <c r="BD211" s="1160">
        <v>0.21451464672907403</v>
      </c>
      <c r="BE211" s="1160">
        <v>0.21451464672907403</v>
      </c>
      <c r="BF211" s="1160">
        <v>0.21451464672907403</v>
      </c>
      <c r="BG211" s="1160">
        <v>0.21451464672907403</v>
      </c>
      <c r="BH211" s="1160">
        <v>0.21451464672907403</v>
      </c>
      <c r="BI211" s="1160">
        <v>0.21451464672907403</v>
      </c>
      <c r="BJ211" s="1160">
        <v>0.21451464672907403</v>
      </c>
      <c r="BK211" s="1159">
        <v>0.21451464672907403</v>
      </c>
      <c r="BL211" s="1159">
        <v>0.21451464672907403</v>
      </c>
      <c r="BM211" s="1159">
        <v>0.21451464672907403</v>
      </c>
      <c r="BN211" s="1159">
        <v>0.21451464672907403</v>
      </c>
      <c r="BO211" s="1159">
        <v>0.21451464672907403</v>
      </c>
      <c r="BP211" s="1159">
        <v>0.21451464672907403</v>
      </c>
      <c r="BQ211" s="1159">
        <v>0.21451464672907403</v>
      </c>
      <c r="BR211" s="1159">
        <v>0.21451464672907403</v>
      </c>
      <c r="BS211" s="1159">
        <v>0.21451464672907403</v>
      </c>
      <c r="BT211" s="579">
        <f t="array" ref="BT211">$Z211  * (1 + SUM( ($AU$80:$AU$83=BT$93) * ($BH$79:$BP$79=BT$94) * ($BH$80:$BP$83) ))</f>
        <v>0.60021000478341657</v>
      </c>
      <c r="BU211" s="579">
        <f t="array" ref="BU211">$Z211  * (1 + SUM( ($AU$80:$AU$83=BU$93) * ($BH$79:$BP$79=BU$94) * ($BH$80:$BP$83) ))</f>
        <v>0.60064814324160731</v>
      </c>
      <c r="BV211" s="579">
        <f t="array" ref="BV211">$Z211  * (1 + SUM( ($AU$80:$AU$83=BV$93) * ($BH$79:$BP$79=BV$94) * ($BH$80:$BP$83) ))</f>
        <v>0.60135240556652814</v>
      </c>
      <c r="BW211" s="579">
        <f t="array" ref="BW211">$Z211  * (1 + SUM( ($AU$80:$AU$83=BW$93) * ($BH$79:$BP$79=BW$94) * ($BH$80:$BP$83) ))</f>
        <v>0.60233135897587819</v>
      </c>
      <c r="BX211" s="579">
        <f t="array" ref="BX211">$Z211  * (1 + SUM( ($AU$80:$AU$83=BX$93) * ($BH$79:$BP$79=BX$94) * ($BH$80:$BP$83) ))</f>
        <v>0.60344917939088194</v>
      </c>
      <c r="BY211" s="579">
        <f t="array" ref="BY211">$Z211  * (1 + SUM( ($AU$80:$AU$83=BY$93) * ($BH$79:$BP$79=BY$94) * ($BH$80:$BP$83) ))</f>
        <v>0.60447177030069954</v>
      </c>
      <c r="BZ211" s="579">
        <f t="array" ref="BZ211">$Z211  * (1 + SUM( ($AU$80:$AU$83=BZ$93) * ($BH$79:$BP$79=BZ$94) * ($BH$80:$BP$83) ))</f>
        <v>0.60523415022637761</v>
      </c>
      <c r="CA211" s="579">
        <f t="array" ref="CA211">$Z211  * (1 + SUM( ($AU$80:$AU$83=CA$93) * ($BH$79:$BP$79=CA$94) * ($BH$80:$BP$83) ))</f>
        <v>0.60572025071024782</v>
      </c>
      <c r="CB211" s="579">
        <f t="array" ref="CB211">$Z211  * (1 + SUM( ($AU$80:$AU$83=CB$93) * ($BH$79:$BP$79=CB$94) * ($BH$80:$BP$83) ))</f>
        <v>0.60599999999999998</v>
      </c>
      <c r="CC211" s="578">
        <f t="array" ref="CC211">$Z211  * (1 + SUM( ($AU$80:$AU$83=CC$93) * ($BH$79:$BP$79=CC$94) * ($BH$80:$BP$83) ))</f>
        <v>0.60315007175124957</v>
      </c>
      <c r="CD211" s="578">
        <f t="array" ref="CD211">$Z211  * (1 + SUM( ($AU$80:$AU$83=CD$93) * ($BH$79:$BP$79=CD$94) * ($BH$80:$BP$83) ))</f>
        <v>0.60972214862411034</v>
      </c>
      <c r="CE211" s="578">
        <f t="array" ref="CE211">$Z211  * (1 + SUM( ($AU$80:$AU$83=CE$93) * ($BH$79:$BP$79=CE$94) * ($BH$80:$BP$83) ))</f>
        <v>0.62028608349792258</v>
      </c>
      <c r="CF211" s="578">
        <f t="array" ref="CF211">$Z211  * (1 + SUM( ($AU$80:$AU$83=CF$93) * ($BH$79:$BP$79=CF$94) * ($BH$80:$BP$83) ))</f>
        <v>0.63497038463817279</v>
      </c>
      <c r="CG211" s="578">
        <f t="array" ref="CG211">$Z211  * (1 + SUM( ($AU$80:$AU$83=CG$93) * ($BH$79:$BP$79=CG$94) * ($BH$80:$BP$83) ))</f>
        <v>0.65173769086322919</v>
      </c>
      <c r="CH211" s="578">
        <f t="array" ref="CH211">$Z211  * (1 + SUM( ($AU$80:$AU$83=CH$93) * ($BH$79:$BP$79=CH$94) * ($BH$80:$BP$83) ))</f>
        <v>0.6670765545104933</v>
      </c>
      <c r="CI211" s="578">
        <f t="array" ref="CI211">$Z211  * (1 + SUM( ($AU$80:$AU$83=CI$93) * ($BH$79:$BP$79=CI$94) * ($BH$80:$BP$83) ))</f>
        <v>0.67851225339566557</v>
      </c>
      <c r="CJ211" s="578">
        <f t="array" ref="CJ211">$Z211  * (1 + SUM( ($AU$80:$AU$83=CJ$93) * ($BH$79:$BP$79=CJ$94) * ($BH$80:$BP$83) ))</f>
        <v>0.68580376065371706</v>
      </c>
      <c r="CK211" s="578">
        <f t="array" ref="CK211">$Z211  * (1 + SUM( ($AU$80:$AU$83=CK$93) * ($BH$79:$BP$79=CK$94) * ($BH$80:$BP$83) ))</f>
        <v>0.69</v>
      </c>
      <c r="CL211" s="579">
        <f t="array" ref="CL211">$Z211  * (1 + SUM( ($AU$80:$AU$83=CL$93) * ($BH$79:$BP$79=CL$94) * ($BH$80:$BP$83) ))</f>
        <v>0.60630014350249917</v>
      </c>
      <c r="CM211" s="579">
        <f t="array" ref="CM211">$Z211  * (1 + SUM( ($AU$80:$AU$83=CM$93) * ($BH$79:$BP$79=CM$94) * ($BH$80:$BP$83) ))</f>
        <v>0.61944429724822081</v>
      </c>
      <c r="CN211" s="579">
        <f t="array" ref="CN211">$Z211  * (1 + SUM( ($AU$80:$AU$83=CN$93) * ($BH$79:$BP$79=CN$94) * ($BH$80:$BP$83) ))</f>
        <v>0.64057216699584529</v>
      </c>
      <c r="CO211" s="579">
        <f t="array" ref="CO211">$Z211  * (1 + SUM( ($AU$80:$AU$83=CO$93) * ($BH$79:$BP$79=CO$94) * ($BH$80:$BP$83) ))</f>
        <v>0.6699407692763456</v>
      </c>
      <c r="CP211" s="579">
        <f t="array" ref="CP211">$Z211  * (1 + SUM( ($AU$80:$AU$83=CP$93) * ($BH$79:$BP$79=CP$94) * ($BH$80:$BP$83) ))</f>
        <v>0.7034753817264584</v>
      </c>
      <c r="CQ211" s="579">
        <f t="array" ref="CQ211">$Z211  * (1 + SUM( ($AU$80:$AU$83=CQ$93) * ($BH$79:$BP$79=CQ$94) * ($BH$80:$BP$83) ))</f>
        <v>0.73415310902098663</v>
      </c>
      <c r="CR211" s="579">
        <f t="array" ref="CR211">$Z211  * (1 + SUM( ($AU$80:$AU$83=CR$93) * ($BH$79:$BP$79=CR$94) * ($BH$80:$BP$83) ))</f>
        <v>0.75702450679133138</v>
      </c>
      <c r="CS211" s="579">
        <f t="array" ref="CS211">$Z211  * (1 + SUM( ($AU$80:$AU$83=CS$93) * ($BH$79:$BP$79=CS$94) * ($BH$80:$BP$83) ))</f>
        <v>0.77160752130743415</v>
      </c>
      <c r="CT211" s="579">
        <f t="array" ref="CT211">$Z211  * (1 + SUM( ($AU$80:$AU$83=CT$93) * ($BH$79:$BP$79=CT$94) * ($BH$80:$BP$83) ))</f>
        <v>0.78</v>
      </c>
      <c r="CU211" s="578">
        <f t="array" ref="CU211">$Z211  * (1 + SUM( ($AU$80:$AU$83=CU$93) * ($BH$79:$BP$79=CU$94) * ($BH$80:$BP$83) ))</f>
        <v>0.60840019133666556</v>
      </c>
      <c r="CV211" s="578">
        <f t="array" ref="CV211">$Z211  * (1 + SUM( ($AU$80:$AU$83=CV$93) * ($BH$79:$BP$79=CV$94) * ($BH$80:$BP$83) ))</f>
        <v>0.62592572966429438</v>
      </c>
      <c r="CW211" s="578">
        <f t="array" ref="CW211">$Z211  * (1 + SUM( ($AU$80:$AU$83=CW$93) * ($BH$79:$BP$79=CW$94) * ($BH$80:$BP$83) ))</f>
        <v>0.65409622266112699</v>
      </c>
      <c r="CX211" s="578">
        <f t="array" ref="CX211">$Z211  * (1 + SUM( ($AU$80:$AU$83=CX$93) * ($BH$79:$BP$79=CX$94) * ($BH$80:$BP$83) ))</f>
        <v>0.69325435903512755</v>
      </c>
      <c r="CY211" s="578">
        <f t="array" ref="CY211">$Z211  * (1 + SUM( ($AU$80:$AU$83=CY$93) * ($BH$79:$BP$79=CY$94) * ($BH$80:$BP$83) ))</f>
        <v>0.73796717563527792</v>
      </c>
      <c r="CZ211" s="578">
        <f t="array" ref="CZ211">$Z211  * (1 + SUM( ($AU$80:$AU$83=CZ$93) * ($BH$79:$BP$79=CZ$94) * ($BH$80:$BP$83) ))</f>
        <v>0.77887081202798214</v>
      </c>
      <c r="DA211" s="578">
        <f t="array" ref="DA211">$Z211  * (1 + SUM( ($AU$80:$AU$83=DA$93) * ($BH$79:$BP$79=DA$94) * ($BH$80:$BP$83) ))</f>
        <v>0.80936600905510858</v>
      </c>
      <c r="DB211" s="578">
        <f t="array" ref="DB211">$Z211  * (1 + SUM( ($AU$80:$AU$83=DB$93) * ($BH$79:$BP$79=DB$94) * ($BH$80:$BP$83) ))</f>
        <v>0.82881002840991236</v>
      </c>
      <c r="DC211" s="578">
        <f t="array" ref="DC211">$Z211  * (1 + SUM( ($AU$80:$AU$83=DC$93) * ($BH$79:$BP$79=DC$94) * ($BH$80:$BP$83) ))</f>
        <v>0.84</v>
      </c>
    </row>
    <row r="212" spans="1:107">
      <c r="A212" s="585" t="s">
        <v>1099</v>
      </c>
      <c r="B212" s="585" t="s">
        <v>1098</v>
      </c>
      <c r="C212" s="584" t="s">
        <v>1027</v>
      </c>
      <c r="D212" s="584" t="s">
        <v>931</v>
      </c>
      <c r="E212" s="538">
        <v>0.6</v>
      </c>
      <c r="F212" s="540">
        <v>0.56299999999999994</v>
      </c>
      <c r="G212" s="539">
        <v>100</v>
      </c>
      <c r="H212" s="540">
        <v>0</v>
      </c>
      <c r="I212" s="580"/>
      <c r="J212" s="541">
        <v>1</v>
      </c>
      <c r="K212" s="540">
        <v>0</v>
      </c>
      <c r="L212" s="540">
        <v>0</v>
      </c>
      <c r="M212" s="580"/>
      <c r="N212" s="594"/>
      <c r="O212" s="580"/>
      <c r="P212" s="583">
        <v>0</v>
      </c>
      <c r="Q212" s="581">
        <v>0.05</v>
      </c>
      <c r="R212" s="581">
        <v>0.25</v>
      </c>
      <c r="S212" s="581">
        <v>0.5</v>
      </c>
      <c r="T212" s="580"/>
      <c r="U212" s="582">
        <v>0</v>
      </c>
      <c r="V212" s="581">
        <v>0</v>
      </c>
      <c r="W212" s="581">
        <v>0</v>
      </c>
      <c r="X212" s="581">
        <v>0</v>
      </c>
      <c r="Y212" s="580"/>
      <c r="Z212" s="582">
        <v>0.7</v>
      </c>
      <c r="AA212" s="581">
        <v>0.7</v>
      </c>
      <c r="AB212" s="581">
        <v>0.7</v>
      </c>
      <c r="AC212" s="581">
        <v>0.7</v>
      </c>
      <c r="AD212" s="581">
        <v>0.7</v>
      </c>
      <c r="AE212" s="581">
        <v>0.7</v>
      </c>
      <c r="AF212" s="581">
        <v>0.7</v>
      </c>
      <c r="AG212" s="580"/>
      <c r="AH212" s="1163">
        <v>117</v>
      </c>
      <c r="AI212" s="1162" t="str">
        <f t="shared" si="26"/>
        <v>FBSWAS</v>
      </c>
      <c r="AJ212" s="1160">
        <v>0</v>
      </c>
      <c r="AK212" s="1160">
        <v>0</v>
      </c>
      <c r="AL212" s="1160">
        <v>0</v>
      </c>
      <c r="AM212" s="1160">
        <v>0</v>
      </c>
      <c r="AN212" s="1160">
        <v>0</v>
      </c>
      <c r="AO212" s="1160">
        <v>0</v>
      </c>
      <c r="AP212" s="1160">
        <v>0</v>
      </c>
      <c r="AQ212" s="1160">
        <v>0</v>
      </c>
      <c r="AR212" s="1160">
        <v>0</v>
      </c>
      <c r="AS212" s="1159">
        <v>0</v>
      </c>
      <c r="AT212" s="1159">
        <v>0</v>
      </c>
      <c r="AU212" s="1159">
        <v>0</v>
      </c>
      <c r="AV212" s="1159">
        <v>0</v>
      </c>
      <c r="AW212" s="1159">
        <v>0</v>
      </c>
      <c r="AX212" s="1159">
        <v>0</v>
      </c>
      <c r="AY212" s="1159">
        <v>0</v>
      </c>
      <c r="AZ212" s="1159">
        <v>0</v>
      </c>
      <c r="BA212" s="1159">
        <v>0</v>
      </c>
      <c r="BB212" s="1160">
        <v>0</v>
      </c>
      <c r="BC212" s="1160">
        <v>0</v>
      </c>
      <c r="BD212" s="1160">
        <v>0</v>
      </c>
      <c r="BE212" s="1160">
        <v>0</v>
      </c>
      <c r="BF212" s="1160">
        <v>0</v>
      </c>
      <c r="BG212" s="1160">
        <v>0</v>
      </c>
      <c r="BH212" s="1160">
        <v>0</v>
      </c>
      <c r="BI212" s="1160">
        <v>0</v>
      </c>
      <c r="BJ212" s="1160">
        <v>0</v>
      </c>
      <c r="BK212" s="1159">
        <v>0</v>
      </c>
      <c r="BL212" s="1159">
        <v>0</v>
      </c>
      <c r="BM212" s="1159">
        <v>0</v>
      </c>
      <c r="BN212" s="1159">
        <v>0</v>
      </c>
      <c r="BO212" s="1159">
        <v>0</v>
      </c>
      <c r="BP212" s="1159">
        <v>0</v>
      </c>
      <c r="BQ212" s="1159">
        <v>0</v>
      </c>
      <c r="BR212" s="1159">
        <v>0</v>
      </c>
      <c r="BS212" s="1159">
        <v>0</v>
      </c>
      <c r="BT212" s="579">
        <f t="array" ref="BT212">$Z212  * (1 + SUM( ($AU$80:$AU$83=BT$93) * ($BH$79:$BP$79=BT$94) * ($BH$80:$BP$83) ))</f>
        <v>0.70024500558065272</v>
      </c>
      <c r="BU212" s="579">
        <f t="array" ref="BU212">$Z212  * (1 + SUM( ($AU$80:$AU$83=BU$93) * ($BH$79:$BP$79=BU$94) * ($BH$80:$BP$83) ))</f>
        <v>0.70075616711520849</v>
      </c>
      <c r="BV212" s="579">
        <f t="array" ref="BV212">$Z212  * (1 + SUM( ($AU$80:$AU$83=BV$93) * ($BH$79:$BP$79=BV$94) * ($BH$80:$BP$83) ))</f>
        <v>0.70157780649428281</v>
      </c>
      <c r="BW212" s="579">
        <f t="array" ref="BW212">$Z212  * (1 + SUM( ($AU$80:$AU$83=BW$93) * ($BH$79:$BP$79=BW$94) * ($BH$80:$BP$83) ))</f>
        <v>0.70271991880519113</v>
      </c>
      <c r="BX212" s="579">
        <f t="array" ref="BX212">$Z212  * (1 + SUM( ($AU$80:$AU$83=BX$93) * ($BH$79:$BP$79=BX$94) * ($BH$80:$BP$83) ))</f>
        <v>0.70402404262269558</v>
      </c>
      <c r="BY212" s="579">
        <f t="array" ref="BY212">$Z212  * (1 + SUM( ($AU$80:$AU$83=BY$93) * ($BH$79:$BP$79=BY$94) * ($BH$80:$BP$83) ))</f>
        <v>0.70521706535081619</v>
      </c>
      <c r="BZ212" s="579">
        <f t="array" ref="BZ212">$Z212  * (1 + SUM( ($AU$80:$AU$83=BZ$93) * ($BH$79:$BP$79=BZ$94) * ($BH$80:$BP$83) ))</f>
        <v>0.70610650859744051</v>
      </c>
      <c r="CA212" s="579">
        <f t="array" ref="CA212">$Z212  * (1 + SUM( ($AU$80:$AU$83=CA$93) * ($BH$79:$BP$79=CA$94) * ($BH$80:$BP$83) ))</f>
        <v>0.70667362582862236</v>
      </c>
      <c r="CB212" s="579">
        <f t="array" ref="CB212">$Z212  * (1 + SUM( ($AU$80:$AU$83=CB$93) * ($BH$79:$BP$79=CB$94) * ($BH$80:$BP$83) ))</f>
        <v>0.70699999999999996</v>
      </c>
      <c r="CC212" s="578">
        <f t="array" ref="CC212">$Z212  * (1 + SUM( ($AU$80:$AU$83=CC$93) * ($BH$79:$BP$79=CC$94) * ($BH$80:$BP$83) ))</f>
        <v>0.70367508370979115</v>
      </c>
      <c r="CD212" s="578">
        <f t="array" ref="CD212">$Z212  * (1 + SUM( ($AU$80:$AU$83=CD$93) * ($BH$79:$BP$79=CD$94) * ($BH$80:$BP$83) ))</f>
        <v>0.71134250672812871</v>
      </c>
      <c r="CE212" s="578">
        <f t="array" ref="CE212">$Z212  * (1 + SUM( ($AU$80:$AU$83=CE$93) * ($BH$79:$BP$79=CE$94) * ($BH$80:$BP$83) ))</f>
        <v>0.72366709741424307</v>
      </c>
      <c r="CF212" s="578">
        <f t="array" ref="CF212">$Z212  * (1 + SUM( ($AU$80:$AU$83=CF$93) * ($BH$79:$BP$79=CF$94) * ($BH$80:$BP$83) ))</f>
        <v>0.74079878207786831</v>
      </c>
      <c r="CG212" s="578">
        <f t="array" ref="CG212">$Z212  * (1 + SUM( ($AU$80:$AU$83=CG$93) * ($BH$79:$BP$79=CG$94) * ($BH$80:$BP$83) ))</f>
        <v>0.76036063934043396</v>
      </c>
      <c r="CH212" s="578">
        <f t="array" ref="CH212">$Z212  * (1 + SUM( ($AU$80:$AU$83=CH$93) * ($BH$79:$BP$79=CH$94) * ($BH$80:$BP$83) ))</f>
        <v>0.77825598026224219</v>
      </c>
      <c r="CI212" s="578">
        <f t="array" ref="CI212">$Z212  * (1 + SUM( ($AU$80:$AU$83=CI$93) * ($BH$79:$BP$79=CI$94) * ($BH$80:$BP$83) ))</f>
        <v>0.79159762896160979</v>
      </c>
      <c r="CJ212" s="578">
        <f t="array" ref="CJ212">$Z212  * (1 + SUM( ($AU$80:$AU$83=CJ$93) * ($BH$79:$BP$79=CJ$94) * ($BH$80:$BP$83) ))</f>
        <v>0.80010438742933654</v>
      </c>
      <c r="CK212" s="578">
        <f t="array" ref="CK212">$Z212  * (1 + SUM( ($AU$80:$AU$83=CK$93) * ($BH$79:$BP$79=CK$94) * ($BH$80:$BP$83) ))</f>
        <v>0.80499999999999994</v>
      </c>
      <c r="CL212" s="579">
        <f t="array" ref="CL212">$Z212  * (1 + SUM( ($AU$80:$AU$83=CL$93) * ($BH$79:$BP$79=CL$94) * ($BH$80:$BP$83) ))</f>
        <v>0.70735016741958234</v>
      </c>
      <c r="CM212" s="579">
        <f t="array" ref="CM212">$Z212  * (1 + SUM( ($AU$80:$AU$83=CM$93) * ($BH$79:$BP$79=CM$94) * ($BH$80:$BP$83) ))</f>
        <v>0.72268501345625757</v>
      </c>
      <c r="CN212" s="579">
        <f t="array" ref="CN212">$Z212  * (1 + SUM( ($AU$80:$AU$83=CN$93) * ($BH$79:$BP$79=CN$94) * ($BH$80:$BP$83) ))</f>
        <v>0.74733419482848618</v>
      </c>
      <c r="CO212" s="579">
        <f t="array" ref="CO212">$Z212  * (1 + SUM( ($AU$80:$AU$83=CO$93) * ($BH$79:$BP$79=CO$94) * ($BH$80:$BP$83) ))</f>
        <v>0.78159756415573645</v>
      </c>
      <c r="CP212" s="579">
        <f t="array" ref="CP212">$Z212  * (1 + SUM( ($AU$80:$AU$83=CP$93) * ($BH$79:$BP$79=CP$94) * ($BH$80:$BP$83) ))</f>
        <v>0.82072127868086819</v>
      </c>
      <c r="CQ212" s="579">
        <f t="array" ref="CQ212">$Z212  * (1 + SUM( ($AU$80:$AU$83=CQ$93) * ($BH$79:$BP$79=CQ$94) * ($BH$80:$BP$83) ))</f>
        <v>0.85651196052448431</v>
      </c>
      <c r="CR212" s="579">
        <f t="array" ref="CR212">$Z212  * (1 + SUM( ($AU$80:$AU$83=CR$93) * ($BH$79:$BP$79=CR$94) * ($BH$80:$BP$83) ))</f>
        <v>0.88319525792321985</v>
      </c>
      <c r="CS212" s="579">
        <f t="array" ref="CS212">$Z212  * (1 + SUM( ($AU$80:$AU$83=CS$93) * ($BH$79:$BP$79=CS$94) * ($BH$80:$BP$83) ))</f>
        <v>0.90020877485867323</v>
      </c>
      <c r="CT212" s="579">
        <f t="array" ref="CT212">$Z212  * (1 + SUM( ($AU$80:$AU$83=CT$93) * ($BH$79:$BP$79=CT$94) * ($BH$80:$BP$83) ))</f>
        <v>0.90999999999999992</v>
      </c>
      <c r="CU212" s="578">
        <f t="array" ref="CU212">$Z212  * (1 + SUM( ($AU$80:$AU$83=CU$93) * ($BH$79:$BP$79=CU$94) * ($BH$80:$BP$83) ))</f>
        <v>0.70980022322610981</v>
      </c>
      <c r="CV212" s="578">
        <f t="array" ref="CV212">$Z212  * (1 + SUM( ($AU$80:$AU$83=CV$93) * ($BH$79:$BP$79=CV$94) * ($BH$80:$BP$83) ))</f>
        <v>0.73024668460834341</v>
      </c>
      <c r="CW212" s="578">
        <f t="array" ref="CW212">$Z212  * (1 + SUM( ($AU$80:$AU$83=CW$93) * ($BH$79:$BP$79=CW$94) * ($BH$80:$BP$83) ))</f>
        <v>0.7631122597713148</v>
      </c>
      <c r="CX212" s="578">
        <f t="array" ref="CX212">$Z212  * (1 + SUM( ($AU$80:$AU$83=CX$93) * ($BH$79:$BP$79=CX$94) * ($BH$80:$BP$83) ))</f>
        <v>0.80879675220764879</v>
      </c>
      <c r="CY212" s="578">
        <f t="array" ref="CY212">$Z212  * (1 + SUM( ($AU$80:$AU$83=CY$93) * ($BH$79:$BP$79=CY$94) * ($BH$80:$BP$83) ))</f>
        <v>0.8609617049078242</v>
      </c>
      <c r="CZ212" s="578">
        <f t="array" ref="CZ212">$Z212  * (1 + SUM( ($AU$80:$AU$83=CZ$93) * ($BH$79:$BP$79=CZ$94) * ($BH$80:$BP$83) ))</f>
        <v>0.90868261403264572</v>
      </c>
      <c r="DA212" s="578">
        <f t="array" ref="DA212">$Z212  * (1 + SUM( ($AU$80:$AU$83=DA$93) * ($BH$79:$BP$79=DA$94) * ($BH$80:$BP$83) ))</f>
        <v>0.94426034389762659</v>
      </c>
      <c r="DB212" s="578">
        <f t="array" ref="DB212">$Z212  * (1 + SUM( ($AU$80:$AU$83=DB$93) * ($BH$79:$BP$79=DB$94) * ($BH$80:$BP$83) ))</f>
        <v>0.96694503314489766</v>
      </c>
      <c r="DC212" s="578">
        <f t="array" ref="DC212">$Z212  * (1 + SUM( ($AU$80:$AU$83=DC$93) * ($BH$79:$BP$79=DC$94) * ($BH$80:$BP$83) ))</f>
        <v>0.97999999999999987</v>
      </c>
    </row>
    <row r="213" spans="1:107" ht="52" customHeight="1" thickBot="1">
      <c r="A213" s="1180" t="s">
        <v>1064</v>
      </c>
      <c r="B213" s="1179" t="s">
        <v>796</v>
      </c>
      <c r="C213" s="1179" t="s">
        <v>797</v>
      </c>
      <c r="D213" s="1179" t="s">
        <v>798</v>
      </c>
      <c r="E213" s="1179" t="s">
        <v>385</v>
      </c>
      <c r="F213" s="1179" t="s">
        <v>799</v>
      </c>
      <c r="G213" s="1179" t="s">
        <v>800</v>
      </c>
      <c r="H213" s="1179" t="s">
        <v>801</v>
      </c>
      <c r="I213" s="1164"/>
      <c r="J213" s="1179" t="s">
        <v>803</v>
      </c>
      <c r="K213" s="1179" t="s">
        <v>804</v>
      </c>
      <c r="L213" s="1179" t="s">
        <v>805</v>
      </c>
      <c r="M213" s="1179" t="s">
        <v>806</v>
      </c>
      <c r="N213" s="1179" t="s">
        <v>877</v>
      </c>
      <c r="O213" s="1168"/>
      <c r="P213" s="1163" t="s">
        <v>881</v>
      </c>
      <c r="Q213" s="1164"/>
      <c r="R213" s="1164"/>
      <c r="S213" s="1164"/>
      <c r="T213" s="1164"/>
      <c r="U213" s="1163" t="s">
        <v>881</v>
      </c>
      <c r="V213" s="1164"/>
      <c r="W213" s="1164"/>
      <c r="X213" s="1164"/>
      <c r="Y213" s="1164"/>
      <c r="Z213" s="1163" t="s">
        <v>881</v>
      </c>
      <c r="AA213" s="1164"/>
      <c r="AB213" s="1164"/>
      <c r="AC213" s="1164"/>
      <c r="AD213" s="1164"/>
      <c r="AE213" s="1164"/>
      <c r="AF213" s="1164"/>
      <c r="AG213" s="1164"/>
      <c r="AH213" s="1163">
        <v>118</v>
      </c>
      <c r="AI213" s="1162"/>
      <c r="AJ213" s="1163" t="s">
        <v>881</v>
      </c>
      <c r="AK213" s="1163" t="s">
        <v>881</v>
      </c>
      <c r="AL213" s="1163" t="s">
        <v>881</v>
      </c>
      <c r="AM213" s="1163" t="s">
        <v>881</v>
      </c>
      <c r="AN213" s="1163" t="s">
        <v>881</v>
      </c>
      <c r="AO213" s="1163" t="s">
        <v>881</v>
      </c>
      <c r="AP213" s="1163" t="s">
        <v>881</v>
      </c>
      <c r="AQ213" s="1163" t="s">
        <v>881</v>
      </c>
      <c r="AR213" s="1163" t="s">
        <v>881</v>
      </c>
      <c r="AS213" s="1170" t="s">
        <v>881</v>
      </c>
      <c r="AT213" s="1170" t="s">
        <v>881</v>
      </c>
      <c r="AU213" s="1170" t="s">
        <v>881</v>
      </c>
      <c r="AV213" s="1170" t="s">
        <v>881</v>
      </c>
      <c r="AW213" s="1170" t="s">
        <v>881</v>
      </c>
      <c r="AX213" s="1170" t="s">
        <v>881</v>
      </c>
      <c r="AY213" s="1170" t="s">
        <v>881</v>
      </c>
      <c r="AZ213" s="1170" t="s">
        <v>881</v>
      </c>
      <c r="BA213" s="1170" t="s">
        <v>881</v>
      </c>
      <c r="BB213" s="1163" t="s">
        <v>881</v>
      </c>
      <c r="BC213" s="1163" t="s">
        <v>881</v>
      </c>
      <c r="BD213" s="1163" t="s">
        <v>881</v>
      </c>
      <c r="BE213" s="1163" t="s">
        <v>881</v>
      </c>
      <c r="BF213" s="1163" t="s">
        <v>881</v>
      </c>
      <c r="BG213" s="1163" t="s">
        <v>881</v>
      </c>
      <c r="BH213" s="1163" t="s">
        <v>881</v>
      </c>
      <c r="BI213" s="1163" t="s">
        <v>881</v>
      </c>
      <c r="BJ213" s="1163" t="s">
        <v>881</v>
      </c>
      <c r="BK213" s="1170" t="s">
        <v>881</v>
      </c>
      <c r="BL213" s="1170" t="s">
        <v>881</v>
      </c>
      <c r="BM213" s="1170" t="s">
        <v>881</v>
      </c>
      <c r="BN213" s="1170" t="s">
        <v>881</v>
      </c>
      <c r="BO213" s="1170" t="s">
        <v>881</v>
      </c>
      <c r="BP213" s="1170" t="s">
        <v>881</v>
      </c>
      <c r="BQ213" s="1170" t="s">
        <v>881</v>
      </c>
      <c r="BR213" s="1170" t="s">
        <v>881</v>
      </c>
      <c r="BS213" s="1170" t="s">
        <v>881</v>
      </c>
      <c r="BT213" s="592"/>
      <c r="BU213" s="592"/>
      <c r="BV213" s="592"/>
      <c r="BW213" s="592"/>
      <c r="BX213" s="592"/>
      <c r="BY213" s="592"/>
      <c r="BZ213" s="592"/>
      <c r="CA213" s="592"/>
      <c r="CB213" s="592"/>
      <c r="CC213" s="593"/>
      <c r="CD213" s="593"/>
      <c r="CE213" s="593"/>
      <c r="CF213" s="593"/>
      <c r="CG213" s="593"/>
      <c r="CH213" s="593"/>
      <c r="CI213" s="593"/>
      <c r="CJ213" s="593"/>
      <c r="CK213" s="593"/>
      <c r="CL213" s="592"/>
      <c r="CM213" s="592"/>
      <c r="CN213" s="592"/>
      <c r="CO213" s="592"/>
      <c r="CP213" s="592"/>
      <c r="CQ213" s="592"/>
      <c r="CR213" s="592"/>
      <c r="CS213" s="592"/>
      <c r="CT213" s="592"/>
      <c r="CU213" s="592"/>
      <c r="CV213" s="592"/>
      <c r="CW213" s="592"/>
      <c r="CX213" s="592"/>
      <c r="CY213" s="592"/>
      <c r="CZ213" s="592"/>
      <c r="DA213" s="592"/>
      <c r="DB213" s="592"/>
      <c r="DC213" s="592"/>
    </row>
    <row r="214" spans="1:107">
      <c r="A214" s="1173" t="s">
        <v>807</v>
      </c>
      <c r="B214" s="1178" t="s">
        <v>1003</v>
      </c>
      <c r="C214" s="1177"/>
      <c r="D214" s="1177"/>
      <c r="E214" s="1176" t="s">
        <v>808</v>
      </c>
      <c r="F214" s="1176" t="s">
        <v>809</v>
      </c>
      <c r="G214" s="1174" t="s">
        <v>810</v>
      </c>
      <c r="H214" s="1175" t="s">
        <v>811</v>
      </c>
      <c r="I214" s="1164"/>
      <c r="J214" s="1174" t="s">
        <v>812</v>
      </c>
      <c r="K214" s="1174" t="s">
        <v>813</v>
      </c>
      <c r="L214" s="1174" t="s">
        <v>813</v>
      </c>
      <c r="M214" s="1168"/>
      <c r="N214" s="1168"/>
      <c r="O214" s="1168"/>
      <c r="P214" s="1163" t="s">
        <v>881</v>
      </c>
      <c r="Q214" s="1164"/>
      <c r="R214" s="1164"/>
      <c r="S214" s="1164"/>
      <c r="T214" s="1164"/>
      <c r="U214" s="1163" t="s">
        <v>881</v>
      </c>
      <c r="V214" s="1164"/>
      <c r="W214" s="1164"/>
      <c r="X214" s="1164"/>
      <c r="Y214" s="1164"/>
      <c r="Z214" s="1163" t="s">
        <v>881</v>
      </c>
      <c r="AA214" s="1164"/>
      <c r="AB214" s="1164"/>
      <c r="AC214" s="1164"/>
      <c r="AD214" s="1164"/>
      <c r="AE214" s="1164"/>
      <c r="AF214" s="1164"/>
      <c r="AG214" s="1164"/>
      <c r="AH214" s="1163">
        <v>119</v>
      </c>
      <c r="AI214" s="1162" t="str">
        <f>MID(D214,2,2)</f>
        <v/>
      </c>
      <c r="AJ214" s="1163" t="s">
        <v>881</v>
      </c>
      <c r="AK214" s="1163" t="s">
        <v>881</v>
      </c>
      <c r="AL214" s="1163" t="s">
        <v>881</v>
      </c>
      <c r="AM214" s="1163" t="s">
        <v>881</v>
      </c>
      <c r="AN214" s="1163" t="s">
        <v>881</v>
      </c>
      <c r="AO214" s="1163" t="s">
        <v>881</v>
      </c>
      <c r="AP214" s="1163" t="s">
        <v>881</v>
      </c>
      <c r="AQ214" s="1163" t="s">
        <v>881</v>
      </c>
      <c r="AR214" s="1163" t="s">
        <v>881</v>
      </c>
      <c r="AS214" s="1170" t="s">
        <v>881</v>
      </c>
      <c r="AT214" s="1170" t="s">
        <v>881</v>
      </c>
      <c r="AU214" s="1170" t="s">
        <v>881</v>
      </c>
      <c r="AV214" s="1170" t="s">
        <v>881</v>
      </c>
      <c r="AW214" s="1170" t="s">
        <v>881</v>
      </c>
      <c r="AX214" s="1170" t="s">
        <v>881</v>
      </c>
      <c r="AY214" s="1170" t="s">
        <v>881</v>
      </c>
      <c r="AZ214" s="1170" t="s">
        <v>881</v>
      </c>
      <c r="BA214" s="1170" t="s">
        <v>881</v>
      </c>
      <c r="BB214" s="1163" t="s">
        <v>881</v>
      </c>
      <c r="BC214" s="1163" t="s">
        <v>881</v>
      </c>
      <c r="BD214" s="1163" t="s">
        <v>881</v>
      </c>
      <c r="BE214" s="1163" t="s">
        <v>881</v>
      </c>
      <c r="BF214" s="1163" t="s">
        <v>881</v>
      </c>
      <c r="BG214" s="1163" t="s">
        <v>881</v>
      </c>
      <c r="BH214" s="1163" t="s">
        <v>881</v>
      </c>
      <c r="BI214" s="1163" t="s">
        <v>881</v>
      </c>
      <c r="BJ214" s="1163" t="s">
        <v>881</v>
      </c>
      <c r="BK214" s="1170" t="s">
        <v>881</v>
      </c>
      <c r="BL214" s="1170" t="s">
        <v>881</v>
      </c>
      <c r="BM214" s="1170" t="s">
        <v>881</v>
      </c>
      <c r="BN214" s="1170" t="s">
        <v>881</v>
      </c>
      <c r="BO214" s="1170" t="s">
        <v>881</v>
      </c>
      <c r="BP214" s="1170" t="s">
        <v>881</v>
      </c>
      <c r="BQ214" s="1170" t="s">
        <v>881</v>
      </c>
      <c r="BR214" s="1170" t="s">
        <v>881</v>
      </c>
      <c r="BS214" s="1170" t="s">
        <v>881</v>
      </c>
      <c r="BT214" s="590"/>
      <c r="BU214" s="590"/>
      <c r="BV214" s="590"/>
      <c r="BW214" s="590"/>
      <c r="BX214" s="590"/>
      <c r="BY214" s="590"/>
      <c r="BZ214" s="590"/>
      <c r="CA214" s="590"/>
      <c r="CB214" s="590"/>
      <c r="CC214" s="591"/>
      <c r="CD214" s="591"/>
      <c r="CE214" s="591"/>
      <c r="CF214" s="591"/>
      <c r="CG214" s="591"/>
      <c r="CH214" s="591"/>
      <c r="CI214" s="591"/>
      <c r="CJ214" s="591"/>
      <c r="CK214" s="591"/>
      <c r="CL214" s="590"/>
      <c r="CM214" s="590"/>
      <c r="CN214" s="590"/>
      <c r="CO214" s="590"/>
      <c r="CP214" s="590"/>
      <c r="CQ214" s="590"/>
      <c r="CR214" s="590"/>
      <c r="CS214" s="590"/>
      <c r="CT214" s="590"/>
      <c r="CU214" s="590"/>
      <c r="CV214" s="590"/>
      <c r="CW214" s="590"/>
      <c r="CX214" s="590"/>
      <c r="CY214" s="590"/>
      <c r="CZ214" s="590"/>
      <c r="DA214" s="590"/>
      <c r="DB214" s="590"/>
      <c r="DC214" s="590"/>
    </row>
    <row r="215" spans="1:107">
      <c r="A215" s="1173" t="s">
        <v>814</v>
      </c>
      <c r="B215" s="1167"/>
      <c r="C215" s="1172">
        <v>1</v>
      </c>
      <c r="D215" s="1172">
        <v>2</v>
      </c>
      <c r="E215" s="1172">
        <v>3</v>
      </c>
      <c r="F215" s="1172">
        <v>4</v>
      </c>
      <c r="G215" s="1172">
        <v>5</v>
      </c>
      <c r="H215" s="1172">
        <v>6</v>
      </c>
      <c r="I215" s="1164"/>
      <c r="J215" s="589"/>
      <c r="K215" s="1171"/>
      <c r="L215" s="1171"/>
      <c r="M215" s="1168"/>
      <c r="N215" s="1168"/>
      <c r="O215" s="1168"/>
      <c r="P215" s="1163" t="s">
        <v>881</v>
      </c>
      <c r="Q215" s="1164"/>
      <c r="R215" s="1164"/>
      <c r="S215" s="1164"/>
      <c r="T215" s="1164"/>
      <c r="U215" s="1163" t="s">
        <v>881</v>
      </c>
      <c r="V215" s="1164"/>
      <c r="W215" s="1164"/>
      <c r="X215" s="1164"/>
      <c r="Y215" s="1164"/>
      <c r="Z215" s="1163" t="s">
        <v>881</v>
      </c>
      <c r="AA215" s="1164"/>
      <c r="AB215" s="1164"/>
      <c r="AC215" s="1164"/>
      <c r="AD215" s="1164"/>
      <c r="AE215" s="1164"/>
      <c r="AF215" s="1164"/>
      <c r="AG215" s="1164"/>
      <c r="AH215" s="1163">
        <v>120</v>
      </c>
      <c r="AI215" s="1162" t="str">
        <f>MID(D215,2,2)</f>
        <v/>
      </c>
      <c r="AJ215" s="1163" t="s">
        <v>881</v>
      </c>
      <c r="AK215" s="1163" t="s">
        <v>881</v>
      </c>
      <c r="AL215" s="1163" t="s">
        <v>881</v>
      </c>
      <c r="AM215" s="1163" t="s">
        <v>881</v>
      </c>
      <c r="AN215" s="1163" t="s">
        <v>881</v>
      </c>
      <c r="AO215" s="1163" t="s">
        <v>881</v>
      </c>
      <c r="AP215" s="1163" t="s">
        <v>881</v>
      </c>
      <c r="AQ215" s="1163" t="s">
        <v>881</v>
      </c>
      <c r="AR215" s="1163" t="s">
        <v>881</v>
      </c>
      <c r="AS215" s="1170" t="s">
        <v>881</v>
      </c>
      <c r="AT215" s="1170" t="s">
        <v>881</v>
      </c>
      <c r="AU215" s="1170" t="s">
        <v>881</v>
      </c>
      <c r="AV215" s="1170" t="s">
        <v>881</v>
      </c>
      <c r="AW215" s="1170" t="s">
        <v>881</v>
      </c>
      <c r="AX215" s="1170" t="s">
        <v>881</v>
      </c>
      <c r="AY215" s="1170" t="s">
        <v>881</v>
      </c>
      <c r="AZ215" s="1170" t="s">
        <v>881</v>
      </c>
      <c r="BA215" s="1170" t="s">
        <v>881</v>
      </c>
      <c r="BB215" s="1163" t="s">
        <v>881</v>
      </c>
      <c r="BC215" s="1163" t="s">
        <v>881</v>
      </c>
      <c r="BD215" s="1163" t="s">
        <v>881</v>
      </c>
      <c r="BE215" s="1163" t="s">
        <v>881</v>
      </c>
      <c r="BF215" s="1163" t="s">
        <v>881</v>
      </c>
      <c r="BG215" s="1163" t="s">
        <v>881</v>
      </c>
      <c r="BH215" s="1163" t="s">
        <v>881</v>
      </c>
      <c r="BI215" s="1163" t="s">
        <v>881</v>
      </c>
      <c r="BJ215" s="1163" t="s">
        <v>881</v>
      </c>
      <c r="BK215" s="1170" t="s">
        <v>881</v>
      </c>
      <c r="BL215" s="1170" t="s">
        <v>881</v>
      </c>
      <c r="BM215" s="1170" t="s">
        <v>881</v>
      </c>
      <c r="BN215" s="1170" t="s">
        <v>881</v>
      </c>
      <c r="BO215" s="1170" t="s">
        <v>881</v>
      </c>
      <c r="BP215" s="1170" t="s">
        <v>881</v>
      </c>
      <c r="BQ215" s="1170" t="s">
        <v>881</v>
      </c>
      <c r="BR215" s="1170" t="s">
        <v>881</v>
      </c>
      <c r="BS215" s="1170" t="s">
        <v>881</v>
      </c>
      <c r="BT215" s="588"/>
      <c r="BU215" s="588"/>
      <c r="BV215" s="588"/>
      <c r="BW215" s="588"/>
      <c r="BX215" s="588"/>
      <c r="BY215" s="588"/>
      <c r="BZ215" s="588"/>
      <c r="CA215" s="588"/>
      <c r="CB215" s="588"/>
      <c r="CC215" s="578"/>
      <c r="CD215" s="578"/>
      <c r="CE215" s="578"/>
      <c r="CF215" s="578"/>
      <c r="CG215" s="578"/>
      <c r="CH215" s="578"/>
      <c r="CI215" s="578"/>
      <c r="CJ215" s="578"/>
      <c r="CK215" s="578"/>
      <c r="CL215" s="588"/>
      <c r="CM215" s="588"/>
      <c r="CN215" s="588"/>
      <c r="CO215" s="588"/>
      <c r="CP215" s="588"/>
      <c r="CQ215" s="588"/>
      <c r="CR215" s="588"/>
      <c r="CS215" s="588"/>
      <c r="CT215" s="588"/>
      <c r="CU215" s="588"/>
      <c r="CV215" s="588"/>
      <c r="CW215" s="588"/>
      <c r="CX215" s="588"/>
      <c r="CY215" s="588"/>
      <c r="CZ215" s="588"/>
      <c r="DA215" s="588"/>
      <c r="DB215" s="588"/>
      <c r="DC215" s="588"/>
    </row>
    <row r="216" spans="1:107">
      <c r="A216" s="1167" t="s">
        <v>1097</v>
      </c>
      <c r="B216" s="1167" t="s">
        <v>1096</v>
      </c>
      <c r="C216" s="1166" t="s">
        <v>1030</v>
      </c>
      <c r="D216" s="1166" t="s">
        <v>930</v>
      </c>
      <c r="E216" s="577">
        <v>1</v>
      </c>
      <c r="F216" s="574">
        <v>0.79010000000000002</v>
      </c>
      <c r="G216" s="576">
        <v>100</v>
      </c>
      <c r="H216" s="574">
        <v>0.94765887862295928</v>
      </c>
      <c r="I216" s="1164"/>
      <c r="J216" s="575">
        <v>1</v>
      </c>
      <c r="K216" s="574">
        <v>0.74874528000000018</v>
      </c>
      <c r="L216" s="574">
        <v>0.74874528000000018</v>
      </c>
      <c r="M216" s="1168"/>
      <c r="N216" s="1168">
        <v>1</v>
      </c>
      <c r="O216" s="1168"/>
      <c r="P216" s="1163" t="s">
        <v>881</v>
      </c>
      <c r="Q216" s="1164"/>
      <c r="R216" s="1164"/>
      <c r="S216" s="1164"/>
      <c r="T216" s="1164"/>
      <c r="U216" s="1163" t="s">
        <v>881</v>
      </c>
      <c r="V216" s="1164"/>
      <c r="W216" s="1164"/>
      <c r="X216" s="1164"/>
      <c r="Y216" s="1164"/>
      <c r="Z216" s="573">
        <v>1</v>
      </c>
      <c r="AA216" s="572">
        <v>1</v>
      </c>
      <c r="AB216" s="572">
        <v>1</v>
      </c>
      <c r="AC216" s="572">
        <v>1</v>
      </c>
      <c r="AD216" s="572">
        <v>1</v>
      </c>
      <c r="AE216" s="572">
        <v>1</v>
      </c>
      <c r="AF216" s="572">
        <v>1</v>
      </c>
      <c r="AG216" s="1164"/>
      <c r="AH216" s="1163">
        <v>121</v>
      </c>
      <c r="AI216" s="1162" t="str">
        <f>MID(D216,2,2)&amp;C216</f>
        <v>PPINDELC</v>
      </c>
      <c r="AJ216" s="1163" t="s">
        <v>881</v>
      </c>
      <c r="AK216" s="1163" t="s">
        <v>881</v>
      </c>
      <c r="AL216" s="1163" t="s">
        <v>881</v>
      </c>
      <c r="AM216" s="1163" t="s">
        <v>881</v>
      </c>
      <c r="AN216" s="1163" t="s">
        <v>881</v>
      </c>
      <c r="AO216" s="1163" t="s">
        <v>881</v>
      </c>
      <c r="AP216" s="1163" t="s">
        <v>881</v>
      </c>
      <c r="AQ216" s="1163" t="s">
        <v>881</v>
      </c>
      <c r="AR216" s="1163" t="s">
        <v>881</v>
      </c>
      <c r="AS216" s="1170" t="s">
        <v>881</v>
      </c>
      <c r="AT216" s="1170" t="s">
        <v>881</v>
      </c>
      <c r="AU216" s="1170" t="s">
        <v>881</v>
      </c>
      <c r="AV216" s="1170" t="s">
        <v>881</v>
      </c>
      <c r="AW216" s="1170" t="s">
        <v>881</v>
      </c>
      <c r="AX216" s="1170" t="s">
        <v>881</v>
      </c>
      <c r="AY216" s="1170" t="s">
        <v>881</v>
      </c>
      <c r="AZ216" s="1170" t="s">
        <v>881</v>
      </c>
      <c r="BA216" s="1170" t="s">
        <v>881</v>
      </c>
      <c r="BB216" s="1163" t="s">
        <v>881</v>
      </c>
      <c r="BC216" s="1163" t="s">
        <v>881</v>
      </c>
      <c r="BD216" s="1163" t="s">
        <v>881</v>
      </c>
      <c r="BE216" s="1163" t="s">
        <v>881</v>
      </c>
      <c r="BF216" s="1163" t="s">
        <v>881</v>
      </c>
      <c r="BG216" s="1163" t="s">
        <v>881</v>
      </c>
      <c r="BH216" s="1163" t="s">
        <v>881</v>
      </c>
      <c r="BI216" s="1163" t="s">
        <v>881</v>
      </c>
      <c r="BJ216" s="1163" t="s">
        <v>881</v>
      </c>
      <c r="BT216" s="1443">
        <f t="array" ref="BT216">SUM(IFERROR(($AW$42:$AW$76=LEFT($AI216,2)) * ($AU$42:$AU$76=BT$93) * ($BH$41:$BP$41=BT$94) * ($BH$42:$BP$77),0))</f>
        <v>2.8000637788885244E-4</v>
      </c>
      <c r="BU216" s="1443">
        <f t="array" ref="BU216">SUM(IFERROR(($AW$42:$AW$76=LEFT($AI216,2)) * ($AU$42:$AU$76=BU$93) * ($BH$41:$BP$41=BU$94) * ($BH$42:$BP$77),0))</f>
        <v>8.6419098880981379E-4</v>
      </c>
      <c r="BV216" s="1443">
        <f t="array" ref="BV216">SUM(IFERROR(($AW$42:$AW$76=LEFT($AI216,2)) * ($AU$42:$AU$76=BV$93) * ($BH$41:$BP$41=BV$94) * ($BH$42:$BP$77),0))</f>
        <v>1.8032074220375683E-3</v>
      </c>
      <c r="BW216" s="1443">
        <f t="array" ref="BW216">SUM(IFERROR(($AW$42:$AW$76=LEFT($AI216,2)) * ($AU$42:$AU$76=BW$93) * ($BH$41:$BP$41=BW$94) * ($BH$42:$BP$77),0))</f>
        <v>3.1084786345042508E-3</v>
      </c>
      <c r="BX216" s="1443">
        <f t="array" ref="BX216">SUM(IFERROR(($AW$42:$AW$76=LEFT($AI216,2)) * ($AU$42:$AU$76=BX$93) * ($BH$41:$BP$41=BX$94) * ($BH$42:$BP$77),0))</f>
        <v>4.5989058545092649E-3</v>
      </c>
      <c r="BY216" s="1443">
        <f t="array" ref="BY216">SUM(IFERROR(($AW$42:$AW$76=LEFT($AI216,2)) * ($AU$42:$AU$76=BY$93) * ($BH$41:$BP$41=BY$94) * ($BH$42:$BP$77),0))</f>
        <v>5.9623604009327391E-3</v>
      </c>
      <c r="BZ216" s="1443">
        <f t="array" ref="BZ216">SUM(IFERROR(($AW$42:$AW$76=LEFT($AI216,2)) * ($AU$42:$AU$76=BZ$93) * ($BH$41:$BP$41=BZ$94) * ($BH$42:$BP$77),0))</f>
        <v>6.9788669685036161E-3</v>
      </c>
      <c r="CA216" s="1443">
        <f t="array" ref="CA216">SUM(IFERROR(($AW$42:$AW$76=LEFT($AI216,2)) * ($AU$42:$AU$76=CA$93) * ($BH$41:$BP$41=CA$94) * ($BH$42:$BP$77),0))</f>
        <v>7.6270009469970781E-3</v>
      </c>
      <c r="CB216" s="1443">
        <f t="array" ref="CB216">SUM(IFERROR(($AW$42:$AW$76=LEFT($AI216,2)) * ($AU$42:$AU$76=CB$93) * ($BH$41:$BP$41=CB$94) * ($BH$42:$BP$77),0))</f>
        <v>8.0000000000000002E-3</v>
      </c>
      <c r="CC216" s="1443">
        <f t="array" ref="CC216">SUM(IFERROR(($AW$42:$AW$76=LEFT($AI216,2)) * ($AU$42:$AU$76=CC$93) * ($BH$41:$BP$41=CC$94) * ($BH$42:$BP$77),0))</f>
        <v>5.6001275577770484E-3</v>
      </c>
      <c r="CD216" s="1443">
        <f t="array" ref="CD216">SUM(IFERROR(($AW$42:$AW$76=LEFT($AI216,2)) * ($AU$42:$AU$76=CD$93) * ($BH$41:$BP$41=CD$94) * ($BH$42:$BP$77),0))</f>
        <v>1.7283819776196276E-2</v>
      </c>
      <c r="CE216" s="1443">
        <f t="array" ref="CE216">SUM(IFERROR(($AW$42:$AW$76=LEFT($AI216,2)) * ($AU$42:$AU$76=CE$93) * ($BH$41:$BP$41=CE$94) * ($BH$42:$BP$77),0))</f>
        <v>3.6064148440751363E-2</v>
      </c>
      <c r="CF216" s="1443">
        <f t="array" ref="CF216">SUM(IFERROR(($AW$42:$AW$76=LEFT($AI216,2)) * ($AU$42:$AU$76=CF$93) * ($BH$41:$BP$41=CF$94) * ($BH$42:$BP$77),0))</f>
        <v>6.2169572690085016E-2</v>
      </c>
      <c r="CG216" s="1443">
        <f t="array" ref="CG216">SUM(IFERROR(($AW$42:$AW$76=LEFT($AI216,2)) * ($AU$42:$AU$76=CG$93) * ($BH$41:$BP$41=CG$94) * ($BH$42:$BP$77),0))</f>
        <v>9.1978117090185288E-2</v>
      </c>
      <c r="CH216" s="1443">
        <f t="array" ref="CH216">SUM(IFERROR(($AW$42:$AW$76=LEFT($AI216,2)) * ($AU$42:$AU$76=CH$93) * ($BH$41:$BP$41=CH$94) * ($BH$42:$BP$77),0))</f>
        <v>0.11924720801865478</v>
      </c>
      <c r="CI216" s="1443">
        <f t="array" ref="CI216">SUM(IFERROR(($AW$42:$AW$76=LEFT($AI216,2)) * ($AU$42:$AU$76=CI$93) * ($BH$41:$BP$41=CI$94) * ($BH$42:$BP$77),0))</f>
        <v>0.13957733937007233</v>
      </c>
      <c r="CJ216" s="1443">
        <f t="array" ref="CJ216">SUM(IFERROR(($AW$42:$AW$76=LEFT($AI216,2)) * ($AU$42:$AU$76=CJ$93) * ($BH$41:$BP$41=CJ$94) * ($BH$42:$BP$77),0))</f>
        <v>0.15254001893994157</v>
      </c>
      <c r="CK216" s="1443">
        <f t="array" ref="CK216">SUM(IFERROR(($AW$42:$AW$76=LEFT($AI216,2)) * ($AU$42:$AU$76=CK$93) * ($BH$41:$BP$41=CK$94) * ($BH$42:$BP$77),0))</f>
        <v>0.16</v>
      </c>
      <c r="CL216" s="1443">
        <f t="array" ref="CL216">SUM(IFERROR(($AW$42:$AW$76=LEFT($AI216,2)) * ($AU$42:$AU$76=CL$93) * ($BH$41:$BP$41=CL$94) * ($BH$42:$BP$77),0))</f>
        <v>1.3807814509644033E-2</v>
      </c>
      <c r="CM216" s="1443">
        <f t="array" ref="CM216">SUM(IFERROR(($AW$42:$AW$76=LEFT($AI216,2)) * ($AU$42:$AU$76=CM$93) * ($BH$41:$BP$41=CM$94) * ($BH$42:$BP$77),0))</f>
        <v>4.2615418135683938E-2</v>
      </c>
      <c r="CN216" s="1443">
        <f t="array" ref="CN216">SUM(IFERROR(($AW$42:$AW$76=LEFT($AI216,2)) * ($AU$42:$AU$76=CN$93) * ($BH$41:$BP$41=CN$94) * ($BH$42:$BP$77),0))</f>
        <v>8.8920665999227572E-2</v>
      </c>
      <c r="CO216" s="1443">
        <f t="array" ref="CO216">SUM(IFERROR(($AW$42:$AW$76=LEFT($AI216,2)) * ($AU$42:$AU$76=CO$93) * ($BH$41:$BP$41=CO$94) * ($BH$42:$BP$77),0))</f>
        <v>0.15328685266399086</v>
      </c>
      <c r="CP216" s="1443">
        <f t="array" ref="CP216">SUM(IFERROR(($AW$42:$AW$76=LEFT($AI216,2)) * ($AU$42:$AU$76=CP$93) * ($BH$41:$BP$41=CP$94) * ($BH$42:$BP$77),0))</f>
        <v>0.22678354495048808</v>
      </c>
      <c r="CQ216" s="1443">
        <f t="array" ref="CQ216">SUM(IFERROR(($AW$42:$AW$76=LEFT($AI216,2)) * ($AU$42:$AU$76=CQ$93) * ($BH$41:$BP$41=CQ$94) * ($BH$42:$BP$77),0))</f>
        <v>0.29401889727099567</v>
      </c>
      <c r="CR216" s="1443">
        <f t="array" ref="CR216">SUM(IFERROR(($AW$42:$AW$76=LEFT($AI216,2)) * ($AU$42:$AU$76=CR$93) * ($BH$41:$BP$41=CR$94) * ($BH$42:$BP$77),0))</f>
        <v>0.34414537738433454</v>
      </c>
      <c r="CS216" s="1443">
        <f t="array" ref="CS216">SUM(IFERROR(($AW$42:$AW$76=LEFT($AI216,2)) * ($AU$42:$AU$76=CS$93) * ($BH$41:$BP$41=CS$94) * ($BH$42:$BP$77),0))</f>
        <v>0.37610648419879339</v>
      </c>
      <c r="CT216" s="1443">
        <f t="array" ref="CT216">SUM(IFERROR(($AW$42:$AW$76=LEFT($AI216,2)) * ($AU$42:$AU$76=CT$93) * ($BH$41:$BP$41=CT$94) * ($BH$42:$BP$77),0))</f>
        <v>0.39449999999999996</v>
      </c>
      <c r="CU216" s="1443">
        <f t="array" ref="CU216">SUM(IFERROR(($AW$42:$AW$76=LEFT($AI216,2)) * ($AU$42:$AU$76=CU$93) * ($BH$41:$BP$41=CU$94) * ($BH$42:$BP$77),0))</f>
        <v>1.8410419346192048E-2</v>
      </c>
      <c r="CV216" s="1443">
        <f t="array" ref="CV216">SUM(IFERROR(($AW$42:$AW$76=LEFT($AI216,2)) * ($AU$42:$AU$76=CV$93) * ($BH$41:$BP$41=CV$94) * ($BH$42:$BP$77),0))</f>
        <v>5.6820557514245258E-2</v>
      </c>
      <c r="CW216" s="1443">
        <f t="array" ref="CW216">SUM(IFERROR(($AW$42:$AW$76=LEFT($AI216,2)) * ($AU$42:$AU$76=CW$93) * ($BH$41:$BP$41=CW$94) * ($BH$42:$BP$77),0))</f>
        <v>0.11856088799897012</v>
      </c>
      <c r="CX216" s="1443">
        <f t="array" ref="CX216">SUM(IFERROR(($AW$42:$AW$76=LEFT($AI216,2)) * ($AU$42:$AU$76=CX$93) * ($BH$41:$BP$41=CX$94) * ($BH$42:$BP$77),0))</f>
        <v>0.20438247021865449</v>
      </c>
      <c r="CY216" s="1443">
        <f t="array" ref="CY216">SUM(IFERROR(($AW$42:$AW$76=LEFT($AI216,2)) * ($AU$42:$AU$76=CY$93) * ($BH$41:$BP$41=CY$94) * ($BH$42:$BP$77),0))</f>
        <v>0.30237805993398414</v>
      </c>
      <c r="CZ216" s="1443">
        <f t="array" ref="CZ216">SUM(IFERROR(($AW$42:$AW$76=LEFT($AI216,2)) * ($AU$42:$AU$76=CZ$93) * ($BH$41:$BP$41=CZ$94) * ($BH$42:$BP$77),0))</f>
        <v>0.3920251963613276</v>
      </c>
      <c r="DA216" s="1443">
        <f t="array" ref="DA216">SUM(IFERROR(($AW$42:$AW$76=LEFT($AI216,2)) * ($AU$42:$AU$76=DA$93) * ($BH$41:$BP$41=DA$94) * ($BH$42:$BP$77),0))</f>
        <v>0.45886050317911276</v>
      </c>
      <c r="DB216" s="1443">
        <f t="array" ref="DB216">SUM(IFERROR(($AW$42:$AW$76=LEFT($AI216,2)) * ($AU$42:$AU$76=DB$93) * ($BH$41:$BP$41=DB$94) * ($BH$42:$BP$77),0))</f>
        <v>0.50147531226505793</v>
      </c>
      <c r="DC216" s="1443">
        <f t="array" ref="DC216">SUM(IFERROR(($AW$42:$AW$76=LEFT($AI216,2)) * ($AU$42:$AU$76=DC$93) * ($BH$41:$BP$41=DC$94) * ($BH$42:$BP$77),0))</f>
        <v>0.52600000000000002</v>
      </c>
    </row>
    <row r="217" spans="1:107">
      <c r="A217" s="1167" t="s">
        <v>1095</v>
      </c>
      <c r="B217" s="1167" t="s">
        <v>1094</v>
      </c>
      <c r="C217" s="1166" t="s">
        <v>1030</v>
      </c>
      <c r="D217" s="1166" t="s">
        <v>929</v>
      </c>
      <c r="E217" s="577">
        <v>0.05</v>
      </c>
      <c r="F217" s="574">
        <v>0.7833</v>
      </c>
      <c r="G217" s="576">
        <v>100</v>
      </c>
      <c r="H217" s="574">
        <v>0.83640000000000014</v>
      </c>
      <c r="I217" s="1164"/>
      <c r="J217" s="575">
        <v>1</v>
      </c>
      <c r="K217" s="574">
        <v>13.103042400000001</v>
      </c>
      <c r="L217" s="574">
        <v>0.65515212000000012</v>
      </c>
      <c r="M217" s="1164"/>
      <c r="N217" s="1168"/>
      <c r="O217" s="1164"/>
      <c r="P217" s="1163" t="s">
        <v>881</v>
      </c>
      <c r="Q217" s="1164"/>
      <c r="R217" s="1164"/>
      <c r="S217" s="1164"/>
      <c r="T217" s="1164"/>
      <c r="U217" s="1163" t="s">
        <v>881</v>
      </c>
      <c r="V217" s="1164"/>
      <c r="W217" s="1164"/>
      <c r="X217" s="1164"/>
      <c r="Y217" s="1164"/>
      <c r="Z217" s="573">
        <v>0.05</v>
      </c>
      <c r="AA217" s="572">
        <v>0.05</v>
      </c>
      <c r="AB217" s="572">
        <v>0.05</v>
      </c>
      <c r="AC217" s="572">
        <v>0.05</v>
      </c>
      <c r="AD217" s="572">
        <v>0.05</v>
      </c>
      <c r="AE217" s="572">
        <v>0.05</v>
      </c>
      <c r="AF217" s="572">
        <v>0.05</v>
      </c>
      <c r="AG217" s="1164"/>
      <c r="AH217" s="1163">
        <v>122</v>
      </c>
      <c r="AI217" s="1162"/>
      <c r="AJ217" s="1163" t="s">
        <v>881</v>
      </c>
      <c r="AK217" s="1163" t="s">
        <v>881</v>
      </c>
      <c r="AL217" s="1163" t="s">
        <v>881</v>
      </c>
      <c r="AM217" s="1163" t="s">
        <v>881</v>
      </c>
      <c r="AN217" s="1163" t="s">
        <v>881</v>
      </c>
      <c r="AO217" s="1163" t="s">
        <v>881</v>
      </c>
      <c r="AP217" s="1163" t="s">
        <v>881</v>
      </c>
      <c r="AQ217" s="1163" t="s">
        <v>881</v>
      </c>
      <c r="AR217" s="1163" t="s">
        <v>881</v>
      </c>
      <c r="AS217" s="1170" t="s">
        <v>881</v>
      </c>
      <c r="AT217" s="1170" t="s">
        <v>881</v>
      </c>
      <c r="AU217" s="1170" t="s">
        <v>881</v>
      </c>
      <c r="AV217" s="1170" t="s">
        <v>881</v>
      </c>
      <c r="AW217" s="1170" t="s">
        <v>881</v>
      </c>
      <c r="AX217" s="1170" t="s">
        <v>881</v>
      </c>
      <c r="AY217" s="1170" t="s">
        <v>881</v>
      </c>
      <c r="AZ217" s="1170" t="s">
        <v>881</v>
      </c>
      <c r="BA217" s="1170" t="s">
        <v>881</v>
      </c>
      <c r="BB217" s="1163" t="s">
        <v>881</v>
      </c>
      <c r="BC217" s="1163" t="s">
        <v>881</v>
      </c>
      <c r="BD217" s="1163" t="s">
        <v>881</v>
      </c>
      <c r="BE217" s="1163" t="s">
        <v>881</v>
      </c>
      <c r="BF217" s="1163" t="s">
        <v>881</v>
      </c>
      <c r="BG217" s="1163" t="s">
        <v>881</v>
      </c>
      <c r="BH217" s="1163" t="s">
        <v>881</v>
      </c>
      <c r="BI217" s="1163" t="s">
        <v>881</v>
      </c>
      <c r="BJ217" s="1163" t="s">
        <v>881</v>
      </c>
      <c r="BT217" s="579"/>
      <c r="BU217" s="579"/>
      <c r="BV217" s="579"/>
      <c r="BW217" s="579"/>
      <c r="BX217" s="579"/>
      <c r="BY217" s="579"/>
      <c r="BZ217" s="579"/>
      <c r="CA217" s="579"/>
      <c r="CB217" s="579"/>
      <c r="CC217" s="578"/>
      <c r="CD217" s="578"/>
      <c r="CE217" s="578"/>
      <c r="CF217" s="578"/>
      <c r="CG217" s="578"/>
      <c r="CH217" s="578"/>
      <c r="CI217" s="578"/>
      <c r="CJ217" s="578"/>
      <c r="CK217" s="578"/>
      <c r="CL217" s="579"/>
      <c r="CM217" s="579"/>
      <c r="CN217" s="579"/>
      <c r="CO217" s="579"/>
      <c r="CP217" s="579"/>
      <c r="CQ217" s="579"/>
      <c r="CR217" s="579"/>
      <c r="CS217" s="579"/>
      <c r="CT217" s="579"/>
      <c r="CU217" s="578"/>
      <c r="CV217" s="578"/>
      <c r="CW217" s="578"/>
      <c r="CX217" s="578"/>
      <c r="CY217" s="578"/>
      <c r="CZ217" s="578"/>
      <c r="DA217" s="578"/>
      <c r="DB217" s="578"/>
      <c r="DC217" s="578"/>
    </row>
    <row r="218" spans="1:107">
      <c r="A218" s="1167" t="s">
        <v>1093</v>
      </c>
      <c r="B218" s="1167" t="s">
        <v>1092</v>
      </c>
      <c r="C218" s="1166" t="s">
        <v>1030</v>
      </c>
      <c r="D218" s="1166" t="s">
        <v>928</v>
      </c>
      <c r="E218" s="577">
        <v>0.3</v>
      </c>
      <c r="F218" s="574">
        <v>0.60640000000000005</v>
      </c>
      <c r="G218" s="576">
        <v>100</v>
      </c>
      <c r="H218" s="574">
        <v>1.8521073878627969</v>
      </c>
      <c r="I218" s="1164"/>
      <c r="J218" s="575">
        <v>1</v>
      </c>
      <c r="K218" s="574">
        <v>3.7437264000000008</v>
      </c>
      <c r="L218" s="574">
        <v>1.1231179200000001</v>
      </c>
      <c r="M218" s="1164"/>
      <c r="N218" s="1168"/>
      <c r="O218" s="1164"/>
      <c r="P218" s="1163" t="s">
        <v>881</v>
      </c>
      <c r="Q218" s="1164"/>
      <c r="R218" s="1164"/>
      <c r="S218" s="1164"/>
      <c r="T218" s="1164"/>
      <c r="U218" s="1163" t="s">
        <v>881</v>
      </c>
      <c r="V218" s="1164"/>
      <c r="W218" s="1164"/>
      <c r="X218" s="1164"/>
      <c r="Y218" s="1164"/>
      <c r="Z218" s="573">
        <v>0.3</v>
      </c>
      <c r="AA218" s="572">
        <v>0.3</v>
      </c>
      <c r="AB218" s="572">
        <v>0.3</v>
      </c>
      <c r="AC218" s="572">
        <v>0.3</v>
      </c>
      <c r="AD218" s="572">
        <v>0.3</v>
      </c>
      <c r="AE218" s="572">
        <v>0.3</v>
      </c>
      <c r="AF218" s="572">
        <v>0.3</v>
      </c>
      <c r="AG218" s="1164"/>
      <c r="AH218" s="1163">
        <v>123</v>
      </c>
      <c r="AI218" s="1162"/>
      <c r="AJ218" s="1163" t="s">
        <v>881</v>
      </c>
      <c r="AK218" s="1163" t="s">
        <v>881</v>
      </c>
      <c r="AL218" s="1163" t="s">
        <v>881</v>
      </c>
      <c r="AM218" s="1163" t="s">
        <v>881</v>
      </c>
      <c r="AN218" s="1163" t="s">
        <v>881</v>
      </c>
      <c r="AO218" s="1163" t="s">
        <v>881</v>
      </c>
      <c r="AP218" s="1163" t="s">
        <v>881</v>
      </c>
      <c r="AQ218" s="1163" t="s">
        <v>881</v>
      </c>
      <c r="AR218" s="1163" t="s">
        <v>881</v>
      </c>
      <c r="AS218" s="1170" t="s">
        <v>881</v>
      </c>
      <c r="AT218" s="1170" t="s">
        <v>881</v>
      </c>
      <c r="AU218" s="1170" t="s">
        <v>881</v>
      </c>
      <c r="AV218" s="1170" t="s">
        <v>881</v>
      </c>
      <c r="AW218" s="1170" t="s">
        <v>881</v>
      </c>
      <c r="AX218" s="1170" t="s">
        <v>881</v>
      </c>
      <c r="AY218" s="1170" t="s">
        <v>881</v>
      </c>
      <c r="AZ218" s="1170" t="s">
        <v>881</v>
      </c>
      <c r="BA218" s="1170" t="s">
        <v>881</v>
      </c>
      <c r="BB218" s="1163" t="s">
        <v>881</v>
      </c>
      <c r="BC218" s="1163" t="s">
        <v>881</v>
      </c>
      <c r="BD218" s="1163" t="s">
        <v>881</v>
      </c>
      <c r="BE218" s="1163" t="s">
        <v>881</v>
      </c>
      <c r="BF218" s="1163" t="s">
        <v>881</v>
      </c>
      <c r="BG218" s="1163" t="s">
        <v>881</v>
      </c>
      <c r="BH218" s="1163" t="s">
        <v>881</v>
      </c>
      <c r="BI218" s="1163" t="s">
        <v>881</v>
      </c>
      <c r="BJ218" s="1163" t="s">
        <v>881</v>
      </c>
      <c r="BK218" s="1170" t="s">
        <v>881</v>
      </c>
      <c r="BL218" s="1170" t="s">
        <v>881</v>
      </c>
      <c r="BM218" s="1170" t="s">
        <v>881</v>
      </c>
      <c r="BN218" s="1170" t="s">
        <v>881</v>
      </c>
      <c r="BO218" s="1170" t="s">
        <v>881</v>
      </c>
      <c r="BP218" s="1170" t="s">
        <v>881</v>
      </c>
      <c r="BQ218" s="1170" t="s">
        <v>881</v>
      </c>
      <c r="BR218" s="1170" t="s">
        <v>881</v>
      </c>
      <c r="BS218" s="1170" t="s">
        <v>881</v>
      </c>
      <c r="BT218" s="579"/>
      <c r="BU218" s="579"/>
      <c r="BV218" s="579"/>
      <c r="BW218" s="579"/>
      <c r="BX218" s="579"/>
      <c r="BY218" s="579"/>
      <c r="BZ218" s="579"/>
      <c r="CA218" s="579"/>
      <c r="CB218" s="579"/>
      <c r="CC218" s="578"/>
      <c r="CD218" s="578"/>
      <c r="CE218" s="578"/>
      <c r="CF218" s="578"/>
      <c r="CG218" s="578"/>
      <c r="CH218" s="578"/>
      <c r="CI218" s="578"/>
      <c r="CJ218" s="578"/>
      <c r="CK218" s="578"/>
      <c r="CL218" s="579"/>
      <c r="CM218" s="579"/>
      <c r="CN218" s="579"/>
      <c r="CO218" s="579"/>
      <c r="CP218" s="579"/>
      <c r="CQ218" s="579"/>
      <c r="CR218" s="579"/>
      <c r="CS218" s="579"/>
      <c r="CT218" s="579"/>
      <c r="CU218" s="578"/>
      <c r="CV218" s="578"/>
      <c r="CW218" s="578"/>
      <c r="CX218" s="578"/>
      <c r="CY218" s="578"/>
      <c r="CZ218" s="578"/>
      <c r="DA218" s="578"/>
      <c r="DB218" s="578"/>
      <c r="DC218" s="578"/>
    </row>
    <row r="219" spans="1:107">
      <c r="A219" s="1167" t="s">
        <v>1091</v>
      </c>
      <c r="B219" s="1167" t="s">
        <v>1090</v>
      </c>
      <c r="C219" s="1166" t="s">
        <v>1030</v>
      </c>
      <c r="D219" s="1166" t="s">
        <v>927</v>
      </c>
      <c r="E219" s="577">
        <v>2</v>
      </c>
      <c r="F219" s="574">
        <v>0.83289999999999997</v>
      </c>
      <c r="G219" s="576">
        <v>100</v>
      </c>
      <c r="H219" s="574">
        <v>0</v>
      </c>
      <c r="I219" s="1164"/>
      <c r="J219" s="575">
        <v>1</v>
      </c>
      <c r="K219" s="574">
        <v>0</v>
      </c>
      <c r="L219" s="574">
        <v>0</v>
      </c>
      <c r="M219" s="1164"/>
      <c r="N219" s="1168"/>
      <c r="O219" s="1164"/>
      <c r="P219" s="1163" t="s">
        <v>881</v>
      </c>
      <c r="Q219" s="1164"/>
      <c r="R219" s="1164"/>
      <c r="S219" s="1164"/>
      <c r="T219" s="1164"/>
      <c r="U219" s="1163" t="s">
        <v>881</v>
      </c>
      <c r="V219" s="1164"/>
      <c r="W219" s="1164"/>
      <c r="X219" s="1164"/>
      <c r="Y219" s="1164"/>
      <c r="Z219" s="573">
        <v>2</v>
      </c>
      <c r="AA219" s="572">
        <v>2</v>
      </c>
      <c r="AB219" s="572">
        <v>2</v>
      </c>
      <c r="AC219" s="572">
        <v>2</v>
      </c>
      <c r="AD219" s="572">
        <v>2</v>
      </c>
      <c r="AE219" s="572">
        <v>2</v>
      </c>
      <c r="AF219" s="572">
        <v>2</v>
      </c>
      <c r="AG219" s="1164"/>
      <c r="AH219" s="1163">
        <v>124</v>
      </c>
      <c r="AI219" s="1162"/>
      <c r="AJ219" s="1163" t="s">
        <v>881</v>
      </c>
      <c r="AK219" s="1163" t="s">
        <v>881</v>
      </c>
      <c r="AL219" s="1163" t="s">
        <v>881</v>
      </c>
      <c r="AM219" s="1163" t="s">
        <v>881</v>
      </c>
      <c r="AN219" s="1163" t="s">
        <v>881</v>
      </c>
      <c r="AO219" s="1163" t="s">
        <v>881</v>
      </c>
      <c r="AP219" s="1163" t="s">
        <v>881</v>
      </c>
      <c r="AQ219" s="1163" t="s">
        <v>881</v>
      </c>
      <c r="AR219" s="1163" t="s">
        <v>881</v>
      </c>
      <c r="AS219" s="1170" t="s">
        <v>881</v>
      </c>
      <c r="AT219" s="1170" t="s">
        <v>881</v>
      </c>
      <c r="AU219" s="1170" t="s">
        <v>881</v>
      </c>
      <c r="AV219" s="1170" t="s">
        <v>881</v>
      </c>
      <c r="AW219" s="1170" t="s">
        <v>881</v>
      </c>
      <c r="AX219" s="1170" t="s">
        <v>881</v>
      </c>
      <c r="AY219" s="1170" t="s">
        <v>881</v>
      </c>
      <c r="AZ219" s="1170" t="s">
        <v>881</v>
      </c>
      <c r="BA219" s="1170" t="s">
        <v>881</v>
      </c>
      <c r="BB219" s="1163" t="s">
        <v>881</v>
      </c>
      <c r="BC219" s="1163" t="s">
        <v>881</v>
      </c>
      <c r="BD219" s="1163" t="s">
        <v>881</v>
      </c>
      <c r="BE219" s="1163" t="s">
        <v>881</v>
      </c>
      <c r="BF219" s="1163" t="s">
        <v>881</v>
      </c>
      <c r="BG219" s="1163" t="s">
        <v>881</v>
      </c>
      <c r="BH219" s="1163" t="s">
        <v>881</v>
      </c>
      <c r="BI219" s="1163" t="s">
        <v>881</v>
      </c>
      <c r="BJ219" s="1163" t="s">
        <v>881</v>
      </c>
      <c r="BK219" s="1170" t="s">
        <v>881</v>
      </c>
      <c r="BL219" s="1170" t="s">
        <v>881</v>
      </c>
      <c r="BM219" s="1170" t="s">
        <v>881</v>
      </c>
      <c r="BN219" s="1170" t="s">
        <v>881</v>
      </c>
      <c r="BO219" s="1170" t="s">
        <v>881</v>
      </c>
      <c r="BP219" s="1170" t="s">
        <v>881</v>
      </c>
      <c r="BQ219" s="1170" t="s">
        <v>881</v>
      </c>
      <c r="BR219" s="1170" t="s">
        <v>881</v>
      </c>
      <c r="BS219" s="1170" t="s">
        <v>881</v>
      </c>
      <c r="BT219" s="579"/>
      <c r="BU219" s="579"/>
      <c r="BV219" s="579"/>
      <c r="BW219" s="579"/>
      <c r="BX219" s="579"/>
      <c r="BY219" s="579"/>
      <c r="BZ219" s="579"/>
      <c r="CA219" s="579"/>
      <c r="CB219" s="579"/>
      <c r="CC219" s="578"/>
      <c r="CD219" s="578"/>
      <c r="CE219" s="578"/>
      <c r="CF219" s="578"/>
      <c r="CG219" s="578"/>
      <c r="CH219" s="578"/>
      <c r="CI219" s="578"/>
      <c r="CJ219" s="578"/>
      <c r="CK219" s="578"/>
      <c r="CL219" s="579"/>
      <c r="CM219" s="579"/>
      <c r="CN219" s="579"/>
      <c r="CO219" s="579"/>
      <c r="CP219" s="579"/>
      <c r="CQ219" s="579"/>
      <c r="CR219" s="579"/>
      <c r="CS219" s="579"/>
      <c r="CT219" s="579"/>
      <c r="CU219" s="578"/>
      <c r="CV219" s="578"/>
      <c r="CW219" s="578"/>
      <c r="CX219" s="578"/>
      <c r="CY219" s="578"/>
      <c r="CZ219" s="578"/>
      <c r="DA219" s="578"/>
      <c r="DB219" s="578"/>
      <c r="DC219" s="578"/>
    </row>
    <row r="220" spans="1:107">
      <c r="A220" s="1167" t="s">
        <v>1089</v>
      </c>
      <c r="B220" s="1167" t="s">
        <v>1088</v>
      </c>
      <c r="C220" s="1166" t="s">
        <v>1030</v>
      </c>
      <c r="D220" s="1166" t="s">
        <v>926</v>
      </c>
      <c r="E220" s="577">
        <v>0.9</v>
      </c>
      <c r="F220" s="574">
        <v>0.60340000000000005</v>
      </c>
      <c r="G220" s="576">
        <v>100</v>
      </c>
      <c r="H220" s="574">
        <v>2.2335788929400069</v>
      </c>
      <c r="I220" s="1164"/>
      <c r="J220" s="575">
        <v>1</v>
      </c>
      <c r="K220" s="574">
        <v>1.4974905600000004</v>
      </c>
      <c r="L220" s="574">
        <v>1.3477415040000003</v>
      </c>
      <c r="M220" s="1164"/>
      <c r="N220" s="1168"/>
      <c r="O220" s="1164"/>
      <c r="P220" s="1163" t="s">
        <v>881</v>
      </c>
      <c r="Q220" s="1164"/>
      <c r="R220" s="1164"/>
      <c r="S220" s="1164"/>
      <c r="T220" s="1164"/>
      <c r="U220" s="1163" t="s">
        <v>881</v>
      </c>
      <c r="V220" s="1164"/>
      <c r="W220" s="1164"/>
      <c r="X220" s="1164"/>
      <c r="Y220" s="1164"/>
      <c r="Z220" s="573">
        <v>0.9</v>
      </c>
      <c r="AA220" s="572">
        <v>0.9</v>
      </c>
      <c r="AB220" s="572">
        <v>0.9</v>
      </c>
      <c r="AC220" s="572">
        <v>0.9</v>
      </c>
      <c r="AD220" s="572">
        <v>0.9</v>
      </c>
      <c r="AE220" s="572">
        <v>0.9</v>
      </c>
      <c r="AF220" s="572">
        <v>0.9</v>
      </c>
      <c r="AG220" s="1164"/>
      <c r="AH220" s="1163">
        <v>125</v>
      </c>
      <c r="AI220" s="1162"/>
      <c r="AJ220" s="1163" t="s">
        <v>881</v>
      </c>
      <c r="AK220" s="1163" t="s">
        <v>881</v>
      </c>
      <c r="AL220" s="1163" t="s">
        <v>881</v>
      </c>
      <c r="AM220" s="1163" t="s">
        <v>881</v>
      </c>
      <c r="AN220" s="1163" t="s">
        <v>881</v>
      </c>
      <c r="AO220" s="1163" t="s">
        <v>881</v>
      </c>
      <c r="AP220" s="1163" t="s">
        <v>881</v>
      </c>
      <c r="AQ220" s="1163" t="s">
        <v>881</v>
      </c>
      <c r="AR220" s="1163" t="s">
        <v>881</v>
      </c>
      <c r="AS220" s="1170" t="s">
        <v>881</v>
      </c>
      <c r="AT220" s="1170" t="s">
        <v>881</v>
      </c>
      <c r="AU220" s="1170" t="s">
        <v>881</v>
      </c>
      <c r="AV220" s="1170" t="s">
        <v>881</v>
      </c>
      <c r="AW220" s="1170" t="s">
        <v>881</v>
      </c>
      <c r="AX220" s="1170" t="s">
        <v>881</v>
      </c>
      <c r="AY220" s="1170" t="s">
        <v>881</v>
      </c>
      <c r="AZ220" s="1170" t="s">
        <v>881</v>
      </c>
      <c r="BA220" s="1170" t="s">
        <v>881</v>
      </c>
      <c r="BB220" s="1163" t="s">
        <v>881</v>
      </c>
      <c r="BC220" s="1163" t="s">
        <v>881</v>
      </c>
      <c r="BD220" s="1163" t="s">
        <v>881</v>
      </c>
      <c r="BE220" s="1163" t="s">
        <v>881</v>
      </c>
      <c r="BF220" s="1163" t="s">
        <v>881</v>
      </c>
      <c r="BG220" s="1163" t="s">
        <v>881</v>
      </c>
      <c r="BH220" s="1163" t="s">
        <v>881</v>
      </c>
      <c r="BI220" s="1163" t="s">
        <v>881</v>
      </c>
      <c r="BJ220" s="1163" t="s">
        <v>881</v>
      </c>
      <c r="BK220" s="1170" t="s">
        <v>881</v>
      </c>
      <c r="BL220" s="1170" t="s">
        <v>881</v>
      </c>
      <c r="BM220" s="1170" t="s">
        <v>881</v>
      </c>
      <c r="BN220" s="1170" t="s">
        <v>881</v>
      </c>
      <c r="BO220" s="1170" t="s">
        <v>881</v>
      </c>
      <c r="BP220" s="1170" t="s">
        <v>881</v>
      </c>
      <c r="BQ220" s="1170" t="s">
        <v>881</v>
      </c>
      <c r="BR220" s="1170" t="s">
        <v>881</v>
      </c>
      <c r="BS220" s="1170" t="s">
        <v>881</v>
      </c>
      <c r="BT220" s="579"/>
      <c r="BU220" s="579"/>
      <c r="BV220" s="579"/>
      <c r="BW220" s="579"/>
      <c r="BX220" s="579"/>
      <c r="BY220" s="579"/>
      <c r="BZ220" s="579"/>
      <c r="CA220" s="579"/>
      <c r="CB220" s="579"/>
      <c r="CC220" s="578"/>
      <c r="CD220" s="578"/>
      <c r="CE220" s="578"/>
      <c r="CF220" s="578"/>
      <c r="CG220" s="578"/>
      <c r="CH220" s="578"/>
      <c r="CI220" s="578"/>
      <c r="CJ220" s="578"/>
      <c r="CK220" s="578"/>
      <c r="CL220" s="579"/>
      <c r="CM220" s="579"/>
      <c r="CN220" s="579"/>
      <c r="CO220" s="579"/>
      <c r="CP220" s="579"/>
      <c r="CQ220" s="579"/>
      <c r="CR220" s="579"/>
      <c r="CS220" s="579"/>
      <c r="CT220" s="579"/>
      <c r="CU220" s="578"/>
      <c r="CV220" s="578"/>
      <c r="CW220" s="578"/>
      <c r="CX220" s="578"/>
      <c r="CY220" s="578"/>
      <c r="CZ220" s="578"/>
      <c r="DA220" s="578"/>
      <c r="DB220" s="578"/>
      <c r="DC220" s="578"/>
    </row>
    <row r="221" spans="1:107">
      <c r="A221" s="1167" t="s">
        <v>1087</v>
      </c>
      <c r="B221" s="1167" t="s">
        <v>1086</v>
      </c>
      <c r="C221" s="1166" t="s">
        <v>1030</v>
      </c>
      <c r="D221" s="1166" t="s">
        <v>925</v>
      </c>
      <c r="E221" s="577">
        <v>0.8</v>
      </c>
      <c r="F221" s="574">
        <v>0.60940000000000005</v>
      </c>
      <c r="G221" s="576">
        <v>100</v>
      </c>
      <c r="H221" s="574">
        <v>17.201237151296358</v>
      </c>
      <c r="I221" s="1164"/>
      <c r="J221" s="575">
        <v>1</v>
      </c>
      <c r="K221" s="574">
        <v>13.103042400000001</v>
      </c>
      <c r="L221" s="574">
        <v>10.482433920000002</v>
      </c>
      <c r="M221" s="1164"/>
      <c r="N221" s="1168"/>
      <c r="O221" s="1164"/>
      <c r="P221" s="1163" t="s">
        <v>881</v>
      </c>
      <c r="Q221" s="1164"/>
      <c r="R221" s="1164"/>
      <c r="S221" s="1164"/>
      <c r="T221" s="1164"/>
      <c r="U221" s="1163" t="s">
        <v>881</v>
      </c>
      <c r="V221" s="1164"/>
      <c r="W221" s="1164"/>
      <c r="X221" s="1164"/>
      <c r="Y221" s="1164"/>
      <c r="Z221" s="573">
        <v>0.8</v>
      </c>
      <c r="AA221" s="572">
        <v>0.8</v>
      </c>
      <c r="AB221" s="572">
        <v>0.8</v>
      </c>
      <c r="AC221" s="572">
        <v>0.8</v>
      </c>
      <c r="AD221" s="572">
        <v>0.8</v>
      </c>
      <c r="AE221" s="572">
        <v>0.8</v>
      </c>
      <c r="AF221" s="572">
        <v>0.8</v>
      </c>
      <c r="AG221" s="1164"/>
      <c r="AH221" s="1163">
        <v>126</v>
      </c>
      <c r="AI221" s="1162"/>
      <c r="AJ221" s="1163" t="s">
        <v>881</v>
      </c>
      <c r="AK221" s="1163" t="s">
        <v>881</v>
      </c>
      <c r="AL221" s="1163" t="s">
        <v>881</v>
      </c>
      <c r="AM221" s="1163" t="s">
        <v>881</v>
      </c>
      <c r="AN221" s="1163" t="s">
        <v>881</v>
      </c>
      <c r="AO221" s="1163" t="s">
        <v>881</v>
      </c>
      <c r="AP221" s="1163" t="s">
        <v>881</v>
      </c>
      <c r="AQ221" s="1163" t="s">
        <v>881</v>
      </c>
      <c r="AR221" s="1163" t="s">
        <v>881</v>
      </c>
      <c r="AS221" s="1170" t="s">
        <v>881</v>
      </c>
      <c r="AT221" s="1170" t="s">
        <v>881</v>
      </c>
      <c r="AU221" s="1170" t="s">
        <v>881</v>
      </c>
      <c r="AV221" s="1170" t="s">
        <v>881</v>
      </c>
      <c r="AW221" s="1170" t="s">
        <v>881</v>
      </c>
      <c r="AX221" s="1170" t="s">
        <v>881</v>
      </c>
      <c r="AY221" s="1170" t="s">
        <v>881</v>
      </c>
      <c r="AZ221" s="1170" t="s">
        <v>881</v>
      </c>
      <c r="BA221" s="1170" t="s">
        <v>881</v>
      </c>
      <c r="BB221" s="1163" t="s">
        <v>881</v>
      </c>
      <c r="BC221" s="1163" t="s">
        <v>881</v>
      </c>
      <c r="BD221" s="1163" t="s">
        <v>881</v>
      </c>
      <c r="BE221" s="1163" t="s">
        <v>881</v>
      </c>
      <c r="BF221" s="1163" t="s">
        <v>881</v>
      </c>
      <c r="BG221" s="1163" t="s">
        <v>881</v>
      </c>
      <c r="BH221" s="1163" t="s">
        <v>881</v>
      </c>
      <c r="BI221" s="1163" t="s">
        <v>881</v>
      </c>
      <c r="BJ221" s="1163" t="s">
        <v>881</v>
      </c>
      <c r="BK221" s="1170" t="s">
        <v>881</v>
      </c>
      <c r="BL221" s="1170" t="s">
        <v>881</v>
      </c>
      <c r="BM221" s="1170" t="s">
        <v>881</v>
      </c>
      <c r="BN221" s="1170" t="s">
        <v>881</v>
      </c>
      <c r="BO221" s="1170" t="s">
        <v>881</v>
      </c>
      <c r="BP221" s="1170" t="s">
        <v>881</v>
      </c>
      <c r="BQ221" s="1170" t="s">
        <v>881</v>
      </c>
      <c r="BR221" s="1170" t="s">
        <v>881</v>
      </c>
      <c r="BS221" s="1170" t="s">
        <v>881</v>
      </c>
      <c r="BT221" s="579"/>
      <c r="BU221" s="579"/>
      <c r="BV221" s="579"/>
      <c r="BW221" s="579"/>
      <c r="BX221" s="579"/>
      <c r="BY221" s="579"/>
      <c r="BZ221" s="579"/>
      <c r="CA221" s="579"/>
      <c r="CB221" s="579"/>
      <c r="CC221" s="578"/>
      <c r="CD221" s="578"/>
      <c r="CE221" s="578"/>
      <c r="CF221" s="578"/>
      <c r="CG221" s="578"/>
      <c r="CH221" s="578"/>
      <c r="CI221" s="578"/>
      <c r="CJ221" s="578"/>
      <c r="CK221" s="578"/>
      <c r="CL221" s="579"/>
      <c r="CM221" s="579"/>
      <c r="CN221" s="579"/>
      <c r="CO221" s="579"/>
      <c r="CP221" s="579"/>
      <c r="CQ221" s="579"/>
      <c r="CR221" s="579"/>
      <c r="CS221" s="579"/>
      <c r="CT221" s="579"/>
      <c r="CU221" s="578"/>
      <c r="CV221" s="578"/>
      <c r="CW221" s="578"/>
      <c r="CX221" s="578"/>
      <c r="CY221" s="578"/>
      <c r="CZ221" s="578"/>
      <c r="DA221" s="578"/>
      <c r="DB221" s="578"/>
      <c r="DC221" s="578"/>
    </row>
    <row r="222" spans="1:107">
      <c r="A222" s="1167" t="s">
        <v>1085</v>
      </c>
      <c r="B222" s="1167" t="s">
        <v>1084</v>
      </c>
      <c r="C222" s="1166" t="s">
        <v>1030</v>
      </c>
      <c r="D222" s="1166" t="s">
        <v>924</v>
      </c>
      <c r="E222" s="577">
        <v>0.8</v>
      </c>
      <c r="F222" s="574">
        <v>0.65390000000000004</v>
      </c>
      <c r="G222" s="576">
        <v>100</v>
      </c>
      <c r="H222" s="574">
        <v>0</v>
      </c>
      <c r="I222" s="1164"/>
      <c r="J222" s="575">
        <v>1</v>
      </c>
      <c r="K222" s="574">
        <v>0</v>
      </c>
      <c r="L222" s="574">
        <v>0</v>
      </c>
      <c r="M222" s="1164"/>
      <c r="N222" s="1168"/>
      <c r="O222" s="1164"/>
      <c r="P222" s="1163" t="s">
        <v>881</v>
      </c>
      <c r="Q222" s="1164"/>
      <c r="R222" s="1164"/>
      <c r="S222" s="1164"/>
      <c r="T222" s="1164"/>
      <c r="U222" s="1163" t="s">
        <v>881</v>
      </c>
      <c r="V222" s="1164"/>
      <c r="W222" s="1164"/>
      <c r="X222" s="1164"/>
      <c r="Y222" s="1164"/>
      <c r="Z222" s="573">
        <v>0.8</v>
      </c>
      <c r="AA222" s="572">
        <v>0.8</v>
      </c>
      <c r="AB222" s="572">
        <v>0.8</v>
      </c>
      <c r="AC222" s="572">
        <v>0.8</v>
      </c>
      <c r="AD222" s="572">
        <v>0.8</v>
      </c>
      <c r="AE222" s="572">
        <v>0.8</v>
      </c>
      <c r="AF222" s="572">
        <v>0.8</v>
      </c>
      <c r="AG222" s="1164"/>
      <c r="AH222" s="1163">
        <v>127</v>
      </c>
      <c r="AI222" s="1162"/>
      <c r="AJ222" s="1163" t="s">
        <v>881</v>
      </c>
      <c r="AK222" s="1163" t="s">
        <v>881</v>
      </c>
      <c r="AL222" s="1163" t="s">
        <v>881</v>
      </c>
      <c r="AM222" s="1163" t="s">
        <v>881</v>
      </c>
      <c r="AN222" s="1163" t="s">
        <v>881</v>
      </c>
      <c r="AO222" s="1163" t="s">
        <v>881</v>
      </c>
      <c r="AP222" s="1163" t="s">
        <v>881</v>
      </c>
      <c r="AQ222" s="1163" t="s">
        <v>881</v>
      </c>
      <c r="AR222" s="1163" t="s">
        <v>881</v>
      </c>
      <c r="AS222" s="1170" t="s">
        <v>881</v>
      </c>
      <c r="AT222" s="1170" t="s">
        <v>881</v>
      </c>
      <c r="AU222" s="1170" t="s">
        <v>881</v>
      </c>
      <c r="AV222" s="1170" t="s">
        <v>881</v>
      </c>
      <c r="AW222" s="1170" t="s">
        <v>881</v>
      </c>
      <c r="AX222" s="1170" t="s">
        <v>881</v>
      </c>
      <c r="AY222" s="1170" t="s">
        <v>881</v>
      </c>
      <c r="AZ222" s="1170" t="s">
        <v>881</v>
      </c>
      <c r="BA222" s="1170" t="s">
        <v>881</v>
      </c>
      <c r="BB222" s="1163" t="s">
        <v>881</v>
      </c>
      <c r="BC222" s="1163" t="s">
        <v>881</v>
      </c>
      <c r="BD222" s="1163" t="s">
        <v>881</v>
      </c>
      <c r="BE222" s="1163" t="s">
        <v>881</v>
      </c>
      <c r="BF222" s="1163" t="s">
        <v>881</v>
      </c>
      <c r="BG222" s="1163" t="s">
        <v>881</v>
      </c>
      <c r="BH222" s="1163" t="s">
        <v>881</v>
      </c>
      <c r="BI222" s="1163" t="s">
        <v>881</v>
      </c>
      <c r="BJ222" s="1163" t="s">
        <v>881</v>
      </c>
      <c r="BK222" s="1170" t="s">
        <v>881</v>
      </c>
      <c r="BL222" s="1170" t="s">
        <v>881</v>
      </c>
      <c r="BM222" s="1170" t="s">
        <v>881</v>
      </c>
      <c r="BN222" s="1170" t="s">
        <v>881</v>
      </c>
      <c r="BO222" s="1170" t="s">
        <v>881</v>
      </c>
      <c r="BP222" s="1170" t="s">
        <v>881</v>
      </c>
      <c r="BQ222" s="1170" t="s">
        <v>881</v>
      </c>
      <c r="BR222" s="1170" t="s">
        <v>881</v>
      </c>
      <c r="BS222" s="1170" t="s">
        <v>881</v>
      </c>
      <c r="BT222" s="579"/>
      <c r="BU222" s="579"/>
      <c r="BV222" s="579"/>
      <c r="BW222" s="579"/>
      <c r="BX222" s="579"/>
      <c r="BY222" s="579"/>
      <c r="BZ222" s="579"/>
      <c r="CA222" s="579"/>
      <c r="CB222" s="579"/>
      <c r="CC222" s="578"/>
      <c r="CD222" s="578"/>
      <c r="CE222" s="578"/>
      <c r="CF222" s="578"/>
      <c r="CG222" s="578"/>
      <c r="CH222" s="578"/>
      <c r="CI222" s="578"/>
      <c r="CJ222" s="578"/>
      <c r="CK222" s="578"/>
      <c r="CL222" s="579"/>
      <c r="CM222" s="579"/>
      <c r="CN222" s="579"/>
      <c r="CO222" s="579"/>
      <c r="CP222" s="579"/>
      <c r="CQ222" s="579"/>
      <c r="CR222" s="579"/>
      <c r="CS222" s="579"/>
      <c r="CT222" s="579"/>
      <c r="CU222" s="578"/>
      <c r="CV222" s="578"/>
      <c r="CW222" s="578"/>
      <c r="CX222" s="578"/>
      <c r="CY222" s="578"/>
      <c r="CZ222" s="578"/>
      <c r="DA222" s="578"/>
      <c r="DB222" s="578"/>
      <c r="DC222" s="578"/>
    </row>
    <row r="223" spans="1:107">
      <c r="A223" s="1167" t="s">
        <v>1083</v>
      </c>
      <c r="B223" s="1167" t="s">
        <v>1082</v>
      </c>
      <c r="C223" s="1166" t="s">
        <v>1030</v>
      </c>
      <c r="D223" s="1166" t="s">
        <v>923</v>
      </c>
      <c r="E223" s="577">
        <v>0.8</v>
      </c>
      <c r="F223" s="574">
        <v>0.5323</v>
      </c>
      <c r="G223" s="576">
        <v>100</v>
      </c>
      <c r="H223" s="574">
        <v>7.8770872966372369</v>
      </c>
      <c r="I223" s="1164"/>
      <c r="J223" s="575">
        <v>1</v>
      </c>
      <c r="K223" s="574">
        <v>5.2412169600000009</v>
      </c>
      <c r="L223" s="574">
        <v>4.1929735680000011</v>
      </c>
      <c r="M223" s="1164"/>
      <c r="N223" s="1168"/>
      <c r="O223" s="1164"/>
      <c r="P223" s="1163" t="s">
        <v>881</v>
      </c>
      <c r="Q223" s="1164"/>
      <c r="R223" s="1164"/>
      <c r="S223" s="1164"/>
      <c r="T223" s="1164"/>
      <c r="U223" s="1163" t="s">
        <v>881</v>
      </c>
      <c r="V223" s="1164"/>
      <c r="W223" s="1164"/>
      <c r="X223" s="1164"/>
      <c r="Y223" s="1164"/>
      <c r="Z223" s="573">
        <v>0.8</v>
      </c>
      <c r="AA223" s="572">
        <v>0.8</v>
      </c>
      <c r="AB223" s="572">
        <v>0.8</v>
      </c>
      <c r="AC223" s="572">
        <v>0.8</v>
      </c>
      <c r="AD223" s="572">
        <v>0.8</v>
      </c>
      <c r="AE223" s="572">
        <v>0.8</v>
      </c>
      <c r="AF223" s="572">
        <v>0.8</v>
      </c>
      <c r="AG223" s="1164"/>
      <c r="AH223" s="1163">
        <v>128</v>
      </c>
      <c r="AI223" s="1162"/>
      <c r="AJ223" s="1163" t="s">
        <v>881</v>
      </c>
      <c r="AK223" s="1163" t="s">
        <v>881</v>
      </c>
      <c r="AL223" s="1163" t="s">
        <v>881</v>
      </c>
      <c r="AM223" s="1163" t="s">
        <v>881</v>
      </c>
      <c r="AN223" s="1163" t="s">
        <v>881</v>
      </c>
      <c r="AO223" s="1163" t="s">
        <v>881</v>
      </c>
      <c r="AP223" s="1163" t="s">
        <v>881</v>
      </c>
      <c r="AQ223" s="1163" t="s">
        <v>881</v>
      </c>
      <c r="AR223" s="1163" t="s">
        <v>881</v>
      </c>
      <c r="AS223" s="1170" t="s">
        <v>881</v>
      </c>
      <c r="AT223" s="1170" t="s">
        <v>881</v>
      </c>
      <c r="AU223" s="1170" t="s">
        <v>881</v>
      </c>
      <c r="AV223" s="1170" t="s">
        <v>881</v>
      </c>
      <c r="AW223" s="1170" t="s">
        <v>881</v>
      </c>
      <c r="AX223" s="1170" t="s">
        <v>881</v>
      </c>
      <c r="AY223" s="1170" t="s">
        <v>881</v>
      </c>
      <c r="AZ223" s="1170" t="s">
        <v>881</v>
      </c>
      <c r="BA223" s="1170" t="s">
        <v>881</v>
      </c>
      <c r="BB223" s="1163" t="s">
        <v>881</v>
      </c>
      <c r="BC223" s="1163" t="s">
        <v>881</v>
      </c>
      <c r="BD223" s="1163" t="s">
        <v>881</v>
      </c>
      <c r="BE223" s="1163" t="s">
        <v>881</v>
      </c>
      <c r="BF223" s="1163" t="s">
        <v>881</v>
      </c>
      <c r="BG223" s="1163" t="s">
        <v>881</v>
      </c>
      <c r="BH223" s="1163" t="s">
        <v>881</v>
      </c>
      <c r="BI223" s="1163" t="s">
        <v>881</v>
      </c>
      <c r="BJ223" s="1163" t="s">
        <v>881</v>
      </c>
      <c r="BK223" s="1170" t="s">
        <v>881</v>
      </c>
      <c r="BL223" s="1170" t="s">
        <v>881</v>
      </c>
      <c r="BM223" s="1170" t="s">
        <v>881</v>
      </c>
      <c r="BN223" s="1170" t="s">
        <v>881</v>
      </c>
      <c r="BO223" s="1170" t="s">
        <v>881</v>
      </c>
      <c r="BP223" s="1170" t="s">
        <v>881</v>
      </c>
      <c r="BQ223" s="1170" t="s">
        <v>881</v>
      </c>
      <c r="BR223" s="1170" t="s">
        <v>881</v>
      </c>
      <c r="BS223" s="1170" t="s">
        <v>881</v>
      </c>
      <c r="BT223" s="579"/>
      <c r="BU223" s="579"/>
      <c r="BV223" s="579"/>
      <c r="BW223" s="579"/>
      <c r="BX223" s="579"/>
      <c r="BY223" s="579"/>
      <c r="BZ223" s="579"/>
      <c r="CA223" s="579"/>
      <c r="CB223" s="579"/>
      <c r="CC223" s="578"/>
      <c r="CD223" s="578"/>
      <c r="CE223" s="578"/>
      <c r="CF223" s="578"/>
      <c r="CG223" s="578"/>
      <c r="CH223" s="578"/>
      <c r="CI223" s="578"/>
      <c r="CJ223" s="578"/>
      <c r="CK223" s="578"/>
      <c r="CL223" s="579"/>
      <c r="CM223" s="579"/>
      <c r="CN223" s="579"/>
      <c r="CO223" s="579"/>
      <c r="CP223" s="579"/>
      <c r="CQ223" s="579"/>
      <c r="CR223" s="579"/>
      <c r="CS223" s="579"/>
      <c r="CT223" s="579"/>
      <c r="CU223" s="578"/>
      <c r="CV223" s="578"/>
      <c r="CW223" s="578"/>
      <c r="CX223" s="578"/>
      <c r="CY223" s="578"/>
      <c r="CZ223" s="578"/>
      <c r="DA223" s="578"/>
      <c r="DB223" s="578"/>
      <c r="DC223" s="578"/>
    </row>
    <row r="224" spans="1:107">
      <c r="A224" s="1167" t="s">
        <v>1081</v>
      </c>
      <c r="B224" s="1167" t="s">
        <v>1080</v>
      </c>
      <c r="C224" s="1166" t="s">
        <v>1030</v>
      </c>
      <c r="D224" s="1166" t="s">
        <v>922</v>
      </c>
      <c r="E224" s="577">
        <v>0.76</v>
      </c>
      <c r="F224" s="574">
        <v>0.6845</v>
      </c>
      <c r="G224" s="576">
        <v>100</v>
      </c>
      <c r="H224" s="574">
        <v>0</v>
      </c>
      <c r="I224" s="1164"/>
      <c r="J224" s="575">
        <v>1</v>
      </c>
      <c r="K224" s="574">
        <v>0</v>
      </c>
      <c r="L224" s="574">
        <v>0</v>
      </c>
      <c r="M224" s="1164"/>
      <c r="N224" s="1168"/>
      <c r="O224" s="1164"/>
      <c r="P224" s="1163" t="s">
        <v>881</v>
      </c>
      <c r="Q224" s="1164"/>
      <c r="R224" s="1164"/>
      <c r="S224" s="1164"/>
      <c r="T224" s="1164"/>
      <c r="U224" s="1163" t="s">
        <v>881</v>
      </c>
      <c r="V224" s="1164"/>
      <c r="W224" s="1164"/>
      <c r="X224" s="1164"/>
      <c r="Y224" s="1164"/>
      <c r="Z224" s="573">
        <v>0.76</v>
      </c>
      <c r="AA224" s="572">
        <v>0.76</v>
      </c>
      <c r="AB224" s="572">
        <v>0.76</v>
      </c>
      <c r="AC224" s="572">
        <v>0.76</v>
      </c>
      <c r="AD224" s="572">
        <v>0.76</v>
      </c>
      <c r="AE224" s="572">
        <v>0.76</v>
      </c>
      <c r="AF224" s="572">
        <v>0.76</v>
      </c>
      <c r="AG224" s="1164"/>
      <c r="AH224" s="1163">
        <v>129</v>
      </c>
      <c r="AI224" s="1162"/>
      <c r="AJ224" s="1163" t="s">
        <v>881</v>
      </c>
      <c r="AK224" s="1163" t="s">
        <v>881</v>
      </c>
      <c r="AL224" s="1163" t="s">
        <v>881</v>
      </c>
      <c r="AM224" s="1163" t="s">
        <v>881</v>
      </c>
      <c r="AN224" s="1163" t="s">
        <v>881</v>
      </c>
      <c r="AO224" s="1163" t="s">
        <v>881</v>
      </c>
      <c r="AP224" s="1163" t="s">
        <v>881</v>
      </c>
      <c r="AQ224" s="1163" t="s">
        <v>881</v>
      </c>
      <c r="AR224" s="1163" t="s">
        <v>881</v>
      </c>
      <c r="AS224" s="1170" t="s">
        <v>881</v>
      </c>
      <c r="AT224" s="1170" t="s">
        <v>881</v>
      </c>
      <c r="AU224" s="1170" t="s">
        <v>881</v>
      </c>
      <c r="AV224" s="1170" t="s">
        <v>881</v>
      </c>
      <c r="AW224" s="1170" t="s">
        <v>881</v>
      </c>
      <c r="AX224" s="1170" t="s">
        <v>881</v>
      </c>
      <c r="AY224" s="1170" t="s">
        <v>881</v>
      </c>
      <c r="AZ224" s="1170" t="s">
        <v>881</v>
      </c>
      <c r="BA224" s="1170" t="s">
        <v>881</v>
      </c>
      <c r="BB224" s="1163" t="s">
        <v>881</v>
      </c>
      <c r="BC224" s="1163" t="s">
        <v>881</v>
      </c>
      <c r="BD224" s="1163" t="s">
        <v>881</v>
      </c>
      <c r="BE224" s="1163" t="s">
        <v>881</v>
      </c>
      <c r="BF224" s="1163" t="s">
        <v>881</v>
      </c>
      <c r="BG224" s="1163" t="s">
        <v>881</v>
      </c>
      <c r="BH224" s="1163" t="s">
        <v>881</v>
      </c>
      <c r="BI224" s="1163" t="s">
        <v>881</v>
      </c>
      <c r="BJ224" s="1163" t="s">
        <v>881</v>
      </c>
      <c r="BK224" s="1170" t="s">
        <v>881</v>
      </c>
      <c r="BL224" s="1170" t="s">
        <v>881</v>
      </c>
      <c r="BM224" s="1170" t="s">
        <v>881</v>
      </c>
      <c r="BN224" s="1170" t="s">
        <v>881</v>
      </c>
      <c r="BO224" s="1170" t="s">
        <v>881</v>
      </c>
      <c r="BP224" s="1170" t="s">
        <v>881</v>
      </c>
      <c r="BQ224" s="1170" t="s">
        <v>881</v>
      </c>
      <c r="BR224" s="1170" t="s">
        <v>881</v>
      </c>
      <c r="BS224" s="1170" t="s">
        <v>881</v>
      </c>
      <c r="BT224" s="579"/>
      <c r="BU224" s="579"/>
      <c r="BV224" s="579"/>
      <c r="BW224" s="579"/>
      <c r="BX224" s="579"/>
      <c r="BY224" s="579"/>
      <c r="BZ224" s="579"/>
      <c r="CA224" s="579"/>
      <c r="CB224" s="579"/>
      <c r="CC224" s="578"/>
      <c r="CD224" s="578"/>
      <c r="CE224" s="578"/>
      <c r="CF224" s="578"/>
      <c r="CG224" s="578"/>
      <c r="CH224" s="578"/>
      <c r="CI224" s="578"/>
      <c r="CJ224" s="578"/>
      <c r="CK224" s="578"/>
      <c r="CL224" s="579"/>
      <c r="CM224" s="579"/>
      <c r="CN224" s="579"/>
      <c r="CO224" s="579"/>
      <c r="CP224" s="579"/>
      <c r="CQ224" s="579"/>
      <c r="CR224" s="579"/>
      <c r="CS224" s="579"/>
      <c r="CT224" s="579"/>
      <c r="CU224" s="578"/>
      <c r="CV224" s="578"/>
      <c r="CW224" s="578"/>
      <c r="CX224" s="578"/>
      <c r="CY224" s="578"/>
      <c r="CZ224" s="578"/>
      <c r="DA224" s="578"/>
      <c r="DB224" s="578"/>
      <c r="DC224" s="578"/>
    </row>
    <row r="225" spans="1:107">
      <c r="A225" s="1167" t="s">
        <v>1045</v>
      </c>
      <c r="B225" s="1167"/>
      <c r="C225" s="1166"/>
      <c r="D225" s="1166" t="s">
        <v>124</v>
      </c>
      <c r="E225" s="577"/>
      <c r="F225" s="574">
        <v>0</v>
      </c>
      <c r="G225" s="576"/>
      <c r="H225" s="574"/>
      <c r="I225" s="1164"/>
      <c r="J225" s="575"/>
      <c r="K225" s="574"/>
      <c r="L225" s="574"/>
      <c r="M225" s="1164"/>
      <c r="N225" s="1168"/>
      <c r="O225" s="1164"/>
      <c r="P225" s="1163" t="s">
        <v>881</v>
      </c>
      <c r="Q225" s="1164"/>
      <c r="R225" s="1164"/>
      <c r="S225" s="1164"/>
      <c r="T225" s="1164"/>
      <c r="U225" s="1163" t="s">
        <v>881</v>
      </c>
      <c r="V225" s="1164"/>
      <c r="W225" s="1164"/>
      <c r="X225" s="1164"/>
      <c r="Y225" s="1164"/>
      <c r="Z225" s="1163" t="s">
        <v>881</v>
      </c>
      <c r="AA225" s="1164"/>
      <c r="AB225" s="1164"/>
      <c r="AC225" s="1164"/>
      <c r="AD225" s="1164"/>
      <c r="AE225" s="1164"/>
      <c r="AF225" s="1164"/>
      <c r="AG225" s="1164"/>
      <c r="AH225" s="1163">
        <v>130</v>
      </c>
      <c r="AI225" s="1162" t="str">
        <f>MID(D225,2,2)</f>
        <v/>
      </c>
      <c r="AJ225" s="1163" t="s">
        <v>881</v>
      </c>
      <c r="AK225" s="1163" t="s">
        <v>881</v>
      </c>
      <c r="AL225" s="1163" t="s">
        <v>881</v>
      </c>
      <c r="AM225" s="1163" t="s">
        <v>881</v>
      </c>
      <c r="AN225" s="1163" t="s">
        <v>881</v>
      </c>
      <c r="AO225" s="1163" t="s">
        <v>881</v>
      </c>
      <c r="AP225" s="1163" t="s">
        <v>881</v>
      </c>
      <c r="AQ225" s="1163" t="s">
        <v>881</v>
      </c>
      <c r="AR225" s="1163" t="s">
        <v>881</v>
      </c>
      <c r="AS225" s="1170" t="s">
        <v>881</v>
      </c>
      <c r="AT225" s="1170" t="s">
        <v>881</v>
      </c>
      <c r="AU225" s="1170" t="s">
        <v>881</v>
      </c>
      <c r="AV225" s="1170" t="s">
        <v>881</v>
      </c>
      <c r="AW225" s="1170" t="s">
        <v>881</v>
      </c>
      <c r="AX225" s="1170" t="s">
        <v>881</v>
      </c>
      <c r="AY225" s="1170" t="s">
        <v>881</v>
      </c>
      <c r="AZ225" s="1170" t="s">
        <v>881</v>
      </c>
      <c r="BA225" s="1170" t="s">
        <v>881</v>
      </c>
      <c r="BB225" s="1163" t="s">
        <v>881</v>
      </c>
      <c r="BC225" s="1163" t="s">
        <v>881</v>
      </c>
      <c r="BD225" s="1163" t="s">
        <v>881</v>
      </c>
      <c r="BE225" s="1163" t="s">
        <v>881</v>
      </c>
      <c r="BF225" s="1163" t="s">
        <v>881</v>
      </c>
      <c r="BG225" s="1163" t="s">
        <v>881</v>
      </c>
      <c r="BH225" s="1163" t="s">
        <v>881</v>
      </c>
      <c r="BI225" s="1163" t="s">
        <v>881</v>
      </c>
      <c r="BJ225" s="1163" t="s">
        <v>881</v>
      </c>
      <c r="BK225" s="1170" t="s">
        <v>881</v>
      </c>
      <c r="BL225" s="1170" t="s">
        <v>881</v>
      </c>
      <c r="BM225" s="1170" t="s">
        <v>881</v>
      </c>
      <c r="BN225" s="1170" t="s">
        <v>881</v>
      </c>
      <c r="BO225" s="1170" t="s">
        <v>881</v>
      </c>
      <c r="BP225" s="1170" t="s">
        <v>881</v>
      </c>
      <c r="BQ225" s="1170" t="s">
        <v>881</v>
      </c>
      <c r="BR225" s="1170" t="s">
        <v>881</v>
      </c>
      <c r="BS225" s="1170" t="s">
        <v>881</v>
      </c>
      <c r="BT225" s="587"/>
      <c r="BU225" s="587"/>
      <c r="BV225" s="587"/>
      <c r="BW225" s="587"/>
      <c r="BX225" s="587"/>
      <c r="BY225" s="587"/>
      <c r="BZ225" s="587"/>
      <c r="CA225" s="587"/>
      <c r="CB225" s="587"/>
      <c r="CC225" s="578"/>
      <c r="CD225" s="578"/>
      <c r="CE225" s="578"/>
      <c r="CF225" s="578"/>
      <c r="CG225" s="578"/>
      <c r="CH225" s="578"/>
      <c r="CI225" s="578"/>
      <c r="CJ225" s="578"/>
      <c r="CK225" s="578"/>
      <c r="CL225" s="587"/>
      <c r="CM225" s="587"/>
      <c r="CN225" s="587"/>
      <c r="CO225" s="587"/>
      <c r="CP225" s="587"/>
      <c r="CQ225" s="587"/>
      <c r="CR225" s="587"/>
      <c r="CS225" s="587"/>
      <c r="CT225" s="587"/>
      <c r="CU225" s="586"/>
      <c r="CV225" s="586"/>
      <c r="CW225" s="586"/>
      <c r="CX225" s="586"/>
      <c r="CY225" s="586"/>
      <c r="CZ225" s="586"/>
      <c r="DA225" s="586"/>
      <c r="DB225" s="586"/>
      <c r="DC225" s="586"/>
    </row>
    <row r="226" spans="1:107">
      <c r="A226" s="1167" t="s">
        <v>1079</v>
      </c>
      <c r="B226" s="1167" t="s">
        <v>1078</v>
      </c>
      <c r="C226" s="1166" t="s">
        <v>1042</v>
      </c>
      <c r="D226" s="1166" t="s">
        <v>921</v>
      </c>
      <c r="E226" s="577">
        <v>0.64</v>
      </c>
      <c r="F226" s="574">
        <v>0.56299999999999994</v>
      </c>
      <c r="G226" s="576">
        <v>100</v>
      </c>
      <c r="H226" s="574">
        <v>73.662522202486656</v>
      </c>
      <c r="I226" s="1164"/>
      <c r="J226" s="575">
        <v>1</v>
      </c>
      <c r="K226" s="574">
        <v>64.799999999999983</v>
      </c>
      <c r="L226" s="574">
        <v>41.471999999999987</v>
      </c>
      <c r="M226" s="1164"/>
      <c r="N226" s="1168"/>
      <c r="O226" s="1164"/>
      <c r="P226" s="1160">
        <v>0.60590531036892281</v>
      </c>
      <c r="Q226" s="572">
        <v>0.65590531036892286</v>
      </c>
      <c r="R226" s="572">
        <v>0.85590531036892281</v>
      </c>
      <c r="S226" s="572">
        <v>1</v>
      </c>
      <c r="T226" s="1164"/>
      <c r="U226" s="573">
        <v>0.60590531036892281</v>
      </c>
      <c r="V226" s="572">
        <v>0.36354318622135368</v>
      </c>
      <c r="W226" s="572">
        <v>0.24236212414756914</v>
      </c>
      <c r="X226" s="572">
        <v>0.12118106207378457</v>
      </c>
      <c r="Y226" s="1164"/>
      <c r="Z226" s="573">
        <v>0.64</v>
      </c>
      <c r="AA226" s="572">
        <v>0.64</v>
      </c>
      <c r="AB226" s="572">
        <v>0.64</v>
      </c>
      <c r="AC226" s="572">
        <v>0.64</v>
      </c>
      <c r="AD226" s="572">
        <v>0.64</v>
      </c>
      <c r="AE226" s="572">
        <v>0.64</v>
      </c>
      <c r="AF226" s="572">
        <v>0.64</v>
      </c>
      <c r="AG226" s="1164"/>
      <c r="AH226" s="1163">
        <v>131</v>
      </c>
      <c r="AI226" s="1162" t="str">
        <f t="shared" ref="AI226:AI232" si="28">MID(D226,2,3)&amp;RIGHT(C226,3)</f>
        <v>PPSCOA</v>
      </c>
      <c r="AJ226" s="1160">
        <f t="shared" ref="AJ226:AR226" si="29">MAX(0,1-SUM(AJ227:AJ232))</f>
        <v>0.6059053103689227</v>
      </c>
      <c r="AK226" s="1160">
        <f t="shared" si="29"/>
        <v>0.6059053103689227</v>
      </c>
      <c r="AL226" s="1160">
        <f t="shared" si="29"/>
        <v>0.6059053103689227</v>
      </c>
      <c r="AM226" s="1160">
        <f t="shared" si="29"/>
        <v>0.6059053103689227</v>
      </c>
      <c r="AN226" s="1160">
        <f t="shared" si="29"/>
        <v>0.6059053103689227</v>
      </c>
      <c r="AO226" s="1160">
        <f t="shared" si="29"/>
        <v>0.6059053103689227</v>
      </c>
      <c r="AP226" s="1160">
        <f t="shared" si="29"/>
        <v>0.6059053103689227</v>
      </c>
      <c r="AQ226" s="1160">
        <f t="shared" si="29"/>
        <v>0.6059053103689227</v>
      </c>
      <c r="AR226" s="1160">
        <f t="shared" si="29"/>
        <v>0.6059053103689227</v>
      </c>
      <c r="AS226" s="1159">
        <v>0.6059053103689227</v>
      </c>
      <c r="AT226" s="1159">
        <v>0.6059053103689227</v>
      </c>
      <c r="AU226" s="1159">
        <v>0.6059053103689227</v>
      </c>
      <c r="AV226" s="1159">
        <v>0.6059053103689227</v>
      </c>
      <c r="AW226" s="1159">
        <v>0.6059053103689227</v>
      </c>
      <c r="AX226" s="1159">
        <v>0.6059053103689227</v>
      </c>
      <c r="AY226" s="1159">
        <v>0.6059053103689227</v>
      </c>
      <c r="AZ226" s="1159">
        <v>0.6059053103689227</v>
      </c>
      <c r="BA226" s="1159">
        <v>0.6059053103689227</v>
      </c>
      <c r="BB226" s="1160">
        <v>0.6059053103689227</v>
      </c>
      <c r="BC226" s="1160">
        <v>0.6059053103689227</v>
      </c>
      <c r="BD226" s="1160">
        <v>0.6059053103689227</v>
      </c>
      <c r="BE226" s="1160">
        <v>0.6059053103689227</v>
      </c>
      <c r="BF226" s="1160">
        <v>0.6059053103689227</v>
      </c>
      <c r="BG226" s="1160">
        <v>0.6059053103689227</v>
      </c>
      <c r="BH226" s="1160">
        <v>0.6059053103689227</v>
      </c>
      <c r="BI226" s="1160">
        <v>0.6059053103689227</v>
      </c>
      <c r="BJ226" s="1160">
        <v>0.6059053103689227</v>
      </c>
      <c r="BK226" s="1159">
        <v>0.6059053103689227</v>
      </c>
      <c r="BL226" s="1159">
        <v>0.6059053103689227</v>
      </c>
      <c r="BM226" s="1159">
        <v>0.6059053103689227</v>
      </c>
      <c r="BN226" s="1159">
        <v>0.6059053103689227</v>
      </c>
      <c r="BO226" s="1159">
        <v>0.6059053103689227</v>
      </c>
      <c r="BP226" s="1159">
        <v>0.6059053103689227</v>
      </c>
      <c r="BQ226" s="1159">
        <v>0.6059053103689227</v>
      </c>
      <c r="BR226" s="1159">
        <v>0.6059053103689227</v>
      </c>
      <c r="BS226" s="1159">
        <v>0.6059053103689227</v>
      </c>
      <c r="BT226" s="579">
        <f t="array" ref="BT226">$Z226  * (1 + SUM( ($AU$80:$AU$83=BT$93) * ($BH$79:$BP$79=BT$94) * ($BH$80:$BP$83) ))</f>
        <v>0.64022400510231114</v>
      </c>
      <c r="BU226" s="579">
        <f t="array" ref="BU226">$Z226  * (1 + SUM( ($AU$80:$AU$83=BU$93) * ($BH$79:$BP$79=BU$94) * ($BH$80:$BP$83) ))</f>
        <v>0.64069135279104783</v>
      </c>
      <c r="BV226" s="579">
        <f t="array" ref="BV226">$Z226  * (1 + SUM( ($AU$80:$AU$83=BV$93) * ($BH$79:$BP$79=BV$94) * ($BH$80:$BP$83) ))</f>
        <v>0.64144256593763005</v>
      </c>
      <c r="BW226" s="579">
        <f t="array" ref="BW226">$Z226  * (1 + SUM( ($AU$80:$AU$83=BW$93) * ($BH$79:$BP$79=BW$94) * ($BH$80:$BP$83) ))</f>
        <v>0.64248678290760342</v>
      </c>
      <c r="BX226" s="579">
        <f t="array" ref="BX226">$Z226  * (1 + SUM( ($AU$80:$AU$83=BX$93) * ($BH$79:$BP$79=BX$94) * ($BH$80:$BP$83) ))</f>
        <v>0.64367912468360744</v>
      </c>
      <c r="BY226" s="579">
        <f t="array" ref="BY226">$Z226  * (1 + SUM( ($AU$80:$AU$83=BY$93) * ($BH$79:$BP$79=BY$94) * ($BH$80:$BP$83) ))</f>
        <v>0.64476988832074622</v>
      </c>
      <c r="BZ226" s="579">
        <f t="array" ref="BZ226">$Z226  * (1 + SUM( ($AU$80:$AU$83=BZ$93) * ($BH$79:$BP$79=BZ$94) * ($BH$80:$BP$83) ))</f>
        <v>0.64558309357480281</v>
      </c>
      <c r="CA226" s="579">
        <f t="array" ref="CA226">$Z226  * (1 + SUM( ($AU$80:$AU$83=CA$93) * ($BH$79:$BP$79=CA$94) * ($BH$80:$BP$83) ))</f>
        <v>0.6461016007575977</v>
      </c>
      <c r="CB226" s="579">
        <f t="array" ref="CB226">$Z226  * (1 + SUM( ($AU$80:$AU$83=CB$93) * ($BH$79:$BP$79=CB$94) * ($BH$80:$BP$83) ))</f>
        <v>0.64639999999999997</v>
      </c>
      <c r="CC226" s="578">
        <f t="array" ref="CC226">$Z226  * (1 + SUM( ($AU$80:$AU$83=CC$93) * ($BH$79:$BP$79=CC$94) * ($BH$80:$BP$83) ))</f>
        <v>0.6433600765346662</v>
      </c>
      <c r="CD226" s="578">
        <f t="array" ref="CD226">$Z226  * (1 + SUM( ($AU$80:$AU$83=CD$93) * ($BH$79:$BP$79=CD$94) * ($BH$80:$BP$83) ))</f>
        <v>0.65037029186571771</v>
      </c>
      <c r="CE226" s="578">
        <f t="array" ref="CE226">$Z226  * (1 + SUM( ($AU$80:$AU$83=CE$93) * ($BH$79:$BP$79=CE$94) * ($BH$80:$BP$83) ))</f>
        <v>0.66163848906445089</v>
      </c>
      <c r="CF226" s="578">
        <f t="array" ref="CF226">$Z226  * (1 + SUM( ($AU$80:$AU$83=CF$93) * ($BH$79:$BP$79=CF$94) * ($BH$80:$BP$83) ))</f>
        <v>0.67730174361405104</v>
      </c>
      <c r="CG226" s="578">
        <f t="array" ref="CG226">$Z226  * (1 + SUM( ($AU$80:$AU$83=CG$93) * ($BH$79:$BP$79=CG$94) * ($BH$80:$BP$83) ))</f>
        <v>0.69518687025411108</v>
      </c>
      <c r="CH226" s="578">
        <f t="array" ref="CH226">$Z226  * (1 + SUM( ($AU$80:$AU$83=CH$93) * ($BH$79:$BP$79=CH$94) * ($BH$80:$BP$83) ))</f>
        <v>0.7115483248111929</v>
      </c>
      <c r="CI226" s="578">
        <f t="array" ref="CI226">$Z226  * (1 + SUM( ($AU$80:$AU$83=CI$93) * ($BH$79:$BP$79=CI$94) * ($BH$80:$BP$83) ))</f>
        <v>0.72374640362204334</v>
      </c>
      <c r="CJ226" s="578">
        <f t="array" ref="CJ226">$Z226  * (1 + SUM( ($AU$80:$AU$83=CJ$93) * ($BH$79:$BP$79=CJ$94) * ($BH$80:$BP$83) ))</f>
        <v>0.73152401136396494</v>
      </c>
      <c r="CK226" s="578">
        <f t="array" ref="CK226">$Z226  * (1 + SUM( ($AU$80:$AU$83=CK$93) * ($BH$79:$BP$79=CK$94) * ($BH$80:$BP$83) ))</f>
        <v>0.73599999999999999</v>
      </c>
      <c r="CL226" s="579">
        <f t="array" ref="CL226">$Z226  * (1 + SUM( ($AU$80:$AU$83=CL$93) * ($BH$79:$BP$79=CL$94) * ($BH$80:$BP$83) ))</f>
        <v>0.6467201530693325</v>
      </c>
      <c r="CM226" s="579">
        <f t="array" ref="CM226">$Z226  * (1 + SUM( ($AU$80:$AU$83=CM$93) * ($BH$79:$BP$79=CM$94) * ($BH$80:$BP$83) ))</f>
        <v>0.66074058373143563</v>
      </c>
      <c r="CN226" s="579">
        <f t="array" ref="CN226">$Z226  * (1 + SUM( ($AU$80:$AU$83=CN$93) * ($BH$79:$BP$79=CN$94) * ($BH$80:$BP$83) ))</f>
        <v>0.68327697812890165</v>
      </c>
      <c r="CO226" s="579">
        <f t="array" ref="CO226">$Z226  * (1 + SUM( ($AU$80:$AU$83=CO$93) * ($BH$79:$BP$79=CO$94) * ($BH$80:$BP$83) ))</f>
        <v>0.71460348722810196</v>
      </c>
      <c r="CP226" s="579">
        <f t="array" ref="CP226">$Z226  * (1 + SUM( ($AU$80:$AU$83=CP$93) * ($BH$79:$BP$79=CP$94) * ($BH$80:$BP$83) ))</f>
        <v>0.75037374050822236</v>
      </c>
      <c r="CQ226" s="579">
        <f t="array" ref="CQ226">$Z226  * (1 + SUM( ($AU$80:$AU$83=CQ$93) * ($BH$79:$BP$79=CQ$94) * ($BH$80:$BP$83) ))</f>
        <v>0.78309664962238568</v>
      </c>
      <c r="CR226" s="579">
        <f t="array" ref="CR226">$Z226  * (1 + SUM( ($AU$80:$AU$83=CR$93) * ($BH$79:$BP$79=CR$94) * ($BH$80:$BP$83) ))</f>
        <v>0.80749280724408679</v>
      </c>
      <c r="CS226" s="579">
        <f t="array" ref="CS226">$Z226  * (1 + SUM( ($AU$80:$AU$83=CS$93) * ($BH$79:$BP$79=CS$94) * ($BH$80:$BP$83) ))</f>
        <v>0.82304802272792987</v>
      </c>
      <c r="CT226" s="579">
        <f t="array" ref="CT226">$Z226  * (1 + SUM( ($AU$80:$AU$83=CT$93) * ($BH$79:$BP$79=CT$94) * ($BH$80:$BP$83) ))</f>
        <v>0.83200000000000007</v>
      </c>
      <c r="CU226" s="578">
        <f t="array" ref="CU226">$Z226  * (1 + SUM( ($AU$80:$AU$83=CU$93) * ($BH$79:$BP$79=CU$94) * ($BH$80:$BP$83) ))</f>
        <v>0.64896020409244326</v>
      </c>
      <c r="CV226" s="578">
        <f t="array" ref="CV226">$Z226  * (1 + SUM( ($AU$80:$AU$83=CV$93) * ($BH$79:$BP$79=CV$94) * ($BH$80:$BP$83) ))</f>
        <v>0.66765411164191402</v>
      </c>
      <c r="CW226" s="578">
        <f t="array" ref="CW226">$Z226  * (1 + SUM( ($AU$80:$AU$83=CW$93) * ($BH$79:$BP$79=CW$94) * ($BH$80:$BP$83) ))</f>
        <v>0.69770263750520212</v>
      </c>
      <c r="CX226" s="578">
        <f t="array" ref="CX226">$Z226  * (1 + SUM( ($AU$80:$AU$83=CX$93) * ($BH$79:$BP$79=CX$94) * ($BH$80:$BP$83) ))</f>
        <v>0.73947131630413609</v>
      </c>
      <c r="CY226" s="578">
        <f t="array" ref="CY226">$Z226  * (1 + SUM( ($AU$80:$AU$83=CY$93) * ($BH$79:$BP$79=CY$94) * ($BH$80:$BP$83) ))</f>
        <v>0.78716498734429652</v>
      </c>
      <c r="CZ226" s="578">
        <f t="array" ref="CZ226">$Z226  * (1 + SUM( ($AU$80:$AU$83=CZ$93) * ($BH$79:$BP$79=CZ$94) * ($BH$80:$BP$83) ))</f>
        <v>0.83079553282984764</v>
      </c>
      <c r="DA226" s="578">
        <f t="array" ref="DA226">$Z226  * (1 + SUM( ($AU$80:$AU$83=DA$93) * ($BH$79:$BP$79=DA$94) * ($BH$80:$BP$83) ))</f>
        <v>0.86332374299211578</v>
      </c>
      <c r="DB226" s="578">
        <f t="array" ref="DB226">$Z226  * (1 + SUM( ($AU$80:$AU$83=DB$93) * ($BH$79:$BP$79=DB$94) * ($BH$80:$BP$83) ))</f>
        <v>0.88406403030390646</v>
      </c>
      <c r="DC226" s="578">
        <f t="array" ref="DC226">$Z226  * (1 + SUM( ($AU$80:$AU$83=DC$93) * ($BH$79:$BP$79=DC$94) * ($BH$80:$BP$83) ))</f>
        <v>0.89599999999999991</v>
      </c>
    </row>
    <row r="227" spans="1:107">
      <c r="A227" s="1167" t="s">
        <v>1077</v>
      </c>
      <c r="B227" s="1167" t="s">
        <v>1076</v>
      </c>
      <c r="C227" s="1166" t="s">
        <v>1039</v>
      </c>
      <c r="D227" s="1166" t="s">
        <v>921</v>
      </c>
      <c r="E227" s="577">
        <v>0.72</v>
      </c>
      <c r="F227" s="574">
        <v>0.56299999999999994</v>
      </c>
      <c r="G227" s="576">
        <v>100</v>
      </c>
      <c r="H227" s="574">
        <v>3.990948490230906</v>
      </c>
      <c r="I227" s="1164"/>
      <c r="J227" s="575">
        <v>1</v>
      </c>
      <c r="K227" s="574">
        <v>3.1206999999999998</v>
      </c>
      <c r="L227" s="574">
        <v>2.2469039999999998</v>
      </c>
      <c r="M227" s="1164"/>
      <c r="N227" s="1168"/>
      <c r="O227" s="1164"/>
      <c r="P227" s="1160">
        <v>3.282723441090795E-2</v>
      </c>
      <c r="Q227" s="572">
        <v>8.2827234410907946E-2</v>
      </c>
      <c r="R227" s="572">
        <v>0.28282723441090796</v>
      </c>
      <c r="S227" s="572">
        <v>0.53282723441090796</v>
      </c>
      <c r="T227" s="1164"/>
      <c r="U227" s="573">
        <v>3.282723441090795E-2</v>
      </c>
      <c r="V227" s="1169">
        <v>3.282723441090795E-2</v>
      </c>
      <c r="W227" s="1169">
        <v>3.282723441090795E-2</v>
      </c>
      <c r="X227" s="1169">
        <v>3.282723441090795E-2</v>
      </c>
      <c r="Y227" s="1164"/>
      <c r="Z227" s="573">
        <v>0.72</v>
      </c>
      <c r="AA227" s="572">
        <v>0.72</v>
      </c>
      <c r="AB227" s="572">
        <v>0.72</v>
      </c>
      <c r="AC227" s="572">
        <v>0.72</v>
      </c>
      <c r="AD227" s="572">
        <v>0.72</v>
      </c>
      <c r="AE227" s="572">
        <v>0.72</v>
      </c>
      <c r="AF227" s="572">
        <v>0.72</v>
      </c>
      <c r="AG227" s="1164"/>
      <c r="AH227" s="1163">
        <v>132</v>
      </c>
      <c r="AI227" s="1162" t="str">
        <f t="shared" si="28"/>
        <v>PPSGAS</v>
      </c>
      <c r="AJ227" s="1160">
        <v>3.282723441090795E-2</v>
      </c>
      <c r="AK227" s="1160">
        <v>3.282723441090795E-2</v>
      </c>
      <c r="AL227" s="1160">
        <v>3.282723441090795E-2</v>
      </c>
      <c r="AM227" s="1160">
        <v>3.282723441090795E-2</v>
      </c>
      <c r="AN227" s="1160">
        <v>3.282723441090795E-2</v>
      </c>
      <c r="AO227" s="1160">
        <v>3.282723441090795E-2</v>
      </c>
      <c r="AP227" s="1160">
        <v>3.282723441090795E-2</v>
      </c>
      <c r="AQ227" s="1160">
        <v>3.282723441090795E-2</v>
      </c>
      <c r="AR227" s="1160">
        <v>3.282723441090795E-2</v>
      </c>
      <c r="AS227" s="1159">
        <v>3.282723441090795E-2</v>
      </c>
      <c r="AT227" s="1159">
        <v>3.282723441090795E-2</v>
      </c>
      <c r="AU227" s="1159">
        <v>3.282723441090795E-2</v>
      </c>
      <c r="AV227" s="1159">
        <v>3.282723441090795E-2</v>
      </c>
      <c r="AW227" s="1159">
        <v>3.282723441090795E-2</v>
      </c>
      <c r="AX227" s="1159">
        <v>3.282723441090795E-2</v>
      </c>
      <c r="AY227" s="1159">
        <v>3.282723441090795E-2</v>
      </c>
      <c r="AZ227" s="1159">
        <v>3.282723441090795E-2</v>
      </c>
      <c r="BA227" s="1159">
        <v>3.282723441090795E-2</v>
      </c>
      <c r="BB227" s="1160">
        <v>3.282723441090795E-2</v>
      </c>
      <c r="BC227" s="1160">
        <v>3.282723441090795E-2</v>
      </c>
      <c r="BD227" s="1160">
        <v>3.282723441090795E-2</v>
      </c>
      <c r="BE227" s="1160">
        <v>3.282723441090795E-2</v>
      </c>
      <c r="BF227" s="1160">
        <v>3.282723441090795E-2</v>
      </c>
      <c r="BG227" s="1160">
        <v>3.282723441090795E-2</v>
      </c>
      <c r="BH227" s="1160">
        <v>3.282723441090795E-2</v>
      </c>
      <c r="BI227" s="1160">
        <v>3.282723441090795E-2</v>
      </c>
      <c r="BJ227" s="1160">
        <v>3.282723441090795E-2</v>
      </c>
      <c r="BK227" s="1159">
        <v>3.282723441090795E-2</v>
      </c>
      <c r="BL227" s="1159">
        <v>3.282723441090795E-2</v>
      </c>
      <c r="BM227" s="1159">
        <v>3.282723441090795E-2</v>
      </c>
      <c r="BN227" s="1159">
        <v>3.282723441090795E-2</v>
      </c>
      <c r="BO227" s="1159">
        <v>3.282723441090795E-2</v>
      </c>
      <c r="BP227" s="1159">
        <v>3.282723441090795E-2</v>
      </c>
      <c r="BQ227" s="1159">
        <v>3.282723441090795E-2</v>
      </c>
      <c r="BR227" s="1159">
        <v>3.282723441090795E-2</v>
      </c>
      <c r="BS227" s="1159">
        <v>3.282723441090795E-2</v>
      </c>
      <c r="BT227" s="579">
        <f t="array" ref="BT227">$Z227  * (1 + SUM( ($AU$80:$AU$83=BT$93) * ($BH$79:$BP$79=BT$94) * ($BH$80:$BP$83) ))</f>
        <v>0.72025200574009995</v>
      </c>
      <c r="BU227" s="579">
        <f t="array" ref="BU227">$Z227  * (1 + SUM( ($AU$80:$AU$83=BU$93) * ($BH$79:$BP$79=BU$94) * ($BH$80:$BP$83) ))</f>
        <v>0.72077777188992875</v>
      </c>
      <c r="BV227" s="579">
        <f t="array" ref="BV227">$Z227  * (1 + SUM( ($AU$80:$AU$83=BV$93) * ($BH$79:$BP$79=BV$94) * ($BH$80:$BP$83) ))</f>
        <v>0.72162288667983376</v>
      </c>
      <c r="BW227" s="579">
        <f t="array" ref="BW227">$Z227  * (1 + SUM( ($AU$80:$AU$83=BW$93) * ($BH$79:$BP$79=BW$94) * ($BH$80:$BP$83) ))</f>
        <v>0.72279763077105375</v>
      </c>
      <c r="BX227" s="579">
        <f t="array" ref="BX227">$Z227  * (1 + SUM( ($AU$80:$AU$83=BX$93) * ($BH$79:$BP$79=BX$94) * ($BH$80:$BP$83) ))</f>
        <v>0.72413901526905833</v>
      </c>
      <c r="BY227" s="579">
        <f t="array" ref="BY227">$Z227  * (1 + SUM( ($AU$80:$AU$83=BY$93) * ($BH$79:$BP$79=BY$94) * ($BH$80:$BP$83) ))</f>
        <v>0.72536612436083947</v>
      </c>
      <c r="BZ227" s="579">
        <f t="array" ref="BZ227">$Z227  * (1 + SUM( ($AU$80:$AU$83=BZ$93) * ($BH$79:$BP$79=BZ$94) * ($BH$80:$BP$83) ))</f>
        <v>0.72628098027165311</v>
      </c>
      <c r="CA227" s="579">
        <f t="array" ref="CA227">$Z227  * (1 + SUM( ($AU$80:$AU$83=CA$93) * ($BH$79:$BP$79=CA$94) * ($BH$80:$BP$83) ))</f>
        <v>0.72686430085229736</v>
      </c>
      <c r="CB227" s="579">
        <f t="array" ref="CB227">$Z227  * (1 + SUM( ($AU$80:$AU$83=CB$93) * ($BH$79:$BP$79=CB$94) * ($BH$80:$BP$83) ))</f>
        <v>0.72719999999999996</v>
      </c>
      <c r="CC227" s="578">
        <f t="array" ref="CC227">$Z227  * (1 + SUM( ($AU$80:$AU$83=CC$93) * ($BH$79:$BP$79=CC$94) * ($BH$80:$BP$83) ))</f>
        <v>0.72378008610149946</v>
      </c>
      <c r="CD227" s="578">
        <f t="array" ref="CD227">$Z227  * (1 + SUM( ($AU$80:$AU$83=CD$93) * ($BH$79:$BP$79=CD$94) * ($BH$80:$BP$83) ))</f>
        <v>0.73166657834893245</v>
      </c>
      <c r="CE227" s="578">
        <f t="array" ref="CE227">$Z227  * (1 + SUM( ($AU$80:$AU$83=CE$93) * ($BH$79:$BP$79=CE$94) * ($BH$80:$BP$83) ))</f>
        <v>0.74434330019750716</v>
      </c>
      <c r="CF227" s="578">
        <f t="array" ref="CF227">$Z227  * (1 + SUM( ($AU$80:$AU$83=CF$93) * ($BH$79:$BP$79=CF$94) * ($BH$80:$BP$83) ))</f>
        <v>0.76196446156580744</v>
      </c>
      <c r="CG227" s="578">
        <f t="array" ref="CG227">$Z227  * (1 + SUM( ($AU$80:$AU$83=CG$93) * ($BH$79:$BP$79=CG$94) * ($BH$80:$BP$83) ))</f>
        <v>0.78208522903587496</v>
      </c>
      <c r="CH227" s="578">
        <f t="array" ref="CH227">$Z227  * (1 + SUM( ($AU$80:$AU$83=CH$93) * ($BH$79:$BP$79=CH$94) * ($BH$80:$BP$83) ))</f>
        <v>0.80049186541259199</v>
      </c>
      <c r="CI227" s="578">
        <f t="array" ref="CI227">$Z227  * (1 + SUM( ($AU$80:$AU$83=CI$93) * ($BH$79:$BP$79=CI$94) * ($BH$80:$BP$83) ))</f>
        <v>0.81421470407479868</v>
      </c>
      <c r="CJ227" s="578">
        <f t="array" ref="CJ227">$Z227  * (1 + SUM( ($AU$80:$AU$83=CJ$93) * ($BH$79:$BP$79=CJ$94) * ($BH$80:$BP$83) ))</f>
        <v>0.82296451278446048</v>
      </c>
      <c r="CK227" s="578">
        <f t="array" ref="CK227">$Z227  * (1 + SUM( ($AU$80:$AU$83=CK$93) * ($BH$79:$BP$79=CK$94) * ($BH$80:$BP$83) ))</f>
        <v>0.82799999999999996</v>
      </c>
      <c r="CL227" s="579">
        <f t="array" ref="CL227">$Z227  * (1 + SUM( ($AU$80:$AU$83=CL$93) * ($BH$79:$BP$79=CL$94) * ($BH$80:$BP$83) ))</f>
        <v>0.72756017220299896</v>
      </c>
      <c r="CM227" s="579">
        <f t="array" ref="CM227">$Z227  * (1 + SUM( ($AU$80:$AU$83=CM$93) * ($BH$79:$BP$79=CM$94) * ($BH$80:$BP$83) ))</f>
        <v>0.74333315669786504</v>
      </c>
      <c r="CN227" s="579">
        <f t="array" ref="CN227">$Z227  * (1 + SUM( ($AU$80:$AU$83=CN$93) * ($BH$79:$BP$79=CN$94) * ($BH$80:$BP$83) ))</f>
        <v>0.76868660039501435</v>
      </c>
      <c r="CO227" s="579">
        <f t="array" ref="CO227">$Z227  * (1 + SUM( ($AU$80:$AU$83=CO$93) * ($BH$79:$BP$79=CO$94) * ($BH$80:$BP$83) ))</f>
        <v>0.80392892313161468</v>
      </c>
      <c r="CP227" s="579">
        <f t="array" ref="CP227">$Z227  * (1 + SUM( ($AU$80:$AU$83=CP$93) * ($BH$79:$BP$79=CP$94) * ($BH$80:$BP$83) ))</f>
        <v>0.84417045807175017</v>
      </c>
      <c r="CQ227" s="579">
        <f t="array" ref="CQ227">$Z227  * (1 + SUM( ($AU$80:$AU$83=CQ$93) * ($BH$79:$BP$79=CQ$94) * ($BH$80:$BP$83) ))</f>
        <v>0.88098373082518389</v>
      </c>
      <c r="CR227" s="579">
        <f t="array" ref="CR227">$Z227  * (1 + SUM( ($AU$80:$AU$83=CR$93) * ($BH$79:$BP$79=CR$94) * ($BH$80:$BP$83) ))</f>
        <v>0.90842940814959761</v>
      </c>
      <c r="CS227" s="579">
        <f t="array" ref="CS227">$Z227  * (1 + SUM( ($AU$80:$AU$83=CS$93) * ($BH$79:$BP$79=CS$94) * ($BH$80:$BP$83) ))</f>
        <v>0.92592902556892098</v>
      </c>
      <c r="CT227" s="579">
        <f t="array" ref="CT227">$Z227  * (1 + SUM( ($AU$80:$AU$83=CT$93) * ($BH$79:$BP$79=CT$94) * ($BH$80:$BP$83) ))</f>
        <v>0.93599999999999994</v>
      </c>
      <c r="CU227" s="578">
        <f t="array" ref="CU227">$Z227  * (1 + SUM( ($AU$80:$AU$83=CU$93) * ($BH$79:$BP$79=CU$94) * ($BH$80:$BP$83) ))</f>
        <v>0.73008022960399865</v>
      </c>
      <c r="CV227" s="578">
        <f t="array" ref="CV227">$Z227  * (1 + SUM( ($AU$80:$AU$83=CV$93) * ($BH$79:$BP$79=CV$94) * ($BH$80:$BP$83) ))</f>
        <v>0.75111087559715328</v>
      </c>
      <c r="CW227" s="578">
        <f t="array" ref="CW227">$Z227  * (1 + SUM( ($AU$80:$AU$83=CW$93) * ($BH$79:$BP$79=CW$94) * ($BH$80:$BP$83) ))</f>
        <v>0.78491546719335237</v>
      </c>
      <c r="CX227" s="578">
        <f t="array" ref="CX227">$Z227  * (1 + SUM( ($AU$80:$AU$83=CX$93) * ($BH$79:$BP$79=CX$94) * ($BH$80:$BP$83) ))</f>
        <v>0.83190523084215307</v>
      </c>
      <c r="CY227" s="578">
        <f t="array" ref="CY227">$Z227  * (1 + SUM( ($AU$80:$AU$83=CY$93) * ($BH$79:$BP$79=CY$94) * ($BH$80:$BP$83) ))</f>
        <v>0.8855606107623335</v>
      </c>
      <c r="CZ227" s="578">
        <f t="array" ref="CZ227">$Z227  * (1 + SUM( ($AU$80:$AU$83=CZ$93) * ($BH$79:$BP$79=CZ$94) * ($BH$80:$BP$83) ))</f>
        <v>0.93464497443357852</v>
      </c>
      <c r="DA227" s="578">
        <f t="array" ref="DA227">$Z227  * (1 + SUM( ($AU$80:$AU$83=DA$93) * ($BH$79:$BP$79=DA$94) * ($BH$80:$BP$83) ))</f>
        <v>0.97123921086613019</v>
      </c>
      <c r="DB227" s="578">
        <f t="array" ref="DB227">$Z227  * (1 + SUM( ($AU$80:$AU$83=DB$93) * ($BH$79:$BP$79=DB$94) * ($BH$80:$BP$83) ))</f>
        <v>0.99457203409189476</v>
      </c>
      <c r="DC227" s="578">
        <f t="array" ref="DC227">$Z227  * (1 + SUM( ($AU$80:$AU$83=DC$93) * ($BH$79:$BP$79=DC$94) * ($BH$80:$BP$83) ))</f>
        <v>1.008</v>
      </c>
    </row>
    <row r="228" spans="1:107">
      <c r="A228" s="1167" t="s">
        <v>1075</v>
      </c>
      <c r="B228" s="1167" t="s">
        <v>1074</v>
      </c>
      <c r="C228" s="1166" t="s">
        <v>1036</v>
      </c>
      <c r="D228" s="1166" t="s">
        <v>921</v>
      </c>
      <c r="E228" s="577">
        <v>0.68</v>
      </c>
      <c r="F228" s="574">
        <v>0.56299999999999994</v>
      </c>
      <c r="G228" s="576">
        <v>100</v>
      </c>
      <c r="H228" s="574">
        <v>0</v>
      </c>
      <c r="I228" s="1164"/>
      <c r="J228" s="575">
        <v>1</v>
      </c>
      <c r="K228" s="574">
        <v>0</v>
      </c>
      <c r="L228" s="574">
        <v>0</v>
      </c>
      <c r="M228" s="1164"/>
      <c r="N228" s="1168"/>
      <c r="O228" s="1164"/>
      <c r="P228" s="1160">
        <v>0</v>
      </c>
      <c r="Q228" s="572">
        <v>0.05</v>
      </c>
      <c r="R228" s="572">
        <v>0.25</v>
      </c>
      <c r="S228" s="572">
        <v>0.5</v>
      </c>
      <c r="T228" s="1164"/>
      <c r="U228" s="573">
        <v>0</v>
      </c>
      <c r="V228" s="572">
        <v>0</v>
      </c>
      <c r="W228" s="572">
        <v>0</v>
      </c>
      <c r="X228" s="572">
        <v>0</v>
      </c>
      <c r="Y228" s="1164"/>
      <c r="Z228" s="573">
        <v>0.68</v>
      </c>
      <c r="AA228" s="572">
        <v>0.68</v>
      </c>
      <c r="AB228" s="572">
        <v>0.68</v>
      </c>
      <c r="AC228" s="572">
        <v>0.68</v>
      </c>
      <c r="AD228" s="572">
        <v>0.68</v>
      </c>
      <c r="AE228" s="572">
        <v>0.68</v>
      </c>
      <c r="AF228" s="572">
        <v>0.68</v>
      </c>
      <c r="AG228" s="1164"/>
      <c r="AH228" s="1163">
        <v>133</v>
      </c>
      <c r="AI228" s="1162" t="str">
        <f t="shared" si="28"/>
        <v>PPSOHF</v>
      </c>
      <c r="AJ228" s="1160">
        <v>0</v>
      </c>
      <c r="AK228" s="1160">
        <v>0</v>
      </c>
      <c r="AL228" s="1160">
        <v>0</v>
      </c>
      <c r="AM228" s="1160">
        <v>0</v>
      </c>
      <c r="AN228" s="1160">
        <v>0</v>
      </c>
      <c r="AO228" s="1160">
        <v>0</v>
      </c>
      <c r="AP228" s="1160">
        <v>0</v>
      </c>
      <c r="AQ228" s="1160">
        <v>0</v>
      </c>
      <c r="AR228" s="1160">
        <v>0</v>
      </c>
      <c r="AS228" s="1159">
        <v>0</v>
      </c>
      <c r="AT228" s="1159">
        <v>0</v>
      </c>
      <c r="AU228" s="1159">
        <v>0</v>
      </c>
      <c r="AV228" s="1159">
        <v>0</v>
      </c>
      <c r="AW228" s="1159">
        <v>0</v>
      </c>
      <c r="AX228" s="1159">
        <v>0</v>
      </c>
      <c r="AY228" s="1159">
        <v>0</v>
      </c>
      <c r="AZ228" s="1159">
        <v>0</v>
      </c>
      <c r="BA228" s="1159">
        <v>0</v>
      </c>
      <c r="BB228" s="1160">
        <v>0</v>
      </c>
      <c r="BC228" s="1160">
        <v>0</v>
      </c>
      <c r="BD228" s="1160">
        <v>0</v>
      </c>
      <c r="BE228" s="1160">
        <v>0</v>
      </c>
      <c r="BF228" s="1160">
        <v>0</v>
      </c>
      <c r="BG228" s="1160">
        <v>0</v>
      </c>
      <c r="BH228" s="1160">
        <v>0</v>
      </c>
      <c r="BI228" s="1160">
        <v>0</v>
      </c>
      <c r="BJ228" s="1160">
        <v>0</v>
      </c>
      <c r="BK228" s="1159">
        <v>0</v>
      </c>
      <c r="BL228" s="1159">
        <v>0</v>
      </c>
      <c r="BM228" s="1159">
        <v>0</v>
      </c>
      <c r="BN228" s="1159">
        <v>0</v>
      </c>
      <c r="BO228" s="1159">
        <v>0</v>
      </c>
      <c r="BP228" s="1159">
        <v>0</v>
      </c>
      <c r="BQ228" s="1159">
        <v>0</v>
      </c>
      <c r="BR228" s="1159">
        <v>0</v>
      </c>
      <c r="BS228" s="1159">
        <v>0</v>
      </c>
      <c r="BT228" s="579">
        <f t="array" ref="BT228">$Z228  * (1 + SUM( ($AU$80:$AU$83=BT$93) * ($BH$79:$BP$79=BT$94) * ($BH$80:$BP$83) ))</f>
        <v>0.6802380054212056</v>
      </c>
      <c r="BU228" s="579">
        <f t="array" ref="BU228">$Z228  * (1 + SUM( ($AU$80:$AU$83=BU$93) * ($BH$79:$BP$79=BU$94) * ($BH$80:$BP$83) ))</f>
        <v>0.68073456234048835</v>
      </c>
      <c r="BV228" s="579">
        <f t="array" ref="BV228">$Z228  * (1 + SUM( ($AU$80:$AU$83=BV$93) * ($BH$79:$BP$79=BV$94) * ($BH$80:$BP$83) ))</f>
        <v>0.68153272630873196</v>
      </c>
      <c r="BW228" s="579">
        <f t="array" ref="BW228">$Z228  * (1 + SUM( ($AU$80:$AU$83=BW$93) * ($BH$79:$BP$79=BW$94) * ($BH$80:$BP$83) ))</f>
        <v>0.68264220683932864</v>
      </c>
      <c r="BX228" s="579">
        <f t="array" ref="BX228">$Z228  * (1 + SUM( ($AU$80:$AU$83=BX$93) * ($BH$79:$BP$79=BX$94) * ($BH$80:$BP$83) ))</f>
        <v>0.68390906997633294</v>
      </c>
      <c r="BY228" s="579">
        <f t="array" ref="BY228">$Z228  * (1 + SUM( ($AU$80:$AU$83=BY$93) * ($BH$79:$BP$79=BY$94) * ($BH$80:$BP$83) ))</f>
        <v>0.6850680063407929</v>
      </c>
      <c r="BZ228" s="579">
        <f t="array" ref="BZ228">$Z228  * (1 + SUM( ($AU$80:$AU$83=BZ$93) * ($BH$79:$BP$79=BZ$94) * ($BH$80:$BP$83) ))</f>
        <v>0.68593203692322802</v>
      </c>
      <c r="CA228" s="579">
        <f t="array" ref="CA228">$Z228  * (1 + SUM( ($AU$80:$AU$83=CA$93) * ($BH$79:$BP$79=CA$94) * ($BH$80:$BP$83) ))</f>
        <v>0.68648295080494759</v>
      </c>
      <c r="CB228" s="579">
        <f t="array" ref="CB228">$Z228  * (1 + SUM( ($AU$80:$AU$83=CB$93) * ($BH$79:$BP$79=CB$94) * ($BH$80:$BP$83) ))</f>
        <v>0.68680000000000008</v>
      </c>
      <c r="CC228" s="578">
        <f t="array" ref="CC228">$Z228  * (1 + SUM( ($AU$80:$AU$83=CC$93) * ($BH$79:$BP$79=CC$94) * ($BH$80:$BP$83) ))</f>
        <v>0.68357008131808294</v>
      </c>
      <c r="CD228" s="578">
        <f t="array" ref="CD228">$Z228  * (1 + SUM( ($AU$80:$AU$83=CD$93) * ($BH$79:$BP$79=CD$94) * ($BH$80:$BP$83) ))</f>
        <v>0.69101843510732508</v>
      </c>
      <c r="CE228" s="578">
        <f t="array" ref="CE228">$Z228  * (1 + SUM( ($AU$80:$AU$83=CE$93) * ($BH$79:$BP$79=CE$94) * ($BH$80:$BP$83) ))</f>
        <v>0.70299089463097908</v>
      </c>
      <c r="CF228" s="578">
        <f t="array" ref="CF228">$Z228  * (1 + SUM( ($AU$80:$AU$83=CF$93) * ($BH$79:$BP$79=CF$94) * ($BH$80:$BP$83) ))</f>
        <v>0.7196331025899293</v>
      </c>
      <c r="CG228" s="578">
        <f t="array" ref="CG228">$Z228  * (1 + SUM( ($AU$80:$AU$83=CG$93) * ($BH$79:$BP$79=CG$94) * ($BH$80:$BP$83) ))</f>
        <v>0.73863604964499308</v>
      </c>
      <c r="CH228" s="578">
        <f t="array" ref="CH228">$Z228  * (1 + SUM( ($AU$80:$AU$83=CH$93) * ($BH$79:$BP$79=CH$94) * ($BH$80:$BP$83) ))</f>
        <v>0.7560200951118925</v>
      </c>
      <c r="CI228" s="578">
        <f t="array" ref="CI228">$Z228  * (1 + SUM( ($AU$80:$AU$83=CI$93) * ($BH$79:$BP$79=CI$94) * ($BH$80:$BP$83) ))</f>
        <v>0.76898055384842112</v>
      </c>
      <c r="CJ228" s="578">
        <f t="array" ref="CJ228">$Z228  * (1 + SUM( ($AU$80:$AU$83=CJ$93) * ($BH$79:$BP$79=CJ$94) * ($BH$80:$BP$83) ))</f>
        <v>0.77724426207421282</v>
      </c>
      <c r="CK228" s="578">
        <f t="array" ref="CK228">$Z228  * (1 + SUM( ($AU$80:$AU$83=CK$93) * ($BH$79:$BP$79=CK$94) * ($BH$80:$BP$83) ))</f>
        <v>0.78200000000000003</v>
      </c>
      <c r="CL228" s="579">
        <f t="array" ref="CL228">$Z228  * (1 + SUM( ($AU$80:$AU$83=CL$93) * ($BH$79:$BP$79=CL$94) * ($BH$80:$BP$83) ))</f>
        <v>0.68714016263616584</v>
      </c>
      <c r="CM228" s="579">
        <f t="array" ref="CM228">$Z228  * (1 + SUM( ($AU$80:$AU$83=CM$93) * ($BH$79:$BP$79=CM$94) * ($BH$80:$BP$83) ))</f>
        <v>0.70203687021465033</v>
      </c>
      <c r="CN228" s="579">
        <f t="array" ref="CN228">$Z228  * (1 + SUM( ($AU$80:$AU$83=CN$93) * ($BH$79:$BP$79=CN$94) * ($BH$80:$BP$83) ))</f>
        <v>0.725981789261958</v>
      </c>
      <c r="CO228" s="579">
        <f t="array" ref="CO228">$Z228  * (1 + SUM( ($AU$80:$AU$83=CO$93) * ($BH$79:$BP$79=CO$94) * ($BH$80:$BP$83) ))</f>
        <v>0.75926620517985843</v>
      </c>
      <c r="CP228" s="579">
        <f t="array" ref="CP228">$Z228  * (1 + SUM( ($AU$80:$AU$83=CP$93) * ($BH$79:$BP$79=CP$94) * ($BH$80:$BP$83) ))</f>
        <v>0.79727209928998632</v>
      </c>
      <c r="CQ228" s="579">
        <f t="array" ref="CQ228">$Z228  * (1 + SUM( ($AU$80:$AU$83=CQ$93) * ($BH$79:$BP$79=CQ$94) * ($BH$80:$BP$83) ))</f>
        <v>0.83204019022378484</v>
      </c>
      <c r="CR228" s="579">
        <f t="array" ref="CR228">$Z228  * (1 + SUM( ($AU$80:$AU$83=CR$93) * ($BH$79:$BP$79=CR$94) * ($BH$80:$BP$83) ))</f>
        <v>0.85796110769684231</v>
      </c>
      <c r="CS228" s="579">
        <f t="array" ref="CS228">$Z228  * (1 + SUM( ($AU$80:$AU$83=CS$93) * ($BH$79:$BP$79=CS$94) * ($BH$80:$BP$83) ))</f>
        <v>0.87448852414842548</v>
      </c>
      <c r="CT228" s="579">
        <f t="array" ref="CT228">$Z228  * (1 + SUM( ($AU$80:$AU$83=CT$93) * ($BH$79:$BP$79=CT$94) * ($BH$80:$BP$83) ))</f>
        <v>0.88400000000000012</v>
      </c>
      <c r="CU228" s="578">
        <f t="array" ref="CU228">$Z228  * (1 + SUM( ($AU$80:$AU$83=CU$93) * ($BH$79:$BP$79=CU$94) * ($BH$80:$BP$83) ))</f>
        <v>0.68952021684822107</v>
      </c>
      <c r="CV228" s="578">
        <f t="array" ref="CV228">$Z228  * (1 + SUM( ($AU$80:$AU$83=CV$93) * ($BH$79:$BP$79=CV$94) * ($BH$80:$BP$83) ))</f>
        <v>0.70938249361953376</v>
      </c>
      <c r="CW228" s="578">
        <f t="array" ref="CW228">$Z228  * (1 + SUM( ($AU$80:$AU$83=CW$93) * ($BH$79:$BP$79=CW$94) * ($BH$80:$BP$83) ))</f>
        <v>0.74130905234927735</v>
      </c>
      <c r="CX228" s="578">
        <f t="array" ref="CX228">$Z228  * (1 + SUM( ($AU$80:$AU$83=CX$93) * ($BH$79:$BP$79=CX$94) * ($BH$80:$BP$83) ))</f>
        <v>0.78568827357314464</v>
      </c>
      <c r="CY228" s="578">
        <f t="array" ref="CY228">$Z228  * (1 + SUM( ($AU$80:$AU$83=CY$93) * ($BH$79:$BP$79=CY$94) * ($BH$80:$BP$83) ))</f>
        <v>0.83636279905331512</v>
      </c>
      <c r="CZ228" s="578">
        <f t="array" ref="CZ228">$Z228  * (1 + SUM( ($AU$80:$AU$83=CZ$93) * ($BH$79:$BP$79=CZ$94) * ($BH$80:$BP$83) ))</f>
        <v>0.88272025363171314</v>
      </c>
      <c r="DA228" s="578">
        <f t="array" ref="DA228">$Z228  * (1 + SUM( ($AU$80:$AU$83=DA$93) * ($BH$79:$BP$79=DA$94) * ($BH$80:$BP$83) ))</f>
        <v>0.9172814769291231</v>
      </c>
      <c r="DB228" s="578">
        <f t="array" ref="DB228">$Z228  * (1 + SUM( ($AU$80:$AU$83=DB$93) * ($BH$79:$BP$79=DB$94) * ($BH$80:$BP$83) ))</f>
        <v>0.93931803219790067</v>
      </c>
      <c r="DC228" s="578">
        <f t="array" ref="DC228">$Z228  * (1 + SUM( ($AU$80:$AU$83=DC$93) * ($BH$79:$BP$79=DC$94) * ($BH$80:$BP$83) ))</f>
        <v>0.95199999999999996</v>
      </c>
    </row>
    <row r="229" spans="1:107">
      <c r="A229" s="1167" t="s">
        <v>1073</v>
      </c>
      <c r="B229" s="1167" t="s">
        <v>1072</v>
      </c>
      <c r="C229" s="1166" t="s">
        <v>1033</v>
      </c>
      <c r="D229" s="1166" t="s">
        <v>921</v>
      </c>
      <c r="E229" s="577">
        <v>0.72</v>
      </c>
      <c r="F229" s="574">
        <v>0.56299999999999994</v>
      </c>
      <c r="G229" s="576">
        <v>100</v>
      </c>
      <c r="H229" s="574">
        <v>0</v>
      </c>
      <c r="I229" s="1164"/>
      <c r="J229" s="575">
        <v>1</v>
      </c>
      <c r="K229" s="574">
        <v>0</v>
      </c>
      <c r="L229" s="574">
        <v>0</v>
      </c>
      <c r="M229" s="1164"/>
      <c r="N229" s="1168"/>
      <c r="O229" s="1164"/>
      <c r="P229" s="1160">
        <v>0</v>
      </c>
      <c r="Q229" s="572">
        <v>0.05</v>
      </c>
      <c r="R229" s="572">
        <v>0.25</v>
      </c>
      <c r="S229" s="572">
        <v>0.5</v>
      </c>
      <c r="T229" s="1164"/>
      <c r="U229" s="573">
        <v>0</v>
      </c>
      <c r="V229" s="572">
        <v>0</v>
      </c>
      <c r="W229" s="572">
        <v>0</v>
      </c>
      <c r="X229" s="572">
        <v>0</v>
      </c>
      <c r="Y229" s="1164"/>
      <c r="Z229" s="573">
        <v>0.72</v>
      </c>
      <c r="AA229" s="572">
        <v>0.72</v>
      </c>
      <c r="AB229" s="572">
        <v>0.72</v>
      </c>
      <c r="AC229" s="572">
        <v>0.72</v>
      </c>
      <c r="AD229" s="572">
        <v>0.72</v>
      </c>
      <c r="AE229" s="572">
        <v>0.72</v>
      </c>
      <c r="AF229" s="572">
        <v>0.72</v>
      </c>
      <c r="AG229" s="1164"/>
      <c r="AH229" s="1163">
        <v>134</v>
      </c>
      <c r="AI229" s="1162" t="str">
        <f t="shared" si="28"/>
        <v>PPSOLP</v>
      </c>
      <c r="AJ229" s="1160">
        <v>0</v>
      </c>
      <c r="AK229" s="1160">
        <v>0</v>
      </c>
      <c r="AL229" s="1160">
        <v>0</v>
      </c>
      <c r="AM229" s="1160">
        <v>0</v>
      </c>
      <c r="AN229" s="1160">
        <v>0</v>
      </c>
      <c r="AO229" s="1160">
        <v>0</v>
      </c>
      <c r="AP229" s="1160">
        <v>0</v>
      </c>
      <c r="AQ229" s="1160">
        <v>0</v>
      </c>
      <c r="AR229" s="1160">
        <v>0</v>
      </c>
      <c r="AS229" s="1159">
        <v>0</v>
      </c>
      <c r="AT229" s="1159">
        <v>0</v>
      </c>
      <c r="AU229" s="1159">
        <v>0</v>
      </c>
      <c r="AV229" s="1159">
        <v>0</v>
      </c>
      <c r="AW229" s="1159">
        <v>0</v>
      </c>
      <c r="AX229" s="1159">
        <v>0</v>
      </c>
      <c r="AY229" s="1159">
        <v>0</v>
      </c>
      <c r="AZ229" s="1159">
        <v>0</v>
      </c>
      <c r="BA229" s="1159">
        <v>0</v>
      </c>
      <c r="BB229" s="1160">
        <v>0</v>
      </c>
      <c r="BC229" s="1160">
        <v>0</v>
      </c>
      <c r="BD229" s="1160">
        <v>0</v>
      </c>
      <c r="BE229" s="1160">
        <v>0</v>
      </c>
      <c r="BF229" s="1160">
        <v>0</v>
      </c>
      <c r="BG229" s="1160">
        <v>0</v>
      </c>
      <c r="BH229" s="1160">
        <v>0</v>
      </c>
      <c r="BI229" s="1160">
        <v>0</v>
      </c>
      <c r="BJ229" s="1160">
        <v>0</v>
      </c>
      <c r="BK229" s="1159">
        <v>0</v>
      </c>
      <c r="BL229" s="1159">
        <v>0</v>
      </c>
      <c r="BM229" s="1159">
        <v>0</v>
      </c>
      <c r="BN229" s="1159">
        <v>0</v>
      </c>
      <c r="BO229" s="1159">
        <v>0</v>
      </c>
      <c r="BP229" s="1159">
        <v>0</v>
      </c>
      <c r="BQ229" s="1159">
        <v>0</v>
      </c>
      <c r="BR229" s="1159">
        <v>0</v>
      </c>
      <c r="BS229" s="1159">
        <v>0</v>
      </c>
      <c r="BT229" s="579">
        <f t="array" ref="BT229">$Z229  * (1 + SUM( ($AU$80:$AU$83=BT$93) * ($BH$79:$BP$79=BT$94) * ($BH$80:$BP$83) ))</f>
        <v>0.72025200574009995</v>
      </c>
      <c r="BU229" s="579">
        <f t="array" ref="BU229">$Z229  * (1 + SUM( ($AU$80:$AU$83=BU$93) * ($BH$79:$BP$79=BU$94) * ($BH$80:$BP$83) ))</f>
        <v>0.72077777188992875</v>
      </c>
      <c r="BV229" s="579">
        <f t="array" ref="BV229">$Z229  * (1 + SUM( ($AU$80:$AU$83=BV$93) * ($BH$79:$BP$79=BV$94) * ($BH$80:$BP$83) ))</f>
        <v>0.72162288667983376</v>
      </c>
      <c r="BW229" s="579">
        <f t="array" ref="BW229">$Z229  * (1 + SUM( ($AU$80:$AU$83=BW$93) * ($BH$79:$BP$79=BW$94) * ($BH$80:$BP$83) ))</f>
        <v>0.72279763077105375</v>
      </c>
      <c r="BX229" s="579">
        <f t="array" ref="BX229">$Z229  * (1 + SUM( ($AU$80:$AU$83=BX$93) * ($BH$79:$BP$79=BX$94) * ($BH$80:$BP$83) ))</f>
        <v>0.72413901526905833</v>
      </c>
      <c r="BY229" s="579">
        <f t="array" ref="BY229">$Z229  * (1 + SUM( ($AU$80:$AU$83=BY$93) * ($BH$79:$BP$79=BY$94) * ($BH$80:$BP$83) ))</f>
        <v>0.72536612436083947</v>
      </c>
      <c r="BZ229" s="579">
        <f t="array" ref="BZ229">$Z229  * (1 + SUM( ($AU$80:$AU$83=BZ$93) * ($BH$79:$BP$79=BZ$94) * ($BH$80:$BP$83) ))</f>
        <v>0.72628098027165311</v>
      </c>
      <c r="CA229" s="579">
        <f t="array" ref="CA229">$Z229  * (1 + SUM( ($AU$80:$AU$83=CA$93) * ($BH$79:$BP$79=CA$94) * ($BH$80:$BP$83) ))</f>
        <v>0.72686430085229736</v>
      </c>
      <c r="CB229" s="579">
        <f t="array" ref="CB229">$Z229  * (1 + SUM( ($AU$80:$AU$83=CB$93) * ($BH$79:$BP$79=CB$94) * ($BH$80:$BP$83) ))</f>
        <v>0.72719999999999996</v>
      </c>
      <c r="CC229" s="578">
        <f t="array" ref="CC229">$Z229  * (1 + SUM( ($AU$80:$AU$83=CC$93) * ($BH$79:$BP$79=CC$94) * ($BH$80:$BP$83) ))</f>
        <v>0.72378008610149946</v>
      </c>
      <c r="CD229" s="578">
        <f t="array" ref="CD229">$Z229  * (1 + SUM( ($AU$80:$AU$83=CD$93) * ($BH$79:$BP$79=CD$94) * ($BH$80:$BP$83) ))</f>
        <v>0.73166657834893245</v>
      </c>
      <c r="CE229" s="578">
        <f t="array" ref="CE229">$Z229  * (1 + SUM( ($AU$80:$AU$83=CE$93) * ($BH$79:$BP$79=CE$94) * ($BH$80:$BP$83) ))</f>
        <v>0.74434330019750716</v>
      </c>
      <c r="CF229" s="578">
        <f t="array" ref="CF229">$Z229  * (1 + SUM( ($AU$80:$AU$83=CF$93) * ($BH$79:$BP$79=CF$94) * ($BH$80:$BP$83) ))</f>
        <v>0.76196446156580744</v>
      </c>
      <c r="CG229" s="578">
        <f t="array" ref="CG229">$Z229  * (1 + SUM( ($AU$80:$AU$83=CG$93) * ($BH$79:$BP$79=CG$94) * ($BH$80:$BP$83) ))</f>
        <v>0.78208522903587496</v>
      </c>
      <c r="CH229" s="578">
        <f t="array" ref="CH229">$Z229  * (1 + SUM( ($AU$80:$AU$83=CH$93) * ($BH$79:$BP$79=CH$94) * ($BH$80:$BP$83) ))</f>
        <v>0.80049186541259199</v>
      </c>
      <c r="CI229" s="578">
        <f t="array" ref="CI229">$Z229  * (1 + SUM( ($AU$80:$AU$83=CI$93) * ($BH$79:$BP$79=CI$94) * ($BH$80:$BP$83) ))</f>
        <v>0.81421470407479868</v>
      </c>
      <c r="CJ229" s="578">
        <f t="array" ref="CJ229">$Z229  * (1 + SUM( ($AU$80:$AU$83=CJ$93) * ($BH$79:$BP$79=CJ$94) * ($BH$80:$BP$83) ))</f>
        <v>0.82296451278446048</v>
      </c>
      <c r="CK229" s="578">
        <f t="array" ref="CK229">$Z229  * (1 + SUM( ($AU$80:$AU$83=CK$93) * ($BH$79:$BP$79=CK$94) * ($BH$80:$BP$83) ))</f>
        <v>0.82799999999999996</v>
      </c>
      <c r="CL229" s="579">
        <f t="array" ref="CL229">$Z229  * (1 + SUM( ($AU$80:$AU$83=CL$93) * ($BH$79:$BP$79=CL$94) * ($BH$80:$BP$83) ))</f>
        <v>0.72756017220299896</v>
      </c>
      <c r="CM229" s="579">
        <f t="array" ref="CM229">$Z229  * (1 + SUM( ($AU$80:$AU$83=CM$93) * ($BH$79:$BP$79=CM$94) * ($BH$80:$BP$83) ))</f>
        <v>0.74333315669786504</v>
      </c>
      <c r="CN229" s="579">
        <f t="array" ref="CN229">$Z229  * (1 + SUM( ($AU$80:$AU$83=CN$93) * ($BH$79:$BP$79=CN$94) * ($BH$80:$BP$83) ))</f>
        <v>0.76868660039501435</v>
      </c>
      <c r="CO229" s="579">
        <f t="array" ref="CO229">$Z229  * (1 + SUM( ($AU$80:$AU$83=CO$93) * ($BH$79:$BP$79=CO$94) * ($BH$80:$BP$83) ))</f>
        <v>0.80392892313161468</v>
      </c>
      <c r="CP229" s="579">
        <f t="array" ref="CP229">$Z229  * (1 + SUM( ($AU$80:$AU$83=CP$93) * ($BH$79:$BP$79=CP$94) * ($BH$80:$BP$83) ))</f>
        <v>0.84417045807175017</v>
      </c>
      <c r="CQ229" s="579">
        <f t="array" ref="CQ229">$Z229  * (1 + SUM( ($AU$80:$AU$83=CQ$93) * ($BH$79:$BP$79=CQ$94) * ($BH$80:$BP$83) ))</f>
        <v>0.88098373082518389</v>
      </c>
      <c r="CR229" s="579">
        <f t="array" ref="CR229">$Z229  * (1 + SUM( ($AU$80:$AU$83=CR$93) * ($BH$79:$BP$79=CR$94) * ($BH$80:$BP$83) ))</f>
        <v>0.90842940814959761</v>
      </c>
      <c r="CS229" s="579">
        <f t="array" ref="CS229">$Z229  * (1 + SUM( ($AU$80:$AU$83=CS$93) * ($BH$79:$BP$79=CS$94) * ($BH$80:$BP$83) ))</f>
        <v>0.92592902556892098</v>
      </c>
      <c r="CT229" s="579">
        <f t="array" ref="CT229">$Z229  * (1 + SUM( ($AU$80:$AU$83=CT$93) * ($BH$79:$BP$79=CT$94) * ($BH$80:$BP$83) ))</f>
        <v>0.93599999999999994</v>
      </c>
      <c r="CU229" s="578">
        <f t="array" ref="CU229">$Z229  * (1 + SUM( ($AU$80:$AU$83=CU$93) * ($BH$79:$BP$79=CU$94) * ($BH$80:$BP$83) ))</f>
        <v>0.73008022960399865</v>
      </c>
      <c r="CV229" s="578">
        <f t="array" ref="CV229">$Z229  * (1 + SUM( ($AU$80:$AU$83=CV$93) * ($BH$79:$BP$79=CV$94) * ($BH$80:$BP$83) ))</f>
        <v>0.75111087559715328</v>
      </c>
      <c r="CW229" s="578">
        <f t="array" ref="CW229">$Z229  * (1 + SUM( ($AU$80:$AU$83=CW$93) * ($BH$79:$BP$79=CW$94) * ($BH$80:$BP$83) ))</f>
        <v>0.78491546719335237</v>
      </c>
      <c r="CX229" s="578">
        <f t="array" ref="CX229">$Z229  * (1 + SUM( ($AU$80:$AU$83=CX$93) * ($BH$79:$BP$79=CX$94) * ($BH$80:$BP$83) ))</f>
        <v>0.83190523084215307</v>
      </c>
      <c r="CY229" s="578">
        <f t="array" ref="CY229">$Z229  * (1 + SUM( ($AU$80:$AU$83=CY$93) * ($BH$79:$BP$79=CY$94) * ($BH$80:$BP$83) ))</f>
        <v>0.8855606107623335</v>
      </c>
      <c r="CZ229" s="578">
        <f t="array" ref="CZ229">$Z229  * (1 + SUM( ($AU$80:$AU$83=CZ$93) * ($BH$79:$BP$79=CZ$94) * ($BH$80:$BP$83) ))</f>
        <v>0.93464497443357852</v>
      </c>
      <c r="DA229" s="578">
        <f t="array" ref="DA229">$Z229  * (1 + SUM( ($AU$80:$AU$83=DA$93) * ($BH$79:$BP$79=DA$94) * ($BH$80:$BP$83) ))</f>
        <v>0.97123921086613019</v>
      </c>
      <c r="DB229" s="578">
        <f t="array" ref="DB229">$Z229  * (1 + SUM( ($AU$80:$AU$83=DB$93) * ($BH$79:$BP$79=DB$94) * ($BH$80:$BP$83) ))</f>
        <v>0.99457203409189476</v>
      </c>
      <c r="DC229" s="578">
        <f t="array" ref="DC229">$Z229  * (1 + SUM( ($AU$80:$AU$83=DC$93) * ($BH$79:$BP$79=DC$94) * ($BH$80:$BP$83) ))</f>
        <v>1.008</v>
      </c>
    </row>
    <row r="230" spans="1:107">
      <c r="A230" s="1167" t="s">
        <v>1071</v>
      </c>
      <c r="B230" s="1167" t="s">
        <v>1070</v>
      </c>
      <c r="C230" s="1166" t="s">
        <v>1030</v>
      </c>
      <c r="D230" s="1166" t="s">
        <v>921</v>
      </c>
      <c r="E230" s="577">
        <v>0.76</v>
      </c>
      <c r="F230" s="574">
        <v>0.56299999999999994</v>
      </c>
      <c r="G230" s="576">
        <v>100</v>
      </c>
      <c r="H230" s="574">
        <v>0</v>
      </c>
      <c r="I230" s="1164"/>
      <c r="J230" s="575">
        <v>1</v>
      </c>
      <c r="K230" s="574">
        <v>0</v>
      </c>
      <c r="L230" s="574">
        <v>0</v>
      </c>
      <c r="M230" s="1164"/>
      <c r="N230" s="1168"/>
      <c r="O230" s="1164"/>
      <c r="P230" s="1160">
        <v>0</v>
      </c>
      <c r="Q230" s="572">
        <v>0.05</v>
      </c>
      <c r="R230" s="572">
        <v>0.25</v>
      </c>
      <c r="S230" s="572">
        <v>0.5</v>
      </c>
      <c r="T230" s="1164"/>
      <c r="U230" s="573">
        <v>0</v>
      </c>
      <c r="V230" s="572">
        <v>0</v>
      </c>
      <c r="W230" s="572">
        <v>0</v>
      </c>
      <c r="X230" s="572">
        <v>0</v>
      </c>
      <c r="Y230" s="1164"/>
      <c r="Z230" s="573">
        <v>0.76</v>
      </c>
      <c r="AA230" s="572">
        <v>0.76</v>
      </c>
      <c r="AB230" s="572">
        <v>0.76</v>
      </c>
      <c r="AC230" s="572">
        <v>0.76</v>
      </c>
      <c r="AD230" s="572">
        <v>0.76</v>
      </c>
      <c r="AE230" s="572">
        <v>0.76</v>
      </c>
      <c r="AF230" s="572">
        <v>0.76</v>
      </c>
      <c r="AG230" s="1164"/>
      <c r="AH230" s="1163">
        <v>135</v>
      </c>
      <c r="AI230" s="1162" t="str">
        <f t="shared" si="28"/>
        <v>PPSELC</v>
      </c>
      <c r="AJ230" s="1160">
        <v>0</v>
      </c>
      <c r="AK230" s="1160">
        <v>0</v>
      </c>
      <c r="AL230" s="1160">
        <v>0</v>
      </c>
      <c r="AM230" s="1160">
        <v>0</v>
      </c>
      <c r="AN230" s="1160">
        <v>0</v>
      </c>
      <c r="AO230" s="1160">
        <v>0</v>
      </c>
      <c r="AP230" s="1160">
        <v>0</v>
      </c>
      <c r="AQ230" s="1160">
        <v>0</v>
      </c>
      <c r="AR230" s="1160">
        <v>0</v>
      </c>
      <c r="AS230" s="1159">
        <v>0</v>
      </c>
      <c r="AT230" s="1159">
        <v>0</v>
      </c>
      <c r="AU230" s="1159">
        <v>0</v>
      </c>
      <c r="AV230" s="1159">
        <v>0</v>
      </c>
      <c r="AW230" s="1159">
        <v>0</v>
      </c>
      <c r="AX230" s="1159">
        <v>0</v>
      </c>
      <c r="AY230" s="1159">
        <v>0</v>
      </c>
      <c r="AZ230" s="1159">
        <v>0</v>
      </c>
      <c r="BA230" s="1159">
        <v>0</v>
      </c>
      <c r="BB230" s="1160">
        <v>0</v>
      </c>
      <c r="BC230" s="1160">
        <v>0</v>
      </c>
      <c r="BD230" s="1160">
        <v>0</v>
      </c>
      <c r="BE230" s="1160">
        <v>0</v>
      </c>
      <c r="BF230" s="1160">
        <v>0</v>
      </c>
      <c r="BG230" s="1160">
        <v>0</v>
      </c>
      <c r="BH230" s="1160">
        <v>0</v>
      </c>
      <c r="BI230" s="1160">
        <v>0</v>
      </c>
      <c r="BJ230" s="1160">
        <v>0</v>
      </c>
      <c r="BK230" s="1159">
        <v>0</v>
      </c>
      <c r="BL230" s="1159">
        <v>0</v>
      </c>
      <c r="BM230" s="1159">
        <v>0</v>
      </c>
      <c r="BN230" s="1159">
        <v>0</v>
      </c>
      <c r="BO230" s="1159">
        <v>0</v>
      </c>
      <c r="BP230" s="1159">
        <v>0</v>
      </c>
      <c r="BQ230" s="1159">
        <v>0</v>
      </c>
      <c r="BR230" s="1159">
        <v>0</v>
      </c>
      <c r="BS230" s="1159">
        <v>0</v>
      </c>
      <c r="BT230" s="579">
        <f t="array" ref="BT230">$Z230  * (1 + SUM( ($AU$80:$AU$83=BT$93) * ($BH$79:$BP$79=BT$94) * ($BH$80:$BP$83) ))</f>
        <v>0.76026600605899441</v>
      </c>
      <c r="BU230" s="579">
        <f t="array" ref="BU230">$Z230  * (1 + SUM( ($AU$80:$AU$83=BU$93) * ($BH$79:$BP$79=BU$94) * ($BH$80:$BP$83) ))</f>
        <v>0.76082098143936938</v>
      </c>
      <c r="BV230" s="579">
        <f t="array" ref="BV230">$Z230  * (1 + SUM( ($AU$80:$AU$83=BV$93) * ($BH$79:$BP$79=BV$94) * ($BH$80:$BP$83) ))</f>
        <v>0.76171304705093568</v>
      </c>
      <c r="BW230" s="579">
        <f t="array" ref="BW230">$Z230  * (1 + SUM( ($AU$80:$AU$83=BW$93) * ($BH$79:$BP$79=BW$94) * ($BH$80:$BP$83) ))</f>
        <v>0.76295305470277908</v>
      </c>
      <c r="BX230" s="579">
        <f t="array" ref="BX230">$Z230  * (1 + SUM( ($AU$80:$AU$83=BX$93) * ($BH$79:$BP$79=BX$94) * ($BH$80:$BP$83) ))</f>
        <v>0.76436896056178383</v>
      </c>
      <c r="BY230" s="579">
        <f t="array" ref="BY230">$Z230  * (1 + SUM( ($AU$80:$AU$83=BY$93) * ($BH$79:$BP$79=BY$94) * ($BH$80:$BP$83) ))</f>
        <v>0.76566424238088615</v>
      </c>
      <c r="BZ230" s="579">
        <f t="array" ref="BZ230">$Z230  * (1 + SUM( ($AU$80:$AU$83=BZ$93) * ($BH$79:$BP$79=BZ$94) * ($BH$80:$BP$83) ))</f>
        <v>0.76662992362007842</v>
      </c>
      <c r="CA230" s="579">
        <f t="array" ref="CA230">$Z230  * (1 + SUM( ($AU$80:$AU$83=CA$93) * ($BH$79:$BP$79=CA$94) * ($BH$80:$BP$83) ))</f>
        <v>0.76724565089964725</v>
      </c>
      <c r="CB230" s="579">
        <f t="array" ref="CB230">$Z230  * (1 + SUM( ($AU$80:$AU$83=CB$93) * ($BH$79:$BP$79=CB$94) * ($BH$80:$BP$83) ))</f>
        <v>0.76760000000000006</v>
      </c>
      <c r="CC230" s="578">
        <f t="array" ref="CC230">$Z230  * (1 + SUM( ($AU$80:$AU$83=CC$93) * ($BH$79:$BP$79=CC$94) * ($BH$80:$BP$83) ))</f>
        <v>0.76399009088491621</v>
      </c>
      <c r="CD230" s="578">
        <f t="array" ref="CD230">$Z230  * (1 + SUM( ($AU$80:$AU$83=CD$93) * ($BH$79:$BP$79=CD$94) * ($BH$80:$BP$83) ))</f>
        <v>0.77231472159053982</v>
      </c>
      <c r="CE230" s="578">
        <f t="array" ref="CE230">$Z230  * (1 + SUM( ($AU$80:$AU$83=CE$93) * ($BH$79:$BP$79=CE$94) * ($BH$80:$BP$83) ))</f>
        <v>0.78569570576403536</v>
      </c>
      <c r="CF230" s="578">
        <f t="array" ref="CF230">$Z230  * (1 + SUM( ($AU$80:$AU$83=CF$93) * ($BH$79:$BP$79=CF$94) * ($BH$80:$BP$83) ))</f>
        <v>0.80429582054168558</v>
      </c>
      <c r="CG230" s="578">
        <f t="array" ref="CG230">$Z230  * (1 + SUM( ($AU$80:$AU$83=CG$93) * ($BH$79:$BP$79=CG$94) * ($BH$80:$BP$83) ))</f>
        <v>0.82553440842675696</v>
      </c>
      <c r="CH230" s="578">
        <f t="array" ref="CH230">$Z230  * (1 + SUM( ($AU$80:$AU$83=CH$93) * ($BH$79:$BP$79=CH$94) * ($BH$80:$BP$83) ))</f>
        <v>0.84496363571329147</v>
      </c>
      <c r="CI230" s="578">
        <f t="array" ref="CI230">$Z230  * (1 + SUM( ($AU$80:$AU$83=CI$93) * ($BH$79:$BP$79=CI$94) * ($BH$80:$BP$83) ))</f>
        <v>0.85944885430117646</v>
      </c>
      <c r="CJ230" s="578">
        <f t="array" ref="CJ230">$Z230  * (1 + SUM( ($AU$80:$AU$83=CJ$93) * ($BH$79:$BP$79=CJ$94) * ($BH$80:$BP$83) ))</f>
        <v>0.86868476349470836</v>
      </c>
      <c r="CK230" s="578">
        <f t="array" ref="CK230">$Z230  * (1 + SUM( ($AU$80:$AU$83=CK$93) * ($BH$79:$BP$79=CK$94) * ($BH$80:$BP$83) ))</f>
        <v>0.87399999999999989</v>
      </c>
      <c r="CL230" s="579">
        <f t="array" ref="CL230">$Z230  * (1 + SUM( ($AU$80:$AU$83=CL$93) * ($BH$79:$BP$79=CL$94) * ($BH$80:$BP$83) ))</f>
        <v>0.76798018176983229</v>
      </c>
      <c r="CM230" s="579">
        <f t="array" ref="CM230">$Z230  * (1 + SUM( ($AU$80:$AU$83=CM$93) * ($BH$79:$BP$79=CM$94) * ($BH$80:$BP$83) ))</f>
        <v>0.78462944318107974</v>
      </c>
      <c r="CN230" s="579">
        <f t="array" ref="CN230">$Z230  * (1 + SUM( ($AU$80:$AU$83=CN$93) * ($BH$79:$BP$79=CN$94) * ($BH$80:$BP$83) ))</f>
        <v>0.81139141152807071</v>
      </c>
      <c r="CO230" s="579">
        <f t="array" ref="CO230">$Z230  * (1 + SUM( ($AU$80:$AU$83=CO$93) * ($BH$79:$BP$79=CO$94) * ($BH$80:$BP$83) ))</f>
        <v>0.84859164108337104</v>
      </c>
      <c r="CP230" s="579">
        <f t="array" ref="CP230">$Z230  * (1 + SUM( ($AU$80:$AU$83=CP$93) * ($BH$79:$BP$79=CP$94) * ($BH$80:$BP$83) ))</f>
        <v>0.89106881685351402</v>
      </c>
      <c r="CQ230" s="579">
        <f t="array" ref="CQ230">$Z230  * (1 + SUM( ($AU$80:$AU$83=CQ$93) * ($BH$79:$BP$79=CQ$94) * ($BH$80:$BP$83) ))</f>
        <v>0.92992727142658305</v>
      </c>
      <c r="CR230" s="579">
        <f t="array" ref="CR230">$Z230  * (1 + SUM( ($AU$80:$AU$83=CR$93) * ($BH$79:$BP$79=CR$94) * ($BH$80:$BP$83) ))</f>
        <v>0.95889770860235302</v>
      </c>
      <c r="CS230" s="579">
        <f t="array" ref="CS230">$Z230  * (1 + SUM( ($AU$80:$AU$83=CS$93) * ($BH$79:$BP$79=CS$94) * ($BH$80:$BP$83) ))</f>
        <v>0.9773695269894167</v>
      </c>
      <c r="CT230" s="579">
        <f t="array" ref="CT230">$Z230  * (1 + SUM( ($AU$80:$AU$83=CT$93) * ($BH$79:$BP$79=CT$94) * ($BH$80:$BP$83) ))</f>
        <v>0.9880000000000001</v>
      </c>
      <c r="CU230" s="578">
        <f t="array" ref="CU230">$Z230  * (1 + SUM( ($AU$80:$AU$83=CU$93) * ($BH$79:$BP$79=CU$94) * ($BH$80:$BP$83) ))</f>
        <v>0.77064024235977646</v>
      </c>
      <c r="CV230" s="578">
        <f t="array" ref="CV230">$Z230  * (1 + SUM( ($AU$80:$AU$83=CV$93) * ($BH$79:$BP$79=CV$94) * ($BH$80:$BP$83) ))</f>
        <v>0.79283925757477292</v>
      </c>
      <c r="CW230" s="578">
        <f t="array" ref="CW230">$Z230  * (1 + SUM( ($AU$80:$AU$83=CW$93) * ($BH$79:$BP$79=CW$94) * ($BH$80:$BP$83) ))</f>
        <v>0.8285218820374276</v>
      </c>
      <c r="CX230" s="578">
        <f t="array" ref="CX230">$Z230  * (1 + SUM( ($AU$80:$AU$83=CX$93) * ($BH$79:$BP$79=CX$94) * ($BH$80:$BP$83) ))</f>
        <v>0.87812218811116161</v>
      </c>
      <c r="CY230" s="578">
        <f t="array" ref="CY230">$Z230  * (1 + SUM( ($AU$80:$AU$83=CY$93) * ($BH$79:$BP$79=CY$94) * ($BH$80:$BP$83) ))</f>
        <v>0.9347584224713521</v>
      </c>
      <c r="CZ230" s="578">
        <f t="array" ref="CZ230">$Z230  * (1 + SUM( ($AU$80:$AU$83=CZ$93) * ($BH$79:$BP$79=CZ$94) * ($BH$80:$BP$83) ))</f>
        <v>0.98656969523544402</v>
      </c>
      <c r="DA230" s="578">
        <f t="array" ref="DA230">$Z230  * (1 + SUM( ($AU$80:$AU$83=DA$93) * ($BH$79:$BP$79=DA$94) * ($BH$80:$BP$83) ))</f>
        <v>1.0251969448031375</v>
      </c>
      <c r="DB230" s="578">
        <f t="array" ref="DB230">$Z230  * (1 + SUM( ($AU$80:$AU$83=DB$93) * ($BH$79:$BP$79=DB$94) * ($BH$80:$BP$83) ))</f>
        <v>1.0498260359858889</v>
      </c>
      <c r="DC230" s="578">
        <f t="array" ref="DC230">$Z230  * (1 + SUM( ($AU$80:$AU$83=DC$93) * ($BH$79:$BP$79=DC$94) * ($BH$80:$BP$83) ))</f>
        <v>1.0639999999999998</v>
      </c>
    </row>
    <row r="231" spans="1:107">
      <c r="A231" s="1167" t="s">
        <v>1069</v>
      </c>
      <c r="B231" s="1167" t="s">
        <v>1068</v>
      </c>
      <c r="C231" s="1166" t="s">
        <v>1067</v>
      </c>
      <c r="D231" s="1166" t="s">
        <v>921</v>
      </c>
      <c r="E231" s="577">
        <v>0.6</v>
      </c>
      <c r="F231" s="574">
        <v>0.56299999999999994</v>
      </c>
      <c r="G231" s="576">
        <v>100</v>
      </c>
      <c r="H231" s="574">
        <v>43.920842887130625</v>
      </c>
      <c r="I231" s="1164"/>
      <c r="J231" s="575">
        <v>1</v>
      </c>
      <c r="K231" s="574">
        <v>41.2123909090909</v>
      </c>
      <c r="L231" s="574">
        <v>24.727434545454539</v>
      </c>
      <c r="M231" s="1164"/>
      <c r="N231" s="1168"/>
      <c r="O231" s="1164"/>
      <c r="P231" s="1160">
        <v>0.36126745522016929</v>
      </c>
      <c r="Q231" s="572">
        <v>0.41126745522016928</v>
      </c>
      <c r="R231" s="572">
        <v>0.61126745522016934</v>
      </c>
      <c r="S231" s="572">
        <v>0.86126745522016934</v>
      </c>
      <c r="T231" s="1164"/>
      <c r="U231" s="573">
        <v>0.36126745522016929</v>
      </c>
      <c r="V231" s="572">
        <v>0.21676047313210156</v>
      </c>
      <c r="W231" s="572">
        <v>0.14450698208806773</v>
      </c>
      <c r="X231" s="572">
        <v>7.2253491044033863E-2</v>
      </c>
      <c r="Y231" s="1164"/>
      <c r="Z231" s="573">
        <v>0.6</v>
      </c>
      <c r="AA231" s="572">
        <v>0.6</v>
      </c>
      <c r="AB231" s="572">
        <v>0.6</v>
      </c>
      <c r="AC231" s="572">
        <v>0.6</v>
      </c>
      <c r="AD231" s="572">
        <v>0.6</v>
      </c>
      <c r="AE231" s="572">
        <v>0.6</v>
      </c>
      <c r="AF231" s="572">
        <v>0.6</v>
      </c>
      <c r="AG231" s="1164"/>
      <c r="AH231" s="1163">
        <v>136</v>
      </c>
      <c r="AI231" s="1162" t="str">
        <f t="shared" si="28"/>
        <v>PPSBIW</v>
      </c>
      <c r="AJ231" s="1160">
        <v>0.36126745522016929</v>
      </c>
      <c r="AK231" s="1160">
        <v>0.36126745522016929</v>
      </c>
      <c r="AL231" s="1160">
        <v>0.36126745522016929</v>
      </c>
      <c r="AM231" s="1160">
        <v>0.36126745522016929</v>
      </c>
      <c r="AN231" s="1160">
        <v>0.36126745522016929</v>
      </c>
      <c r="AO231" s="1160">
        <v>0.36126745522016929</v>
      </c>
      <c r="AP231" s="1160">
        <v>0.36126745522016929</v>
      </c>
      <c r="AQ231" s="1160">
        <v>0.36126745522016929</v>
      </c>
      <c r="AR231" s="1160">
        <v>0.36126745522016929</v>
      </c>
      <c r="AS231" s="1159">
        <v>0.36126745522016929</v>
      </c>
      <c r="AT231" s="1159">
        <v>0.36126745522016929</v>
      </c>
      <c r="AU231" s="1159">
        <v>0.36126745522016929</v>
      </c>
      <c r="AV231" s="1159">
        <v>0.36126745522016929</v>
      </c>
      <c r="AW231" s="1159">
        <v>0.36126745522016929</v>
      </c>
      <c r="AX231" s="1159">
        <v>0.36126745522016929</v>
      </c>
      <c r="AY231" s="1159">
        <v>0.36126745522016929</v>
      </c>
      <c r="AZ231" s="1159">
        <v>0.36126745522016929</v>
      </c>
      <c r="BA231" s="1159">
        <v>0.36126745522016929</v>
      </c>
      <c r="BB231" s="1160">
        <v>0.36126745522016929</v>
      </c>
      <c r="BC231" s="1160">
        <v>0.36126745522016929</v>
      </c>
      <c r="BD231" s="1160">
        <v>0.36126745522016929</v>
      </c>
      <c r="BE231" s="1160">
        <v>0.36126745522016929</v>
      </c>
      <c r="BF231" s="1160">
        <v>0.36126745522016929</v>
      </c>
      <c r="BG231" s="1160">
        <v>0.36126745522016929</v>
      </c>
      <c r="BH231" s="1160">
        <v>0.36126745522016929</v>
      </c>
      <c r="BI231" s="1160">
        <v>0.36126745522016929</v>
      </c>
      <c r="BJ231" s="1160">
        <v>0.36126745522016929</v>
      </c>
      <c r="BK231" s="1159">
        <v>0.36126745522016929</v>
      </c>
      <c r="BL231" s="1159">
        <v>0.36126745522016929</v>
      </c>
      <c r="BM231" s="1159">
        <v>0.36126745522016929</v>
      </c>
      <c r="BN231" s="1159">
        <v>0.36126745522016929</v>
      </c>
      <c r="BO231" s="1159">
        <v>0.36126745522016929</v>
      </c>
      <c r="BP231" s="1159">
        <v>0.36126745522016929</v>
      </c>
      <c r="BQ231" s="1159">
        <v>0.36126745522016929</v>
      </c>
      <c r="BR231" s="1159">
        <v>0.36126745522016929</v>
      </c>
      <c r="BS231" s="1159">
        <v>0.36126745522016929</v>
      </c>
      <c r="BT231" s="579">
        <f t="array" ref="BT231">$Z231  * (1 + SUM( ($AU$80:$AU$83=BT$93) * ($BH$79:$BP$79=BT$94) * ($BH$80:$BP$83) ))</f>
        <v>0.60021000478341657</v>
      </c>
      <c r="BU231" s="579">
        <f t="array" ref="BU231">$Z231  * (1 + SUM( ($AU$80:$AU$83=BU$93) * ($BH$79:$BP$79=BU$94) * ($BH$80:$BP$83) ))</f>
        <v>0.60064814324160731</v>
      </c>
      <c r="BV231" s="579">
        <f t="array" ref="BV231">$Z231  * (1 + SUM( ($AU$80:$AU$83=BV$93) * ($BH$79:$BP$79=BV$94) * ($BH$80:$BP$83) ))</f>
        <v>0.60135240556652814</v>
      </c>
      <c r="BW231" s="579">
        <f t="array" ref="BW231">$Z231  * (1 + SUM( ($AU$80:$AU$83=BW$93) * ($BH$79:$BP$79=BW$94) * ($BH$80:$BP$83) ))</f>
        <v>0.60233135897587819</v>
      </c>
      <c r="BX231" s="579">
        <f t="array" ref="BX231">$Z231  * (1 + SUM( ($AU$80:$AU$83=BX$93) * ($BH$79:$BP$79=BX$94) * ($BH$80:$BP$83) ))</f>
        <v>0.60344917939088194</v>
      </c>
      <c r="BY231" s="579">
        <f t="array" ref="BY231">$Z231  * (1 + SUM( ($AU$80:$AU$83=BY$93) * ($BH$79:$BP$79=BY$94) * ($BH$80:$BP$83) ))</f>
        <v>0.60447177030069954</v>
      </c>
      <c r="BZ231" s="579">
        <f t="array" ref="BZ231">$Z231  * (1 + SUM( ($AU$80:$AU$83=BZ$93) * ($BH$79:$BP$79=BZ$94) * ($BH$80:$BP$83) ))</f>
        <v>0.60523415022637761</v>
      </c>
      <c r="CA231" s="579">
        <f t="array" ref="CA231">$Z231  * (1 + SUM( ($AU$80:$AU$83=CA$93) * ($BH$79:$BP$79=CA$94) * ($BH$80:$BP$83) ))</f>
        <v>0.60572025071024782</v>
      </c>
      <c r="CB231" s="579">
        <f t="array" ref="CB231">$Z231  * (1 + SUM( ($AU$80:$AU$83=CB$93) * ($BH$79:$BP$79=CB$94) * ($BH$80:$BP$83) ))</f>
        <v>0.60599999999999998</v>
      </c>
      <c r="CC231" s="578">
        <f t="array" ref="CC231">$Z231  * (1 + SUM( ($AU$80:$AU$83=CC$93) * ($BH$79:$BP$79=CC$94) * ($BH$80:$BP$83) ))</f>
        <v>0.60315007175124957</v>
      </c>
      <c r="CD231" s="578">
        <f t="array" ref="CD231">$Z231  * (1 + SUM( ($AU$80:$AU$83=CD$93) * ($BH$79:$BP$79=CD$94) * ($BH$80:$BP$83) ))</f>
        <v>0.60972214862411034</v>
      </c>
      <c r="CE231" s="578">
        <f t="array" ref="CE231">$Z231  * (1 + SUM( ($AU$80:$AU$83=CE$93) * ($BH$79:$BP$79=CE$94) * ($BH$80:$BP$83) ))</f>
        <v>0.62028608349792258</v>
      </c>
      <c r="CF231" s="578">
        <f t="array" ref="CF231">$Z231  * (1 + SUM( ($AU$80:$AU$83=CF$93) * ($BH$79:$BP$79=CF$94) * ($BH$80:$BP$83) ))</f>
        <v>0.63497038463817279</v>
      </c>
      <c r="CG231" s="578">
        <f t="array" ref="CG231">$Z231  * (1 + SUM( ($AU$80:$AU$83=CG$93) * ($BH$79:$BP$79=CG$94) * ($BH$80:$BP$83) ))</f>
        <v>0.65173769086322919</v>
      </c>
      <c r="CH231" s="578">
        <f t="array" ref="CH231">$Z231  * (1 + SUM( ($AU$80:$AU$83=CH$93) * ($BH$79:$BP$79=CH$94) * ($BH$80:$BP$83) ))</f>
        <v>0.6670765545104933</v>
      </c>
      <c r="CI231" s="578">
        <f t="array" ref="CI231">$Z231  * (1 + SUM( ($AU$80:$AU$83=CI$93) * ($BH$79:$BP$79=CI$94) * ($BH$80:$BP$83) ))</f>
        <v>0.67851225339566557</v>
      </c>
      <c r="CJ231" s="578">
        <f t="array" ref="CJ231">$Z231  * (1 + SUM( ($AU$80:$AU$83=CJ$93) * ($BH$79:$BP$79=CJ$94) * ($BH$80:$BP$83) ))</f>
        <v>0.68580376065371706</v>
      </c>
      <c r="CK231" s="578">
        <f t="array" ref="CK231">$Z231  * (1 + SUM( ($AU$80:$AU$83=CK$93) * ($BH$79:$BP$79=CK$94) * ($BH$80:$BP$83) ))</f>
        <v>0.69</v>
      </c>
      <c r="CL231" s="579">
        <f t="array" ref="CL231">$Z231  * (1 + SUM( ($AU$80:$AU$83=CL$93) * ($BH$79:$BP$79=CL$94) * ($BH$80:$BP$83) ))</f>
        <v>0.60630014350249917</v>
      </c>
      <c r="CM231" s="579">
        <f t="array" ref="CM231">$Z231  * (1 + SUM( ($AU$80:$AU$83=CM$93) * ($BH$79:$BP$79=CM$94) * ($BH$80:$BP$83) ))</f>
        <v>0.61944429724822081</v>
      </c>
      <c r="CN231" s="579">
        <f t="array" ref="CN231">$Z231  * (1 + SUM( ($AU$80:$AU$83=CN$93) * ($BH$79:$BP$79=CN$94) * ($BH$80:$BP$83) ))</f>
        <v>0.64057216699584529</v>
      </c>
      <c r="CO231" s="579">
        <f t="array" ref="CO231">$Z231  * (1 + SUM( ($AU$80:$AU$83=CO$93) * ($BH$79:$BP$79=CO$94) * ($BH$80:$BP$83) ))</f>
        <v>0.6699407692763456</v>
      </c>
      <c r="CP231" s="579">
        <f t="array" ref="CP231">$Z231  * (1 + SUM( ($AU$80:$AU$83=CP$93) * ($BH$79:$BP$79=CP$94) * ($BH$80:$BP$83) ))</f>
        <v>0.7034753817264584</v>
      </c>
      <c r="CQ231" s="579">
        <f t="array" ref="CQ231">$Z231  * (1 + SUM( ($AU$80:$AU$83=CQ$93) * ($BH$79:$BP$79=CQ$94) * ($BH$80:$BP$83) ))</f>
        <v>0.73415310902098663</v>
      </c>
      <c r="CR231" s="579">
        <f t="array" ref="CR231">$Z231  * (1 + SUM( ($AU$80:$AU$83=CR$93) * ($BH$79:$BP$79=CR$94) * ($BH$80:$BP$83) ))</f>
        <v>0.75702450679133138</v>
      </c>
      <c r="CS231" s="579">
        <f t="array" ref="CS231">$Z231  * (1 + SUM( ($AU$80:$AU$83=CS$93) * ($BH$79:$BP$79=CS$94) * ($BH$80:$BP$83) ))</f>
        <v>0.77160752130743415</v>
      </c>
      <c r="CT231" s="579">
        <f t="array" ref="CT231">$Z231  * (1 + SUM( ($AU$80:$AU$83=CT$93) * ($BH$79:$BP$79=CT$94) * ($BH$80:$BP$83) ))</f>
        <v>0.78</v>
      </c>
      <c r="CU231" s="578">
        <f t="array" ref="CU231">$Z231  * (1 + SUM( ($AU$80:$AU$83=CU$93) * ($BH$79:$BP$79=CU$94) * ($BH$80:$BP$83) ))</f>
        <v>0.60840019133666556</v>
      </c>
      <c r="CV231" s="578">
        <f t="array" ref="CV231">$Z231  * (1 + SUM( ($AU$80:$AU$83=CV$93) * ($BH$79:$BP$79=CV$94) * ($BH$80:$BP$83) ))</f>
        <v>0.62592572966429438</v>
      </c>
      <c r="CW231" s="578">
        <f t="array" ref="CW231">$Z231  * (1 + SUM( ($AU$80:$AU$83=CW$93) * ($BH$79:$BP$79=CW$94) * ($BH$80:$BP$83) ))</f>
        <v>0.65409622266112699</v>
      </c>
      <c r="CX231" s="578">
        <f t="array" ref="CX231">$Z231  * (1 + SUM( ($AU$80:$AU$83=CX$93) * ($BH$79:$BP$79=CX$94) * ($BH$80:$BP$83) ))</f>
        <v>0.69325435903512755</v>
      </c>
      <c r="CY231" s="578">
        <f t="array" ref="CY231">$Z231  * (1 + SUM( ($AU$80:$AU$83=CY$93) * ($BH$79:$BP$79=CY$94) * ($BH$80:$BP$83) ))</f>
        <v>0.73796717563527792</v>
      </c>
      <c r="CZ231" s="578">
        <f t="array" ref="CZ231">$Z231  * (1 + SUM( ($AU$80:$AU$83=CZ$93) * ($BH$79:$BP$79=CZ$94) * ($BH$80:$BP$83) ))</f>
        <v>0.77887081202798214</v>
      </c>
      <c r="DA231" s="578">
        <f t="array" ref="DA231">$Z231  * (1 + SUM( ($AU$80:$AU$83=DA$93) * ($BH$79:$BP$79=DA$94) * ($BH$80:$BP$83) ))</f>
        <v>0.80936600905510858</v>
      </c>
      <c r="DB231" s="578">
        <f t="array" ref="DB231">$Z231  * (1 + SUM( ($AU$80:$AU$83=DB$93) * ($BH$79:$BP$79=DB$94) * ($BH$80:$BP$83) ))</f>
        <v>0.82881002840991236</v>
      </c>
      <c r="DC231" s="578">
        <f t="array" ref="DC231">$Z231  * (1 + SUM( ($AU$80:$AU$83=DC$93) * ($BH$79:$BP$79=DC$94) * ($BH$80:$BP$83) ))</f>
        <v>0.84</v>
      </c>
    </row>
    <row r="232" spans="1:107">
      <c r="A232" s="585" t="s">
        <v>1066</v>
      </c>
      <c r="B232" s="585" t="s">
        <v>1065</v>
      </c>
      <c r="C232" s="584" t="s">
        <v>1027</v>
      </c>
      <c r="D232" s="584" t="s">
        <v>921</v>
      </c>
      <c r="E232" s="538">
        <v>0.6</v>
      </c>
      <c r="F232" s="540">
        <v>0.56299999999999994</v>
      </c>
      <c r="G232" s="539">
        <v>100</v>
      </c>
      <c r="H232" s="540">
        <v>0</v>
      </c>
      <c r="I232" s="580"/>
      <c r="J232" s="541">
        <v>1</v>
      </c>
      <c r="K232" s="540">
        <v>0</v>
      </c>
      <c r="L232" s="540">
        <v>0</v>
      </c>
      <c r="M232" s="580"/>
      <c r="N232" s="594"/>
      <c r="O232" s="580"/>
      <c r="P232" s="583">
        <v>0</v>
      </c>
      <c r="Q232" s="581">
        <v>0.05</v>
      </c>
      <c r="R232" s="581">
        <v>0.25</v>
      </c>
      <c r="S232" s="581">
        <v>0.5</v>
      </c>
      <c r="T232" s="580"/>
      <c r="U232" s="582">
        <v>0</v>
      </c>
      <c r="V232" s="581">
        <v>0</v>
      </c>
      <c r="W232" s="581">
        <v>0</v>
      </c>
      <c r="X232" s="581">
        <v>0</v>
      </c>
      <c r="Y232" s="580"/>
      <c r="Z232" s="582">
        <v>0.7</v>
      </c>
      <c r="AA232" s="581">
        <v>0.7</v>
      </c>
      <c r="AB232" s="581">
        <v>0.7</v>
      </c>
      <c r="AC232" s="581">
        <v>0.7</v>
      </c>
      <c r="AD232" s="581">
        <v>0.7</v>
      </c>
      <c r="AE232" s="581">
        <v>0.7</v>
      </c>
      <c r="AF232" s="581">
        <v>0.7</v>
      </c>
      <c r="AG232" s="580"/>
      <c r="AH232" s="1163">
        <v>137</v>
      </c>
      <c r="AI232" s="1162" t="str">
        <f t="shared" si="28"/>
        <v>PPSWAS</v>
      </c>
      <c r="AJ232" s="1160">
        <v>0</v>
      </c>
      <c r="AK232" s="1160">
        <v>0</v>
      </c>
      <c r="AL232" s="1160">
        <v>0</v>
      </c>
      <c r="AM232" s="1160">
        <v>0</v>
      </c>
      <c r="AN232" s="1160">
        <v>0</v>
      </c>
      <c r="AO232" s="1160">
        <v>0</v>
      </c>
      <c r="AP232" s="1160">
        <v>0</v>
      </c>
      <c r="AQ232" s="1160">
        <v>0</v>
      </c>
      <c r="AR232" s="1160">
        <v>0</v>
      </c>
      <c r="AS232" s="1159">
        <v>0</v>
      </c>
      <c r="AT232" s="1159">
        <v>0</v>
      </c>
      <c r="AU232" s="1159">
        <v>0</v>
      </c>
      <c r="AV232" s="1159">
        <v>0</v>
      </c>
      <c r="AW232" s="1159">
        <v>0</v>
      </c>
      <c r="AX232" s="1159">
        <v>0</v>
      </c>
      <c r="AY232" s="1159">
        <v>0</v>
      </c>
      <c r="AZ232" s="1159">
        <v>0</v>
      </c>
      <c r="BA232" s="1159">
        <v>0</v>
      </c>
      <c r="BB232" s="1160">
        <v>0</v>
      </c>
      <c r="BC232" s="1160">
        <v>0</v>
      </c>
      <c r="BD232" s="1160">
        <v>0</v>
      </c>
      <c r="BE232" s="1160">
        <v>0</v>
      </c>
      <c r="BF232" s="1160">
        <v>0</v>
      </c>
      <c r="BG232" s="1160">
        <v>0</v>
      </c>
      <c r="BH232" s="1160">
        <v>0</v>
      </c>
      <c r="BI232" s="1160">
        <v>0</v>
      </c>
      <c r="BJ232" s="1160">
        <v>0</v>
      </c>
      <c r="BK232" s="1159">
        <v>0</v>
      </c>
      <c r="BL232" s="1159">
        <v>0</v>
      </c>
      <c r="BM232" s="1159">
        <v>0</v>
      </c>
      <c r="BN232" s="1159">
        <v>0</v>
      </c>
      <c r="BO232" s="1159">
        <v>0</v>
      </c>
      <c r="BP232" s="1159">
        <v>0</v>
      </c>
      <c r="BQ232" s="1159">
        <v>0</v>
      </c>
      <c r="BR232" s="1159">
        <v>0</v>
      </c>
      <c r="BS232" s="1159">
        <v>0</v>
      </c>
      <c r="BT232" s="579">
        <f t="array" ref="BT232">$Z232  * (1 + SUM( ($AU$80:$AU$83=BT$93) * ($BH$79:$BP$79=BT$94) * ($BH$80:$BP$83) ))</f>
        <v>0.70024500558065272</v>
      </c>
      <c r="BU232" s="579">
        <f t="array" ref="BU232">$Z232  * (1 + SUM( ($AU$80:$AU$83=BU$93) * ($BH$79:$BP$79=BU$94) * ($BH$80:$BP$83) ))</f>
        <v>0.70075616711520849</v>
      </c>
      <c r="BV232" s="579">
        <f t="array" ref="BV232">$Z232  * (1 + SUM( ($AU$80:$AU$83=BV$93) * ($BH$79:$BP$79=BV$94) * ($BH$80:$BP$83) ))</f>
        <v>0.70157780649428281</v>
      </c>
      <c r="BW232" s="579">
        <f t="array" ref="BW232">$Z232  * (1 + SUM( ($AU$80:$AU$83=BW$93) * ($BH$79:$BP$79=BW$94) * ($BH$80:$BP$83) ))</f>
        <v>0.70271991880519113</v>
      </c>
      <c r="BX232" s="579">
        <f t="array" ref="BX232">$Z232  * (1 + SUM( ($AU$80:$AU$83=BX$93) * ($BH$79:$BP$79=BX$94) * ($BH$80:$BP$83) ))</f>
        <v>0.70402404262269558</v>
      </c>
      <c r="BY232" s="579">
        <f t="array" ref="BY232">$Z232  * (1 + SUM( ($AU$80:$AU$83=BY$93) * ($BH$79:$BP$79=BY$94) * ($BH$80:$BP$83) ))</f>
        <v>0.70521706535081619</v>
      </c>
      <c r="BZ232" s="579">
        <f t="array" ref="BZ232">$Z232  * (1 + SUM( ($AU$80:$AU$83=BZ$93) * ($BH$79:$BP$79=BZ$94) * ($BH$80:$BP$83) ))</f>
        <v>0.70610650859744051</v>
      </c>
      <c r="CA232" s="579">
        <f t="array" ref="CA232">$Z232  * (1 + SUM( ($AU$80:$AU$83=CA$93) * ($BH$79:$BP$79=CA$94) * ($BH$80:$BP$83) ))</f>
        <v>0.70667362582862236</v>
      </c>
      <c r="CB232" s="579">
        <f t="array" ref="CB232">$Z232  * (1 + SUM( ($AU$80:$AU$83=CB$93) * ($BH$79:$BP$79=CB$94) * ($BH$80:$BP$83) ))</f>
        <v>0.70699999999999996</v>
      </c>
      <c r="CC232" s="578">
        <f t="array" ref="CC232">$Z232  * (1 + SUM( ($AU$80:$AU$83=CC$93) * ($BH$79:$BP$79=CC$94) * ($BH$80:$BP$83) ))</f>
        <v>0.70367508370979115</v>
      </c>
      <c r="CD232" s="578">
        <f t="array" ref="CD232">$Z232  * (1 + SUM( ($AU$80:$AU$83=CD$93) * ($BH$79:$BP$79=CD$94) * ($BH$80:$BP$83) ))</f>
        <v>0.71134250672812871</v>
      </c>
      <c r="CE232" s="578">
        <f t="array" ref="CE232">$Z232  * (1 + SUM( ($AU$80:$AU$83=CE$93) * ($BH$79:$BP$79=CE$94) * ($BH$80:$BP$83) ))</f>
        <v>0.72366709741424307</v>
      </c>
      <c r="CF232" s="578">
        <f t="array" ref="CF232">$Z232  * (1 + SUM( ($AU$80:$AU$83=CF$93) * ($BH$79:$BP$79=CF$94) * ($BH$80:$BP$83) ))</f>
        <v>0.74079878207786831</v>
      </c>
      <c r="CG232" s="578">
        <f t="array" ref="CG232">$Z232  * (1 + SUM( ($AU$80:$AU$83=CG$93) * ($BH$79:$BP$79=CG$94) * ($BH$80:$BP$83) ))</f>
        <v>0.76036063934043396</v>
      </c>
      <c r="CH232" s="578">
        <f t="array" ref="CH232">$Z232  * (1 + SUM( ($AU$80:$AU$83=CH$93) * ($BH$79:$BP$79=CH$94) * ($BH$80:$BP$83) ))</f>
        <v>0.77825598026224219</v>
      </c>
      <c r="CI232" s="578">
        <f t="array" ref="CI232">$Z232  * (1 + SUM( ($AU$80:$AU$83=CI$93) * ($BH$79:$BP$79=CI$94) * ($BH$80:$BP$83) ))</f>
        <v>0.79159762896160979</v>
      </c>
      <c r="CJ232" s="578">
        <f t="array" ref="CJ232">$Z232  * (1 + SUM( ($AU$80:$AU$83=CJ$93) * ($BH$79:$BP$79=CJ$94) * ($BH$80:$BP$83) ))</f>
        <v>0.80010438742933654</v>
      </c>
      <c r="CK232" s="578">
        <f t="array" ref="CK232">$Z232  * (1 + SUM( ($AU$80:$AU$83=CK$93) * ($BH$79:$BP$79=CK$94) * ($BH$80:$BP$83) ))</f>
        <v>0.80499999999999994</v>
      </c>
      <c r="CL232" s="579">
        <f t="array" ref="CL232">$Z232  * (1 + SUM( ($AU$80:$AU$83=CL$93) * ($BH$79:$BP$79=CL$94) * ($BH$80:$BP$83) ))</f>
        <v>0.70735016741958234</v>
      </c>
      <c r="CM232" s="579">
        <f t="array" ref="CM232">$Z232  * (1 + SUM( ($AU$80:$AU$83=CM$93) * ($BH$79:$BP$79=CM$94) * ($BH$80:$BP$83) ))</f>
        <v>0.72268501345625757</v>
      </c>
      <c r="CN232" s="579">
        <f t="array" ref="CN232">$Z232  * (1 + SUM( ($AU$80:$AU$83=CN$93) * ($BH$79:$BP$79=CN$94) * ($BH$80:$BP$83) ))</f>
        <v>0.74733419482848618</v>
      </c>
      <c r="CO232" s="579">
        <f t="array" ref="CO232">$Z232  * (1 + SUM( ($AU$80:$AU$83=CO$93) * ($BH$79:$BP$79=CO$94) * ($BH$80:$BP$83) ))</f>
        <v>0.78159756415573645</v>
      </c>
      <c r="CP232" s="579">
        <f t="array" ref="CP232">$Z232  * (1 + SUM( ($AU$80:$AU$83=CP$93) * ($BH$79:$BP$79=CP$94) * ($BH$80:$BP$83) ))</f>
        <v>0.82072127868086819</v>
      </c>
      <c r="CQ232" s="579">
        <f t="array" ref="CQ232">$Z232  * (1 + SUM( ($AU$80:$AU$83=CQ$93) * ($BH$79:$BP$79=CQ$94) * ($BH$80:$BP$83) ))</f>
        <v>0.85651196052448431</v>
      </c>
      <c r="CR232" s="579">
        <f t="array" ref="CR232">$Z232  * (1 + SUM( ($AU$80:$AU$83=CR$93) * ($BH$79:$BP$79=CR$94) * ($BH$80:$BP$83) ))</f>
        <v>0.88319525792321985</v>
      </c>
      <c r="CS232" s="579">
        <f t="array" ref="CS232">$Z232  * (1 + SUM( ($AU$80:$AU$83=CS$93) * ($BH$79:$BP$79=CS$94) * ($BH$80:$BP$83) ))</f>
        <v>0.90020877485867323</v>
      </c>
      <c r="CT232" s="579">
        <f t="array" ref="CT232">$Z232  * (1 + SUM( ($AU$80:$AU$83=CT$93) * ($BH$79:$BP$79=CT$94) * ($BH$80:$BP$83) ))</f>
        <v>0.90999999999999992</v>
      </c>
      <c r="CU232" s="578">
        <f t="array" ref="CU232">$Z232  * (1 + SUM( ($AU$80:$AU$83=CU$93) * ($BH$79:$BP$79=CU$94) * ($BH$80:$BP$83) ))</f>
        <v>0.70980022322610981</v>
      </c>
      <c r="CV232" s="578">
        <f t="array" ref="CV232">$Z232  * (1 + SUM( ($AU$80:$AU$83=CV$93) * ($BH$79:$BP$79=CV$94) * ($BH$80:$BP$83) ))</f>
        <v>0.73024668460834341</v>
      </c>
      <c r="CW232" s="578">
        <f t="array" ref="CW232">$Z232  * (1 + SUM( ($AU$80:$AU$83=CW$93) * ($BH$79:$BP$79=CW$94) * ($BH$80:$BP$83) ))</f>
        <v>0.7631122597713148</v>
      </c>
      <c r="CX232" s="578">
        <f t="array" ref="CX232">$Z232  * (1 + SUM( ($AU$80:$AU$83=CX$93) * ($BH$79:$BP$79=CX$94) * ($BH$80:$BP$83) ))</f>
        <v>0.80879675220764879</v>
      </c>
      <c r="CY232" s="578">
        <f t="array" ref="CY232">$Z232  * (1 + SUM( ($AU$80:$AU$83=CY$93) * ($BH$79:$BP$79=CY$94) * ($BH$80:$BP$83) ))</f>
        <v>0.8609617049078242</v>
      </c>
      <c r="CZ232" s="578">
        <f t="array" ref="CZ232">$Z232  * (1 + SUM( ($AU$80:$AU$83=CZ$93) * ($BH$79:$BP$79=CZ$94) * ($BH$80:$BP$83) ))</f>
        <v>0.90868261403264572</v>
      </c>
      <c r="DA232" s="578">
        <f t="array" ref="DA232">$Z232  * (1 + SUM( ($AU$80:$AU$83=DA$93) * ($BH$79:$BP$79=DA$94) * ($BH$80:$BP$83) ))</f>
        <v>0.94426034389762659</v>
      </c>
      <c r="DB232" s="578">
        <f t="array" ref="DB232">$Z232  * (1 + SUM( ($AU$80:$AU$83=DB$93) * ($BH$79:$BP$79=DB$94) * ($BH$80:$BP$83) ))</f>
        <v>0.96694503314489766</v>
      </c>
      <c r="DC232" s="578">
        <f t="array" ref="DC232">$Z232  * (1 + SUM( ($AU$80:$AU$83=DC$93) * ($BH$79:$BP$79=DC$94) * ($BH$80:$BP$83) ))</f>
        <v>0.97999999999999987</v>
      </c>
    </row>
    <row r="233" spans="1:107" ht="52" customHeight="1" thickBot="1">
      <c r="A233" s="1180" t="s">
        <v>1064</v>
      </c>
      <c r="B233" s="1179" t="s">
        <v>796</v>
      </c>
      <c r="C233" s="1179" t="s">
        <v>797</v>
      </c>
      <c r="D233" s="1179" t="s">
        <v>798</v>
      </c>
      <c r="E233" s="1179" t="s">
        <v>385</v>
      </c>
      <c r="F233" s="1179" t="s">
        <v>799</v>
      </c>
      <c r="G233" s="1179" t="s">
        <v>800</v>
      </c>
      <c r="H233" s="1179" t="s">
        <v>801</v>
      </c>
      <c r="I233" s="1164"/>
      <c r="J233" s="1179" t="s">
        <v>803</v>
      </c>
      <c r="K233" s="1179" t="s">
        <v>804</v>
      </c>
      <c r="L233" s="1179" t="s">
        <v>805</v>
      </c>
      <c r="M233" s="1179" t="s">
        <v>806</v>
      </c>
      <c r="N233" s="1179" t="s">
        <v>877</v>
      </c>
      <c r="O233" s="1168"/>
      <c r="P233" s="1163" t="s">
        <v>881</v>
      </c>
      <c r="Q233" s="1164"/>
      <c r="R233" s="1164"/>
      <c r="S233" s="1164"/>
      <c r="T233" s="1164"/>
      <c r="U233" s="1163" t="s">
        <v>881</v>
      </c>
      <c r="V233" s="1164"/>
      <c r="W233" s="1164"/>
      <c r="X233" s="1164"/>
      <c r="Y233" s="1164"/>
      <c r="Z233" s="1163" t="s">
        <v>881</v>
      </c>
      <c r="AA233" s="1164"/>
      <c r="AB233" s="1164"/>
      <c r="AC233" s="1164"/>
      <c r="AD233" s="1164"/>
      <c r="AE233" s="1164"/>
      <c r="AF233" s="1164"/>
      <c r="AG233" s="1164"/>
      <c r="AH233" s="1163">
        <v>138</v>
      </c>
      <c r="AI233" s="1162"/>
      <c r="AJ233" s="1163" t="s">
        <v>881</v>
      </c>
      <c r="AK233" s="1163" t="s">
        <v>881</v>
      </c>
      <c r="AL233" s="1163" t="s">
        <v>881</v>
      </c>
      <c r="AM233" s="1163" t="s">
        <v>881</v>
      </c>
      <c r="AN233" s="1163" t="s">
        <v>881</v>
      </c>
      <c r="AO233" s="1163" t="s">
        <v>881</v>
      </c>
      <c r="AP233" s="1163" t="s">
        <v>881</v>
      </c>
      <c r="AQ233" s="1163" t="s">
        <v>881</v>
      </c>
      <c r="AR233" s="1163" t="s">
        <v>881</v>
      </c>
      <c r="AS233" s="1170" t="s">
        <v>881</v>
      </c>
      <c r="AT233" s="1170" t="s">
        <v>881</v>
      </c>
      <c r="AU233" s="1170" t="s">
        <v>881</v>
      </c>
      <c r="AV233" s="1170" t="s">
        <v>881</v>
      </c>
      <c r="AW233" s="1170" t="s">
        <v>881</v>
      </c>
      <c r="AX233" s="1170" t="s">
        <v>881</v>
      </c>
      <c r="AY233" s="1170" t="s">
        <v>881</v>
      </c>
      <c r="AZ233" s="1170" t="s">
        <v>881</v>
      </c>
      <c r="BA233" s="1170" t="s">
        <v>881</v>
      </c>
      <c r="BB233" s="1163" t="s">
        <v>881</v>
      </c>
      <c r="BC233" s="1163" t="s">
        <v>881</v>
      </c>
      <c r="BD233" s="1163" t="s">
        <v>881</v>
      </c>
      <c r="BE233" s="1163" t="s">
        <v>881</v>
      </c>
      <c r="BF233" s="1163" t="s">
        <v>881</v>
      </c>
      <c r="BG233" s="1163" t="s">
        <v>881</v>
      </c>
      <c r="BH233" s="1163" t="s">
        <v>881</v>
      </c>
      <c r="BI233" s="1163" t="s">
        <v>881</v>
      </c>
      <c r="BJ233" s="1163" t="s">
        <v>881</v>
      </c>
      <c r="BK233" s="1170" t="s">
        <v>881</v>
      </c>
      <c r="BL233" s="1170" t="s">
        <v>881</v>
      </c>
      <c r="BM233" s="1170" t="s">
        <v>881</v>
      </c>
      <c r="BN233" s="1170" t="s">
        <v>881</v>
      </c>
      <c r="BO233" s="1170" t="s">
        <v>881</v>
      </c>
      <c r="BP233" s="1170" t="s">
        <v>881</v>
      </c>
      <c r="BQ233" s="1170" t="s">
        <v>881</v>
      </c>
      <c r="BR233" s="1170" t="s">
        <v>881</v>
      </c>
      <c r="BS233" s="1170" t="s">
        <v>881</v>
      </c>
      <c r="BT233" s="592"/>
      <c r="BU233" s="592"/>
      <c r="BV233" s="592"/>
      <c r="BW233" s="592"/>
      <c r="BX233" s="592"/>
      <c r="BY233" s="592"/>
      <c r="BZ233" s="592"/>
      <c r="CA233" s="592"/>
      <c r="CB233" s="592"/>
      <c r="CC233" s="593"/>
      <c r="CD233" s="593"/>
      <c r="CE233" s="593"/>
      <c r="CF233" s="593"/>
      <c r="CG233" s="593"/>
      <c r="CH233" s="593"/>
      <c r="CI233" s="593"/>
      <c r="CJ233" s="593"/>
      <c r="CK233" s="593"/>
      <c r="CL233" s="592"/>
      <c r="CM233" s="592"/>
      <c r="CN233" s="592"/>
      <c r="CO233" s="592"/>
      <c r="CP233" s="592"/>
      <c r="CQ233" s="592"/>
      <c r="CR233" s="592"/>
      <c r="CS233" s="592"/>
      <c r="CT233" s="592"/>
      <c r="CU233" s="592"/>
      <c r="CV233" s="592"/>
      <c r="CW233" s="592"/>
      <c r="CX233" s="592"/>
      <c r="CY233" s="592"/>
      <c r="CZ233" s="592"/>
      <c r="DA233" s="592"/>
      <c r="DB233" s="592"/>
      <c r="DC233" s="592"/>
    </row>
    <row r="234" spans="1:107">
      <c r="A234" s="1173" t="s">
        <v>807</v>
      </c>
      <c r="B234" s="1178" t="s">
        <v>1001</v>
      </c>
      <c r="C234" s="1177"/>
      <c r="D234" s="1177"/>
      <c r="E234" s="1176" t="s">
        <v>808</v>
      </c>
      <c r="F234" s="1176" t="s">
        <v>809</v>
      </c>
      <c r="G234" s="1174" t="s">
        <v>810</v>
      </c>
      <c r="H234" s="1175" t="s">
        <v>811</v>
      </c>
      <c r="I234" s="1164"/>
      <c r="J234" s="1174" t="s">
        <v>812</v>
      </c>
      <c r="K234" s="1174" t="s">
        <v>813</v>
      </c>
      <c r="L234" s="1174" t="s">
        <v>813</v>
      </c>
      <c r="M234" s="1168"/>
      <c r="N234" s="1168"/>
      <c r="O234" s="1168"/>
      <c r="P234" s="1163" t="s">
        <v>881</v>
      </c>
      <c r="Q234" s="1164"/>
      <c r="R234" s="1164"/>
      <c r="S234" s="1164"/>
      <c r="T234" s="1164"/>
      <c r="U234" s="1163" t="s">
        <v>881</v>
      </c>
      <c r="V234" s="1164"/>
      <c r="W234" s="1164"/>
      <c r="X234" s="1164"/>
      <c r="Y234" s="1164"/>
      <c r="Z234" s="1163" t="s">
        <v>881</v>
      </c>
      <c r="AA234" s="1164"/>
      <c r="AB234" s="1164"/>
      <c r="AC234" s="1164"/>
      <c r="AD234" s="1164"/>
      <c r="AE234" s="1164"/>
      <c r="AF234" s="1164"/>
      <c r="AG234" s="1164"/>
      <c r="AH234" s="1163">
        <v>139</v>
      </c>
      <c r="AI234" s="1162" t="str">
        <f>MID(D234,2,2)</f>
        <v/>
      </c>
      <c r="AJ234" s="1163" t="s">
        <v>881</v>
      </c>
      <c r="AK234" s="1163" t="s">
        <v>881</v>
      </c>
      <c r="AL234" s="1163" t="s">
        <v>881</v>
      </c>
      <c r="AM234" s="1163" t="s">
        <v>881</v>
      </c>
      <c r="AN234" s="1163" t="s">
        <v>881</v>
      </c>
      <c r="AO234" s="1163" t="s">
        <v>881</v>
      </c>
      <c r="AP234" s="1163" t="s">
        <v>881</v>
      </c>
      <c r="AQ234" s="1163" t="s">
        <v>881</v>
      </c>
      <c r="AR234" s="1163" t="s">
        <v>881</v>
      </c>
      <c r="AS234" s="1170" t="s">
        <v>881</v>
      </c>
      <c r="AT234" s="1170" t="s">
        <v>881</v>
      </c>
      <c r="AU234" s="1170" t="s">
        <v>881</v>
      </c>
      <c r="AV234" s="1170" t="s">
        <v>881</v>
      </c>
      <c r="AW234" s="1170" t="s">
        <v>881</v>
      </c>
      <c r="AX234" s="1170" t="s">
        <v>881</v>
      </c>
      <c r="AY234" s="1170" t="s">
        <v>881</v>
      </c>
      <c r="AZ234" s="1170" t="s">
        <v>881</v>
      </c>
      <c r="BA234" s="1170" t="s">
        <v>881</v>
      </c>
      <c r="BB234" s="1163" t="s">
        <v>881</v>
      </c>
      <c r="BC234" s="1163" t="s">
        <v>881</v>
      </c>
      <c r="BD234" s="1163" t="s">
        <v>881</v>
      </c>
      <c r="BE234" s="1163" t="s">
        <v>881</v>
      </c>
      <c r="BF234" s="1163" t="s">
        <v>881</v>
      </c>
      <c r="BG234" s="1163" t="s">
        <v>881</v>
      </c>
      <c r="BH234" s="1163" t="s">
        <v>881</v>
      </c>
      <c r="BI234" s="1163" t="s">
        <v>881</v>
      </c>
      <c r="BJ234" s="1163" t="s">
        <v>881</v>
      </c>
      <c r="BK234" s="1170" t="s">
        <v>881</v>
      </c>
      <c r="BL234" s="1170" t="s">
        <v>881</v>
      </c>
      <c r="BM234" s="1170" t="s">
        <v>881</v>
      </c>
      <c r="BN234" s="1170" t="s">
        <v>881</v>
      </c>
      <c r="BO234" s="1170" t="s">
        <v>881</v>
      </c>
      <c r="BP234" s="1170" t="s">
        <v>881</v>
      </c>
      <c r="BQ234" s="1170" t="s">
        <v>881</v>
      </c>
      <c r="BR234" s="1170" t="s">
        <v>881</v>
      </c>
      <c r="BS234" s="1170" t="s">
        <v>881</v>
      </c>
      <c r="BT234" s="590"/>
      <c r="BU234" s="590"/>
      <c r="BV234" s="590"/>
      <c r="BW234" s="590"/>
      <c r="BX234" s="590"/>
      <c r="BY234" s="590"/>
      <c r="BZ234" s="590"/>
      <c r="CA234" s="590"/>
      <c r="CB234" s="590"/>
      <c r="CC234" s="591"/>
      <c r="CD234" s="591"/>
      <c r="CE234" s="591"/>
      <c r="CF234" s="591"/>
      <c r="CG234" s="591"/>
      <c r="CH234" s="591"/>
      <c r="CI234" s="591"/>
      <c r="CJ234" s="591"/>
      <c r="CK234" s="591"/>
      <c r="CL234" s="590"/>
      <c r="CM234" s="590"/>
      <c r="CN234" s="590"/>
      <c r="CO234" s="590"/>
      <c r="CP234" s="590"/>
      <c r="CQ234" s="590"/>
      <c r="CR234" s="590"/>
      <c r="CS234" s="590"/>
      <c r="CT234" s="590"/>
      <c r="CU234" s="590"/>
      <c r="CV234" s="590"/>
      <c r="CW234" s="590"/>
      <c r="CX234" s="590"/>
      <c r="CY234" s="590"/>
      <c r="CZ234" s="590"/>
      <c r="DA234" s="590"/>
      <c r="DB234" s="590"/>
      <c r="DC234" s="590"/>
    </row>
    <row r="235" spans="1:107">
      <c r="A235" s="1173" t="s">
        <v>814</v>
      </c>
      <c r="B235" s="1167"/>
      <c r="C235" s="1172">
        <v>1</v>
      </c>
      <c r="D235" s="1172">
        <v>2</v>
      </c>
      <c r="E235" s="1172">
        <v>3</v>
      </c>
      <c r="F235" s="1172">
        <v>4</v>
      </c>
      <c r="G235" s="1172">
        <v>5</v>
      </c>
      <c r="H235" s="1172">
        <v>6</v>
      </c>
      <c r="I235" s="1164"/>
      <c r="J235" s="589"/>
      <c r="K235" s="1171"/>
      <c r="L235" s="1171"/>
      <c r="M235" s="1168"/>
      <c r="N235" s="1168"/>
      <c r="O235" s="1168"/>
      <c r="P235" s="1163" t="s">
        <v>881</v>
      </c>
      <c r="Q235" s="1164"/>
      <c r="R235" s="1164"/>
      <c r="S235" s="1164"/>
      <c r="T235" s="1164"/>
      <c r="U235" s="1163" t="s">
        <v>881</v>
      </c>
      <c r="V235" s="1164"/>
      <c r="W235" s="1164"/>
      <c r="X235" s="1164"/>
      <c r="Y235" s="1164"/>
      <c r="Z235" s="1163" t="s">
        <v>881</v>
      </c>
      <c r="AA235" s="1164"/>
      <c r="AB235" s="1164"/>
      <c r="AC235" s="1164"/>
      <c r="AD235" s="1164"/>
      <c r="AE235" s="1164"/>
      <c r="AF235" s="1164"/>
      <c r="AG235" s="1164"/>
      <c r="AH235" s="1163">
        <v>140</v>
      </c>
      <c r="AI235" s="1162" t="str">
        <f>MID(D235,2,2)</f>
        <v/>
      </c>
      <c r="AJ235" s="1163" t="s">
        <v>881</v>
      </c>
      <c r="AK235" s="1163" t="s">
        <v>881</v>
      </c>
      <c r="AL235" s="1163" t="s">
        <v>881</v>
      </c>
      <c r="AM235" s="1163" t="s">
        <v>881</v>
      </c>
      <c r="AN235" s="1163" t="s">
        <v>881</v>
      </c>
      <c r="AO235" s="1163" t="s">
        <v>881</v>
      </c>
      <c r="AP235" s="1163" t="s">
        <v>881</v>
      </c>
      <c r="AQ235" s="1163" t="s">
        <v>881</v>
      </c>
      <c r="AR235" s="1163" t="s">
        <v>881</v>
      </c>
      <c r="AS235" s="1170" t="s">
        <v>881</v>
      </c>
      <c r="AT235" s="1170" t="s">
        <v>881</v>
      </c>
      <c r="AU235" s="1170" t="s">
        <v>881</v>
      </c>
      <c r="AV235" s="1170" t="s">
        <v>881</v>
      </c>
      <c r="AW235" s="1170" t="s">
        <v>881</v>
      </c>
      <c r="AX235" s="1170" t="s">
        <v>881</v>
      </c>
      <c r="AY235" s="1170" t="s">
        <v>881</v>
      </c>
      <c r="AZ235" s="1170" t="s">
        <v>881</v>
      </c>
      <c r="BA235" s="1170" t="s">
        <v>881</v>
      </c>
      <c r="BB235" s="1163" t="s">
        <v>881</v>
      </c>
      <c r="BC235" s="1163" t="s">
        <v>881</v>
      </c>
      <c r="BD235" s="1163" t="s">
        <v>881</v>
      </c>
      <c r="BE235" s="1163" t="s">
        <v>881</v>
      </c>
      <c r="BF235" s="1163" t="s">
        <v>881</v>
      </c>
      <c r="BG235" s="1163" t="s">
        <v>881</v>
      </c>
      <c r="BH235" s="1163" t="s">
        <v>881</v>
      </c>
      <c r="BI235" s="1163" t="s">
        <v>881</v>
      </c>
      <c r="BJ235" s="1163" t="s">
        <v>881</v>
      </c>
      <c r="BK235" s="1170" t="s">
        <v>881</v>
      </c>
      <c r="BL235" s="1170" t="s">
        <v>881</v>
      </c>
      <c r="BM235" s="1170" t="s">
        <v>881</v>
      </c>
      <c r="BN235" s="1170" t="s">
        <v>881</v>
      </c>
      <c r="BO235" s="1170" t="s">
        <v>881</v>
      </c>
      <c r="BP235" s="1170" t="s">
        <v>881</v>
      </c>
      <c r="BQ235" s="1170" t="s">
        <v>881</v>
      </c>
      <c r="BR235" s="1170" t="s">
        <v>881</v>
      </c>
      <c r="BS235" s="1170" t="s">
        <v>881</v>
      </c>
      <c r="BT235" s="588"/>
      <c r="BU235" s="588"/>
      <c r="BV235" s="588"/>
      <c r="BW235" s="588"/>
      <c r="BX235" s="588"/>
      <c r="BY235" s="588"/>
      <c r="BZ235" s="588"/>
      <c r="CA235" s="588"/>
      <c r="CB235" s="588"/>
      <c r="CC235" s="578"/>
      <c r="CD235" s="578"/>
      <c r="CE235" s="578"/>
      <c r="CF235" s="578"/>
      <c r="CG235" s="578"/>
      <c r="CH235" s="578"/>
      <c r="CI235" s="578"/>
      <c r="CJ235" s="578"/>
      <c r="CK235" s="578"/>
      <c r="CL235" s="588"/>
      <c r="CM235" s="588"/>
      <c r="CN235" s="588"/>
      <c r="CO235" s="588"/>
      <c r="CP235" s="588"/>
      <c r="CQ235" s="588"/>
      <c r="CR235" s="588"/>
      <c r="CS235" s="588"/>
      <c r="CT235" s="588"/>
      <c r="CU235" s="588"/>
      <c r="CV235" s="588"/>
      <c r="CW235" s="588"/>
      <c r="CX235" s="588"/>
      <c r="CY235" s="588"/>
      <c r="CZ235" s="588"/>
      <c r="DA235" s="588"/>
      <c r="DB235" s="588"/>
      <c r="DC235" s="588"/>
    </row>
    <row r="236" spans="1:107">
      <c r="A236" s="1167" t="s">
        <v>1063</v>
      </c>
      <c r="B236" s="1167" t="s">
        <v>1062</v>
      </c>
      <c r="C236" s="1166" t="s">
        <v>1030</v>
      </c>
      <c r="D236" s="1166" t="s">
        <v>920</v>
      </c>
      <c r="E236" s="577">
        <v>1</v>
      </c>
      <c r="F236" s="574">
        <v>0.79010000000000002</v>
      </c>
      <c r="G236" s="576">
        <v>100</v>
      </c>
      <c r="H236" s="574">
        <v>3.0701629991140367</v>
      </c>
      <c r="I236" s="1164"/>
      <c r="J236" s="575">
        <v>1</v>
      </c>
      <c r="K236" s="574">
        <v>2.4257357856000006</v>
      </c>
      <c r="L236" s="574">
        <v>2.4257357856000006</v>
      </c>
      <c r="M236" s="1168"/>
      <c r="N236" s="1168">
        <v>1</v>
      </c>
      <c r="O236" s="1168"/>
      <c r="P236" s="1163" t="s">
        <v>881</v>
      </c>
      <c r="Q236" s="1164"/>
      <c r="R236" s="1164"/>
      <c r="S236" s="1164"/>
      <c r="T236" s="1164"/>
      <c r="U236" s="1163" t="s">
        <v>881</v>
      </c>
      <c r="V236" s="1164"/>
      <c r="W236" s="1164"/>
      <c r="X236" s="1164"/>
      <c r="Y236" s="1164"/>
      <c r="Z236" s="573">
        <v>1</v>
      </c>
      <c r="AA236" s="572">
        <v>1</v>
      </c>
      <c r="AB236" s="572">
        <v>1</v>
      </c>
      <c r="AC236" s="572">
        <v>1</v>
      </c>
      <c r="AD236" s="572">
        <v>1</v>
      </c>
      <c r="AE236" s="572">
        <v>1</v>
      </c>
      <c r="AF236" s="572">
        <v>1</v>
      </c>
      <c r="AG236" s="1164"/>
      <c r="AH236" s="1163">
        <v>141</v>
      </c>
      <c r="AI236" s="1162" t="str">
        <f>MID(D236,2,2)&amp;C236</f>
        <v>OTINDELC</v>
      </c>
      <c r="AJ236" s="1163" t="s">
        <v>881</v>
      </c>
      <c r="AK236" s="1163" t="s">
        <v>881</v>
      </c>
      <c r="AL236" s="1163" t="s">
        <v>881</v>
      </c>
      <c r="AM236" s="1163" t="s">
        <v>881</v>
      </c>
      <c r="AN236" s="1163" t="s">
        <v>881</v>
      </c>
      <c r="AO236" s="1163" t="s">
        <v>881</v>
      </c>
      <c r="AP236" s="1163" t="s">
        <v>881</v>
      </c>
      <c r="AQ236" s="1163" t="s">
        <v>881</v>
      </c>
      <c r="AR236" s="1163" t="s">
        <v>881</v>
      </c>
      <c r="AS236" s="1170" t="s">
        <v>881</v>
      </c>
      <c r="AT236" s="1170" t="s">
        <v>881</v>
      </c>
      <c r="AU236" s="1170" t="s">
        <v>881</v>
      </c>
      <c r="AV236" s="1170" t="s">
        <v>881</v>
      </c>
      <c r="AW236" s="1170" t="s">
        <v>881</v>
      </c>
      <c r="AX236" s="1170" t="s">
        <v>881</v>
      </c>
      <c r="AY236" s="1170" t="s">
        <v>881</v>
      </c>
      <c r="AZ236" s="1170" t="s">
        <v>881</v>
      </c>
      <c r="BA236" s="1170" t="s">
        <v>881</v>
      </c>
      <c r="BB236" s="1163" t="s">
        <v>881</v>
      </c>
      <c r="BC236" s="1163" t="s">
        <v>881</v>
      </c>
      <c r="BD236" s="1163" t="s">
        <v>881</v>
      </c>
      <c r="BE236" s="1163" t="s">
        <v>881</v>
      </c>
      <c r="BF236" s="1163" t="s">
        <v>881</v>
      </c>
      <c r="BG236" s="1163" t="s">
        <v>881</v>
      </c>
      <c r="BH236" s="1163" t="s">
        <v>881</v>
      </c>
      <c r="BI236" s="1163" t="s">
        <v>881</v>
      </c>
      <c r="BJ236" s="1163" t="s">
        <v>881</v>
      </c>
      <c r="BT236" s="1443">
        <f t="array" ref="BT236">SUM(IFERROR(($AW$42:$AW$76=LEFT($AI236,2)) * ($AU$42:$AU$76=BT$93) * ($BH$41:$BP$41=BT$94) * ($BH$42:$BP$77),0))</f>
        <v>2.4500558065274585E-4</v>
      </c>
      <c r="BU236" s="1443">
        <f t="array" ref="BU236">SUM(IFERROR(($AW$42:$AW$76=LEFT($AI236,2)) * ($AU$42:$AU$76=BU$93) * ($BH$41:$BP$41=BU$94) * ($BH$42:$BP$77),0))</f>
        <v>7.5616711520858711E-4</v>
      </c>
      <c r="BV236" s="1443">
        <f t="array" ref="BV236">SUM(IFERROR(($AW$42:$AW$76=LEFT($AI236,2)) * ($AU$42:$AU$76=BV$93) * ($BH$41:$BP$41=BV$94) * ($BH$42:$BP$77),0))</f>
        <v>1.5778064942828722E-3</v>
      </c>
      <c r="BW236" s="1443">
        <f t="array" ref="BW236">SUM(IFERROR(($AW$42:$AW$76=LEFT($AI236,2)) * ($AU$42:$AU$76=BW$93) * ($BH$41:$BP$41=BW$94) * ($BH$42:$BP$77),0))</f>
        <v>2.7199188051912197E-3</v>
      </c>
      <c r="BX236" s="1443">
        <f t="array" ref="BX236">SUM(IFERROR(($AW$42:$AW$76=LEFT($AI236,2)) * ($AU$42:$AU$76=BX$93) * ($BH$41:$BP$41=BX$94) * ($BH$42:$BP$77),0))</f>
        <v>4.0240426226956063E-3</v>
      </c>
      <c r="BY236" s="1443">
        <f t="array" ref="BY236">SUM(IFERROR(($AW$42:$AW$76=LEFT($AI236,2)) * ($AU$42:$AU$76=BY$93) * ($BH$41:$BP$41=BY$94) * ($BH$42:$BP$77),0))</f>
        <v>5.2170653508161469E-3</v>
      </c>
      <c r="BZ236" s="1443">
        <f t="array" ref="BZ236">SUM(IFERROR(($AW$42:$AW$76=LEFT($AI236,2)) * ($AU$42:$AU$76=BZ$93) * ($BH$41:$BP$41=BZ$94) * ($BH$42:$BP$77),0))</f>
        <v>6.1065085974406639E-3</v>
      </c>
      <c r="CA236" s="1443">
        <f t="array" ref="CA236">SUM(IFERROR(($AW$42:$AW$76=LEFT($AI236,2)) * ($AU$42:$AU$76=CA$93) * ($BH$41:$BP$41=CA$94) * ($BH$42:$BP$77),0))</f>
        <v>6.6736258286224431E-3</v>
      </c>
      <c r="CB236" s="1443">
        <f t="array" ref="CB236">SUM(IFERROR(($AW$42:$AW$76=LEFT($AI236,2)) * ($AU$42:$AU$76=CB$93) * ($BH$41:$BP$41=CB$94) * ($BH$42:$BP$77),0))</f>
        <v>7.0000000000000001E-3</v>
      </c>
      <c r="CC236" s="1443">
        <f t="array" ref="CC236">SUM(IFERROR(($AW$42:$AW$76=LEFT($AI236,2)) * ($AU$42:$AU$76=CC$93) * ($BH$41:$BP$41=CC$94) * ($BH$42:$BP$77),0))</f>
        <v>4.7840179638301691E-3</v>
      </c>
      <c r="CD236" s="1443">
        <f t="array" ref="CD236">SUM(IFERROR(($AW$42:$AW$76=LEFT($AI236,2)) * ($AU$42:$AU$76=CD$93) * ($BH$41:$BP$41=CD$94) * ($BH$42:$BP$77),0))</f>
        <v>1.4765039445949351E-2</v>
      </c>
      <c r="CE236" s="1443">
        <f t="array" ref="CE236">SUM(IFERROR(($AW$42:$AW$76=LEFT($AI236,2)) * ($AU$42:$AU$76=CE$93) * ($BH$41:$BP$41=CE$94) * ($BH$42:$BP$77),0))</f>
        <v>3.0808500736950736E-2</v>
      </c>
      <c r="CF236" s="1443">
        <f t="array" ref="CF236">SUM(IFERROR(($AW$42:$AW$76=LEFT($AI236,2)) * ($AU$42:$AU$76=CF$93) * ($BH$41:$BP$41=CF$94) * ($BH$42:$BP$77),0))</f>
        <v>5.3109567502614564E-2</v>
      </c>
      <c r="CG236" s="1443">
        <f t="array" ref="CG236">SUM(IFERROR(($AW$42:$AW$76=LEFT($AI236,2)) * ($AU$42:$AU$76=CG$93) * ($BH$41:$BP$41=CG$94) * ($BH$42:$BP$77),0))</f>
        <v>7.8574096732430057E-2</v>
      </c>
      <c r="CH236" s="1443">
        <f t="array" ref="CH236">SUM(IFERROR(($AW$42:$AW$76=LEFT($AI236,2)) * ($AU$42:$AU$76=CH$93) * ($BH$41:$BP$41=CH$94) * ($BH$42:$BP$77),0))</f>
        <v>0.1018692484076716</v>
      </c>
      <c r="CI236" s="1443">
        <f t="array" ref="CI236">SUM(IFERROR(($AW$42:$AW$76=LEFT($AI236,2)) * ($AU$42:$AU$76=CI$93) * ($BH$41:$BP$41=CI$94) * ($BH$42:$BP$77),0))</f>
        <v>0.119236658808376</v>
      </c>
      <c r="CJ236" s="1443">
        <f t="array" ref="CJ236">SUM(IFERROR(($AW$42:$AW$76=LEFT($AI236,2)) * ($AU$42:$AU$76=CJ$93) * ($BH$41:$BP$41=CJ$94) * ($BH$42:$BP$77),0))</f>
        <v>0.13031028012893123</v>
      </c>
      <c r="CK236" s="1443">
        <f t="array" ref="CK236">SUM(IFERROR(($AW$42:$AW$76=LEFT($AI236,2)) * ($AU$42:$AU$76=CK$93) * ($BH$41:$BP$41=CK$94) * ($BH$42:$BP$77),0))</f>
        <v>0.13668311414618331</v>
      </c>
      <c r="CL236" s="1443">
        <f t="array" ref="CL236">SUM(IFERROR(($AW$42:$AW$76=LEFT($AI236,2)) * ($AU$42:$AU$76=CL$93) * ($BH$41:$BP$41=CL$94) * ($BH$42:$BP$77),0))</f>
        <v>1.2920822077621914E-2</v>
      </c>
      <c r="CM236" s="1443">
        <f t="array" ref="CM236">SUM(IFERROR(($AW$42:$AW$76=LEFT($AI236,2)) * ($AU$42:$AU$76=CM$93) * ($BH$41:$BP$41=CM$94) * ($BH$42:$BP$77),0))</f>
        <v>3.9877870253112895E-2</v>
      </c>
      <c r="CN236" s="1443">
        <f t="array" ref="CN236">SUM(IFERROR(($AW$42:$AW$76=LEFT($AI236,2)) * ($AU$42:$AU$76=CN$93) * ($BH$41:$BP$41=CN$94) * ($BH$42:$BP$77),0))</f>
        <v>8.3208541337023184E-2</v>
      </c>
      <c r="CO236" s="1443">
        <f t="array" ref="CO236">SUM(IFERROR(($AW$42:$AW$76=LEFT($AI236,2)) * ($AU$42:$AU$76=CO$93) * ($BH$41:$BP$41=CO$94) * ($BH$42:$BP$77),0))</f>
        <v>0.14343994473033594</v>
      </c>
      <c r="CP236" s="1443">
        <f t="array" ref="CP236">SUM(IFERROR(($AW$42:$AW$76=LEFT($AI236,2)) * ($AU$42:$AU$76=CP$93) * ($BH$41:$BP$41=CP$94) * ($BH$42:$BP$77),0))</f>
        <v>0.21221532432891654</v>
      </c>
      <c r="CQ236" s="1443">
        <f t="array" ref="CQ236">SUM(IFERROR(($AW$42:$AW$76=LEFT($AI236,2)) * ($AU$42:$AU$76=CQ$93) * ($BH$41:$BP$41=CQ$94) * ($BH$42:$BP$77),0))</f>
        <v>0.27513158265877286</v>
      </c>
      <c r="CR236" s="1443">
        <f t="array" ref="CR236">SUM(IFERROR(($AW$42:$AW$76=LEFT($AI236,2)) * ($AU$42:$AU$76=CR$93) * ($BH$41:$BP$41=CR$94) * ($BH$42:$BP$77),0))</f>
        <v>0.32203801600269832</v>
      </c>
      <c r="CS236" s="1443">
        <f t="array" ref="CS236">SUM(IFERROR(($AW$42:$AW$76=LEFT($AI236,2)) * ($AU$42:$AU$76=CS$93) * ($BH$41:$BP$41=CS$94) * ($BH$42:$BP$77),0))</f>
        <v>0.35194599124853165</v>
      </c>
      <c r="CT236" s="1443">
        <f t="array" ref="CT236">SUM(IFERROR(($AW$42:$AW$76=LEFT($AI236,2)) * ($AU$42:$AU$76=CT$93) * ($BH$41:$BP$41=CT$94) * ($BH$42:$BP$77),0))</f>
        <v>0.36915793633103006</v>
      </c>
      <c r="CU236" s="1443">
        <f t="array" ref="CU236">SUM(IFERROR(($AW$42:$AW$76=LEFT($AI236,2)) * ($AU$42:$AU$76=CU$93) * ($BH$41:$BP$41=CU$94) * ($BH$42:$BP$77),0))</f>
        <v>1.7289325703557231E-2</v>
      </c>
      <c r="CV236" s="1443">
        <f t="array" ref="CV236">SUM(IFERROR(($AW$42:$AW$76=LEFT($AI236,2)) * ($AU$42:$AU$76=CV$93) * ($BH$41:$BP$41=CV$94) * ($BH$42:$BP$77),0))</f>
        <v>5.3360496958190513E-2</v>
      </c>
      <c r="CW236" s="1443">
        <f t="array" ref="CW236">SUM(IFERROR(($AW$42:$AW$76=LEFT($AI236,2)) * ($AU$42:$AU$76=CW$93) * ($BH$41:$BP$41=CW$94) * ($BH$42:$BP$77),0))</f>
        <v>0.11134117967503798</v>
      </c>
      <c r="CX236" s="1443">
        <f t="array" ref="CX236">SUM(IFERROR(($AW$42:$AW$76=LEFT($AI236,2)) * ($AU$42:$AU$76=CX$93) * ($BH$41:$BP$41=CX$94) * ($BH$42:$BP$77),0))</f>
        <v>0.19193669786988254</v>
      </c>
      <c r="CY236" s="1443">
        <f t="array" ref="CY236">SUM(IFERROR(($AW$42:$AW$76=LEFT($AI236,2)) * ($AU$42:$AU$76=CY$93) * ($BH$41:$BP$41=CY$94) * ($BH$42:$BP$77),0))</f>
        <v>0.28396489322171392</v>
      </c>
      <c r="CZ236" s="1443">
        <f t="array" ref="CZ236">SUM(IFERROR(($AW$42:$AW$76=LEFT($AI236,2)) * ($AU$42:$AU$76=CZ$93) * ($BH$41:$BP$41=CZ$94) * ($BH$42:$BP$77),0))</f>
        <v>0.36815301033834852</v>
      </c>
      <c r="DA236" s="1443">
        <f t="array" ref="DA236">SUM(IFERROR(($AW$42:$AW$76=LEFT($AI236,2)) * ($AU$42:$AU$76=DA$93) * ($BH$41:$BP$41=DA$94) * ($BH$42:$BP$77),0))</f>
        <v>0.43091841325182828</v>
      </c>
      <c r="DB236" s="1443">
        <f t="array" ref="DB236">SUM(IFERROR(($AW$42:$AW$76=LEFT($AI236,2)) * ($AU$42:$AU$76=DB$93) * ($BH$41:$BP$41=DB$94) * ($BH$42:$BP$77),0))</f>
        <v>0.47093821400852365</v>
      </c>
      <c r="DC236" s="1443">
        <f t="array" ref="DC236">SUM(IFERROR(($AW$42:$AW$76=LEFT($AI236,2)) * ($AU$42:$AU$76=DC$93) * ($BH$41:$BP$41=DC$94) * ($BH$42:$BP$77),0))</f>
        <v>0.49396948266428903</v>
      </c>
    </row>
    <row r="237" spans="1:107">
      <c r="A237" s="1167" t="s">
        <v>1061</v>
      </c>
      <c r="B237" s="1167" t="s">
        <v>1060</v>
      </c>
      <c r="C237" s="1166" t="s">
        <v>1030</v>
      </c>
      <c r="D237" s="1166" t="s">
        <v>919</v>
      </c>
      <c r="E237" s="577">
        <v>0.05</v>
      </c>
      <c r="F237" s="574">
        <v>0.7833</v>
      </c>
      <c r="G237" s="576">
        <v>100</v>
      </c>
      <c r="H237" s="574">
        <v>0.17537925527384146</v>
      </c>
      <c r="I237" s="1164"/>
      <c r="J237" s="575">
        <v>1</v>
      </c>
      <c r="K237" s="574">
        <v>2.7474914131200001</v>
      </c>
      <c r="L237" s="574">
        <v>0.13737457065600001</v>
      </c>
      <c r="M237" s="1164"/>
      <c r="N237" s="1168"/>
      <c r="O237" s="1164"/>
      <c r="P237" s="1163" t="s">
        <v>881</v>
      </c>
      <c r="Q237" s="1164"/>
      <c r="R237" s="1164"/>
      <c r="S237" s="1164"/>
      <c r="T237" s="1164"/>
      <c r="U237" s="1163" t="s">
        <v>881</v>
      </c>
      <c r="V237" s="1164"/>
      <c r="W237" s="1164"/>
      <c r="X237" s="1164"/>
      <c r="Y237" s="1164"/>
      <c r="Z237" s="573">
        <v>0.05</v>
      </c>
      <c r="AA237" s="572">
        <v>0.05</v>
      </c>
      <c r="AB237" s="572">
        <v>0.05</v>
      </c>
      <c r="AC237" s="572">
        <v>0.05</v>
      </c>
      <c r="AD237" s="572">
        <v>0.05</v>
      </c>
      <c r="AE237" s="572">
        <v>0.05</v>
      </c>
      <c r="AF237" s="572">
        <v>0.05</v>
      </c>
      <c r="AG237" s="1164"/>
      <c r="AH237" s="1163">
        <v>142</v>
      </c>
      <c r="AI237" s="1162"/>
      <c r="AJ237" s="1163" t="s">
        <v>881</v>
      </c>
      <c r="AK237" s="1163" t="s">
        <v>881</v>
      </c>
      <c r="AL237" s="1163" t="s">
        <v>881</v>
      </c>
      <c r="AM237" s="1163" t="s">
        <v>881</v>
      </c>
      <c r="AN237" s="1163" t="s">
        <v>881</v>
      </c>
      <c r="AO237" s="1163" t="s">
        <v>881</v>
      </c>
      <c r="AP237" s="1163" t="s">
        <v>881</v>
      </c>
      <c r="AQ237" s="1163" t="s">
        <v>881</v>
      </c>
      <c r="AR237" s="1163" t="s">
        <v>881</v>
      </c>
      <c r="AS237" s="1170" t="s">
        <v>881</v>
      </c>
      <c r="AT237" s="1170" t="s">
        <v>881</v>
      </c>
      <c r="AU237" s="1170" t="s">
        <v>881</v>
      </c>
      <c r="AV237" s="1170" t="s">
        <v>881</v>
      </c>
      <c r="AW237" s="1170" t="s">
        <v>881</v>
      </c>
      <c r="AX237" s="1170" t="s">
        <v>881</v>
      </c>
      <c r="AY237" s="1170" t="s">
        <v>881</v>
      </c>
      <c r="AZ237" s="1170" t="s">
        <v>881</v>
      </c>
      <c r="BA237" s="1170" t="s">
        <v>881</v>
      </c>
      <c r="BB237" s="1163" t="s">
        <v>881</v>
      </c>
      <c r="BC237" s="1163" t="s">
        <v>881</v>
      </c>
      <c r="BD237" s="1163" t="s">
        <v>881</v>
      </c>
      <c r="BE237" s="1163" t="s">
        <v>881</v>
      </c>
      <c r="BF237" s="1163" t="s">
        <v>881</v>
      </c>
      <c r="BG237" s="1163" t="s">
        <v>881</v>
      </c>
      <c r="BH237" s="1163" t="s">
        <v>881</v>
      </c>
      <c r="BI237" s="1163" t="s">
        <v>881</v>
      </c>
      <c r="BJ237" s="1163" t="s">
        <v>881</v>
      </c>
      <c r="BK237" s="1170" t="s">
        <v>881</v>
      </c>
      <c r="BL237" s="1170" t="s">
        <v>881</v>
      </c>
      <c r="BM237" s="1170" t="s">
        <v>881</v>
      </c>
      <c r="BN237" s="1170" t="s">
        <v>881</v>
      </c>
      <c r="BO237" s="1170" t="s">
        <v>881</v>
      </c>
      <c r="BP237" s="1170" t="s">
        <v>881</v>
      </c>
      <c r="BQ237" s="1170" t="s">
        <v>881</v>
      </c>
      <c r="BR237" s="1170" t="s">
        <v>881</v>
      </c>
      <c r="BS237" s="1170" t="s">
        <v>881</v>
      </c>
      <c r="BT237" s="579"/>
      <c r="BU237" s="579"/>
      <c r="BV237" s="579"/>
      <c r="BW237" s="579"/>
      <c r="BX237" s="579"/>
      <c r="BY237" s="579"/>
      <c r="BZ237" s="579"/>
      <c r="CA237" s="579"/>
      <c r="CB237" s="579"/>
      <c r="CC237" s="578"/>
      <c r="CD237" s="578"/>
      <c r="CE237" s="578"/>
      <c r="CF237" s="578"/>
      <c r="CG237" s="578"/>
      <c r="CH237" s="578"/>
      <c r="CI237" s="578"/>
      <c r="CJ237" s="578"/>
      <c r="CK237" s="578"/>
      <c r="CL237" s="579"/>
      <c r="CM237" s="579"/>
      <c r="CN237" s="579"/>
      <c r="CO237" s="579"/>
      <c r="CP237" s="579"/>
      <c r="CQ237" s="579"/>
      <c r="CR237" s="579"/>
      <c r="CS237" s="579"/>
      <c r="CT237" s="579"/>
      <c r="CU237" s="578"/>
      <c r="CV237" s="578"/>
      <c r="CW237" s="578"/>
      <c r="CX237" s="578"/>
      <c r="CY237" s="578"/>
      <c r="CZ237" s="578"/>
      <c r="DA237" s="578"/>
      <c r="DB237" s="578"/>
      <c r="DC237" s="578"/>
    </row>
    <row r="238" spans="1:107">
      <c r="A238" s="1167" t="s">
        <v>1059</v>
      </c>
      <c r="B238" s="1167" t="s">
        <v>1058</v>
      </c>
      <c r="C238" s="1166" t="s">
        <v>1030</v>
      </c>
      <c r="D238" s="1166" t="s">
        <v>918</v>
      </c>
      <c r="E238" s="577">
        <v>0.3</v>
      </c>
      <c r="F238" s="574">
        <v>0.60640000000000005</v>
      </c>
      <c r="G238" s="576">
        <v>100</v>
      </c>
      <c r="H238" s="574">
        <v>1.003579493509235</v>
      </c>
      <c r="I238" s="1164"/>
      <c r="J238" s="575">
        <v>1</v>
      </c>
      <c r="K238" s="574">
        <v>2.0285686828800005</v>
      </c>
      <c r="L238" s="574">
        <v>0.60857060486400016</v>
      </c>
      <c r="M238" s="1164"/>
      <c r="N238" s="1168"/>
      <c r="O238" s="1164"/>
      <c r="P238" s="1163" t="s">
        <v>881</v>
      </c>
      <c r="Q238" s="1164"/>
      <c r="R238" s="1164"/>
      <c r="S238" s="1164"/>
      <c r="T238" s="1164"/>
      <c r="U238" s="1163" t="s">
        <v>881</v>
      </c>
      <c r="V238" s="1164"/>
      <c r="W238" s="1164"/>
      <c r="X238" s="1164"/>
      <c r="Y238" s="1164"/>
      <c r="Z238" s="573">
        <v>0.3</v>
      </c>
      <c r="AA238" s="572">
        <v>0.3</v>
      </c>
      <c r="AB238" s="572">
        <v>0.3</v>
      </c>
      <c r="AC238" s="572">
        <v>0.3</v>
      </c>
      <c r="AD238" s="572">
        <v>0.3</v>
      </c>
      <c r="AE238" s="572">
        <v>0.3</v>
      </c>
      <c r="AF238" s="572">
        <v>0.3</v>
      </c>
      <c r="AG238" s="1164"/>
      <c r="AH238" s="1163">
        <v>143</v>
      </c>
      <c r="AI238" s="1162"/>
      <c r="AJ238" s="1163" t="s">
        <v>881</v>
      </c>
      <c r="AK238" s="1163" t="s">
        <v>881</v>
      </c>
      <c r="AL238" s="1163" t="s">
        <v>881</v>
      </c>
      <c r="AM238" s="1163" t="s">
        <v>881</v>
      </c>
      <c r="AN238" s="1163" t="s">
        <v>881</v>
      </c>
      <c r="AO238" s="1163" t="s">
        <v>881</v>
      </c>
      <c r="AP238" s="1163" t="s">
        <v>881</v>
      </c>
      <c r="AQ238" s="1163" t="s">
        <v>881</v>
      </c>
      <c r="AR238" s="1163" t="s">
        <v>881</v>
      </c>
      <c r="AS238" s="1170" t="s">
        <v>881</v>
      </c>
      <c r="AT238" s="1170" t="s">
        <v>881</v>
      </c>
      <c r="AU238" s="1170" t="s">
        <v>881</v>
      </c>
      <c r="AV238" s="1170" t="s">
        <v>881</v>
      </c>
      <c r="AW238" s="1170" t="s">
        <v>881</v>
      </c>
      <c r="AX238" s="1170" t="s">
        <v>881</v>
      </c>
      <c r="AY238" s="1170" t="s">
        <v>881</v>
      </c>
      <c r="AZ238" s="1170" t="s">
        <v>881</v>
      </c>
      <c r="BA238" s="1170" t="s">
        <v>881</v>
      </c>
      <c r="BB238" s="1163" t="s">
        <v>881</v>
      </c>
      <c r="BC238" s="1163" t="s">
        <v>881</v>
      </c>
      <c r="BD238" s="1163" t="s">
        <v>881</v>
      </c>
      <c r="BE238" s="1163" t="s">
        <v>881</v>
      </c>
      <c r="BF238" s="1163" t="s">
        <v>881</v>
      </c>
      <c r="BG238" s="1163" t="s">
        <v>881</v>
      </c>
      <c r="BH238" s="1163" t="s">
        <v>881</v>
      </c>
      <c r="BI238" s="1163" t="s">
        <v>881</v>
      </c>
      <c r="BJ238" s="1163" t="s">
        <v>881</v>
      </c>
      <c r="BK238" s="1170" t="s">
        <v>881</v>
      </c>
      <c r="BL238" s="1170" t="s">
        <v>881</v>
      </c>
      <c r="BM238" s="1170" t="s">
        <v>881</v>
      </c>
      <c r="BN238" s="1170" t="s">
        <v>881</v>
      </c>
      <c r="BO238" s="1170" t="s">
        <v>881</v>
      </c>
      <c r="BP238" s="1170" t="s">
        <v>881</v>
      </c>
      <c r="BQ238" s="1170" t="s">
        <v>881</v>
      </c>
      <c r="BR238" s="1170" t="s">
        <v>881</v>
      </c>
      <c r="BS238" s="1170" t="s">
        <v>881</v>
      </c>
      <c r="BT238" s="579"/>
      <c r="BU238" s="579"/>
      <c r="BV238" s="579"/>
      <c r="BW238" s="579"/>
      <c r="BX238" s="579"/>
      <c r="BY238" s="579"/>
      <c r="BZ238" s="579"/>
      <c r="CA238" s="579"/>
      <c r="CB238" s="579"/>
      <c r="CC238" s="578"/>
      <c r="CD238" s="578"/>
      <c r="CE238" s="578"/>
      <c r="CF238" s="578"/>
      <c r="CG238" s="578"/>
      <c r="CH238" s="578"/>
      <c r="CI238" s="578"/>
      <c r="CJ238" s="578"/>
      <c r="CK238" s="578"/>
      <c r="CL238" s="579"/>
      <c r="CM238" s="579"/>
      <c r="CN238" s="579"/>
      <c r="CO238" s="579"/>
      <c r="CP238" s="579"/>
      <c r="CQ238" s="579"/>
      <c r="CR238" s="579"/>
      <c r="CS238" s="579"/>
      <c r="CT238" s="579"/>
      <c r="CU238" s="578"/>
      <c r="CV238" s="578"/>
      <c r="CW238" s="578"/>
      <c r="CX238" s="578"/>
      <c r="CY238" s="578"/>
      <c r="CZ238" s="578"/>
      <c r="DA238" s="578"/>
      <c r="DB238" s="578"/>
      <c r="DC238" s="578"/>
    </row>
    <row r="239" spans="1:107">
      <c r="A239" s="1167" t="s">
        <v>1057</v>
      </c>
      <c r="B239" s="1167" t="s">
        <v>1056</v>
      </c>
      <c r="C239" s="1166" t="s">
        <v>1030</v>
      </c>
      <c r="D239" s="1166" t="s">
        <v>917</v>
      </c>
      <c r="E239" s="577">
        <v>2</v>
      </c>
      <c r="F239" s="574">
        <v>0.83289999999999997</v>
      </c>
      <c r="G239" s="576">
        <v>100</v>
      </c>
      <c r="H239" s="574">
        <v>3.102533177476289</v>
      </c>
      <c r="I239" s="1164"/>
      <c r="J239" s="575">
        <v>1</v>
      </c>
      <c r="K239" s="574">
        <v>1.2920499417600004</v>
      </c>
      <c r="L239" s="574">
        <v>2.5840998835200009</v>
      </c>
      <c r="M239" s="1164"/>
      <c r="N239" s="1168"/>
      <c r="O239" s="1164"/>
      <c r="P239" s="1163" t="s">
        <v>881</v>
      </c>
      <c r="Q239" s="1164"/>
      <c r="R239" s="1164"/>
      <c r="S239" s="1164"/>
      <c r="T239" s="1164"/>
      <c r="U239" s="1163" t="s">
        <v>881</v>
      </c>
      <c r="V239" s="1164"/>
      <c r="W239" s="1164"/>
      <c r="X239" s="1164"/>
      <c r="Y239" s="1164"/>
      <c r="Z239" s="573">
        <v>2</v>
      </c>
      <c r="AA239" s="572">
        <v>2</v>
      </c>
      <c r="AB239" s="572">
        <v>2</v>
      </c>
      <c r="AC239" s="572">
        <v>2</v>
      </c>
      <c r="AD239" s="572">
        <v>2</v>
      </c>
      <c r="AE239" s="572">
        <v>2</v>
      </c>
      <c r="AF239" s="572">
        <v>2</v>
      </c>
      <c r="AG239" s="1164"/>
      <c r="AH239" s="1163">
        <v>144</v>
      </c>
      <c r="AI239" s="1162"/>
      <c r="AJ239" s="1163" t="s">
        <v>881</v>
      </c>
      <c r="AK239" s="1163" t="s">
        <v>881</v>
      </c>
      <c r="AL239" s="1163" t="s">
        <v>881</v>
      </c>
      <c r="AM239" s="1163" t="s">
        <v>881</v>
      </c>
      <c r="AN239" s="1163" t="s">
        <v>881</v>
      </c>
      <c r="AO239" s="1163" t="s">
        <v>881</v>
      </c>
      <c r="AP239" s="1163" t="s">
        <v>881</v>
      </c>
      <c r="AQ239" s="1163" t="s">
        <v>881</v>
      </c>
      <c r="AR239" s="1163" t="s">
        <v>881</v>
      </c>
      <c r="AS239" s="1170" t="s">
        <v>881</v>
      </c>
      <c r="AT239" s="1170" t="s">
        <v>881</v>
      </c>
      <c r="AU239" s="1170" t="s">
        <v>881</v>
      </c>
      <c r="AV239" s="1170" t="s">
        <v>881</v>
      </c>
      <c r="AW239" s="1170" t="s">
        <v>881</v>
      </c>
      <c r="AX239" s="1170" t="s">
        <v>881</v>
      </c>
      <c r="AY239" s="1170" t="s">
        <v>881</v>
      </c>
      <c r="AZ239" s="1170" t="s">
        <v>881</v>
      </c>
      <c r="BA239" s="1170" t="s">
        <v>881</v>
      </c>
      <c r="BB239" s="1163" t="s">
        <v>881</v>
      </c>
      <c r="BC239" s="1163" t="s">
        <v>881</v>
      </c>
      <c r="BD239" s="1163" t="s">
        <v>881</v>
      </c>
      <c r="BE239" s="1163" t="s">
        <v>881</v>
      </c>
      <c r="BF239" s="1163" t="s">
        <v>881</v>
      </c>
      <c r="BG239" s="1163" t="s">
        <v>881</v>
      </c>
      <c r="BH239" s="1163" t="s">
        <v>881</v>
      </c>
      <c r="BI239" s="1163" t="s">
        <v>881</v>
      </c>
      <c r="BJ239" s="1163" t="s">
        <v>881</v>
      </c>
      <c r="BK239" s="1170" t="s">
        <v>881</v>
      </c>
      <c r="BL239" s="1170" t="s">
        <v>881</v>
      </c>
      <c r="BM239" s="1170" t="s">
        <v>881</v>
      </c>
      <c r="BN239" s="1170" t="s">
        <v>881</v>
      </c>
      <c r="BO239" s="1170" t="s">
        <v>881</v>
      </c>
      <c r="BP239" s="1170" t="s">
        <v>881</v>
      </c>
      <c r="BQ239" s="1170" t="s">
        <v>881</v>
      </c>
      <c r="BR239" s="1170" t="s">
        <v>881</v>
      </c>
      <c r="BS239" s="1170" t="s">
        <v>881</v>
      </c>
      <c r="BT239" s="579"/>
      <c r="BU239" s="579"/>
      <c r="BV239" s="579"/>
      <c r="BW239" s="579"/>
      <c r="BX239" s="579"/>
      <c r="BY239" s="579"/>
      <c r="BZ239" s="579"/>
      <c r="CA239" s="579"/>
      <c r="CB239" s="579"/>
      <c r="CC239" s="578"/>
      <c r="CD239" s="578"/>
      <c r="CE239" s="578"/>
      <c r="CF239" s="578"/>
      <c r="CG239" s="578"/>
      <c r="CH239" s="578"/>
      <c r="CI239" s="578"/>
      <c r="CJ239" s="578"/>
      <c r="CK239" s="578"/>
      <c r="CL239" s="579"/>
      <c r="CM239" s="579"/>
      <c r="CN239" s="579"/>
      <c r="CO239" s="579"/>
      <c r="CP239" s="579"/>
      <c r="CQ239" s="579"/>
      <c r="CR239" s="579"/>
      <c r="CS239" s="579"/>
      <c r="CT239" s="579"/>
      <c r="CU239" s="578"/>
      <c r="CV239" s="578"/>
      <c r="CW239" s="578"/>
      <c r="CX239" s="578"/>
      <c r="CY239" s="578"/>
      <c r="CZ239" s="578"/>
      <c r="DA239" s="578"/>
      <c r="DB239" s="578"/>
      <c r="DC239" s="578"/>
    </row>
    <row r="240" spans="1:107">
      <c r="A240" s="1167" t="s">
        <v>1055</v>
      </c>
      <c r="B240" s="1167" t="s">
        <v>1054</v>
      </c>
      <c r="C240" s="1166" t="s">
        <v>1030</v>
      </c>
      <c r="D240" s="1166" t="s">
        <v>916</v>
      </c>
      <c r="E240" s="577">
        <v>0.9</v>
      </c>
      <c r="F240" s="574">
        <v>0.60340000000000005</v>
      </c>
      <c r="G240" s="576">
        <v>100</v>
      </c>
      <c r="H240" s="574">
        <v>3.1831791072986411</v>
      </c>
      <c r="I240" s="1164"/>
      <c r="J240" s="575">
        <v>1</v>
      </c>
      <c r="K240" s="574">
        <v>2.1341447481600002</v>
      </c>
      <c r="L240" s="574">
        <v>1.9207302733440001</v>
      </c>
      <c r="M240" s="1164"/>
      <c r="N240" s="1168"/>
      <c r="O240" s="1164"/>
      <c r="P240" s="1163" t="s">
        <v>881</v>
      </c>
      <c r="Q240" s="1164"/>
      <c r="R240" s="1164"/>
      <c r="S240" s="1164"/>
      <c r="T240" s="1164"/>
      <c r="U240" s="1163" t="s">
        <v>881</v>
      </c>
      <c r="V240" s="1164"/>
      <c r="W240" s="1164"/>
      <c r="X240" s="1164"/>
      <c r="Y240" s="1164"/>
      <c r="Z240" s="573">
        <v>0.9</v>
      </c>
      <c r="AA240" s="572">
        <v>0.9</v>
      </c>
      <c r="AB240" s="572">
        <v>0.9</v>
      </c>
      <c r="AC240" s="572">
        <v>0.9</v>
      </c>
      <c r="AD240" s="572">
        <v>0.9</v>
      </c>
      <c r="AE240" s="572">
        <v>0.9</v>
      </c>
      <c r="AF240" s="572">
        <v>0.9</v>
      </c>
      <c r="AG240" s="1164"/>
      <c r="AH240" s="1163">
        <v>145</v>
      </c>
      <c r="AI240" s="1162"/>
      <c r="AJ240" s="1163" t="s">
        <v>881</v>
      </c>
      <c r="AK240" s="1163" t="s">
        <v>881</v>
      </c>
      <c r="AL240" s="1163" t="s">
        <v>881</v>
      </c>
      <c r="AM240" s="1163" t="s">
        <v>881</v>
      </c>
      <c r="AN240" s="1163" t="s">
        <v>881</v>
      </c>
      <c r="AO240" s="1163" t="s">
        <v>881</v>
      </c>
      <c r="AP240" s="1163" t="s">
        <v>881</v>
      </c>
      <c r="AQ240" s="1163" t="s">
        <v>881</v>
      </c>
      <c r="AR240" s="1163" t="s">
        <v>881</v>
      </c>
      <c r="AS240" s="1170" t="s">
        <v>881</v>
      </c>
      <c r="AT240" s="1170" t="s">
        <v>881</v>
      </c>
      <c r="AU240" s="1170" t="s">
        <v>881</v>
      </c>
      <c r="AV240" s="1170" t="s">
        <v>881</v>
      </c>
      <c r="AW240" s="1170" t="s">
        <v>881</v>
      </c>
      <c r="AX240" s="1170" t="s">
        <v>881</v>
      </c>
      <c r="AY240" s="1170" t="s">
        <v>881</v>
      </c>
      <c r="AZ240" s="1170" t="s">
        <v>881</v>
      </c>
      <c r="BA240" s="1170" t="s">
        <v>881</v>
      </c>
      <c r="BB240" s="1163" t="s">
        <v>881</v>
      </c>
      <c r="BC240" s="1163" t="s">
        <v>881</v>
      </c>
      <c r="BD240" s="1163" t="s">
        <v>881</v>
      </c>
      <c r="BE240" s="1163" t="s">
        <v>881</v>
      </c>
      <c r="BF240" s="1163" t="s">
        <v>881</v>
      </c>
      <c r="BG240" s="1163" t="s">
        <v>881</v>
      </c>
      <c r="BH240" s="1163" t="s">
        <v>881</v>
      </c>
      <c r="BI240" s="1163" t="s">
        <v>881</v>
      </c>
      <c r="BJ240" s="1163" t="s">
        <v>881</v>
      </c>
      <c r="BK240" s="1170" t="s">
        <v>881</v>
      </c>
      <c r="BL240" s="1170" t="s">
        <v>881</v>
      </c>
      <c r="BM240" s="1170" t="s">
        <v>881</v>
      </c>
      <c r="BN240" s="1170" t="s">
        <v>881</v>
      </c>
      <c r="BO240" s="1170" t="s">
        <v>881</v>
      </c>
      <c r="BP240" s="1170" t="s">
        <v>881</v>
      </c>
      <c r="BQ240" s="1170" t="s">
        <v>881</v>
      </c>
      <c r="BR240" s="1170" t="s">
        <v>881</v>
      </c>
      <c r="BS240" s="1170" t="s">
        <v>881</v>
      </c>
      <c r="BT240" s="579"/>
      <c r="BU240" s="579"/>
      <c r="BV240" s="579"/>
      <c r="BW240" s="579"/>
      <c r="BX240" s="579"/>
      <c r="BY240" s="579"/>
      <c r="BZ240" s="579"/>
      <c r="CA240" s="579"/>
      <c r="CB240" s="579"/>
      <c r="CC240" s="578"/>
      <c r="CD240" s="578"/>
      <c r="CE240" s="578"/>
      <c r="CF240" s="578"/>
      <c r="CG240" s="578"/>
      <c r="CH240" s="578"/>
      <c r="CI240" s="578"/>
      <c r="CJ240" s="578"/>
      <c r="CK240" s="578"/>
      <c r="CL240" s="579"/>
      <c r="CM240" s="579"/>
      <c r="CN240" s="579"/>
      <c r="CO240" s="579"/>
      <c r="CP240" s="579"/>
      <c r="CQ240" s="579"/>
      <c r="CR240" s="579"/>
      <c r="CS240" s="579"/>
      <c r="CT240" s="579"/>
      <c r="CU240" s="578"/>
      <c r="CV240" s="578"/>
      <c r="CW240" s="578"/>
      <c r="CX240" s="578"/>
      <c r="CY240" s="578"/>
      <c r="CZ240" s="578"/>
      <c r="DA240" s="578"/>
      <c r="DB240" s="578"/>
      <c r="DC240" s="578"/>
    </row>
    <row r="241" spans="1:107">
      <c r="A241" s="1167" t="s">
        <v>1053</v>
      </c>
      <c r="B241" s="1167" t="s">
        <v>1052</v>
      </c>
      <c r="C241" s="1166" t="s">
        <v>1030</v>
      </c>
      <c r="D241" s="1166" t="s">
        <v>915</v>
      </c>
      <c r="E241" s="577">
        <v>0.8</v>
      </c>
      <c r="F241" s="574">
        <v>0.60940000000000005</v>
      </c>
      <c r="G241" s="576">
        <v>100</v>
      </c>
      <c r="H241" s="574">
        <v>4.2898990377420416</v>
      </c>
      <c r="I241" s="1164"/>
      <c r="J241" s="575">
        <v>1</v>
      </c>
      <c r="K241" s="574">
        <v>3.2678305920000006</v>
      </c>
      <c r="L241" s="574">
        <v>2.6142644736000005</v>
      </c>
      <c r="M241" s="1164"/>
      <c r="N241" s="1168"/>
      <c r="O241" s="1164"/>
      <c r="P241" s="1163" t="s">
        <v>881</v>
      </c>
      <c r="Q241" s="1164"/>
      <c r="R241" s="1164"/>
      <c r="S241" s="1164"/>
      <c r="T241" s="1164"/>
      <c r="U241" s="1163" t="s">
        <v>881</v>
      </c>
      <c r="V241" s="1164"/>
      <c r="W241" s="1164"/>
      <c r="X241" s="1164"/>
      <c r="Y241" s="1164"/>
      <c r="Z241" s="573">
        <v>0.8</v>
      </c>
      <c r="AA241" s="572">
        <v>0.8</v>
      </c>
      <c r="AB241" s="572">
        <v>0.8</v>
      </c>
      <c r="AC241" s="572">
        <v>0.8</v>
      </c>
      <c r="AD241" s="572">
        <v>0.8</v>
      </c>
      <c r="AE241" s="572">
        <v>0.8</v>
      </c>
      <c r="AF241" s="572">
        <v>0.8</v>
      </c>
      <c r="AG241" s="1164"/>
      <c r="AH241" s="1163">
        <v>146</v>
      </c>
      <c r="AI241" s="1162"/>
      <c r="AJ241" s="1163" t="s">
        <v>881</v>
      </c>
      <c r="AK241" s="1163" t="s">
        <v>881</v>
      </c>
      <c r="AL241" s="1163" t="s">
        <v>881</v>
      </c>
      <c r="AM241" s="1163" t="s">
        <v>881</v>
      </c>
      <c r="AN241" s="1163" t="s">
        <v>881</v>
      </c>
      <c r="AO241" s="1163" t="s">
        <v>881</v>
      </c>
      <c r="AP241" s="1163" t="s">
        <v>881</v>
      </c>
      <c r="AQ241" s="1163" t="s">
        <v>881</v>
      </c>
      <c r="AR241" s="1163" t="s">
        <v>881</v>
      </c>
      <c r="AS241" s="1170" t="s">
        <v>881</v>
      </c>
      <c r="AT241" s="1170" t="s">
        <v>881</v>
      </c>
      <c r="AU241" s="1170" t="s">
        <v>881</v>
      </c>
      <c r="AV241" s="1170" t="s">
        <v>881</v>
      </c>
      <c r="AW241" s="1170" t="s">
        <v>881</v>
      </c>
      <c r="AX241" s="1170" t="s">
        <v>881</v>
      </c>
      <c r="AY241" s="1170" t="s">
        <v>881</v>
      </c>
      <c r="AZ241" s="1170" t="s">
        <v>881</v>
      </c>
      <c r="BA241" s="1170" t="s">
        <v>881</v>
      </c>
      <c r="BB241" s="1163" t="s">
        <v>881</v>
      </c>
      <c r="BC241" s="1163" t="s">
        <v>881</v>
      </c>
      <c r="BD241" s="1163" t="s">
        <v>881</v>
      </c>
      <c r="BE241" s="1163" t="s">
        <v>881</v>
      </c>
      <c r="BF241" s="1163" t="s">
        <v>881</v>
      </c>
      <c r="BG241" s="1163" t="s">
        <v>881</v>
      </c>
      <c r="BH241" s="1163" t="s">
        <v>881</v>
      </c>
      <c r="BI241" s="1163" t="s">
        <v>881</v>
      </c>
      <c r="BJ241" s="1163" t="s">
        <v>881</v>
      </c>
      <c r="BK241" s="1170" t="s">
        <v>881</v>
      </c>
      <c r="BL241" s="1170" t="s">
        <v>881</v>
      </c>
      <c r="BM241" s="1170" t="s">
        <v>881</v>
      </c>
      <c r="BN241" s="1170" t="s">
        <v>881</v>
      </c>
      <c r="BO241" s="1170" t="s">
        <v>881</v>
      </c>
      <c r="BP241" s="1170" t="s">
        <v>881</v>
      </c>
      <c r="BQ241" s="1170" t="s">
        <v>881</v>
      </c>
      <c r="BR241" s="1170" t="s">
        <v>881</v>
      </c>
      <c r="BS241" s="1170" t="s">
        <v>881</v>
      </c>
      <c r="BT241" s="579"/>
      <c r="BU241" s="579"/>
      <c r="BV241" s="579"/>
      <c r="BW241" s="579"/>
      <c r="BX241" s="579"/>
      <c r="BY241" s="579"/>
      <c r="BZ241" s="579"/>
      <c r="CA241" s="579"/>
      <c r="CB241" s="579"/>
      <c r="CC241" s="578"/>
      <c r="CD241" s="578"/>
      <c r="CE241" s="578"/>
      <c r="CF241" s="578"/>
      <c r="CG241" s="578"/>
      <c r="CH241" s="578"/>
      <c r="CI241" s="578"/>
      <c r="CJ241" s="578"/>
      <c r="CK241" s="578"/>
      <c r="CL241" s="579"/>
      <c r="CM241" s="579"/>
      <c r="CN241" s="579"/>
      <c r="CO241" s="579"/>
      <c r="CP241" s="579"/>
      <c r="CQ241" s="579"/>
      <c r="CR241" s="579"/>
      <c r="CS241" s="579"/>
      <c r="CT241" s="579"/>
      <c r="CU241" s="578"/>
      <c r="CV241" s="578"/>
      <c r="CW241" s="578"/>
      <c r="CX241" s="578"/>
      <c r="CY241" s="578"/>
      <c r="CZ241" s="578"/>
      <c r="DA241" s="578"/>
      <c r="DB241" s="578"/>
      <c r="DC241" s="578"/>
    </row>
    <row r="242" spans="1:107">
      <c r="A242" s="1167" t="s">
        <v>1051</v>
      </c>
      <c r="B242" s="1167" t="s">
        <v>1050</v>
      </c>
      <c r="C242" s="1166" t="s">
        <v>1030</v>
      </c>
      <c r="D242" s="1166" t="s">
        <v>914</v>
      </c>
      <c r="E242" s="577">
        <v>0.8</v>
      </c>
      <c r="F242" s="574">
        <v>0.65390000000000004</v>
      </c>
      <c r="G242" s="576">
        <v>100</v>
      </c>
      <c r="H242" s="574">
        <v>1.7022073313228325</v>
      </c>
      <c r="I242" s="1164"/>
      <c r="J242" s="575">
        <v>1</v>
      </c>
      <c r="K242" s="574">
        <v>1.3913417174400002</v>
      </c>
      <c r="L242" s="574">
        <v>1.1130733739520002</v>
      </c>
      <c r="M242" s="1164"/>
      <c r="N242" s="1168"/>
      <c r="O242" s="1164"/>
      <c r="P242" s="1163" t="s">
        <v>881</v>
      </c>
      <c r="Q242" s="1164"/>
      <c r="R242" s="1164"/>
      <c r="S242" s="1164"/>
      <c r="T242" s="1164"/>
      <c r="U242" s="1163" t="s">
        <v>881</v>
      </c>
      <c r="V242" s="1164"/>
      <c r="W242" s="1164"/>
      <c r="X242" s="1164"/>
      <c r="Y242" s="1164"/>
      <c r="Z242" s="573">
        <v>0.8</v>
      </c>
      <c r="AA242" s="572">
        <v>0.8</v>
      </c>
      <c r="AB242" s="572">
        <v>0.8</v>
      </c>
      <c r="AC242" s="572">
        <v>0.8</v>
      </c>
      <c r="AD242" s="572">
        <v>0.8</v>
      </c>
      <c r="AE242" s="572">
        <v>0.8</v>
      </c>
      <c r="AF242" s="572">
        <v>0.8</v>
      </c>
      <c r="AG242" s="1164"/>
      <c r="AH242" s="1163">
        <v>147</v>
      </c>
      <c r="AI242" s="1162"/>
      <c r="AJ242" s="1163" t="s">
        <v>881</v>
      </c>
      <c r="AK242" s="1163" t="s">
        <v>881</v>
      </c>
      <c r="AL242" s="1163" t="s">
        <v>881</v>
      </c>
      <c r="AM242" s="1163" t="s">
        <v>881</v>
      </c>
      <c r="AN242" s="1163" t="s">
        <v>881</v>
      </c>
      <c r="AO242" s="1163" t="s">
        <v>881</v>
      </c>
      <c r="AP242" s="1163" t="s">
        <v>881</v>
      </c>
      <c r="AQ242" s="1163" t="s">
        <v>881</v>
      </c>
      <c r="AR242" s="1163" t="s">
        <v>881</v>
      </c>
      <c r="AS242" s="1170" t="s">
        <v>881</v>
      </c>
      <c r="AT242" s="1170" t="s">
        <v>881</v>
      </c>
      <c r="AU242" s="1170" t="s">
        <v>881</v>
      </c>
      <c r="AV242" s="1170" t="s">
        <v>881</v>
      </c>
      <c r="AW242" s="1170" t="s">
        <v>881</v>
      </c>
      <c r="AX242" s="1170" t="s">
        <v>881</v>
      </c>
      <c r="AY242" s="1170" t="s">
        <v>881</v>
      </c>
      <c r="AZ242" s="1170" t="s">
        <v>881</v>
      </c>
      <c r="BA242" s="1170" t="s">
        <v>881</v>
      </c>
      <c r="BB242" s="1163" t="s">
        <v>881</v>
      </c>
      <c r="BC242" s="1163" t="s">
        <v>881</v>
      </c>
      <c r="BD242" s="1163" t="s">
        <v>881</v>
      </c>
      <c r="BE242" s="1163" t="s">
        <v>881</v>
      </c>
      <c r="BF242" s="1163" t="s">
        <v>881</v>
      </c>
      <c r="BG242" s="1163" t="s">
        <v>881</v>
      </c>
      <c r="BH242" s="1163" t="s">
        <v>881</v>
      </c>
      <c r="BI242" s="1163" t="s">
        <v>881</v>
      </c>
      <c r="BJ242" s="1163" t="s">
        <v>881</v>
      </c>
      <c r="BK242" s="1170" t="s">
        <v>881</v>
      </c>
      <c r="BL242" s="1170" t="s">
        <v>881</v>
      </c>
      <c r="BM242" s="1170" t="s">
        <v>881</v>
      </c>
      <c r="BN242" s="1170" t="s">
        <v>881</v>
      </c>
      <c r="BO242" s="1170" t="s">
        <v>881</v>
      </c>
      <c r="BP242" s="1170" t="s">
        <v>881</v>
      </c>
      <c r="BQ242" s="1170" t="s">
        <v>881</v>
      </c>
      <c r="BR242" s="1170" t="s">
        <v>881</v>
      </c>
      <c r="BS242" s="1170" t="s">
        <v>881</v>
      </c>
      <c r="BT242" s="579"/>
      <c r="BU242" s="579"/>
      <c r="BV242" s="579"/>
      <c r="BW242" s="579"/>
      <c r="BX242" s="579"/>
      <c r="BY242" s="579"/>
      <c r="BZ242" s="579"/>
      <c r="CA242" s="579"/>
      <c r="CB242" s="579"/>
      <c r="CC242" s="578"/>
      <c r="CD242" s="578"/>
      <c r="CE242" s="578"/>
      <c r="CF242" s="578"/>
      <c r="CG242" s="578"/>
      <c r="CH242" s="578"/>
      <c r="CI242" s="578"/>
      <c r="CJ242" s="578"/>
      <c r="CK242" s="578"/>
      <c r="CL242" s="579"/>
      <c r="CM242" s="579"/>
      <c r="CN242" s="579"/>
      <c r="CO242" s="579"/>
      <c r="CP242" s="579"/>
      <c r="CQ242" s="579"/>
      <c r="CR242" s="579"/>
      <c r="CS242" s="579"/>
      <c r="CT242" s="579"/>
      <c r="CU242" s="578"/>
      <c r="CV242" s="578"/>
      <c r="CW242" s="578"/>
      <c r="CX242" s="578"/>
      <c r="CY242" s="578"/>
      <c r="CZ242" s="578"/>
      <c r="DA242" s="578"/>
      <c r="DB242" s="578"/>
      <c r="DC242" s="578"/>
    </row>
    <row r="243" spans="1:107">
      <c r="A243" s="1167" t="s">
        <v>1049</v>
      </c>
      <c r="B243" s="1167" t="s">
        <v>1048</v>
      </c>
      <c r="C243" s="1166" t="s">
        <v>1030</v>
      </c>
      <c r="D243" s="1166" t="s">
        <v>913</v>
      </c>
      <c r="E243" s="577">
        <v>0.8</v>
      </c>
      <c r="F243" s="574">
        <v>0.5323</v>
      </c>
      <c r="G243" s="576">
        <v>100</v>
      </c>
      <c r="H243" s="574">
        <v>13.934004332402035</v>
      </c>
      <c r="I243" s="1164"/>
      <c r="J243" s="575">
        <v>1</v>
      </c>
      <c r="K243" s="574">
        <v>9.2713381326720032</v>
      </c>
      <c r="L243" s="574">
        <v>7.4170705061376028</v>
      </c>
      <c r="M243" s="1164"/>
      <c r="N243" s="1168"/>
      <c r="O243" s="1164"/>
      <c r="P243" s="1163" t="s">
        <v>881</v>
      </c>
      <c r="Q243" s="1164"/>
      <c r="R243" s="1164"/>
      <c r="S243" s="1164"/>
      <c r="T243" s="1164"/>
      <c r="U243" s="1163" t="s">
        <v>881</v>
      </c>
      <c r="V243" s="1164"/>
      <c r="W243" s="1164"/>
      <c r="X243" s="1164"/>
      <c r="Y243" s="1164"/>
      <c r="Z243" s="573">
        <v>0.8</v>
      </c>
      <c r="AA243" s="572">
        <v>0.8</v>
      </c>
      <c r="AB243" s="572">
        <v>0.8</v>
      </c>
      <c r="AC243" s="572">
        <v>0.8</v>
      </c>
      <c r="AD243" s="572">
        <v>0.8</v>
      </c>
      <c r="AE243" s="572">
        <v>0.8</v>
      </c>
      <c r="AF243" s="572">
        <v>0.8</v>
      </c>
      <c r="AG243" s="1164"/>
      <c r="AH243" s="1163">
        <v>148</v>
      </c>
      <c r="AI243" s="1162"/>
      <c r="AJ243" s="1163" t="s">
        <v>881</v>
      </c>
      <c r="AK243" s="1163" t="s">
        <v>881</v>
      </c>
      <c r="AL243" s="1163" t="s">
        <v>881</v>
      </c>
      <c r="AM243" s="1163" t="s">
        <v>881</v>
      </c>
      <c r="AN243" s="1163" t="s">
        <v>881</v>
      </c>
      <c r="AO243" s="1163" t="s">
        <v>881</v>
      </c>
      <c r="AP243" s="1163" t="s">
        <v>881</v>
      </c>
      <c r="AQ243" s="1163" t="s">
        <v>881</v>
      </c>
      <c r="AR243" s="1163" t="s">
        <v>881</v>
      </c>
      <c r="AS243" s="1170" t="s">
        <v>881</v>
      </c>
      <c r="AT243" s="1170" t="s">
        <v>881</v>
      </c>
      <c r="AU243" s="1170" t="s">
        <v>881</v>
      </c>
      <c r="AV243" s="1170" t="s">
        <v>881</v>
      </c>
      <c r="AW243" s="1170" t="s">
        <v>881</v>
      </c>
      <c r="AX243" s="1170" t="s">
        <v>881</v>
      </c>
      <c r="AY243" s="1170" t="s">
        <v>881</v>
      </c>
      <c r="AZ243" s="1170" t="s">
        <v>881</v>
      </c>
      <c r="BA243" s="1170" t="s">
        <v>881</v>
      </c>
      <c r="BB243" s="1163" t="s">
        <v>881</v>
      </c>
      <c r="BC243" s="1163" t="s">
        <v>881</v>
      </c>
      <c r="BD243" s="1163" t="s">
        <v>881</v>
      </c>
      <c r="BE243" s="1163" t="s">
        <v>881</v>
      </c>
      <c r="BF243" s="1163" t="s">
        <v>881</v>
      </c>
      <c r="BG243" s="1163" t="s">
        <v>881</v>
      </c>
      <c r="BH243" s="1163" t="s">
        <v>881</v>
      </c>
      <c r="BI243" s="1163" t="s">
        <v>881</v>
      </c>
      <c r="BJ243" s="1163" t="s">
        <v>881</v>
      </c>
      <c r="BK243" s="1170" t="s">
        <v>881</v>
      </c>
      <c r="BL243" s="1170" t="s">
        <v>881</v>
      </c>
      <c r="BM243" s="1170" t="s">
        <v>881</v>
      </c>
      <c r="BN243" s="1170" t="s">
        <v>881</v>
      </c>
      <c r="BO243" s="1170" t="s">
        <v>881</v>
      </c>
      <c r="BP243" s="1170" t="s">
        <v>881</v>
      </c>
      <c r="BQ243" s="1170" t="s">
        <v>881</v>
      </c>
      <c r="BR243" s="1170" t="s">
        <v>881</v>
      </c>
      <c r="BS243" s="1170" t="s">
        <v>881</v>
      </c>
      <c r="BT243" s="579"/>
      <c r="BU243" s="579"/>
      <c r="BV243" s="579"/>
      <c r="BW243" s="579"/>
      <c r="BX243" s="579"/>
      <c r="BY243" s="579"/>
      <c r="BZ243" s="579"/>
      <c r="CA243" s="579"/>
      <c r="CB243" s="579"/>
      <c r="CC243" s="578"/>
      <c r="CD243" s="578"/>
      <c r="CE243" s="578"/>
      <c r="CF243" s="578"/>
      <c r="CG243" s="578"/>
      <c r="CH243" s="578"/>
      <c r="CI243" s="578"/>
      <c r="CJ243" s="578"/>
      <c r="CK243" s="578"/>
      <c r="CL243" s="579"/>
      <c r="CM243" s="579"/>
      <c r="CN243" s="579"/>
      <c r="CO243" s="579"/>
      <c r="CP243" s="579"/>
      <c r="CQ243" s="579"/>
      <c r="CR243" s="579"/>
      <c r="CS243" s="579"/>
      <c r="CT243" s="579"/>
      <c r="CU243" s="578"/>
      <c r="CV243" s="578"/>
      <c r="CW243" s="578"/>
      <c r="CX243" s="578"/>
      <c r="CY243" s="578"/>
      <c r="CZ243" s="578"/>
      <c r="DA243" s="578"/>
      <c r="DB243" s="578"/>
      <c r="DC243" s="578"/>
    </row>
    <row r="244" spans="1:107">
      <c r="A244" s="1167" t="s">
        <v>1047</v>
      </c>
      <c r="B244" s="1167" t="s">
        <v>1046</v>
      </c>
      <c r="C244" s="1166" t="s">
        <v>1030</v>
      </c>
      <c r="D244" s="1166" t="s">
        <v>912</v>
      </c>
      <c r="E244" s="577">
        <v>0.76</v>
      </c>
      <c r="F244" s="574">
        <v>0.6845</v>
      </c>
      <c r="G244" s="576">
        <v>100</v>
      </c>
      <c r="H244" s="574">
        <v>0.36338525902071594</v>
      </c>
      <c r="I244" s="1164"/>
      <c r="J244" s="575">
        <v>1</v>
      </c>
      <c r="K244" s="574">
        <v>0.32728580236800009</v>
      </c>
      <c r="L244" s="574">
        <v>0.24873720979968006</v>
      </c>
      <c r="M244" s="1164"/>
      <c r="N244" s="1168"/>
      <c r="O244" s="1164"/>
      <c r="P244" s="1163" t="s">
        <v>881</v>
      </c>
      <c r="Q244" s="1164"/>
      <c r="R244" s="1164"/>
      <c r="S244" s="1164"/>
      <c r="T244" s="1164"/>
      <c r="U244" s="1163" t="s">
        <v>881</v>
      </c>
      <c r="V244" s="1164"/>
      <c r="W244" s="1164"/>
      <c r="X244" s="1164"/>
      <c r="Y244" s="1164"/>
      <c r="Z244" s="573">
        <v>0.76</v>
      </c>
      <c r="AA244" s="572">
        <v>0.76</v>
      </c>
      <c r="AB244" s="572">
        <v>0.76</v>
      </c>
      <c r="AC244" s="572">
        <v>0.76</v>
      </c>
      <c r="AD244" s="572">
        <v>0.76</v>
      </c>
      <c r="AE244" s="572">
        <v>0.76</v>
      </c>
      <c r="AF244" s="572">
        <v>0.76</v>
      </c>
      <c r="AG244" s="1164"/>
      <c r="AH244" s="1163">
        <v>149</v>
      </c>
      <c r="AI244" s="1162"/>
      <c r="AJ244" s="1163" t="s">
        <v>881</v>
      </c>
      <c r="AK244" s="1163" t="s">
        <v>881</v>
      </c>
      <c r="AL244" s="1163" t="s">
        <v>881</v>
      </c>
      <c r="AM244" s="1163" t="s">
        <v>881</v>
      </c>
      <c r="AN244" s="1163" t="s">
        <v>881</v>
      </c>
      <c r="AO244" s="1163" t="s">
        <v>881</v>
      </c>
      <c r="AP244" s="1163" t="s">
        <v>881</v>
      </c>
      <c r="AQ244" s="1163" t="s">
        <v>881</v>
      </c>
      <c r="AR244" s="1163" t="s">
        <v>881</v>
      </c>
      <c r="AS244" s="1170" t="s">
        <v>881</v>
      </c>
      <c r="AT244" s="1170" t="s">
        <v>881</v>
      </c>
      <c r="AU244" s="1170" t="s">
        <v>881</v>
      </c>
      <c r="AV244" s="1170" t="s">
        <v>881</v>
      </c>
      <c r="AW244" s="1170" t="s">
        <v>881</v>
      </c>
      <c r="AX244" s="1170" t="s">
        <v>881</v>
      </c>
      <c r="AY244" s="1170" t="s">
        <v>881</v>
      </c>
      <c r="AZ244" s="1170" t="s">
        <v>881</v>
      </c>
      <c r="BA244" s="1170" t="s">
        <v>881</v>
      </c>
      <c r="BB244" s="1163" t="s">
        <v>881</v>
      </c>
      <c r="BC244" s="1163" t="s">
        <v>881</v>
      </c>
      <c r="BD244" s="1163" t="s">
        <v>881</v>
      </c>
      <c r="BE244" s="1163" t="s">
        <v>881</v>
      </c>
      <c r="BF244" s="1163" t="s">
        <v>881</v>
      </c>
      <c r="BG244" s="1163" t="s">
        <v>881</v>
      </c>
      <c r="BH244" s="1163" t="s">
        <v>881</v>
      </c>
      <c r="BI244" s="1163" t="s">
        <v>881</v>
      </c>
      <c r="BJ244" s="1163" t="s">
        <v>881</v>
      </c>
      <c r="BK244" s="1170" t="s">
        <v>881</v>
      </c>
      <c r="BL244" s="1170" t="s">
        <v>881</v>
      </c>
      <c r="BM244" s="1170" t="s">
        <v>881</v>
      </c>
      <c r="BN244" s="1170" t="s">
        <v>881</v>
      </c>
      <c r="BO244" s="1170" t="s">
        <v>881</v>
      </c>
      <c r="BP244" s="1170" t="s">
        <v>881</v>
      </c>
      <c r="BQ244" s="1170" t="s">
        <v>881</v>
      </c>
      <c r="BR244" s="1170" t="s">
        <v>881</v>
      </c>
      <c r="BS244" s="1170" t="s">
        <v>881</v>
      </c>
      <c r="BT244" s="579"/>
      <c r="BU244" s="579"/>
      <c r="BV244" s="579"/>
      <c r="BW244" s="579"/>
      <c r="BX244" s="579"/>
      <c r="BY244" s="579"/>
      <c r="BZ244" s="579"/>
      <c r="CA244" s="579"/>
      <c r="CB244" s="579"/>
      <c r="CC244" s="578"/>
      <c r="CD244" s="578"/>
      <c r="CE244" s="578"/>
      <c r="CF244" s="578"/>
      <c r="CG244" s="578"/>
      <c r="CH244" s="578"/>
      <c r="CI244" s="578"/>
      <c r="CJ244" s="578"/>
      <c r="CK244" s="578"/>
      <c r="CL244" s="579"/>
      <c r="CM244" s="579"/>
      <c r="CN244" s="579"/>
      <c r="CO244" s="579"/>
      <c r="CP244" s="579"/>
      <c r="CQ244" s="579"/>
      <c r="CR244" s="579"/>
      <c r="CS244" s="579"/>
      <c r="CT244" s="579"/>
      <c r="CU244" s="578"/>
      <c r="CV244" s="578"/>
      <c r="CW244" s="578"/>
      <c r="CX244" s="578"/>
      <c r="CY244" s="578"/>
      <c r="CZ244" s="578"/>
      <c r="DA244" s="578"/>
      <c r="DB244" s="578"/>
      <c r="DC244" s="578"/>
    </row>
    <row r="245" spans="1:107">
      <c r="A245" s="1167" t="s">
        <v>1045</v>
      </c>
      <c r="B245" s="1167"/>
      <c r="C245" s="1166"/>
      <c r="D245" s="1166" t="s">
        <v>124</v>
      </c>
      <c r="E245" s="577"/>
      <c r="F245" s="574">
        <v>0</v>
      </c>
      <c r="G245" s="576"/>
      <c r="H245" s="574"/>
      <c r="I245" s="1164"/>
      <c r="J245" s="575"/>
      <c r="K245" s="574"/>
      <c r="L245" s="574"/>
      <c r="M245" s="1164"/>
      <c r="N245" s="1168"/>
      <c r="O245" s="1164"/>
      <c r="P245" s="1163" t="s">
        <v>881</v>
      </c>
      <c r="Q245" s="1164"/>
      <c r="R245" s="1164"/>
      <c r="S245" s="1164"/>
      <c r="T245" s="1164"/>
      <c r="U245" s="1163" t="s">
        <v>881</v>
      </c>
      <c r="V245" s="1164"/>
      <c r="W245" s="1164"/>
      <c r="X245" s="1164"/>
      <c r="Y245" s="1164"/>
      <c r="Z245" s="1163" t="s">
        <v>881</v>
      </c>
      <c r="AA245" s="1164"/>
      <c r="AB245" s="1164"/>
      <c r="AC245" s="1164"/>
      <c r="AD245" s="1164"/>
      <c r="AE245" s="1164"/>
      <c r="AF245" s="1164"/>
      <c r="AG245" s="1164"/>
      <c r="AH245" s="1163">
        <v>150</v>
      </c>
      <c r="AI245" s="1162" t="str">
        <f>MID(D245,2,2)</f>
        <v/>
      </c>
      <c r="AJ245" s="1163" t="s">
        <v>881</v>
      </c>
      <c r="AK245" s="1163" t="s">
        <v>881</v>
      </c>
      <c r="AL245" s="1163" t="s">
        <v>881</v>
      </c>
      <c r="AM245" s="1163" t="s">
        <v>881</v>
      </c>
      <c r="AN245" s="1163" t="s">
        <v>881</v>
      </c>
      <c r="AO245" s="1163" t="s">
        <v>881</v>
      </c>
      <c r="AP245" s="1163" t="s">
        <v>881</v>
      </c>
      <c r="AQ245" s="1163" t="s">
        <v>881</v>
      </c>
      <c r="AR245" s="1163" t="s">
        <v>881</v>
      </c>
      <c r="AS245" s="1170" t="s">
        <v>881</v>
      </c>
      <c r="AT245" s="1170" t="s">
        <v>881</v>
      </c>
      <c r="AU245" s="1170" t="s">
        <v>881</v>
      </c>
      <c r="AV245" s="1170" t="s">
        <v>881</v>
      </c>
      <c r="AW245" s="1170" t="s">
        <v>881</v>
      </c>
      <c r="AX245" s="1170" t="s">
        <v>881</v>
      </c>
      <c r="AY245" s="1170" t="s">
        <v>881</v>
      </c>
      <c r="AZ245" s="1170" t="s">
        <v>881</v>
      </c>
      <c r="BA245" s="1170" t="s">
        <v>881</v>
      </c>
      <c r="BB245" s="1163" t="s">
        <v>881</v>
      </c>
      <c r="BC245" s="1163" t="s">
        <v>881</v>
      </c>
      <c r="BD245" s="1163" t="s">
        <v>881</v>
      </c>
      <c r="BE245" s="1163" t="s">
        <v>881</v>
      </c>
      <c r="BF245" s="1163" t="s">
        <v>881</v>
      </c>
      <c r="BG245" s="1163" t="s">
        <v>881</v>
      </c>
      <c r="BH245" s="1163" t="s">
        <v>881</v>
      </c>
      <c r="BI245" s="1163" t="s">
        <v>881</v>
      </c>
      <c r="BJ245" s="1163" t="s">
        <v>881</v>
      </c>
      <c r="BK245" s="1170" t="s">
        <v>881</v>
      </c>
      <c r="BL245" s="1170" t="s">
        <v>881</v>
      </c>
      <c r="BM245" s="1170" t="s">
        <v>881</v>
      </c>
      <c r="BN245" s="1170" t="s">
        <v>881</v>
      </c>
      <c r="BO245" s="1170" t="s">
        <v>881</v>
      </c>
      <c r="BP245" s="1170" t="s">
        <v>881</v>
      </c>
      <c r="BQ245" s="1170" t="s">
        <v>881</v>
      </c>
      <c r="BR245" s="1170" t="s">
        <v>881</v>
      </c>
      <c r="BS245" s="1170" t="s">
        <v>881</v>
      </c>
      <c r="BT245" s="587"/>
      <c r="BU245" s="587"/>
      <c r="BV245" s="587"/>
      <c r="BW245" s="587"/>
      <c r="BX245" s="587"/>
      <c r="BY245" s="587"/>
      <c r="BZ245" s="587"/>
      <c r="CA245" s="587"/>
      <c r="CB245" s="587"/>
      <c r="CC245" s="578"/>
      <c r="CD245" s="578"/>
      <c r="CE245" s="578"/>
      <c r="CF245" s="578"/>
      <c r="CG245" s="578"/>
      <c r="CH245" s="578"/>
      <c r="CI245" s="578"/>
      <c r="CJ245" s="578"/>
      <c r="CK245" s="578"/>
      <c r="CL245" s="587"/>
      <c r="CM245" s="587"/>
      <c r="CN245" s="587"/>
      <c r="CO245" s="587"/>
      <c r="CP245" s="587"/>
      <c r="CQ245" s="587"/>
      <c r="CR245" s="587"/>
      <c r="CS245" s="587"/>
      <c r="CT245" s="587"/>
      <c r="CU245" s="586"/>
      <c r="CV245" s="586"/>
      <c r="CW245" s="586"/>
      <c r="CX245" s="586"/>
      <c r="CY245" s="586"/>
      <c r="CZ245" s="586"/>
      <c r="DA245" s="586"/>
      <c r="DB245" s="586"/>
      <c r="DC245" s="586"/>
    </row>
    <row r="246" spans="1:107">
      <c r="A246" s="1167" t="s">
        <v>1044</v>
      </c>
      <c r="B246" s="1167" t="s">
        <v>1043</v>
      </c>
      <c r="C246" s="1166" t="s">
        <v>1042</v>
      </c>
      <c r="D246" s="1166" t="s">
        <v>911</v>
      </c>
      <c r="E246" s="577">
        <v>0.64</v>
      </c>
      <c r="F246" s="574">
        <v>0.56299999999999994</v>
      </c>
      <c r="G246" s="576">
        <v>100</v>
      </c>
      <c r="H246" s="574">
        <v>175.58543577958295</v>
      </c>
      <c r="I246" s="1164"/>
      <c r="J246" s="575">
        <v>1</v>
      </c>
      <c r="K246" s="574">
        <v>154.46031303735185</v>
      </c>
      <c r="L246" s="574">
        <v>98.85460034390519</v>
      </c>
      <c r="M246" s="1164"/>
      <c r="N246" s="1168"/>
      <c r="O246" s="1164"/>
      <c r="P246" s="1160">
        <v>0.93982815966586464</v>
      </c>
      <c r="Q246" s="572">
        <v>0.98982815966586468</v>
      </c>
      <c r="R246" s="572">
        <v>1</v>
      </c>
      <c r="S246" s="572">
        <v>1</v>
      </c>
      <c r="T246" s="1164"/>
      <c r="U246" s="573">
        <v>0.93982815966586464</v>
      </c>
      <c r="V246" s="572">
        <v>0.56389689579951874</v>
      </c>
      <c r="W246" s="572">
        <v>0.3759312638663459</v>
      </c>
      <c r="X246" s="572">
        <v>0.18796563193317295</v>
      </c>
      <c r="Y246" s="1164"/>
      <c r="Z246" s="573">
        <v>0.64</v>
      </c>
      <c r="AA246" s="572">
        <v>0.64</v>
      </c>
      <c r="AB246" s="572">
        <v>0.64</v>
      </c>
      <c r="AC246" s="572">
        <v>0.64</v>
      </c>
      <c r="AD246" s="572">
        <v>0.64</v>
      </c>
      <c r="AE246" s="572">
        <v>0.64</v>
      </c>
      <c r="AF246" s="572">
        <v>0.64</v>
      </c>
      <c r="AG246" s="1164"/>
      <c r="AH246" s="1163">
        <v>151</v>
      </c>
      <c r="AI246" s="1162" t="str">
        <f t="shared" ref="AI246:AI252" si="30">MID(D246,2,3)&amp;RIGHT(C246,3)</f>
        <v>OTSCOA</v>
      </c>
      <c r="AJ246" s="1160">
        <f t="shared" ref="AJ246:AR246" si="31">MAX(0,1-SUM(AJ247:AJ251))</f>
        <v>0.93801188576263239</v>
      </c>
      <c r="AK246" s="1160">
        <f t="shared" si="31"/>
        <v>0.93801188576263239</v>
      </c>
      <c r="AL246" s="1160">
        <f t="shared" si="31"/>
        <v>0.93801188576263239</v>
      </c>
      <c r="AM246" s="1160">
        <f t="shared" si="31"/>
        <v>0.93801188576263239</v>
      </c>
      <c r="AN246" s="1160">
        <f t="shared" si="31"/>
        <v>0.93801188576263239</v>
      </c>
      <c r="AO246" s="1160">
        <f t="shared" si="31"/>
        <v>0.93801188576263239</v>
      </c>
      <c r="AP246" s="1160">
        <f t="shared" si="31"/>
        <v>0.93801188576263239</v>
      </c>
      <c r="AQ246" s="1160">
        <f t="shared" si="31"/>
        <v>0.93801188576263239</v>
      </c>
      <c r="AR246" s="1160">
        <f t="shared" si="31"/>
        <v>0.93801188576263239</v>
      </c>
      <c r="AS246" s="1159">
        <v>0.93801188576263239</v>
      </c>
      <c r="AT246" s="1159">
        <v>0.93801188576263239</v>
      </c>
      <c r="AU246" s="1159">
        <v>0.93801188576263239</v>
      </c>
      <c r="AV246" s="1159">
        <v>0.93801188576263239</v>
      </c>
      <c r="AW246" s="1159">
        <v>0.93801188576263239</v>
      </c>
      <c r="AX246" s="1159">
        <v>0.93801188576263239</v>
      </c>
      <c r="AY246" s="1159">
        <v>0.93801188576263239</v>
      </c>
      <c r="AZ246" s="1159">
        <v>0.93801188576263239</v>
      </c>
      <c r="BA246" s="1159">
        <v>0.93801188576263239</v>
      </c>
      <c r="BB246" s="1160">
        <v>0.93801188576263239</v>
      </c>
      <c r="BC246" s="1160">
        <v>0.93801188576263239</v>
      </c>
      <c r="BD246" s="1160">
        <v>0.93801188576263239</v>
      </c>
      <c r="BE246" s="1160">
        <v>0.93801188576263239</v>
      </c>
      <c r="BF246" s="1160">
        <v>0.93801188576263239</v>
      </c>
      <c r="BG246" s="1160">
        <v>0.93801188576263239</v>
      </c>
      <c r="BH246" s="1160">
        <v>0.93801188576263239</v>
      </c>
      <c r="BI246" s="1160">
        <v>0.93801188576263239</v>
      </c>
      <c r="BJ246" s="1160">
        <v>0.93801188576263239</v>
      </c>
      <c r="BK246" s="1159">
        <v>0.93801188576263239</v>
      </c>
      <c r="BL246" s="1159">
        <v>0.93801188576263239</v>
      </c>
      <c r="BM246" s="1159">
        <v>0.93801188576263239</v>
      </c>
      <c r="BN246" s="1159">
        <v>0.93801188576263239</v>
      </c>
      <c r="BO246" s="1159">
        <v>0.93801188576263239</v>
      </c>
      <c r="BP246" s="1159">
        <v>0.93801188576263239</v>
      </c>
      <c r="BQ246" s="1159">
        <v>0.93801188576263239</v>
      </c>
      <c r="BR246" s="1159">
        <v>0.93801188576263239</v>
      </c>
      <c r="BS246" s="1159">
        <v>0.93801188576263239</v>
      </c>
      <c r="BT246" s="579">
        <f t="array" ref="BT246">$Z246  * (1 + SUM( ($AU$80:$AU$83=BT$93) * ($BH$79:$BP$79=BT$94) * ($BH$80:$BP$83) ))</f>
        <v>0.64022400510231114</v>
      </c>
      <c r="BU246" s="579">
        <f t="array" ref="BU246">$Z246  * (1 + SUM( ($AU$80:$AU$83=BU$93) * ($BH$79:$BP$79=BU$94) * ($BH$80:$BP$83) ))</f>
        <v>0.64069135279104783</v>
      </c>
      <c r="BV246" s="579">
        <f t="array" ref="BV246">$Z246  * (1 + SUM( ($AU$80:$AU$83=BV$93) * ($BH$79:$BP$79=BV$94) * ($BH$80:$BP$83) ))</f>
        <v>0.64144256593763005</v>
      </c>
      <c r="BW246" s="579">
        <f t="array" ref="BW246">$Z246  * (1 + SUM( ($AU$80:$AU$83=BW$93) * ($BH$79:$BP$79=BW$94) * ($BH$80:$BP$83) ))</f>
        <v>0.64248678290760342</v>
      </c>
      <c r="BX246" s="579">
        <f t="array" ref="BX246">$Z246  * (1 + SUM( ($AU$80:$AU$83=BX$93) * ($BH$79:$BP$79=BX$94) * ($BH$80:$BP$83) ))</f>
        <v>0.64367912468360744</v>
      </c>
      <c r="BY246" s="579">
        <f t="array" ref="BY246">$Z246  * (1 + SUM( ($AU$80:$AU$83=BY$93) * ($BH$79:$BP$79=BY$94) * ($BH$80:$BP$83) ))</f>
        <v>0.64476988832074622</v>
      </c>
      <c r="BZ246" s="579">
        <f t="array" ref="BZ246">$Z246  * (1 + SUM( ($AU$80:$AU$83=BZ$93) * ($BH$79:$BP$79=BZ$94) * ($BH$80:$BP$83) ))</f>
        <v>0.64558309357480281</v>
      </c>
      <c r="CA246" s="579">
        <f t="array" ref="CA246">$Z246  * (1 + SUM( ($AU$80:$AU$83=CA$93) * ($BH$79:$BP$79=CA$94) * ($BH$80:$BP$83) ))</f>
        <v>0.6461016007575977</v>
      </c>
      <c r="CB246" s="579">
        <f t="array" ref="CB246">$Z246  * (1 + SUM( ($AU$80:$AU$83=CB$93) * ($BH$79:$BP$79=CB$94) * ($BH$80:$BP$83) ))</f>
        <v>0.64639999999999997</v>
      </c>
      <c r="CC246" s="578">
        <f t="array" ref="CC246">$Z246  * (1 + SUM( ($AU$80:$AU$83=CC$93) * ($BH$79:$BP$79=CC$94) * ($BH$80:$BP$83) ))</f>
        <v>0.6433600765346662</v>
      </c>
      <c r="CD246" s="578">
        <f t="array" ref="CD246">$Z246  * (1 + SUM( ($AU$80:$AU$83=CD$93) * ($BH$79:$BP$79=CD$94) * ($BH$80:$BP$83) ))</f>
        <v>0.65037029186571771</v>
      </c>
      <c r="CE246" s="578">
        <f t="array" ref="CE246">$Z246  * (1 + SUM( ($AU$80:$AU$83=CE$93) * ($BH$79:$BP$79=CE$94) * ($BH$80:$BP$83) ))</f>
        <v>0.66163848906445089</v>
      </c>
      <c r="CF246" s="578">
        <f t="array" ref="CF246">$Z246  * (1 + SUM( ($AU$80:$AU$83=CF$93) * ($BH$79:$BP$79=CF$94) * ($BH$80:$BP$83) ))</f>
        <v>0.67730174361405104</v>
      </c>
      <c r="CG246" s="578">
        <f t="array" ref="CG246">$Z246  * (1 + SUM( ($AU$80:$AU$83=CG$93) * ($BH$79:$BP$79=CG$94) * ($BH$80:$BP$83) ))</f>
        <v>0.69518687025411108</v>
      </c>
      <c r="CH246" s="578">
        <f t="array" ref="CH246">$Z246  * (1 + SUM( ($AU$80:$AU$83=CH$93) * ($BH$79:$BP$79=CH$94) * ($BH$80:$BP$83) ))</f>
        <v>0.7115483248111929</v>
      </c>
      <c r="CI246" s="578">
        <f t="array" ref="CI246">$Z246  * (1 + SUM( ($AU$80:$AU$83=CI$93) * ($BH$79:$BP$79=CI$94) * ($BH$80:$BP$83) ))</f>
        <v>0.72374640362204334</v>
      </c>
      <c r="CJ246" s="578">
        <f t="array" ref="CJ246">$Z246  * (1 + SUM( ($AU$80:$AU$83=CJ$93) * ($BH$79:$BP$79=CJ$94) * ($BH$80:$BP$83) ))</f>
        <v>0.73152401136396494</v>
      </c>
      <c r="CK246" s="578">
        <f t="array" ref="CK246">$Z246  * (1 + SUM( ($AU$80:$AU$83=CK$93) * ($BH$79:$BP$79=CK$94) * ($BH$80:$BP$83) ))</f>
        <v>0.73599999999999999</v>
      </c>
      <c r="CL246" s="579">
        <f t="array" ref="CL246">$Z246  * (1 + SUM( ($AU$80:$AU$83=CL$93) * ($BH$79:$BP$79=CL$94) * ($BH$80:$BP$83) ))</f>
        <v>0.6467201530693325</v>
      </c>
      <c r="CM246" s="579">
        <f t="array" ref="CM246">$Z246  * (1 + SUM( ($AU$80:$AU$83=CM$93) * ($BH$79:$BP$79=CM$94) * ($BH$80:$BP$83) ))</f>
        <v>0.66074058373143563</v>
      </c>
      <c r="CN246" s="579">
        <f t="array" ref="CN246">$Z246  * (1 + SUM( ($AU$80:$AU$83=CN$93) * ($BH$79:$BP$79=CN$94) * ($BH$80:$BP$83) ))</f>
        <v>0.68327697812890165</v>
      </c>
      <c r="CO246" s="579">
        <f t="array" ref="CO246">$Z246  * (1 + SUM( ($AU$80:$AU$83=CO$93) * ($BH$79:$BP$79=CO$94) * ($BH$80:$BP$83) ))</f>
        <v>0.71460348722810196</v>
      </c>
      <c r="CP246" s="579">
        <f t="array" ref="CP246">$Z246  * (1 + SUM( ($AU$80:$AU$83=CP$93) * ($BH$79:$BP$79=CP$94) * ($BH$80:$BP$83) ))</f>
        <v>0.75037374050822236</v>
      </c>
      <c r="CQ246" s="579">
        <f t="array" ref="CQ246">$Z246  * (1 + SUM( ($AU$80:$AU$83=CQ$93) * ($BH$79:$BP$79=CQ$94) * ($BH$80:$BP$83) ))</f>
        <v>0.78309664962238568</v>
      </c>
      <c r="CR246" s="579">
        <f t="array" ref="CR246">$Z246  * (1 + SUM( ($AU$80:$AU$83=CR$93) * ($BH$79:$BP$79=CR$94) * ($BH$80:$BP$83) ))</f>
        <v>0.80749280724408679</v>
      </c>
      <c r="CS246" s="579">
        <f t="array" ref="CS246">$Z246  * (1 + SUM( ($AU$80:$AU$83=CS$93) * ($BH$79:$BP$79=CS$94) * ($BH$80:$BP$83) ))</f>
        <v>0.82304802272792987</v>
      </c>
      <c r="CT246" s="579">
        <f t="array" ref="CT246">$Z246  * (1 + SUM( ($AU$80:$AU$83=CT$93) * ($BH$79:$BP$79=CT$94) * ($BH$80:$BP$83) ))</f>
        <v>0.83200000000000007</v>
      </c>
      <c r="CU246" s="578">
        <f t="array" ref="CU246">$Z246  * (1 + SUM( ($AU$80:$AU$83=CU$93) * ($BH$79:$BP$79=CU$94) * ($BH$80:$BP$83) ))</f>
        <v>0.64896020409244326</v>
      </c>
      <c r="CV246" s="578">
        <f t="array" ref="CV246">$Z246  * (1 + SUM( ($AU$80:$AU$83=CV$93) * ($BH$79:$BP$79=CV$94) * ($BH$80:$BP$83) ))</f>
        <v>0.66765411164191402</v>
      </c>
      <c r="CW246" s="578">
        <f t="array" ref="CW246">$Z246  * (1 + SUM( ($AU$80:$AU$83=CW$93) * ($BH$79:$BP$79=CW$94) * ($BH$80:$BP$83) ))</f>
        <v>0.69770263750520212</v>
      </c>
      <c r="CX246" s="578">
        <f t="array" ref="CX246">$Z246  * (1 + SUM( ($AU$80:$AU$83=CX$93) * ($BH$79:$BP$79=CX$94) * ($BH$80:$BP$83) ))</f>
        <v>0.73947131630413609</v>
      </c>
      <c r="CY246" s="578">
        <f t="array" ref="CY246">$Z246  * (1 + SUM( ($AU$80:$AU$83=CY$93) * ($BH$79:$BP$79=CY$94) * ($BH$80:$BP$83) ))</f>
        <v>0.78716498734429652</v>
      </c>
      <c r="CZ246" s="578">
        <f t="array" ref="CZ246">$Z246  * (1 + SUM( ($AU$80:$AU$83=CZ$93) * ($BH$79:$BP$79=CZ$94) * ($BH$80:$BP$83) ))</f>
        <v>0.83079553282984764</v>
      </c>
      <c r="DA246" s="578">
        <f t="array" ref="DA246">$Z246  * (1 + SUM( ($AU$80:$AU$83=DA$93) * ($BH$79:$BP$79=DA$94) * ($BH$80:$BP$83) ))</f>
        <v>0.86332374299211578</v>
      </c>
      <c r="DB246" s="578">
        <f t="array" ref="DB246">$Z246  * (1 + SUM( ($AU$80:$AU$83=DB$93) * ($BH$79:$BP$79=DB$94) * ($BH$80:$BP$83) ))</f>
        <v>0.88406403030390646</v>
      </c>
      <c r="DC246" s="578">
        <f t="array" ref="DC246">$Z246  * (1 + SUM( ($AU$80:$AU$83=DC$93) * ($BH$79:$BP$79=DC$94) * ($BH$80:$BP$83) ))</f>
        <v>0.89599999999999991</v>
      </c>
    </row>
    <row r="247" spans="1:107">
      <c r="A247" s="1167" t="s">
        <v>1041</v>
      </c>
      <c r="B247" s="1167" t="s">
        <v>1040</v>
      </c>
      <c r="C247" s="1166" t="s">
        <v>1039</v>
      </c>
      <c r="D247" s="1166" t="s">
        <v>911</v>
      </c>
      <c r="E247" s="577">
        <v>0.72</v>
      </c>
      <c r="F247" s="574">
        <v>0.56299999999999994</v>
      </c>
      <c r="G247" s="576">
        <v>100</v>
      </c>
      <c r="H247" s="574">
        <v>10.789142451154529</v>
      </c>
      <c r="I247" s="1164"/>
      <c r="J247" s="575">
        <v>1</v>
      </c>
      <c r="K247" s="574">
        <v>8.4365099999999984</v>
      </c>
      <c r="L247" s="574">
        <v>6.0742871999999988</v>
      </c>
      <c r="M247" s="1164"/>
      <c r="N247" s="1168"/>
      <c r="O247" s="1164"/>
      <c r="P247" s="1160">
        <v>5.7749322141788295E-2</v>
      </c>
      <c r="Q247" s="572">
        <v>0.1077493221417883</v>
      </c>
      <c r="R247" s="572">
        <v>0.3077493221417883</v>
      </c>
      <c r="S247" s="572">
        <v>0.5577493221417883</v>
      </c>
      <c r="T247" s="1164"/>
      <c r="U247" s="573">
        <v>5.7749322141788295E-2</v>
      </c>
      <c r="V247" s="1169">
        <v>5.7749322141788295E-2</v>
      </c>
      <c r="W247" s="1169">
        <v>5.7749322141788295E-2</v>
      </c>
      <c r="X247" s="1169">
        <v>5.7749322141788295E-2</v>
      </c>
      <c r="Y247" s="1164"/>
      <c r="Z247" s="573">
        <v>0.72</v>
      </c>
      <c r="AA247" s="572">
        <v>0.72</v>
      </c>
      <c r="AB247" s="572">
        <v>0.72</v>
      </c>
      <c r="AC247" s="572">
        <v>0.72</v>
      </c>
      <c r="AD247" s="572">
        <v>0.72</v>
      </c>
      <c r="AE247" s="572">
        <v>0.72</v>
      </c>
      <c r="AF247" s="572">
        <v>0.72</v>
      </c>
      <c r="AG247" s="1164"/>
      <c r="AH247" s="1163">
        <v>152</v>
      </c>
      <c r="AI247" s="1162" t="str">
        <f t="shared" si="30"/>
        <v>OTSGAS</v>
      </c>
      <c r="AJ247" s="1160">
        <v>5.7749322141788295E-2</v>
      </c>
      <c r="AK247" s="1160">
        <v>5.7749322141788295E-2</v>
      </c>
      <c r="AL247" s="1160">
        <v>5.7749322141788295E-2</v>
      </c>
      <c r="AM247" s="1160">
        <v>5.7749322141788295E-2</v>
      </c>
      <c r="AN247" s="1160">
        <v>5.7749322141788295E-2</v>
      </c>
      <c r="AO247" s="1160">
        <v>5.7749322141788295E-2</v>
      </c>
      <c r="AP247" s="1160">
        <v>5.7749322141788295E-2</v>
      </c>
      <c r="AQ247" s="1160">
        <v>5.7749322141788295E-2</v>
      </c>
      <c r="AR247" s="1160">
        <v>5.7749322141788295E-2</v>
      </c>
      <c r="AS247" s="1159">
        <v>5.7749322141788295E-2</v>
      </c>
      <c r="AT247" s="1159">
        <v>5.7749322141788295E-2</v>
      </c>
      <c r="AU247" s="1159">
        <v>5.7749322141788295E-2</v>
      </c>
      <c r="AV247" s="1159">
        <v>5.7749322141788295E-2</v>
      </c>
      <c r="AW247" s="1159">
        <v>5.7749322141788295E-2</v>
      </c>
      <c r="AX247" s="1159">
        <v>5.7749322141788295E-2</v>
      </c>
      <c r="AY247" s="1159">
        <v>5.7749322141788295E-2</v>
      </c>
      <c r="AZ247" s="1159">
        <v>5.7749322141788295E-2</v>
      </c>
      <c r="BA247" s="1159">
        <v>5.7749322141788295E-2</v>
      </c>
      <c r="BB247" s="1160">
        <v>5.7749322141788295E-2</v>
      </c>
      <c r="BC247" s="1160">
        <v>5.7749322141788295E-2</v>
      </c>
      <c r="BD247" s="1160">
        <v>5.7749322141788295E-2</v>
      </c>
      <c r="BE247" s="1160">
        <v>5.7749322141788295E-2</v>
      </c>
      <c r="BF247" s="1160">
        <v>5.7749322141788295E-2</v>
      </c>
      <c r="BG247" s="1160">
        <v>5.7749322141788295E-2</v>
      </c>
      <c r="BH247" s="1160">
        <v>5.7749322141788295E-2</v>
      </c>
      <c r="BI247" s="1160">
        <v>5.7749322141788295E-2</v>
      </c>
      <c r="BJ247" s="1160">
        <v>5.7749322141788295E-2</v>
      </c>
      <c r="BK247" s="1159">
        <v>5.7749322141788295E-2</v>
      </c>
      <c r="BL247" s="1159">
        <v>5.7749322141788295E-2</v>
      </c>
      <c r="BM247" s="1159">
        <v>5.7749322141788295E-2</v>
      </c>
      <c r="BN247" s="1159">
        <v>5.7749322141788295E-2</v>
      </c>
      <c r="BO247" s="1159">
        <v>5.7749322141788295E-2</v>
      </c>
      <c r="BP247" s="1159">
        <v>5.7749322141788295E-2</v>
      </c>
      <c r="BQ247" s="1159">
        <v>5.7749322141788295E-2</v>
      </c>
      <c r="BR247" s="1159">
        <v>5.7749322141788295E-2</v>
      </c>
      <c r="BS247" s="1159">
        <v>5.7749322141788295E-2</v>
      </c>
      <c r="BT247" s="579">
        <f t="array" ref="BT247">$Z247  * (1 + SUM( ($AU$80:$AU$83=BT$93) * ($BH$79:$BP$79=BT$94) * ($BH$80:$BP$83) ))</f>
        <v>0.72025200574009995</v>
      </c>
      <c r="BU247" s="579">
        <f t="array" ref="BU247">$Z247  * (1 + SUM( ($AU$80:$AU$83=BU$93) * ($BH$79:$BP$79=BU$94) * ($BH$80:$BP$83) ))</f>
        <v>0.72077777188992875</v>
      </c>
      <c r="BV247" s="579">
        <f t="array" ref="BV247">$Z247  * (1 + SUM( ($AU$80:$AU$83=BV$93) * ($BH$79:$BP$79=BV$94) * ($BH$80:$BP$83) ))</f>
        <v>0.72162288667983376</v>
      </c>
      <c r="BW247" s="579">
        <f t="array" ref="BW247">$Z247  * (1 + SUM( ($AU$80:$AU$83=BW$93) * ($BH$79:$BP$79=BW$94) * ($BH$80:$BP$83) ))</f>
        <v>0.72279763077105375</v>
      </c>
      <c r="BX247" s="579">
        <f t="array" ref="BX247">$Z247  * (1 + SUM( ($AU$80:$AU$83=BX$93) * ($BH$79:$BP$79=BX$94) * ($BH$80:$BP$83) ))</f>
        <v>0.72413901526905833</v>
      </c>
      <c r="BY247" s="579">
        <f t="array" ref="BY247">$Z247  * (1 + SUM( ($AU$80:$AU$83=BY$93) * ($BH$79:$BP$79=BY$94) * ($BH$80:$BP$83) ))</f>
        <v>0.72536612436083947</v>
      </c>
      <c r="BZ247" s="579">
        <f t="array" ref="BZ247">$Z247  * (1 + SUM( ($AU$80:$AU$83=BZ$93) * ($BH$79:$BP$79=BZ$94) * ($BH$80:$BP$83) ))</f>
        <v>0.72628098027165311</v>
      </c>
      <c r="CA247" s="579">
        <f t="array" ref="CA247">$Z247  * (1 + SUM( ($AU$80:$AU$83=CA$93) * ($BH$79:$BP$79=CA$94) * ($BH$80:$BP$83) ))</f>
        <v>0.72686430085229736</v>
      </c>
      <c r="CB247" s="579">
        <f t="array" ref="CB247">$Z247  * (1 + SUM( ($AU$80:$AU$83=CB$93) * ($BH$79:$BP$79=CB$94) * ($BH$80:$BP$83) ))</f>
        <v>0.72719999999999996</v>
      </c>
      <c r="CC247" s="578">
        <f t="array" ref="CC247">$Z247  * (1 + SUM( ($AU$80:$AU$83=CC$93) * ($BH$79:$BP$79=CC$94) * ($BH$80:$BP$83) ))</f>
        <v>0.72378008610149946</v>
      </c>
      <c r="CD247" s="578">
        <f t="array" ref="CD247">$Z247  * (1 + SUM( ($AU$80:$AU$83=CD$93) * ($BH$79:$BP$79=CD$94) * ($BH$80:$BP$83) ))</f>
        <v>0.73166657834893245</v>
      </c>
      <c r="CE247" s="578">
        <f t="array" ref="CE247">$Z247  * (1 + SUM( ($AU$80:$AU$83=CE$93) * ($BH$79:$BP$79=CE$94) * ($BH$80:$BP$83) ))</f>
        <v>0.74434330019750716</v>
      </c>
      <c r="CF247" s="578">
        <f t="array" ref="CF247">$Z247  * (1 + SUM( ($AU$80:$AU$83=CF$93) * ($BH$79:$BP$79=CF$94) * ($BH$80:$BP$83) ))</f>
        <v>0.76196446156580744</v>
      </c>
      <c r="CG247" s="578">
        <f t="array" ref="CG247">$Z247  * (1 + SUM( ($AU$80:$AU$83=CG$93) * ($BH$79:$BP$79=CG$94) * ($BH$80:$BP$83) ))</f>
        <v>0.78208522903587496</v>
      </c>
      <c r="CH247" s="578">
        <f t="array" ref="CH247">$Z247  * (1 + SUM( ($AU$80:$AU$83=CH$93) * ($BH$79:$BP$79=CH$94) * ($BH$80:$BP$83) ))</f>
        <v>0.80049186541259199</v>
      </c>
      <c r="CI247" s="578">
        <f t="array" ref="CI247">$Z247  * (1 + SUM( ($AU$80:$AU$83=CI$93) * ($BH$79:$BP$79=CI$94) * ($BH$80:$BP$83) ))</f>
        <v>0.81421470407479868</v>
      </c>
      <c r="CJ247" s="578">
        <f t="array" ref="CJ247">$Z247  * (1 + SUM( ($AU$80:$AU$83=CJ$93) * ($BH$79:$BP$79=CJ$94) * ($BH$80:$BP$83) ))</f>
        <v>0.82296451278446048</v>
      </c>
      <c r="CK247" s="578">
        <f t="array" ref="CK247">$Z247  * (1 + SUM( ($AU$80:$AU$83=CK$93) * ($BH$79:$BP$79=CK$94) * ($BH$80:$BP$83) ))</f>
        <v>0.82799999999999996</v>
      </c>
      <c r="CL247" s="579">
        <f t="array" ref="CL247">$Z247  * (1 + SUM( ($AU$80:$AU$83=CL$93) * ($BH$79:$BP$79=CL$94) * ($BH$80:$BP$83) ))</f>
        <v>0.72756017220299896</v>
      </c>
      <c r="CM247" s="579">
        <f t="array" ref="CM247">$Z247  * (1 + SUM( ($AU$80:$AU$83=CM$93) * ($BH$79:$BP$79=CM$94) * ($BH$80:$BP$83) ))</f>
        <v>0.74333315669786504</v>
      </c>
      <c r="CN247" s="579">
        <f t="array" ref="CN247">$Z247  * (1 + SUM( ($AU$80:$AU$83=CN$93) * ($BH$79:$BP$79=CN$94) * ($BH$80:$BP$83) ))</f>
        <v>0.76868660039501435</v>
      </c>
      <c r="CO247" s="579">
        <f t="array" ref="CO247">$Z247  * (1 + SUM( ($AU$80:$AU$83=CO$93) * ($BH$79:$BP$79=CO$94) * ($BH$80:$BP$83) ))</f>
        <v>0.80392892313161468</v>
      </c>
      <c r="CP247" s="579">
        <f t="array" ref="CP247">$Z247  * (1 + SUM( ($AU$80:$AU$83=CP$93) * ($BH$79:$BP$79=CP$94) * ($BH$80:$BP$83) ))</f>
        <v>0.84417045807175017</v>
      </c>
      <c r="CQ247" s="579">
        <f t="array" ref="CQ247">$Z247  * (1 + SUM( ($AU$80:$AU$83=CQ$93) * ($BH$79:$BP$79=CQ$94) * ($BH$80:$BP$83) ))</f>
        <v>0.88098373082518389</v>
      </c>
      <c r="CR247" s="579">
        <f t="array" ref="CR247">$Z247  * (1 + SUM( ($AU$80:$AU$83=CR$93) * ($BH$79:$BP$79=CR$94) * ($BH$80:$BP$83) ))</f>
        <v>0.90842940814959761</v>
      </c>
      <c r="CS247" s="579">
        <f t="array" ref="CS247">$Z247  * (1 + SUM( ($AU$80:$AU$83=CS$93) * ($BH$79:$BP$79=CS$94) * ($BH$80:$BP$83) ))</f>
        <v>0.92592902556892098</v>
      </c>
      <c r="CT247" s="579">
        <f t="array" ref="CT247">$Z247  * (1 + SUM( ($AU$80:$AU$83=CT$93) * ($BH$79:$BP$79=CT$94) * ($BH$80:$BP$83) ))</f>
        <v>0.93599999999999994</v>
      </c>
      <c r="CU247" s="578">
        <f t="array" ref="CU247">$Z247  * (1 + SUM( ($AU$80:$AU$83=CU$93) * ($BH$79:$BP$79=CU$94) * ($BH$80:$BP$83) ))</f>
        <v>0.73008022960399865</v>
      </c>
      <c r="CV247" s="578">
        <f t="array" ref="CV247">$Z247  * (1 + SUM( ($AU$80:$AU$83=CV$93) * ($BH$79:$BP$79=CV$94) * ($BH$80:$BP$83) ))</f>
        <v>0.75111087559715328</v>
      </c>
      <c r="CW247" s="578">
        <f t="array" ref="CW247">$Z247  * (1 + SUM( ($AU$80:$AU$83=CW$93) * ($BH$79:$BP$79=CW$94) * ($BH$80:$BP$83) ))</f>
        <v>0.78491546719335237</v>
      </c>
      <c r="CX247" s="578">
        <f t="array" ref="CX247">$Z247  * (1 + SUM( ($AU$80:$AU$83=CX$93) * ($BH$79:$BP$79=CX$94) * ($BH$80:$BP$83) ))</f>
        <v>0.83190523084215307</v>
      </c>
      <c r="CY247" s="578">
        <f t="array" ref="CY247">$Z247  * (1 + SUM( ($AU$80:$AU$83=CY$93) * ($BH$79:$BP$79=CY$94) * ($BH$80:$BP$83) ))</f>
        <v>0.8855606107623335</v>
      </c>
      <c r="CZ247" s="578">
        <f t="array" ref="CZ247">$Z247  * (1 + SUM( ($AU$80:$AU$83=CZ$93) * ($BH$79:$BP$79=CZ$94) * ($BH$80:$BP$83) ))</f>
        <v>0.93464497443357852</v>
      </c>
      <c r="DA247" s="578">
        <f t="array" ref="DA247">$Z247  * (1 + SUM( ($AU$80:$AU$83=DA$93) * ($BH$79:$BP$79=DA$94) * ($BH$80:$BP$83) ))</f>
        <v>0.97123921086613019</v>
      </c>
      <c r="DB247" s="578">
        <f t="array" ref="DB247">$Z247  * (1 + SUM( ($AU$80:$AU$83=DB$93) * ($BH$79:$BP$79=DB$94) * ($BH$80:$BP$83) ))</f>
        <v>0.99457203409189476</v>
      </c>
      <c r="DC247" s="578">
        <f t="array" ref="DC247">$Z247  * (1 + SUM( ($AU$80:$AU$83=DC$93) * ($BH$79:$BP$79=DC$94) * ($BH$80:$BP$83) ))</f>
        <v>1.008</v>
      </c>
    </row>
    <row r="248" spans="1:107">
      <c r="A248" s="1167" t="s">
        <v>1038</v>
      </c>
      <c r="B248" s="1167" t="s">
        <v>1037</v>
      </c>
      <c r="C248" s="1166" t="s">
        <v>1036</v>
      </c>
      <c r="D248" s="1166" t="s">
        <v>911</v>
      </c>
      <c r="E248" s="577">
        <v>0.68</v>
      </c>
      <c r="F248" s="574">
        <v>0.56299999999999994</v>
      </c>
      <c r="G248" s="576">
        <v>100</v>
      </c>
      <c r="H248" s="574">
        <v>0.10840087212788634</v>
      </c>
      <c r="I248" s="1164"/>
      <c r="J248" s="575">
        <v>1</v>
      </c>
      <c r="K248" s="574">
        <v>8.9749545599999994E-2</v>
      </c>
      <c r="L248" s="574">
        <v>6.1029691008E-2</v>
      </c>
      <c r="M248" s="1164"/>
      <c r="N248" s="1168"/>
      <c r="O248" s="1164"/>
      <c r="P248" s="1160">
        <v>5.8022006042697375E-4</v>
      </c>
      <c r="Q248" s="572">
        <v>5.0580220060426978E-2</v>
      </c>
      <c r="R248" s="572">
        <v>0.25058022006042696</v>
      </c>
      <c r="S248" s="572">
        <v>0.50058022006042702</v>
      </c>
      <c r="T248" s="1164"/>
      <c r="U248" s="573">
        <v>5.8022006042697375E-4</v>
      </c>
      <c r="V248" s="572">
        <v>3.4813203625618422E-4</v>
      </c>
      <c r="W248" s="572">
        <v>2.3208802417078951E-4</v>
      </c>
      <c r="X248" s="572">
        <v>1.1604401208539475E-4</v>
      </c>
      <c r="Y248" s="1164"/>
      <c r="Z248" s="573">
        <v>0.68</v>
      </c>
      <c r="AA248" s="572">
        <v>0.68</v>
      </c>
      <c r="AB248" s="572">
        <v>0.68</v>
      </c>
      <c r="AC248" s="572">
        <v>0.68</v>
      </c>
      <c r="AD248" s="572">
        <v>0.68</v>
      </c>
      <c r="AE248" s="572">
        <v>0.68</v>
      </c>
      <c r="AF248" s="572">
        <v>0.68</v>
      </c>
      <c r="AG248" s="1164"/>
      <c r="AH248" s="1163">
        <v>153</v>
      </c>
      <c r="AI248" s="1162" t="str">
        <f t="shared" si="30"/>
        <v>OTSOHF</v>
      </c>
      <c r="AJ248" s="1160">
        <v>5.8022006042697375E-4</v>
      </c>
      <c r="AK248" s="1160">
        <v>5.8022006042697375E-4</v>
      </c>
      <c r="AL248" s="1160">
        <v>5.8022006042697375E-4</v>
      </c>
      <c r="AM248" s="1160">
        <v>5.8022006042697375E-4</v>
      </c>
      <c r="AN248" s="1160">
        <v>5.8022006042697375E-4</v>
      </c>
      <c r="AO248" s="1160">
        <v>5.8022006042697375E-4</v>
      </c>
      <c r="AP248" s="1160">
        <v>5.8022006042697375E-4</v>
      </c>
      <c r="AQ248" s="1160">
        <v>5.8022006042697375E-4</v>
      </c>
      <c r="AR248" s="1160">
        <v>5.8022006042697375E-4</v>
      </c>
      <c r="AS248" s="1159">
        <v>5.8022006042697375E-4</v>
      </c>
      <c r="AT248" s="1159">
        <v>5.8022006042697375E-4</v>
      </c>
      <c r="AU248" s="1159">
        <v>5.8022006042697375E-4</v>
      </c>
      <c r="AV248" s="1159">
        <v>5.8022006042697375E-4</v>
      </c>
      <c r="AW248" s="1159">
        <v>5.8022006042697375E-4</v>
      </c>
      <c r="AX248" s="1159">
        <v>5.8022006042697375E-4</v>
      </c>
      <c r="AY248" s="1159">
        <v>5.8022006042697375E-4</v>
      </c>
      <c r="AZ248" s="1159">
        <v>5.8022006042697375E-4</v>
      </c>
      <c r="BA248" s="1159">
        <v>5.8022006042697375E-4</v>
      </c>
      <c r="BB248" s="1160">
        <v>5.8022006042697375E-4</v>
      </c>
      <c r="BC248" s="1160">
        <v>5.8022006042697375E-4</v>
      </c>
      <c r="BD248" s="1160">
        <v>5.8022006042697375E-4</v>
      </c>
      <c r="BE248" s="1160">
        <v>5.8022006042697375E-4</v>
      </c>
      <c r="BF248" s="1160">
        <v>5.8022006042697375E-4</v>
      </c>
      <c r="BG248" s="1160">
        <v>5.8022006042697375E-4</v>
      </c>
      <c r="BH248" s="1160">
        <v>5.8022006042697375E-4</v>
      </c>
      <c r="BI248" s="1160">
        <v>5.8022006042697375E-4</v>
      </c>
      <c r="BJ248" s="1160">
        <v>5.8022006042697375E-4</v>
      </c>
      <c r="BK248" s="1159">
        <v>5.8022006042697375E-4</v>
      </c>
      <c r="BL248" s="1159">
        <v>5.8022006042697375E-4</v>
      </c>
      <c r="BM248" s="1159">
        <v>5.8022006042697375E-4</v>
      </c>
      <c r="BN248" s="1159">
        <v>5.8022006042697375E-4</v>
      </c>
      <c r="BO248" s="1159">
        <v>5.8022006042697375E-4</v>
      </c>
      <c r="BP248" s="1159">
        <v>5.8022006042697375E-4</v>
      </c>
      <c r="BQ248" s="1159">
        <v>5.8022006042697375E-4</v>
      </c>
      <c r="BR248" s="1159">
        <v>5.8022006042697375E-4</v>
      </c>
      <c r="BS248" s="1159">
        <v>5.8022006042697375E-4</v>
      </c>
      <c r="BT248" s="579">
        <f t="array" ref="BT248">$Z248  * (1 + SUM( ($AU$80:$AU$83=BT$93) * ($BH$79:$BP$79=BT$94) * ($BH$80:$BP$83) ))</f>
        <v>0.6802380054212056</v>
      </c>
      <c r="BU248" s="579">
        <f t="array" ref="BU248">$Z248  * (1 + SUM( ($AU$80:$AU$83=BU$93) * ($BH$79:$BP$79=BU$94) * ($BH$80:$BP$83) ))</f>
        <v>0.68073456234048835</v>
      </c>
      <c r="BV248" s="579">
        <f t="array" ref="BV248">$Z248  * (1 + SUM( ($AU$80:$AU$83=BV$93) * ($BH$79:$BP$79=BV$94) * ($BH$80:$BP$83) ))</f>
        <v>0.68153272630873196</v>
      </c>
      <c r="BW248" s="579">
        <f t="array" ref="BW248">$Z248  * (1 + SUM( ($AU$80:$AU$83=BW$93) * ($BH$79:$BP$79=BW$94) * ($BH$80:$BP$83) ))</f>
        <v>0.68264220683932864</v>
      </c>
      <c r="BX248" s="579">
        <f t="array" ref="BX248">$Z248  * (1 + SUM( ($AU$80:$AU$83=BX$93) * ($BH$79:$BP$79=BX$94) * ($BH$80:$BP$83) ))</f>
        <v>0.68390906997633294</v>
      </c>
      <c r="BY248" s="579">
        <f t="array" ref="BY248">$Z248  * (1 + SUM( ($AU$80:$AU$83=BY$93) * ($BH$79:$BP$79=BY$94) * ($BH$80:$BP$83) ))</f>
        <v>0.6850680063407929</v>
      </c>
      <c r="BZ248" s="579">
        <f t="array" ref="BZ248">$Z248  * (1 + SUM( ($AU$80:$AU$83=BZ$93) * ($BH$79:$BP$79=BZ$94) * ($BH$80:$BP$83) ))</f>
        <v>0.68593203692322802</v>
      </c>
      <c r="CA248" s="579">
        <f t="array" ref="CA248">$Z248  * (1 + SUM( ($AU$80:$AU$83=CA$93) * ($BH$79:$BP$79=CA$94) * ($BH$80:$BP$83) ))</f>
        <v>0.68648295080494759</v>
      </c>
      <c r="CB248" s="579">
        <f t="array" ref="CB248">$Z248  * (1 + SUM( ($AU$80:$AU$83=CB$93) * ($BH$79:$BP$79=CB$94) * ($BH$80:$BP$83) ))</f>
        <v>0.68680000000000008</v>
      </c>
      <c r="CC248" s="578">
        <f t="array" ref="CC248">$Z248  * (1 + SUM( ($AU$80:$AU$83=CC$93) * ($BH$79:$BP$79=CC$94) * ($BH$80:$BP$83) ))</f>
        <v>0.68357008131808294</v>
      </c>
      <c r="CD248" s="578">
        <f t="array" ref="CD248">$Z248  * (1 + SUM( ($AU$80:$AU$83=CD$93) * ($BH$79:$BP$79=CD$94) * ($BH$80:$BP$83) ))</f>
        <v>0.69101843510732508</v>
      </c>
      <c r="CE248" s="578">
        <f t="array" ref="CE248">$Z248  * (1 + SUM( ($AU$80:$AU$83=CE$93) * ($BH$79:$BP$79=CE$94) * ($BH$80:$BP$83) ))</f>
        <v>0.70299089463097908</v>
      </c>
      <c r="CF248" s="578">
        <f t="array" ref="CF248">$Z248  * (1 + SUM( ($AU$80:$AU$83=CF$93) * ($BH$79:$BP$79=CF$94) * ($BH$80:$BP$83) ))</f>
        <v>0.7196331025899293</v>
      </c>
      <c r="CG248" s="578">
        <f t="array" ref="CG248">$Z248  * (1 + SUM( ($AU$80:$AU$83=CG$93) * ($BH$79:$BP$79=CG$94) * ($BH$80:$BP$83) ))</f>
        <v>0.73863604964499308</v>
      </c>
      <c r="CH248" s="578">
        <f t="array" ref="CH248">$Z248  * (1 + SUM( ($AU$80:$AU$83=CH$93) * ($BH$79:$BP$79=CH$94) * ($BH$80:$BP$83) ))</f>
        <v>0.7560200951118925</v>
      </c>
      <c r="CI248" s="578">
        <f t="array" ref="CI248">$Z248  * (1 + SUM( ($AU$80:$AU$83=CI$93) * ($BH$79:$BP$79=CI$94) * ($BH$80:$BP$83) ))</f>
        <v>0.76898055384842112</v>
      </c>
      <c r="CJ248" s="578">
        <f t="array" ref="CJ248">$Z248  * (1 + SUM( ($AU$80:$AU$83=CJ$93) * ($BH$79:$BP$79=CJ$94) * ($BH$80:$BP$83) ))</f>
        <v>0.77724426207421282</v>
      </c>
      <c r="CK248" s="578">
        <f t="array" ref="CK248">$Z248  * (1 + SUM( ($AU$80:$AU$83=CK$93) * ($BH$79:$BP$79=CK$94) * ($BH$80:$BP$83) ))</f>
        <v>0.78200000000000003</v>
      </c>
      <c r="CL248" s="579">
        <f t="array" ref="CL248">$Z248  * (1 + SUM( ($AU$80:$AU$83=CL$93) * ($BH$79:$BP$79=CL$94) * ($BH$80:$BP$83) ))</f>
        <v>0.68714016263616584</v>
      </c>
      <c r="CM248" s="579">
        <f t="array" ref="CM248">$Z248  * (1 + SUM( ($AU$80:$AU$83=CM$93) * ($BH$79:$BP$79=CM$94) * ($BH$80:$BP$83) ))</f>
        <v>0.70203687021465033</v>
      </c>
      <c r="CN248" s="579">
        <f t="array" ref="CN248">$Z248  * (1 + SUM( ($AU$80:$AU$83=CN$93) * ($BH$79:$BP$79=CN$94) * ($BH$80:$BP$83) ))</f>
        <v>0.725981789261958</v>
      </c>
      <c r="CO248" s="579">
        <f t="array" ref="CO248">$Z248  * (1 + SUM( ($AU$80:$AU$83=CO$93) * ($BH$79:$BP$79=CO$94) * ($BH$80:$BP$83) ))</f>
        <v>0.75926620517985843</v>
      </c>
      <c r="CP248" s="579">
        <f t="array" ref="CP248">$Z248  * (1 + SUM( ($AU$80:$AU$83=CP$93) * ($BH$79:$BP$79=CP$94) * ($BH$80:$BP$83) ))</f>
        <v>0.79727209928998632</v>
      </c>
      <c r="CQ248" s="579">
        <f t="array" ref="CQ248">$Z248  * (1 + SUM( ($AU$80:$AU$83=CQ$93) * ($BH$79:$BP$79=CQ$94) * ($BH$80:$BP$83) ))</f>
        <v>0.83204019022378484</v>
      </c>
      <c r="CR248" s="579">
        <f t="array" ref="CR248">$Z248  * (1 + SUM( ($AU$80:$AU$83=CR$93) * ($BH$79:$BP$79=CR$94) * ($BH$80:$BP$83) ))</f>
        <v>0.85796110769684231</v>
      </c>
      <c r="CS248" s="579">
        <f t="array" ref="CS248">$Z248  * (1 + SUM( ($AU$80:$AU$83=CS$93) * ($BH$79:$BP$79=CS$94) * ($BH$80:$BP$83) ))</f>
        <v>0.87448852414842548</v>
      </c>
      <c r="CT248" s="579">
        <f t="array" ref="CT248">$Z248  * (1 + SUM( ($AU$80:$AU$83=CT$93) * ($BH$79:$BP$79=CT$94) * ($BH$80:$BP$83) ))</f>
        <v>0.88400000000000012</v>
      </c>
      <c r="CU248" s="578">
        <f t="array" ref="CU248">$Z248  * (1 + SUM( ($AU$80:$AU$83=CU$93) * ($BH$79:$BP$79=CU$94) * ($BH$80:$BP$83) ))</f>
        <v>0.68952021684822107</v>
      </c>
      <c r="CV248" s="578">
        <f t="array" ref="CV248">$Z248  * (1 + SUM( ($AU$80:$AU$83=CV$93) * ($BH$79:$BP$79=CV$94) * ($BH$80:$BP$83) ))</f>
        <v>0.70938249361953376</v>
      </c>
      <c r="CW248" s="578">
        <f t="array" ref="CW248">$Z248  * (1 + SUM( ($AU$80:$AU$83=CW$93) * ($BH$79:$BP$79=CW$94) * ($BH$80:$BP$83) ))</f>
        <v>0.74130905234927735</v>
      </c>
      <c r="CX248" s="578">
        <f t="array" ref="CX248">$Z248  * (1 + SUM( ($AU$80:$AU$83=CX$93) * ($BH$79:$BP$79=CX$94) * ($BH$80:$BP$83) ))</f>
        <v>0.78568827357314464</v>
      </c>
      <c r="CY248" s="578">
        <f t="array" ref="CY248">$Z248  * (1 + SUM( ($AU$80:$AU$83=CY$93) * ($BH$79:$BP$79=CY$94) * ($BH$80:$BP$83) ))</f>
        <v>0.83636279905331512</v>
      </c>
      <c r="CZ248" s="578">
        <f t="array" ref="CZ248">$Z248  * (1 + SUM( ($AU$80:$AU$83=CZ$93) * ($BH$79:$BP$79=CZ$94) * ($BH$80:$BP$83) ))</f>
        <v>0.88272025363171314</v>
      </c>
      <c r="DA248" s="578">
        <f t="array" ref="DA248">$Z248  * (1 + SUM( ($AU$80:$AU$83=DA$93) * ($BH$79:$BP$79=DA$94) * ($BH$80:$BP$83) ))</f>
        <v>0.9172814769291231</v>
      </c>
      <c r="DB248" s="578">
        <f t="array" ref="DB248">$Z248  * (1 + SUM( ($AU$80:$AU$83=DB$93) * ($BH$79:$BP$79=DB$94) * ($BH$80:$BP$83) ))</f>
        <v>0.93931803219790067</v>
      </c>
      <c r="DC248" s="578">
        <f t="array" ref="DC248">$Z248  * (1 + SUM( ($AU$80:$AU$83=DC$93) * ($BH$79:$BP$79=DC$94) * ($BH$80:$BP$83) ))</f>
        <v>0.95199999999999996</v>
      </c>
    </row>
    <row r="249" spans="1:107">
      <c r="A249" s="1167" t="s">
        <v>1035</v>
      </c>
      <c r="B249" s="1167" t="s">
        <v>1034</v>
      </c>
      <c r="C249" s="1166" t="s">
        <v>1033</v>
      </c>
      <c r="D249" s="1166" t="s">
        <v>911</v>
      </c>
      <c r="E249" s="577">
        <v>0.72</v>
      </c>
      <c r="F249" s="574">
        <v>0.56299999999999994</v>
      </c>
      <c r="G249" s="576">
        <v>100</v>
      </c>
      <c r="H249" s="574">
        <v>4.862033008880994E-3</v>
      </c>
      <c r="I249" s="1164"/>
      <c r="J249" s="575">
        <v>1</v>
      </c>
      <c r="K249" s="574">
        <v>3.8018396999999998E-3</v>
      </c>
      <c r="L249" s="574">
        <v>2.7373245839999996E-3</v>
      </c>
      <c r="M249" s="1164"/>
      <c r="N249" s="1168"/>
      <c r="O249" s="1164"/>
      <c r="P249" s="1160">
        <v>2.6024228687779634E-5</v>
      </c>
      <c r="Q249" s="572">
        <v>5.0026024228687779E-2</v>
      </c>
      <c r="R249" s="572">
        <v>0.2500260242286878</v>
      </c>
      <c r="S249" s="572">
        <v>0.5000260242286878</v>
      </c>
      <c r="T249" s="1164"/>
      <c r="U249" s="573">
        <v>2.6024228687779634E-5</v>
      </c>
      <c r="V249" s="572">
        <v>1.561453721266778E-5</v>
      </c>
      <c r="W249" s="572">
        <v>1.0409691475111854E-5</v>
      </c>
      <c r="X249" s="572">
        <v>5.2048457375559271E-6</v>
      </c>
      <c r="Y249" s="1164"/>
      <c r="Z249" s="573">
        <v>0.72</v>
      </c>
      <c r="AA249" s="572">
        <v>0.72</v>
      </c>
      <c r="AB249" s="572">
        <v>0.72</v>
      </c>
      <c r="AC249" s="572">
        <v>0.72</v>
      </c>
      <c r="AD249" s="572">
        <v>0.72</v>
      </c>
      <c r="AE249" s="572">
        <v>0.72</v>
      </c>
      <c r="AF249" s="572">
        <v>0.72</v>
      </c>
      <c r="AG249" s="1164"/>
      <c r="AH249" s="1163">
        <v>154</v>
      </c>
      <c r="AI249" s="1162" t="str">
        <f t="shared" si="30"/>
        <v>OTSOLP</v>
      </c>
      <c r="AJ249" s="1160">
        <v>2.6024228687779634E-5</v>
      </c>
      <c r="AK249" s="1160">
        <v>2.6024228687779634E-5</v>
      </c>
      <c r="AL249" s="1160">
        <v>2.6024228687779634E-5</v>
      </c>
      <c r="AM249" s="1160">
        <v>2.6024228687779634E-5</v>
      </c>
      <c r="AN249" s="1160">
        <v>2.6024228687779634E-5</v>
      </c>
      <c r="AO249" s="1160">
        <v>2.6024228687779634E-5</v>
      </c>
      <c r="AP249" s="1160">
        <v>2.6024228687779634E-5</v>
      </c>
      <c r="AQ249" s="1160">
        <v>2.6024228687779634E-5</v>
      </c>
      <c r="AR249" s="1160">
        <v>2.6024228687779634E-5</v>
      </c>
      <c r="AS249" s="1159">
        <v>2.6024228687779634E-5</v>
      </c>
      <c r="AT249" s="1159">
        <v>2.6024228687779634E-5</v>
      </c>
      <c r="AU249" s="1159">
        <v>2.6024228687779634E-5</v>
      </c>
      <c r="AV249" s="1159">
        <v>2.6024228687779634E-5</v>
      </c>
      <c r="AW249" s="1159">
        <v>2.6024228687779634E-5</v>
      </c>
      <c r="AX249" s="1159">
        <v>2.6024228687779634E-5</v>
      </c>
      <c r="AY249" s="1159">
        <v>2.6024228687779634E-5</v>
      </c>
      <c r="AZ249" s="1159">
        <v>2.6024228687779634E-5</v>
      </c>
      <c r="BA249" s="1159">
        <v>2.6024228687779634E-5</v>
      </c>
      <c r="BB249" s="1160">
        <v>2.6024228687779634E-5</v>
      </c>
      <c r="BC249" s="1160">
        <v>2.6024228687779634E-5</v>
      </c>
      <c r="BD249" s="1160">
        <v>2.6024228687779634E-5</v>
      </c>
      <c r="BE249" s="1160">
        <v>2.6024228687779634E-5</v>
      </c>
      <c r="BF249" s="1160">
        <v>2.6024228687779634E-5</v>
      </c>
      <c r="BG249" s="1160">
        <v>2.6024228687779634E-5</v>
      </c>
      <c r="BH249" s="1160">
        <v>2.6024228687779634E-5</v>
      </c>
      <c r="BI249" s="1160">
        <v>2.6024228687779634E-5</v>
      </c>
      <c r="BJ249" s="1160">
        <v>2.6024228687779634E-5</v>
      </c>
      <c r="BK249" s="1159">
        <v>2.6024228687779634E-5</v>
      </c>
      <c r="BL249" s="1159">
        <v>2.6024228687779634E-5</v>
      </c>
      <c r="BM249" s="1159">
        <v>2.6024228687779634E-5</v>
      </c>
      <c r="BN249" s="1159">
        <v>2.6024228687779634E-5</v>
      </c>
      <c r="BO249" s="1159">
        <v>2.6024228687779634E-5</v>
      </c>
      <c r="BP249" s="1159">
        <v>2.6024228687779634E-5</v>
      </c>
      <c r="BQ249" s="1159">
        <v>2.6024228687779634E-5</v>
      </c>
      <c r="BR249" s="1159">
        <v>2.6024228687779634E-5</v>
      </c>
      <c r="BS249" s="1159">
        <v>2.6024228687779634E-5</v>
      </c>
      <c r="BT249" s="579">
        <f t="array" ref="BT249">$Z249  * (1 + SUM( ($AU$80:$AU$83=BT$93) * ($BH$79:$BP$79=BT$94) * ($BH$80:$BP$83) ))</f>
        <v>0.72025200574009995</v>
      </c>
      <c r="BU249" s="579">
        <f t="array" ref="BU249">$Z249  * (1 + SUM( ($AU$80:$AU$83=BU$93) * ($BH$79:$BP$79=BU$94) * ($BH$80:$BP$83) ))</f>
        <v>0.72077777188992875</v>
      </c>
      <c r="BV249" s="579">
        <f t="array" ref="BV249">$Z249  * (1 + SUM( ($AU$80:$AU$83=BV$93) * ($BH$79:$BP$79=BV$94) * ($BH$80:$BP$83) ))</f>
        <v>0.72162288667983376</v>
      </c>
      <c r="BW249" s="579">
        <f t="array" ref="BW249">$Z249  * (1 + SUM( ($AU$80:$AU$83=BW$93) * ($BH$79:$BP$79=BW$94) * ($BH$80:$BP$83) ))</f>
        <v>0.72279763077105375</v>
      </c>
      <c r="BX249" s="579">
        <f t="array" ref="BX249">$Z249  * (1 + SUM( ($AU$80:$AU$83=BX$93) * ($BH$79:$BP$79=BX$94) * ($BH$80:$BP$83) ))</f>
        <v>0.72413901526905833</v>
      </c>
      <c r="BY249" s="579">
        <f t="array" ref="BY249">$Z249  * (1 + SUM( ($AU$80:$AU$83=BY$93) * ($BH$79:$BP$79=BY$94) * ($BH$80:$BP$83) ))</f>
        <v>0.72536612436083947</v>
      </c>
      <c r="BZ249" s="579">
        <f t="array" ref="BZ249">$Z249  * (1 + SUM( ($AU$80:$AU$83=BZ$93) * ($BH$79:$BP$79=BZ$94) * ($BH$80:$BP$83) ))</f>
        <v>0.72628098027165311</v>
      </c>
      <c r="CA249" s="579">
        <f t="array" ref="CA249">$Z249  * (1 + SUM( ($AU$80:$AU$83=CA$93) * ($BH$79:$BP$79=CA$94) * ($BH$80:$BP$83) ))</f>
        <v>0.72686430085229736</v>
      </c>
      <c r="CB249" s="579">
        <f t="array" ref="CB249">$Z249  * (1 + SUM( ($AU$80:$AU$83=CB$93) * ($BH$79:$BP$79=CB$94) * ($BH$80:$BP$83) ))</f>
        <v>0.72719999999999996</v>
      </c>
      <c r="CC249" s="578">
        <f t="array" ref="CC249">$Z249  * (1 + SUM( ($AU$80:$AU$83=CC$93) * ($BH$79:$BP$79=CC$94) * ($BH$80:$BP$83) ))</f>
        <v>0.72378008610149946</v>
      </c>
      <c r="CD249" s="578">
        <f t="array" ref="CD249">$Z249  * (1 + SUM( ($AU$80:$AU$83=CD$93) * ($BH$79:$BP$79=CD$94) * ($BH$80:$BP$83) ))</f>
        <v>0.73166657834893245</v>
      </c>
      <c r="CE249" s="578">
        <f t="array" ref="CE249">$Z249  * (1 + SUM( ($AU$80:$AU$83=CE$93) * ($BH$79:$BP$79=CE$94) * ($BH$80:$BP$83) ))</f>
        <v>0.74434330019750716</v>
      </c>
      <c r="CF249" s="578">
        <f t="array" ref="CF249">$Z249  * (1 + SUM( ($AU$80:$AU$83=CF$93) * ($BH$79:$BP$79=CF$94) * ($BH$80:$BP$83) ))</f>
        <v>0.76196446156580744</v>
      </c>
      <c r="CG249" s="578">
        <f t="array" ref="CG249">$Z249  * (1 + SUM( ($AU$80:$AU$83=CG$93) * ($BH$79:$BP$79=CG$94) * ($BH$80:$BP$83) ))</f>
        <v>0.78208522903587496</v>
      </c>
      <c r="CH249" s="578">
        <f t="array" ref="CH249">$Z249  * (1 + SUM( ($AU$80:$AU$83=CH$93) * ($BH$79:$BP$79=CH$94) * ($BH$80:$BP$83) ))</f>
        <v>0.80049186541259199</v>
      </c>
      <c r="CI249" s="578">
        <f t="array" ref="CI249">$Z249  * (1 + SUM( ($AU$80:$AU$83=CI$93) * ($BH$79:$BP$79=CI$94) * ($BH$80:$BP$83) ))</f>
        <v>0.81421470407479868</v>
      </c>
      <c r="CJ249" s="578">
        <f t="array" ref="CJ249">$Z249  * (1 + SUM( ($AU$80:$AU$83=CJ$93) * ($BH$79:$BP$79=CJ$94) * ($BH$80:$BP$83) ))</f>
        <v>0.82296451278446048</v>
      </c>
      <c r="CK249" s="578">
        <f t="array" ref="CK249">$Z249  * (1 + SUM( ($AU$80:$AU$83=CK$93) * ($BH$79:$BP$79=CK$94) * ($BH$80:$BP$83) ))</f>
        <v>0.82799999999999996</v>
      </c>
      <c r="CL249" s="579">
        <f t="array" ref="CL249">$Z249  * (1 + SUM( ($AU$80:$AU$83=CL$93) * ($BH$79:$BP$79=CL$94) * ($BH$80:$BP$83) ))</f>
        <v>0.72756017220299896</v>
      </c>
      <c r="CM249" s="579">
        <f t="array" ref="CM249">$Z249  * (1 + SUM( ($AU$80:$AU$83=CM$93) * ($BH$79:$BP$79=CM$94) * ($BH$80:$BP$83) ))</f>
        <v>0.74333315669786504</v>
      </c>
      <c r="CN249" s="579">
        <f t="array" ref="CN249">$Z249  * (1 + SUM( ($AU$80:$AU$83=CN$93) * ($BH$79:$BP$79=CN$94) * ($BH$80:$BP$83) ))</f>
        <v>0.76868660039501435</v>
      </c>
      <c r="CO249" s="579">
        <f t="array" ref="CO249">$Z249  * (1 + SUM( ($AU$80:$AU$83=CO$93) * ($BH$79:$BP$79=CO$94) * ($BH$80:$BP$83) ))</f>
        <v>0.80392892313161468</v>
      </c>
      <c r="CP249" s="579">
        <f t="array" ref="CP249">$Z249  * (1 + SUM( ($AU$80:$AU$83=CP$93) * ($BH$79:$BP$79=CP$94) * ($BH$80:$BP$83) ))</f>
        <v>0.84417045807175017</v>
      </c>
      <c r="CQ249" s="579">
        <f t="array" ref="CQ249">$Z249  * (1 + SUM( ($AU$80:$AU$83=CQ$93) * ($BH$79:$BP$79=CQ$94) * ($BH$80:$BP$83) ))</f>
        <v>0.88098373082518389</v>
      </c>
      <c r="CR249" s="579">
        <f t="array" ref="CR249">$Z249  * (1 + SUM( ($AU$80:$AU$83=CR$93) * ($BH$79:$BP$79=CR$94) * ($BH$80:$BP$83) ))</f>
        <v>0.90842940814959761</v>
      </c>
      <c r="CS249" s="579">
        <f t="array" ref="CS249">$Z249  * (1 + SUM( ($AU$80:$AU$83=CS$93) * ($BH$79:$BP$79=CS$94) * ($BH$80:$BP$83) ))</f>
        <v>0.92592902556892098</v>
      </c>
      <c r="CT249" s="579">
        <f t="array" ref="CT249">$Z249  * (1 + SUM( ($AU$80:$AU$83=CT$93) * ($BH$79:$BP$79=CT$94) * ($BH$80:$BP$83) ))</f>
        <v>0.93599999999999994</v>
      </c>
      <c r="CU249" s="578">
        <f t="array" ref="CU249">$Z249  * (1 + SUM( ($AU$80:$AU$83=CU$93) * ($BH$79:$BP$79=CU$94) * ($BH$80:$BP$83) ))</f>
        <v>0.73008022960399865</v>
      </c>
      <c r="CV249" s="578">
        <f t="array" ref="CV249">$Z249  * (1 + SUM( ($AU$80:$AU$83=CV$93) * ($BH$79:$BP$79=CV$94) * ($BH$80:$BP$83) ))</f>
        <v>0.75111087559715328</v>
      </c>
      <c r="CW249" s="578">
        <f t="array" ref="CW249">$Z249  * (1 + SUM( ($AU$80:$AU$83=CW$93) * ($BH$79:$BP$79=CW$94) * ($BH$80:$BP$83) ))</f>
        <v>0.78491546719335237</v>
      </c>
      <c r="CX249" s="578">
        <f t="array" ref="CX249">$Z249  * (1 + SUM( ($AU$80:$AU$83=CX$93) * ($BH$79:$BP$79=CX$94) * ($BH$80:$BP$83) ))</f>
        <v>0.83190523084215307</v>
      </c>
      <c r="CY249" s="578">
        <f t="array" ref="CY249">$Z249  * (1 + SUM( ($AU$80:$AU$83=CY$93) * ($BH$79:$BP$79=CY$94) * ($BH$80:$BP$83) ))</f>
        <v>0.8855606107623335</v>
      </c>
      <c r="CZ249" s="578">
        <f t="array" ref="CZ249">$Z249  * (1 + SUM( ($AU$80:$AU$83=CZ$93) * ($BH$79:$BP$79=CZ$94) * ($BH$80:$BP$83) ))</f>
        <v>0.93464497443357852</v>
      </c>
      <c r="DA249" s="578">
        <f t="array" ref="DA249">$Z249  * (1 + SUM( ($AU$80:$AU$83=DA$93) * ($BH$79:$BP$79=DA$94) * ($BH$80:$BP$83) ))</f>
        <v>0.97123921086613019</v>
      </c>
      <c r="DB249" s="578">
        <f t="array" ref="DB249">$Z249  * (1 + SUM( ($AU$80:$AU$83=DB$93) * ($BH$79:$BP$79=DB$94) * ($BH$80:$BP$83) ))</f>
        <v>0.99457203409189476</v>
      </c>
      <c r="DC249" s="578">
        <f t="array" ref="DC249">$Z249  * (1 + SUM( ($AU$80:$AU$83=DC$93) * ($BH$79:$BP$79=DC$94) * ($BH$80:$BP$83) ))</f>
        <v>1.008</v>
      </c>
    </row>
    <row r="250" spans="1:107">
      <c r="A250" s="1167" t="s">
        <v>1032</v>
      </c>
      <c r="B250" s="1167" t="s">
        <v>1031</v>
      </c>
      <c r="C250" s="1166" t="s">
        <v>1030</v>
      </c>
      <c r="D250" s="1166" t="s">
        <v>911</v>
      </c>
      <c r="E250" s="577">
        <v>0.76</v>
      </c>
      <c r="F250" s="574">
        <v>0.56299999999999994</v>
      </c>
      <c r="G250" s="576">
        <v>100</v>
      </c>
      <c r="H250" s="574">
        <v>0.33932931410301964</v>
      </c>
      <c r="I250" s="1164"/>
      <c r="J250" s="575">
        <v>1</v>
      </c>
      <c r="K250" s="574">
        <v>0.25137158400000004</v>
      </c>
      <c r="L250" s="574">
        <v>0.19104240384000004</v>
      </c>
      <c r="M250" s="1164"/>
      <c r="N250" s="1168"/>
      <c r="O250" s="1164"/>
      <c r="P250" s="1160">
        <v>1.8162739032322635E-3</v>
      </c>
      <c r="Q250" s="572">
        <v>5.1816273903232263E-2</v>
      </c>
      <c r="R250" s="572">
        <v>0.25181627390323225</v>
      </c>
      <c r="S250" s="572">
        <v>0.50181627390323225</v>
      </c>
      <c r="T250" s="1164"/>
      <c r="U250" s="573">
        <v>1.8162739032322635E-3</v>
      </c>
      <c r="V250" s="572">
        <v>1.0897643419393581E-3</v>
      </c>
      <c r="W250" s="572">
        <v>7.2650956129290546E-4</v>
      </c>
      <c r="X250" s="572">
        <v>3.6325478064645273E-4</v>
      </c>
      <c r="Y250" s="1164"/>
      <c r="Z250" s="573">
        <v>0.76</v>
      </c>
      <c r="AA250" s="572">
        <v>0.76</v>
      </c>
      <c r="AB250" s="572">
        <v>0.76</v>
      </c>
      <c r="AC250" s="572">
        <v>0.76</v>
      </c>
      <c r="AD250" s="572">
        <v>0.76</v>
      </c>
      <c r="AE250" s="572">
        <v>0.76</v>
      </c>
      <c r="AF250" s="572">
        <v>0.76</v>
      </c>
      <c r="AG250" s="1164"/>
      <c r="AH250" s="1163">
        <v>155</v>
      </c>
      <c r="AI250" s="1162" t="str">
        <f t="shared" si="30"/>
        <v>OTSELC</v>
      </c>
      <c r="AJ250" s="1160">
        <v>1.8162739032322635E-3</v>
      </c>
      <c r="AK250" s="1160">
        <v>1.8162739032322635E-3</v>
      </c>
      <c r="AL250" s="1160">
        <v>1.8162739032322635E-3</v>
      </c>
      <c r="AM250" s="1160">
        <v>1.8162739032322635E-3</v>
      </c>
      <c r="AN250" s="1160">
        <v>1.8162739032322635E-3</v>
      </c>
      <c r="AO250" s="1160">
        <v>1.8162739032322635E-3</v>
      </c>
      <c r="AP250" s="1160">
        <v>1.8162739032322635E-3</v>
      </c>
      <c r="AQ250" s="1160">
        <v>1.8162739032322635E-3</v>
      </c>
      <c r="AR250" s="1160">
        <v>1.8162739032322635E-3</v>
      </c>
      <c r="AS250" s="1159">
        <v>1.8162739032322635E-3</v>
      </c>
      <c r="AT250" s="1159">
        <v>1.8162739032322635E-3</v>
      </c>
      <c r="AU250" s="1159">
        <v>1.8162739032322635E-3</v>
      </c>
      <c r="AV250" s="1159">
        <v>1.8162739032322635E-3</v>
      </c>
      <c r="AW250" s="1159">
        <v>1.8162739032322635E-3</v>
      </c>
      <c r="AX250" s="1159">
        <v>1.8162739032322635E-3</v>
      </c>
      <c r="AY250" s="1159">
        <v>1.8162739032322635E-3</v>
      </c>
      <c r="AZ250" s="1159">
        <v>1.8162739032322635E-3</v>
      </c>
      <c r="BA250" s="1159">
        <v>1.8162739032322635E-3</v>
      </c>
      <c r="BB250" s="1160">
        <v>1.8162739032322635E-3</v>
      </c>
      <c r="BC250" s="1160">
        <v>1.8162739032322635E-3</v>
      </c>
      <c r="BD250" s="1160">
        <v>1.8162739032322635E-3</v>
      </c>
      <c r="BE250" s="1160">
        <v>1.8162739032322635E-3</v>
      </c>
      <c r="BF250" s="1160">
        <v>1.8162739032322635E-3</v>
      </c>
      <c r="BG250" s="1160">
        <v>1.8162739032322635E-3</v>
      </c>
      <c r="BH250" s="1160">
        <v>1.8162739032322635E-3</v>
      </c>
      <c r="BI250" s="1160">
        <v>1.8162739032322635E-3</v>
      </c>
      <c r="BJ250" s="1160">
        <v>1.8162739032322635E-3</v>
      </c>
      <c r="BK250" s="1159">
        <v>1.8162739032322635E-3</v>
      </c>
      <c r="BL250" s="1159">
        <v>1.8162739032322635E-3</v>
      </c>
      <c r="BM250" s="1159">
        <v>1.8162739032322635E-3</v>
      </c>
      <c r="BN250" s="1159">
        <v>1.8162739032322635E-3</v>
      </c>
      <c r="BO250" s="1159">
        <v>1.8162739032322635E-3</v>
      </c>
      <c r="BP250" s="1159">
        <v>1.8162739032322635E-3</v>
      </c>
      <c r="BQ250" s="1159">
        <v>1.8162739032322635E-3</v>
      </c>
      <c r="BR250" s="1159">
        <v>1.8162739032322635E-3</v>
      </c>
      <c r="BS250" s="1159">
        <v>1.8162739032322635E-3</v>
      </c>
      <c r="BT250" s="579">
        <f t="array" ref="BT250">$Z250  * (1 + SUM( ($AU$80:$AU$83=BT$93) * ($BH$79:$BP$79=BT$94) * ($BH$80:$BP$83) ))</f>
        <v>0.76026600605899441</v>
      </c>
      <c r="BU250" s="579">
        <f t="array" ref="BU250">$Z250  * (1 + SUM( ($AU$80:$AU$83=BU$93) * ($BH$79:$BP$79=BU$94) * ($BH$80:$BP$83) ))</f>
        <v>0.76082098143936938</v>
      </c>
      <c r="BV250" s="579">
        <f t="array" ref="BV250">$Z250  * (1 + SUM( ($AU$80:$AU$83=BV$93) * ($BH$79:$BP$79=BV$94) * ($BH$80:$BP$83) ))</f>
        <v>0.76171304705093568</v>
      </c>
      <c r="BW250" s="579">
        <f t="array" ref="BW250">$Z250  * (1 + SUM( ($AU$80:$AU$83=BW$93) * ($BH$79:$BP$79=BW$94) * ($BH$80:$BP$83) ))</f>
        <v>0.76295305470277908</v>
      </c>
      <c r="BX250" s="579">
        <f t="array" ref="BX250">$Z250  * (1 + SUM( ($AU$80:$AU$83=BX$93) * ($BH$79:$BP$79=BX$94) * ($BH$80:$BP$83) ))</f>
        <v>0.76436896056178383</v>
      </c>
      <c r="BY250" s="579">
        <f t="array" ref="BY250">$Z250  * (1 + SUM( ($AU$80:$AU$83=BY$93) * ($BH$79:$BP$79=BY$94) * ($BH$80:$BP$83) ))</f>
        <v>0.76566424238088615</v>
      </c>
      <c r="BZ250" s="579">
        <f t="array" ref="BZ250">$Z250  * (1 + SUM( ($AU$80:$AU$83=BZ$93) * ($BH$79:$BP$79=BZ$94) * ($BH$80:$BP$83) ))</f>
        <v>0.76662992362007842</v>
      </c>
      <c r="CA250" s="579">
        <f t="array" ref="CA250">$Z250  * (1 + SUM( ($AU$80:$AU$83=CA$93) * ($BH$79:$BP$79=CA$94) * ($BH$80:$BP$83) ))</f>
        <v>0.76724565089964725</v>
      </c>
      <c r="CB250" s="579">
        <f t="array" ref="CB250">$Z250  * (1 + SUM( ($AU$80:$AU$83=CB$93) * ($BH$79:$BP$79=CB$94) * ($BH$80:$BP$83) ))</f>
        <v>0.76760000000000006</v>
      </c>
      <c r="CC250" s="578">
        <f t="array" ref="CC250">$Z250  * (1 + SUM( ($AU$80:$AU$83=CC$93) * ($BH$79:$BP$79=CC$94) * ($BH$80:$BP$83) ))</f>
        <v>0.76399009088491621</v>
      </c>
      <c r="CD250" s="578">
        <f t="array" ref="CD250">$Z250  * (1 + SUM( ($AU$80:$AU$83=CD$93) * ($BH$79:$BP$79=CD$94) * ($BH$80:$BP$83) ))</f>
        <v>0.77231472159053982</v>
      </c>
      <c r="CE250" s="578">
        <f t="array" ref="CE250">$Z250  * (1 + SUM( ($AU$80:$AU$83=CE$93) * ($BH$79:$BP$79=CE$94) * ($BH$80:$BP$83) ))</f>
        <v>0.78569570576403536</v>
      </c>
      <c r="CF250" s="578">
        <f t="array" ref="CF250">$Z250  * (1 + SUM( ($AU$80:$AU$83=CF$93) * ($BH$79:$BP$79=CF$94) * ($BH$80:$BP$83) ))</f>
        <v>0.80429582054168558</v>
      </c>
      <c r="CG250" s="578">
        <f t="array" ref="CG250">$Z250  * (1 + SUM( ($AU$80:$AU$83=CG$93) * ($BH$79:$BP$79=CG$94) * ($BH$80:$BP$83) ))</f>
        <v>0.82553440842675696</v>
      </c>
      <c r="CH250" s="578">
        <f t="array" ref="CH250">$Z250  * (1 + SUM( ($AU$80:$AU$83=CH$93) * ($BH$79:$BP$79=CH$94) * ($BH$80:$BP$83) ))</f>
        <v>0.84496363571329147</v>
      </c>
      <c r="CI250" s="578">
        <f t="array" ref="CI250">$Z250  * (1 + SUM( ($AU$80:$AU$83=CI$93) * ($BH$79:$BP$79=CI$94) * ($BH$80:$BP$83) ))</f>
        <v>0.85944885430117646</v>
      </c>
      <c r="CJ250" s="578">
        <f t="array" ref="CJ250">$Z250  * (1 + SUM( ($AU$80:$AU$83=CJ$93) * ($BH$79:$BP$79=CJ$94) * ($BH$80:$BP$83) ))</f>
        <v>0.86868476349470836</v>
      </c>
      <c r="CK250" s="578">
        <f t="array" ref="CK250">$Z250  * (1 + SUM( ($AU$80:$AU$83=CK$93) * ($BH$79:$BP$79=CK$94) * ($BH$80:$BP$83) ))</f>
        <v>0.87399999999999989</v>
      </c>
      <c r="CL250" s="579">
        <f t="array" ref="CL250">$Z250  * (1 + SUM( ($AU$80:$AU$83=CL$93) * ($BH$79:$BP$79=CL$94) * ($BH$80:$BP$83) ))</f>
        <v>0.76798018176983229</v>
      </c>
      <c r="CM250" s="579">
        <f t="array" ref="CM250">$Z250  * (1 + SUM( ($AU$80:$AU$83=CM$93) * ($BH$79:$BP$79=CM$94) * ($BH$80:$BP$83) ))</f>
        <v>0.78462944318107974</v>
      </c>
      <c r="CN250" s="579">
        <f t="array" ref="CN250">$Z250  * (1 + SUM( ($AU$80:$AU$83=CN$93) * ($BH$79:$BP$79=CN$94) * ($BH$80:$BP$83) ))</f>
        <v>0.81139141152807071</v>
      </c>
      <c r="CO250" s="579">
        <f t="array" ref="CO250">$Z250  * (1 + SUM( ($AU$80:$AU$83=CO$93) * ($BH$79:$BP$79=CO$94) * ($BH$80:$BP$83) ))</f>
        <v>0.84859164108337104</v>
      </c>
      <c r="CP250" s="579">
        <f t="array" ref="CP250">$Z250  * (1 + SUM( ($AU$80:$AU$83=CP$93) * ($BH$79:$BP$79=CP$94) * ($BH$80:$BP$83) ))</f>
        <v>0.89106881685351402</v>
      </c>
      <c r="CQ250" s="579">
        <f t="array" ref="CQ250">$Z250  * (1 + SUM( ($AU$80:$AU$83=CQ$93) * ($BH$79:$BP$79=CQ$94) * ($BH$80:$BP$83) ))</f>
        <v>0.92992727142658305</v>
      </c>
      <c r="CR250" s="579">
        <f t="array" ref="CR250">$Z250  * (1 + SUM( ($AU$80:$AU$83=CR$93) * ($BH$79:$BP$79=CR$94) * ($BH$80:$BP$83) ))</f>
        <v>0.95889770860235302</v>
      </c>
      <c r="CS250" s="579">
        <f t="array" ref="CS250">$Z250  * (1 + SUM( ($AU$80:$AU$83=CS$93) * ($BH$79:$BP$79=CS$94) * ($BH$80:$BP$83) ))</f>
        <v>0.9773695269894167</v>
      </c>
      <c r="CT250" s="579">
        <f t="array" ref="CT250">$Z250  * (1 + SUM( ($AU$80:$AU$83=CT$93) * ($BH$79:$BP$79=CT$94) * ($BH$80:$BP$83) ))</f>
        <v>0.9880000000000001</v>
      </c>
      <c r="CU250" s="578">
        <f t="array" ref="CU250">$Z250  * (1 + SUM( ($AU$80:$AU$83=CU$93) * ($BH$79:$BP$79=CU$94) * ($BH$80:$BP$83) ))</f>
        <v>0.77064024235977646</v>
      </c>
      <c r="CV250" s="578">
        <f t="array" ref="CV250">$Z250  * (1 + SUM( ($AU$80:$AU$83=CV$93) * ($BH$79:$BP$79=CV$94) * ($BH$80:$BP$83) ))</f>
        <v>0.79283925757477292</v>
      </c>
      <c r="CW250" s="578">
        <f t="array" ref="CW250">$Z250  * (1 + SUM( ($AU$80:$AU$83=CW$93) * ($BH$79:$BP$79=CW$94) * ($BH$80:$BP$83) ))</f>
        <v>0.8285218820374276</v>
      </c>
      <c r="CX250" s="578">
        <f t="array" ref="CX250">$Z250  * (1 + SUM( ($AU$80:$AU$83=CX$93) * ($BH$79:$BP$79=CX$94) * ($BH$80:$BP$83) ))</f>
        <v>0.87812218811116161</v>
      </c>
      <c r="CY250" s="578">
        <f t="array" ref="CY250">$Z250  * (1 + SUM( ($AU$80:$AU$83=CY$93) * ($BH$79:$BP$79=CY$94) * ($BH$80:$BP$83) ))</f>
        <v>0.9347584224713521</v>
      </c>
      <c r="CZ250" s="578">
        <f t="array" ref="CZ250">$Z250  * (1 + SUM( ($AU$80:$AU$83=CZ$93) * ($BH$79:$BP$79=CZ$94) * ($BH$80:$BP$83) ))</f>
        <v>0.98656969523544402</v>
      </c>
      <c r="DA250" s="578">
        <f t="array" ref="DA250">$Z250  * (1 + SUM( ($AU$80:$AU$83=DA$93) * ($BH$79:$BP$79=DA$94) * ($BH$80:$BP$83) ))</f>
        <v>1.0251969448031375</v>
      </c>
      <c r="DB250" s="578">
        <f t="array" ref="DB250">$Z250  * (1 + SUM( ($AU$80:$AU$83=DB$93) * ($BH$79:$BP$79=DB$94) * ($BH$80:$BP$83) ))</f>
        <v>1.0498260359858889</v>
      </c>
      <c r="DC250" s="578">
        <f t="array" ref="DC250">$Z250  * (1 + SUM( ($AU$80:$AU$83=DC$93) * ($BH$79:$BP$79=DC$94) * ($BH$80:$BP$83) ))</f>
        <v>1.0639999999999998</v>
      </c>
    </row>
    <row r="251" spans="1:107">
      <c r="A251" s="585" t="s">
        <v>1029</v>
      </c>
      <c r="B251" s="585" t="s">
        <v>1028</v>
      </c>
      <c r="C251" s="584" t="s">
        <v>1027</v>
      </c>
      <c r="D251" s="584" t="s">
        <v>911</v>
      </c>
      <c r="E251" s="538">
        <v>0.6</v>
      </c>
      <c r="F251" s="540">
        <v>0.56299999999999994</v>
      </c>
      <c r="G251" s="539">
        <v>100</v>
      </c>
      <c r="H251" s="540">
        <v>0</v>
      </c>
      <c r="I251" s="580"/>
      <c r="J251" s="541">
        <v>1</v>
      </c>
      <c r="K251" s="540">
        <v>0</v>
      </c>
      <c r="L251" s="540">
        <v>0</v>
      </c>
      <c r="M251" s="580"/>
      <c r="N251" s="580"/>
      <c r="O251" s="580"/>
      <c r="P251" s="583">
        <v>0</v>
      </c>
      <c r="Q251" s="581">
        <v>0.05</v>
      </c>
      <c r="R251" s="581">
        <v>0.25</v>
      </c>
      <c r="S251" s="581">
        <v>0.5</v>
      </c>
      <c r="T251" s="580"/>
      <c r="U251" s="582">
        <v>0</v>
      </c>
      <c r="V251" s="581">
        <v>0</v>
      </c>
      <c r="W251" s="581">
        <v>0</v>
      </c>
      <c r="X251" s="581">
        <v>0</v>
      </c>
      <c r="Y251" s="580"/>
      <c r="Z251" s="582">
        <v>0.7</v>
      </c>
      <c r="AA251" s="581">
        <v>0.7</v>
      </c>
      <c r="AB251" s="581">
        <v>0.7</v>
      </c>
      <c r="AC251" s="581">
        <v>0.7</v>
      </c>
      <c r="AD251" s="581">
        <v>0.7</v>
      </c>
      <c r="AE251" s="581">
        <v>0.7</v>
      </c>
      <c r="AF251" s="581">
        <v>0.7</v>
      </c>
      <c r="AG251" s="580"/>
      <c r="AH251" s="1163">
        <v>156</v>
      </c>
      <c r="AI251" s="1162" t="str">
        <f t="shared" si="30"/>
        <v>OTSWAS</v>
      </c>
      <c r="AJ251" s="1160">
        <v>1.8162739032322635E-3</v>
      </c>
      <c r="AK251" s="1160">
        <v>1.8162739032322635E-3</v>
      </c>
      <c r="AL251" s="1160">
        <v>1.8162739032322635E-3</v>
      </c>
      <c r="AM251" s="1160">
        <v>1.8162739032322635E-3</v>
      </c>
      <c r="AN251" s="1160">
        <v>1.8162739032322635E-3</v>
      </c>
      <c r="AO251" s="1160">
        <v>1.8162739032322635E-3</v>
      </c>
      <c r="AP251" s="1160">
        <v>1.8162739032322635E-3</v>
      </c>
      <c r="AQ251" s="1160">
        <v>1.8162739032322635E-3</v>
      </c>
      <c r="AR251" s="1160">
        <v>1.8162739032322635E-3</v>
      </c>
      <c r="AS251" s="1159">
        <v>1.8162739032322635E-3</v>
      </c>
      <c r="AT251" s="1159">
        <v>1.8162739032322635E-3</v>
      </c>
      <c r="AU251" s="1159">
        <v>1.8162739032322635E-3</v>
      </c>
      <c r="AV251" s="1159">
        <v>1.8162739032322635E-3</v>
      </c>
      <c r="AW251" s="1159">
        <v>1.8162739032322635E-3</v>
      </c>
      <c r="AX251" s="1159">
        <v>1.8162739032322635E-3</v>
      </c>
      <c r="AY251" s="1159">
        <v>1.8162739032322635E-3</v>
      </c>
      <c r="AZ251" s="1159">
        <v>1.8162739032322635E-3</v>
      </c>
      <c r="BA251" s="1159">
        <v>1.8162739032322635E-3</v>
      </c>
      <c r="BB251" s="1160">
        <v>1.8162739032322635E-3</v>
      </c>
      <c r="BC251" s="1160">
        <v>1.8162739032322635E-3</v>
      </c>
      <c r="BD251" s="1160">
        <v>1.8162739032322635E-3</v>
      </c>
      <c r="BE251" s="1160">
        <v>1.8162739032322635E-3</v>
      </c>
      <c r="BF251" s="1160">
        <v>1.8162739032322635E-3</v>
      </c>
      <c r="BG251" s="1160">
        <v>1.8162739032322635E-3</v>
      </c>
      <c r="BH251" s="1160">
        <v>1.8162739032322635E-3</v>
      </c>
      <c r="BI251" s="1160">
        <v>1.8162739032322635E-3</v>
      </c>
      <c r="BJ251" s="1160">
        <v>1.8162739032322635E-3</v>
      </c>
      <c r="BK251" s="1159">
        <v>1.8162739032322635E-3</v>
      </c>
      <c r="BL251" s="1159">
        <v>1.8162739032322635E-3</v>
      </c>
      <c r="BM251" s="1159">
        <v>1.8162739032322635E-3</v>
      </c>
      <c r="BN251" s="1159">
        <v>1.8162739032322635E-3</v>
      </c>
      <c r="BO251" s="1159">
        <v>1.8162739032322635E-3</v>
      </c>
      <c r="BP251" s="1159">
        <v>1.8162739032322635E-3</v>
      </c>
      <c r="BQ251" s="1159">
        <v>1.8162739032322635E-3</v>
      </c>
      <c r="BR251" s="1159">
        <v>1.8162739032322635E-3</v>
      </c>
      <c r="BS251" s="1159">
        <v>1.8162739032322635E-3</v>
      </c>
      <c r="BT251" s="579">
        <f t="array" ref="BT251">$Z251  * (1 + SUM( ($AU$80:$AU$83=BT$93) * ($BH$79:$BP$79=BT$94) * ($BH$80:$BP$83) ))</f>
        <v>0.70024500558065272</v>
      </c>
      <c r="BU251" s="579">
        <f t="array" ref="BU251">$Z251  * (1 + SUM( ($AU$80:$AU$83=BU$93) * ($BH$79:$BP$79=BU$94) * ($BH$80:$BP$83) ))</f>
        <v>0.70075616711520849</v>
      </c>
      <c r="BV251" s="579">
        <f t="array" ref="BV251">$Z251  * (1 + SUM( ($AU$80:$AU$83=BV$93) * ($BH$79:$BP$79=BV$94) * ($BH$80:$BP$83) ))</f>
        <v>0.70157780649428281</v>
      </c>
      <c r="BW251" s="579">
        <f t="array" ref="BW251">$Z251  * (1 + SUM( ($AU$80:$AU$83=BW$93) * ($BH$79:$BP$79=BW$94) * ($BH$80:$BP$83) ))</f>
        <v>0.70271991880519113</v>
      </c>
      <c r="BX251" s="579">
        <f t="array" ref="BX251">$Z251  * (1 + SUM( ($AU$80:$AU$83=BX$93) * ($BH$79:$BP$79=BX$94) * ($BH$80:$BP$83) ))</f>
        <v>0.70402404262269558</v>
      </c>
      <c r="BY251" s="579">
        <f t="array" ref="BY251">$Z251  * (1 + SUM( ($AU$80:$AU$83=BY$93) * ($BH$79:$BP$79=BY$94) * ($BH$80:$BP$83) ))</f>
        <v>0.70521706535081619</v>
      </c>
      <c r="BZ251" s="579">
        <f t="array" ref="BZ251">$Z251  * (1 + SUM( ($AU$80:$AU$83=BZ$93) * ($BH$79:$BP$79=BZ$94) * ($BH$80:$BP$83) ))</f>
        <v>0.70610650859744051</v>
      </c>
      <c r="CA251" s="579">
        <f t="array" ref="CA251">$Z251  * (1 + SUM( ($AU$80:$AU$83=CA$93) * ($BH$79:$BP$79=CA$94) * ($BH$80:$BP$83) ))</f>
        <v>0.70667362582862236</v>
      </c>
      <c r="CB251" s="579">
        <f t="array" ref="CB251">$Z251  * (1 + SUM( ($AU$80:$AU$83=CB$93) * ($BH$79:$BP$79=CB$94) * ($BH$80:$BP$83) ))</f>
        <v>0.70699999999999996</v>
      </c>
      <c r="CC251" s="578">
        <f t="array" ref="CC251">$Z251  * (1 + SUM( ($AU$80:$AU$83=CC$93) * ($BH$79:$BP$79=CC$94) * ($BH$80:$BP$83) ))</f>
        <v>0.70367508370979115</v>
      </c>
      <c r="CD251" s="578">
        <f t="array" ref="CD251">$Z251  * (1 + SUM( ($AU$80:$AU$83=CD$93) * ($BH$79:$BP$79=CD$94) * ($BH$80:$BP$83) ))</f>
        <v>0.71134250672812871</v>
      </c>
      <c r="CE251" s="578">
        <f t="array" ref="CE251">$Z251  * (1 + SUM( ($AU$80:$AU$83=CE$93) * ($BH$79:$BP$79=CE$94) * ($BH$80:$BP$83) ))</f>
        <v>0.72366709741424307</v>
      </c>
      <c r="CF251" s="578">
        <f t="array" ref="CF251">$Z251  * (1 + SUM( ($AU$80:$AU$83=CF$93) * ($BH$79:$BP$79=CF$94) * ($BH$80:$BP$83) ))</f>
        <v>0.74079878207786831</v>
      </c>
      <c r="CG251" s="578">
        <f t="array" ref="CG251">$Z251  * (1 + SUM( ($AU$80:$AU$83=CG$93) * ($BH$79:$BP$79=CG$94) * ($BH$80:$BP$83) ))</f>
        <v>0.76036063934043396</v>
      </c>
      <c r="CH251" s="578">
        <f t="array" ref="CH251">$Z251  * (1 + SUM( ($AU$80:$AU$83=CH$93) * ($BH$79:$BP$79=CH$94) * ($BH$80:$BP$83) ))</f>
        <v>0.77825598026224219</v>
      </c>
      <c r="CI251" s="578">
        <f t="array" ref="CI251">$Z251  * (1 + SUM( ($AU$80:$AU$83=CI$93) * ($BH$79:$BP$79=CI$94) * ($BH$80:$BP$83) ))</f>
        <v>0.79159762896160979</v>
      </c>
      <c r="CJ251" s="578">
        <f t="array" ref="CJ251">$Z251  * (1 + SUM( ($AU$80:$AU$83=CJ$93) * ($BH$79:$BP$79=CJ$94) * ($BH$80:$BP$83) ))</f>
        <v>0.80010438742933654</v>
      </c>
      <c r="CK251" s="578">
        <f t="array" ref="CK251">$Z251  * (1 + SUM( ($AU$80:$AU$83=CK$93) * ($BH$79:$BP$79=CK$94) * ($BH$80:$BP$83) ))</f>
        <v>0.80499999999999994</v>
      </c>
      <c r="CL251" s="579">
        <f t="array" ref="CL251">$Z251  * (1 + SUM( ($AU$80:$AU$83=CL$93) * ($BH$79:$BP$79=CL$94) * ($BH$80:$BP$83) ))</f>
        <v>0.70735016741958234</v>
      </c>
      <c r="CM251" s="579">
        <f t="array" ref="CM251">$Z251  * (1 + SUM( ($AU$80:$AU$83=CM$93) * ($BH$79:$BP$79=CM$94) * ($BH$80:$BP$83) ))</f>
        <v>0.72268501345625757</v>
      </c>
      <c r="CN251" s="579">
        <f t="array" ref="CN251">$Z251  * (1 + SUM( ($AU$80:$AU$83=CN$93) * ($BH$79:$BP$79=CN$94) * ($BH$80:$BP$83) ))</f>
        <v>0.74733419482848618</v>
      </c>
      <c r="CO251" s="579">
        <f t="array" ref="CO251">$Z251  * (1 + SUM( ($AU$80:$AU$83=CO$93) * ($BH$79:$BP$79=CO$94) * ($BH$80:$BP$83) ))</f>
        <v>0.78159756415573645</v>
      </c>
      <c r="CP251" s="579">
        <f t="array" ref="CP251">$Z251  * (1 + SUM( ($AU$80:$AU$83=CP$93) * ($BH$79:$BP$79=CP$94) * ($BH$80:$BP$83) ))</f>
        <v>0.82072127868086819</v>
      </c>
      <c r="CQ251" s="579">
        <f t="array" ref="CQ251">$Z251  * (1 + SUM( ($AU$80:$AU$83=CQ$93) * ($BH$79:$BP$79=CQ$94) * ($BH$80:$BP$83) ))</f>
        <v>0.85651196052448431</v>
      </c>
      <c r="CR251" s="579">
        <f t="array" ref="CR251">$Z251  * (1 + SUM( ($AU$80:$AU$83=CR$93) * ($BH$79:$BP$79=CR$94) * ($BH$80:$BP$83) ))</f>
        <v>0.88319525792321985</v>
      </c>
      <c r="CS251" s="579">
        <f t="array" ref="CS251">$Z251  * (1 + SUM( ($AU$80:$AU$83=CS$93) * ($BH$79:$BP$79=CS$94) * ($BH$80:$BP$83) ))</f>
        <v>0.90020877485867323</v>
      </c>
      <c r="CT251" s="579">
        <f t="array" ref="CT251">$Z251  * (1 + SUM( ($AU$80:$AU$83=CT$93) * ($BH$79:$BP$79=CT$94) * ($BH$80:$BP$83) ))</f>
        <v>0.90999999999999992</v>
      </c>
      <c r="CU251" s="578">
        <f t="array" ref="CU251">$Z251  * (1 + SUM( ($AU$80:$AU$83=CU$93) * ($BH$79:$BP$79=CU$94) * ($BH$80:$BP$83) ))</f>
        <v>0.70980022322610981</v>
      </c>
      <c r="CV251" s="578">
        <f t="array" ref="CV251">$Z251  * (1 + SUM( ($AU$80:$AU$83=CV$93) * ($BH$79:$BP$79=CV$94) * ($BH$80:$BP$83) ))</f>
        <v>0.73024668460834341</v>
      </c>
      <c r="CW251" s="578">
        <f t="array" ref="CW251">$Z251  * (1 + SUM( ($AU$80:$AU$83=CW$93) * ($BH$79:$BP$79=CW$94) * ($BH$80:$BP$83) ))</f>
        <v>0.7631122597713148</v>
      </c>
      <c r="CX251" s="578">
        <f t="array" ref="CX251">$Z251  * (1 + SUM( ($AU$80:$AU$83=CX$93) * ($BH$79:$BP$79=CX$94) * ($BH$80:$BP$83) ))</f>
        <v>0.80879675220764879</v>
      </c>
      <c r="CY251" s="578">
        <f t="array" ref="CY251">$Z251  * (1 + SUM( ($AU$80:$AU$83=CY$93) * ($BH$79:$BP$79=CY$94) * ($BH$80:$BP$83) ))</f>
        <v>0.8609617049078242</v>
      </c>
      <c r="CZ251" s="578">
        <f t="array" ref="CZ251">$Z251  * (1 + SUM( ($AU$80:$AU$83=CZ$93) * ($BH$79:$BP$79=CZ$94) * ($BH$80:$BP$83) ))</f>
        <v>0.90868261403264572</v>
      </c>
      <c r="DA251" s="578">
        <f t="array" ref="DA251">$Z251  * (1 + SUM( ($AU$80:$AU$83=DA$93) * ($BH$79:$BP$79=DA$94) * ($BH$80:$BP$83) ))</f>
        <v>0.94426034389762659</v>
      </c>
      <c r="DB251" s="578">
        <f t="array" ref="DB251">$Z251  * (1 + SUM( ($AU$80:$AU$83=DB$93) * ($BH$79:$BP$79=DB$94) * ($BH$80:$BP$83) ))</f>
        <v>0.96694503314489766</v>
      </c>
      <c r="DC251" s="578">
        <f t="array" ref="DC251">$Z251  * (1 + SUM( ($AU$80:$AU$83=DC$93) * ($BH$79:$BP$79=DC$94) * ($BH$80:$BP$83) ))</f>
        <v>0.97999999999999987</v>
      </c>
    </row>
    <row r="252" spans="1:107">
      <c r="A252" s="1167" t="s">
        <v>1026</v>
      </c>
      <c r="B252" s="1167" t="s">
        <v>1025</v>
      </c>
      <c r="C252" s="1166" t="s">
        <v>1024</v>
      </c>
      <c r="D252" s="1166" t="s">
        <v>910</v>
      </c>
      <c r="E252" s="577">
        <v>1</v>
      </c>
      <c r="F252" s="574">
        <v>1</v>
      </c>
      <c r="G252" s="576">
        <v>100</v>
      </c>
      <c r="H252" s="574">
        <v>7.8658203618</v>
      </c>
      <c r="I252" s="1164"/>
      <c r="J252" s="575">
        <v>1</v>
      </c>
      <c r="K252" s="574">
        <v>7.8658203618</v>
      </c>
      <c r="L252" s="574">
        <v>7.8658203618</v>
      </c>
      <c r="M252" s="1164"/>
      <c r="N252" s="1164"/>
      <c r="O252" s="1164"/>
      <c r="P252" s="1160">
        <v>1</v>
      </c>
      <c r="Q252" s="572">
        <v>1</v>
      </c>
      <c r="R252" s="572">
        <v>1</v>
      </c>
      <c r="S252" s="572">
        <v>1</v>
      </c>
      <c r="T252" s="1164"/>
      <c r="U252" s="573">
        <v>1</v>
      </c>
      <c r="V252" s="572">
        <v>0.6</v>
      </c>
      <c r="W252" s="572">
        <v>0.4</v>
      </c>
      <c r="X252" s="572">
        <v>0.2</v>
      </c>
      <c r="Y252" s="1164"/>
      <c r="Z252" s="573">
        <v>1</v>
      </c>
      <c r="AA252" s="572">
        <v>1</v>
      </c>
      <c r="AB252" s="572">
        <v>1</v>
      </c>
      <c r="AC252" s="572">
        <v>1</v>
      </c>
      <c r="AD252" s="572">
        <v>1</v>
      </c>
      <c r="AE252" s="572">
        <v>1</v>
      </c>
      <c r="AF252" s="572">
        <v>1</v>
      </c>
      <c r="AG252" s="1164"/>
      <c r="AH252" s="1163">
        <v>157</v>
      </c>
      <c r="AI252" s="1162" t="str">
        <f t="shared" si="30"/>
        <v>OTRODS</v>
      </c>
      <c r="AJ252" s="1165">
        <f>Z252</f>
        <v>1</v>
      </c>
      <c r="AK252" s="1165">
        <f t="shared" ref="AK252:BP252" si="32">AJ252</f>
        <v>1</v>
      </c>
      <c r="AL252" s="1165">
        <f t="shared" si="32"/>
        <v>1</v>
      </c>
      <c r="AM252" s="1165">
        <f t="shared" si="32"/>
        <v>1</v>
      </c>
      <c r="AN252" s="1165">
        <f t="shared" si="32"/>
        <v>1</v>
      </c>
      <c r="AO252" s="1165">
        <f t="shared" si="32"/>
        <v>1</v>
      </c>
      <c r="AP252" s="1165">
        <f t="shared" si="32"/>
        <v>1</v>
      </c>
      <c r="AQ252" s="1165">
        <f t="shared" si="32"/>
        <v>1</v>
      </c>
      <c r="AR252" s="1165">
        <f t="shared" si="32"/>
        <v>1</v>
      </c>
      <c r="AS252" s="1165">
        <f t="shared" si="32"/>
        <v>1</v>
      </c>
      <c r="AT252" s="1165">
        <f t="shared" si="32"/>
        <v>1</v>
      </c>
      <c r="AU252" s="1165">
        <f t="shared" si="32"/>
        <v>1</v>
      </c>
      <c r="AV252" s="1165">
        <f t="shared" si="32"/>
        <v>1</v>
      </c>
      <c r="AW252" s="1165">
        <f t="shared" si="32"/>
        <v>1</v>
      </c>
      <c r="AX252" s="1165">
        <f t="shared" si="32"/>
        <v>1</v>
      </c>
      <c r="AY252" s="1165">
        <f t="shared" si="32"/>
        <v>1</v>
      </c>
      <c r="AZ252" s="1165">
        <f t="shared" si="32"/>
        <v>1</v>
      </c>
      <c r="BA252" s="1165">
        <f t="shared" si="32"/>
        <v>1</v>
      </c>
      <c r="BB252" s="1165">
        <f t="shared" si="32"/>
        <v>1</v>
      </c>
      <c r="BC252" s="1165">
        <f t="shared" si="32"/>
        <v>1</v>
      </c>
      <c r="BD252" s="1165">
        <f t="shared" si="32"/>
        <v>1</v>
      </c>
      <c r="BE252" s="1165">
        <f t="shared" si="32"/>
        <v>1</v>
      </c>
      <c r="BF252" s="1165">
        <f t="shared" si="32"/>
        <v>1</v>
      </c>
      <c r="BG252" s="1165">
        <f t="shared" si="32"/>
        <v>1</v>
      </c>
      <c r="BH252" s="1165">
        <f t="shared" si="32"/>
        <v>1</v>
      </c>
      <c r="BI252" s="1165">
        <f t="shared" si="32"/>
        <v>1</v>
      </c>
      <c r="BJ252" s="1165">
        <f t="shared" si="32"/>
        <v>1</v>
      </c>
      <c r="BK252" s="1165">
        <f t="shared" si="32"/>
        <v>1</v>
      </c>
      <c r="BL252" s="1165">
        <f t="shared" si="32"/>
        <v>1</v>
      </c>
      <c r="BM252" s="1165">
        <f t="shared" si="32"/>
        <v>1</v>
      </c>
      <c r="BN252" s="1165">
        <f t="shared" si="32"/>
        <v>1</v>
      </c>
      <c r="BO252" s="1165">
        <f t="shared" si="32"/>
        <v>1</v>
      </c>
      <c r="BP252" s="1165">
        <f t="shared" si="32"/>
        <v>1</v>
      </c>
      <c r="BQ252" s="1165">
        <f t="shared" ref="BQ252:CV252" si="33">BP252</f>
        <v>1</v>
      </c>
      <c r="BR252" s="1165">
        <f t="shared" si="33"/>
        <v>1</v>
      </c>
      <c r="BS252" s="1165">
        <f t="shared" si="33"/>
        <v>1</v>
      </c>
      <c r="BT252" s="1165">
        <f t="shared" si="33"/>
        <v>1</v>
      </c>
      <c r="BU252" s="1165">
        <f t="shared" si="33"/>
        <v>1</v>
      </c>
      <c r="BV252" s="1165">
        <f t="shared" si="33"/>
        <v>1</v>
      </c>
      <c r="BW252" s="1165">
        <f t="shared" si="33"/>
        <v>1</v>
      </c>
      <c r="BX252" s="1165">
        <f t="shared" si="33"/>
        <v>1</v>
      </c>
      <c r="BY252" s="1165">
        <f t="shared" si="33"/>
        <v>1</v>
      </c>
      <c r="BZ252" s="1165">
        <f t="shared" si="33"/>
        <v>1</v>
      </c>
      <c r="CA252" s="1165">
        <f t="shared" si="33"/>
        <v>1</v>
      </c>
      <c r="CB252" s="1165">
        <f t="shared" si="33"/>
        <v>1</v>
      </c>
      <c r="CC252" s="1165">
        <f t="shared" si="33"/>
        <v>1</v>
      </c>
      <c r="CD252" s="1165">
        <f t="shared" si="33"/>
        <v>1</v>
      </c>
      <c r="CE252" s="1165">
        <f t="shared" si="33"/>
        <v>1</v>
      </c>
      <c r="CF252" s="1165">
        <f t="shared" si="33"/>
        <v>1</v>
      </c>
      <c r="CG252" s="1165">
        <f t="shared" si="33"/>
        <v>1</v>
      </c>
      <c r="CH252" s="1165">
        <f t="shared" si="33"/>
        <v>1</v>
      </c>
      <c r="CI252" s="1165">
        <f t="shared" si="33"/>
        <v>1</v>
      </c>
      <c r="CJ252" s="1165">
        <f t="shared" si="33"/>
        <v>1</v>
      </c>
      <c r="CK252" s="1165">
        <f t="shared" si="33"/>
        <v>1</v>
      </c>
      <c r="CL252" s="1165">
        <f t="shared" si="33"/>
        <v>1</v>
      </c>
      <c r="CM252" s="1165">
        <f t="shared" si="33"/>
        <v>1</v>
      </c>
      <c r="CN252" s="1165">
        <f t="shared" si="33"/>
        <v>1</v>
      </c>
      <c r="CO252" s="1165">
        <f t="shared" si="33"/>
        <v>1</v>
      </c>
      <c r="CP252" s="1165">
        <f t="shared" si="33"/>
        <v>1</v>
      </c>
      <c r="CQ252" s="1165">
        <f t="shared" si="33"/>
        <v>1</v>
      </c>
      <c r="CR252" s="1165">
        <f t="shared" si="33"/>
        <v>1</v>
      </c>
      <c r="CS252" s="1165">
        <f t="shared" si="33"/>
        <v>1</v>
      </c>
      <c r="CT252" s="1165">
        <f t="shared" si="33"/>
        <v>1</v>
      </c>
      <c r="CU252" s="1165">
        <f t="shared" si="33"/>
        <v>1</v>
      </c>
      <c r="CV252" s="1165">
        <f t="shared" si="33"/>
        <v>1</v>
      </c>
      <c r="CW252" s="1165">
        <f t="shared" ref="CW252:DC252" si="34">CV252</f>
        <v>1</v>
      </c>
      <c r="CX252" s="1165">
        <f t="shared" si="34"/>
        <v>1</v>
      </c>
      <c r="CY252" s="1165">
        <f t="shared" si="34"/>
        <v>1</v>
      </c>
      <c r="CZ252" s="1165">
        <f t="shared" si="34"/>
        <v>1</v>
      </c>
      <c r="DA252" s="1165">
        <f t="shared" si="34"/>
        <v>1</v>
      </c>
      <c r="DB252" s="1165">
        <f t="shared" si="34"/>
        <v>1</v>
      </c>
      <c r="DC252" s="1165">
        <f t="shared" si="34"/>
        <v>1</v>
      </c>
    </row>
    <row r="253" spans="1:107">
      <c r="A253" s="1164" t="s">
        <v>814</v>
      </c>
      <c r="B253" s="1164"/>
      <c r="C253" s="1164"/>
      <c r="D253" s="1164"/>
      <c r="E253" s="1164"/>
      <c r="F253" s="1164"/>
      <c r="G253" s="1164"/>
      <c r="H253" s="1164"/>
      <c r="I253" s="1164"/>
      <c r="J253" s="1164"/>
      <c r="K253" s="1164"/>
      <c r="L253" s="1164"/>
      <c r="M253" s="1164"/>
      <c r="N253" s="1164"/>
      <c r="O253" s="1164"/>
      <c r="P253" s="1163" t="s">
        <v>881</v>
      </c>
      <c r="Q253" s="1164"/>
      <c r="R253" s="1164"/>
      <c r="S253" s="1164"/>
      <c r="T253" s="1164"/>
      <c r="U253" s="1163" t="s">
        <v>881</v>
      </c>
      <c r="V253" s="1164"/>
      <c r="W253" s="1164"/>
      <c r="X253" s="1164"/>
      <c r="Y253" s="1164"/>
      <c r="Z253" s="1164"/>
      <c r="AA253" s="1164"/>
      <c r="AB253" s="1164"/>
      <c r="AC253" s="1164"/>
      <c r="AD253" s="1164"/>
      <c r="AE253" s="1164"/>
      <c r="AF253" s="1164"/>
      <c r="AG253" s="1164"/>
      <c r="AH253" s="1163">
        <v>158</v>
      </c>
      <c r="AI253" s="1162" t="str">
        <f>MID(D253,2,2)</f>
        <v/>
      </c>
      <c r="AS253" s="571"/>
      <c r="AT253" s="571"/>
      <c r="AU253" s="571"/>
      <c r="AV253" s="571"/>
      <c r="AW253" s="571"/>
      <c r="AX253" s="571"/>
      <c r="AY253" s="571"/>
      <c r="AZ253" s="571"/>
      <c r="BA253" s="571"/>
      <c r="BK253" s="571"/>
      <c r="BL253" s="571"/>
      <c r="BM253" s="571"/>
      <c r="BN253" s="571"/>
      <c r="BO253" s="571"/>
      <c r="BP253" s="571"/>
      <c r="BQ253" s="571"/>
      <c r="BR253" s="571"/>
      <c r="BS253" s="571"/>
    </row>
    <row r="254" spans="1:107" s="566" customFormat="1" ht="14">
      <c r="A254" s="568"/>
      <c r="B254" s="570"/>
      <c r="C254" s="568"/>
      <c r="D254" s="568"/>
      <c r="E254" s="568"/>
      <c r="F254" s="568"/>
      <c r="G254" s="568"/>
      <c r="H254" s="568"/>
      <c r="I254" s="568"/>
      <c r="J254" s="568" t="s">
        <v>124</v>
      </c>
      <c r="K254" s="569">
        <v>149</v>
      </c>
      <c r="L254" s="568">
        <v>131</v>
      </c>
      <c r="M254" s="568"/>
      <c r="N254" s="568"/>
      <c r="O254" s="568"/>
      <c r="P254" s="568"/>
      <c r="Q254" s="568"/>
      <c r="R254" s="568"/>
      <c r="S254" s="568"/>
      <c r="T254" s="568"/>
      <c r="U254" s="568"/>
      <c r="V254" s="568"/>
      <c r="W254" s="568"/>
      <c r="X254" s="568"/>
      <c r="Y254" s="568"/>
      <c r="Z254" s="568"/>
      <c r="AA254" s="568"/>
      <c r="AB254" s="568"/>
      <c r="AC254" s="568"/>
      <c r="AD254" s="568"/>
      <c r="AE254" s="568"/>
      <c r="AF254" s="568"/>
      <c r="AG254" s="568"/>
      <c r="AH254" s="568">
        <v>159</v>
      </c>
      <c r="AI254" s="567"/>
    </row>
    <row r="255" spans="1:107">
      <c r="G255" s="1456" t="s">
        <v>2473</v>
      </c>
      <c r="H255" s="1456"/>
      <c r="I255" s="1456"/>
      <c r="J255" s="1456"/>
      <c r="K255" s="1456"/>
      <c r="L255" s="1456"/>
      <c r="M255" s="1456"/>
      <c r="N255" s="1456"/>
    </row>
    <row r="256" spans="1:107">
      <c r="G256" s="1629">
        <v>0.6</v>
      </c>
      <c r="H256" s="38" t="s">
        <v>2467</v>
      </c>
    </row>
    <row r="257" spans="1:107" ht="53.25" customHeight="1" thickBot="1">
      <c r="A257" s="1161" t="s">
        <v>1023</v>
      </c>
      <c r="B257" s="1161" t="s">
        <v>554</v>
      </c>
      <c r="C257" s="1161" t="s">
        <v>226</v>
      </c>
      <c r="D257" s="1161" t="s">
        <v>1022</v>
      </c>
      <c r="E257" s="1161" t="s">
        <v>1021</v>
      </c>
      <c r="F257" s="1161" t="s">
        <v>1020</v>
      </c>
      <c r="G257" s="1161" t="s">
        <v>2476</v>
      </c>
      <c r="H257" s="1161" t="s">
        <v>2470</v>
      </c>
      <c r="I257" s="1161" t="s">
        <v>2471</v>
      </c>
      <c r="J257" s="1161" t="s">
        <v>2472</v>
      </c>
      <c r="K257" s="1161" t="s">
        <v>2480</v>
      </c>
      <c r="L257" s="1161" t="s">
        <v>2479</v>
      </c>
      <c r="M257" s="1161" t="s">
        <v>1826</v>
      </c>
      <c r="N257" s="1161" t="s">
        <v>1827</v>
      </c>
    </row>
    <row r="258" spans="1:107">
      <c r="A258" s="1086" t="s">
        <v>1014</v>
      </c>
      <c r="B258" s="1086" t="s">
        <v>1015</v>
      </c>
      <c r="C258" s="1085"/>
      <c r="E258" s="1261">
        <v>5</v>
      </c>
      <c r="F258" s="1086">
        <f>0.85*0.88</f>
        <v>0.748</v>
      </c>
      <c r="G258" s="266"/>
      <c r="AI258" s="462" t="str">
        <f t="shared" ref="AI258:AI265" si="35">$B258&amp;$B$257</f>
        <v>MICHP</v>
      </c>
      <c r="AJ258" s="1160">
        <v>0</v>
      </c>
      <c r="AK258" s="1160">
        <v>0</v>
      </c>
      <c r="AL258" s="1160">
        <v>0</v>
      </c>
      <c r="AM258" s="1160">
        <v>0</v>
      </c>
      <c r="AN258" s="1160">
        <v>0</v>
      </c>
      <c r="AO258" s="1160">
        <v>0</v>
      </c>
      <c r="AP258" s="1160">
        <v>0</v>
      </c>
      <c r="AQ258" s="1160">
        <v>0</v>
      </c>
      <c r="AR258" s="1160">
        <v>0</v>
      </c>
      <c r="AS258" s="1159">
        <v>0</v>
      </c>
      <c r="AT258" s="1159">
        <f t="shared" ref="AT258:AT265" si="36">AVERAGE(AS258,AU258)</f>
        <v>7.8125E-3</v>
      </c>
      <c r="AU258" s="1159">
        <f t="shared" ref="AU258:AU265" si="37">0.5*AW258</f>
        <v>1.5625E-2</v>
      </c>
      <c r="AV258" s="1159">
        <f t="shared" ref="AV258:AV265" si="38">AVERAGE(AU258,AW258)</f>
        <v>2.34375E-2</v>
      </c>
      <c r="AW258" s="1159">
        <f t="shared" ref="AW258:AW265" si="39">0.5*AY258</f>
        <v>3.125E-2</v>
      </c>
      <c r="AX258" s="1159">
        <f t="shared" ref="AX258:AX265" si="40">AVERAGE(AW258,AY258)</f>
        <v>4.6875E-2</v>
      </c>
      <c r="AY258" s="1159">
        <f t="shared" ref="AY258:AY265" si="41">0.5*BA258</f>
        <v>6.25E-2</v>
      </c>
      <c r="AZ258" s="1159">
        <f t="shared" ref="AZ258:AZ265" si="42">AVERAGE(AY258,BA258)</f>
        <v>9.375E-2</v>
      </c>
      <c r="BA258" s="1159">
        <f t="shared" ref="BA258:BA265" si="43">0.5*BJ258</f>
        <v>0.125</v>
      </c>
      <c r="BB258" s="1160">
        <v>0</v>
      </c>
      <c r="BC258" s="1160">
        <f t="shared" ref="BC258:BC265" si="44">AVERAGE(BB258,BD258)</f>
        <v>1.5625E-2</v>
      </c>
      <c r="BD258" s="1160">
        <f t="shared" ref="BD258:BD265" si="45">0.5*BF258</f>
        <v>3.125E-2</v>
      </c>
      <c r="BE258" s="1160">
        <f t="shared" ref="BE258:BE265" si="46">AVERAGE(BD258,BF258)</f>
        <v>4.6875E-2</v>
      </c>
      <c r="BF258" s="1160">
        <f t="shared" ref="BF258:BF265" si="47">0.5*BH258</f>
        <v>6.25E-2</v>
      </c>
      <c r="BG258" s="1160">
        <f t="shared" ref="BG258:BG265" si="48">AVERAGE(BF258,BH258)</f>
        <v>9.375E-2</v>
      </c>
      <c r="BH258" s="1160">
        <f t="shared" ref="BH258:BH265" si="49">0.5*BJ258</f>
        <v>0.125</v>
      </c>
      <c r="BI258" s="1160">
        <f t="shared" ref="BI258:BI265" si="50">AVERAGE(BH258,BJ258)</f>
        <v>0.1875</v>
      </c>
      <c r="BJ258" s="1160">
        <f t="shared" ref="BJ258:BJ265" si="51">0.5*BS258</f>
        <v>0.25</v>
      </c>
      <c r="BK258" s="1159">
        <v>0</v>
      </c>
      <c r="BL258" s="1159">
        <f t="shared" ref="BL258:BL265" si="52">AVERAGE(BK258,BM258)</f>
        <v>3.125E-2</v>
      </c>
      <c r="BM258" s="1159">
        <f t="shared" ref="BM258:BM265" si="53">0.5*BO258</f>
        <v>6.25E-2</v>
      </c>
      <c r="BN258" s="1159">
        <f t="shared" ref="BN258:BN265" si="54">AVERAGE(BM258,BO258)</f>
        <v>9.375E-2</v>
      </c>
      <c r="BO258" s="1159">
        <f t="shared" ref="BO258:BO265" si="55">0.5*BQ258</f>
        <v>0.125</v>
      </c>
      <c r="BP258" s="1159">
        <f t="shared" ref="BP258:BP265" si="56">AVERAGE(BO258,BQ258)</f>
        <v>0.1875</v>
      </c>
      <c r="BQ258" s="1159">
        <f t="shared" ref="BQ258:BQ265" si="57">0.5*BS258</f>
        <v>0.25</v>
      </c>
      <c r="BR258" s="1159">
        <f t="shared" ref="BR258:BR265" si="58">AVERAGE(BQ258,BS258)</f>
        <v>0.375</v>
      </c>
      <c r="BS258" s="1159">
        <v>0.5</v>
      </c>
      <c r="BT258" s="579">
        <f t="shared" ref="BT258:CC265" si="59">$F$258</f>
        <v>0.748</v>
      </c>
      <c r="BU258" s="579">
        <f t="shared" si="59"/>
        <v>0.748</v>
      </c>
      <c r="BV258" s="579">
        <f t="shared" si="59"/>
        <v>0.748</v>
      </c>
      <c r="BW258" s="579">
        <f t="shared" si="59"/>
        <v>0.748</v>
      </c>
      <c r="BX258" s="579">
        <f t="shared" si="59"/>
        <v>0.748</v>
      </c>
      <c r="BY258" s="579">
        <f t="shared" si="59"/>
        <v>0.748</v>
      </c>
      <c r="BZ258" s="579">
        <f t="shared" si="59"/>
        <v>0.748</v>
      </c>
      <c r="CA258" s="579">
        <f t="shared" si="59"/>
        <v>0.748</v>
      </c>
      <c r="CB258" s="579">
        <f t="shared" si="59"/>
        <v>0.748</v>
      </c>
      <c r="CC258" s="578">
        <f t="shared" si="59"/>
        <v>0.748</v>
      </c>
      <c r="CD258" s="578">
        <f t="shared" ref="CD258:CM265" si="60">$F$258</f>
        <v>0.748</v>
      </c>
      <c r="CE258" s="578">
        <f t="shared" si="60"/>
        <v>0.748</v>
      </c>
      <c r="CF258" s="578">
        <f t="shared" si="60"/>
        <v>0.748</v>
      </c>
      <c r="CG258" s="578">
        <f t="shared" si="60"/>
        <v>0.748</v>
      </c>
      <c r="CH258" s="578">
        <f t="shared" si="60"/>
        <v>0.748</v>
      </c>
      <c r="CI258" s="578">
        <f t="shared" si="60"/>
        <v>0.748</v>
      </c>
      <c r="CJ258" s="578">
        <f t="shared" si="60"/>
        <v>0.748</v>
      </c>
      <c r="CK258" s="578">
        <f t="shared" si="60"/>
        <v>0.748</v>
      </c>
      <c r="CL258" s="579">
        <f t="shared" si="60"/>
        <v>0.748</v>
      </c>
      <c r="CM258" s="579">
        <f t="shared" si="60"/>
        <v>0.748</v>
      </c>
      <c r="CN258" s="579">
        <f t="shared" ref="CN258:CW265" si="61">$F$258</f>
        <v>0.748</v>
      </c>
      <c r="CO258" s="579">
        <f t="shared" si="61"/>
        <v>0.748</v>
      </c>
      <c r="CP258" s="579">
        <f t="shared" si="61"/>
        <v>0.748</v>
      </c>
      <c r="CQ258" s="579">
        <f t="shared" si="61"/>
        <v>0.748</v>
      </c>
      <c r="CR258" s="579">
        <f t="shared" si="61"/>
        <v>0.748</v>
      </c>
      <c r="CS258" s="579">
        <f t="shared" si="61"/>
        <v>0.748</v>
      </c>
      <c r="CT258" s="579">
        <f t="shared" si="61"/>
        <v>0.748</v>
      </c>
      <c r="CU258" s="578">
        <f t="shared" si="61"/>
        <v>0.748</v>
      </c>
      <c r="CV258" s="578">
        <f t="shared" si="61"/>
        <v>0.748</v>
      </c>
      <c r="CW258" s="578">
        <f t="shared" si="61"/>
        <v>0.748</v>
      </c>
      <c r="CX258" s="578">
        <f t="shared" ref="CX258:DC265" si="62">$F$258</f>
        <v>0.748</v>
      </c>
      <c r="CY258" s="578">
        <f t="shared" si="62"/>
        <v>0.748</v>
      </c>
      <c r="CZ258" s="578">
        <f t="shared" si="62"/>
        <v>0.748</v>
      </c>
      <c r="DA258" s="578">
        <f t="shared" si="62"/>
        <v>0.748</v>
      </c>
      <c r="DB258" s="578">
        <f t="shared" si="62"/>
        <v>0.748</v>
      </c>
      <c r="DC258" s="578">
        <f t="shared" si="62"/>
        <v>0.748</v>
      </c>
    </row>
    <row r="259" spans="1:107">
      <c r="A259" s="1086" t="s">
        <v>1012</v>
      </c>
      <c r="B259" s="1086" t="s">
        <v>1013</v>
      </c>
      <c r="C259" s="1085"/>
      <c r="E259" s="1261">
        <v>0.25</v>
      </c>
      <c r="F259" s="1086">
        <f>F258</f>
        <v>0.748</v>
      </c>
      <c r="AI259" s="462" t="str">
        <f t="shared" si="35"/>
        <v>ISCHP</v>
      </c>
      <c r="AJ259" s="1160">
        <v>0</v>
      </c>
      <c r="AK259" s="1160">
        <v>0</v>
      </c>
      <c r="AL259" s="1160">
        <v>0</v>
      </c>
      <c r="AM259" s="1160">
        <v>0</v>
      </c>
      <c r="AN259" s="1160">
        <v>0</v>
      </c>
      <c r="AO259" s="1160">
        <v>0</v>
      </c>
      <c r="AP259" s="1160">
        <v>0</v>
      </c>
      <c r="AQ259" s="1160">
        <v>0</v>
      </c>
      <c r="AR259" s="1160">
        <v>0</v>
      </c>
      <c r="AS259" s="1159">
        <v>0</v>
      </c>
      <c r="AT259" s="1159">
        <f t="shared" si="36"/>
        <v>7.8125E-3</v>
      </c>
      <c r="AU259" s="1159">
        <f t="shared" si="37"/>
        <v>1.5625E-2</v>
      </c>
      <c r="AV259" s="1159">
        <f t="shared" si="38"/>
        <v>2.34375E-2</v>
      </c>
      <c r="AW259" s="1159">
        <f t="shared" si="39"/>
        <v>3.125E-2</v>
      </c>
      <c r="AX259" s="1159">
        <f t="shared" si="40"/>
        <v>4.6875E-2</v>
      </c>
      <c r="AY259" s="1159">
        <f t="shared" si="41"/>
        <v>6.25E-2</v>
      </c>
      <c r="AZ259" s="1159">
        <f t="shared" si="42"/>
        <v>9.375E-2</v>
      </c>
      <c r="BA259" s="1159">
        <f t="shared" si="43"/>
        <v>0.125</v>
      </c>
      <c r="BB259" s="1160">
        <v>0</v>
      </c>
      <c r="BC259" s="1160">
        <f t="shared" si="44"/>
        <v>1.5625E-2</v>
      </c>
      <c r="BD259" s="1160">
        <f t="shared" si="45"/>
        <v>3.125E-2</v>
      </c>
      <c r="BE259" s="1160">
        <f t="shared" si="46"/>
        <v>4.6875E-2</v>
      </c>
      <c r="BF259" s="1160">
        <f t="shared" si="47"/>
        <v>6.25E-2</v>
      </c>
      <c r="BG259" s="1160">
        <f t="shared" si="48"/>
        <v>9.375E-2</v>
      </c>
      <c r="BH259" s="1160">
        <f t="shared" si="49"/>
        <v>0.125</v>
      </c>
      <c r="BI259" s="1160">
        <f t="shared" si="50"/>
        <v>0.1875</v>
      </c>
      <c r="BJ259" s="1160">
        <f t="shared" si="51"/>
        <v>0.25</v>
      </c>
      <c r="BK259" s="1159">
        <v>0</v>
      </c>
      <c r="BL259" s="1159">
        <f t="shared" si="52"/>
        <v>3.125E-2</v>
      </c>
      <c r="BM259" s="1159">
        <f t="shared" si="53"/>
        <v>6.25E-2</v>
      </c>
      <c r="BN259" s="1159">
        <f t="shared" si="54"/>
        <v>9.375E-2</v>
      </c>
      <c r="BO259" s="1159">
        <f t="shared" si="55"/>
        <v>0.125</v>
      </c>
      <c r="BP259" s="1159">
        <f t="shared" si="56"/>
        <v>0.1875</v>
      </c>
      <c r="BQ259" s="1159">
        <f t="shared" si="57"/>
        <v>0.25</v>
      </c>
      <c r="BR259" s="1159">
        <f t="shared" si="58"/>
        <v>0.375</v>
      </c>
      <c r="BS259" s="1159">
        <v>0.5</v>
      </c>
      <c r="BT259" s="579">
        <f t="shared" si="59"/>
        <v>0.748</v>
      </c>
      <c r="BU259" s="579">
        <f t="shared" si="59"/>
        <v>0.748</v>
      </c>
      <c r="BV259" s="579">
        <f t="shared" si="59"/>
        <v>0.748</v>
      </c>
      <c r="BW259" s="579">
        <f t="shared" si="59"/>
        <v>0.748</v>
      </c>
      <c r="BX259" s="579">
        <f t="shared" si="59"/>
        <v>0.748</v>
      </c>
      <c r="BY259" s="579">
        <f t="shared" si="59"/>
        <v>0.748</v>
      </c>
      <c r="BZ259" s="579">
        <f t="shared" si="59"/>
        <v>0.748</v>
      </c>
      <c r="CA259" s="579">
        <f t="shared" si="59"/>
        <v>0.748</v>
      </c>
      <c r="CB259" s="579">
        <f t="shared" si="59"/>
        <v>0.748</v>
      </c>
      <c r="CC259" s="578">
        <f t="shared" si="59"/>
        <v>0.748</v>
      </c>
      <c r="CD259" s="578">
        <f t="shared" si="60"/>
        <v>0.748</v>
      </c>
      <c r="CE259" s="578">
        <f t="shared" si="60"/>
        <v>0.748</v>
      </c>
      <c r="CF259" s="578">
        <f t="shared" si="60"/>
        <v>0.748</v>
      </c>
      <c r="CG259" s="578">
        <f t="shared" si="60"/>
        <v>0.748</v>
      </c>
      <c r="CH259" s="578">
        <f t="shared" si="60"/>
        <v>0.748</v>
      </c>
      <c r="CI259" s="578">
        <f t="shared" si="60"/>
        <v>0.748</v>
      </c>
      <c r="CJ259" s="578">
        <f t="shared" si="60"/>
        <v>0.748</v>
      </c>
      <c r="CK259" s="578">
        <f t="shared" si="60"/>
        <v>0.748</v>
      </c>
      <c r="CL259" s="579">
        <f t="shared" si="60"/>
        <v>0.748</v>
      </c>
      <c r="CM259" s="579">
        <f t="shared" si="60"/>
        <v>0.748</v>
      </c>
      <c r="CN259" s="579">
        <f t="shared" si="61"/>
        <v>0.748</v>
      </c>
      <c r="CO259" s="579">
        <f t="shared" si="61"/>
        <v>0.748</v>
      </c>
      <c r="CP259" s="579">
        <f t="shared" si="61"/>
        <v>0.748</v>
      </c>
      <c r="CQ259" s="579">
        <f t="shared" si="61"/>
        <v>0.748</v>
      </c>
      <c r="CR259" s="579">
        <f t="shared" si="61"/>
        <v>0.748</v>
      </c>
      <c r="CS259" s="579">
        <f t="shared" si="61"/>
        <v>0.748</v>
      </c>
      <c r="CT259" s="579">
        <f t="shared" si="61"/>
        <v>0.748</v>
      </c>
      <c r="CU259" s="578">
        <f t="shared" si="61"/>
        <v>0.748</v>
      </c>
      <c r="CV259" s="578">
        <f t="shared" si="61"/>
        <v>0.748</v>
      </c>
      <c r="CW259" s="578">
        <f t="shared" si="61"/>
        <v>0.748</v>
      </c>
      <c r="CX259" s="578">
        <f t="shared" si="62"/>
        <v>0.748</v>
      </c>
      <c r="CY259" s="578">
        <f t="shared" si="62"/>
        <v>0.748</v>
      </c>
      <c r="CZ259" s="578">
        <f t="shared" si="62"/>
        <v>0.748</v>
      </c>
      <c r="DA259" s="578">
        <f t="shared" si="62"/>
        <v>0.748</v>
      </c>
      <c r="DB259" s="578">
        <f t="shared" si="62"/>
        <v>0.748</v>
      </c>
      <c r="DC259" s="578">
        <f t="shared" si="62"/>
        <v>0.748</v>
      </c>
    </row>
    <row r="260" spans="1:107">
      <c r="A260" s="1086" t="s">
        <v>1010</v>
      </c>
      <c r="B260" s="1086" t="s">
        <v>1011</v>
      </c>
      <c r="C260" s="1085"/>
      <c r="E260" s="1261">
        <v>0.3</v>
      </c>
      <c r="F260" s="1456">
        <f t="shared" ref="F260:F265" si="63">F259</f>
        <v>0.748</v>
      </c>
      <c r="AI260" s="462" t="str">
        <f t="shared" si="35"/>
        <v>CPCHP</v>
      </c>
      <c r="AJ260" s="1160">
        <v>0</v>
      </c>
      <c r="AK260" s="1160">
        <v>0</v>
      </c>
      <c r="AL260" s="1160">
        <v>0</v>
      </c>
      <c r="AM260" s="1160">
        <v>0</v>
      </c>
      <c r="AN260" s="1160">
        <v>0</v>
      </c>
      <c r="AO260" s="1160">
        <v>0</v>
      </c>
      <c r="AP260" s="1160">
        <v>0</v>
      </c>
      <c r="AQ260" s="1160">
        <v>0</v>
      </c>
      <c r="AR260" s="1160">
        <v>0</v>
      </c>
      <c r="AS260" s="1159">
        <v>0</v>
      </c>
      <c r="AT260" s="1159">
        <f t="shared" si="36"/>
        <v>7.8125E-3</v>
      </c>
      <c r="AU260" s="1159">
        <f t="shared" si="37"/>
        <v>1.5625E-2</v>
      </c>
      <c r="AV260" s="1159">
        <f t="shared" si="38"/>
        <v>2.34375E-2</v>
      </c>
      <c r="AW260" s="1159">
        <f t="shared" si="39"/>
        <v>3.125E-2</v>
      </c>
      <c r="AX260" s="1159">
        <f t="shared" si="40"/>
        <v>4.6875E-2</v>
      </c>
      <c r="AY260" s="1159">
        <f t="shared" si="41"/>
        <v>6.25E-2</v>
      </c>
      <c r="AZ260" s="1159">
        <f t="shared" si="42"/>
        <v>9.375E-2</v>
      </c>
      <c r="BA260" s="1159">
        <f t="shared" si="43"/>
        <v>0.125</v>
      </c>
      <c r="BB260" s="1160">
        <v>0</v>
      </c>
      <c r="BC260" s="1160">
        <f t="shared" si="44"/>
        <v>1.5625E-2</v>
      </c>
      <c r="BD260" s="1160">
        <f t="shared" si="45"/>
        <v>3.125E-2</v>
      </c>
      <c r="BE260" s="1160">
        <f t="shared" si="46"/>
        <v>4.6875E-2</v>
      </c>
      <c r="BF260" s="1160">
        <f t="shared" si="47"/>
        <v>6.25E-2</v>
      </c>
      <c r="BG260" s="1160">
        <f t="shared" si="48"/>
        <v>9.375E-2</v>
      </c>
      <c r="BH260" s="1160">
        <f t="shared" si="49"/>
        <v>0.125</v>
      </c>
      <c r="BI260" s="1160">
        <f t="shared" si="50"/>
        <v>0.1875</v>
      </c>
      <c r="BJ260" s="1160">
        <f t="shared" si="51"/>
        <v>0.25</v>
      </c>
      <c r="BK260" s="1159">
        <v>0</v>
      </c>
      <c r="BL260" s="1159">
        <f t="shared" si="52"/>
        <v>3.125E-2</v>
      </c>
      <c r="BM260" s="1159">
        <f t="shared" si="53"/>
        <v>6.25E-2</v>
      </c>
      <c r="BN260" s="1159">
        <f t="shared" si="54"/>
        <v>9.375E-2</v>
      </c>
      <c r="BO260" s="1159">
        <f t="shared" si="55"/>
        <v>0.125</v>
      </c>
      <c r="BP260" s="1159">
        <f t="shared" si="56"/>
        <v>0.1875</v>
      </c>
      <c r="BQ260" s="1159">
        <f t="shared" si="57"/>
        <v>0.25</v>
      </c>
      <c r="BR260" s="1159">
        <f t="shared" si="58"/>
        <v>0.375</v>
      </c>
      <c r="BS260" s="1159">
        <v>0.5</v>
      </c>
      <c r="BT260" s="579">
        <f t="shared" si="59"/>
        <v>0.748</v>
      </c>
      <c r="BU260" s="579">
        <f t="shared" si="59"/>
        <v>0.748</v>
      </c>
      <c r="BV260" s="579">
        <f t="shared" si="59"/>
        <v>0.748</v>
      </c>
      <c r="BW260" s="579">
        <f t="shared" si="59"/>
        <v>0.748</v>
      </c>
      <c r="BX260" s="579">
        <f t="shared" si="59"/>
        <v>0.748</v>
      </c>
      <c r="BY260" s="579">
        <f t="shared" si="59"/>
        <v>0.748</v>
      </c>
      <c r="BZ260" s="579">
        <f t="shared" si="59"/>
        <v>0.748</v>
      </c>
      <c r="CA260" s="579">
        <f t="shared" si="59"/>
        <v>0.748</v>
      </c>
      <c r="CB260" s="579">
        <f t="shared" si="59"/>
        <v>0.748</v>
      </c>
      <c r="CC260" s="578">
        <f t="shared" si="59"/>
        <v>0.748</v>
      </c>
      <c r="CD260" s="578">
        <f t="shared" si="60"/>
        <v>0.748</v>
      </c>
      <c r="CE260" s="578">
        <f t="shared" si="60"/>
        <v>0.748</v>
      </c>
      <c r="CF260" s="578">
        <f t="shared" si="60"/>
        <v>0.748</v>
      </c>
      <c r="CG260" s="578">
        <f t="shared" si="60"/>
        <v>0.748</v>
      </c>
      <c r="CH260" s="578">
        <f t="shared" si="60"/>
        <v>0.748</v>
      </c>
      <c r="CI260" s="578">
        <f t="shared" si="60"/>
        <v>0.748</v>
      </c>
      <c r="CJ260" s="578">
        <f t="shared" si="60"/>
        <v>0.748</v>
      </c>
      <c r="CK260" s="578">
        <f t="shared" si="60"/>
        <v>0.748</v>
      </c>
      <c r="CL260" s="579">
        <f t="shared" si="60"/>
        <v>0.748</v>
      </c>
      <c r="CM260" s="579">
        <f t="shared" si="60"/>
        <v>0.748</v>
      </c>
      <c r="CN260" s="579">
        <f t="shared" si="61"/>
        <v>0.748</v>
      </c>
      <c r="CO260" s="579">
        <f t="shared" si="61"/>
        <v>0.748</v>
      </c>
      <c r="CP260" s="579">
        <f t="shared" si="61"/>
        <v>0.748</v>
      </c>
      <c r="CQ260" s="579">
        <f t="shared" si="61"/>
        <v>0.748</v>
      </c>
      <c r="CR260" s="579">
        <f t="shared" si="61"/>
        <v>0.748</v>
      </c>
      <c r="CS260" s="579">
        <f t="shared" si="61"/>
        <v>0.748</v>
      </c>
      <c r="CT260" s="579">
        <f t="shared" si="61"/>
        <v>0.748</v>
      </c>
      <c r="CU260" s="578">
        <f t="shared" si="61"/>
        <v>0.748</v>
      </c>
      <c r="CV260" s="578">
        <f t="shared" si="61"/>
        <v>0.748</v>
      </c>
      <c r="CW260" s="578">
        <f t="shared" si="61"/>
        <v>0.748</v>
      </c>
      <c r="CX260" s="578">
        <f t="shared" si="62"/>
        <v>0.748</v>
      </c>
      <c r="CY260" s="578">
        <f t="shared" si="62"/>
        <v>0.748</v>
      </c>
      <c r="CZ260" s="578">
        <f t="shared" si="62"/>
        <v>0.748</v>
      </c>
      <c r="DA260" s="578">
        <f t="shared" si="62"/>
        <v>0.748</v>
      </c>
      <c r="DB260" s="578">
        <f t="shared" si="62"/>
        <v>0.748</v>
      </c>
      <c r="DC260" s="578">
        <f t="shared" si="62"/>
        <v>0.748</v>
      </c>
    </row>
    <row r="261" spans="1:107">
      <c r="A261" s="1086" t="s">
        <v>1008</v>
      </c>
      <c r="B261" s="1086" t="s">
        <v>1009</v>
      </c>
      <c r="C261" s="1085"/>
      <c r="E261" s="1261">
        <v>5</v>
      </c>
      <c r="F261" s="1456">
        <f t="shared" si="63"/>
        <v>0.748</v>
      </c>
      <c r="AI261" s="462" t="str">
        <f t="shared" si="35"/>
        <v>NFCHP</v>
      </c>
      <c r="AJ261" s="1160">
        <v>0</v>
      </c>
      <c r="AK261" s="1160">
        <v>0</v>
      </c>
      <c r="AL261" s="1160">
        <v>0</v>
      </c>
      <c r="AM261" s="1160">
        <v>0</v>
      </c>
      <c r="AN261" s="1160">
        <v>0</v>
      </c>
      <c r="AO261" s="1160">
        <v>0</v>
      </c>
      <c r="AP261" s="1160">
        <v>0</v>
      </c>
      <c r="AQ261" s="1160">
        <v>0</v>
      </c>
      <c r="AR261" s="1160">
        <v>0</v>
      </c>
      <c r="AS261" s="1159">
        <v>0</v>
      </c>
      <c r="AT261" s="1159">
        <f t="shared" si="36"/>
        <v>7.8125E-3</v>
      </c>
      <c r="AU261" s="1159">
        <f t="shared" si="37"/>
        <v>1.5625E-2</v>
      </c>
      <c r="AV261" s="1159">
        <f t="shared" si="38"/>
        <v>2.34375E-2</v>
      </c>
      <c r="AW261" s="1159">
        <f t="shared" si="39"/>
        <v>3.125E-2</v>
      </c>
      <c r="AX261" s="1159">
        <f t="shared" si="40"/>
        <v>4.6875E-2</v>
      </c>
      <c r="AY261" s="1159">
        <f t="shared" si="41"/>
        <v>6.25E-2</v>
      </c>
      <c r="AZ261" s="1159">
        <f t="shared" si="42"/>
        <v>9.375E-2</v>
      </c>
      <c r="BA261" s="1159">
        <f t="shared" si="43"/>
        <v>0.125</v>
      </c>
      <c r="BB261" s="1160">
        <v>0</v>
      </c>
      <c r="BC261" s="1160">
        <f t="shared" si="44"/>
        <v>1.5625E-2</v>
      </c>
      <c r="BD261" s="1160">
        <f t="shared" si="45"/>
        <v>3.125E-2</v>
      </c>
      <c r="BE261" s="1160">
        <f t="shared" si="46"/>
        <v>4.6875E-2</v>
      </c>
      <c r="BF261" s="1160">
        <f t="shared" si="47"/>
        <v>6.25E-2</v>
      </c>
      <c r="BG261" s="1160">
        <f t="shared" si="48"/>
        <v>9.375E-2</v>
      </c>
      <c r="BH261" s="1160">
        <f t="shared" si="49"/>
        <v>0.125</v>
      </c>
      <c r="BI261" s="1160">
        <f t="shared" si="50"/>
        <v>0.1875</v>
      </c>
      <c r="BJ261" s="1160">
        <f t="shared" si="51"/>
        <v>0.25</v>
      </c>
      <c r="BK261" s="1159">
        <v>0</v>
      </c>
      <c r="BL261" s="1159">
        <f t="shared" si="52"/>
        <v>3.125E-2</v>
      </c>
      <c r="BM261" s="1159">
        <f t="shared" si="53"/>
        <v>6.25E-2</v>
      </c>
      <c r="BN261" s="1159">
        <f t="shared" si="54"/>
        <v>9.375E-2</v>
      </c>
      <c r="BO261" s="1159">
        <f t="shared" si="55"/>
        <v>0.125</v>
      </c>
      <c r="BP261" s="1159">
        <f t="shared" si="56"/>
        <v>0.1875</v>
      </c>
      <c r="BQ261" s="1159">
        <f t="shared" si="57"/>
        <v>0.25</v>
      </c>
      <c r="BR261" s="1159">
        <f t="shared" si="58"/>
        <v>0.375</v>
      </c>
      <c r="BS261" s="1159">
        <v>0.5</v>
      </c>
      <c r="BT261" s="579">
        <f t="shared" si="59"/>
        <v>0.748</v>
      </c>
      <c r="BU261" s="579">
        <f t="shared" si="59"/>
        <v>0.748</v>
      </c>
      <c r="BV261" s="579">
        <f t="shared" si="59"/>
        <v>0.748</v>
      </c>
      <c r="BW261" s="579">
        <f t="shared" si="59"/>
        <v>0.748</v>
      </c>
      <c r="BX261" s="579">
        <f t="shared" si="59"/>
        <v>0.748</v>
      </c>
      <c r="BY261" s="579">
        <f t="shared" si="59"/>
        <v>0.748</v>
      </c>
      <c r="BZ261" s="579">
        <f t="shared" si="59"/>
        <v>0.748</v>
      </c>
      <c r="CA261" s="579">
        <f t="shared" si="59"/>
        <v>0.748</v>
      </c>
      <c r="CB261" s="579">
        <f t="shared" si="59"/>
        <v>0.748</v>
      </c>
      <c r="CC261" s="578">
        <f t="shared" si="59"/>
        <v>0.748</v>
      </c>
      <c r="CD261" s="578">
        <f t="shared" si="60"/>
        <v>0.748</v>
      </c>
      <c r="CE261" s="578">
        <f t="shared" si="60"/>
        <v>0.748</v>
      </c>
      <c r="CF261" s="578">
        <f t="shared" si="60"/>
        <v>0.748</v>
      </c>
      <c r="CG261" s="578">
        <f t="shared" si="60"/>
        <v>0.748</v>
      </c>
      <c r="CH261" s="578">
        <f t="shared" si="60"/>
        <v>0.748</v>
      </c>
      <c r="CI261" s="578">
        <f t="shared" si="60"/>
        <v>0.748</v>
      </c>
      <c r="CJ261" s="578">
        <f t="shared" si="60"/>
        <v>0.748</v>
      </c>
      <c r="CK261" s="578">
        <f t="shared" si="60"/>
        <v>0.748</v>
      </c>
      <c r="CL261" s="579">
        <f t="shared" si="60"/>
        <v>0.748</v>
      </c>
      <c r="CM261" s="579">
        <f t="shared" si="60"/>
        <v>0.748</v>
      </c>
      <c r="CN261" s="579">
        <f t="shared" si="61"/>
        <v>0.748</v>
      </c>
      <c r="CO261" s="579">
        <f t="shared" si="61"/>
        <v>0.748</v>
      </c>
      <c r="CP261" s="579">
        <f t="shared" si="61"/>
        <v>0.748</v>
      </c>
      <c r="CQ261" s="579">
        <f t="shared" si="61"/>
        <v>0.748</v>
      </c>
      <c r="CR261" s="579">
        <f t="shared" si="61"/>
        <v>0.748</v>
      </c>
      <c r="CS261" s="579">
        <f t="shared" si="61"/>
        <v>0.748</v>
      </c>
      <c r="CT261" s="579">
        <f t="shared" si="61"/>
        <v>0.748</v>
      </c>
      <c r="CU261" s="578">
        <f t="shared" si="61"/>
        <v>0.748</v>
      </c>
      <c r="CV261" s="578">
        <f t="shared" si="61"/>
        <v>0.748</v>
      </c>
      <c r="CW261" s="578">
        <f t="shared" si="61"/>
        <v>0.748</v>
      </c>
      <c r="CX261" s="578">
        <f t="shared" si="62"/>
        <v>0.748</v>
      </c>
      <c r="CY261" s="578">
        <f t="shared" si="62"/>
        <v>0.748</v>
      </c>
      <c r="CZ261" s="578">
        <f t="shared" si="62"/>
        <v>0.748</v>
      </c>
      <c r="DA261" s="578">
        <f t="shared" si="62"/>
        <v>0.748</v>
      </c>
      <c r="DB261" s="578">
        <f t="shared" si="62"/>
        <v>0.748</v>
      </c>
      <c r="DC261" s="578">
        <f t="shared" si="62"/>
        <v>0.748</v>
      </c>
    </row>
    <row r="262" spans="1:107">
      <c r="A262" s="1086" t="s">
        <v>1006</v>
      </c>
      <c r="B262" s="1086" t="s">
        <v>1007</v>
      </c>
      <c r="C262" s="1085"/>
      <c r="E262" s="1261">
        <v>0.25</v>
      </c>
      <c r="F262" s="1456">
        <f t="shared" si="63"/>
        <v>0.748</v>
      </c>
      <c r="AI262" s="462" t="str">
        <f t="shared" si="35"/>
        <v>NMCHP</v>
      </c>
      <c r="AJ262" s="1160">
        <v>0</v>
      </c>
      <c r="AK262" s="1160">
        <v>0</v>
      </c>
      <c r="AL262" s="1160">
        <v>0</v>
      </c>
      <c r="AM262" s="1160">
        <v>0</v>
      </c>
      <c r="AN262" s="1160">
        <v>0</v>
      </c>
      <c r="AO262" s="1160">
        <v>0</v>
      </c>
      <c r="AP262" s="1160">
        <v>0</v>
      </c>
      <c r="AQ262" s="1160">
        <v>0</v>
      </c>
      <c r="AR262" s="1160">
        <v>0</v>
      </c>
      <c r="AS262" s="1159">
        <v>0</v>
      </c>
      <c r="AT262" s="1159">
        <f t="shared" si="36"/>
        <v>7.8125E-3</v>
      </c>
      <c r="AU262" s="1159">
        <f t="shared" si="37"/>
        <v>1.5625E-2</v>
      </c>
      <c r="AV262" s="1159">
        <f t="shared" si="38"/>
        <v>2.34375E-2</v>
      </c>
      <c r="AW262" s="1159">
        <f t="shared" si="39"/>
        <v>3.125E-2</v>
      </c>
      <c r="AX262" s="1159">
        <f t="shared" si="40"/>
        <v>4.6875E-2</v>
      </c>
      <c r="AY262" s="1159">
        <f t="shared" si="41"/>
        <v>6.25E-2</v>
      </c>
      <c r="AZ262" s="1159">
        <f t="shared" si="42"/>
        <v>9.375E-2</v>
      </c>
      <c r="BA262" s="1159">
        <f t="shared" si="43"/>
        <v>0.125</v>
      </c>
      <c r="BB262" s="1160">
        <v>0</v>
      </c>
      <c r="BC262" s="1160">
        <f t="shared" si="44"/>
        <v>1.5625E-2</v>
      </c>
      <c r="BD262" s="1160">
        <f t="shared" si="45"/>
        <v>3.125E-2</v>
      </c>
      <c r="BE262" s="1160">
        <f t="shared" si="46"/>
        <v>4.6875E-2</v>
      </c>
      <c r="BF262" s="1160">
        <f t="shared" si="47"/>
        <v>6.25E-2</v>
      </c>
      <c r="BG262" s="1160">
        <f t="shared" si="48"/>
        <v>9.375E-2</v>
      </c>
      <c r="BH262" s="1160">
        <f t="shared" si="49"/>
        <v>0.125</v>
      </c>
      <c r="BI262" s="1160">
        <f t="shared" si="50"/>
        <v>0.1875</v>
      </c>
      <c r="BJ262" s="1160">
        <f t="shared" si="51"/>
        <v>0.25</v>
      </c>
      <c r="BK262" s="1159">
        <v>0</v>
      </c>
      <c r="BL262" s="1159">
        <f t="shared" si="52"/>
        <v>3.125E-2</v>
      </c>
      <c r="BM262" s="1159">
        <f t="shared" si="53"/>
        <v>6.25E-2</v>
      </c>
      <c r="BN262" s="1159">
        <f t="shared" si="54"/>
        <v>9.375E-2</v>
      </c>
      <c r="BO262" s="1159">
        <f t="shared" si="55"/>
        <v>0.125</v>
      </c>
      <c r="BP262" s="1159">
        <f t="shared" si="56"/>
        <v>0.1875</v>
      </c>
      <c r="BQ262" s="1159">
        <f t="shared" si="57"/>
        <v>0.25</v>
      </c>
      <c r="BR262" s="1159">
        <f t="shared" si="58"/>
        <v>0.375</v>
      </c>
      <c r="BS262" s="1159">
        <v>0.5</v>
      </c>
      <c r="BT262" s="579">
        <f t="shared" si="59"/>
        <v>0.748</v>
      </c>
      <c r="BU262" s="579">
        <f t="shared" si="59"/>
        <v>0.748</v>
      </c>
      <c r="BV262" s="579">
        <f t="shared" si="59"/>
        <v>0.748</v>
      </c>
      <c r="BW262" s="579">
        <f t="shared" si="59"/>
        <v>0.748</v>
      </c>
      <c r="BX262" s="579">
        <f t="shared" si="59"/>
        <v>0.748</v>
      </c>
      <c r="BY262" s="579">
        <f t="shared" si="59"/>
        <v>0.748</v>
      </c>
      <c r="BZ262" s="579">
        <f t="shared" si="59"/>
        <v>0.748</v>
      </c>
      <c r="CA262" s="579">
        <f t="shared" si="59"/>
        <v>0.748</v>
      </c>
      <c r="CB262" s="579">
        <f t="shared" si="59"/>
        <v>0.748</v>
      </c>
      <c r="CC262" s="578">
        <f t="shared" si="59"/>
        <v>0.748</v>
      </c>
      <c r="CD262" s="578">
        <f t="shared" si="60"/>
        <v>0.748</v>
      </c>
      <c r="CE262" s="578">
        <f t="shared" si="60"/>
        <v>0.748</v>
      </c>
      <c r="CF262" s="578">
        <f t="shared" si="60"/>
        <v>0.748</v>
      </c>
      <c r="CG262" s="578">
        <f t="shared" si="60"/>
        <v>0.748</v>
      </c>
      <c r="CH262" s="578">
        <f t="shared" si="60"/>
        <v>0.748</v>
      </c>
      <c r="CI262" s="578">
        <f t="shared" si="60"/>
        <v>0.748</v>
      </c>
      <c r="CJ262" s="578">
        <f t="shared" si="60"/>
        <v>0.748</v>
      </c>
      <c r="CK262" s="578">
        <f t="shared" si="60"/>
        <v>0.748</v>
      </c>
      <c r="CL262" s="579">
        <f t="shared" si="60"/>
        <v>0.748</v>
      </c>
      <c r="CM262" s="579">
        <f t="shared" si="60"/>
        <v>0.748</v>
      </c>
      <c r="CN262" s="579">
        <f t="shared" si="61"/>
        <v>0.748</v>
      </c>
      <c r="CO262" s="579">
        <f t="shared" si="61"/>
        <v>0.748</v>
      </c>
      <c r="CP262" s="579">
        <f t="shared" si="61"/>
        <v>0.748</v>
      </c>
      <c r="CQ262" s="579">
        <f t="shared" si="61"/>
        <v>0.748</v>
      </c>
      <c r="CR262" s="579">
        <f t="shared" si="61"/>
        <v>0.748</v>
      </c>
      <c r="CS262" s="579">
        <f t="shared" si="61"/>
        <v>0.748</v>
      </c>
      <c r="CT262" s="579">
        <f t="shared" si="61"/>
        <v>0.748</v>
      </c>
      <c r="CU262" s="578">
        <f t="shared" si="61"/>
        <v>0.748</v>
      </c>
      <c r="CV262" s="578">
        <f t="shared" si="61"/>
        <v>0.748</v>
      </c>
      <c r="CW262" s="578">
        <f t="shared" si="61"/>
        <v>0.748</v>
      </c>
      <c r="CX262" s="578">
        <f t="shared" si="62"/>
        <v>0.748</v>
      </c>
      <c r="CY262" s="578">
        <f t="shared" si="62"/>
        <v>0.748</v>
      </c>
      <c r="CZ262" s="578">
        <f t="shared" si="62"/>
        <v>0.748</v>
      </c>
      <c r="DA262" s="578">
        <f t="shared" si="62"/>
        <v>0.748</v>
      </c>
      <c r="DB262" s="578">
        <f t="shared" si="62"/>
        <v>0.748</v>
      </c>
      <c r="DC262" s="578">
        <f t="shared" si="62"/>
        <v>0.748</v>
      </c>
    </row>
    <row r="263" spans="1:107">
      <c r="A263" s="1086" t="s">
        <v>1004</v>
      </c>
      <c r="B263" s="1086" t="s">
        <v>1005</v>
      </c>
      <c r="C263" s="1085"/>
      <c r="E263" s="266">
        <f>1/5.19</f>
        <v>0.19267822736030826</v>
      </c>
      <c r="F263" s="1456">
        <f t="shared" si="63"/>
        <v>0.748</v>
      </c>
      <c r="G263" s="1627">
        <f>H263+I263</f>
        <v>12</v>
      </c>
      <c r="H263" s="1627">
        <f>K211</f>
        <v>10</v>
      </c>
      <c r="I263" s="1627">
        <v>2</v>
      </c>
      <c r="J263" s="1371">
        <f>I263/G263</f>
        <v>0.16666666666666666</v>
      </c>
      <c r="K263" s="1623">
        <f xml:space="preserve"> (G263*F263)/($E263+1)</f>
        <v>7.525919224555734</v>
      </c>
      <c r="L263" s="1623">
        <f>K263*E263</f>
        <v>1.4500807754442646</v>
      </c>
      <c r="M263" s="1628">
        <f>0.000001 * (K263*1000000000000000)/($G$256*8760*3600)</f>
        <v>397.74222182879532</v>
      </c>
      <c r="N263" s="1628">
        <f>M263*E263</f>
        <v>76.636266248322784</v>
      </c>
      <c r="AI263" s="462" t="str">
        <f t="shared" si="35"/>
        <v>FBCHP</v>
      </c>
      <c r="AJ263" s="1160">
        <v>0</v>
      </c>
      <c r="AK263" s="1160">
        <v>0</v>
      </c>
      <c r="AL263" s="1160">
        <v>0</v>
      </c>
      <c r="AM263" s="1160">
        <v>0</v>
      </c>
      <c r="AN263" s="1160">
        <v>0</v>
      </c>
      <c r="AO263" s="1160">
        <v>0</v>
      </c>
      <c r="AP263" s="1160">
        <v>0</v>
      </c>
      <c r="AQ263" s="1160">
        <v>0</v>
      </c>
      <c r="AR263" s="1160">
        <v>0</v>
      </c>
      <c r="AS263" s="1159">
        <v>0</v>
      </c>
      <c r="AT263" s="1159">
        <f t="shared" si="36"/>
        <v>7.8125E-3</v>
      </c>
      <c r="AU263" s="1159">
        <f t="shared" si="37"/>
        <v>1.5625E-2</v>
      </c>
      <c r="AV263" s="1159">
        <f t="shared" si="38"/>
        <v>2.34375E-2</v>
      </c>
      <c r="AW263" s="1159">
        <f t="shared" si="39"/>
        <v>3.125E-2</v>
      </c>
      <c r="AX263" s="1159">
        <f t="shared" si="40"/>
        <v>4.6875E-2</v>
      </c>
      <c r="AY263" s="1159">
        <f t="shared" si="41"/>
        <v>6.25E-2</v>
      </c>
      <c r="AZ263" s="1159">
        <f t="shared" si="42"/>
        <v>9.375E-2</v>
      </c>
      <c r="BA263" s="1159">
        <f t="shared" si="43"/>
        <v>0.125</v>
      </c>
      <c r="BB263" s="1160">
        <v>0</v>
      </c>
      <c r="BC263" s="1160">
        <f t="shared" si="44"/>
        <v>1.5625E-2</v>
      </c>
      <c r="BD263" s="1160">
        <f t="shared" si="45"/>
        <v>3.125E-2</v>
      </c>
      <c r="BE263" s="1160">
        <f t="shared" si="46"/>
        <v>4.6875E-2</v>
      </c>
      <c r="BF263" s="1160">
        <f t="shared" si="47"/>
        <v>6.25E-2</v>
      </c>
      <c r="BG263" s="1160">
        <f t="shared" si="48"/>
        <v>9.375E-2</v>
      </c>
      <c r="BH263" s="1160">
        <f t="shared" si="49"/>
        <v>0.125</v>
      </c>
      <c r="BI263" s="1160">
        <f t="shared" si="50"/>
        <v>0.1875</v>
      </c>
      <c r="BJ263" s="1160">
        <f t="shared" si="51"/>
        <v>0.25</v>
      </c>
      <c r="BK263" s="1159">
        <v>0</v>
      </c>
      <c r="BL263" s="1159">
        <f t="shared" si="52"/>
        <v>3.125E-2</v>
      </c>
      <c r="BM263" s="1159">
        <f t="shared" si="53"/>
        <v>6.25E-2</v>
      </c>
      <c r="BN263" s="1159">
        <f t="shared" si="54"/>
        <v>9.375E-2</v>
      </c>
      <c r="BO263" s="1159">
        <f t="shared" si="55"/>
        <v>0.125</v>
      </c>
      <c r="BP263" s="1159">
        <f t="shared" si="56"/>
        <v>0.1875</v>
      </c>
      <c r="BQ263" s="1159">
        <f t="shared" si="57"/>
        <v>0.25</v>
      </c>
      <c r="BR263" s="1159">
        <f t="shared" si="58"/>
        <v>0.375</v>
      </c>
      <c r="BS263" s="1159">
        <v>0.5</v>
      </c>
      <c r="BT263" s="579">
        <f t="shared" si="59"/>
        <v>0.748</v>
      </c>
      <c r="BU263" s="579">
        <f t="shared" si="59"/>
        <v>0.748</v>
      </c>
      <c r="BV263" s="579">
        <f t="shared" si="59"/>
        <v>0.748</v>
      </c>
      <c r="BW263" s="579">
        <f t="shared" si="59"/>
        <v>0.748</v>
      </c>
      <c r="BX263" s="579">
        <f t="shared" si="59"/>
        <v>0.748</v>
      </c>
      <c r="BY263" s="579">
        <f t="shared" si="59"/>
        <v>0.748</v>
      </c>
      <c r="BZ263" s="579">
        <f t="shared" si="59"/>
        <v>0.748</v>
      </c>
      <c r="CA263" s="579">
        <f t="shared" si="59"/>
        <v>0.748</v>
      </c>
      <c r="CB263" s="579">
        <f t="shared" si="59"/>
        <v>0.748</v>
      </c>
      <c r="CC263" s="578">
        <f t="shared" si="59"/>
        <v>0.748</v>
      </c>
      <c r="CD263" s="578">
        <f t="shared" si="60"/>
        <v>0.748</v>
      </c>
      <c r="CE263" s="578">
        <f t="shared" si="60"/>
        <v>0.748</v>
      </c>
      <c r="CF263" s="578">
        <f t="shared" si="60"/>
        <v>0.748</v>
      </c>
      <c r="CG263" s="578">
        <f t="shared" si="60"/>
        <v>0.748</v>
      </c>
      <c r="CH263" s="578">
        <f t="shared" si="60"/>
        <v>0.748</v>
      </c>
      <c r="CI263" s="578">
        <f t="shared" si="60"/>
        <v>0.748</v>
      </c>
      <c r="CJ263" s="578">
        <f t="shared" si="60"/>
        <v>0.748</v>
      </c>
      <c r="CK263" s="578">
        <f t="shared" si="60"/>
        <v>0.748</v>
      </c>
      <c r="CL263" s="579">
        <f t="shared" si="60"/>
        <v>0.748</v>
      </c>
      <c r="CM263" s="579">
        <f t="shared" si="60"/>
        <v>0.748</v>
      </c>
      <c r="CN263" s="579">
        <f t="shared" si="61"/>
        <v>0.748</v>
      </c>
      <c r="CO263" s="579">
        <f t="shared" si="61"/>
        <v>0.748</v>
      </c>
      <c r="CP263" s="579">
        <f t="shared" si="61"/>
        <v>0.748</v>
      </c>
      <c r="CQ263" s="579">
        <f t="shared" si="61"/>
        <v>0.748</v>
      </c>
      <c r="CR263" s="579">
        <f t="shared" si="61"/>
        <v>0.748</v>
      </c>
      <c r="CS263" s="579">
        <f t="shared" si="61"/>
        <v>0.748</v>
      </c>
      <c r="CT263" s="579">
        <f t="shared" si="61"/>
        <v>0.748</v>
      </c>
      <c r="CU263" s="578">
        <f t="shared" si="61"/>
        <v>0.748</v>
      </c>
      <c r="CV263" s="578">
        <f t="shared" si="61"/>
        <v>0.748</v>
      </c>
      <c r="CW263" s="578">
        <f t="shared" si="61"/>
        <v>0.748</v>
      </c>
      <c r="CX263" s="578">
        <f t="shared" si="62"/>
        <v>0.748</v>
      </c>
      <c r="CY263" s="578">
        <f t="shared" si="62"/>
        <v>0.748</v>
      </c>
      <c r="CZ263" s="578">
        <f t="shared" si="62"/>
        <v>0.748</v>
      </c>
      <c r="DA263" s="578">
        <f t="shared" si="62"/>
        <v>0.748</v>
      </c>
      <c r="DB263" s="578">
        <f t="shared" si="62"/>
        <v>0.748</v>
      </c>
      <c r="DC263" s="578">
        <f t="shared" si="62"/>
        <v>0.748</v>
      </c>
    </row>
    <row r="264" spans="1:107">
      <c r="A264" s="1086" t="s">
        <v>1002</v>
      </c>
      <c r="B264" s="1086" t="s">
        <v>1003</v>
      </c>
      <c r="C264" s="1085"/>
      <c r="E264" s="266">
        <f>1/5.19</f>
        <v>0.19267822736030826</v>
      </c>
      <c r="F264" s="1456">
        <f t="shared" si="63"/>
        <v>0.748</v>
      </c>
      <c r="G264" s="1627">
        <f>H264+I264</f>
        <v>61.2123909090909</v>
      </c>
      <c r="H264" s="1627">
        <f>K231</f>
        <v>41.2123909090909</v>
      </c>
      <c r="I264" s="1627">
        <v>20</v>
      </c>
      <c r="J264" s="1371">
        <f>I264/G264</f>
        <v>0.32673123370892082</v>
      </c>
      <c r="K264" s="1623">
        <f xml:space="preserve"> (G264*F264)/($E264+1)</f>
        <v>38.389959126978994</v>
      </c>
      <c r="L264" s="1623">
        <f>K264*E264</f>
        <v>7.3969092730209995</v>
      </c>
      <c r="M264" s="1628">
        <f>0.000001 * (K264*1000000000000000)/($G$256*8760*3600)</f>
        <v>2028.8960303028807</v>
      </c>
      <c r="N264" s="1628">
        <f>M264*E264</f>
        <v>390.92409061712533</v>
      </c>
      <c r="AI264" s="462" t="str">
        <f t="shared" si="35"/>
        <v>PPCHP</v>
      </c>
      <c r="AJ264" s="1160">
        <v>0</v>
      </c>
      <c r="AK264" s="1160">
        <v>0</v>
      </c>
      <c r="AL264" s="1160">
        <v>0</v>
      </c>
      <c r="AM264" s="1160">
        <v>0</v>
      </c>
      <c r="AN264" s="1160">
        <v>0</v>
      </c>
      <c r="AO264" s="1160">
        <v>0</v>
      </c>
      <c r="AP264" s="1160">
        <v>0</v>
      </c>
      <c r="AQ264" s="1160">
        <v>0</v>
      </c>
      <c r="AR264" s="1160">
        <v>0</v>
      </c>
      <c r="AS264" s="1159">
        <v>0</v>
      </c>
      <c r="AT264" s="1159">
        <f t="shared" si="36"/>
        <v>7.8125E-3</v>
      </c>
      <c r="AU264" s="1159">
        <f t="shared" si="37"/>
        <v>1.5625E-2</v>
      </c>
      <c r="AV264" s="1159">
        <f t="shared" si="38"/>
        <v>2.34375E-2</v>
      </c>
      <c r="AW264" s="1159">
        <f t="shared" si="39"/>
        <v>3.125E-2</v>
      </c>
      <c r="AX264" s="1159">
        <f t="shared" si="40"/>
        <v>4.6875E-2</v>
      </c>
      <c r="AY264" s="1159">
        <f t="shared" si="41"/>
        <v>6.25E-2</v>
      </c>
      <c r="AZ264" s="1159">
        <f t="shared" si="42"/>
        <v>9.375E-2</v>
      </c>
      <c r="BA264" s="1159">
        <f t="shared" si="43"/>
        <v>0.125</v>
      </c>
      <c r="BB264" s="1160">
        <v>0</v>
      </c>
      <c r="BC264" s="1160">
        <f t="shared" si="44"/>
        <v>1.5625E-2</v>
      </c>
      <c r="BD264" s="1160">
        <f t="shared" si="45"/>
        <v>3.125E-2</v>
      </c>
      <c r="BE264" s="1160">
        <f t="shared" si="46"/>
        <v>4.6875E-2</v>
      </c>
      <c r="BF264" s="1160">
        <f t="shared" si="47"/>
        <v>6.25E-2</v>
      </c>
      <c r="BG264" s="1160">
        <f t="shared" si="48"/>
        <v>9.375E-2</v>
      </c>
      <c r="BH264" s="1160">
        <f t="shared" si="49"/>
        <v>0.125</v>
      </c>
      <c r="BI264" s="1160">
        <f t="shared" si="50"/>
        <v>0.1875</v>
      </c>
      <c r="BJ264" s="1160">
        <f t="shared" si="51"/>
        <v>0.25</v>
      </c>
      <c r="BK264" s="1159">
        <v>0</v>
      </c>
      <c r="BL264" s="1159">
        <f t="shared" si="52"/>
        <v>3.125E-2</v>
      </c>
      <c r="BM264" s="1159">
        <f t="shared" si="53"/>
        <v>6.25E-2</v>
      </c>
      <c r="BN264" s="1159">
        <f t="shared" si="54"/>
        <v>9.375E-2</v>
      </c>
      <c r="BO264" s="1159">
        <f t="shared" si="55"/>
        <v>0.125</v>
      </c>
      <c r="BP264" s="1159">
        <f t="shared" si="56"/>
        <v>0.1875</v>
      </c>
      <c r="BQ264" s="1159">
        <f t="shared" si="57"/>
        <v>0.25</v>
      </c>
      <c r="BR264" s="1159">
        <f t="shared" si="58"/>
        <v>0.375</v>
      </c>
      <c r="BS264" s="1159">
        <v>0.5</v>
      </c>
      <c r="BT264" s="579">
        <f t="shared" si="59"/>
        <v>0.748</v>
      </c>
      <c r="BU264" s="579">
        <f t="shared" si="59"/>
        <v>0.748</v>
      </c>
      <c r="BV264" s="579">
        <f t="shared" si="59"/>
        <v>0.748</v>
      </c>
      <c r="BW264" s="579">
        <f t="shared" si="59"/>
        <v>0.748</v>
      </c>
      <c r="BX264" s="579">
        <f t="shared" si="59"/>
        <v>0.748</v>
      </c>
      <c r="BY264" s="579">
        <f t="shared" si="59"/>
        <v>0.748</v>
      </c>
      <c r="BZ264" s="579">
        <f t="shared" si="59"/>
        <v>0.748</v>
      </c>
      <c r="CA264" s="579">
        <f t="shared" si="59"/>
        <v>0.748</v>
      </c>
      <c r="CB264" s="579">
        <f t="shared" si="59"/>
        <v>0.748</v>
      </c>
      <c r="CC264" s="578">
        <f t="shared" si="59"/>
        <v>0.748</v>
      </c>
      <c r="CD264" s="578">
        <f t="shared" si="60"/>
        <v>0.748</v>
      </c>
      <c r="CE264" s="578">
        <f t="shared" si="60"/>
        <v>0.748</v>
      </c>
      <c r="CF264" s="578">
        <f t="shared" si="60"/>
        <v>0.748</v>
      </c>
      <c r="CG264" s="578">
        <f t="shared" si="60"/>
        <v>0.748</v>
      </c>
      <c r="CH264" s="578">
        <f t="shared" si="60"/>
        <v>0.748</v>
      </c>
      <c r="CI264" s="578">
        <f t="shared" si="60"/>
        <v>0.748</v>
      </c>
      <c r="CJ264" s="578">
        <f t="shared" si="60"/>
        <v>0.748</v>
      </c>
      <c r="CK264" s="578">
        <f t="shared" si="60"/>
        <v>0.748</v>
      </c>
      <c r="CL264" s="579">
        <f t="shared" si="60"/>
        <v>0.748</v>
      </c>
      <c r="CM264" s="579">
        <f t="shared" si="60"/>
        <v>0.748</v>
      </c>
      <c r="CN264" s="579">
        <f t="shared" si="61"/>
        <v>0.748</v>
      </c>
      <c r="CO264" s="579">
        <f t="shared" si="61"/>
        <v>0.748</v>
      </c>
      <c r="CP264" s="579">
        <f t="shared" si="61"/>
        <v>0.748</v>
      </c>
      <c r="CQ264" s="579">
        <f t="shared" si="61"/>
        <v>0.748</v>
      </c>
      <c r="CR264" s="579">
        <f t="shared" si="61"/>
        <v>0.748</v>
      </c>
      <c r="CS264" s="579">
        <f t="shared" si="61"/>
        <v>0.748</v>
      </c>
      <c r="CT264" s="579">
        <f t="shared" si="61"/>
        <v>0.748</v>
      </c>
      <c r="CU264" s="578">
        <f t="shared" si="61"/>
        <v>0.748</v>
      </c>
      <c r="CV264" s="578">
        <f t="shared" si="61"/>
        <v>0.748</v>
      </c>
      <c r="CW264" s="578">
        <f t="shared" si="61"/>
        <v>0.748</v>
      </c>
      <c r="CX264" s="578">
        <f t="shared" si="62"/>
        <v>0.748</v>
      </c>
      <c r="CY264" s="578">
        <f t="shared" si="62"/>
        <v>0.748</v>
      </c>
      <c r="CZ264" s="578">
        <f t="shared" si="62"/>
        <v>0.748</v>
      </c>
      <c r="DA264" s="578">
        <f t="shared" si="62"/>
        <v>0.748</v>
      </c>
      <c r="DB264" s="578">
        <f t="shared" si="62"/>
        <v>0.748</v>
      </c>
      <c r="DC264" s="578">
        <f t="shared" si="62"/>
        <v>0.748</v>
      </c>
    </row>
    <row r="265" spans="1:107">
      <c r="A265" s="1086" t="s">
        <v>97</v>
      </c>
      <c r="B265" s="1086" t="s">
        <v>1001</v>
      </c>
      <c r="C265" s="1085"/>
      <c r="E265" s="1261">
        <v>0.25</v>
      </c>
      <c r="F265" s="1456">
        <f t="shared" si="63"/>
        <v>0.748</v>
      </c>
      <c r="AI265" s="462" t="str">
        <f t="shared" si="35"/>
        <v>OTCHP</v>
      </c>
      <c r="AJ265" s="1160">
        <v>0</v>
      </c>
      <c r="AK265" s="1160">
        <v>0</v>
      </c>
      <c r="AL265" s="1160">
        <v>0</v>
      </c>
      <c r="AM265" s="1160">
        <v>0</v>
      </c>
      <c r="AN265" s="1160">
        <v>0</v>
      </c>
      <c r="AO265" s="1160">
        <v>0</v>
      </c>
      <c r="AP265" s="1160">
        <v>0</v>
      </c>
      <c r="AQ265" s="1160">
        <v>0</v>
      </c>
      <c r="AR265" s="1160">
        <v>0</v>
      </c>
      <c r="AS265" s="1159">
        <v>0</v>
      </c>
      <c r="AT265" s="1159">
        <f t="shared" si="36"/>
        <v>7.8125E-3</v>
      </c>
      <c r="AU265" s="1159">
        <f t="shared" si="37"/>
        <v>1.5625E-2</v>
      </c>
      <c r="AV265" s="1159">
        <f t="shared" si="38"/>
        <v>2.34375E-2</v>
      </c>
      <c r="AW265" s="1159">
        <f t="shared" si="39"/>
        <v>3.125E-2</v>
      </c>
      <c r="AX265" s="1159">
        <f t="shared" si="40"/>
        <v>4.6875E-2</v>
      </c>
      <c r="AY265" s="1159">
        <f t="shared" si="41"/>
        <v>6.25E-2</v>
      </c>
      <c r="AZ265" s="1159">
        <f t="shared" si="42"/>
        <v>9.375E-2</v>
      </c>
      <c r="BA265" s="1159">
        <f t="shared" si="43"/>
        <v>0.125</v>
      </c>
      <c r="BB265" s="1160">
        <v>0</v>
      </c>
      <c r="BC265" s="1160">
        <f t="shared" si="44"/>
        <v>1.5625E-2</v>
      </c>
      <c r="BD265" s="1160">
        <f t="shared" si="45"/>
        <v>3.125E-2</v>
      </c>
      <c r="BE265" s="1160">
        <f t="shared" si="46"/>
        <v>4.6875E-2</v>
      </c>
      <c r="BF265" s="1160">
        <f t="shared" si="47"/>
        <v>6.25E-2</v>
      </c>
      <c r="BG265" s="1160">
        <f t="shared" si="48"/>
        <v>9.375E-2</v>
      </c>
      <c r="BH265" s="1160">
        <f t="shared" si="49"/>
        <v>0.125</v>
      </c>
      <c r="BI265" s="1160">
        <f t="shared" si="50"/>
        <v>0.1875</v>
      </c>
      <c r="BJ265" s="1160">
        <f t="shared" si="51"/>
        <v>0.25</v>
      </c>
      <c r="BK265" s="1159">
        <v>0</v>
      </c>
      <c r="BL265" s="1159">
        <f t="shared" si="52"/>
        <v>3.125E-2</v>
      </c>
      <c r="BM265" s="1159">
        <f t="shared" si="53"/>
        <v>6.25E-2</v>
      </c>
      <c r="BN265" s="1159">
        <f t="shared" si="54"/>
        <v>9.375E-2</v>
      </c>
      <c r="BO265" s="1159">
        <f t="shared" si="55"/>
        <v>0.125</v>
      </c>
      <c r="BP265" s="1159">
        <f t="shared" si="56"/>
        <v>0.1875</v>
      </c>
      <c r="BQ265" s="1159">
        <f t="shared" si="57"/>
        <v>0.25</v>
      </c>
      <c r="BR265" s="1159">
        <f t="shared" si="58"/>
        <v>0.375</v>
      </c>
      <c r="BS265" s="1159">
        <v>0.5</v>
      </c>
      <c r="BT265" s="579">
        <f t="shared" si="59"/>
        <v>0.748</v>
      </c>
      <c r="BU265" s="579">
        <f t="shared" si="59"/>
        <v>0.748</v>
      </c>
      <c r="BV265" s="579">
        <f t="shared" si="59"/>
        <v>0.748</v>
      </c>
      <c r="BW265" s="579">
        <f t="shared" si="59"/>
        <v>0.748</v>
      </c>
      <c r="BX265" s="579">
        <f t="shared" si="59"/>
        <v>0.748</v>
      </c>
      <c r="BY265" s="579">
        <f t="shared" si="59"/>
        <v>0.748</v>
      </c>
      <c r="BZ265" s="579">
        <f t="shared" si="59"/>
        <v>0.748</v>
      </c>
      <c r="CA265" s="579">
        <f t="shared" si="59"/>
        <v>0.748</v>
      </c>
      <c r="CB265" s="579">
        <f t="shared" si="59"/>
        <v>0.748</v>
      </c>
      <c r="CC265" s="578">
        <f t="shared" si="59"/>
        <v>0.748</v>
      </c>
      <c r="CD265" s="578">
        <f t="shared" si="60"/>
        <v>0.748</v>
      </c>
      <c r="CE265" s="578">
        <f t="shared" si="60"/>
        <v>0.748</v>
      </c>
      <c r="CF265" s="578">
        <f t="shared" si="60"/>
        <v>0.748</v>
      </c>
      <c r="CG265" s="578">
        <f t="shared" si="60"/>
        <v>0.748</v>
      </c>
      <c r="CH265" s="578">
        <f t="shared" si="60"/>
        <v>0.748</v>
      </c>
      <c r="CI265" s="578">
        <f t="shared" si="60"/>
        <v>0.748</v>
      </c>
      <c r="CJ265" s="578">
        <f t="shared" si="60"/>
        <v>0.748</v>
      </c>
      <c r="CK265" s="578">
        <f t="shared" si="60"/>
        <v>0.748</v>
      </c>
      <c r="CL265" s="579">
        <f t="shared" si="60"/>
        <v>0.748</v>
      </c>
      <c r="CM265" s="579">
        <f t="shared" si="60"/>
        <v>0.748</v>
      </c>
      <c r="CN265" s="579">
        <f t="shared" si="61"/>
        <v>0.748</v>
      </c>
      <c r="CO265" s="579">
        <f t="shared" si="61"/>
        <v>0.748</v>
      </c>
      <c r="CP265" s="579">
        <f t="shared" si="61"/>
        <v>0.748</v>
      </c>
      <c r="CQ265" s="579">
        <f t="shared" si="61"/>
        <v>0.748</v>
      </c>
      <c r="CR265" s="579">
        <f t="shared" si="61"/>
        <v>0.748</v>
      </c>
      <c r="CS265" s="579">
        <f t="shared" si="61"/>
        <v>0.748</v>
      </c>
      <c r="CT265" s="579">
        <f t="shared" si="61"/>
        <v>0.748</v>
      </c>
      <c r="CU265" s="578">
        <f t="shared" si="61"/>
        <v>0.748</v>
      </c>
      <c r="CV265" s="578">
        <f t="shared" si="61"/>
        <v>0.748</v>
      </c>
      <c r="CW265" s="578">
        <f t="shared" si="61"/>
        <v>0.748</v>
      </c>
      <c r="CX265" s="578">
        <f t="shared" si="62"/>
        <v>0.748</v>
      </c>
      <c r="CY265" s="578">
        <f t="shared" si="62"/>
        <v>0.748</v>
      </c>
      <c r="CZ265" s="578">
        <f t="shared" si="62"/>
        <v>0.748</v>
      </c>
      <c r="DA265" s="578">
        <f t="shared" si="62"/>
        <v>0.748</v>
      </c>
      <c r="DB265" s="578">
        <f t="shared" si="62"/>
        <v>0.748</v>
      </c>
      <c r="DC265" s="578">
        <f t="shared" si="62"/>
        <v>0.748</v>
      </c>
    </row>
    <row r="268" spans="1:107" s="1456" customFormat="1">
      <c r="A268" s="1456" t="s">
        <v>2474</v>
      </c>
      <c r="B268" s="1456">
        <v>72</v>
      </c>
      <c r="C268" s="1456" t="s">
        <v>1827</v>
      </c>
      <c r="D268" s="1630" t="s">
        <v>2461</v>
      </c>
      <c r="AI268" s="462"/>
    </row>
    <row r="269" spans="1:107" s="1456" customFormat="1">
      <c r="A269" s="1456" t="s">
        <v>2475</v>
      </c>
      <c r="B269" s="1456">
        <v>396</v>
      </c>
      <c r="C269" s="1456" t="s">
        <v>1827</v>
      </c>
      <c r="AI269" s="462"/>
    </row>
    <row r="270" spans="1:107" s="1456" customFormat="1">
      <c r="A270" s="347" t="s">
        <v>2462</v>
      </c>
      <c r="B270" s="1456">
        <v>228</v>
      </c>
      <c r="D270" s="38" t="s">
        <v>2463</v>
      </c>
      <c r="AI270" s="462"/>
    </row>
    <row r="271" spans="1:107" s="1456" customFormat="1">
      <c r="A271" s="347" t="s">
        <v>1825</v>
      </c>
      <c r="B271" s="1456">
        <v>95</v>
      </c>
      <c r="C271" s="1456" t="s">
        <v>2464</v>
      </c>
      <c r="D271" s="38" t="s">
        <v>2465</v>
      </c>
      <c r="AI271" s="462"/>
    </row>
    <row r="272" spans="1:107" s="1456" customFormat="1">
      <c r="B272" s="1456">
        <v>50</v>
      </c>
      <c r="C272" s="1456" t="s">
        <v>2466</v>
      </c>
      <c r="D272" s="38" t="s">
        <v>2467</v>
      </c>
      <c r="AI272" s="462"/>
    </row>
    <row r="273" spans="2:35" s="1456" customFormat="1">
      <c r="B273" s="1456">
        <v>10</v>
      </c>
      <c r="C273" s="1456" t="s">
        <v>2468</v>
      </c>
      <c r="D273" s="38" t="s">
        <v>2467</v>
      </c>
      <c r="AI273" s="462"/>
    </row>
    <row r="274" spans="2:35" s="1456" customFormat="1">
      <c r="B274" s="1456">
        <v>13</v>
      </c>
      <c r="C274" s="1456" t="s">
        <v>2469</v>
      </c>
      <c r="D274" s="38" t="s">
        <v>2467</v>
      </c>
      <c r="L274" s="1086"/>
      <c r="AI274" s="462"/>
    </row>
    <row r="275" spans="2:35" s="1456" customFormat="1">
      <c r="L275" s="1086"/>
      <c r="AI275" s="462"/>
    </row>
    <row r="276" spans="2:35" s="1456" customFormat="1">
      <c r="AI276" s="462"/>
    </row>
    <row r="277" spans="2:35">
      <c r="J277" s="1456"/>
      <c r="K277" s="1456"/>
      <c r="L277" s="1456"/>
    </row>
    <row r="303" spans="12:12">
      <c r="L303" s="23"/>
    </row>
  </sheetData>
  <mergeCells count="1">
    <mergeCell ref="B1:D1"/>
  </mergeCells>
  <pageMargins left="0.75" right="0.75" top="1" bottom="1" header="0.5" footer="0.5"/>
  <pageSetup paperSize="9" orientation="portrait" horizontalDpi="4294967292" verticalDpi="4294967292"/>
  <drawing r:id="rId1"/>
  <legacyDrawing r:id="rId2"/>
  <tableParts count="2">
    <tablePart r:id="rId3"/>
    <tablePart r:id="rId4"/>
  </tableParts>
  <extLst>
    <ext xmlns:mx="http://schemas.microsoft.com/office/mac/excel/2008/main" uri="{64002731-A6B0-56B0-2670-7721B7C09600}">
      <mx:PLV Mode="0" OnePage="0" WScale="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3" enableFormatConditionsCalculation="0">
    <tabColor theme="9"/>
    <outlinePr summaryBelow="0"/>
    <pageSetUpPr autoPageBreaks="0"/>
  </sheetPr>
  <dimension ref="A1:CI1878"/>
  <sheetViews>
    <sheetView topLeftCell="A459" zoomScale="70" zoomScaleNormal="70" zoomScalePageLayoutView="70" workbookViewId="0">
      <selection activeCell="H501" sqref="H501:O508"/>
    </sheetView>
    <sheetView topLeftCell="B1" workbookViewId="1">
      <selection activeCell="G20" sqref="G20"/>
    </sheetView>
  </sheetViews>
  <sheetFormatPr baseColWidth="10" defaultColWidth="8.83203125" defaultRowHeight="13" outlineLevelRow="2" x14ac:dyDescent="0"/>
  <cols>
    <col min="1" max="1" width="7.6640625" style="1086" customWidth="1"/>
    <col min="2" max="2" width="9.1640625" style="1086" customWidth="1"/>
    <col min="3" max="3" width="19.5" style="1086" customWidth="1"/>
    <col min="4" max="4" width="26.1640625" style="52" customWidth="1"/>
    <col min="5" max="5" width="32.5" style="1086" customWidth="1"/>
    <col min="6" max="6" width="16.5" style="1086" customWidth="1"/>
    <col min="7" max="19" width="17.6640625" style="1086" customWidth="1"/>
    <col min="20" max="20" width="11.5" style="1086" customWidth="1"/>
    <col min="21" max="24" width="17.6640625" style="1086" customWidth="1"/>
    <col min="25" max="28" width="11.5" style="1086" customWidth="1"/>
    <col min="29" max="16384" width="8.83203125" style="1086"/>
  </cols>
  <sheetData>
    <row r="1" spans="1:25" ht="20">
      <c r="A1" s="69" t="s">
        <v>891</v>
      </c>
      <c r="B1" s="69" t="str">
        <f>INDEX(Workstreams[Workstream], MATCH($A1, Workstreams[Code], 0))</f>
        <v>Industry</v>
      </c>
      <c r="C1" s="69"/>
    </row>
    <row r="2" spans="1:25" s="48" customFormat="1" ht="15">
      <c r="A2" s="6" t="s">
        <v>1352</v>
      </c>
      <c r="B2" s="6" t="str">
        <f>INDEX(Modules[Module], MATCH($A2, Modules[Code], 0))</f>
        <v>Industry</v>
      </c>
      <c r="C2" s="6"/>
      <c r="D2" s="398"/>
      <c r="E2" s="100" t="s">
        <v>1986</v>
      </c>
    </row>
    <row r="4" spans="1:25" ht="15" collapsed="1">
      <c r="B4" s="141" t="s">
        <v>395</v>
      </c>
      <c r="C4" s="1589"/>
      <c r="D4" s="643"/>
      <c r="E4" s="122"/>
      <c r="F4" s="122"/>
      <c r="G4" s="122"/>
      <c r="H4" s="36"/>
      <c r="I4" s="1500"/>
      <c r="J4" s="36"/>
      <c r="K4" s="36"/>
      <c r="L4" s="36"/>
      <c r="M4" s="36"/>
      <c r="N4" s="36"/>
      <c r="O4" s="36"/>
      <c r="P4" s="36"/>
    </row>
    <row r="5" spans="1:25">
      <c r="B5" s="114"/>
      <c r="C5" s="116"/>
      <c r="D5" s="642"/>
      <c r="E5" s="116"/>
      <c r="F5" s="116"/>
      <c r="G5" s="116"/>
      <c r="H5" s="36"/>
      <c r="I5" s="36"/>
      <c r="J5" s="36"/>
      <c r="K5" s="36"/>
      <c r="L5" s="36"/>
      <c r="M5" s="36"/>
      <c r="N5" s="36"/>
      <c r="O5" s="36"/>
      <c r="P5" s="36"/>
    </row>
    <row r="6" spans="1:25">
      <c r="B6" s="114"/>
      <c r="C6" s="115"/>
      <c r="D6" s="642"/>
      <c r="E6" s="117"/>
      <c r="F6" s="116"/>
      <c r="G6" s="116"/>
      <c r="H6" s="36"/>
      <c r="I6" s="36"/>
      <c r="J6" s="36"/>
      <c r="K6" s="36"/>
      <c r="L6" s="36"/>
      <c r="M6" s="36"/>
      <c r="N6" s="36"/>
      <c r="O6" s="36"/>
      <c r="P6" s="36"/>
    </row>
    <row r="7" spans="1:25" ht="15">
      <c r="B7" s="119"/>
      <c r="C7" s="116"/>
      <c r="D7" s="839" t="s">
        <v>266</v>
      </c>
      <c r="E7" s="92" t="s">
        <v>394</v>
      </c>
      <c r="F7" s="116" t="s">
        <v>162</v>
      </c>
      <c r="G7" s="116"/>
      <c r="H7" s="36"/>
      <c r="I7" s="36"/>
      <c r="J7" s="36"/>
      <c r="K7" s="36"/>
      <c r="L7" s="36"/>
      <c r="M7" s="36"/>
      <c r="N7" s="36"/>
      <c r="O7" s="36"/>
      <c r="P7" s="36"/>
    </row>
    <row r="8" spans="1:25" ht="15">
      <c r="B8" s="119"/>
      <c r="C8" s="116"/>
      <c r="D8" s="838" t="s">
        <v>1910</v>
      </c>
      <c r="E8" s="270">
        <f>'Growth Paths '!$C$4</f>
        <v>1</v>
      </c>
      <c r="F8" s="96" t="s">
        <v>2267</v>
      </c>
      <c r="G8" s="116"/>
      <c r="H8" s="36"/>
      <c r="I8" s="36"/>
      <c r="J8" s="36"/>
      <c r="K8" s="36"/>
      <c r="L8" s="36"/>
      <c r="M8" s="36"/>
      <c r="N8" s="36"/>
      <c r="O8" s="36"/>
      <c r="P8" s="36"/>
    </row>
    <row r="9" spans="1:25" ht="15">
      <c r="B9" s="119"/>
      <c r="C9" s="116"/>
      <c r="D9" s="639" t="s">
        <v>2266</v>
      </c>
      <c r="E9" s="96">
        <f>MIN(Control!E58,4)</f>
        <v>1</v>
      </c>
      <c r="F9" s="96"/>
      <c r="G9" s="116"/>
      <c r="H9" s="36"/>
      <c r="I9" s="36"/>
      <c r="J9" s="36"/>
      <c r="K9" s="36"/>
      <c r="L9" s="36"/>
      <c r="M9" s="36"/>
      <c r="N9" s="36"/>
      <c r="O9" s="36"/>
      <c r="P9" s="36"/>
    </row>
    <row r="10" spans="1:25" ht="26">
      <c r="B10" s="119"/>
      <c r="C10" s="116"/>
      <c r="D10" s="639" t="s">
        <v>1999</v>
      </c>
      <c r="E10" s="96">
        <f>MIN(Control!E59,4)</f>
        <v>1</v>
      </c>
      <c r="F10" s="96"/>
      <c r="G10" s="116"/>
      <c r="H10" s="36"/>
      <c r="I10" s="36"/>
      <c r="J10" s="36"/>
      <c r="K10" s="36"/>
      <c r="L10" s="36"/>
      <c r="M10" s="36"/>
      <c r="N10" s="36"/>
      <c r="O10" s="36"/>
      <c r="P10" s="36"/>
    </row>
    <row r="11" spans="1:25" ht="26">
      <c r="B11" s="119"/>
      <c r="C11" s="116"/>
      <c r="D11" s="837" t="s">
        <v>1894</v>
      </c>
      <c r="E11" s="1656">
        <f>MIN(Control!E60,4)</f>
        <v>1</v>
      </c>
      <c r="F11" s="96"/>
      <c r="G11" s="116"/>
      <c r="H11" s="36"/>
      <c r="I11" s="36"/>
      <c r="J11" s="36"/>
      <c r="K11" s="36"/>
      <c r="L11" s="36"/>
      <c r="M11" s="36"/>
      <c r="N11" s="36"/>
      <c r="O11" s="36"/>
      <c r="P11" s="36"/>
    </row>
    <row r="12" spans="1:25" ht="15">
      <c r="B12" s="119"/>
      <c r="C12" s="116"/>
      <c r="D12" s="642"/>
      <c r="E12" s="116"/>
      <c r="F12" s="116"/>
      <c r="G12" s="116"/>
      <c r="H12" s="36"/>
      <c r="I12" s="36"/>
      <c r="J12" s="36"/>
      <c r="K12" s="36"/>
      <c r="L12" s="36"/>
      <c r="M12" s="36"/>
      <c r="N12" s="36"/>
      <c r="O12" s="36"/>
      <c r="P12" s="36"/>
    </row>
    <row r="13" spans="1:25">
      <c r="B13" s="126"/>
      <c r="C13" s="121"/>
      <c r="D13" s="836"/>
      <c r="E13" s="121"/>
      <c r="F13" s="121"/>
      <c r="G13" s="121"/>
      <c r="H13" s="36"/>
      <c r="I13" s="36"/>
      <c r="J13" s="36"/>
      <c r="K13" s="36"/>
      <c r="L13" s="36"/>
      <c r="M13" s="36"/>
      <c r="N13" s="36"/>
      <c r="O13" s="36"/>
      <c r="P13" s="36"/>
    </row>
    <row r="14" spans="1:25">
      <c r="H14" s="36"/>
      <c r="I14" s="36"/>
      <c r="J14" s="36"/>
      <c r="K14" s="36"/>
      <c r="L14" s="36"/>
      <c r="M14" s="36"/>
      <c r="N14" s="36"/>
      <c r="O14" s="36"/>
      <c r="P14" s="36"/>
      <c r="Q14" s="835"/>
      <c r="R14" s="835"/>
    </row>
    <row r="15" spans="1:25" s="48" customFormat="1" ht="22">
      <c r="A15" s="112"/>
      <c r="B15" s="1588" t="s">
        <v>1358</v>
      </c>
      <c r="C15" s="486"/>
      <c r="D15" s="486"/>
      <c r="E15" s="486"/>
      <c r="F15" s="486"/>
      <c r="G15" s="486"/>
      <c r="H15" s="486"/>
      <c r="I15" s="486"/>
      <c r="J15" s="486"/>
      <c r="K15" s="486"/>
      <c r="L15" s="486"/>
      <c r="M15" s="486"/>
      <c r="N15" s="486"/>
      <c r="O15" s="486"/>
      <c r="P15" s="834"/>
      <c r="Q15" s="834"/>
      <c r="R15" s="834"/>
      <c r="S15" s="834"/>
      <c r="T15" s="834"/>
      <c r="U15" s="834"/>
      <c r="V15" s="834"/>
      <c r="W15" s="834"/>
      <c r="X15" s="834"/>
      <c r="Y15" s="834"/>
    </row>
    <row r="16" spans="1:25">
      <c r="B16" s="341"/>
      <c r="C16" s="338"/>
      <c r="D16" s="687"/>
      <c r="E16" s="338"/>
      <c r="F16" s="338"/>
      <c r="G16" s="338"/>
      <c r="H16" s="338"/>
      <c r="I16" s="338"/>
      <c r="J16" s="338"/>
      <c r="K16" s="338"/>
      <c r="L16" s="338"/>
      <c r="M16" s="338"/>
      <c r="N16" s="338"/>
      <c r="O16" s="338"/>
      <c r="P16" s="338"/>
      <c r="Q16" s="338"/>
      <c r="R16" s="338"/>
      <c r="S16" s="338"/>
      <c r="T16" s="338"/>
      <c r="U16" s="338"/>
      <c r="V16" s="338"/>
      <c r="W16" s="338"/>
      <c r="X16" s="338"/>
      <c r="Y16" s="338"/>
    </row>
    <row r="17" spans="2:25">
      <c r="B17" s="341"/>
      <c r="C17" s="339" t="s">
        <v>2253</v>
      </c>
      <c r="D17" s="687"/>
      <c r="E17" s="145"/>
      <c r="F17" s="1021" t="str">
        <f>" Economic growth trajectory: "&amp;$E$8</f>
        <v xml:space="preserve"> Economic growth trajectory: 1</v>
      </c>
      <c r="G17" s="833"/>
      <c r="H17" s="197" t="s">
        <v>2269</v>
      </c>
      <c r="I17" s="78"/>
      <c r="J17" s="248"/>
      <c r="K17" s="248"/>
      <c r="L17" s="248"/>
      <c r="M17" s="338"/>
      <c r="N17" s="78"/>
      <c r="O17" s="78"/>
      <c r="P17" s="78"/>
      <c r="Q17" s="338"/>
      <c r="R17" s="338"/>
      <c r="S17" s="338"/>
      <c r="T17" s="338"/>
      <c r="U17" s="338"/>
      <c r="V17" s="338"/>
      <c r="W17" s="338"/>
      <c r="X17" s="338"/>
      <c r="Y17" s="338"/>
    </row>
    <row r="18" spans="2:25" s="1456" customFormat="1">
      <c r="B18" s="341"/>
      <c r="C18" s="339"/>
      <c r="D18" s="687"/>
      <c r="E18" s="145"/>
      <c r="F18" s="336"/>
      <c r="G18" s="336"/>
      <c r="H18" s="336"/>
      <c r="I18" s="336"/>
      <c r="J18" s="336"/>
      <c r="K18" s="336"/>
      <c r="L18" s="336"/>
      <c r="M18" s="336"/>
      <c r="N18" s="336"/>
      <c r="O18" s="78"/>
      <c r="P18" s="78"/>
      <c r="Q18" s="1440"/>
      <c r="R18" s="1440"/>
      <c r="S18" s="1440"/>
      <c r="T18" s="1440"/>
      <c r="U18" s="1440"/>
      <c r="V18" s="1440"/>
      <c r="W18" s="1440"/>
      <c r="X18" s="1440"/>
      <c r="Y18" s="1440"/>
    </row>
    <row r="19" spans="2:25" s="1456" customFormat="1" ht="14">
      <c r="B19" s="341"/>
      <c r="C19" s="61" t="s">
        <v>32</v>
      </c>
      <c r="D19" s="690" t="s">
        <v>59</v>
      </c>
      <c r="E19" s="690"/>
      <c r="F19" s="61">
        <v>2010</v>
      </c>
      <c r="G19" s="61">
        <v>2015</v>
      </c>
      <c r="H19" s="61">
        <v>2020</v>
      </c>
      <c r="I19" s="61">
        <v>2025</v>
      </c>
      <c r="J19" s="61">
        <v>2030</v>
      </c>
      <c r="K19" s="61">
        <v>2035</v>
      </c>
      <c r="L19" s="61">
        <v>2040</v>
      </c>
      <c r="M19" s="61">
        <v>2045</v>
      </c>
      <c r="N19" s="61">
        <v>2050</v>
      </c>
      <c r="O19" s="78"/>
      <c r="P19" s="78"/>
      <c r="Q19" s="1440"/>
      <c r="R19" s="1440"/>
      <c r="S19" s="1440"/>
      <c r="T19" s="1440"/>
      <c r="U19" s="1440"/>
      <c r="V19" s="1440"/>
      <c r="W19" s="1440"/>
      <c r="X19" s="1440"/>
      <c r="Y19" s="1440"/>
    </row>
    <row r="20" spans="2:25" s="1456" customFormat="1" ht="14">
      <c r="B20" s="341"/>
      <c r="C20" s="336" t="s">
        <v>1015</v>
      </c>
      <c r="D20" s="689" t="str">
        <f>INDEX(IND_Sectors[Sector_Name],MATCH(C20,IND_Sectors[Sector_Code],0))</f>
        <v>Mining SIC2</v>
      </c>
      <c r="E20" s="1039"/>
      <c r="F20" s="1572">
        <f t="array" ref="F20">SUM(('Growth Paths '!$A$39:$A$46=$C20)*('Growth Paths '!$G$3:$AI$3=F$19)*('Growth Paths '!$G$39:$AI$46)) * SUM(('Growth Paths '!$A$49:$A$56=$C20)*('Growth Paths '!$G$3:$AI$3=F$19)*('Growth Paths '!$G$49:$AI$56))</f>
        <v>1.1749840051554792</v>
      </c>
      <c r="G20" s="1572">
        <f t="array" ref="G20">SUM(('Growth Paths '!$A$39:$A$46=$C20)*('Growth Paths '!$G$3:$AI$3=G$19)*('Growth Paths '!$G$39:$AI$46)) * SUM(('Growth Paths '!$A$49:$A$56=$C20)*('Growth Paths '!$G$3:$AI$3=G$19)*('Growth Paths '!$G$49:$AI$56))</f>
        <v>1.4422508549408466</v>
      </c>
      <c r="H20" s="1572">
        <f t="array" ref="H20">SUM(('Growth Paths '!$A$39:$A$46=$C20)*('Growth Paths '!$G$3:$AI$3=H$19)*('Growth Paths '!$G$39:$AI$46)) * SUM(('Growth Paths '!$A$49:$A$56=$C20)*('Growth Paths '!$G$3:$AI$3=H$19)*('Growth Paths '!$G$49:$AI$56))</f>
        <v>1.7937152584457881</v>
      </c>
      <c r="I20" s="1572">
        <f t="array" ref="I20">SUM(('Growth Paths '!$A$39:$A$46=$C20)*('Growth Paths '!$G$3:$AI$3=I$19)*('Growth Paths '!$G$39:$AI$46)) * SUM(('Growth Paths '!$A$49:$A$56=$C20)*('Growth Paths '!$G$3:$AI$3=I$19)*('Growth Paths '!$G$49:$AI$56))</f>
        <v>2.2498961595645137</v>
      </c>
      <c r="J20" s="1572">
        <f t="array" ref="J20">SUM(('Growth Paths '!$A$39:$A$46=$C20)*('Growth Paths '!$G$3:$AI$3=J$19)*('Growth Paths '!$G$39:$AI$46)) * SUM(('Growth Paths '!$A$49:$A$56=$C20)*('Growth Paths '!$G$3:$AI$3=J$19)*('Growth Paths '!$G$49:$AI$56))</f>
        <v>2.8460628279967226</v>
      </c>
      <c r="K20" s="1572">
        <f t="array" ref="K20">SUM(('Growth Paths '!$A$39:$A$46=$C20)*('Growth Paths '!$G$3:$AI$3=K$19)*('Growth Paths '!$G$39:$AI$46)) * SUM(('Growth Paths '!$A$49:$A$56=$C20)*('Growth Paths '!$G$3:$AI$3=K$19)*('Growth Paths '!$G$49:$AI$56))</f>
        <v>3.6005891781795527</v>
      </c>
      <c r="L20" s="1572">
        <f t="array" ref="L20">SUM(('Growth Paths '!$A$39:$A$46=$C20)*('Growth Paths '!$G$3:$AI$3=L$19)*('Growth Paths '!$G$39:$AI$46)) * SUM(('Growth Paths '!$A$49:$A$56=$C20)*('Growth Paths '!$G$3:$AI$3=L$19)*('Growth Paths '!$G$49:$AI$56))</f>
        <v>4.465197752251215</v>
      </c>
      <c r="M20" s="1572">
        <f t="array" ref="M20">SUM(('Growth Paths '!$A$39:$A$46=$C20)*('Growth Paths '!$G$3:$AI$3=M$19)*('Growth Paths '!$G$39:$AI$46)) * SUM(('Growth Paths '!$A$49:$A$56=$C20)*('Growth Paths '!$G$3:$AI$3=M$19)*('Growth Paths '!$G$49:$AI$56))</f>
        <v>5.3894854091364266</v>
      </c>
      <c r="N20" s="1572">
        <f t="array" ref="N20">SUM(('Growth Paths '!$A$39:$A$46=$C20)*('Growth Paths '!$G$3:$AI$3=N$19)*('Growth Paths '!$G$39:$AI$46)) * SUM(('Growth Paths '!$A$49:$A$56=$C20)*('Growth Paths '!$G$3:$AI$3=N$19)*('Growth Paths '!$G$49:$AI$56))</f>
        <v>6.4130483403107883</v>
      </c>
      <c r="O20" s="78"/>
      <c r="P20" s="78"/>
      <c r="Q20" s="1440"/>
      <c r="R20" s="1440"/>
      <c r="S20" s="1440"/>
      <c r="T20" s="1440"/>
      <c r="U20" s="1440"/>
      <c r="V20" s="1440"/>
      <c r="W20" s="1440"/>
      <c r="X20" s="1440"/>
      <c r="Y20" s="1440"/>
    </row>
    <row r="21" spans="2:25" s="1456" customFormat="1" ht="14">
      <c r="B21" s="341"/>
      <c r="C21" s="336" t="s">
        <v>1013</v>
      </c>
      <c r="D21" s="689" t="str">
        <f>INDEX(IND_Sectors[Sector_Name],MATCH(C21,IND_Sectors[Sector_Code],0))</f>
        <v>Iron  &amp; Steel  - 351</v>
      </c>
      <c r="E21" s="1039"/>
      <c r="F21" s="1573">
        <f t="array" ref="F21">SUM(('Growth Paths '!$A$39:$A$46=$C21)*('Growth Paths '!$G$3:$AI$3=F$19)*('Growth Paths '!$G$39:$AI$46)) * SUM(('Growth Paths '!$A$49:$A$56=$C21)*('Growth Paths '!$G$3:$AI$3=F$19)*('Growth Paths '!$G$49:$AI$56))</f>
        <v>1.1580562667925978</v>
      </c>
      <c r="G21" s="1573">
        <f t="array" ref="G21">SUM(('Growth Paths '!$A$39:$A$46=$C21)*('Growth Paths '!$G$3:$AI$3=G$19)*('Growth Paths '!$G$39:$AI$46)) * SUM(('Growth Paths '!$A$49:$A$56=$C21)*('Growth Paths '!$G$3:$AI$3=G$19)*('Growth Paths '!$G$49:$AI$56))</f>
        <v>1.4552578169319239</v>
      </c>
      <c r="H21" s="1573">
        <f t="array" ref="H21">SUM(('Growth Paths '!$A$39:$A$46=$C21)*('Growth Paths '!$G$3:$AI$3=H$19)*('Growth Paths '!$G$39:$AI$46)) * SUM(('Growth Paths '!$A$49:$A$56=$C21)*('Growth Paths '!$G$3:$AI$3=H$19)*('Growth Paths '!$G$49:$AI$56))</f>
        <v>1.8391740207393514</v>
      </c>
      <c r="I21" s="1573">
        <f t="array" ref="I21">SUM(('Growth Paths '!$A$39:$A$46=$C21)*('Growth Paths '!$G$3:$AI$3=I$19)*('Growth Paths '!$G$39:$AI$46)) * SUM(('Growth Paths '!$A$49:$A$56=$C21)*('Growth Paths '!$G$3:$AI$3=I$19)*('Growth Paths '!$G$49:$AI$56))</f>
        <v>2.3111729498951084</v>
      </c>
      <c r="J21" s="1573">
        <f t="array" ref="J21">SUM(('Growth Paths '!$A$39:$A$46=$C21)*('Growth Paths '!$G$3:$AI$3=J$19)*('Growth Paths '!$G$39:$AI$46)) * SUM(('Growth Paths '!$A$49:$A$56=$C21)*('Growth Paths '!$G$3:$AI$3=J$19)*('Growth Paths '!$G$49:$AI$56))</f>
        <v>2.9042439662864812</v>
      </c>
      <c r="K21" s="1573">
        <f t="array" ref="K21">SUM(('Growth Paths '!$A$39:$A$46=$C21)*('Growth Paths '!$G$3:$AI$3=K$19)*('Growth Paths '!$G$39:$AI$46)) * SUM(('Growth Paths '!$A$49:$A$56=$C21)*('Growth Paths '!$G$3:$AI$3=K$19)*('Growth Paths '!$G$49:$AI$56))</f>
        <v>3.5707770236915355</v>
      </c>
      <c r="L21" s="1573">
        <f t="array" ref="L21">SUM(('Growth Paths '!$A$39:$A$46=$C21)*('Growth Paths '!$G$3:$AI$3=L$19)*('Growth Paths '!$G$39:$AI$46)) * SUM(('Growth Paths '!$A$49:$A$56=$C21)*('Growth Paths '!$G$3:$AI$3=L$19)*('Growth Paths '!$G$49:$AI$56))</f>
        <v>4.313822419184735</v>
      </c>
      <c r="M21" s="1573">
        <f t="array" ref="M21">SUM(('Growth Paths '!$A$39:$A$46=$C21)*('Growth Paths '!$G$3:$AI$3=M$19)*('Growth Paths '!$G$39:$AI$46)) * SUM(('Growth Paths '!$A$49:$A$56=$C21)*('Growth Paths '!$G$3:$AI$3=M$19)*('Growth Paths '!$G$49:$AI$56))</f>
        <v>5.0887142220210251</v>
      </c>
      <c r="N21" s="1573">
        <f t="array" ref="N21">SUM(('Growth Paths '!$A$39:$A$46=$C21)*('Growth Paths '!$G$3:$AI$3=N$19)*('Growth Paths '!$G$39:$AI$46)) * SUM(('Growth Paths '!$A$49:$A$56=$C21)*('Growth Paths '!$G$3:$AI$3=N$19)*('Growth Paths '!$G$49:$AI$56))</f>
        <v>5.9615314821435668</v>
      </c>
      <c r="O21" s="78"/>
      <c r="P21" s="78"/>
      <c r="Q21" s="1440"/>
      <c r="R21" s="1440"/>
      <c r="S21" s="1440"/>
      <c r="T21" s="1440"/>
      <c r="U21" s="1440"/>
      <c r="V21" s="1440"/>
      <c r="W21" s="1440"/>
      <c r="X21" s="1440"/>
      <c r="Y21" s="1440"/>
    </row>
    <row r="22" spans="2:25" s="1456" customFormat="1" ht="14">
      <c r="B22" s="341"/>
      <c r="C22" s="336" t="s">
        <v>1011</v>
      </c>
      <c r="D22" s="689" t="str">
        <f>INDEX(IND_Sectors[Sector_Name],MATCH(C22,IND_Sectors[Sector_Code],0))</f>
        <v>Chemicals  -33</v>
      </c>
      <c r="E22" s="1039"/>
      <c r="F22" s="1573">
        <f t="array" ref="F22">SUM(('Growth Paths '!$A$39:$A$46=$C22)*('Growth Paths '!$G$3:$AI$3=F$19)*('Growth Paths '!$G$39:$AI$46)) * SUM(('Growth Paths '!$A$49:$A$56=$C22)*('Growth Paths '!$G$3:$AI$3=F$19)*('Growth Paths '!$G$49:$AI$56))</f>
        <v>1.1413679402660959</v>
      </c>
      <c r="G22" s="1573">
        <f t="array" ref="G22">SUM(('Growth Paths '!$A$39:$A$46=$C22)*('Growth Paths '!$G$3:$AI$3=G$19)*('Growth Paths '!$G$39:$AI$46)) * SUM(('Growth Paths '!$A$49:$A$56=$C22)*('Growth Paths '!$G$3:$AI$3=G$19)*('Growth Paths '!$G$49:$AI$56))</f>
        <v>1.2530938024014895</v>
      </c>
      <c r="H22" s="1573">
        <f t="array" ref="H22">SUM(('Growth Paths '!$A$39:$A$46=$C22)*('Growth Paths '!$G$3:$AI$3=H$19)*('Growth Paths '!$G$39:$AI$46)) * SUM(('Growth Paths '!$A$49:$A$56=$C22)*('Growth Paths '!$G$3:$AI$3=H$19)*('Growth Paths '!$G$49:$AI$56))</f>
        <v>1.384218716071326</v>
      </c>
      <c r="I22" s="1573">
        <f t="array" ref="I22">SUM(('Growth Paths '!$A$39:$A$46=$C22)*('Growth Paths '!$G$3:$AI$3=I$19)*('Growth Paths '!$G$39:$AI$46)) * SUM(('Growth Paths '!$A$49:$A$56=$C22)*('Growth Paths '!$G$3:$AI$3=I$19)*('Growth Paths '!$G$49:$AI$56))</f>
        <v>1.5294359290464361</v>
      </c>
      <c r="J22" s="1573">
        <f t="array" ref="J22">SUM(('Growth Paths '!$A$39:$A$46=$C22)*('Growth Paths '!$G$3:$AI$3=J$19)*('Growth Paths '!$G$39:$AI$46)) * SUM(('Growth Paths '!$A$49:$A$56=$C22)*('Growth Paths '!$G$3:$AI$3=J$19)*('Growth Paths '!$G$49:$AI$56))</f>
        <v>1.7224400925999608</v>
      </c>
      <c r="K22" s="1573">
        <f t="array" ref="K22">SUM(('Growth Paths '!$A$39:$A$46=$C22)*('Growth Paths '!$G$3:$AI$3=K$19)*('Growth Paths '!$G$39:$AI$46)) * SUM(('Growth Paths '!$A$49:$A$56=$C22)*('Growth Paths '!$G$3:$AI$3=K$19)*('Growth Paths '!$G$49:$AI$56))</f>
        <v>2.0615492843978083</v>
      </c>
      <c r="L22" s="1573">
        <f t="array" ref="L22">SUM(('Growth Paths '!$A$39:$A$46=$C22)*('Growth Paths '!$G$3:$AI$3=L$19)*('Growth Paths '!$G$39:$AI$46)) * SUM(('Growth Paths '!$A$49:$A$56=$C22)*('Growth Paths '!$G$3:$AI$3=L$19)*('Growth Paths '!$G$49:$AI$56))</f>
        <v>2.4299098191112942</v>
      </c>
      <c r="M22" s="1573">
        <f t="array" ref="M22">SUM(('Growth Paths '!$A$39:$A$46=$C22)*('Growth Paths '!$G$3:$AI$3=M$19)*('Growth Paths '!$G$39:$AI$46)) * SUM(('Growth Paths '!$A$49:$A$56=$C22)*('Growth Paths '!$G$3:$AI$3=M$19)*('Growth Paths '!$G$49:$AI$56))</f>
        <v>2.8051967194673555</v>
      </c>
      <c r="N22" s="1573">
        <f t="array" ref="N22">SUM(('Growth Paths '!$A$39:$A$46=$C22)*('Growth Paths '!$G$3:$AI$3=N$19)*('Growth Paths '!$G$39:$AI$46)) * SUM(('Growth Paths '!$A$49:$A$56=$C22)*('Growth Paths '!$G$3:$AI$3=N$19)*('Growth Paths '!$G$49:$AI$56))</f>
        <v>3.126213356352527</v>
      </c>
      <c r="O22" s="78"/>
      <c r="P22" s="78"/>
      <c r="Q22" s="1440"/>
      <c r="R22" s="1440"/>
      <c r="S22" s="1440"/>
      <c r="T22" s="1440"/>
      <c r="U22" s="1440"/>
      <c r="V22" s="1440"/>
      <c r="W22" s="1440"/>
      <c r="X22" s="1440"/>
      <c r="Y22" s="1440"/>
    </row>
    <row r="23" spans="2:25" s="1456" customFormat="1" ht="14">
      <c r="B23" s="341"/>
      <c r="C23" s="336" t="s">
        <v>1009</v>
      </c>
      <c r="D23" s="689" t="str">
        <f>INDEX(IND_Sectors[Sector_Name],MATCH(C23,IND_Sectors[Sector_Code],0))</f>
        <v>Non-Ferrous metals  - 352</v>
      </c>
      <c r="E23" s="1039"/>
      <c r="F23" s="1573">
        <f t="array" ref="F23">SUM(('Growth Paths '!$A$39:$A$46=$C23)*('Growth Paths '!$G$3:$AI$3=F$19)*('Growth Paths '!$G$39:$AI$46)) * SUM(('Growth Paths '!$A$49:$A$56=$C23)*('Growth Paths '!$G$3:$AI$3=F$19)*('Growth Paths '!$G$49:$AI$56))</f>
        <v>1.1590304318210891</v>
      </c>
      <c r="G23" s="1573">
        <f t="array" ref="G23">SUM(('Growth Paths '!$A$39:$A$46=$C23)*('Growth Paths '!$G$3:$AI$3=G$19)*('Growth Paths '!$G$39:$AI$46)) * SUM(('Growth Paths '!$A$49:$A$56=$C23)*('Growth Paths '!$G$3:$AI$3=G$19)*('Growth Paths '!$G$49:$AI$56))</f>
        <v>1.3989277652136987</v>
      </c>
      <c r="H23" s="1573">
        <f t="array" ref="H23">SUM(('Growth Paths '!$A$39:$A$46=$C23)*('Growth Paths '!$G$3:$AI$3=H$19)*('Growth Paths '!$G$39:$AI$46)) * SUM(('Growth Paths '!$A$49:$A$56=$C23)*('Growth Paths '!$G$3:$AI$3=H$19)*('Growth Paths '!$G$49:$AI$56))</f>
        <v>1.726392397228244</v>
      </c>
      <c r="I23" s="1573">
        <f t="array" ref="I23">SUM(('Growth Paths '!$A$39:$A$46=$C23)*('Growth Paths '!$G$3:$AI$3=I$19)*('Growth Paths '!$G$39:$AI$46)) * SUM(('Growth Paths '!$A$49:$A$56=$C23)*('Growth Paths '!$G$3:$AI$3=I$19)*('Growth Paths '!$G$49:$AI$56))</f>
        <v>2.0795501915354264</v>
      </c>
      <c r="J23" s="1573">
        <f t="array" ref="J23">SUM(('Growth Paths '!$A$39:$A$46=$C23)*('Growth Paths '!$G$3:$AI$3=J$19)*('Growth Paths '!$G$39:$AI$46)) * SUM(('Growth Paths '!$A$49:$A$56=$C23)*('Growth Paths '!$G$3:$AI$3=J$19)*('Growth Paths '!$G$49:$AI$56))</f>
        <v>2.5314545030192517</v>
      </c>
      <c r="K23" s="1573">
        <f t="array" ref="K23">SUM(('Growth Paths '!$A$39:$A$46=$C23)*('Growth Paths '!$G$3:$AI$3=K$19)*('Growth Paths '!$G$39:$AI$46)) * SUM(('Growth Paths '!$A$49:$A$56=$C23)*('Growth Paths '!$G$3:$AI$3=K$19)*('Growth Paths '!$G$49:$AI$56))</f>
        <v>3.0885308360157429</v>
      </c>
      <c r="L23" s="1573">
        <f t="array" ref="L23">SUM(('Growth Paths '!$A$39:$A$46=$C23)*('Growth Paths '!$G$3:$AI$3=L$19)*('Growth Paths '!$G$39:$AI$46)) * SUM(('Growth Paths '!$A$49:$A$56=$C23)*('Growth Paths '!$G$3:$AI$3=L$19)*('Growth Paths '!$G$49:$AI$56))</f>
        <v>3.7049570626045716</v>
      </c>
      <c r="M23" s="1573">
        <f t="array" ref="M23">SUM(('Growth Paths '!$A$39:$A$46=$C23)*('Growth Paths '!$G$3:$AI$3=M$19)*('Growth Paths '!$G$39:$AI$46)) * SUM(('Growth Paths '!$A$49:$A$56=$C23)*('Growth Paths '!$G$3:$AI$3=M$19)*('Growth Paths '!$G$49:$AI$56))</f>
        <v>4.343516803157498</v>
      </c>
      <c r="N23" s="1573">
        <f t="array" ref="N23">SUM(('Growth Paths '!$A$39:$A$46=$C23)*('Growth Paths '!$G$3:$AI$3=N$19)*('Growth Paths '!$G$39:$AI$46)) * SUM(('Growth Paths '!$A$49:$A$56=$C23)*('Growth Paths '!$G$3:$AI$3=N$19)*('Growth Paths '!$G$49:$AI$56))</f>
        <v>5.0105051270012968</v>
      </c>
      <c r="O23" s="78"/>
      <c r="P23" s="78"/>
      <c r="Q23" s="1440"/>
      <c r="R23" s="1440"/>
      <c r="S23" s="1440"/>
      <c r="T23" s="1440"/>
      <c r="U23" s="1440"/>
      <c r="V23" s="1440"/>
      <c r="W23" s="1440"/>
      <c r="X23" s="1440"/>
      <c r="Y23" s="1440"/>
    </row>
    <row r="24" spans="2:25" s="1456" customFormat="1" ht="14">
      <c r="B24" s="341"/>
      <c r="C24" s="336" t="s">
        <v>1007</v>
      </c>
      <c r="D24" s="689" t="str">
        <f>INDEX(IND_Sectors[Sector_Name],MATCH(C24,IND_Sectors[Sector_Code],0))</f>
        <v>N.M.M Products  -34</v>
      </c>
      <c r="E24" s="1039"/>
      <c r="F24" s="1573">
        <f t="array" ref="F24">SUM(('Growth Paths '!$A$39:$A$46=$C24)*('Growth Paths '!$G$3:$AI$3=F$19)*('Growth Paths '!$G$39:$AI$46)) * SUM(('Growth Paths '!$A$49:$A$56=$C24)*('Growth Paths '!$G$3:$AI$3=F$19)*('Growth Paths '!$G$49:$AI$56))</f>
        <v>1.1783405470175379</v>
      </c>
      <c r="G24" s="1573">
        <f t="array" ref="G24">SUM(('Growth Paths '!$A$39:$A$46=$C24)*('Growth Paths '!$G$3:$AI$3=G$19)*('Growth Paths '!$G$39:$AI$46)) * SUM(('Growth Paths '!$A$49:$A$56=$C24)*('Growth Paths '!$G$3:$AI$3=G$19)*('Growth Paths '!$G$49:$AI$56))</f>
        <v>1.4380491724185542</v>
      </c>
      <c r="H24" s="1573">
        <f t="array" ref="H24">SUM(('Growth Paths '!$A$39:$A$46=$C24)*('Growth Paths '!$G$3:$AI$3=H$19)*('Growth Paths '!$G$39:$AI$46)) * SUM(('Growth Paths '!$A$49:$A$56=$C24)*('Growth Paths '!$G$3:$AI$3=H$19)*('Growth Paths '!$G$49:$AI$56))</f>
        <v>1.7664765443254502</v>
      </c>
      <c r="I24" s="1573">
        <f t="array" ref="I24">SUM(('Growth Paths '!$A$39:$A$46=$C24)*('Growth Paths '!$G$3:$AI$3=I$19)*('Growth Paths '!$G$39:$AI$46)) * SUM(('Growth Paths '!$A$49:$A$56=$C24)*('Growth Paths '!$G$3:$AI$3=I$19)*('Growth Paths '!$G$49:$AI$56))</f>
        <v>2.1813432392881125</v>
      </c>
      <c r="J24" s="1573">
        <f t="array" ref="J24">SUM(('Growth Paths '!$A$39:$A$46=$C24)*('Growth Paths '!$G$3:$AI$3=J$19)*('Growth Paths '!$G$39:$AI$46)) * SUM(('Growth Paths '!$A$49:$A$56=$C24)*('Growth Paths '!$G$3:$AI$3=J$19)*('Growth Paths '!$G$49:$AI$56))</f>
        <v>2.7153970980401123</v>
      </c>
      <c r="K24" s="1573">
        <f t="array" ref="K24">SUM(('Growth Paths '!$A$39:$A$46=$C24)*('Growth Paths '!$G$3:$AI$3=K$19)*('Growth Paths '!$G$39:$AI$46)) * SUM(('Growth Paths '!$A$49:$A$56=$C24)*('Growth Paths '!$G$3:$AI$3=K$19)*('Growth Paths '!$G$49:$AI$56))</f>
        <v>3.4347963932058989</v>
      </c>
      <c r="L24" s="1573">
        <f t="array" ref="L24">SUM(('Growth Paths '!$A$39:$A$46=$C24)*('Growth Paths '!$G$3:$AI$3=L$19)*('Growth Paths '!$G$39:$AI$46)) * SUM(('Growth Paths '!$A$49:$A$56=$C24)*('Growth Paths '!$G$3:$AI$3=L$19)*('Growth Paths '!$G$49:$AI$56))</f>
        <v>4.2590406315258127</v>
      </c>
      <c r="M24" s="1573">
        <f t="array" ref="M24">SUM(('Growth Paths '!$A$39:$A$46=$C24)*('Growth Paths '!$G$3:$AI$3=M$19)*('Growth Paths '!$G$39:$AI$46)) * SUM(('Growth Paths '!$A$49:$A$56=$C24)*('Growth Paths '!$G$3:$AI$3=M$19)*('Growth Paths '!$G$49:$AI$56))</f>
        <v>5.1400696314946712</v>
      </c>
      <c r="N24" s="1573">
        <f t="array" ref="N24">SUM(('Growth Paths '!$A$39:$A$46=$C24)*('Growth Paths '!$G$3:$AI$3=N$19)*('Growth Paths '!$G$39:$AI$46)) * SUM(('Growth Paths '!$A$49:$A$56=$C24)*('Growth Paths '!$G$3:$AI$3=N$19)*('Growth Paths '!$G$49:$AI$56))</f>
        <v>6.1099445616876329</v>
      </c>
      <c r="O24" s="78"/>
      <c r="P24" s="78"/>
      <c r="Q24" s="1440"/>
      <c r="R24" s="1440"/>
      <c r="S24" s="1440"/>
      <c r="T24" s="1440"/>
      <c r="U24" s="1440"/>
      <c r="V24" s="1440"/>
      <c r="W24" s="1440"/>
      <c r="X24" s="1440"/>
      <c r="Y24" s="1440"/>
    </row>
    <row r="25" spans="2:25" s="1456" customFormat="1">
      <c r="B25" s="341"/>
      <c r="C25" s="336" t="s">
        <v>1005</v>
      </c>
      <c r="D25" s="336" t="str">
        <f>INDEX(IND_Sectors[Sector_Name],MATCH(C25,IND_Sectors[Sector_Code],0))</f>
        <v>Food, Beverage &amp; Tabacco  - 30</v>
      </c>
      <c r="E25" s="145"/>
      <c r="F25" s="471">
        <f t="array" ref="F25">SUM(('Growth Paths '!$A$39:$A$46=$C25)*('Growth Paths '!$G$3:$AI$3=F$19)*('Growth Paths '!$G$39:$AI$46)) * SUM(('Growth Paths '!$A$49:$A$56=$C25)*('Growth Paths '!$G$3:$AI$3=F$19)*('Growth Paths '!$G$49:$AI$56))</f>
        <v>1.1503655212285082</v>
      </c>
      <c r="G25" s="1574">
        <f t="array" ref="G25">SUM(('Growth Paths '!$A$39:$A$46=$C25)*('Growth Paths '!$G$3:$AI$3=G$19)*('Growth Paths '!$G$39:$AI$46)) * SUM(('Growth Paths '!$A$49:$A$56=$C25)*('Growth Paths '!$G$3:$AI$3=G$19)*('Growth Paths '!$G$49:$AI$56))</f>
        <v>1.3988499476607392</v>
      </c>
      <c r="H25" s="1574">
        <f t="array" ref="H25">SUM(('Growth Paths '!$A$39:$A$46=$C25)*('Growth Paths '!$G$3:$AI$3=H$19)*('Growth Paths '!$G$39:$AI$46)) * SUM(('Growth Paths '!$A$49:$A$56=$C25)*('Growth Paths '!$G$3:$AI$3=H$19)*('Growth Paths '!$G$49:$AI$56))</f>
        <v>1.7102902293481856</v>
      </c>
      <c r="I25" s="471">
        <f t="array" ref="I25">SUM(('Growth Paths '!$A$39:$A$46=$C25)*('Growth Paths '!$G$3:$AI$3=I$19)*('Growth Paths '!$G$39:$AI$46)) * SUM(('Growth Paths '!$A$49:$A$56=$C25)*('Growth Paths '!$G$3:$AI$3=I$19)*('Growth Paths '!$G$49:$AI$56))</f>
        <v>2.0771716128826414</v>
      </c>
      <c r="J25" s="1574">
        <f t="array" ref="J25">SUM(('Growth Paths '!$A$39:$A$46=$C25)*('Growth Paths '!$G$3:$AI$3=J$19)*('Growth Paths '!$G$39:$AI$46)) * SUM(('Growth Paths '!$A$49:$A$56=$C25)*('Growth Paths '!$G$3:$AI$3=J$19)*('Growth Paths '!$G$49:$AI$56))</f>
        <v>2.5399724514198048</v>
      </c>
      <c r="K25" s="1574">
        <f t="array" ref="K25">SUM(('Growth Paths '!$A$39:$A$46=$C25)*('Growth Paths '!$G$3:$AI$3=K$19)*('Growth Paths '!$G$39:$AI$46)) * SUM(('Growth Paths '!$A$49:$A$56=$C25)*('Growth Paths '!$G$3:$AI$3=K$19)*('Growth Paths '!$G$49:$AI$56))</f>
        <v>3.1186316922047452</v>
      </c>
      <c r="L25" s="1574">
        <f t="array" ref="L25">SUM(('Growth Paths '!$A$39:$A$46=$C25)*('Growth Paths '!$G$3:$AI$3=L$19)*('Growth Paths '!$G$39:$AI$46)) * SUM(('Growth Paths '!$A$49:$A$56=$C25)*('Growth Paths '!$G$3:$AI$3=L$19)*('Growth Paths '!$G$49:$AI$56))</f>
        <v>3.7628653586005854</v>
      </c>
      <c r="M25" s="471">
        <f t="array" ref="M25">SUM(('Growth Paths '!$A$39:$A$46=$C25)*('Growth Paths '!$G$3:$AI$3=M$19)*('Growth Paths '!$G$39:$AI$46)) * SUM(('Growth Paths '!$A$49:$A$56=$C25)*('Growth Paths '!$G$3:$AI$3=M$19)*('Growth Paths '!$G$49:$AI$56))</f>
        <v>4.4339126997714926</v>
      </c>
      <c r="N25" s="471">
        <f t="array" ref="N25">SUM(('Growth Paths '!$A$39:$A$46=$C25)*('Growth Paths '!$G$3:$AI$3=N$19)*('Growth Paths '!$G$39:$AI$46)) * SUM(('Growth Paths '!$A$49:$A$56=$C25)*('Growth Paths '!$G$3:$AI$3=N$19)*('Growth Paths '!$G$49:$AI$56))</f>
        <v>5.1772727792861417</v>
      </c>
      <c r="O25" s="78"/>
      <c r="P25" s="78"/>
      <c r="Q25" s="1440"/>
      <c r="R25" s="1440"/>
      <c r="S25" s="1440"/>
      <c r="T25" s="1440"/>
      <c r="U25" s="1440"/>
      <c r="V25" s="1440"/>
      <c r="W25" s="1440"/>
      <c r="X25" s="1440"/>
      <c r="Y25" s="1440"/>
    </row>
    <row r="26" spans="2:25" s="1456" customFormat="1">
      <c r="B26" s="341"/>
      <c r="C26" s="336" t="s">
        <v>1003</v>
      </c>
      <c r="D26" s="689" t="str">
        <f>INDEX(IND_Sectors[Sector_Name],MATCH(C26,IND_Sectors[Sector_Code],0))</f>
        <v>Pulp &amp; Paper Products  -323</v>
      </c>
      <c r="E26" s="145"/>
      <c r="F26" s="471">
        <f t="array" ref="F26">SUM(('Growth Paths '!$A$39:$A$46=$C26)*('Growth Paths '!$G$3:$AI$3=F$19)*('Growth Paths '!$G$39:$AI$46)) * SUM(('Growth Paths '!$A$49:$A$56=$C26)*('Growth Paths '!$G$3:$AI$3=F$19)*('Growth Paths '!$G$49:$AI$56))</f>
        <v>1.1634863967571991</v>
      </c>
      <c r="G26" s="1574">
        <f t="array" ref="G26">SUM(('Growth Paths '!$A$39:$A$46=$C26)*('Growth Paths '!$G$3:$AI$3=G$19)*('Growth Paths '!$G$39:$AI$46)) * SUM(('Growth Paths '!$A$49:$A$56=$C26)*('Growth Paths '!$G$3:$AI$3=G$19)*('Growth Paths '!$G$49:$AI$56))</f>
        <v>1.3771216008984035</v>
      </c>
      <c r="H26" s="1574">
        <f t="array" ref="H26">SUM(('Growth Paths '!$A$39:$A$46=$C26)*('Growth Paths '!$G$3:$AI$3=H$19)*('Growth Paths '!$G$39:$AI$46)) * SUM(('Growth Paths '!$A$49:$A$56=$C26)*('Growth Paths '!$G$3:$AI$3=H$19)*('Growth Paths '!$G$49:$AI$56))</f>
        <v>1.641029670080064</v>
      </c>
      <c r="I26" s="471">
        <f t="array" ref="I26">SUM(('Growth Paths '!$A$39:$A$46=$C26)*('Growth Paths '!$G$3:$AI$3=I$19)*('Growth Paths '!$G$39:$AI$46)) * SUM(('Growth Paths '!$A$49:$A$56=$C26)*('Growth Paths '!$G$3:$AI$3=I$19)*('Growth Paths '!$G$49:$AI$56))</f>
        <v>1.9578521245844114</v>
      </c>
      <c r="J26" s="1574">
        <f t="array" ref="J26">SUM(('Growth Paths '!$A$39:$A$46=$C26)*('Growth Paths '!$G$3:$AI$3=J$19)*('Growth Paths '!$G$39:$AI$46)) * SUM(('Growth Paths '!$A$49:$A$56=$C26)*('Growth Paths '!$G$3:$AI$3=J$19)*('Growth Paths '!$G$49:$AI$56))</f>
        <v>2.3567407538464495</v>
      </c>
      <c r="K26" s="1574">
        <f t="array" ref="K26">SUM(('Growth Paths '!$A$39:$A$46=$C26)*('Growth Paths '!$G$3:$AI$3=K$19)*('Growth Paths '!$G$39:$AI$46)) * SUM(('Growth Paths '!$A$49:$A$56=$C26)*('Growth Paths '!$G$3:$AI$3=K$19)*('Growth Paths '!$G$49:$AI$56))</f>
        <v>2.8961277164605859</v>
      </c>
      <c r="L26" s="1574">
        <f t="array" ref="L26">SUM(('Growth Paths '!$A$39:$A$46=$C26)*('Growth Paths '!$G$3:$AI$3=L$19)*('Growth Paths '!$G$39:$AI$46)) * SUM(('Growth Paths '!$A$49:$A$56=$C26)*('Growth Paths '!$G$3:$AI$3=L$19)*('Growth Paths '!$G$49:$AI$56))</f>
        <v>3.4971331849440679</v>
      </c>
      <c r="M26" s="471">
        <f t="array" ref="M26">SUM(('Growth Paths '!$A$39:$A$46=$C26)*('Growth Paths '!$G$3:$AI$3=M$19)*('Growth Paths '!$G$39:$AI$46)) * SUM(('Growth Paths '!$A$49:$A$56=$C26)*('Growth Paths '!$G$3:$AI$3=M$19)*('Growth Paths '!$G$49:$AI$56))</f>
        <v>4.1236171714793057</v>
      </c>
      <c r="N26" s="471">
        <f t="array" ref="N26">SUM(('Growth Paths '!$A$39:$A$46=$C26)*('Growth Paths '!$G$3:$AI$3=N$19)*('Growth Paths '!$G$39:$AI$46)) * SUM(('Growth Paths '!$A$49:$A$56=$C26)*('Growth Paths '!$G$3:$AI$3=N$19)*('Growth Paths '!$G$49:$AI$56))</f>
        <v>4.7786202946607803</v>
      </c>
      <c r="O26" s="78"/>
      <c r="P26" s="78"/>
      <c r="Q26" s="1440"/>
      <c r="R26" s="1440"/>
      <c r="S26" s="1440"/>
      <c r="T26" s="1440"/>
      <c r="U26" s="1440"/>
      <c r="V26" s="1440"/>
      <c r="W26" s="1440"/>
      <c r="X26" s="1440"/>
      <c r="Y26" s="1440"/>
    </row>
    <row r="27" spans="2:25" s="1456" customFormat="1">
      <c r="B27" s="341"/>
      <c r="C27" s="336" t="s">
        <v>1001</v>
      </c>
      <c r="D27" s="336" t="str">
        <f>INDEX(IND_Sectors[Sector_Name],MATCH(C27,IND_Sectors[Sector_Code],0))</f>
        <v>Other</v>
      </c>
      <c r="E27" s="145"/>
      <c r="F27" s="471">
        <f t="array" ref="F27">SUM(('Growth Paths '!$A$39:$A$46=$C27)*('Growth Paths '!$G$3:$AI$3=F$19)*('Growth Paths '!$G$39:$AI$46)) * SUM(('Growth Paths '!$A$49:$A$56=$C27)*('Growth Paths '!$G$3:$AI$3=F$19)*('Growth Paths '!$G$49:$AI$56))</f>
        <v>1.1693174707137537</v>
      </c>
      <c r="G27" s="1574">
        <f t="array" ref="G27">SUM(('Growth Paths '!$A$39:$A$46=$C27)*('Growth Paths '!$G$3:$AI$3=G$19)*('Growth Paths '!$G$39:$AI$46)) * SUM(('Growth Paths '!$A$49:$A$56=$C27)*('Growth Paths '!$G$3:$AI$3=G$19)*('Growth Paths '!$G$49:$AI$56))</f>
        <v>1.3906251157628697</v>
      </c>
      <c r="H27" s="1574">
        <f t="array" ref="H27">SUM(('Growth Paths '!$A$39:$A$46=$C27)*('Growth Paths '!$G$3:$AI$3=H$19)*('Growth Paths '!$G$39:$AI$46)) * SUM(('Growth Paths '!$A$49:$A$56=$C27)*('Growth Paths '!$G$3:$AI$3=H$19)*('Growth Paths '!$G$49:$AI$56))</f>
        <v>1.6655339029943523</v>
      </c>
      <c r="I27" s="471">
        <f t="array" ref="I27">SUM(('Growth Paths '!$A$39:$A$46=$C27)*('Growth Paths '!$G$3:$AI$3=I$19)*('Growth Paths '!$G$39:$AI$46)) * SUM(('Growth Paths '!$A$49:$A$56=$C27)*('Growth Paths '!$G$3:$AI$3=I$19)*('Growth Paths '!$G$49:$AI$56))</f>
        <v>2.0117499690539784</v>
      </c>
      <c r="J27" s="1574">
        <f t="array" ref="J27">SUM(('Growth Paths '!$A$39:$A$46=$C27)*('Growth Paths '!$G$3:$AI$3=J$19)*('Growth Paths '!$G$39:$AI$46)) * SUM(('Growth Paths '!$A$49:$A$56=$C27)*('Growth Paths '!$G$3:$AI$3=J$19)*('Growth Paths '!$G$49:$AI$56))</f>
        <v>2.4576229935774854</v>
      </c>
      <c r="K27" s="1574">
        <f t="array" ref="K27">SUM(('Growth Paths '!$A$39:$A$46=$C27)*('Growth Paths '!$G$3:$AI$3=K$19)*('Growth Paths '!$G$39:$AI$46)) * SUM(('Growth Paths '!$A$49:$A$56=$C27)*('Growth Paths '!$G$3:$AI$3=K$19)*('Growth Paths '!$G$49:$AI$56))</f>
        <v>3.088159467303206</v>
      </c>
      <c r="L27" s="1574">
        <f t="array" ref="L27">SUM(('Growth Paths '!$A$39:$A$46=$C27)*('Growth Paths '!$G$3:$AI$3=L$19)*('Growth Paths '!$G$39:$AI$46)) * SUM(('Growth Paths '!$A$49:$A$56=$C27)*('Growth Paths '!$G$3:$AI$3=L$19)*('Growth Paths '!$G$49:$AI$56))</f>
        <v>3.8059823497428886</v>
      </c>
      <c r="M27" s="471">
        <f t="array" ref="M27">SUM(('Growth Paths '!$A$39:$A$46=$C27)*('Growth Paths '!$G$3:$AI$3=M$19)*('Growth Paths '!$G$39:$AI$46)) * SUM(('Growth Paths '!$A$49:$A$56=$C27)*('Growth Paths '!$G$3:$AI$3=M$19)*('Growth Paths '!$G$49:$AI$56))</f>
        <v>4.5688495871790726</v>
      </c>
      <c r="N27" s="471">
        <f t="array" ref="N27">SUM(('Growth Paths '!$A$39:$A$46=$C27)*('Growth Paths '!$G$3:$AI$3=N$19)*('Growth Paths '!$G$39:$AI$46)) * SUM(('Growth Paths '!$A$49:$A$56=$C27)*('Growth Paths '!$G$3:$AI$3=N$19)*('Growth Paths '!$G$49:$AI$56))</f>
        <v>5.3860904654438979</v>
      </c>
      <c r="O27" s="78"/>
      <c r="P27" s="78"/>
      <c r="Q27" s="1440"/>
      <c r="R27" s="1440"/>
      <c r="S27" s="1440"/>
      <c r="T27" s="1440"/>
      <c r="U27" s="1440"/>
      <c r="V27" s="1440"/>
      <c r="W27" s="1440"/>
      <c r="X27" s="1440"/>
      <c r="Y27" s="1440"/>
    </row>
    <row r="28" spans="2:25" s="1456" customFormat="1">
      <c r="B28" s="341"/>
      <c r="C28" s="84"/>
      <c r="D28" s="84"/>
      <c r="E28" s="84"/>
      <c r="F28" s="84"/>
      <c r="G28" s="84"/>
      <c r="H28" s="84"/>
      <c r="I28" s="84"/>
      <c r="J28" s="84"/>
      <c r="K28" s="84"/>
      <c r="L28" s="84"/>
      <c r="M28" s="84"/>
      <c r="N28" s="84"/>
      <c r="O28" s="78"/>
      <c r="P28" s="78"/>
      <c r="Q28" s="1440"/>
      <c r="R28" s="1440"/>
      <c r="S28" s="1440"/>
      <c r="T28" s="1440"/>
      <c r="U28" s="1440"/>
      <c r="V28" s="1440"/>
      <c r="W28" s="1440"/>
      <c r="X28" s="1440"/>
      <c r="Y28" s="1440"/>
    </row>
    <row r="29" spans="2:25">
      <c r="B29" s="341"/>
      <c r="C29" s="338"/>
      <c r="D29" s="687"/>
      <c r="E29" s="338"/>
      <c r="F29" s="338"/>
      <c r="G29" s="338"/>
      <c r="H29" s="338"/>
      <c r="I29" s="338"/>
      <c r="J29" s="338"/>
      <c r="K29" s="338"/>
      <c r="L29" s="338"/>
      <c r="M29" s="338"/>
      <c r="N29" s="338"/>
      <c r="O29" s="338"/>
      <c r="P29" s="338"/>
      <c r="Q29" s="338"/>
      <c r="R29" s="338"/>
      <c r="S29" s="338"/>
      <c r="T29" s="338"/>
      <c r="U29" s="338"/>
      <c r="V29" s="338"/>
      <c r="W29" s="338"/>
      <c r="X29" s="338"/>
      <c r="Y29" s="338"/>
    </row>
    <row r="30" spans="2:25">
      <c r="B30" s="341"/>
      <c r="C30" s="339" t="s">
        <v>1997</v>
      </c>
      <c r="D30" s="687"/>
      <c r="E30" s="178"/>
      <c r="F30" s="1022"/>
      <c r="G30" s="339"/>
      <c r="H30" s="289"/>
      <c r="I30" s="289"/>
      <c r="J30" s="339"/>
      <c r="K30" s="339"/>
      <c r="L30" s="338"/>
      <c r="M30" s="338"/>
      <c r="N30" s="143"/>
      <c r="O30" s="338"/>
      <c r="P30" s="338"/>
      <c r="Q30" s="338"/>
      <c r="R30" s="338"/>
      <c r="S30" s="338"/>
      <c r="T30" s="338"/>
      <c r="U30" s="338"/>
      <c r="V30" s="338"/>
      <c r="W30" s="338"/>
      <c r="X30" s="338"/>
      <c r="Y30" s="338"/>
    </row>
    <row r="31" spans="2:25">
      <c r="B31" s="341"/>
      <c r="C31" s="338"/>
      <c r="D31" s="687"/>
      <c r="E31" s="338"/>
      <c r="F31" s="1023">
        <v>2010</v>
      </c>
      <c r="G31" s="1023">
        <v>2010</v>
      </c>
      <c r="H31" s="1023">
        <v>2010</v>
      </c>
      <c r="I31" s="1023">
        <v>2010</v>
      </c>
      <c r="J31" s="1023">
        <v>2020</v>
      </c>
      <c r="K31" s="1023">
        <v>2020</v>
      </c>
      <c r="L31" s="1023">
        <v>2020</v>
      </c>
      <c r="M31" s="1023">
        <v>2020</v>
      </c>
      <c r="N31" s="1023">
        <v>2030</v>
      </c>
      <c r="O31" s="1023">
        <v>2030</v>
      </c>
      <c r="P31" s="1023">
        <v>2030</v>
      </c>
      <c r="Q31" s="1023">
        <v>2030</v>
      </c>
      <c r="R31" s="1023">
        <v>2040</v>
      </c>
      <c r="S31" s="1023">
        <v>2040</v>
      </c>
      <c r="T31" s="1023">
        <v>2040</v>
      </c>
      <c r="U31" s="1023">
        <v>2040</v>
      </c>
      <c r="V31" s="1023">
        <v>2050</v>
      </c>
      <c r="W31" s="1023">
        <v>2050</v>
      </c>
      <c r="X31" s="1023">
        <v>2050</v>
      </c>
      <c r="Y31" s="1023">
        <v>2050</v>
      </c>
    </row>
    <row r="32" spans="2:25" ht="15">
      <c r="B32" s="106"/>
      <c r="C32" s="61" t="s">
        <v>32</v>
      </c>
      <c r="D32" s="690" t="s">
        <v>59</v>
      </c>
      <c r="E32" s="61" t="s">
        <v>1343</v>
      </c>
      <c r="F32" s="1024">
        <v>1</v>
      </c>
      <c r="G32" s="1024">
        <v>2</v>
      </c>
      <c r="H32" s="1024">
        <v>3</v>
      </c>
      <c r="I32" s="449">
        <v>4</v>
      </c>
      <c r="J32" s="1024">
        <v>1</v>
      </c>
      <c r="K32" s="1024">
        <v>2</v>
      </c>
      <c r="L32" s="1024">
        <v>3</v>
      </c>
      <c r="M32" s="1024">
        <v>4</v>
      </c>
      <c r="N32" s="1024">
        <v>1</v>
      </c>
      <c r="O32" s="1024">
        <v>2</v>
      </c>
      <c r="P32" s="1024">
        <v>3</v>
      </c>
      <c r="Q32" s="1024">
        <v>4</v>
      </c>
      <c r="R32" s="1024">
        <v>1</v>
      </c>
      <c r="S32" s="1024">
        <v>2</v>
      </c>
      <c r="T32" s="1024">
        <v>3</v>
      </c>
      <c r="U32" s="1024">
        <v>4</v>
      </c>
      <c r="V32" s="1024">
        <v>1</v>
      </c>
      <c r="W32" s="1024">
        <v>2</v>
      </c>
      <c r="X32" s="1024">
        <v>3</v>
      </c>
      <c r="Y32" s="1024">
        <v>4</v>
      </c>
    </row>
    <row r="33" spans="2:26" ht="15">
      <c r="B33" s="106"/>
      <c r="C33" s="336" t="str">
        <f>C20</f>
        <v>MI</v>
      </c>
      <c r="D33" s="336" t="str">
        <f>D20</f>
        <v>Mining SIC2</v>
      </c>
      <c r="E33" s="450" t="s">
        <v>879</v>
      </c>
      <c r="F33" s="832">
        <f t="array" ref="F33">SUM(IFERROR((IND.Tech!$AJ$94:$DC$94=$F$31)*(IND.Tech!$AJ$93:$DC$93=F$32)*(IND.Tech!$AI$94:$AI$253=$C33&amp;$A$1&amp;$E33)*(IND.Tech!$AJ$94:$DC$253),0))</f>
        <v>2.4500558065274585E-4</v>
      </c>
      <c r="G33" s="832">
        <f t="array" ref="G33">SUM(IFERROR((IND.Tech!$AJ$94:$DC$94=$F$31)*(IND.Tech!$AJ$93:$DC$93=G$32)*(IND.Tech!$AI$94:$AI$253=$C33&amp;$A$1&amp;$E33)*(IND.Tech!$AJ$94:$DC$253),0))</f>
        <v>4.501475144838789E-3</v>
      </c>
      <c r="H33" s="832">
        <f t="array" ref="H33">SUM(IFERROR((IND.Tech!$AJ$94:$DC$94=$F$31)*(IND.Tech!$AJ$93:$DC$93=H$32)*(IND.Tech!$AI$94:$AI$253=$C33&amp;$A$1&amp;$E33)*(IND.Tech!$AJ$94:$DC$253),0))</f>
        <v>1.2999007562005912E-2</v>
      </c>
      <c r="I33" s="832">
        <f t="array" ref="I33">SUM(IFERROR((IND.Tech!$AJ$94:$DC$94=$F$31)*(IND.Tech!$AJ$93:$DC$93=I$32)*(IND.Tech!$AI$94:$AI$253=$C33&amp;$A$1&amp;$E33)*(IND.Tech!$AJ$94:$DC$253),0))</f>
        <v>1.7342743660493626E-2</v>
      </c>
      <c r="J33" s="832">
        <f t="array" ref="J33">SUM(IFERROR( (IND.Tech!$AJ$94:$DC$94=$J$31)*(IND.Tech!$AJ$93:$DC$93=J$32)*(IND.Tech!$AI$94:$AI$253=$C33&amp;$A$1&amp;$E33)*(IND.Tech!$AJ$94:$DC$253),0))</f>
        <v>1.5778064942828722E-3</v>
      </c>
      <c r="K33" s="832">
        <f t="array" ref="K33">SUM(IFERROR( (IND.Tech!$AJ$94:$DC$94=$J$31)*(IND.Tech!$AJ$93:$DC$93=K$32)*(IND.Tech!$AI$94:$AI$253=$C33&amp;$A$1&amp;$E33)*(IND.Tech!$AJ$94:$DC$253),0))</f>
        <v>2.8988958939046003E-2</v>
      </c>
      <c r="L33" s="832">
        <f t="array" ref="L33">SUM(IFERROR( (IND.Tech!$AJ$94:$DC$94=$J$31)*(IND.Tech!$AJ$93:$DC$93=L$32)*(IND.Tech!$AI$94:$AI$253=$C33&amp;$A$1&amp;$E33)*(IND.Tech!$AJ$94:$DC$253),0))</f>
        <v>8.3712046460012887E-2</v>
      </c>
      <c r="M33" s="832">
        <f t="array" ref="M33">SUM(IFERROR( (IND.Tech!$AJ$94:$DC$94=$J$31)*(IND.Tech!$AJ$93:$DC$93=M$32)*(IND.Tech!$AI$94:$AI$253=$C33&amp;$A$1&amp;$E33)*(IND.Tech!$AJ$94:$DC$253),0))</f>
        <v>0.11168518489786196</v>
      </c>
      <c r="N33" s="832">
        <f t="array" ref="N33">SUM(IFERROR( (IND.Tech!$AJ$94:$DC$94=$N$31)*(IND.Tech!$AJ$93:$DC$93=N$32)*(IND.Tech!$AI$94:$AI$253=$C33&amp;$A$1&amp;$E33)*(IND.Tech!$AJ$94:$DC$253),0))</f>
        <v>4.0240426226956063E-3</v>
      </c>
      <c r="O33" s="832">
        <f t="array" ref="O33">SUM(IFERROR( (IND.Tech!$AJ$94:$DC$94=$N$31)*(IND.Tech!$AJ$93:$DC$93=O$32)*(IND.Tech!$AI$94:$AI$253=$C33&amp;$A$1&amp;$E33)*(IND.Tech!$AJ$94:$DC$253),0))</f>
        <v>7.3933531634570768E-2</v>
      </c>
      <c r="P33" s="832">
        <f t="array" ref="P33">SUM(IFERROR( (IND.Tech!$AJ$94:$DC$94=$N$31)*(IND.Tech!$AJ$93:$DC$93=P$32)*(IND.Tech!$AI$94:$AI$253=$C33&amp;$A$1&amp;$E33)*(IND.Tech!$AJ$94:$DC$253),0))</f>
        <v>0.21349946537092504</v>
      </c>
      <c r="Q33" s="832">
        <f t="array" ref="Q33">SUM(IFERROR( (IND.Tech!$AJ$94:$DC$94=$N$31)*(IND.Tech!$AJ$93:$DC$93=Q$32)*(IND.Tech!$AI$94:$AI$253=$C33&amp;$A$1&amp;$E33)*(IND.Tech!$AJ$94:$DC$253),0))</f>
        <v>0.2848422452189896</v>
      </c>
      <c r="R33" s="832">
        <f t="array" ref="R33">SUM(IFERROR( (IND.Tech!$AJ$94:$DC$94=$R$31)*(IND.Tech!$AJ$93:$DC$93=R$32)*(IND.Tech!$AI$94:$AI$253=$C33&amp;$A$1&amp;$E33)*(IND.Tech!$AJ$94:$DC$253),0))</f>
        <v>6.1065085974406639E-3</v>
      </c>
      <c r="S33" s="832">
        <f t="array" ref="S33">SUM(IFERROR( (IND.Tech!$AJ$94:$DC$94=$R$31)*(IND.Tech!$AJ$93:$DC$93=S$32)*(IND.Tech!$AI$94:$AI$253=$C33&amp;$A$1&amp;$E33)*(IND.Tech!$AJ$94:$DC$253),0))</f>
        <v>0.11219457369048076</v>
      </c>
      <c r="T33" s="832">
        <f t="array" ref="T33">SUM(IFERROR( (IND.Tech!$AJ$94:$DC$94=$R$31)*(IND.Tech!$AJ$93:$DC$93=T$32)*(IND.Tech!$AI$94:$AI$253=$C33&amp;$A$1&amp;$E33)*(IND.Tech!$AJ$94:$DC$253),0))</f>
        <v>0.32398670766643084</v>
      </c>
      <c r="U33" s="832">
        <f t="array" ref="U33">SUM(IFERROR( (IND.Tech!$AJ$94:$DC$94=$R$31)*(IND.Tech!$AJ$93:$DC$93=U$32)*(IND.Tech!$AI$94:$AI$253=$C33&amp;$A$1&amp;$E33)*(IND.Tech!$AJ$94:$DC$253),0))</f>
        <v>0.43224980012236708</v>
      </c>
      <c r="V33" s="832">
        <f t="array" ref="V33">SUM(IFERROR( (IND.Tech!$AJ$94:$DC$94=$V$31)*(IND.Tech!$AJ$93:$DC$93=V$32)*(IND.Tech!$AI$94:$AI$253=$C33&amp;$A$1&amp;$E33)*(IND.Tech!$AJ$94:$DC$253),0))</f>
        <v>7.0000000000000001E-3</v>
      </c>
      <c r="W33" s="832">
        <f t="array" ref="W33">SUM(IFERROR( (IND.Tech!$AJ$94:$DC$94=$V$31)*(IND.Tech!$AJ$93:$DC$93=W$32)*(IND.Tech!$AI$94:$AI$253=$C33&amp;$A$1&amp;$E33)*(IND.Tech!$AJ$94:$DC$253),0))</f>
        <v>0.12861064605108771</v>
      </c>
      <c r="X33" s="832">
        <f t="array" ref="X33">SUM(IFERROR( (IND.Tech!$AJ$94:$DC$94=$V$31)*(IND.Tech!$AJ$93:$DC$93=X$32)*(IND.Tech!$AI$94:$AI$253=$C33&amp;$A$1&amp;$E33)*(IND.Tech!$AJ$94:$DC$253),0))</f>
        <v>0.37139175643108602</v>
      </c>
      <c r="Y33" s="832">
        <f t="array" ref="Y33">SUM(IFERROR( (IND.Tech!$AJ$94:$DC$94=$V$31)*(IND.Tech!$AJ$93:$DC$93=Y$32)*(IND.Tech!$AI$94:$AI$253=$C33&amp;$A$1&amp;$E33)*(IND.Tech!$AJ$94:$DC$253),0))</f>
        <v>0.49549567524144805</v>
      </c>
    </row>
    <row r="34" spans="2:26" ht="15">
      <c r="B34" s="106"/>
      <c r="C34" s="336" t="str">
        <f t="shared" ref="C34:D40" si="0">C21</f>
        <v>IS</v>
      </c>
      <c r="D34" s="336" t="str">
        <f t="shared" si="0"/>
        <v>Iron  &amp; Steel  - 351</v>
      </c>
      <c r="E34" s="450" t="s">
        <v>879</v>
      </c>
      <c r="F34" s="832">
        <f t="array" ref="F34">SUM(IFERROR((IND.Tech!$AJ$94:$DC$94=$F$31)*(IND.Tech!$AJ$93:$DC$93=F$32)*(IND.Tech!$AI$94:$AI$253=$C34&amp;$A$1&amp;$E34)*(IND.Tech!$AJ$94:$DC$253),0))</f>
        <v>2.4500558065274585E-4</v>
      </c>
      <c r="G34" s="832">
        <f t="array" ref="G34">SUM(IFERROR((IND.Tech!$AJ$94:$DC$94=$F$31)*(IND.Tech!$AJ$93:$DC$93=G$32)*(IND.Tech!$AI$94:$AI$253=$C34&amp;$A$1&amp;$E34)*(IND.Tech!$AJ$94:$DC$253),0))</f>
        <v>4.1388442731696007E-3</v>
      </c>
      <c r="H34" s="832">
        <f t="array" ref="H34">SUM(IFERROR((IND.Tech!$AJ$94:$DC$94=$F$31)*(IND.Tech!$AJ$93:$DC$93=H$32)*(IND.Tech!$AI$94:$AI$253=$C34&amp;$A$1&amp;$E34)*(IND.Tech!$AJ$94:$DC$253),0))</f>
        <v>1.1064627026264181E-2</v>
      </c>
      <c r="I34" s="832">
        <f t="array" ref="I34">SUM(IFERROR((IND.Tech!$AJ$94:$DC$94=$F$31)*(IND.Tech!$AJ$93:$DC$93=I$32)*(IND.Tech!$AI$94:$AI$253=$C34&amp;$A$1&amp;$E34)*(IND.Tech!$AJ$94:$DC$253),0))</f>
        <v>1.4752836035018913E-2</v>
      </c>
      <c r="J34" s="832">
        <f t="array" ref="J34">SUM(IFERROR( (IND.Tech!$AJ$94:$DC$94=$J$31)*(IND.Tech!$AJ$93:$DC$93=J$32)*(IND.Tech!$AI$94:$AI$253=$C34&amp;$A$1&amp;$E34)*(IND.Tech!$AJ$94:$DC$253),0))</f>
        <v>1.5778064942828722E-3</v>
      </c>
      <c r="K34" s="832">
        <f t="array" ref="K34">SUM(IFERROR( (IND.Tech!$AJ$94:$DC$94=$J$31)*(IND.Tech!$AJ$93:$DC$93=K$32)*(IND.Tech!$AI$94:$AI$253=$C34&amp;$A$1&amp;$E34)*(IND.Tech!$AJ$94:$DC$253),0))</f>
        <v>2.6653659706992811E-2</v>
      </c>
      <c r="L34" s="832">
        <f t="array" ref="L34">SUM(IFERROR( (IND.Tech!$AJ$94:$DC$94=$J$31)*(IND.Tech!$AJ$93:$DC$93=L$32)*(IND.Tech!$AI$94:$AI$253=$C34&amp;$A$1&amp;$E34)*(IND.Tech!$AJ$94:$DC$253),0))</f>
        <v>7.1254868286453263E-2</v>
      </c>
      <c r="M34" s="832">
        <f t="array" ref="M34">SUM(IFERROR( (IND.Tech!$AJ$94:$DC$94=$J$31)*(IND.Tech!$AJ$93:$DC$93=M$32)*(IND.Tech!$AI$94:$AI$253=$C34&amp;$A$1&amp;$E34)*(IND.Tech!$AJ$94:$DC$253),0))</f>
        <v>9.5006491048604383E-2</v>
      </c>
      <c r="N34" s="832">
        <f t="array" ref="N34">SUM(IFERROR( (IND.Tech!$AJ$94:$DC$94=$N$31)*(IND.Tech!$AJ$93:$DC$93=N$32)*(IND.Tech!$AI$94:$AI$253=$C34&amp;$A$1&amp;$E34)*(IND.Tech!$AJ$94:$DC$253),0))</f>
        <v>4.0240426226956063E-3</v>
      </c>
      <c r="O34" s="832">
        <f t="array" ref="O34">SUM(IFERROR( (IND.Tech!$AJ$94:$DC$94=$N$31)*(IND.Tech!$AJ$93:$DC$93=O$32)*(IND.Tech!$AI$94:$AI$253=$C34&amp;$A$1&amp;$E34)*(IND.Tech!$AJ$94:$DC$253),0))</f>
        <v>6.7977577161965078E-2</v>
      </c>
      <c r="P34" s="832">
        <f t="array" ref="P34">SUM(IFERROR( (IND.Tech!$AJ$94:$DC$94=$N$31)*(IND.Tech!$AJ$93:$DC$93=P$32)*(IND.Tech!$AI$94:$AI$253=$C34&amp;$A$1&amp;$E34)*(IND.Tech!$AJ$94:$DC$253),0))</f>
        <v>0.18172863915709261</v>
      </c>
      <c r="Q34" s="832">
        <f t="array" ref="Q34">SUM(IFERROR( (IND.Tech!$AJ$94:$DC$94=$N$31)*(IND.Tech!$AJ$93:$DC$93=Q$32)*(IND.Tech!$AI$94:$AI$253=$C34&amp;$A$1&amp;$E34)*(IND.Tech!$AJ$94:$DC$253),0))</f>
        <v>0.24230485220945688</v>
      </c>
      <c r="R34" s="832">
        <f t="array" ref="R34">SUM(IFERROR( (IND.Tech!$AJ$94:$DC$94=$R$31)*(IND.Tech!$AJ$93:$DC$93=R$32)*(IND.Tech!$AI$94:$AI$253=$C34&amp;$A$1&amp;$E34)*(IND.Tech!$AJ$94:$DC$253),0))</f>
        <v>6.1065085974406639E-3</v>
      </c>
      <c r="S34" s="832">
        <f t="array" ref="S34">SUM(IFERROR( (IND.Tech!$AJ$94:$DC$94=$R$31)*(IND.Tech!$AJ$93:$DC$93=S$32)*(IND.Tech!$AI$94:$AI$253=$C34&amp;$A$1&amp;$E34)*(IND.Tech!$AJ$94:$DC$253),0))</f>
        <v>0.10315637737819409</v>
      </c>
      <c r="T34" s="832">
        <f t="array" ref="T34">SUM(IFERROR( (IND.Tech!$AJ$94:$DC$94=$R$31)*(IND.Tech!$AJ$93:$DC$93=T$32)*(IND.Tech!$AI$94:$AI$253=$C34&amp;$A$1&amp;$E34)*(IND.Tech!$AJ$94:$DC$253),0))</f>
        <v>0.27577429005227566</v>
      </c>
      <c r="U34" s="832">
        <f t="array" ref="U34">SUM(IFERROR( (IND.Tech!$AJ$94:$DC$94=$R$31)*(IND.Tech!$AJ$93:$DC$93=U$32)*(IND.Tech!$AI$94:$AI$253=$C34&amp;$A$1&amp;$E34)*(IND.Tech!$AJ$94:$DC$253),0))</f>
        <v>0.36769905340303433</v>
      </c>
      <c r="V34" s="832">
        <f t="array" ref="V34">SUM(IFERROR( (IND.Tech!$AJ$94:$DC$94=$V$31)*(IND.Tech!$AJ$93:$DC$93=V$32)*(IND.Tech!$AI$94:$AI$253=$C34&amp;$A$1&amp;$E34)*(IND.Tech!$AJ$94:$DC$253),0))</f>
        <v>7.0000000000000001E-3</v>
      </c>
      <c r="W34" s="832">
        <f t="array" ref="W34">SUM(IFERROR( (IND.Tech!$AJ$94:$DC$94=$V$31)*(IND.Tech!$AJ$93:$DC$93=W$32)*(IND.Tech!$AI$94:$AI$253=$C34&amp;$A$1&amp;$E34)*(IND.Tech!$AJ$94:$DC$253),0))</f>
        <v>0.11825000000000002</v>
      </c>
      <c r="X34" s="832">
        <f t="array" ref="X34">SUM(IFERROR( (IND.Tech!$AJ$94:$DC$94=$V$31)*(IND.Tech!$AJ$93:$DC$93=X$32)*(IND.Tech!$AI$94:$AI$253=$C34&amp;$A$1&amp;$E34)*(IND.Tech!$AJ$94:$DC$253),0))</f>
        <v>0.31612499999999993</v>
      </c>
      <c r="Y34" s="832">
        <f t="array" ref="Y34">SUM(IFERROR( (IND.Tech!$AJ$94:$DC$94=$V$31)*(IND.Tech!$AJ$93:$DC$93=Y$32)*(IND.Tech!$AI$94:$AI$253=$C34&amp;$A$1&amp;$E34)*(IND.Tech!$AJ$94:$DC$253),0))</f>
        <v>0.42150000000000004</v>
      </c>
    </row>
    <row r="35" spans="2:26" ht="15">
      <c r="B35" s="106"/>
      <c r="C35" s="336" t="str">
        <f t="shared" si="0"/>
        <v>CP</v>
      </c>
      <c r="D35" s="336" t="str">
        <f t="shared" si="0"/>
        <v>Chemicals  -33</v>
      </c>
      <c r="E35" s="450" t="s">
        <v>879</v>
      </c>
      <c r="F35" s="832">
        <f t="array" ref="F35">SUM(IFERROR((IND.Tech!$AJ$94:$DC$94=$F$31)*(IND.Tech!$AJ$93:$DC$93=F$32)*(IND.Tech!$AI$94:$AI$253=$C35&amp;$A$1&amp;$E35)*(IND.Tech!$AJ$94:$DC$253),0))</f>
        <v>2.100047834166393E-4</v>
      </c>
      <c r="G35" s="832">
        <f t="array" ref="G35">SUM(IFERROR((IND.Tech!$AJ$94:$DC$94=$F$31)*(IND.Tech!$AJ$93:$DC$93=G$32)*(IND.Tech!$AI$94:$AI$253=$C35&amp;$A$1&amp;$E35)*(IND.Tech!$AJ$94:$DC$253),0))</f>
        <v>3.9900908849161447E-3</v>
      </c>
      <c r="H35" s="832">
        <f t="array" ref="H35">SUM(IFERROR((IND.Tech!$AJ$94:$DC$94=$F$31)*(IND.Tech!$AJ$93:$DC$93=H$32)*(IND.Tech!$AI$94:$AI$253=$C35&amp;$A$1&amp;$E35)*(IND.Tech!$AJ$94:$DC$253),0))</f>
        <v>1.2294030029182425E-2</v>
      </c>
      <c r="I35" s="832">
        <f t="array" ref="I35">SUM(IFERROR((IND.Tech!$AJ$94:$DC$94=$F$31)*(IND.Tech!$AJ$93:$DC$93=I$32)*(IND.Tech!$AI$94:$AI$253=$C35&amp;$A$1&amp;$E35)*(IND.Tech!$AJ$94:$DC$253),0))</f>
        <v>1.676538187609504E-2</v>
      </c>
      <c r="J35" s="832">
        <f t="array" ref="J35">SUM(IFERROR( (IND.Tech!$AJ$94:$DC$94=$J$31)*(IND.Tech!$AJ$93:$DC$93=J$32)*(IND.Tech!$AI$94:$AI$253=$C35&amp;$A$1&amp;$E35)*(IND.Tech!$AJ$94:$DC$253),0))</f>
        <v>1.3524055665281763E-3</v>
      </c>
      <c r="K35" s="832">
        <f t="array" ref="K35">SUM(IFERROR( (IND.Tech!$AJ$94:$DC$94=$J$31)*(IND.Tech!$AJ$93:$DC$93=K$32)*(IND.Tech!$AI$94:$AI$253=$C35&amp;$A$1&amp;$E35)*(IND.Tech!$AJ$94:$DC$253),0))</f>
        <v>2.5695705764035334E-2</v>
      </c>
      <c r="L35" s="832">
        <f t="array" ref="L35">SUM(IFERROR( (IND.Tech!$AJ$94:$DC$94=$J$31)*(IND.Tech!$AJ$93:$DC$93=L$32)*(IND.Tech!$AI$94:$AI$253=$C35&amp;$A$1&amp;$E35)*(IND.Tech!$AJ$94:$DC$253),0))</f>
        <v>7.917207587383697E-2</v>
      </c>
      <c r="M35" s="832">
        <f t="array" ref="M35">SUM(IFERROR( (IND.Tech!$AJ$94:$DC$94=$J$31)*(IND.Tech!$AJ$93:$DC$93=M$32)*(IND.Tech!$AI$94:$AI$253=$C35&amp;$A$1&amp;$E35)*(IND.Tech!$AJ$94:$DC$253),0))</f>
        <v>0.1079670443944994</v>
      </c>
      <c r="N35" s="832">
        <f t="array" ref="N35">SUM(IFERROR( (IND.Tech!$AJ$94:$DC$94=$N$31)*(IND.Tech!$AJ$93:$DC$93=N$32)*(IND.Tech!$AI$94:$AI$253=$C35&amp;$A$1&amp;$E35)*(IND.Tech!$AJ$94:$DC$253),0))</f>
        <v>3.4491793908819485E-3</v>
      </c>
      <c r="O35" s="832">
        <f t="array" ref="O35">SUM(IFERROR( (IND.Tech!$AJ$94:$DC$94=$N$31)*(IND.Tech!$AJ$93:$DC$93=O$32)*(IND.Tech!$AI$94:$AI$253=$C35&amp;$A$1&amp;$E35)*(IND.Tech!$AJ$94:$DC$253),0))</f>
        <v>6.5534408426756993E-2</v>
      </c>
      <c r="P35" s="832">
        <f t="array" ref="P35">SUM(IFERROR( (IND.Tech!$AJ$94:$DC$94=$N$31)*(IND.Tech!$AJ$93:$DC$93=P$32)*(IND.Tech!$AI$94:$AI$253=$C35&amp;$A$1&amp;$E35)*(IND.Tech!$AJ$94:$DC$253),0))</f>
        <v>0.20192071017454735</v>
      </c>
      <c r="Q35" s="832">
        <f t="array" ref="Q35">SUM(IFERROR( (IND.Tech!$AJ$94:$DC$94=$N$31)*(IND.Tech!$AJ$93:$DC$93=Q$32)*(IND.Tech!$AI$94:$AI$253=$C35&amp;$A$1&amp;$E35)*(IND.Tech!$AJ$94:$DC$253),0))</f>
        <v>0.27535948803874222</v>
      </c>
      <c r="R35" s="832">
        <f t="array" ref="R35">SUM(IFERROR( (IND.Tech!$AJ$94:$DC$94=$R$31)*(IND.Tech!$AJ$93:$DC$93=R$32)*(IND.Tech!$AI$94:$AI$253=$C35&amp;$A$1&amp;$E35)*(IND.Tech!$AJ$94:$DC$253),0))</f>
        <v>5.2341502263777125E-3</v>
      </c>
      <c r="S35" s="832">
        <f t="array" ref="S35">SUM(IFERROR( (IND.Tech!$AJ$94:$DC$94=$R$31)*(IND.Tech!$AJ$93:$DC$93=S$32)*(IND.Tech!$AI$94:$AI$253=$C35&amp;$A$1&amp;$E35)*(IND.Tech!$AJ$94:$DC$253),0))</f>
        <v>9.944885430117649E-2</v>
      </c>
      <c r="T35" s="832">
        <f t="array" ref="T35">SUM(IFERROR( (IND.Tech!$AJ$94:$DC$94=$R$31)*(IND.Tech!$AJ$93:$DC$93=T$32)*(IND.Tech!$AI$94:$AI$253=$C35&amp;$A$1&amp;$E35)*(IND.Tech!$AJ$94:$DC$253),0))</f>
        <v>0.30641587783586183</v>
      </c>
      <c r="U35" s="832">
        <f t="array" ref="U35">SUM(IFERROR( (IND.Tech!$AJ$94:$DC$94=$R$31)*(IND.Tech!$AJ$93:$DC$93=U$32)*(IND.Tech!$AI$94:$AI$253=$C35&amp;$A$1&amp;$E35)*(IND.Tech!$AJ$94:$DC$253),0))</f>
        <v>0.41785965973915407</v>
      </c>
      <c r="V35" s="832">
        <f t="array" ref="V35">SUM(IFERROR( (IND.Tech!$AJ$94:$DC$94=$V$31)*(IND.Tech!$AJ$93:$DC$93=V$32)*(IND.Tech!$AI$94:$AI$253=$C35&amp;$A$1&amp;$E35)*(IND.Tech!$AJ$94:$DC$253),0))</f>
        <v>6.0000000000000001E-3</v>
      </c>
      <c r="W35" s="832">
        <f t="array" ref="W35">SUM(IFERROR( (IND.Tech!$AJ$94:$DC$94=$V$31)*(IND.Tech!$AJ$93:$DC$93=W$32)*(IND.Tech!$AI$94:$AI$253=$C35&amp;$A$1&amp;$E35)*(IND.Tech!$AJ$94:$DC$253),0))</f>
        <v>0.11399999999999995</v>
      </c>
      <c r="X35" s="832">
        <f t="array" ref="X35">SUM(IFERROR( (IND.Tech!$AJ$94:$DC$94=$V$31)*(IND.Tech!$AJ$93:$DC$93=X$32)*(IND.Tech!$AI$94:$AI$253=$C35&amp;$A$1&amp;$E35)*(IND.Tech!$AJ$94:$DC$253),0))</f>
        <v>0.35124999999999995</v>
      </c>
      <c r="Y35" s="832">
        <f t="array" ref="Y35">SUM(IFERROR( (IND.Tech!$AJ$94:$DC$94=$V$31)*(IND.Tech!$AJ$93:$DC$93=Y$32)*(IND.Tech!$AI$94:$AI$253=$C35&amp;$A$1&amp;$E35)*(IND.Tech!$AJ$94:$DC$253),0))</f>
        <v>0.47900000000000004</v>
      </c>
    </row>
    <row r="36" spans="2:26" ht="15">
      <c r="B36" s="106"/>
      <c r="C36" s="336" t="str">
        <f t="shared" si="0"/>
        <v>NF</v>
      </c>
      <c r="D36" s="336" t="str">
        <f t="shared" si="0"/>
        <v>Non-Ferrous metals  - 352</v>
      </c>
      <c r="E36" s="450" t="s">
        <v>879</v>
      </c>
      <c r="F36" s="832">
        <f t="array" ref="F36">SUM(IFERROR((IND.Tech!$AJ$94:$DC$94=$F$31)*(IND.Tech!$AJ$93:$DC$93=F$32)*(IND.Tech!$AI$94:$AI$253=$C36&amp;$A$1&amp;$E36)*(IND.Tech!$AJ$94:$DC$253),0))</f>
        <v>3.5000797236106555E-5</v>
      </c>
      <c r="G36" s="832">
        <f t="array" ref="G36">SUM(IFERROR((IND.Tech!$AJ$94:$DC$94=$F$31)*(IND.Tech!$AJ$93:$DC$93=G$32)*(IND.Tech!$AI$94:$AI$253=$C36&amp;$A$1&amp;$E36)*(IND.Tech!$AJ$94:$DC$253),0))</f>
        <v>3.5700813180828727E-3</v>
      </c>
      <c r="H36" s="832">
        <f t="array" ref="H36">SUM(IFERROR((IND.Tech!$AJ$94:$DC$94=$F$31)*(IND.Tech!$AJ$93:$DC$93=H$32)*(IND.Tech!$AI$94:$AI$253=$C36&amp;$A$1&amp;$E36)*(IND.Tech!$AJ$94:$DC$253),0))</f>
        <v>7.6389239967802561E-3</v>
      </c>
      <c r="I36" s="832">
        <f t="array" ref="I36">SUM(IFERROR((IND.Tech!$AJ$94:$DC$94=$F$31)*(IND.Tech!$AJ$93:$DC$93=I$32)*(IND.Tech!$AI$94:$AI$253=$C36&amp;$A$1&amp;$E36)*(IND.Tech!$AJ$94:$DC$253),0))</f>
        <v>1.4385327664039795E-2</v>
      </c>
      <c r="J36" s="832">
        <f t="array" ref="J36">SUM(IFERROR( (IND.Tech!$AJ$94:$DC$94=$J$31)*(IND.Tech!$AJ$93:$DC$93=J$32)*(IND.Tech!$AI$94:$AI$253=$C36&amp;$A$1&amp;$E36)*(IND.Tech!$AJ$94:$DC$253),0))</f>
        <v>2.2540092775469604E-4</v>
      </c>
      <c r="K36" s="832">
        <f t="array" ref="K36">SUM(IFERROR( (IND.Tech!$AJ$94:$DC$94=$J$31)*(IND.Tech!$AJ$93:$DC$93=K$32)*(IND.Tech!$AI$94:$AI$253=$C36&amp;$A$1&amp;$E36)*(IND.Tech!$AJ$94:$DC$253),0))</f>
        <v>2.2990894630979024E-2</v>
      </c>
      <c r="L36" s="832">
        <f t="array" ref="L36">SUM(IFERROR( (IND.Tech!$AJ$94:$DC$94=$J$31)*(IND.Tech!$AJ$93:$DC$93=L$32)*(IND.Tech!$AI$94:$AI$253=$C36&amp;$A$1&amp;$E36)*(IND.Tech!$AJ$94:$DC$253),0))</f>
        <v>4.9193752482462418E-2</v>
      </c>
      <c r="M36" s="832">
        <f t="array" ref="M36">SUM(IFERROR( (IND.Tech!$AJ$94:$DC$94=$J$31)*(IND.Tech!$AJ$93:$DC$93=M$32)*(IND.Tech!$AI$94:$AI$253=$C36&amp;$A$1&amp;$E36)*(IND.Tech!$AJ$94:$DC$253),0))</f>
        <v>9.2639781307180091E-2</v>
      </c>
      <c r="N36" s="832">
        <f t="array" ref="N36">SUM(IFERROR( (IND.Tech!$AJ$94:$DC$94=$N$31)*(IND.Tech!$AJ$93:$DC$93=N$32)*(IND.Tech!$AI$94:$AI$253=$C36&amp;$A$1&amp;$E36)*(IND.Tech!$AJ$94:$DC$253),0))</f>
        <v>5.7486323181365811E-4</v>
      </c>
      <c r="O36" s="832">
        <f t="array" ref="O36">SUM(IFERROR( (IND.Tech!$AJ$94:$DC$94=$N$31)*(IND.Tech!$AJ$93:$DC$93=O$32)*(IND.Tech!$AI$94:$AI$253=$C36&amp;$A$1&amp;$E36)*(IND.Tech!$AJ$94:$DC$253),0))</f>
        <v>5.86360496449932E-2</v>
      </c>
      <c r="P36" s="832">
        <f t="array" ref="P36">SUM(IFERROR( (IND.Tech!$AJ$94:$DC$94=$N$31)*(IND.Tech!$AJ$93:$DC$93=P$32)*(IND.Tech!$AI$94:$AI$253=$C36&amp;$A$1&amp;$E36)*(IND.Tech!$AJ$94:$DC$253),0))</f>
        <v>0.12546390034333088</v>
      </c>
      <c r="Q36" s="832">
        <f t="array" ref="Q36">SUM(IFERROR( (IND.Tech!$AJ$94:$DC$94=$N$31)*(IND.Tech!$AJ$93:$DC$93=Q$32)*(IND.Tech!$AI$94:$AI$253=$C36&amp;$A$1&amp;$E36)*(IND.Tech!$AJ$94:$DC$253),0))</f>
        <v>0.2362687882754135</v>
      </c>
      <c r="R36" s="832">
        <f t="array" ref="R36">SUM(IFERROR( (IND.Tech!$AJ$94:$DC$94=$R$31)*(IND.Tech!$AJ$93:$DC$93=R$32)*(IND.Tech!$AI$94:$AI$253=$C36&amp;$A$1&amp;$E36)*(IND.Tech!$AJ$94:$DC$253),0))</f>
        <v>8.7235837106295201E-4</v>
      </c>
      <c r="S36" s="832">
        <f t="array" ref="S36">SUM(IFERROR( (IND.Tech!$AJ$94:$DC$94=$R$31)*(IND.Tech!$AJ$93:$DC$93=S$32)*(IND.Tech!$AI$94:$AI$253=$C36&amp;$A$1&amp;$E36)*(IND.Tech!$AJ$94:$DC$253),0))</f>
        <v>8.8980553848421226E-2</v>
      </c>
      <c r="T36" s="832">
        <f t="array" ref="T36">SUM(IFERROR( (IND.Tech!$AJ$94:$DC$94=$R$31)*(IND.Tech!$AJ$93:$DC$93=T$32)*(IND.Tech!$AI$94:$AI$253=$C36&amp;$A$1&amp;$E36)*(IND.Tech!$AJ$94:$DC$253),0))</f>
        <v>0.19039221448448929</v>
      </c>
      <c r="U36" s="832">
        <f t="array" ref="U36">SUM(IFERROR( (IND.Tech!$AJ$94:$DC$94=$R$31)*(IND.Tech!$AJ$93:$DC$93=U$32)*(IND.Tech!$AI$94:$AI$253=$C36&amp;$A$1&amp;$E36)*(IND.Tech!$AJ$94:$DC$253),0))</f>
        <v>0.35853929050687333</v>
      </c>
      <c r="V36" s="832">
        <f t="array" ref="V36">SUM(IFERROR( (IND.Tech!$AJ$94:$DC$94=$V$31)*(IND.Tech!$AJ$93:$DC$93=V$32)*(IND.Tech!$AI$94:$AI$253=$C36&amp;$A$1&amp;$E36)*(IND.Tech!$AJ$94:$DC$253),0))</f>
        <v>1E-3</v>
      </c>
      <c r="W36" s="832">
        <f t="array" ref="W36">SUM(IFERROR( (IND.Tech!$AJ$94:$DC$94=$V$31)*(IND.Tech!$AJ$93:$DC$93=W$32)*(IND.Tech!$AI$94:$AI$253=$C36&amp;$A$1&amp;$E36)*(IND.Tech!$AJ$94:$DC$253),0))</f>
        <v>0.10200000000000013</v>
      </c>
      <c r="X36" s="832">
        <f t="array" ref="X36">SUM(IFERROR( (IND.Tech!$AJ$94:$DC$94=$V$31)*(IND.Tech!$AJ$93:$DC$93=X$32)*(IND.Tech!$AI$94:$AI$253=$C36&amp;$A$1&amp;$E36)*(IND.Tech!$AJ$94:$DC$253),0))</f>
        <v>0.21825000000000003</v>
      </c>
      <c r="Y36" s="832">
        <f t="array" ref="Y36">SUM(IFERROR( (IND.Tech!$AJ$94:$DC$94=$V$31)*(IND.Tech!$AJ$93:$DC$93=Y$32)*(IND.Tech!$AI$94:$AI$253=$C36&amp;$A$1&amp;$E36)*(IND.Tech!$AJ$94:$DC$253),0))</f>
        <v>0.41100000000000009</v>
      </c>
    </row>
    <row r="37" spans="2:26" ht="15">
      <c r="B37" s="106"/>
      <c r="C37" s="336" t="str">
        <f t="shared" si="0"/>
        <v>NM</v>
      </c>
      <c r="D37" s="336" t="str">
        <f t="shared" si="0"/>
        <v>N.M.M Products  -34</v>
      </c>
      <c r="E37" s="450" t="s">
        <v>879</v>
      </c>
      <c r="F37" s="832">
        <f t="array" ref="F37">SUM(IFERROR((IND.Tech!$AJ$94:$DC$94=$F$31)*(IND.Tech!$AJ$93:$DC$93=F$32)*(IND.Tech!$AI$94:$AI$253=$C37&amp;$A$1&amp;$E37)*(IND.Tech!$AJ$94:$DC$253),0))</f>
        <v>2.4500558065274585E-4</v>
      </c>
      <c r="G37" s="832">
        <f t="array" ref="G37">SUM(IFERROR((IND.Tech!$AJ$94:$DC$94=$F$31)*(IND.Tech!$AJ$93:$DC$93=G$32)*(IND.Tech!$AI$94:$AI$253=$C37&amp;$A$1&amp;$E37)*(IND.Tech!$AJ$94:$DC$253),0))</f>
        <v>4.2718473026668053E-3</v>
      </c>
      <c r="H37" s="832">
        <f t="array" ref="H37">SUM(IFERROR((IND.Tech!$AJ$94:$DC$94=$F$31)*(IND.Tech!$AJ$93:$DC$93=H$32)*(IND.Tech!$AI$94:$AI$253=$C37&amp;$A$1&amp;$E37)*(IND.Tech!$AJ$94:$DC$253),0))</f>
        <v>1.1839019665113039E-2</v>
      </c>
      <c r="I37" s="832">
        <f t="array" ref="I37">SUM(IFERROR((IND.Tech!$AJ$94:$DC$94=$F$31)*(IND.Tech!$AJ$93:$DC$93=I$32)*(IND.Tech!$AI$94:$AI$253=$C37&amp;$A$1&amp;$E37)*(IND.Tech!$AJ$94:$DC$253),0))</f>
        <v>1.5785359553484053E-2</v>
      </c>
      <c r="J37" s="832">
        <f t="array" ref="J37">SUM(IFERROR( (IND.Tech!$AJ$94:$DC$94=$J$31)*(IND.Tech!$AJ$93:$DC$93=J$32)*(IND.Tech!$AI$94:$AI$253=$C37&amp;$A$1&amp;$E37)*(IND.Tech!$AJ$94:$DC$253),0))</f>
        <v>1.5778064942828722E-3</v>
      </c>
      <c r="K37" s="832">
        <f t="array" ref="K37">SUM(IFERROR( (IND.Tech!$AJ$94:$DC$94=$J$31)*(IND.Tech!$AJ$93:$DC$93=K$32)*(IND.Tech!$AI$94:$AI$253=$C37&amp;$A$1&amp;$E37)*(IND.Tech!$AJ$94:$DC$253),0))</f>
        <v>2.7510183232460655E-2</v>
      </c>
      <c r="L37" s="832">
        <f t="array" ref="L37">SUM(IFERROR( (IND.Tech!$AJ$94:$DC$94=$J$31)*(IND.Tech!$AJ$93:$DC$93=L$32)*(IND.Tech!$AI$94:$AI$253=$C37&amp;$A$1&amp;$E37)*(IND.Tech!$AJ$94:$DC$253),0))</f>
        <v>7.6241863813025917E-2</v>
      </c>
      <c r="M37" s="832">
        <f t="array" ref="M37">SUM(IFERROR( (IND.Tech!$AJ$94:$DC$94=$J$31)*(IND.Tech!$AJ$93:$DC$93=M$32)*(IND.Tech!$AI$94:$AI$253=$C37&amp;$A$1&amp;$E37)*(IND.Tech!$AJ$94:$DC$253),0))</f>
        <v>0.1016558184173679</v>
      </c>
      <c r="N37" s="832">
        <f t="array" ref="N37">SUM(IFERROR( (IND.Tech!$AJ$94:$DC$94=$N$31)*(IND.Tech!$AJ$93:$DC$93=N$32)*(IND.Tech!$AI$94:$AI$253=$C37&amp;$A$1&amp;$E37)*(IND.Tech!$AJ$94:$DC$253),0))</f>
        <v>4.0240426226956063E-3</v>
      </c>
      <c r="O37" s="832">
        <f t="array" ref="O37">SUM(IFERROR( (IND.Tech!$AJ$94:$DC$94=$N$31)*(IND.Tech!$AJ$93:$DC$93=O$32)*(IND.Tech!$AI$94:$AI$253=$C37&amp;$A$1&amp;$E37)*(IND.Tech!$AJ$94:$DC$253),0))</f>
        <v>7.0162057442856973E-2</v>
      </c>
      <c r="P37" s="832">
        <f t="array" ref="P37">SUM(IFERROR( (IND.Tech!$AJ$94:$DC$94=$N$31)*(IND.Tech!$AJ$93:$DC$93=P$32)*(IND.Tech!$AI$94:$AI$253=$C37&amp;$A$1&amp;$E37)*(IND.Tech!$AJ$94:$DC$253),0))</f>
        <v>0.19444748816096979</v>
      </c>
      <c r="Q37" s="832">
        <f t="array" ref="Q37">SUM(IFERROR( (IND.Tech!$AJ$94:$DC$94=$N$31)*(IND.Tech!$AJ$93:$DC$93=Q$32)*(IND.Tech!$AI$94:$AI$253=$C37&amp;$A$1&amp;$E37)*(IND.Tech!$AJ$94:$DC$253),0))</f>
        <v>0.25926331754795978</v>
      </c>
      <c r="R37" s="832">
        <f t="array" ref="R37">SUM(IFERROR( (IND.Tech!$AJ$94:$DC$94=$R$31)*(IND.Tech!$AJ$93:$DC$93=R$32)*(IND.Tech!$AI$94:$AI$253=$C37&amp;$A$1&amp;$E37)*(IND.Tech!$AJ$94:$DC$253),0))</f>
        <v>6.1065085974406639E-3</v>
      </c>
      <c r="S37" s="832">
        <f t="array" ref="S37">SUM(IFERROR( (IND.Tech!$AJ$94:$DC$94=$R$31)*(IND.Tech!$AJ$93:$DC$93=S$32)*(IND.Tech!$AI$94:$AI$253=$C37&amp;$A$1&amp;$E37)*(IND.Tech!$AJ$94:$DC$253),0))</f>
        <v>0.1064713391882333</v>
      </c>
      <c r="T37" s="832">
        <f t="array" ref="T37">SUM(IFERROR( (IND.Tech!$AJ$94:$DC$94=$R$31)*(IND.Tech!$AJ$93:$DC$93=T$32)*(IND.Tech!$AI$94:$AI$253=$C37&amp;$A$1&amp;$E37)*(IND.Tech!$AJ$94:$DC$253),0))</f>
        <v>0.29507521901204348</v>
      </c>
      <c r="U37" s="832">
        <f t="array" ref="U37">SUM(IFERROR( (IND.Tech!$AJ$94:$DC$94=$R$31)*(IND.Tech!$AJ$93:$DC$93=U$32)*(IND.Tech!$AI$94:$AI$253=$C37&amp;$A$1&amp;$E37)*(IND.Tech!$AJ$94:$DC$253),0))</f>
        <v>0.3934336253493913</v>
      </c>
      <c r="V37" s="832">
        <f t="array" ref="V37">SUM(IFERROR( (IND.Tech!$AJ$94:$DC$94=$V$31)*(IND.Tech!$AJ$93:$DC$93=V$32)*(IND.Tech!$AI$94:$AI$253=$C37&amp;$A$1&amp;$E37)*(IND.Tech!$AJ$94:$DC$253),0))</f>
        <v>7.0000000000000001E-3</v>
      </c>
      <c r="W37" s="832">
        <f t="array" ref="W37">SUM(IFERROR( (IND.Tech!$AJ$94:$DC$94=$V$31)*(IND.Tech!$AJ$93:$DC$93=W$32)*(IND.Tech!$AI$94:$AI$253=$C37&amp;$A$1&amp;$E37)*(IND.Tech!$AJ$94:$DC$253),0))</f>
        <v>0.12205000000000002</v>
      </c>
      <c r="X37" s="832">
        <f t="array" ref="X37">SUM(IFERROR( (IND.Tech!$AJ$94:$DC$94=$V$31)*(IND.Tech!$AJ$93:$DC$93=X$32)*(IND.Tech!$AI$94:$AI$253=$C37&amp;$A$1&amp;$E37)*(IND.Tech!$AJ$94:$DC$253),0))</f>
        <v>0.33824999999999994</v>
      </c>
      <c r="Y37" s="832">
        <f t="array" ref="Y37">SUM(IFERROR( (IND.Tech!$AJ$94:$DC$94=$V$31)*(IND.Tech!$AJ$93:$DC$93=Y$32)*(IND.Tech!$AI$94:$AI$253=$C37&amp;$A$1&amp;$E37)*(IND.Tech!$AJ$94:$DC$253),0))</f>
        <v>0.45099999999999996</v>
      </c>
    </row>
    <row r="38" spans="2:26" ht="15">
      <c r="B38" s="106"/>
      <c r="C38" s="336" t="str">
        <f t="shared" si="0"/>
        <v>FB</v>
      </c>
      <c r="D38" s="336" t="str">
        <f t="shared" si="0"/>
        <v>Food, Beverage &amp; Tabacco  - 30</v>
      </c>
      <c r="E38" s="450" t="s">
        <v>879</v>
      </c>
      <c r="F38" s="832">
        <f t="array" ref="F38">SUM(IFERROR((IND.Tech!$AJ$94:$DC$94=$F$31)*(IND.Tech!$AJ$93:$DC$93=F$32)*(IND.Tech!$AI$94:$AI$253=$C38&amp;$A$1&amp;$E38)*(IND.Tech!$AJ$94:$DC$253),0))</f>
        <v>2.100047834166393E-4</v>
      </c>
      <c r="G38" s="832">
        <f t="array" ref="G38">SUM(IFERROR((IND.Tech!$AJ$94:$DC$94=$F$31)*(IND.Tech!$AJ$93:$DC$93=G$32)*(IND.Tech!$AI$94:$AI$253=$C38&amp;$A$1&amp;$E38)*(IND.Tech!$AJ$94:$DC$253),0))</f>
        <v>4.0740927982828032E-3</v>
      </c>
      <c r="H38" s="832">
        <f t="array" ref="H38">SUM(IFERROR((IND.Tech!$AJ$94:$DC$94=$F$31)*(IND.Tech!$AJ$93:$DC$93=H$32)*(IND.Tech!$AI$94:$AI$253=$C38&amp;$A$1&amp;$E38)*(IND.Tech!$AJ$94:$DC$253),0))</f>
        <v>1.2679038798779598E-2</v>
      </c>
      <c r="I38" s="832">
        <f t="array" ref="I38">SUM(IFERROR((IND.Tech!$AJ$94:$DC$94=$F$31)*(IND.Tech!$AJ$93:$DC$93=I$32)*(IND.Tech!$AI$94:$AI$253=$C38&amp;$A$1&amp;$E38)*(IND.Tech!$AJ$94:$DC$253),0))</f>
        <v>1.6905385065039465E-2</v>
      </c>
      <c r="J38" s="832">
        <f t="array" ref="J38">SUM(IFERROR( (IND.Tech!$AJ$94:$DC$94=$J$31)*(IND.Tech!$AJ$93:$DC$93=J$32)*(IND.Tech!$AI$94:$AI$253=$C38&amp;$A$1&amp;$E38)*(IND.Tech!$AJ$94:$DC$253),0))</f>
        <v>1.3524055665281763E-3</v>
      </c>
      <c r="K38" s="832">
        <f t="array" ref="K38">SUM(IFERROR( (IND.Tech!$AJ$94:$DC$94=$J$31)*(IND.Tech!$AJ$93:$DC$93=K$32)*(IND.Tech!$AI$94:$AI$253=$C38&amp;$A$1&amp;$E38)*(IND.Tech!$AJ$94:$DC$253),0))</f>
        <v>2.6236667990646622E-2</v>
      </c>
      <c r="L38" s="832">
        <f t="array" ref="L38">SUM(IFERROR( (IND.Tech!$AJ$94:$DC$94=$J$31)*(IND.Tech!$AJ$93:$DC$93=L$32)*(IND.Tech!$AI$94:$AI$253=$C38&amp;$A$1&amp;$E38)*(IND.Tech!$AJ$94:$DC$253),0))</f>
        <v>8.1651486079138635E-2</v>
      </c>
      <c r="M38" s="832">
        <f t="array" ref="M38">SUM(IFERROR( (IND.Tech!$AJ$94:$DC$94=$J$31)*(IND.Tech!$AJ$93:$DC$93=M$32)*(IND.Tech!$AI$94:$AI$253=$C38&amp;$A$1&amp;$E38)*(IND.Tech!$AJ$94:$DC$253),0))</f>
        <v>0.10886864810551819</v>
      </c>
      <c r="N38" s="832">
        <f t="array" ref="N38">SUM(IFERROR( (IND.Tech!$AJ$94:$DC$94=$N$31)*(IND.Tech!$AJ$93:$DC$93=N$32)*(IND.Tech!$AI$94:$AI$253=$C38&amp;$A$1&amp;$E38)*(IND.Tech!$AJ$94:$DC$253),0))</f>
        <v>3.4491793908819485E-3</v>
      </c>
      <c r="O38" s="832">
        <f t="array" ref="O38">SUM(IFERROR( (IND.Tech!$AJ$94:$DC$94=$N$31)*(IND.Tech!$AJ$93:$DC$93=O$32)*(IND.Tech!$AI$94:$AI$253=$C38&amp;$A$1&amp;$E38)*(IND.Tech!$AJ$94:$DC$253),0))</f>
        <v>6.6914080183109806E-2</v>
      </c>
      <c r="P38" s="832">
        <f t="array" ref="P38">SUM(IFERROR( (IND.Tech!$AJ$94:$DC$94=$N$31)*(IND.Tech!$AJ$93:$DC$93=P$32)*(IND.Tech!$AI$94:$AI$253=$C38&amp;$A$1&amp;$E38)*(IND.Tech!$AJ$94:$DC$253),0))</f>
        <v>0.20824420572449764</v>
      </c>
      <c r="Q38" s="832">
        <f t="array" ref="Q38">SUM(IFERROR( (IND.Tech!$AJ$94:$DC$94=$N$31)*(IND.Tech!$AJ$93:$DC$93=Q$32)*(IND.Tech!$AI$94:$AI$253=$C38&amp;$A$1&amp;$E38)*(IND.Tech!$AJ$94:$DC$253),0))</f>
        <v>0.27765894096599686</v>
      </c>
      <c r="R38" s="832">
        <f t="array" ref="R38">SUM(IFERROR( (IND.Tech!$AJ$94:$DC$94=$R$31)*(IND.Tech!$AJ$93:$DC$93=R$32)*(IND.Tech!$AI$94:$AI$253=$C38&amp;$A$1&amp;$E38)*(IND.Tech!$AJ$94:$DC$253),0))</f>
        <v>5.2341502263777125E-3</v>
      </c>
      <c r="S38" s="832">
        <f t="array" ref="S38">SUM(IFERROR( (IND.Tech!$AJ$94:$DC$94=$R$31)*(IND.Tech!$AJ$93:$DC$93=S$32)*(IND.Tech!$AI$94:$AI$253=$C38&amp;$A$1&amp;$E38)*(IND.Tech!$AJ$94:$DC$253),0))</f>
        <v>0.10154251439172762</v>
      </c>
      <c r="T38" s="832">
        <f t="array" ref="T38">SUM(IFERROR( (IND.Tech!$AJ$94:$DC$94=$R$31)*(IND.Tech!$AJ$93:$DC$93=T$32)*(IND.Tech!$AI$94:$AI$253=$C38&amp;$A$1&amp;$E38)*(IND.Tech!$AJ$94:$DC$253),0))</f>
        <v>0.31601181991755439</v>
      </c>
      <c r="U38" s="832">
        <f t="array" ref="U38">SUM(IFERROR( (IND.Tech!$AJ$94:$DC$94=$R$31)*(IND.Tech!$AJ$93:$DC$93=U$32)*(IND.Tech!$AI$94:$AI$253=$C38&amp;$A$1&amp;$E38)*(IND.Tech!$AJ$94:$DC$253),0))</f>
        <v>0.42134909322340586</v>
      </c>
      <c r="V38" s="832">
        <f t="array" ref="V38">SUM(IFERROR( (IND.Tech!$AJ$94:$DC$94=$V$31)*(IND.Tech!$AJ$93:$DC$93=V$32)*(IND.Tech!$AI$94:$AI$253=$C38&amp;$A$1&amp;$E38)*(IND.Tech!$AJ$94:$DC$253),0))</f>
        <v>6.0000000000000001E-3</v>
      </c>
      <c r="W38" s="832">
        <f t="array" ref="W38">SUM(IFERROR( (IND.Tech!$AJ$94:$DC$94=$V$31)*(IND.Tech!$AJ$93:$DC$93=W$32)*(IND.Tech!$AI$94:$AI$253=$C38&amp;$A$1&amp;$E38)*(IND.Tech!$AJ$94:$DC$253),0))</f>
        <v>0.11640000000000002</v>
      </c>
      <c r="X38" s="832">
        <f t="array" ref="X38">SUM(IFERROR( (IND.Tech!$AJ$94:$DC$94=$V$31)*(IND.Tech!$AJ$93:$DC$93=X$32)*(IND.Tech!$AI$94:$AI$253=$C38&amp;$A$1&amp;$E38)*(IND.Tech!$AJ$94:$DC$253),0))</f>
        <v>0.36225000000000002</v>
      </c>
      <c r="Y38" s="832">
        <f t="array" ref="Y38">SUM(IFERROR( (IND.Tech!$AJ$94:$DC$94=$V$31)*(IND.Tech!$AJ$93:$DC$93=Y$32)*(IND.Tech!$AI$94:$AI$253=$C38&amp;$A$1&amp;$E38)*(IND.Tech!$AJ$94:$DC$253),0))</f>
        <v>0.48300000000000004</v>
      </c>
    </row>
    <row r="39" spans="2:26" ht="15">
      <c r="B39" s="106"/>
      <c r="C39" s="336" t="str">
        <f t="shared" si="0"/>
        <v>PP</v>
      </c>
      <c r="D39" s="336" t="str">
        <f t="shared" si="0"/>
        <v>Pulp &amp; Paper Products  -323</v>
      </c>
      <c r="E39" s="450" t="s">
        <v>879</v>
      </c>
      <c r="F39" s="832">
        <f t="array" ref="F39">SUM(IFERROR((IND.Tech!$AJ$94:$DC$94=$F$31)*(IND.Tech!$AJ$93:$DC$93=F$32)*(IND.Tech!$AI$94:$AI$253=$C39&amp;$A$1&amp;$E39)*(IND.Tech!$AJ$94:$DC$253),0))</f>
        <v>2.8000637788885244E-4</v>
      </c>
      <c r="G39" s="832">
        <f t="array" ref="G39">SUM(IFERROR((IND.Tech!$AJ$94:$DC$94=$F$31)*(IND.Tech!$AJ$93:$DC$93=G$32)*(IND.Tech!$AI$94:$AI$253=$C39&amp;$A$1&amp;$E39)*(IND.Tech!$AJ$94:$DC$253),0))</f>
        <v>5.6001275577770484E-3</v>
      </c>
      <c r="H39" s="832">
        <f t="array" ref="H39">SUM(IFERROR((IND.Tech!$AJ$94:$DC$94=$F$31)*(IND.Tech!$AJ$93:$DC$93=H$32)*(IND.Tech!$AI$94:$AI$253=$C39&amp;$A$1&amp;$E39)*(IND.Tech!$AJ$94:$DC$253),0))</f>
        <v>1.3807814509644033E-2</v>
      </c>
      <c r="I39" s="832">
        <f t="array" ref="I39">SUM(IFERROR((IND.Tech!$AJ$94:$DC$94=$F$31)*(IND.Tech!$AJ$93:$DC$93=I$32)*(IND.Tech!$AI$94:$AI$253=$C39&amp;$A$1&amp;$E39)*(IND.Tech!$AJ$94:$DC$253),0))</f>
        <v>1.8410419346192048E-2</v>
      </c>
      <c r="J39" s="832">
        <f t="array" ref="J39">SUM(IFERROR( (IND.Tech!$AJ$94:$DC$94=$J$31)*(IND.Tech!$AJ$93:$DC$93=J$32)*(IND.Tech!$AI$94:$AI$253=$C39&amp;$A$1&amp;$E39)*(IND.Tech!$AJ$94:$DC$253),0))</f>
        <v>1.8032074220375683E-3</v>
      </c>
      <c r="K39" s="832">
        <f t="array" ref="K39">SUM(IFERROR( (IND.Tech!$AJ$94:$DC$94=$J$31)*(IND.Tech!$AJ$93:$DC$93=K$32)*(IND.Tech!$AI$94:$AI$253=$C39&amp;$A$1&amp;$E39)*(IND.Tech!$AJ$94:$DC$253),0))</f>
        <v>3.6064148440751363E-2</v>
      </c>
      <c r="L39" s="832">
        <f t="array" ref="L39">SUM(IFERROR( (IND.Tech!$AJ$94:$DC$94=$J$31)*(IND.Tech!$AJ$93:$DC$93=L$32)*(IND.Tech!$AI$94:$AI$253=$C39&amp;$A$1&amp;$E39)*(IND.Tech!$AJ$94:$DC$253),0))</f>
        <v>8.8920665999227572E-2</v>
      </c>
      <c r="M39" s="832">
        <f t="array" ref="M39">SUM(IFERROR( (IND.Tech!$AJ$94:$DC$94=$J$31)*(IND.Tech!$AJ$93:$DC$93=M$32)*(IND.Tech!$AI$94:$AI$253=$C39&amp;$A$1&amp;$E39)*(IND.Tech!$AJ$94:$DC$253),0))</f>
        <v>0.11856088799897012</v>
      </c>
      <c r="N39" s="832">
        <f t="array" ref="N39">SUM(IFERROR( (IND.Tech!$AJ$94:$DC$94=$N$31)*(IND.Tech!$AJ$93:$DC$93=N$32)*(IND.Tech!$AI$94:$AI$253=$C39&amp;$A$1&amp;$E39)*(IND.Tech!$AJ$94:$DC$253),0))</f>
        <v>4.5989058545092649E-3</v>
      </c>
      <c r="O39" s="832">
        <f t="array" ref="O39">SUM(IFERROR( (IND.Tech!$AJ$94:$DC$94=$N$31)*(IND.Tech!$AJ$93:$DC$93=O$32)*(IND.Tech!$AI$94:$AI$253=$C39&amp;$A$1&amp;$E39)*(IND.Tech!$AJ$94:$DC$253),0))</f>
        <v>9.1978117090185288E-2</v>
      </c>
      <c r="P39" s="832">
        <f t="array" ref="P39">SUM(IFERROR( (IND.Tech!$AJ$94:$DC$94=$N$31)*(IND.Tech!$AJ$93:$DC$93=P$32)*(IND.Tech!$AI$94:$AI$253=$C39&amp;$A$1&amp;$E39)*(IND.Tech!$AJ$94:$DC$253),0))</f>
        <v>0.22678354495048808</v>
      </c>
      <c r="Q39" s="832">
        <f t="array" ref="Q39">SUM(IFERROR( (IND.Tech!$AJ$94:$DC$94=$N$31)*(IND.Tech!$AJ$93:$DC$93=Q$32)*(IND.Tech!$AI$94:$AI$253=$C39&amp;$A$1&amp;$E39)*(IND.Tech!$AJ$94:$DC$253),0))</f>
        <v>0.30237805993398414</v>
      </c>
      <c r="R39" s="832">
        <f t="array" ref="R39">SUM(IFERROR( (IND.Tech!$AJ$94:$DC$94=$R$31)*(IND.Tech!$AJ$93:$DC$93=R$32)*(IND.Tech!$AI$94:$AI$253=$C39&amp;$A$1&amp;$E39)*(IND.Tech!$AJ$94:$DC$253),0))</f>
        <v>6.9788669685036161E-3</v>
      </c>
      <c r="S39" s="832">
        <f t="array" ref="S39">SUM(IFERROR( (IND.Tech!$AJ$94:$DC$94=$R$31)*(IND.Tech!$AJ$93:$DC$93=S$32)*(IND.Tech!$AI$94:$AI$253=$C39&amp;$A$1&amp;$E39)*(IND.Tech!$AJ$94:$DC$253),0))</f>
        <v>0.13957733937007233</v>
      </c>
      <c r="T39" s="832">
        <f t="array" ref="T39">SUM(IFERROR( (IND.Tech!$AJ$94:$DC$94=$R$31)*(IND.Tech!$AJ$93:$DC$93=T$32)*(IND.Tech!$AI$94:$AI$253=$C39&amp;$A$1&amp;$E39)*(IND.Tech!$AJ$94:$DC$253),0))</f>
        <v>0.34414537738433454</v>
      </c>
      <c r="U39" s="832">
        <f t="array" ref="U39">SUM(IFERROR( (IND.Tech!$AJ$94:$DC$94=$R$31)*(IND.Tech!$AJ$93:$DC$93=U$32)*(IND.Tech!$AI$94:$AI$253=$C39&amp;$A$1&amp;$E39)*(IND.Tech!$AJ$94:$DC$253),0))</f>
        <v>0.45886050317911276</v>
      </c>
      <c r="V39" s="832">
        <f t="array" ref="V39">SUM(IFERROR( (IND.Tech!$AJ$94:$DC$94=$V$31)*(IND.Tech!$AJ$93:$DC$93=V$32)*(IND.Tech!$AI$94:$AI$253=$C39&amp;$A$1&amp;$E39)*(IND.Tech!$AJ$94:$DC$253),0))</f>
        <v>8.0000000000000002E-3</v>
      </c>
      <c r="W39" s="832">
        <f t="array" ref="W39">SUM(IFERROR( (IND.Tech!$AJ$94:$DC$94=$V$31)*(IND.Tech!$AJ$93:$DC$93=W$32)*(IND.Tech!$AI$94:$AI$253=$C39&amp;$A$1&amp;$E39)*(IND.Tech!$AJ$94:$DC$253),0))</f>
        <v>0.16</v>
      </c>
      <c r="X39" s="832">
        <f t="array" ref="X39">SUM(IFERROR( (IND.Tech!$AJ$94:$DC$94=$V$31)*(IND.Tech!$AJ$93:$DC$93=X$32)*(IND.Tech!$AI$94:$AI$253=$C39&amp;$A$1&amp;$E39)*(IND.Tech!$AJ$94:$DC$253),0))</f>
        <v>0.39449999999999996</v>
      </c>
      <c r="Y39" s="832">
        <f t="array" ref="Y39">SUM(IFERROR( (IND.Tech!$AJ$94:$DC$94=$V$31)*(IND.Tech!$AJ$93:$DC$93=Y$32)*(IND.Tech!$AI$94:$AI$253=$C39&amp;$A$1&amp;$E39)*(IND.Tech!$AJ$94:$DC$253),0))</f>
        <v>0.52600000000000002</v>
      </c>
    </row>
    <row r="40" spans="2:26" ht="15">
      <c r="B40" s="106"/>
      <c r="C40" s="336" t="str">
        <f t="shared" si="0"/>
        <v>OT</v>
      </c>
      <c r="D40" s="336" t="str">
        <f t="shared" si="0"/>
        <v>Other</v>
      </c>
      <c r="E40" s="850" t="s">
        <v>879</v>
      </c>
      <c r="F40" s="832">
        <f t="array" ref="F40">SUM(IFERROR((IND.Tech!$AJ$94:$DC$94=$F$31)*(IND.Tech!$AJ$93:$DC$93=F$32)*(IND.Tech!$AI$94:$AI$253=$C40&amp;$A$1&amp;$E40)*(IND.Tech!$AJ$94:$DC$253),0))</f>
        <v>2.4500558065274585E-4</v>
      </c>
      <c r="G40" s="832">
        <f t="array" ref="G40">SUM(IFERROR((IND.Tech!$AJ$94:$DC$94=$F$31)*(IND.Tech!$AJ$93:$DC$93=G$32)*(IND.Tech!$AI$94:$AI$253=$C40&amp;$A$1&amp;$E40)*(IND.Tech!$AJ$94:$DC$253),0))</f>
        <v>4.7840179638301691E-3</v>
      </c>
      <c r="H40" s="832">
        <f t="array" ref="H40">SUM(IFERROR((IND.Tech!$AJ$94:$DC$94=$F$31)*(IND.Tech!$AJ$93:$DC$93=H$32)*(IND.Tech!$AI$94:$AI$253=$C40&amp;$A$1&amp;$E40)*(IND.Tech!$AJ$94:$DC$253),0))</f>
        <v>1.2920822077621914E-2</v>
      </c>
      <c r="I40" s="832">
        <f t="array" ref="I40">SUM(IFERROR((IND.Tech!$AJ$94:$DC$94=$F$31)*(IND.Tech!$AJ$93:$DC$93=I$32)*(IND.Tech!$AI$94:$AI$253=$C40&amp;$A$1&amp;$E40)*(IND.Tech!$AJ$94:$DC$253),0))</f>
        <v>1.7289325703557231E-2</v>
      </c>
      <c r="J40" s="832">
        <f t="array" ref="J40">SUM(IFERROR( (IND.Tech!$AJ$94:$DC$94=$J$31)*(IND.Tech!$AJ$93:$DC$93=J$32)*(IND.Tech!$AI$94:$AI$253=$C40&amp;$A$1&amp;$E40)*(IND.Tech!$AJ$94:$DC$253),0))</f>
        <v>1.5778064942828722E-3</v>
      </c>
      <c r="K40" s="832">
        <f t="array" ref="K40">SUM(IFERROR( (IND.Tech!$AJ$94:$DC$94=$J$31)*(IND.Tech!$AJ$93:$DC$93=K$32)*(IND.Tech!$AI$94:$AI$253=$C40&amp;$A$1&amp;$E40)*(IND.Tech!$AJ$94:$DC$253),0))</f>
        <v>3.0808500736950736E-2</v>
      </c>
      <c r="L40" s="832">
        <f t="array" ref="L40">SUM(IFERROR( (IND.Tech!$AJ$94:$DC$94=$J$31)*(IND.Tech!$AJ$93:$DC$93=L$32)*(IND.Tech!$AI$94:$AI$253=$C40&amp;$A$1&amp;$E40)*(IND.Tech!$AJ$94:$DC$253),0))</f>
        <v>8.3208541337023184E-2</v>
      </c>
      <c r="M40" s="832">
        <f t="array" ref="M40">SUM(IFERROR( (IND.Tech!$AJ$94:$DC$94=$J$31)*(IND.Tech!$AJ$93:$DC$93=M$32)*(IND.Tech!$AI$94:$AI$253=$C40&amp;$A$1&amp;$E40)*(IND.Tech!$AJ$94:$DC$253),0))</f>
        <v>0.11134117967503798</v>
      </c>
      <c r="N40" s="832">
        <f t="array" ref="N40">SUM(IFERROR( (IND.Tech!$AJ$94:$DC$94=$N$31)*(IND.Tech!$AJ$93:$DC$93=N$32)*(IND.Tech!$AI$94:$AI$253=$C40&amp;$A$1&amp;$E40)*(IND.Tech!$AJ$94:$DC$253),0))</f>
        <v>4.0240426226956063E-3</v>
      </c>
      <c r="O40" s="832">
        <f t="array" ref="O40">SUM(IFERROR( (IND.Tech!$AJ$94:$DC$94=$N$31)*(IND.Tech!$AJ$93:$DC$93=O$32)*(IND.Tech!$AI$94:$AI$253=$C40&amp;$A$1&amp;$E40)*(IND.Tech!$AJ$94:$DC$253),0))</f>
        <v>7.8574096732430057E-2</v>
      </c>
      <c r="P40" s="832">
        <f t="array" ref="P40">SUM(IFERROR( (IND.Tech!$AJ$94:$DC$94=$N$31)*(IND.Tech!$AJ$93:$DC$93=P$32)*(IND.Tech!$AI$94:$AI$253=$C40&amp;$A$1&amp;$E40)*(IND.Tech!$AJ$94:$DC$253),0))</f>
        <v>0.21221532432891654</v>
      </c>
      <c r="Q40" s="832">
        <f t="array" ref="Q40">SUM(IFERROR( (IND.Tech!$AJ$94:$DC$94=$N$31)*(IND.Tech!$AJ$93:$DC$93=Q$32)*(IND.Tech!$AI$94:$AI$253=$C40&amp;$A$1&amp;$E40)*(IND.Tech!$AJ$94:$DC$253),0))</f>
        <v>0.28396489322171392</v>
      </c>
      <c r="R40" s="832">
        <f t="array" ref="R40">SUM(IFERROR( (IND.Tech!$AJ$94:$DC$94=$R$31)*(IND.Tech!$AJ$93:$DC$93=R$32)*(IND.Tech!$AI$94:$AI$253=$C40&amp;$A$1&amp;$E40)*(IND.Tech!$AJ$94:$DC$253),0))</f>
        <v>6.1065085974406639E-3</v>
      </c>
      <c r="S40" s="832">
        <f t="array" ref="S40">SUM(IFERROR( (IND.Tech!$AJ$94:$DC$94=$R$31)*(IND.Tech!$AJ$93:$DC$93=S$32)*(IND.Tech!$AI$94:$AI$253=$C40&amp;$A$1&amp;$E40)*(IND.Tech!$AJ$94:$DC$253),0))</f>
        <v>0.119236658808376</v>
      </c>
      <c r="T40" s="832">
        <f t="array" ref="T40">SUM(IFERROR( (IND.Tech!$AJ$94:$DC$94=$R$31)*(IND.Tech!$AJ$93:$DC$93=T$32)*(IND.Tech!$AI$94:$AI$253=$C40&amp;$A$1&amp;$E40)*(IND.Tech!$AJ$94:$DC$253),0))</f>
        <v>0.32203801600269832</v>
      </c>
      <c r="U40" s="832">
        <f t="array" ref="U40">SUM(IFERROR( (IND.Tech!$AJ$94:$DC$94=$R$31)*(IND.Tech!$AJ$93:$DC$93=U$32)*(IND.Tech!$AI$94:$AI$253=$C40&amp;$A$1&amp;$E40)*(IND.Tech!$AJ$94:$DC$253),0))</f>
        <v>0.43091841325182828</v>
      </c>
      <c r="V40" s="832">
        <f t="array" ref="V40">SUM(IFERROR( (IND.Tech!$AJ$94:$DC$94=$V$31)*(IND.Tech!$AJ$93:$DC$93=V$32)*(IND.Tech!$AI$94:$AI$253=$C40&amp;$A$1&amp;$E40)*(IND.Tech!$AJ$94:$DC$253),0))</f>
        <v>7.0000000000000001E-3</v>
      </c>
      <c r="W40" s="832">
        <f t="array" ref="W40">SUM(IFERROR( (IND.Tech!$AJ$94:$DC$94=$V$31)*(IND.Tech!$AJ$93:$DC$93=W$32)*(IND.Tech!$AI$94:$AI$253=$C40&amp;$A$1&amp;$E40)*(IND.Tech!$AJ$94:$DC$253),0))</f>
        <v>0.13668311414618331</v>
      </c>
      <c r="X40" s="832">
        <f t="array" ref="X40">SUM(IFERROR( (IND.Tech!$AJ$94:$DC$94=$V$31)*(IND.Tech!$AJ$93:$DC$93=X$32)*(IND.Tech!$AI$94:$AI$253=$C40&amp;$A$1&amp;$E40)*(IND.Tech!$AJ$94:$DC$253),0))</f>
        <v>0.36915793633103006</v>
      </c>
      <c r="Y40" s="832">
        <f t="array" ref="Y40">SUM(IFERROR( (IND.Tech!$AJ$94:$DC$94=$V$31)*(IND.Tech!$AJ$93:$DC$93=Y$32)*(IND.Tech!$AI$94:$AI$253=$C40&amp;$A$1&amp;$E40)*(IND.Tech!$AJ$94:$DC$253),0))</f>
        <v>0.49396948266428903</v>
      </c>
      <c r="Z40" s="483"/>
    </row>
    <row r="41" spans="2:26" ht="15">
      <c r="B41" s="106"/>
      <c r="C41" s="84"/>
      <c r="D41" s="84"/>
      <c r="E41" s="84"/>
      <c r="F41" s="161"/>
      <c r="G41" s="831"/>
      <c r="H41" s="831"/>
      <c r="I41" s="831"/>
      <c r="J41" s="831"/>
      <c r="K41" s="831"/>
      <c r="L41" s="831"/>
      <c r="M41" s="831"/>
      <c r="N41" s="831"/>
      <c r="O41" s="831"/>
      <c r="P41" s="831"/>
      <c r="Q41" s="831"/>
      <c r="R41" s="831"/>
      <c r="S41" s="831"/>
      <c r="T41" s="831"/>
      <c r="U41" s="831"/>
      <c r="V41" s="831"/>
      <c r="W41" s="831"/>
      <c r="X41" s="831"/>
      <c r="Y41" s="831"/>
    </row>
    <row r="42" spans="2:26" ht="15">
      <c r="B42" s="106"/>
      <c r="C42" s="336"/>
      <c r="D42" s="336"/>
      <c r="E42" s="336"/>
      <c r="F42" s="82"/>
      <c r="G42" s="1025"/>
      <c r="H42" s="1025"/>
      <c r="I42" s="1025"/>
      <c r="J42" s="1025"/>
      <c r="K42" s="1025"/>
      <c r="L42" s="1025"/>
      <c r="M42" s="1025"/>
      <c r="N42" s="1025"/>
      <c r="O42" s="1025"/>
      <c r="P42" s="1025"/>
      <c r="Q42" s="1025"/>
      <c r="R42" s="1025"/>
      <c r="S42" s="1025"/>
      <c r="T42" s="1025"/>
      <c r="U42" s="1025"/>
      <c r="V42" s="1025"/>
      <c r="W42" s="1025"/>
      <c r="X42" s="1025"/>
      <c r="Y42" s="1025"/>
    </row>
    <row r="43" spans="2:26" ht="15">
      <c r="B43" s="106"/>
      <c r="C43" s="339" t="s">
        <v>2240</v>
      </c>
      <c r="D43" s="336"/>
      <c r="E43" s="336"/>
      <c r="F43" s="336"/>
      <c r="G43" s="336"/>
      <c r="H43" s="336"/>
      <c r="I43" s="336"/>
      <c r="J43" s="336"/>
      <c r="K43" s="336"/>
      <c r="L43" s="336"/>
      <c r="M43" s="336"/>
      <c r="N43" s="336"/>
      <c r="O43" s="1025"/>
      <c r="P43" s="1025"/>
      <c r="Q43" s="1025"/>
      <c r="R43" s="1025"/>
      <c r="S43" s="1025"/>
      <c r="T43" s="1025"/>
      <c r="U43" s="1025"/>
      <c r="V43" s="1025"/>
      <c r="W43" s="1025"/>
      <c r="X43" s="1025"/>
      <c r="Y43" s="1025"/>
    </row>
    <row r="44" spans="2:26" ht="14.25" customHeight="1">
      <c r="B44" s="106"/>
      <c r="C44" s="336"/>
      <c r="D44" s="336"/>
      <c r="E44" s="336"/>
      <c r="F44" s="336"/>
      <c r="G44" s="336"/>
      <c r="H44" s="336"/>
      <c r="I44" s="336"/>
      <c r="J44" s="336"/>
      <c r="K44" s="336"/>
      <c r="L44" s="336"/>
      <c r="M44" s="336"/>
      <c r="N44" s="336"/>
      <c r="O44" s="1025"/>
      <c r="P44" s="1025"/>
      <c r="Q44" s="1025"/>
      <c r="R44" s="1025"/>
      <c r="S44" s="1025"/>
      <c r="T44" s="1025"/>
      <c r="U44" s="1025"/>
      <c r="V44" s="1025"/>
      <c r="W44" s="1025"/>
      <c r="X44" s="1025"/>
      <c r="Y44" s="1025"/>
    </row>
    <row r="45" spans="2:26" ht="15">
      <c r="B45" s="106"/>
      <c r="C45" s="61" t="s">
        <v>394</v>
      </c>
      <c r="D45" s="690" t="s">
        <v>59</v>
      </c>
      <c r="E45" s="61" t="s">
        <v>2242</v>
      </c>
      <c r="F45" s="61">
        <v>2010</v>
      </c>
      <c r="G45" s="61">
        <v>2015</v>
      </c>
      <c r="H45" s="61">
        <v>2020</v>
      </c>
      <c r="I45" s="61">
        <v>2025</v>
      </c>
      <c r="J45" s="61">
        <v>2030</v>
      </c>
      <c r="K45" s="61">
        <v>2035</v>
      </c>
      <c r="L45" s="61">
        <v>2040</v>
      </c>
      <c r="M45" s="61">
        <v>2045</v>
      </c>
      <c r="N45" s="61">
        <v>2050</v>
      </c>
      <c r="O45" s="1025"/>
      <c r="P45" s="1025"/>
      <c r="Q45" s="1025"/>
      <c r="R45" s="1025"/>
      <c r="S45" s="1025"/>
      <c r="T45" s="1025"/>
      <c r="U45" s="1025"/>
      <c r="V45" s="1025"/>
      <c r="W45" s="1025"/>
      <c r="X45" s="1025"/>
      <c r="Y45" s="1025"/>
    </row>
    <row r="46" spans="2:26" ht="15">
      <c r="B46" s="106"/>
      <c r="C46" s="79">
        <v>1</v>
      </c>
      <c r="D46" s="336"/>
      <c r="E46" s="144">
        <f>MAX($H$176:$O$183)</f>
        <v>0.76</v>
      </c>
      <c r="F46" s="832">
        <f t="array" ref="F46">SUM((IND.Tech!$AU$80:$AU$83=$C46) * (IND.Tech!$BG$79:$BP$79=F$45) * (IND.Tech!$BG$80:$BP$83))</f>
        <v>3.5000797236106552E-4</v>
      </c>
      <c r="G46" s="832">
        <f t="array" ref="G46">SUM((IND.Tech!$AU$80:$AU$83=$C46) * (IND.Tech!$BG$79:$BP$79=G$45) * (IND.Tech!$BG$80:$BP$83))</f>
        <v>1.0802387360122673E-3</v>
      </c>
      <c r="H46" s="832">
        <f t="array" ref="H46">SUM((IND.Tech!$AU$80:$AU$83=$C46) * (IND.Tech!$BG$79:$BP$79=H$45) * (IND.Tech!$BG$80:$BP$83))</f>
        <v>2.2540092775469602E-3</v>
      </c>
      <c r="I46" s="832">
        <f t="array" ref="I46">SUM((IND.Tech!$AU$80:$AU$83=$C46) * (IND.Tech!$BG$79:$BP$79=I$45) * (IND.Tech!$BG$80:$BP$83))</f>
        <v>3.8855982931303135E-3</v>
      </c>
      <c r="J46" s="832">
        <f t="array" ref="J46">SUM((IND.Tech!$AU$80:$AU$83=$C46) * (IND.Tech!$BG$79:$BP$79=J$45) * (IND.Tech!$BG$80:$BP$83))</f>
        <v>5.7486323181365805E-3</v>
      </c>
      <c r="K46" s="832">
        <f t="array" ref="K46">SUM((IND.Tech!$AU$80:$AU$83=$C46) * (IND.Tech!$BG$79:$BP$79=K$45) * (IND.Tech!$BG$80:$BP$83))</f>
        <v>7.4529505011659237E-3</v>
      </c>
      <c r="L46" s="832">
        <f t="array" ref="L46">SUM((IND.Tech!$AU$80:$AU$83=$C46) * (IND.Tech!$BG$79:$BP$79=L$45) * (IND.Tech!$BG$80:$BP$83))</f>
        <v>8.7235837106295205E-3</v>
      </c>
      <c r="M46" s="832">
        <f t="array" ref="M46">SUM((IND.Tech!$AU$80:$AU$83=$C46) * (IND.Tech!$BG$79:$BP$79=M$45) * (IND.Tech!$BG$80:$BP$83))</f>
        <v>9.533751183746348E-3</v>
      </c>
      <c r="N46" s="832">
        <f t="array" ref="N46">SUM((IND.Tech!$AU$80:$AU$83=$C46) * (IND.Tech!$BG$79:$BP$79=N$45) * (IND.Tech!$BG$80:$BP$83))</f>
        <v>0.01</v>
      </c>
      <c r="O46" s="1025"/>
      <c r="P46" s="1025"/>
      <c r="Q46" s="1025"/>
      <c r="R46" s="1025"/>
      <c r="S46" s="1025"/>
      <c r="T46" s="1025"/>
      <c r="U46" s="1025"/>
      <c r="V46" s="1025"/>
      <c r="W46" s="1025"/>
      <c r="X46" s="1025"/>
      <c r="Y46" s="1025"/>
    </row>
    <row r="47" spans="2:26" ht="15">
      <c r="B47" s="106"/>
      <c r="C47" s="79">
        <v>2</v>
      </c>
      <c r="D47" s="336"/>
      <c r="E47" s="144">
        <v>0.85</v>
      </c>
      <c r="F47" s="832">
        <f t="array" ref="F47">SUM((IND.Tech!$AU$80:$AU$83=$C47) * (IND.Tech!$BG$79:$BP$79=F$45) * (IND.Tech!$BG$80:$BP$83))</f>
        <v>5.2501195854159823E-3</v>
      </c>
      <c r="G47" s="832">
        <f t="array" ref="G47">SUM((IND.Tech!$AU$80:$AU$83=$C47) * (IND.Tech!$BG$79:$BP$79=G$45) * (IND.Tech!$BG$80:$BP$83))</f>
        <v>1.6203581040184007E-2</v>
      </c>
      <c r="H47" s="832">
        <f t="array" ref="H47">SUM((IND.Tech!$AU$80:$AU$83=$C47) * (IND.Tech!$BG$79:$BP$79=H$45) * (IND.Tech!$BG$80:$BP$83))</f>
        <v>3.3810139163204404E-2</v>
      </c>
      <c r="I47" s="832">
        <f t="array" ref="I47">SUM((IND.Tech!$AU$80:$AU$83=$C47) * (IND.Tech!$BG$79:$BP$79=I$45) * (IND.Tech!$BG$80:$BP$83))</f>
        <v>5.8283974396954701E-2</v>
      </c>
      <c r="J47" s="832">
        <f t="array" ref="J47">SUM((IND.Tech!$AU$80:$AU$83=$C47) * (IND.Tech!$BG$79:$BP$79=J$45) * (IND.Tech!$BG$80:$BP$83))</f>
        <v>8.6229484772048712E-2</v>
      </c>
      <c r="K47" s="832">
        <f t="array" ref="K47">SUM((IND.Tech!$AU$80:$AU$83=$C47) * (IND.Tech!$BG$79:$BP$79=K$45) * (IND.Tech!$BG$80:$BP$83))</f>
        <v>0.11179425751748885</v>
      </c>
      <c r="L47" s="832">
        <f t="array" ref="L47">SUM((IND.Tech!$AU$80:$AU$83=$C47) * (IND.Tech!$BG$79:$BP$79=L$45) * (IND.Tech!$BG$80:$BP$83))</f>
        <v>0.13085375565944279</v>
      </c>
      <c r="M47" s="832">
        <f t="array" ref="M47">SUM((IND.Tech!$AU$80:$AU$83=$C47) * (IND.Tech!$BG$79:$BP$79=M$45) * (IND.Tech!$BG$80:$BP$83))</f>
        <v>0.14300626775619521</v>
      </c>
      <c r="N47" s="832">
        <f t="array" ref="N47">SUM((IND.Tech!$AU$80:$AU$83=$C47) * (IND.Tech!$BG$79:$BP$79=N$45) * (IND.Tech!$BG$80:$BP$83))</f>
        <v>0.15</v>
      </c>
      <c r="O47" s="1025"/>
      <c r="P47" s="1025"/>
      <c r="Q47" s="1025"/>
      <c r="R47" s="1025"/>
      <c r="S47" s="1025"/>
      <c r="T47" s="1025"/>
      <c r="U47" s="1025"/>
      <c r="V47" s="1025"/>
      <c r="W47" s="1025"/>
      <c r="X47" s="1025"/>
      <c r="Y47" s="1025"/>
    </row>
    <row r="48" spans="2:26" ht="15">
      <c r="B48" s="106"/>
      <c r="C48" s="79">
        <v>3</v>
      </c>
      <c r="D48" s="336"/>
      <c r="E48" s="144">
        <v>0.9</v>
      </c>
      <c r="F48" s="832">
        <f t="array" ref="F48">SUM((IND.Tech!$AU$80:$AU$83=$C48) * (IND.Tech!$BG$79:$BP$79=F$45) * (IND.Tech!$BG$80:$BP$83))</f>
        <v>1.0500239170831965E-2</v>
      </c>
      <c r="G48" s="832">
        <f t="array" ref="G48">SUM((IND.Tech!$AU$80:$AU$83=$C48) * (IND.Tech!$BG$79:$BP$79=G$45) * (IND.Tech!$BG$80:$BP$83))</f>
        <v>3.2407162080368014E-2</v>
      </c>
      <c r="H48" s="832">
        <f t="array" ref="H48">SUM((IND.Tech!$AU$80:$AU$83=$C48) * (IND.Tech!$BG$79:$BP$79=H$45) * (IND.Tech!$BG$80:$BP$83))</f>
        <v>6.7620278326408809E-2</v>
      </c>
      <c r="I48" s="832">
        <f t="array" ref="I48">SUM((IND.Tech!$AU$80:$AU$83=$C48) * (IND.Tech!$BG$79:$BP$79=I$45) * (IND.Tech!$BG$80:$BP$83))</f>
        <v>0.1165679487939094</v>
      </c>
      <c r="J48" s="832">
        <f t="array" ref="J48">SUM((IND.Tech!$AU$80:$AU$83=$C48) * (IND.Tech!$BG$79:$BP$79=J$45) * (IND.Tech!$BG$80:$BP$83))</f>
        <v>0.17245896954409742</v>
      </c>
      <c r="K48" s="832">
        <f t="array" ref="K48">SUM((IND.Tech!$AU$80:$AU$83=$C48) * (IND.Tech!$BG$79:$BP$79=K$45) * (IND.Tech!$BG$80:$BP$83))</f>
        <v>0.2235885150349777</v>
      </c>
      <c r="L48" s="832">
        <f t="array" ref="L48">SUM((IND.Tech!$AU$80:$AU$83=$C48) * (IND.Tech!$BG$79:$BP$79=L$45) * (IND.Tech!$BG$80:$BP$83))</f>
        <v>0.26170751131888559</v>
      </c>
      <c r="M48" s="832">
        <f t="array" ref="M48">SUM((IND.Tech!$AU$80:$AU$83=$C48) * (IND.Tech!$BG$79:$BP$79=M$45) * (IND.Tech!$BG$80:$BP$83))</f>
        <v>0.28601253551239042</v>
      </c>
      <c r="N48" s="832">
        <f t="array" ref="N48">SUM((IND.Tech!$AU$80:$AU$83=$C48) * (IND.Tech!$BG$79:$BP$79=N$45) * (IND.Tech!$BG$80:$BP$83))</f>
        <v>0.3</v>
      </c>
      <c r="O48" s="1025"/>
      <c r="P48" s="1025"/>
      <c r="Q48" s="1025"/>
      <c r="R48" s="1025"/>
      <c r="S48" s="1025"/>
      <c r="T48" s="1025"/>
      <c r="U48" s="1025"/>
      <c r="V48" s="1025"/>
      <c r="W48" s="1025"/>
      <c r="X48" s="1025"/>
      <c r="Y48" s="1025"/>
    </row>
    <row r="49" spans="2:25" ht="15">
      <c r="B49" s="106"/>
      <c r="C49" s="1307">
        <v>4</v>
      </c>
      <c r="D49" s="1308"/>
      <c r="E49" s="159">
        <v>0.95</v>
      </c>
      <c r="F49" s="1309">
        <f t="array" ref="F49">SUM((IND.Tech!$AU$80:$AU$83=$C49) * (IND.Tech!$BG$79:$BP$79=F$45) * (IND.Tech!$BG$80:$BP$83))</f>
        <v>1.4000318894442622E-2</v>
      </c>
      <c r="G49" s="1309">
        <f t="array" ref="G49">SUM((IND.Tech!$AU$80:$AU$83=$C49) * (IND.Tech!$BG$79:$BP$79=G$45) * (IND.Tech!$BG$80:$BP$83))</f>
        <v>4.3209549440490692E-2</v>
      </c>
      <c r="H49" s="1309">
        <f t="array" ref="H49">SUM((IND.Tech!$AU$80:$AU$83=$C49) * (IND.Tech!$BG$79:$BP$79=H$45) * (IND.Tech!$BG$80:$BP$83))</f>
        <v>9.0160371101878412E-2</v>
      </c>
      <c r="I49" s="1309">
        <f t="array" ref="I49">SUM((IND.Tech!$AU$80:$AU$83=$C49) * (IND.Tech!$BG$79:$BP$79=I$45) * (IND.Tech!$BG$80:$BP$83))</f>
        <v>0.15542393172521254</v>
      </c>
      <c r="J49" s="1309">
        <f t="array" ref="J49">SUM((IND.Tech!$AU$80:$AU$83=$C49) * (IND.Tech!$BG$79:$BP$79=J$45) * (IND.Tech!$BG$80:$BP$83))</f>
        <v>0.22994529272546324</v>
      </c>
      <c r="K49" s="1309">
        <f t="array" ref="K49">SUM((IND.Tech!$AU$80:$AU$83=$C49) * (IND.Tech!$BG$79:$BP$79=K$45) * (IND.Tech!$BG$80:$BP$83))</f>
        <v>0.29811802004663696</v>
      </c>
      <c r="L49" s="1309">
        <f t="array" ref="L49">SUM((IND.Tech!$AU$80:$AU$83=$C49) * (IND.Tech!$BG$79:$BP$79=L$45) * (IND.Tech!$BG$80:$BP$83))</f>
        <v>0.34894334842518082</v>
      </c>
      <c r="M49" s="1309">
        <f t="array" ref="M49">SUM((IND.Tech!$AU$80:$AU$83=$C49) * (IND.Tech!$BG$79:$BP$79=M$45) * (IND.Tech!$BG$80:$BP$83))</f>
        <v>0.38135004734985389</v>
      </c>
      <c r="N49" s="1309">
        <f t="array" ref="N49">SUM((IND.Tech!$AU$80:$AU$83=$C49) * (IND.Tech!$BG$79:$BP$79=N$45) * (IND.Tech!$BG$80:$BP$83))</f>
        <v>0.4</v>
      </c>
      <c r="O49" s="1025"/>
      <c r="P49" s="1025"/>
      <c r="Q49" s="1025"/>
      <c r="R49" s="1025"/>
      <c r="S49" s="1025"/>
      <c r="T49" s="1025"/>
      <c r="U49" s="1025"/>
      <c r="V49" s="1025"/>
      <c r="W49" s="1025"/>
      <c r="X49" s="1025"/>
      <c r="Y49" s="1025"/>
    </row>
    <row r="50" spans="2:25" ht="15">
      <c r="B50" s="106"/>
      <c r="C50" s="79"/>
      <c r="D50" s="336"/>
      <c r="E50" s="336"/>
      <c r="F50" s="336"/>
      <c r="G50" s="336"/>
      <c r="H50" s="336"/>
      <c r="I50" s="336"/>
      <c r="J50" s="336"/>
      <c r="K50" s="336"/>
      <c r="L50" s="336"/>
      <c r="M50" s="336"/>
      <c r="N50" s="336"/>
      <c r="O50" s="1025"/>
      <c r="P50" s="1025"/>
      <c r="Q50" s="1025"/>
      <c r="R50" s="1025"/>
      <c r="S50" s="1025"/>
      <c r="T50" s="1025"/>
      <c r="U50" s="1025"/>
      <c r="V50" s="1025"/>
      <c r="W50" s="1025"/>
      <c r="X50" s="1025"/>
      <c r="Y50" s="1025"/>
    </row>
    <row r="51" spans="2:25" ht="15">
      <c r="B51" s="106"/>
      <c r="C51" s="392" t="s">
        <v>1998</v>
      </c>
      <c r="D51" s="336"/>
      <c r="E51" s="336"/>
      <c r="F51" s="336"/>
      <c r="G51" s="336"/>
      <c r="H51" s="336"/>
      <c r="I51" s="336"/>
      <c r="J51" s="336"/>
      <c r="K51" s="336"/>
      <c r="L51" s="336"/>
      <c r="M51" s="336"/>
      <c r="N51" s="336"/>
      <c r="O51" s="336"/>
      <c r="P51" s="1025"/>
      <c r="Q51" s="1025"/>
      <c r="R51" s="1025"/>
      <c r="S51" s="1025"/>
      <c r="T51" s="1025"/>
      <c r="U51" s="1025"/>
      <c r="V51" s="1025"/>
      <c r="W51" s="1025"/>
      <c r="X51" s="1025"/>
      <c r="Y51" s="1025"/>
    </row>
    <row r="52" spans="2:25" ht="15">
      <c r="B52" s="106"/>
      <c r="C52" s="84"/>
      <c r="D52" s="84"/>
      <c r="E52" s="84"/>
      <c r="F52" s="336"/>
      <c r="G52" s="336"/>
      <c r="H52" s="336"/>
      <c r="I52" s="336"/>
      <c r="J52" s="336"/>
      <c r="K52" s="336"/>
      <c r="L52" s="336"/>
      <c r="M52" s="336"/>
      <c r="N52" s="336"/>
      <c r="O52" s="336"/>
      <c r="P52" s="1025"/>
      <c r="Q52" s="1025"/>
      <c r="R52" s="1025"/>
      <c r="S52" s="1025"/>
      <c r="T52" s="1025"/>
      <c r="U52" s="1025"/>
      <c r="V52" s="1025"/>
      <c r="W52" s="1025"/>
      <c r="X52" s="1025"/>
      <c r="Y52" s="1025"/>
    </row>
    <row r="53" spans="2:25" ht="15">
      <c r="B53" s="106"/>
      <c r="C53" s="1025"/>
      <c r="D53" s="1025"/>
      <c r="E53" s="1026"/>
      <c r="F53" s="814" t="str">
        <f t="array" ref="F53:M53">TRANSPOSE(IND.Sector_ID)</f>
        <v>MI</v>
      </c>
      <c r="G53" s="814" t="str">
        <v>IS</v>
      </c>
      <c r="H53" s="814" t="str">
        <v>CP</v>
      </c>
      <c r="I53" s="814" t="str">
        <v>NF</v>
      </c>
      <c r="J53" s="814" t="str">
        <v>NM</v>
      </c>
      <c r="K53" s="814" t="str">
        <v>FB</v>
      </c>
      <c r="L53" s="814" t="str">
        <v>PP</v>
      </c>
      <c r="M53" s="814" t="str">
        <v>OT</v>
      </c>
      <c r="N53" s="336"/>
      <c r="O53" s="336"/>
      <c r="P53" s="1025"/>
      <c r="Q53" s="1025"/>
      <c r="R53" s="1025"/>
      <c r="S53" s="1025"/>
      <c r="T53" s="1025"/>
      <c r="U53" s="1025"/>
      <c r="V53" s="1025"/>
      <c r="W53" s="1025"/>
      <c r="X53" s="1025"/>
      <c r="Y53" s="1025"/>
    </row>
    <row r="54" spans="2:25" ht="26">
      <c r="B54" s="106"/>
      <c r="C54" s="699" t="s">
        <v>226</v>
      </c>
      <c r="D54" s="699" t="s">
        <v>394</v>
      </c>
      <c r="E54" s="818" t="s">
        <v>1828</v>
      </c>
      <c r="F54" s="818" t="str">
        <f>INDEX($D$33:$D$40,MATCH(F53,$C$33:$C$40,0))</f>
        <v>Mining SIC2</v>
      </c>
      <c r="G54" s="818" t="str">
        <f t="shared" ref="G54:M54" si="1">INDEX($D$33:$D$40,MATCH(G53,$C$33:$C$40,0))</f>
        <v>Iron  &amp; Steel  - 351</v>
      </c>
      <c r="H54" s="818" t="str">
        <f t="shared" si="1"/>
        <v>Chemicals  -33</v>
      </c>
      <c r="I54" s="818" t="str">
        <f t="shared" si="1"/>
        <v>Non-Ferrous metals  - 352</v>
      </c>
      <c r="J54" s="818" t="str">
        <f t="shared" si="1"/>
        <v>N.M.M Products  -34</v>
      </c>
      <c r="K54" s="818" t="str">
        <f t="shared" si="1"/>
        <v>Food, Beverage &amp; Tabacco  - 30</v>
      </c>
      <c r="L54" s="818" t="str">
        <f t="shared" si="1"/>
        <v>Pulp &amp; Paper Products  -323</v>
      </c>
      <c r="M54" s="818" t="str">
        <f t="shared" si="1"/>
        <v>Other</v>
      </c>
      <c r="N54" s="336"/>
      <c r="O54" s="336"/>
      <c r="P54" s="1025"/>
      <c r="Q54" s="1025"/>
      <c r="R54" s="1025"/>
      <c r="S54" s="1025"/>
      <c r="T54" s="1025"/>
      <c r="U54" s="1025"/>
      <c r="V54" s="1025"/>
      <c r="W54" s="1025"/>
      <c r="X54" s="1025"/>
      <c r="Y54" s="1025"/>
    </row>
    <row r="55" spans="2:25" ht="15">
      <c r="B55" s="106"/>
      <c r="C55" s="79" t="s">
        <v>13</v>
      </c>
      <c r="D55" s="79">
        <v>1</v>
      </c>
      <c r="E55" s="450" t="s">
        <v>869</v>
      </c>
      <c r="F55" s="1593">
        <f t="shared" ref="F55:M55" si="2">INDEX($H$163:$O$170,MATCH($E55,$G$163:$G$170,0),MATCH(F$53,$H$161:$O$161,0))</f>
        <v>5.76127028396256E-2</v>
      </c>
      <c r="G55" s="1027">
        <f t="shared" si="2"/>
        <v>0.16008611513731411</v>
      </c>
      <c r="H55" s="1027">
        <f t="shared" si="2"/>
        <v>0.56472413116897369</v>
      </c>
      <c r="I55" s="1027">
        <f t="shared" si="2"/>
        <v>0</v>
      </c>
      <c r="J55" s="1027">
        <f t="shared" si="2"/>
        <v>0.14083965025014095</v>
      </c>
      <c r="K55" s="1027">
        <f t="shared" si="2"/>
        <v>3.5953512850379725E-2</v>
      </c>
      <c r="L55" s="1027">
        <f t="shared" si="2"/>
        <v>3.282723441090795E-2</v>
      </c>
      <c r="M55" s="1027">
        <f t="shared" si="2"/>
        <v>5.7749322141788295E-2</v>
      </c>
      <c r="N55" s="336"/>
      <c r="O55" s="336"/>
      <c r="P55" s="1025"/>
      <c r="Q55" s="1025"/>
      <c r="R55" s="1025"/>
      <c r="S55" s="1025"/>
      <c r="T55" s="1025"/>
      <c r="U55" s="1025"/>
      <c r="V55" s="1025"/>
      <c r="W55" s="1025"/>
      <c r="X55" s="1025"/>
      <c r="Y55" s="1025"/>
    </row>
    <row r="56" spans="2:25" ht="15">
      <c r="B56" s="106"/>
      <c r="C56" s="336"/>
      <c r="D56" s="79">
        <v>2</v>
      </c>
      <c r="E56" s="450" t="s">
        <v>869</v>
      </c>
      <c r="F56" s="1593">
        <f t="shared" ref="F56:M56" si="3">MIN(IF(F$55,F$55*1.1,0.3*F$58), F$58)</f>
        <v>6.3373973123588168E-2</v>
      </c>
      <c r="G56" s="1593">
        <f t="shared" si="3"/>
        <v>0.17609472665104553</v>
      </c>
      <c r="H56" s="1593">
        <f t="shared" si="3"/>
        <v>0.62119654428587112</v>
      </c>
      <c r="I56" s="1593">
        <f t="shared" si="3"/>
        <v>0.03</v>
      </c>
      <c r="J56" s="1593">
        <f t="shared" si="3"/>
        <v>0.15492361527515505</v>
      </c>
      <c r="K56" s="1593">
        <f t="shared" si="3"/>
        <v>3.9548864135417701E-2</v>
      </c>
      <c r="L56" s="1593">
        <f t="shared" si="3"/>
        <v>3.6109957851998747E-2</v>
      </c>
      <c r="M56" s="1593">
        <f t="shared" si="3"/>
        <v>6.3524254355967133E-2</v>
      </c>
      <c r="N56" s="336"/>
      <c r="O56" s="336"/>
      <c r="P56" s="336"/>
      <c r="Q56" s="1025"/>
      <c r="R56" s="1025"/>
      <c r="S56" s="1025"/>
      <c r="T56" s="1025"/>
      <c r="U56" s="1025"/>
      <c r="V56" s="1025"/>
      <c r="W56" s="1025"/>
      <c r="X56" s="1025"/>
      <c r="Y56" s="1025"/>
    </row>
    <row r="57" spans="2:25" ht="15">
      <c r="B57" s="106"/>
      <c r="C57" s="336"/>
      <c r="D57" s="79">
        <v>3</v>
      </c>
      <c r="E57" s="450" t="s">
        <v>869</v>
      </c>
      <c r="F57" s="1027">
        <f t="shared" ref="F57:M57" si="4">AVERAGE(F56,F58)</f>
        <v>0.13168698656179409</v>
      </c>
      <c r="G57" s="1027">
        <f t="shared" si="4"/>
        <v>0.23804736332552276</v>
      </c>
      <c r="H57" s="1027">
        <f t="shared" si="4"/>
        <v>0.66559827214293554</v>
      </c>
      <c r="I57" s="1027">
        <f t="shared" si="4"/>
        <v>6.5000000000000002E-2</v>
      </c>
      <c r="J57" s="1027">
        <f t="shared" si="4"/>
        <v>0.22746180763757751</v>
      </c>
      <c r="K57" s="1027">
        <f t="shared" si="4"/>
        <v>0.11977443206770885</v>
      </c>
      <c r="L57" s="1027">
        <f t="shared" si="4"/>
        <v>0.11805497892599938</v>
      </c>
      <c r="M57" s="1027">
        <f t="shared" si="4"/>
        <v>0.18176212717798357</v>
      </c>
      <c r="N57" s="336"/>
      <c r="O57" s="336"/>
      <c r="P57" s="336"/>
      <c r="Q57" s="1025"/>
      <c r="R57" s="1025"/>
      <c r="S57" s="1025"/>
      <c r="T57" s="1025"/>
      <c r="U57" s="1025"/>
      <c r="V57" s="1025"/>
      <c r="W57" s="1025"/>
      <c r="X57" s="1025"/>
      <c r="Y57" s="1025"/>
    </row>
    <row r="58" spans="2:25" ht="15">
      <c r="B58" s="106"/>
      <c r="C58" s="336"/>
      <c r="D58" s="79">
        <v>4</v>
      </c>
      <c r="E58" s="470" t="s">
        <v>869</v>
      </c>
      <c r="F58" s="1306">
        <v>0.2</v>
      </c>
      <c r="G58" s="1306">
        <v>0.3</v>
      </c>
      <c r="H58" s="1306">
        <v>0.71</v>
      </c>
      <c r="I58" s="1306">
        <v>0.1</v>
      </c>
      <c r="J58" s="1306">
        <v>0.3</v>
      </c>
      <c r="K58" s="1306">
        <v>0.2</v>
      </c>
      <c r="L58" s="1306">
        <v>0.2</v>
      </c>
      <c r="M58" s="1306">
        <v>0.3</v>
      </c>
      <c r="N58" s="336"/>
      <c r="O58" s="336"/>
      <c r="P58" s="336"/>
      <c r="Q58" s="1025"/>
      <c r="R58" s="1025"/>
      <c r="S58" s="1025"/>
      <c r="T58" s="1025"/>
      <c r="U58" s="1025"/>
      <c r="V58" s="1025"/>
      <c r="W58" s="1025"/>
      <c r="X58" s="1025"/>
      <c r="Y58" s="1025"/>
    </row>
    <row r="59" spans="2:25" ht="15">
      <c r="B59" s="106"/>
      <c r="C59" s="79" t="s">
        <v>41</v>
      </c>
      <c r="D59" s="79">
        <v>1</v>
      </c>
      <c r="E59" s="450" t="s">
        <v>890</v>
      </c>
      <c r="F59" s="1027">
        <f t="shared" ref="F59:M59" si="5">INDEX($H$163:$O$170,MATCH($E59,$G$163:$G$170,0),MATCH(F$53,$H$161:$O$161,0))</f>
        <v>0</v>
      </c>
      <c r="G59" s="1027">
        <f t="shared" si="5"/>
        <v>0</v>
      </c>
      <c r="H59" s="1027">
        <f t="shared" si="5"/>
        <v>0</v>
      </c>
      <c r="I59" s="1027">
        <f t="shared" si="5"/>
        <v>0</v>
      </c>
      <c r="J59" s="1027">
        <f t="shared" si="5"/>
        <v>0</v>
      </c>
      <c r="K59" s="1027">
        <f t="shared" si="5"/>
        <v>0</v>
      </c>
      <c r="L59" s="1027">
        <f t="shared" si="5"/>
        <v>0</v>
      </c>
      <c r="M59" s="1027">
        <f t="shared" si="5"/>
        <v>0</v>
      </c>
      <c r="N59" s="336"/>
      <c r="O59" s="336"/>
      <c r="P59" s="336"/>
      <c r="Q59" s="1025"/>
      <c r="R59" s="1025"/>
      <c r="S59" s="1025"/>
      <c r="T59" s="1025"/>
      <c r="U59" s="1025"/>
      <c r="V59" s="1025"/>
      <c r="W59" s="1025"/>
      <c r="X59" s="1025"/>
      <c r="Y59" s="1025"/>
    </row>
    <row r="60" spans="2:25" ht="15">
      <c r="B60" s="106"/>
      <c r="C60" s="336"/>
      <c r="D60" s="79">
        <v>2</v>
      </c>
      <c r="E60" s="450" t="s">
        <v>890</v>
      </c>
      <c r="F60" s="1593">
        <f>MIN(IF(F$59,F$59*1.1,0.3*F$62), F$58)</f>
        <v>0.03</v>
      </c>
      <c r="G60" s="1593">
        <f t="shared" ref="G60:M60" si="6">MIN(IF(G$59,G$59*1.1,0.3*G$62), G$58)</f>
        <v>0.03</v>
      </c>
      <c r="H60" s="1593">
        <f t="shared" si="6"/>
        <v>0.03</v>
      </c>
      <c r="I60" s="1593">
        <f t="shared" si="6"/>
        <v>0.03</v>
      </c>
      <c r="J60" s="1593">
        <f t="shared" si="6"/>
        <v>0.03</v>
      </c>
      <c r="K60" s="1593">
        <f t="shared" si="6"/>
        <v>0.03</v>
      </c>
      <c r="L60" s="1593">
        <f t="shared" si="6"/>
        <v>0.03</v>
      </c>
      <c r="M60" s="1593">
        <f t="shared" si="6"/>
        <v>0.03</v>
      </c>
      <c r="N60" s="336"/>
      <c r="O60" s="336"/>
      <c r="P60" s="336"/>
      <c r="Q60" s="1025"/>
      <c r="R60" s="1025"/>
      <c r="S60" s="1025"/>
      <c r="T60" s="1025"/>
      <c r="U60" s="1025"/>
      <c r="V60" s="1025"/>
      <c r="W60" s="1025"/>
      <c r="X60" s="1025"/>
      <c r="Y60" s="1025"/>
    </row>
    <row r="61" spans="2:25" ht="15">
      <c r="B61" s="106"/>
      <c r="C61" s="336"/>
      <c r="D61" s="79">
        <v>3</v>
      </c>
      <c r="E61" s="450" t="s">
        <v>890</v>
      </c>
      <c r="F61" s="1027">
        <f t="shared" ref="F61:M61" si="7">AVERAGE(F60,F62)</f>
        <v>6.5000000000000002E-2</v>
      </c>
      <c r="G61" s="1027">
        <f t="shared" si="7"/>
        <v>6.5000000000000002E-2</v>
      </c>
      <c r="H61" s="1027">
        <f t="shared" si="7"/>
        <v>6.5000000000000002E-2</v>
      </c>
      <c r="I61" s="1027">
        <f t="shared" si="7"/>
        <v>6.5000000000000002E-2</v>
      </c>
      <c r="J61" s="1027">
        <f t="shared" si="7"/>
        <v>6.5000000000000002E-2</v>
      </c>
      <c r="K61" s="1027">
        <f t="shared" si="7"/>
        <v>6.5000000000000002E-2</v>
      </c>
      <c r="L61" s="1027">
        <f t="shared" si="7"/>
        <v>6.5000000000000002E-2</v>
      </c>
      <c r="M61" s="1027">
        <f t="shared" si="7"/>
        <v>6.5000000000000002E-2</v>
      </c>
      <c r="N61" s="336"/>
      <c r="O61" s="336"/>
      <c r="P61" s="336"/>
      <c r="Q61" s="1025"/>
      <c r="R61" s="1025"/>
      <c r="S61" s="1025"/>
      <c r="T61" s="1025"/>
      <c r="U61" s="1025"/>
      <c r="V61" s="1025"/>
      <c r="W61" s="1025"/>
      <c r="X61" s="1025"/>
      <c r="Y61" s="1025"/>
    </row>
    <row r="62" spans="2:25" ht="15">
      <c r="B62" s="106"/>
      <c r="C62" s="84"/>
      <c r="D62" s="813">
        <v>4</v>
      </c>
      <c r="E62" s="470" t="s">
        <v>890</v>
      </c>
      <c r="F62" s="1306">
        <v>0.1</v>
      </c>
      <c r="G62" s="1306">
        <v>0.1</v>
      </c>
      <c r="H62" s="1306">
        <v>0.1</v>
      </c>
      <c r="I62" s="1306">
        <v>0.1</v>
      </c>
      <c r="J62" s="1306">
        <v>0.1</v>
      </c>
      <c r="K62" s="1306">
        <v>0.1</v>
      </c>
      <c r="L62" s="1306">
        <v>0.1</v>
      </c>
      <c r="M62" s="1306">
        <v>0.1</v>
      </c>
      <c r="N62" s="336"/>
      <c r="O62" s="336"/>
      <c r="P62" s="336"/>
      <c r="Q62" s="336"/>
      <c r="R62" s="1025"/>
      <c r="S62" s="1025"/>
      <c r="T62" s="1025"/>
      <c r="U62" s="1025"/>
      <c r="V62" s="1025"/>
      <c r="W62" s="1025"/>
      <c r="X62" s="1025"/>
      <c r="Y62" s="1025"/>
    </row>
    <row r="63" spans="2:25" ht="15">
      <c r="B63" s="106"/>
      <c r="C63" s="336"/>
      <c r="D63" s="171"/>
      <c r="E63" s="687"/>
      <c r="F63" s="336"/>
      <c r="G63" s="336"/>
      <c r="H63" s="336"/>
      <c r="I63" s="336"/>
      <c r="J63" s="336"/>
      <c r="K63" s="336"/>
      <c r="L63" s="336"/>
      <c r="M63" s="336"/>
      <c r="N63" s="336"/>
      <c r="O63" s="336"/>
      <c r="P63" s="336"/>
      <c r="Q63" s="336"/>
      <c r="R63" s="1025"/>
      <c r="S63" s="1025"/>
      <c r="T63" s="1025"/>
      <c r="U63" s="1025"/>
      <c r="V63" s="1025"/>
      <c r="W63" s="1025"/>
      <c r="X63" s="1025"/>
      <c r="Y63" s="1025"/>
    </row>
    <row r="64" spans="2:25">
      <c r="B64" s="341"/>
      <c r="C64" s="339" t="s">
        <v>1903</v>
      </c>
      <c r="D64" s="687"/>
      <c r="E64" s="180"/>
      <c r="F64" s="180"/>
      <c r="G64" s="180"/>
      <c r="H64" s="338"/>
      <c r="I64" s="338"/>
      <c r="J64" s="338"/>
      <c r="K64" s="338"/>
      <c r="L64" s="338"/>
      <c r="M64" s="338"/>
      <c r="N64" s="338"/>
      <c r="O64" s="338"/>
      <c r="P64" s="338"/>
      <c r="Q64" s="338"/>
      <c r="R64" s="338"/>
      <c r="S64" s="338"/>
      <c r="T64" s="338"/>
      <c r="U64" s="338"/>
      <c r="V64" s="338"/>
      <c r="W64" s="338"/>
      <c r="X64" s="338"/>
      <c r="Y64" s="338"/>
    </row>
    <row r="65" spans="2:25">
      <c r="B65" s="341"/>
      <c r="C65" s="338"/>
      <c r="D65" s="687"/>
      <c r="E65" s="338"/>
      <c r="F65" s="830">
        <v>2010</v>
      </c>
      <c r="G65" s="830">
        <v>2010</v>
      </c>
      <c r="H65" s="830">
        <v>2010</v>
      </c>
      <c r="I65" s="830">
        <v>2010</v>
      </c>
      <c r="J65" s="456">
        <v>2020</v>
      </c>
      <c r="K65" s="456">
        <v>2020</v>
      </c>
      <c r="L65" s="456">
        <v>2020</v>
      </c>
      <c r="M65" s="456">
        <v>2020</v>
      </c>
      <c r="N65" s="1087">
        <v>2030</v>
      </c>
      <c r="O65" s="1087">
        <v>2030</v>
      </c>
      <c r="P65" s="1087">
        <v>2030</v>
      </c>
      <c r="Q65" s="1087">
        <v>2030</v>
      </c>
      <c r="R65" s="827">
        <v>2040</v>
      </c>
      <c r="S65" s="827">
        <v>2040</v>
      </c>
      <c r="T65" s="827">
        <v>2040</v>
      </c>
      <c r="U65" s="827">
        <v>2040</v>
      </c>
      <c r="V65" s="827">
        <v>2050</v>
      </c>
      <c r="W65" s="827">
        <v>2050</v>
      </c>
      <c r="X65" s="827">
        <v>2050</v>
      </c>
      <c r="Y65" s="827">
        <v>2050</v>
      </c>
    </row>
    <row r="66" spans="2:25" ht="14">
      <c r="B66" s="341"/>
      <c r="C66" s="61" t="s">
        <v>58</v>
      </c>
      <c r="D66" s="690" t="s">
        <v>59</v>
      </c>
      <c r="E66" s="223">
        <f>Base_Year</f>
        <v>2006</v>
      </c>
      <c r="F66" s="182">
        <v>1</v>
      </c>
      <c r="G66" s="156">
        <v>2</v>
      </c>
      <c r="H66" s="156">
        <v>3</v>
      </c>
      <c r="I66" s="156">
        <v>4</v>
      </c>
      <c r="J66" s="829">
        <v>1</v>
      </c>
      <c r="K66" s="828">
        <v>2</v>
      </c>
      <c r="L66" s="828">
        <v>3</v>
      </c>
      <c r="M66" s="828">
        <v>4</v>
      </c>
      <c r="N66" s="182">
        <v>1</v>
      </c>
      <c r="O66" s="156">
        <v>2</v>
      </c>
      <c r="P66" s="156">
        <v>3</v>
      </c>
      <c r="Q66" s="156">
        <v>4</v>
      </c>
      <c r="R66" s="182">
        <v>1</v>
      </c>
      <c r="S66" s="156">
        <v>2</v>
      </c>
      <c r="T66" s="156">
        <v>3</v>
      </c>
      <c r="U66" s="156">
        <v>4</v>
      </c>
      <c r="V66" s="182">
        <v>1</v>
      </c>
      <c r="W66" s="156">
        <v>2</v>
      </c>
      <c r="X66" s="156">
        <v>3</v>
      </c>
      <c r="Y66" s="156">
        <v>4</v>
      </c>
    </row>
    <row r="67" spans="2:25">
      <c r="B67" s="341"/>
      <c r="C67" s="336" t="str">
        <f t="shared" ref="C67:D74" si="8">C20</f>
        <v>MI</v>
      </c>
      <c r="D67" s="336" t="str">
        <f t="shared" si="8"/>
        <v>Mining SIC2</v>
      </c>
      <c r="E67" s="336"/>
      <c r="F67" s="77">
        <f t="array" ref="F67">SUM((IND.Tech!$AJ$94:$BS$94=$F$65)*(IND.Tech!$AJ$93:$BS$93=F$66)*(IND.Tech!$B$258:$B$265=$C67)*(IND.Tech!$AJ$258:$BS$265))</f>
        <v>0</v>
      </c>
      <c r="G67" s="77">
        <f t="array" ref="G67">SUM((IND.Tech!$AJ$94:$BS$94=$F$65)*(IND.Tech!$AJ$93:$BS$93=G$66)*(IND.Tech!$B$258:$B$265=$C67)*(IND.Tech!$AJ$258:$BS$265))</f>
        <v>0</v>
      </c>
      <c r="H67" s="77">
        <f t="array" ref="H67">SUM((IND.Tech!$AJ$94:$BS$94=$F$65)*(IND.Tech!$AJ$93:$BS$93=H$66)*(IND.Tech!$B$258:$B$265=$C67)*(IND.Tech!$AJ$258:$BS$265))</f>
        <v>0</v>
      </c>
      <c r="I67" s="77">
        <f t="array" ref="I67">SUM((IND.Tech!$AJ$94:$BS$94=$F$65)*(IND.Tech!$AJ$93:$BS$93=I$66)*(IND.Tech!$B$258:$B$265=$C67)*(IND.Tech!$AJ$258:$BS$265))</f>
        <v>0</v>
      </c>
      <c r="J67" s="77">
        <f t="array" ref="J67">SUM((IND.Tech!$AJ$94:$BS$94=$J$65)*(IND.Tech!$AJ$93:$BS$93=J$66)*(IND.Tech!$B$258:$B$265=$C67)*(IND.Tech!$AJ$258:$BS$265))</f>
        <v>0</v>
      </c>
      <c r="K67" s="77">
        <f t="array" ref="K67">SUM((IND.Tech!$AJ$94:$BS$94=$J$65)*(IND.Tech!$AJ$93:$BS$93=K$66)*(IND.Tech!$B$258:$B$265=$C67)*(IND.Tech!$AJ$258:$BS$265))</f>
        <v>1.5625E-2</v>
      </c>
      <c r="L67" s="77">
        <f t="array" ref="L67">SUM((IND.Tech!$AJ$94:$BS$94=$J$65)*(IND.Tech!$AJ$93:$BS$93=L$66)*(IND.Tech!$B$258:$B$265=$C67)*(IND.Tech!$AJ$258:$BS$265))</f>
        <v>3.125E-2</v>
      </c>
      <c r="M67" s="77">
        <f t="array" ref="M67">SUM((IND.Tech!$AJ$94:$BS$94=$J$65)*(IND.Tech!$AJ$93:$BS$93=M$66)*(IND.Tech!$B$258:$B$265=$C67)*(IND.Tech!$AJ$258:$BS$265))</f>
        <v>6.25E-2</v>
      </c>
      <c r="N67" s="77">
        <f t="array" ref="N67">SUM((IND.Tech!$AJ$94:$BS$94=$N$65)*(IND.Tech!$AJ$93:$BS$93=N$66)*(IND.Tech!$B$258:$B$265=$C67)*(IND.Tech!$AJ$258:$BS$265))</f>
        <v>0</v>
      </c>
      <c r="O67" s="77">
        <f t="array" ref="O67">SUM((IND.Tech!$AJ$94:$BS$94=$N$65)*(IND.Tech!$AJ$93:$BS$93=O$66)*(IND.Tech!$B$258:$B$265=$C67)*(IND.Tech!$AJ$258:$BS$265))</f>
        <v>3.125E-2</v>
      </c>
      <c r="P67" s="77">
        <f t="array" ref="P67">SUM((IND.Tech!$AJ$94:$BS$94=$N$65)*(IND.Tech!$AJ$93:$BS$93=P$66)*(IND.Tech!$B$258:$B$265=$C67)*(IND.Tech!$AJ$258:$BS$265))</f>
        <v>6.25E-2</v>
      </c>
      <c r="Q67" s="77">
        <f t="array" ref="Q67">SUM((IND.Tech!$AJ$94:$BS$94=$N$65)*(IND.Tech!$AJ$93:$BS$93=Q$66)*(IND.Tech!$B$258:$B$265=$C67)*(IND.Tech!$AJ$258:$BS$265))</f>
        <v>0.125</v>
      </c>
      <c r="R67" s="77">
        <f t="array" ref="R67">SUM((IND.Tech!$AJ$94:$BS$94=$R$65)*(IND.Tech!$AJ$93:$BS$93=R$66)*(IND.Tech!$B$258:$B$265=$C67)*(IND.Tech!$AJ$258:$BS$265))</f>
        <v>0</v>
      </c>
      <c r="S67" s="77">
        <f t="array" ref="S67">SUM((IND.Tech!$AJ$94:$BS$94=$R$65)*(IND.Tech!$AJ$93:$BS$93=S$66)*(IND.Tech!$B$258:$B$265=$C67)*(IND.Tech!$AJ$258:$BS$265))</f>
        <v>6.25E-2</v>
      </c>
      <c r="T67" s="77">
        <f t="array" ref="T67">SUM((IND.Tech!$AJ$94:$BS$94=$R$65)*(IND.Tech!$AJ$93:$BS$93=T$66)*(IND.Tech!$B$258:$B$265=$C67)*(IND.Tech!$AJ$258:$BS$265))</f>
        <v>0.125</v>
      </c>
      <c r="U67" s="77">
        <f t="array" ref="U67">SUM((IND.Tech!$AJ$94:$BS$94=$R$65)*(IND.Tech!$AJ$93:$BS$93=U$66)*(IND.Tech!$B$258:$B$265=$C67)*(IND.Tech!$AJ$258:$BS$265))</f>
        <v>0.25</v>
      </c>
      <c r="V67" s="77">
        <f t="array" ref="V67">SUM((IND.Tech!$AJ$94:$BS$94=$V$65)*(IND.Tech!$AJ$93:$BS$93=V$66)*(IND.Tech!$B$258:$B$265=$C67)*(IND.Tech!$AJ$258:$BS$265))</f>
        <v>0</v>
      </c>
      <c r="W67" s="77">
        <f t="array" ref="W67">SUM((IND.Tech!$AJ$94:$BS$94=$V$65)*(IND.Tech!$AJ$93:$BS$93=W$66)*(IND.Tech!$B$258:$B$265=$C67)*(IND.Tech!$AJ$258:$BS$265))</f>
        <v>0.125</v>
      </c>
      <c r="X67" s="77">
        <f t="array" ref="X67">SUM((IND.Tech!$AJ$94:$BS$94=$V$65)*(IND.Tech!$AJ$93:$BS$93=X$66)*(IND.Tech!$B$258:$B$265=$C67)*(IND.Tech!$AJ$258:$BS$265))</f>
        <v>0.25</v>
      </c>
      <c r="Y67" s="77">
        <f t="array" ref="Y67">SUM((IND.Tech!$AJ$94:$BS$94=$V$65)*(IND.Tech!$AJ$93:$BS$93=Y$66)*(IND.Tech!$B$258:$B$265=$C67)*(IND.Tech!$AJ$258:$BS$265))</f>
        <v>0.5</v>
      </c>
    </row>
    <row r="68" spans="2:25">
      <c r="B68" s="341"/>
      <c r="C68" s="336" t="str">
        <f t="shared" si="8"/>
        <v>IS</v>
      </c>
      <c r="D68" s="336" t="str">
        <f t="shared" si="8"/>
        <v>Iron  &amp; Steel  - 351</v>
      </c>
      <c r="E68" s="338"/>
      <c r="F68" s="77">
        <f t="array" ref="F68">SUM((IND.Tech!$AJ$94:$BS$94=$F$65)*(IND.Tech!$AJ$93:$BS$93=F$66)*(IND.Tech!$B$258:$B$265=$C68)*(IND.Tech!$AJ$258:$BS$265))</f>
        <v>0</v>
      </c>
      <c r="G68" s="77">
        <f t="array" ref="G68">SUM((IND.Tech!$AJ$94:$BS$94=$F$65)*(IND.Tech!$AJ$93:$BS$93=G$66)*(IND.Tech!$B$258:$B$265=$C68)*(IND.Tech!$AJ$258:$BS$265))</f>
        <v>0</v>
      </c>
      <c r="H68" s="77">
        <f t="array" ref="H68">SUM((IND.Tech!$AJ$94:$BS$94=$F$65)*(IND.Tech!$AJ$93:$BS$93=H$66)*(IND.Tech!$B$258:$B$265=$C68)*(IND.Tech!$AJ$258:$BS$265))</f>
        <v>0</v>
      </c>
      <c r="I68" s="77">
        <f t="array" ref="I68">SUM((IND.Tech!$AJ$94:$BS$94=$F$65)*(IND.Tech!$AJ$93:$BS$93=I$66)*(IND.Tech!$B$258:$B$265=$C68)*(IND.Tech!$AJ$258:$BS$265))</f>
        <v>0</v>
      </c>
      <c r="J68" s="77">
        <f t="array" ref="J68">SUM((IND.Tech!$AJ$94:$BS$94=$J$65)*(IND.Tech!$AJ$93:$BS$93=J$66)*(IND.Tech!$B$258:$B$265=$C68)*(IND.Tech!$AJ$258:$BS$265))</f>
        <v>0</v>
      </c>
      <c r="K68" s="77">
        <f t="array" ref="K68">SUM((IND.Tech!$AJ$94:$BS$94=$J$65)*(IND.Tech!$AJ$93:$BS$93=K$66)*(IND.Tech!$B$258:$B$265=$C68)*(IND.Tech!$AJ$258:$BS$265))</f>
        <v>1.5625E-2</v>
      </c>
      <c r="L68" s="77">
        <f t="array" ref="L68">SUM((IND.Tech!$AJ$94:$BS$94=$J$65)*(IND.Tech!$AJ$93:$BS$93=L$66)*(IND.Tech!$B$258:$B$265=$C68)*(IND.Tech!$AJ$258:$BS$265))</f>
        <v>3.125E-2</v>
      </c>
      <c r="M68" s="77">
        <f t="array" ref="M68">SUM((IND.Tech!$AJ$94:$BS$94=$J$65)*(IND.Tech!$AJ$93:$BS$93=M$66)*(IND.Tech!$B$258:$B$265=$C68)*(IND.Tech!$AJ$258:$BS$265))</f>
        <v>6.25E-2</v>
      </c>
      <c r="N68" s="77">
        <f t="array" ref="N68">SUM((IND.Tech!$AJ$94:$BS$94=$N$65)*(IND.Tech!$AJ$93:$BS$93=N$66)*(IND.Tech!$B$258:$B$265=$C68)*(IND.Tech!$AJ$258:$BS$265))</f>
        <v>0</v>
      </c>
      <c r="O68" s="77">
        <f t="array" ref="O68">SUM((IND.Tech!$AJ$94:$BS$94=$N$65)*(IND.Tech!$AJ$93:$BS$93=O$66)*(IND.Tech!$B$258:$B$265=$C68)*(IND.Tech!$AJ$258:$BS$265))</f>
        <v>3.125E-2</v>
      </c>
      <c r="P68" s="77">
        <f t="array" ref="P68">SUM((IND.Tech!$AJ$94:$BS$94=$N$65)*(IND.Tech!$AJ$93:$BS$93=P$66)*(IND.Tech!$B$258:$B$265=$C68)*(IND.Tech!$AJ$258:$BS$265))</f>
        <v>6.25E-2</v>
      </c>
      <c r="Q68" s="77">
        <f t="array" ref="Q68">SUM((IND.Tech!$AJ$94:$BS$94=$N$65)*(IND.Tech!$AJ$93:$BS$93=Q$66)*(IND.Tech!$B$258:$B$265=$C68)*(IND.Tech!$AJ$258:$BS$265))</f>
        <v>0.125</v>
      </c>
      <c r="R68" s="77">
        <f t="array" ref="R68">SUM((IND.Tech!$AJ$94:$BS$94=$R$65)*(IND.Tech!$AJ$93:$BS$93=R$66)*(IND.Tech!$B$258:$B$265=$C68)*(IND.Tech!$AJ$258:$BS$265))</f>
        <v>0</v>
      </c>
      <c r="S68" s="77">
        <f t="array" ref="S68">SUM((IND.Tech!$AJ$94:$BS$94=$R$65)*(IND.Tech!$AJ$93:$BS$93=S$66)*(IND.Tech!$B$258:$B$265=$C68)*(IND.Tech!$AJ$258:$BS$265))</f>
        <v>6.25E-2</v>
      </c>
      <c r="T68" s="77">
        <f t="array" ref="T68">SUM((IND.Tech!$AJ$94:$BS$94=$R$65)*(IND.Tech!$AJ$93:$BS$93=T$66)*(IND.Tech!$B$258:$B$265=$C68)*(IND.Tech!$AJ$258:$BS$265))</f>
        <v>0.125</v>
      </c>
      <c r="U68" s="77">
        <f t="array" ref="U68">SUM((IND.Tech!$AJ$94:$BS$94=$R$65)*(IND.Tech!$AJ$93:$BS$93=U$66)*(IND.Tech!$B$258:$B$265=$C68)*(IND.Tech!$AJ$258:$BS$265))</f>
        <v>0.25</v>
      </c>
      <c r="V68" s="77">
        <f t="array" ref="V68">SUM((IND.Tech!$AJ$94:$BS$94=$V$65)*(IND.Tech!$AJ$93:$BS$93=V$66)*(IND.Tech!$B$258:$B$265=$C68)*(IND.Tech!$AJ$258:$BS$265))</f>
        <v>0</v>
      </c>
      <c r="W68" s="77">
        <f t="array" ref="W68">SUM((IND.Tech!$AJ$94:$BS$94=$V$65)*(IND.Tech!$AJ$93:$BS$93=W$66)*(IND.Tech!$B$258:$B$265=$C68)*(IND.Tech!$AJ$258:$BS$265))</f>
        <v>0.125</v>
      </c>
      <c r="X68" s="77">
        <f t="array" ref="X68">SUM((IND.Tech!$AJ$94:$BS$94=$V$65)*(IND.Tech!$AJ$93:$BS$93=X$66)*(IND.Tech!$B$258:$B$265=$C68)*(IND.Tech!$AJ$258:$BS$265))</f>
        <v>0.25</v>
      </c>
      <c r="Y68" s="77">
        <f t="array" ref="Y68">SUM((IND.Tech!$AJ$94:$BS$94=$V$65)*(IND.Tech!$AJ$93:$BS$93=Y$66)*(IND.Tech!$B$258:$B$265=$C68)*(IND.Tech!$AJ$258:$BS$265))</f>
        <v>0.5</v>
      </c>
    </row>
    <row r="69" spans="2:25">
      <c r="B69" s="341"/>
      <c r="C69" s="336" t="str">
        <f t="shared" si="8"/>
        <v>CP</v>
      </c>
      <c r="D69" s="336" t="str">
        <f t="shared" si="8"/>
        <v>Chemicals  -33</v>
      </c>
      <c r="E69" s="338"/>
      <c r="F69" s="77">
        <f t="array" ref="F69">SUM((IND.Tech!$AJ$94:$BS$94=$F$65)*(IND.Tech!$AJ$93:$BS$93=F$66)*(IND.Tech!$B$258:$B$265=$C69)*(IND.Tech!$AJ$258:$BS$265))</f>
        <v>0</v>
      </c>
      <c r="G69" s="77">
        <f t="array" ref="G69">SUM((IND.Tech!$AJ$94:$BS$94=$F$65)*(IND.Tech!$AJ$93:$BS$93=G$66)*(IND.Tech!$B$258:$B$265=$C69)*(IND.Tech!$AJ$258:$BS$265))</f>
        <v>0</v>
      </c>
      <c r="H69" s="77">
        <f t="array" ref="H69">SUM((IND.Tech!$AJ$94:$BS$94=$F$65)*(IND.Tech!$AJ$93:$BS$93=H$66)*(IND.Tech!$B$258:$B$265=$C69)*(IND.Tech!$AJ$258:$BS$265))</f>
        <v>0</v>
      </c>
      <c r="I69" s="77">
        <f t="array" ref="I69">SUM((IND.Tech!$AJ$94:$BS$94=$F$65)*(IND.Tech!$AJ$93:$BS$93=I$66)*(IND.Tech!$B$258:$B$265=$C69)*(IND.Tech!$AJ$258:$BS$265))</f>
        <v>0</v>
      </c>
      <c r="J69" s="77">
        <f t="array" ref="J69">SUM((IND.Tech!$AJ$94:$BS$94=$J$65)*(IND.Tech!$AJ$93:$BS$93=J$66)*(IND.Tech!$B$258:$B$265=$C69)*(IND.Tech!$AJ$258:$BS$265))</f>
        <v>0</v>
      </c>
      <c r="K69" s="77">
        <f t="array" ref="K69">SUM((IND.Tech!$AJ$94:$BS$94=$J$65)*(IND.Tech!$AJ$93:$BS$93=K$66)*(IND.Tech!$B$258:$B$265=$C69)*(IND.Tech!$AJ$258:$BS$265))</f>
        <v>1.5625E-2</v>
      </c>
      <c r="L69" s="77">
        <f t="array" ref="L69">SUM((IND.Tech!$AJ$94:$BS$94=$J$65)*(IND.Tech!$AJ$93:$BS$93=L$66)*(IND.Tech!$B$258:$B$265=$C69)*(IND.Tech!$AJ$258:$BS$265))</f>
        <v>3.125E-2</v>
      </c>
      <c r="M69" s="77">
        <f t="array" ref="M69">SUM((IND.Tech!$AJ$94:$BS$94=$J$65)*(IND.Tech!$AJ$93:$BS$93=M$66)*(IND.Tech!$B$258:$B$265=$C69)*(IND.Tech!$AJ$258:$BS$265))</f>
        <v>6.25E-2</v>
      </c>
      <c r="N69" s="77">
        <f t="array" ref="N69">SUM((IND.Tech!$AJ$94:$BS$94=$N$65)*(IND.Tech!$AJ$93:$BS$93=N$66)*(IND.Tech!$B$258:$B$265=$C69)*(IND.Tech!$AJ$258:$BS$265))</f>
        <v>0</v>
      </c>
      <c r="O69" s="77">
        <f t="array" ref="O69">SUM((IND.Tech!$AJ$94:$BS$94=$N$65)*(IND.Tech!$AJ$93:$BS$93=O$66)*(IND.Tech!$B$258:$B$265=$C69)*(IND.Tech!$AJ$258:$BS$265))</f>
        <v>3.125E-2</v>
      </c>
      <c r="P69" s="77">
        <f t="array" ref="P69">SUM((IND.Tech!$AJ$94:$BS$94=$N$65)*(IND.Tech!$AJ$93:$BS$93=P$66)*(IND.Tech!$B$258:$B$265=$C69)*(IND.Tech!$AJ$258:$BS$265))</f>
        <v>6.25E-2</v>
      </c>
      <c r="Q69" s="77">
        <f t="array" ref="Q69">SUM((IND.Tech!$AJ$94:$BS$94=$N$65)*(IND.Tech!$AJ$93:$BS$93=Q$66)*(IND.Tech!$B$258:$B$265=$C69)*(IND.Tech!$AJ$258:$BS$265))</f>
        <v>0.125</v>
      </c>
      <c r="R69" s="77">
        <f t="array" ref="R69">SUM((IND.Tech!$AJ$94:$BS$94=$R$65)*(IND.Tech!$AJ$93:$BS$93=R$66)*(IND.Tech!$B$258:$B$265=$C69)*(IND.Tech!$AJ$258:$BS$265))</f>
        <v>0</v>
      </c>
      <c r="S69" s="77">
        <f t="array" ref="S69">SUM((IND.Tech!$AJ$94:$BS$94=$R$65)*(IND.Tech!$AJ$93:$BS$93=S$66)*(IND.Tech!$B$258:$B$265=$C69)*(IND.Tech!$AJ$258:$BS$265))</f>
        <v>6.25E-2</v>
      </c>
      <c r="T69" s="77">
        <f t="array" ref="T69">SUM((IND.Tech!$AJ$94:$BS$94=$R$65)*(IND.Tech!$AJ$93:$BS$93=T$66)*(IND.Tech!$B$258:$B$265=$C69)*(IND.Tech!$AJ$258:$BS$265))</f>
        <v>0.125</v>
      </c>
      <c r="U69" s="77">
        <f t="array" ref="U69">SUM((IND.Tech!$AJ$94:$BS$94=$R$65)*(IND.Tech!$AJ$93:$BS$93=U$66)*(IND.Tech!$B$258:$B$265=$C69)*(IND.Tech!$AJ$258:$BS$265))</f>
        <v>0.25</v>
      </c>
      <c r="V69" s="77">
        <f t="array" ref="V69">SUM((IND.Tech!$AJ$94:$BS$94=$V$65)*(IND.Tech!$AJ$93:$BS$93=V$66)*(IND.Tech!$B$258:$B$265=$C69)*(IND.Tech!$AJ$258:$BS$265))</f>
        <v>0</v>
      </c>
      <c r="W69" s="77">
        <f t="array" ref="W69">SUM((IND.Tech!$AJ$94:$BS$94=$V$65)*(IND.Tech!$AJ$93:$BS$93=W$66)*(IND.Tech!$B$258:$B$265=$C69)*(IND.Tech!$AJ$258:$BS$265))</f>
        <v>0.125</v>
      </c>
      <c r="X69" s="77">
        <f t="array" ref="X69">SUM((IND.Tech!$AJ$94:$BS$94=$V$65)*(IND.Tech!$AJ$93:$BS$93=X$66)*(IND.Tech!$B$258:$B$265=$C69)*(IND.Tech!$AJ$258:$BS$265))</f>
        <v>0.25</v>
      </c>
      <c r="Y69" s="77">
        <f t="array" ref="Y69">SUM((IND.Tech!$AJ$94:$BS$94=$V$65)*(IND.Tech!$AJ$93:$BS$93=Y$66)*(IND.Tech!$B$258:$B$265=$C69)*(IND.Tech!$AJ$258:$BS$265))</f>
        <v>0.5</v>
      </c>
    </row>
    <row r="70" spans="2:25">
      <c r="B70" s="341"/>
      <c r="C70" s="336" t="str">
        <f t="shared" si="8"/>
        <v>NF</v>
      </c>
      <c r="D70" s="336" t="str">
        <f t="shared" si="8"/>
        <v>Non-Ferrous metals  - 352</v>
      </c>
      <c r="E70" s="338"/>
      <c r="F70" s="77">
        <f t="array" ref="F70">SUM((IND.Tech!$AJ$94:$BS$94=$F$65)*(IND.Tech!$AJ$93:$BS$93=F$66)*(IND.Tech!$B$258:$B$265=$C70)*(IND.Tech!$AJ$258:$BS$265))</f>
        <v>0</v>
      </c>
      <c r="G70" s="77">
        <f t="array" ref="G70">SUM((IND.Tech!$AJ$94:$BS$94=$F$65)*(IND.Tech!$AJ$93:$BS$93=G$66)*(IND.Tech!$B$258:$B$265=$C70)*(IND.Tech!$AJ$258:$BS$265))</f>
        <v>0</v>
      </c>
      <c r="H70" s="77">
        <f t="array" ref="H70">SUM((IND.Tech!$AJ$94:$BS$94=$F$65)*(IND.Tech!$AJ$93:$BS$93=H$66)*(IND.Tech!$B$258:$B$265=$C70)*(IND.Tech!$AJ$258:$BS$265))</f>
        <v>0</v>
      </c>
      <c r="I70" s="77">
        <f t="array" ref="I70">SUM((IND.Tech!$AJ$94:$BS$94=$F$65)*(IND.Tech!$AJ$93:$BS$93=I$66)*(IND.Tech!$B$258:$B$265=$C70)*(IND.Tech!$AJ$258:$BS$265))</f>
        <v>0</v>
      </c>
      <c r="J70" s="77">
        <f t="array" ref="J70">SUM((IND.Tech!$AJ$94:$BS$94=$J$65)*(IND.Tech!$AJ$93:$BS$93=J$66)*(IND.Tech!$B$258:$B$265=$C70)*(IND.Tech!$AJ$258:$BS$265))</f>
        <v>0</v>
      </c>
      <c r="K70" s="77">
        <f t="array" ref="K70">SUM((IND.Tech!$AJ$94:$BS$94=$J$65)*(IND.Tech!$AJ$93:$BS$93=K$66)*(IND.Tech!$B$258:$B$265=$C70)*(IND.Tech!$AJ$258:$BS$265))</f>
        <v>1.5625E-2</v>
      </c>
      <c r="L70" s="77">
        <f t="array" ref="L70">SUM((IND.Tech!$AJ$94:$BS$94=$J$65)*(IND.Tech!$AJ$93:$BS$93=L$66)*(IND.Tech!$B$258:$B$265=$C70)*(IND.Tech!$AJ$258:$BS$265))</f>
        <v>3.125E-2</v>
      </c>
      <c r="M70" s="77">
        <f t="array" ref="M70">SUM((IND.Tech!$AJ$94:$BS$94=$J$65)*(IND.Tech!$AJ$93:$BS$93=M$66)*(IND.Tech!$B$258:$B$265=$C70)*(IND.Tech!$AJ$258:$BS$265))</f>
        <v>6.25E-2</v>
      </c>
      <c r="N70" s="77">
        <f t="array" ref="N70">SUM((IND.Tech!$AJ$94:$BS$94=$N$65)*(IND.Tech!$AJ$93:$BS$93=N$66)*(IND.Tech!$B$258:$B$265=$C70)*(IND.Tech!$AJ$258:$BS$265))</f>
        <v>0</v>
      </c>
      <c r="O70" s="77">
        <f t="array" ref="O70">SUM((IND.Tech!$AJ$94:$BS$94=$N$65)*(IND.Tech!$AJ$93:$BS$93=O$66)*(IND.Tech!$B$258:$B$265=$C70)*(IND.Tech!$AJ$258:$BS$265))</f>
        <v>3.125E-2</v>
      </c>
      <c r="P70" s="77">
        <f t="array" ref="P70">SUM((IND.Tech!$AJ$94:$BS$94=$N$65)*(IND.Tech!$AJ$93:$BS$93=P$66)*(IND.Tech!$B$258:$B$265=$C70)*(IND.Tech!$AJ$258:$BS$265))</f>
        <v>6.25E-2</v>
      </c>
      <c r="Q70" s="77">
        <f t="array" ref="Q70">SUM((IND.Tech!$AJ$94:$BS$94=$N$65)*(IND.Tech!$AJ$93:$BS$93=Q$66)*(IND.Tech!$B$258:$B$265=$C70)*(IND.Tech!$AJ$258:$BS$265))</f>
        <v>0.125</v>
      </c>
      <c r="R70" s="77">
        <f t="array" ref="R70">SUM((IND.Tech!$AJ$94:$BS$94=$R$65)*(IND.Tech!$AJ$93:$BS$93=R$66)*(IND.Tech!$B$258:$B$265=$C70)*(IND.Tech!$AJ$258:$BS$265))</f>
        <v>0</v>
      </c>
      <c r="S70" s="77">
        <f t="array" ref="S70">SUM((IND.Tech!$AJ$94:$BS$94=$R$65)*(IND.Tech!$AJ$93:$BS$93=S$66)*(IND.Tech!$B$258:$B$265=$C70)*(IND.Tech!$AJ$258:$BS$265))</f>
        <v>6.25E-2</v>
      </c>
      <c r="T70" s="77">
        <f t="array" ref="T70">SUM((IND.Tech!$AJ$94:$BS$94=$R$65)*(IND.Tech!$AJ$93:$BS$93=T$66)*(IND.Tech!$B$258:$B$265=$C70)*(IND.Tech!$AJ$258:$BS$265))</f>
        <v>0.125</v>
      </c>
      <c r="U70" s="77">
        <f t="array" ref="U70">SUM((IND.Tech!$AJ$94:$BS$94=$R$65)*(IND.Tech!$AJ$93:$BS$93=U$66)*(IND.Tech!$B$258:$B$265=$C70)*(IND.Tech!$AJ$258:$BS$265))</f>
        <v>0.25</v>
      </c>
      <c r="V70" s="77">
        <f t="array" ref="V70">SUM((IND.Tech!$AJ$94:$BS$94=$V$65)*(IND.Tech!$AJ$93:$BS$93=V$66)*(IND.Tech!$B$258:$B$265=$C70)*(IND.Tech!$AJ$258:$BS$265))</f>
        <v>0</v>
      </c>
      <c r="W70" s="77">
        <f t="array" ref="W70">SUM((IND.Tech!$AJ$94:$BS$94=$V$65)*(IND.Tech!$AJ$93:$BS$93=W$66)*(IND.Tech!$B$258:$B$265=$C70)*(IND.Tech!$AJ$258:$BS$265))</f>
        <v>0.125</v>
      </c>
      <c r="X70" s="77">
        <f t="array" ref="X70">SUM((IND.Tech!$AJ$94:$BS$94=$V$65)*(IND.Tech!$AJ$93:$BS$93=X$66)*(IND.Tech!$B$258:$B$265=$C70)*(IND.Tech!$AJ$258:$BS$265))</f>
        <v>0.25</v>
      </c>
      <c r="Y70" s="77">
        <f t="array" ref="Y70">SUM((IND.Tech!$AJ$94:$BS$94=$V$65)*(IND.Tech!$AJ$93:$BS$93=Y$66)*(IND.Tech!$B$258:$B$265=$C70)*(IND.Tech!$AJ$258:$BS$265))</f>
        <v>0.5</v>
      </c>
    </row>
    <row r="71" spans="2:25">
      <c r="B71" s="341"/>
      <c r="C71" s="336" t="str">
        <f t="shared" si="8"/>
        <v>NM</v>
      </c>
      <c r="D71" s="336" t="str">
        <f t="shared" si="8"/>
        <v>N.M.M Products  -34</v>
      </c>
      <c r="E71" s="338"/>
      <c r="F71" s="77">
        <f t="array" ref="F71">SUM((IND.Tech!$AJ$94:$BS$94=$F$65)*(IND.Tech!$AJ$93:$BS$93=F$66)*(IND.Tech!$B$258:$B$265=$C71)*(IND.Tech!$AJ$258:$BS$265))</f>
        <v>0</v>
      </c>
      <c r="G71" s="77">
        <f t="array" ref="G71">SUM((IND.Tech!$AJ$94:$BS$94=$F$65)*(IND.Tech!$AJ$93:$BS$93=G$66)*(IND.Tech!$B$258:$B$265=$C71)*(IND.Tech!$AJ$258:$BS$265))</f>
        <v>0</v>
      </c>
      <c r="H71" s="77">
        <f t="array" ref="H71">SUM((IND.Tech!$AJ$94:$BS$94=$F$65)*(IND.Tech!$AJ$93:$BS$93=H$66)*(IND.Tech!$B$258:$B$265=$C71)*(IND.Tech!$AJ$258:$BS$265))</f>
        <v>0</v>
      </c>
      <c r="I71" s="77">
        <f t="array" ref="I71">SUM((IND.Tech!$AJ$94:$BS$94=$F$65)*(IND.Tech!$AJ$93:$BS$93=I$66)*(IND.Tech!$B$258:$B$265=$C71)*(IND.Tech!$AJ$258:$BS$265))</f>
        <v>0</v>
      </c>
      <c r="J71" s="77">
        <f t="array" ref="J71">SUM((IND.Tech!$AJ$94:$BS$94=$J$65)*(IND.Tech!$AJ$93:$BS$93=J$66)*(IND.Tech!$B$258:$B$265=$C71)*(IND.Tech!$AJ$258:$BS$265))</f>
        <v>0</v>
      </c>
      <c r="K71" s="77">
        <f t="array" ref="K71">SUM((IND.Tech!$AJ$94:$BS$94=$J$65)*(IND.Tech!$AJ$93:$BS$93=K$66)*(IND.Tech!$B$258:$B$265=$C71)*(IND.Tech!$AJ$258:$BS$265))</f>
        <v>1.5625E-2</v>
      </c>
      <c r="L71" s="77">
        <f t="array" ref="L71">SUM((IND.Tech!$AJ$94:$BS$94=$J$65)*(IND.Tech!$AJ$93:$BS$93=L$66)*(IND.Tech!$B$258:$B$265=$C71)*(IND.Tech!$AJ$258:$BS$265))</f>
        <v>3.125E-2</v>
      </c>
      <c r="M71" s="77">
        <f t="array" ref="M71">SUM((IND.Tech!$AJ$94:$BS$94=$J$65)*(IND.Tech!$AJ$93:$BS$93=M$66)*(IND.Tech!$B$258:$B$265=$C71)*(IND.Tech!$AJ$258:$BS$265))</f>
        <v>6.25E-2</v>
      </c>
      <c r="N71" s="77">
        <f t="array" ref="N71">SUM((IND.Tech!$AJ$94:$BS$94=$N$65)*(IND.Tech!$AJ$93:$BS$93=N$66)*(IND.Tech!$B$258:$B$265=$C71)*(IND.Tech!$AJ$258:$BS$265))</f>
        <v>0</v>
      </c>
      <c r="O71" s="77">
        <f t="array" ref="O71">SUM((IND.Tech!$AJ$94:$BS$94=$N$65)*(IND.Tech!$AJ$93:$BS$93=O$66)*(IND.Tech!$B$258:$B$265=$C71)*(IND.Tech!$AJ$258:$BS$265))</f>
        <v>3.125E-2</v>
      </c>
      <c r="P71" s="77">
        <f t="array" ref="P71">SUM((IND.Tech!$AJ$94:$BS$94=$N$65)*(IND.Tech!$AJ$93:$BS$93=P$66)*(IND.Tech!$B$258:$B$265=$C71)*(IND.Tech!$AJ$258:$BS$265))</f>
        <v>6.25E-2</v>
      </c>
      <c r="Q71" s="77">
        <f t="array" ref="Q71">SUM((IND.Tech!$AJ$94:$BS$94=$N$65)*(IND.Tech!$AJ$93:$BS$93=Q$66)*(IND.Tech!$B$258:$B$265=$C71)*(IND.Tech!$AJ$258:$BS$265))</f>
        <v>0.125</v>
      </c>
      <c r="R71" s="77">
        <f t="array" ref="R71">SUM((IND.Tech!$AJ$94:$BS$94=$R$65)*(IND.Tech!$AJ$93:$BS$93=R$66)*(IND.Tech!$B$258:$B$265=$C71)*(IND.Tech!$AJ$258:$BS$265))</f>
        <v>0</v>
      </c>
      <c r="S71" s="77">
        <f t="array" ref="S71">SUM((IND.Tech!$AJ$94:$BS$94=$R$65)*(IND.Tech!$AJ$93:$BS$93=S$66)*(IND.Tech!$B$258:$B$265=$C71)*(IND.Tech!$AJ$258:$BS$265))</f>
        <v>6.25E-2</v>
      </c>
      <c r="T71" s="77">
        <f t="array" ref="T71">SUM((IND.Tech!$AJ$94:$BS$94=$R$65)*(IND.Tech!$AJ$93:$BS$93=T$66)*(IND.Tech!$B$258:$B$265=$C71)*(IND.Tech!$AJ$258:$BS$265))</f>
        <v>0.125</v>
      </c>
      <c r="U71" s="77">
        <f t="array" ref="U71">SUM((IND.Tech!$AJ$94:$BS$94=$R$65)*(IND.Tech!$AJ$93:$BS$93=U$66)*(IND.Tech!$B$258:$B$265=$C71)*(IND.Tech!$AJ$258:$BS$265))</f>
        <v>0.25</v>
      </c>
      <c r="V71" s="77">
        <f t="array" ref="V71">SUM((IND.Tech!$AJ$94:$BS$94=$V$65)*(IND.Tech!$AJ$93:$BS$93=V$66)*(IND.Tech!$B$258:$B$265=$C71)*(IND.Tech!$AJ$258:$BS$265))</f>
        <v>0</v>
      </c>
      <c r="W71" s="77">
        <f t="array" ref="W71">SUM((IND.Tech!$AJ$94:$BS$94=$V$65)*(IND.Tech!$AJ$93:$BS$93=W$66)*(IND.Tech!$B$258:$B$265=$C71)*(IND.Tech!$AJ$258:$BS$265))</f>
        <v>0.125</v>
      </c>
      <c r="X71" s="77">
        <f t="array" ref="X71">SUM((IND.Tech!$AJ$94:$BS$94=$V$65)*(IND.Tech!$AJ$93:$BS$93=X$66)*(IND.Tech!$B$258:$B$265=$C71)*(IND.Tech!$AJ$258:$BS$265))</f>
        <v>0.25</v>
      </c>
      <c r="Y71" s="77">
        <f t="array" ref="Y71">SUM((IND.Tech!$AJ$94:$BS$94=$V$65)*(IND.Tech!$AJ$93:$BS$93=Y$66)*(IND.Tech!$B$258:$B$265=$C71)*(IND.Tech!$AJ$258:$BS$265))</f>
        <v>0.5</v>
      </c>
    </row>
    <row r="72" spans="2:25">
      <c r="B72" s="341"/>
      <c r="C72" s="336" t="str">
        <f t="shared" si="8"/>
        <v>FB</v>
      </c>
      <c r="D72" s="336" t="str">
        <f t="shared" si="8"/>
        <v>Food, Beverage &amp; Tabacco  - 30</v>
      </c>
      <c r="E72" s="338"/>
      <c r="F72" s="77">
        <f t="array" ref="F72">SUM((IND.Tech!$AJ$94:$BS$94=$F$65)*(IND.Tech!$AJ$93:$BS$93=F$66)*(IND.Tech!$B$258:$B$265=$C72)*(IND.Tech!$AJ$258:$BS$265))</f>
        <v>0</v>
      </c>
      <c r="G72" s="77">
        <f t="array" ref="G72">SUM((IND.Tech!$AJ$94:$BS$94=$F$65)*(IND.Tech!$AJ$93:$BS$93=G$66)*(IND.Tech!$B$258:$B$265=$C72)*(IND.Tech!$AJ$258:$BS$265))</f>
        <v>0</v>
      </c>
      <c r="H72" s="77">
        <f t="array" ref="H72">SUM((IND.Tech!$AJ$94:$BS$94=$F$65)*(IND.Tech!$AJ$93:$BS$93=H$66)*(IND.Tech!$B$258:$B$265=$C72)*(IND.Tech!$AJ$258:$BS$265))</f>
        <v>0</v>
      </c>
      <c r="I72" s="77">
        <f t="array" ref="I72">SUM((IND.Tech!$AJ$94:$BS$94=$F$65)*(IND.Tech!$AJ$93:$BS$93=I$66)*(IND.Tech!$B$258:$B$265=$C72)*(IND.Tech!$AJ$258:$BS$265))</f>
        <v>0</v>
      </c>
      <c r="J72" s="77">
        <f t="array" ref="J72">SUM((IND.Tech!$AJ$94:$BS$94=$J$65)*(IND.Tech!$AJ$93:$BS$93=J$66)*(IND.Tech!$B$258:$B$265=$C72)*(IND.Tech!$AJ$258:$BS$265))</f>
        <v>0</v>
      </c>
      <c r="K72" s="77">
        <f t="array" ref="K72">SUM((IND.Tech!$AJ$94:$BS$94=$J$65)*(IND.Tech!$AJ$93:$BS$93=K$66)*(IND.Tech!$B$258:$B$265=$C72)*(IND.Tech!$AJ$258:$BS$265))</f>
        <v>1.5625E-2</v>
      </c>
      <c r="L72" s="77">
        <f t="array" ref="L72">SUM((IND.Tech!$AJ$94:$BS$94=$J$65)*(IND.Tech!$AJ$93:$BS$93=L$66)*(IND.Tech!$B$258:$B$265=$C72)*(IND.Tech!$AJ$258:$BS$265))</f>
        <v>3.125E-2</v>
      </c>
      <c r="M72" s="77">
        <f t="array" ref="M72">SUM((IND.Tech!$AJ$94:$BS$94=$J$65)*(IND.Tech!$AJ$93:$BS$93=M$66)*(IND.Tech!$B$258:$B$265=$C72)*(IND.Tech!$AJ$258:$BS$265))</f>
        <v>6.25E-2</v>
      </c>
      <c r="N72" s="77">
        <f t="array" ref="N72">SUM((IND.Tech!$AJ$94:$BS$94=$N$65)*(IND.Tech!$AJ$93:$BS$93=N$66)*(IND.Tech!$B$258:$B$265=$C72)*(IND.Tech!$AJ$258:$BS$265))</f>
        <v>0</v>
      </c>
      <c r="O72" s="77">
        <f t="array" ref="O72">SUM((IND.Tech!$AJ$94:$BS$94=$N$65)*(IND.Tech!$AJ$93:$BS$93=O$66)*(IND.Tech!$B$258:$B$265=$C72)*(IND.Tech!$AJ$258:$BS$265))</f>
        <v>3.125E-2</v>
      </c>
      <c r="P72" s="77">
        <f t="array" ref="P72">SUM((IND.Tech!$AJ$94:$BS$94=$N$65)*(IND.Tech!$AJ$93:$BS$93=P$66)*(IND.Tech!$B$258:$B$265=$C72)*(IND.Tech!$AJ$258:$BS$265))</f>
        <v>6.25E-2</v>
      </c>
      <c r="Q72" s="77">
        <f t="array" ref="Q72">SUM((IND.Tech!$AJ$94:$BS$94=$N$65)*(IND.Tech!$AJ$93:$BS$93=Q$66)*(IND.Tech!$B$258:$B$265=$C72)*(IND.Tech!$AJ$258:$BS$265))</f>
        <v>0.125</v>
      </c>
      <c r="R72" s="77">
        <f t="array" ref="R72">SUM((IND.Tech!$AJ$94:$BS$94=$R$65)*(IND.Tech!$AJ$93:$BS$93=R$66)*(IND.Tech!$B$258:$B$265=$C72)*(IND.Tech!$AJ$258:$BS$265))</f>
        <v>0</v>
      </c>
      <c r="S72" s="77">
        <f t="array" ref="S72">SUM((IND.Tech!$AJ$94:$BS$94=$R$65)*(IND.Tech!$AJ$93:$BS$93=S$66)*(IND.Tech!$B$258:$B$265=$C72)*(IND.Tech!$AJ$258:$BS$265))</f>
        <v>6.25E-2</v>
      </c>
      <c r="T72" s="77">
        <f t="array" ref="T72">SUM((IND.Tech!$AJ$94:$BS$94=$R$65)*(IND.Tech!$AJ$93:$BS$93=T$66)*(IND.Tech!$B$258:$B$265=$C72)*(IND.Tech!$AJ$258:$BS$265))</f>
        <v>0.125</v>
      </c>
      <c r="U72" s="77">
        <f t="array" ref="U72">SUM((IND.Tech!$AJ$94:$BS$94=$R$65)*(IND.Tech!$AJ$93:$BS$93=U$66)*(IND.Tech!$B$258:$B$265=$C72)*(IND.Tech!$AJ$258:$BS$265))</f>
        <v>0.25</v>
      </c>
      <c r="V72" s="77">
        <f t="array" ref="V72">SUM((IND.Tech!$AJ$94:$BS$94=$V$65)*(IND.Tech!$AJ$93:$BS$93=V$66)*(IND.Tech!$B$258:$B$265=$C72)*(IND.Tech!$AJ$258:$BS$265))</f>
        <v>0</v>
      </c>
      <c r="W72" s="77">
        <f t="array" ref="W72">SUM((IND.Tech!$AJ$94:$BS$94=$V$65)*(IND.Tech!$AJ$93:$BS$93=W$66)*(IND.Tech!$B$258:$B$265=$C72)*(IND.Tech!$AJ$258:$BS$265))</f>
        <v>0.125</v>
      </c>
      <c r="X72" s="77">
        <f t="array" ref="X72">SUM((IND.Tech!$AJ$94:$BS$94=$V$65)*(IND.Tech!$AJ$93:$BS$93=X$66)*(IND.Tech!$B$258:$B$265=$C72)*(IND.Tech!$AJ$258:$BS$265))</f>
        <v>0.25</v>
      </c>
      <c r="Y72" s="77">
        <f t="array" ref="Y72">SUM((IND.Tech!$AJ$94:$BS$94=$V$65)*(IND.Tech!$AJ$93:$BS$93=Y$66)*(IND.Tech!$B$258:$B$265=$C72)*(IND.Tech!$AJ$258:$BS$265))</f>
        <v>0.5</v>
      </c>
    </row>
    <row r="73" spans="2:25">
      <c r="B73" s="341"/>
      <c r="C73" s="336" t="str">
        <f t="shared" si="8"/>
        <v>PP</v>
      </c>
      <c r="D73" s="336" t="str">
        <f t="shared" si="8"/>
        <v>Pulp &amp; Paper Products  -323</v>
      </c>
      <c r="E73" s="338"/>
      <c r="F73" s="77">
        <f t="array" ref="F73">SUM((IND.Tech!$AJ$94:$BS$94=$F$65)*(IND.Tech!$AJ$93:$BS$93=F$66)*(IND.Tech!$B$258:$B$265=$C73)*(IND.Tech!$AJ$258:$BS$265))</f>
        <v>0</v>
      </c>
      <c r="G73" s="77">
        <f t="array" ref="G73">SUM((IND.Tech!$AJ$94:$BS$94=$F$65)*(IND.Tech!$AJ$93:$BS$93=G$66)*(IND.Tech!$B$258:$B$265=$C73)*(IND.Tech!$AJ$258:$BS$265))</f>
        <v>0</v>
      </c>
      <c r="H73" s="77">
        <f t="array" ref="H73">SUM((IND.Tech!$AJ$94:$BS$94=$F$65)*(IND.Tech!$AJ$93:$BS$93=H$66)*(IND.Tech!$B$258:$B$265=$C73)*(IND.Tech!$AJ$258:$BS$265))</f>
        <v>0</v>
      </c>
      <c r="I73" s="77">
        <f t="array" ref="I73">SUM((IND.Tech!$AJ$94:$BS$94=$F$65)*(IND.Tech!$AJ$93:$BS$93=I$66)*(IND.Tech!$B$258:$B$265=$C73)*(IND.Tech!$AJ$258:$BS$265))</f>
        <v>0</v>
      </c>
      <c r="J73" s="77">
        <f t="array" ref="J73">SUM((IND.Tech!$AJ$94:$BS$94=$J$65)*(IND.Tech!$AJ$93:$BS$93=J$66)*(IND.Tech!$B$258:$B$265=$C73)*(IND.Tech!$AJ$258:$BS$265))</f>
        <v>0</v>
      </c>
      <c r="K73" s="77">
        <f t="array" ref="K73">SUM((IND.Tech!$AJ$94:$BS$94=$J$65)*(IND.Tech!$AJ$93:$BS$93=K$66)*(IND.Tech!$B$258:$B$265=$C73)*(IND.Tech!$AJ$258:$BS$265))</f>
        <v>1.5625E-2</v>
      </c>
      <c r="L73" s="77">
        <f t="array" ref="L73">SUM((IND.Tech!$AJ$94:$BS$94=$J$65)*(IND.Tech!$AJ$93:$BS$93=L$66)*(IND.Tech!$B$258:$B$265=$C73)*(IND.Tech!$AJ$258:$BS$265))</f>
        <v>3.125E-2</v>
      </c>
      <c r="M73" s="77">
        <f t="array" ref="M73">SUM((IND.Tech!$AJ$94:$BS$94=$J$65)*(IND.Tech!$AJ$93:$BS$93=M$66)*(IND.Tech!$B$258:$B$265=$C73)*(IND.Tech!$AJ$258:$BS$265))</f>
        <v>6.25E-2</v>
      </c>
      <c r="N73" s="77">
        <f t="array" ref="N73">SUM((IND.Tech!$AJ$94:$BS$94=$N$65)*(IND.Tech!$AJ$93:$BS$93=N$66)*(IND.Tech!$B$258:$B$265=$C73)*(IND.Tech!$AJ$258:$BS$265))</f>
        <v>0</v>
      </c>
      <c r="O73" s="77">
        <f t="array" ref="O73">SUM((IND.Tech!$AJ$94:$BS$94=$N$65)*(IND.Tech!$AJ$93:$BS$93=O$66)*(IND.Tech!$B$258:$B$265=$C73)*(IND.Tech!$AJ$258:$BS$265))</f>
        <v>3.125E-2</v>
      </c>
      <c r="P73" s="77">
        <f t="array" ref="P73">SUM((IND.Tech!$AJ$94:$BS$94=$N$65)*(IND.Tech!$AJ$93:$BS$93=P$66)*(IND.Tech!$B$258:$B$265=$C73)*(IND.Tech!$AJ$258:$BS$265))</f>
        <v>6.25E-2</v>
      </c>
      <c r="Q73" s="77">
        <f t="array" ref="Q73">SUM((IND.Tech!$AJ$94:$BS$94=$N$65)*(IND.Tech!$AJ$93:$BS$93=Q$66)*(IND.Tech!$B$258:$B$265=$C73)*(IND.Tech!$AJ$258:$BS$265))</f>
        <v>0.125</v>
      </c>
      <c r="R73" s="77">
        <f t="array" ref="R73">SUM((IND.Tech!$AJ$94:$BS$94=$R$65)*(IND.Tech!$AJ$93:$BS$93=R$66)*(IND.Tech!$B$258:$B$265=$C73)*(IND.Tech!$AJ$258:$BS$265))</f>
        <v>0</v>
      </c>
      <c r="S73" s="77">
        <f t="array" ref="S73">SUM((IND.Tech!$AJ$94:$BS$94=$R$65)*(IND.Tech!$AJ$93:$BS$93=S$66)*(IND.Tech!$B$258:$B$265=$C73)*(IND.Tech!$AJ$258:$BS$265))</f>
        <v>6.25E-2</v>
      </c>
      <c r="T73" s="77">
        <f t="array" ref="T73">SUM((IND.Tech!$AJ$94:$BS$94=$R$65)*(IND.Tech!$AJ$93:$BS$93=T$66)*(IND.Tech!$B$258:$B$265=$C73)*(IND.Tech!$AJ$258:$BS$265))</f>
        <v>0.125</v>
      </c>
      <c r="U73" s="77">
        <f t="array" ref="U73">SUM((IND.Tech!$AJ$94:$BS$94=$R$65)*(IND.Tech!$AJ$93:$BS$93=U$66)*(IND.Tech!$B$258:$B$265=$C73)*(IND.Tech!$AJ$258:$BS$265))</f>
        <v>0.25</v>
      </c>
      <c r="V73" s="77">
        <f t="array" ref="V73">SUM((IND.Tech!$AJ$94:$BS$94=$V$65)*(IND.Tech!$AJ$93:$BS$93=V$66)*(IND.Tech!$B$258:$B$265=$C73)*(IND.Tech!$AJ$258:$BS$265))</f>
        <v>0</v>
      </c>
      <c r="W73" s="77">
        <f t="array" ref="W73">SUM((IND.Tech!$AJ$94:$BS$94=$V$65)*(IND.Tech!$AJ$93:$BS$93=W$66)*(IND.Tech!$B$258:$B$265=$C73)*(IND.Tech!$AJ$258:$BS$265))</f>
        <v>0.125</v>
      </c>
      <c r="X73" s="77">
        <f t="array" ref="X73">SUM((IND.Tech!$AJ$94:$BS$94=$V$65)*(IND.Tech!$AJ$93:$BS$93=X$66)*(IND.Tech!$B$258:$B$265=$C73)*(IND.Tech!$AJ$258:$BS$265))</f>
        <v>0.25</v>
      </c>
      <c r="Y73" s="77">
        <f t="array" ref="Y73">SUM((IND.Tech!$AJ$94:$BS$94=$V$65)*(IND.Tech!$AJ$93:$BS$93=Y$66)*(IND.Tech!$B$258:$B$265=$C73)*(IND.Tech!$AJ$258:$BS$265))</f>
        <v>0.5</v>
      </c>
    </row>
    <row r="74" spans="2:25">
      <c r="B74" s="341"/>
      <c r="C74" s="336" t="str">
        <f t="shared" si="8"/>
        <v>OT</v>
      </c>
      <c r="D74" s="336" t="str">
        <f t="shared" si="8"/>
        <v>Other</v>
      </c>
      <c r="E74" s="338"/>
      <c r="F74" s="77">
        <f t="array" ref="F74">SUM((IND.Tech!$AJ$94:$BS$94=$F$65)*(IND.Tech!$AJ$93:$BS$93=F$66)*(IND.Tech!$B$258:$B$265=$C74)*(IND.Tech!$AJ$258:$BS$265))</f>
        <v>0</v>
      </c>
      <c r="G74" s="77">
        <f t="array" ref="G74">SUM((IND.Tech!$AJ$94:$BS$94=$F$65)*(IND.Tech!$AJ$93:$BS$93=G$66)*(IND.Tech!$B$258:$B$265=$C74)*(IND.Tech!$AJ$258:$BS$265))</f>
        <v>0</v>
      </c>
      <c r="H74" s="77">
        <f t="array" ref="H74">SUM((IND.Tech!$AJ$94:$BS$94=$F$65)*(IND.Tech!$AJ$93:$BS$93=H$66)*(IND.Tech!$B$258:$B$265=$C74)*(IND.Tech!$AJ$258:$BS$265))</f>
        <v>0</v>
      </c>
      <c r="I74" s="77">
        <f t="array" ref="I74">SUM((IND.Tech!$AJ$94:$BS$94=$F$65)*(IND.Tech!$AJ$93:$BS$93=I$66)*(IND.Tech!$B$258:$B$265=$C74)*(IND.Tech!$AJ$258:$BS$265))</f>
        <v>0</v>
      </c>
      <c r="J74" s="77">
        <f t="array" ref="J74">SUM((IND.Tech!$AJ$94:$BS$94=$J$65)*(IND.Tech!$AJ$93:$BS$93=J$66)*(IND.Tech!$B$258:$B$265=$C74)*(IND.Tech!$AJ$258:$BS$265))</f>
        <v>0</v>
      </c>
      <c r="K74" s="77">
        <f t="array" ref="K74">SUM((IND.Tech!$AJ$94:$BS$94=$J$65)*(IND.Tech!$AJ$93:$BS$93=K$66)*(IND.Tech!$B$258:$B$265=$C74)*(IND.Tech!$AJ$258:$BS$265))</f>
        <v>1.5625E-2</v>
      </c>
      <c r="L74" s="77">
        <f t="array" ref="L74">SUM((IND.Tech!$AJ$94:$BS$94=$J$65)*(IND.Tech!$AJ$93:$BS$93=L$66)*(IND.Tech!$B$258:$B$265=$C74)*(IND.Tech!$AJ$258:$BS$265))</f>
        <v>3.125E-2</v>
      </c>
      <c r="M74" s="77">
        <f t="array" ref="M74">SUM((IND.Tech!$AJ$94:$BS$94=$J$65)*(IND.Tech!$AJ$93:$BS$93=M$66)*(IND.Tech!$B$258:$B$265=$C74)*(IND.Tech!$AJ$258:$BS$265))</f>
        <v>6.25E-2</v>
      </c>
      <c r="N74" s="77">
        <f t="array" ref="N74">SUM((IND.Tech!$AJ$94:$BS$94=$N$65)*(IND.Tech!$AJ$93:$BS$93=N$66)*(IND.Tech!$B$258:$B$265=$C74)*(IND.Tech!$AJ$258:$BS$265))</f>
        <v>0</v>
      </c>
      <c r="O74" s="77">
        <f t="array" ref="O74">SUM((IND.Tech!$AJ$94:$BS$94=$N$65)*(IND.Tech!$AJ$93:$BS$93=O$66)*(IND.Tech!$B$258:$B$265=$C74)*(IND.Tech!$AJ$258:$BS$265))</f>
        <v>3.125E-2</v>
      </c>
      <c r="P74" s="77">
        <f t="array" ref="P74">SUM((IND.Tech!$AJ$94:$BS$94=$N$65)*(IND.Tech!$AJ$93:$BS$93=P$66)*(IND.Tech!$B$258:$B$265=$C74)*(IND.Tech!$AJ$258:$BS$265))</f>
        <v>6.25E-2</v>
      </c>
      <c r="Q74" s="77">
        <f t="array" ref="Q74">SUM((IND.Tech!$AJ$94:$BS$94=$N$65)*(IND.Tech!$AJ$93:$BS$93=Q$66)*(IND.Tech!$B$258:$B$265=$C74)*(IND.Tech!$AJ$258:$BS$265))</f>
        <v>0.125</v>
      </c>
      <c r="R74" s="77">
        <f t="array" ref="R74">SUM((IND.Tech!$AJ$94:$BS$94=$R$65)*(IND.Tech!$AJ$93:$BS$93=R$66)*(IND.Tech!$B$258:$B$265=$C74)*(IND.Tech!$AJ$258:$BS$265))</f>
        <v>0</v>
      </c>
      <c r="S74" s="77">
        <f t="array" ref="S74">SUM((IND.Tech!$AJ$94:$BS$94=$R$65)*(IND.Tech!$AJ$93:$BS$93=S$66)*(IND.Tech!$B$258:$B$265=$C74)*(IND.Tech!$AJ$258:$BS$265))</f>
        <v>6.25E-2</v>
      </c>
      <c r="T74" s="77">
        <f t="array" ref="T74">SUM((IND.Tech!$AJ$94:$BS$94=$R$65)*(IND.Tech!$AJ$93:$BS$93=T$66)*(IND.Tech!$B$258:$B$265=$C74)*(IND.Tech!$AJ$258:$BS$265))</f>
        <v>0.125</v>
      </c>
      <c r="U74" s="77">
        <f t="array" ref="U74">SUM((IND.Tech!$AJ$94:$BS$94=$R$65)*(IND.Tech!$AJ$93:$BS$93=U$66)*(IND.Tech!$B$258:$B$265=$C74)*(IND.Tech!$AJ$258:$BS$265))</f>
        <v>0.25</v>
      </c>
      <c r="V74" s="77">
        <f t="array" ref="V74">SUM((IND.Tech!$AJ$94:$BS$94=$V$65)*(IND.Tech!$AJ$93:$BS$93=V$66)*(IND.Tech!$B$258:$B$265=$C74)*(IND.Tech!$AJ$258:$BS$265))</f>
        <v>0</v>
      </c>
      <c r="W74" s="77">
        <f t="array" ref="W74">SUM((IND.Tech!$AJ$94:$BS$94=$V$65)*(IND.Tech!$AJ$93:$BS$93=W$66)*(IND.Tech!$B$258:$B$265=$C74)*(IND.Tech!$AJ$258:$BS$265))</f>
        <v>0.125</v>
      </c>
      <c r="X74" s="77">
        <f t="array" ref="X74">SUM((IND.Tech!$AJ$94:$BS$94=$V$65)*(IND.Tech!$AJ$93:$BS$93=X$66)*(IND.Tech!$B$258:$B$265=$C74)*(IND.Tech!$AJ$258:$BS$265))</f>
        <v>0.25</v>
      </c>
      <c r="Y74" s="77">
        <f t="array" ref="Y74">SUM((IND.Tech!$AJ$94:$BS$94=$V$65)*(IND.Tech!$AJ$93:$BS$93=Y$66)*(IND.Tech!$B$258:$B$265=$C74)*(IND.Tech!$AJ$258:$BS$265))</f>
        <v>0.5</v>
      </c>
    </row>
    <row r="75" spans="2:25">
      <c r="B75" s="341"/>
      <c r="C75" s="151"/>
      <c r="D75" s="151"/>
      <c r="E75" s="151"/>
      <c r="F75" s="151"/>
      <c r="G75" s="151"/>
      <c r="H75" s="151"/>
      <c r="I75" s="151"/>
      <c r="J75" s="151"/>
      <c r="K75" s="151"/>
      <c r="L75" s="151"/>
      <c r="M75" s="151"/>
      <c r="N75" s="151"/>
      <c r="O75" s="151"/>
      <c r="P75" s="151"/>
      <c r="Q75" s="151"/>
      <c r="R75" s="151"/>
      <c r="S75" s="151"/>
      <c r="T75" s="151"/>
      <c r="U75" s="151"/>
      <c r="V75" s="151"/>
      <c r="W75" s="151"/>
      <c r="X75" s="151"/>
      <c r="Y75" s="151"/>
    </row>
    <row r="76" spans="2:25">
      <c r="B76" s="341"/>
      <c r="C76" s="79"/>
      <c r="D76" s="692"/>
      <c r="E76" s="180"/>
      <c r="F76" s="179"/>
      <c r="G76" s="187"/>
      <c r="H76" s="187"/>
      <c r="I76" s="187"/>
      <c r="J76" s="338"/>
      <c r="K76" s="338"/>
      <c r="L76" s="338"/>
      <c r="M76" s="338"/>
      <c r="N76" s="338"/>
      <c r="O76" s="338"/>
      <c r="P76" s="338"/>
      <c r="Q76" s="338"/>
      <c r="R76" s="338"/>
      <c r="S76" s="338"/>
      <c r="T76" s="338"/>
      <c r="U76" s="338"/>
      <c r="V76" s="338"/>
      <c r="W76" s="338"/>
      <c r="X76" s="338"/>
      <c r="Y76" s="338"/>
    </row>
    <row r="77" spans="2:25">
      <c r="B77" s="341"/>
      <c r="C77" s="339" t="s">
        <v>421</v>
      </c>
      <c r="D77" s="687"/>
      <c r="E77" s="145"/>
      <c r="F77" s="1021" t="s">
        <v>394</v>
      </c>
      <c r="G77" s="338"/>
      <c r="H77" s="78" t="s">
        <v>366</v>
      </c>
      <c r="I77" s="78" t="s">
        <v>366</v>
      </c>
      <c r="J77" s="338"/>
      <c r="K77" s="338"/>
      <c r="L77" s="338"/>
      <c r="M77" s="338"/>
      <c r="N77" s="338"/>
      <c r="O77" s="338"/>
      <c r="P77" s="338"/>
      <c r="Q77" s="338"/>
      <c r="R77" s="338"/>
      <c r="S77" s="338"/>
      <c r="T77" s="338"/>
      <c r="U77" s="338"/>
      <c r="V77" s="338"/>
      <c r="W77" s="338"/>
      <c r="X77" s="338"/>
      <c r="Y77" s="338"/>
    </row>
    <row r="78" spans="2:25">
      <c r="B78" s="341"/>
      <c r="C78" s="338"/>
      <c r="D78" s="687"/>
      <c r="E78" s="338"/>
      <c r="F78" s="179"/>
      <c r="G78" s="338"/>
      <c r="H78" s="338"/>
      <c r="I78" s="338"/>
      <c r="J78" s="338"/>
      <c r="K78" s="338"/>
      <c r="L78" s="338"/>
      <c r="M78" s="338"/>
      <c r="N78" s="338"/>
      <c r="O78" s="338"/>
      <c r="P78" s="338"/>
      <c r="Q78" s="338"/>
      <c r="R78" s="338"/>
      <c r="S78" s="338"/>
      <c r="T78" s="338"/>
      <c r="U78" s="338"/>
      <c r="V78" s="338"/>
      <c r="W78" s="338"/>
      <c r="X78" s="338"/>
      <c r="Y78" s="338"/>
    </row>
    <row r="79" spans="2:25" ht="15">
      <c r="B79" s="106"/>
      <c r="C79" s="61" t="s">
        <v>32</v>
      </c>
      <c r="D79" s="690" t="s">
        <v>59</v>
      </c>
      <c r="E79" s="181"/>
      <c r="F79" s="182">
        <v>1</v>
      </c>
      <c r="G79" s="156">
        <v>2</v>
      </c>
      <c r="H79" s="156">
        <v>3</v>
      </c>
      <c r="I79" s="156">
        <v>4</v>
      </c>
      <c r="J79" s="338"/>
      <c r="K79" s="338"/>
      <c r="L79" s="338"/>
      <c r="M79" s="338"/>
      <c r="N79" s="338"/>
      <c r="O79" s="338"/>
      <c r="P79" s="338"/>
      <c r="Q79" s="338"/>
      <c r="R79" s="338"/>
      <c r="S79" s="338"/>
      <c r="T79" s="338"/>
      <c r="U79" s="338"/>
      <c r="V79" s="338"/>
      <c r="W79" s="338"/>
      <c r="X79" s="338"/>
      <c r="Y79" s="338"/>
    </row>
    <row r="80" spans="2:25" ht="15">
      <c r="B80" s="106"/>
      <c r="C80" s="336" t="str">
        <f t="shared" ref="C80:D87" si="9">C20</f>
        <v>MI</v>
      </c>
      <c r="D80" s="826" t="str">
        <f t="shared" si="9"/>
        <v>Mining SIC2</v>
      </c>
      <c r="E80" s="183"/>
      <c r="F80" s="825">
        <v>0</v>
      </c>
      <c r="G80" s="825">
        <v>0</v>
      </c>
      <c r="H80" s="825">
        <v>0</v>
      </c>
      <c r="I80" s="825">
        <v>0</v>
      </c>
      <c r="J80" s="338"/>
      <c r="K80" s="338"/>
      <c r="L80" s="338"/>
      <c r="M80" s="338"/>
      <c r="N80" s="338"/>
      <c r="O80" s="338"/>
      <c r="P80" s="338"/>
      <c r="Q80" s="338"/>
      <c r="R80" s="338"/>
      <c r="S80" s="338"/>
      <c r="T80" s="338"/>
      <c r="U80" s="338"/>
      <c r="V80" s="338"/>
      <c r="W80" s="338"/>
      <c r="X80" s="338"/>
      <c r="Y80" s="338"/>
    </row>
    <row r="81" spans="1:25" ht="15">
      <c r="B81" s="106"/>
      <c r="C81" s="336" t="str">
        <f t="shared" si="9"/>
        <v>IS</v>
      </c>
      <c r="D81" s="826" t="str">
        <f t="shared" si="9"/>
        <v>Iron  &amp; Steel  - 351</v>
      </c>
      <c r="E81" s="183"/>
      <c r="F81" s="825">
        <v>0</v>
      </c>
      <c r="G81" s="825">
        <v>0</v>
      </c>
      <c r="H81" s="825">
        <v>0</v>
      </c>
      <c r="I81" s="825">
        <v>0</v>
      </c>
      <c r="J81" s="338"/>
      <c r="K81" s="338"/>
      <c r="L81" s="338"/>
      <c r="M81" s="338"/>
      <c r="N81" s="338"/>
      <c r="O81" s="338"/>
      <c r="P81" s="338"/>
      <c r="Q81" s="338"/>
      <c r="R81" s="338"/>
      <c r="S81" s="338"/>
      <c r="T81" s="338"/>
      <c r="U81" s="338"/>
      <c r="V81" s="338"/>
      <c r="W81" s="338"/>
      <c r="X81" s="338"/>
      <c r="Y81" s="338"/>
    </row>
    <row r="82" spans="1:25" ht="15">
      <c r="B82" s="106"/>
      <c r="C82" s="336" t="str">
        <f t="shared" si="9"/>
        <v>CP</v>
      </c>
      <c r="D82" s="826" t="str">
        <f t="shared" si="9"/>
        <v>Chemicals  -33</v>
      </c>
      <c r="E82" s="183"/>
      <c r="F82" s="825">
        <v>0</v>
      </c>
      <c r="G82" s="825">
        <v>0</v>
      </c>
      <c r="H82" s="825">
        <v>0</v>
      </c>
      <c r="I82" s="825">
        <v>0</v>
      </c>
      <c r="J82" s="338"/>
      <c r="K82" s="338"/>
      <c r="L82" s="338"/>
      <c r="M82" s="338"/>
      <c r="N82" s="338"/>
      <c r="O82" s="338"/>
      <c r="P82" s="338"/>
      <c r="Q82" s="338"/>
      <c r="R82" s="338"/>
      <c r="S82" s="338"/>
      <c r="T82" s="338"/>
      <c r="U82" s="338"/>
      <c r="V82" s="338"/>
      <c r="W82" s="338"/>
      <c r="X82" s="338"/>
      <c r="Y82" s="338"/>
    </row>
    <row r="83" spans="1:25" ht="15">
      <c r="B83" s="106"/>
      <c r="C83" s="336" t="str">
        <f t="shared" si="9"/>
        <v>NF</v>
      </c>
      <c r="D83" s="826" t="str">
        <f t="shared" si="9"/>
        <v>Non-Ferrous metals  - 352</v>
      </c>
      <c r="E83" s="183"/>
      <c r="F83" s="825">
        <v>0</v>
      </c>
      <c r="G83" s="825">
        <v>0</v>
      </c>
      <c r="H83" s="825">
        <v>0</v>
      </c>
      <c r="I83" s="825">
        <v>0</v>
      </c>
      <c r="J83" s="338"/>
      <c r="K83" s="338"/>
      <c r="L83" s="338"/>
      <c r="M83" s="338"/>
      <c r="N83" s="338"/>
      <c r="O83" s="338"/>
      <c r="P83" s="338"/>
      <c r="Q83" s="338"/>
      <c r="R83" s="338"/>
      <c r="S83" s="338"/>
      <c r="T83" s="338"/>
      <c r="U83" s="338"/>
      <c r="V83" s="338"/>
      <c r="W83" s="338"/>
      <c r="X83" s="338"/>
      <c r="Y83" s="338"/>
    </row>
    <row r="84" spans="1:25" ht="15">
      <c r="B84" s="106"/>
      <c r="C84" s="336" t="str">
        <f t="shared" si="9"/>
        <v>NM</v>
      </c>
      <c r="D84" s="826" t="str">
        <f t="shared" si="9"/>
        <v>N.M.M Products  -34</v>
      </c>
      <c r="E84" s="183"/>
      <c r="F84" s="825">
        <v>0</v>
      </c>
      <c r="G84" s="825">
        <v>0</v>
      </c>
      <c r="H84" s="825">
        <v>0</v>
      </c>
      <c r="I84" s="825">
        <v>0</v>
      </c>
      <c r="J84" s="338"/>
      <c r="K84" s="338"/>
      <c r="L84" s="338"/>
      <c r="M84" s="338"/>
      <c r="N84" s="338"/>
      <c r="O84" s="338"/>
      <c r="P84" s="338"/>
      <c r="Q84" s="338"/>
      <c r="R84" s="338"/>
      <c r="S84" s="338"/>
      <c r="T84" s="338"/>
      <c r="U84" s="338"/>
      <c r="V84" s="338"/>
      <c r="W84" s="338"/>
      <c r="X84" s="338"/>
      <c r="Y84" s="338"/>
    </row>
    <row r="85" spans="1:25" ht="15">
      <c r="B85" s="106"/>
      <c r="C85" s="336" t="str">
        <f t="shared" si="9"/>
        <v>FB</v>
      </c>
      <c r="D85" s="826" t="str">
        <f t="shared" si="9"/>
        <v>Food, Beverage &amp; Tabacco  - 30</v>
      </c>
      <c r="E85" s="183"/>
      <c r="F85" s="825">
        <v>0</v>
      </c>
      <c r="G85" s="825">
        <v>0</v>
      </c>
      <c r="H85" s="825">
        <v>0</v>
      </c>
      <c r="I85" s="825">
        <v>0</v>
      </c>
      <c r="J85" s="338"/>
      <c r="K85" s="338"/>
      <c r="L85" s="338"/>
      <c r="M85" s="338"/>
      <c r="N85" s="338"/>
      <c r="O85" s="338"/>
      <c r="P85" s="338"/>
      <c r="Q85" s="338"/>
      <c r="R85" s="338"/>
      <c r="S85" s="338"/>
      <c r="T85" s="338"/>
      <c r="U85" s="338"/>
      <c r="V85" s="338"/>
      <c r="W85" s="338"/>
      <c r="X85" s="338"/>
      <c r="Y85" s="338"/>
    </row>
    <row r="86" spans="1:25" ht="15">
      <c r="B86" s="106"/>
      <c r="C86" s="336" t="str">
        <f t="shared" si="9"/>
        <v>PP</v>
      </c>
      <c r="D86" s="826" t="str">
        <f t="shared" si="9"/>
        <v>Pulp &amp; Paper Products  -323</v>
      </c>
      <c r="E86" s="144"/>
      <c r="F86" s="77">
        <v>0</v>
      </c>
      <c r="G86" s="77">
        <v>0</v>
      </c>
      <c r="H86" s="77">
        <v>0</v>
      </c>
      <c r="I86" s="77">
        <v>0</v>
      </c>
      <c r="J86" s="338"/>
      <c r="K86" s="338"/>
      <c r="L86" s="338"/>
      <c r="M86" s="338"/>
      <c r="N86" s="338"/>
      <c r="O86" s="338"/>
      <c r="P86" s="338"/>
      <c r="Q86" s="338"/>
      <c r="R86" s="338"/>
      <c r="S86" s="338"/>
      <c r="T86" s="338"/>
      <c r="U86" s="338"/>
      <c r="V86" s="338"/>
      <c r="W86" s="338"/>
      <c r="X86" s="338"/>
      <c r="Y86" s="338"/>
    </row>
    <row r="87" spans="1:25" ht="15">
      <c r="B87" s="106"/>
      <c r="C87" s="336" t="str">
        <f t="shared" si="9"/>
        <v>OT</v>
      </c>
      <c r="D87" s="826" t="str">
        <f t="shared" si="9"/>
        <v>Other</v>
      </c>
      <c r="E87" s="144"/>
      <c r="F87" s="77">
        <v>0</v>
      </c>
      <c r="G87" s="77">
        <v>0</v>
      </c>
      <c r="H87" s="77">
        <v>0</v>
      </c>
      <c r="I87" s="77">
        <v>0</v>
      </c>
      <c r="J87" s="338"/>
      <c r="K87" s="338"/>
      <c r="L87" s="338"/>
      <c r="M87" s="338"/>
      <c r="N87" s="338"/>
      <c r="O87" s="338"/>
      <c r="P87" s="338"/>
      <c r="Q87" s="338"/>
      <c r="R87" s="338"/>
      <c r="S87" s="338"/>
      <c r="T87" s="338"/>
      <c r="U87" s="338"/>
      <c r="V87" s="338"/>
      <c r="W87" s="338"/>
      <c r="X87" s="338"/>
      <c r="Y87" s="338"/>
    </row>
    <row r="88" spans="1:25" ht="15">
      <c r="B88" s="106"/>
      <c r="C88" s="1308"/>
      <c r="D88" s="1577"/>
      <c r="E88" s="1578"/>
      <c r="F88" s="1579"/>
      <c r="G88" s="1580"/>
      <c r="H88" s="1580"/>
      <c r="I88" s="1580"/>
      <c r="J88" s="338"/>
      <c r="K88" s="338"/>
      <c r="L88" s="338"/>
      <c r="M88" s="338"/>
      <c r="N88" s="338"/>
      <c r="O88" s="338"/>
      <c r="P88" s="338"/>
      <c r="Q88" s="338"/>
      <c r="R88" s="338"/>
      <c r="S88" s="338"/>
      <c r="T88" s="338"/>
      <c r="U88" s="338"/>
      <c r="V88" s="338"/>
      <c r="W88" s="338"/>
      <c r="X88" s="338"/>
      <c r="Y88" s="338"/>
    </row>
    <row r="89" spans="1:25">
      <c r="B89" s="341"/>
      <c r="C89" s="338"/>
      <c r="D89" s="687"/>
      <c r="E89" s="338"/>
      <c r="F89" s="338"/>
      <c r="G89" s="338"/>
      <c r="H89" s="338"/>
      <c r="I89" s="338"/>
      <c r="J89" s="338"/>
      <c r="K89" s="338"/>
      <c r="L89" s="338"/>
      <c r="M89" s="338"/>
      <c r="N89" s="338"/>
      <c r="O89" s="338"/>
      <c r="P89" s="338"/>
      <c r="Q89" s="338"/>
      <c r="R89" s="338"/>
      <c r="S89" s="338"/>
      <c r="T89" s="338"/>
      <c r="U89" s="338"/>
      <c r="V89" s="338"/>
      <c r="W89" s="338"/>
      <c r="X89" s="338"/>
      <c r="Y89" s="338"/>
    </row>
    <row r="90" spans="1:25">
      <c r="B90" s="341"/>
      <c r="C90" s="338" t="s">
        <v>227</v>
      </c>
      <c r="D90" s="288" t="s">
        <v>369</v>
      </c>
      <c r="E90" s="338"/>
      <c r="F90" s="338"/>
      <c r="G90" s="338"/>
      <c r="H90" s="338"/>
      <c r="I90" s="338"/>
      <c r="J90" s="338"/>
      <c r="K90" s="338"/>
      <c r="L90" s="338"/>
      <c r="M90" s="338"/>
      <c r="N90" s="338"/>
      <c r="O90" s="338"/>
      <c r="P90" s="338"/>
      <c r="Q90" s="338"/>
      <c r="R90" s="338"/>
      <c r="S90" s="338"/>
      <c r="T90" s="338"/>
      <c r="U90" s="338"/>
      <c r="V90" s="338"/>
      <c r="W90" s="338"/>
      <c r="X90" s="338"/>
      <c r="Y90" s="338"/>
    </row>
    <row r="91" spans="1:25">
      <c r="B91" s="341"/>
      <c r="C91" s="772" t="s">
        <v>88</v>
      </c>
      <c r="D91" s="288" t="s">
        <v>1829</v>
      </c>
      <c r="E91" s="338"/>
      <c r="F91" s="338"/>
      <c r="G91" s="338"/>
      <c r="H91" s="338"/>
      <c r="I91" s="338"/>
      <c r="J91" s="338"/>
      <c r="K91" s="338"/>
      <c r="L91" s="338"/>
      <c r="M91" s="338"/>
      <c r="N91" s="338"/>
      <c r="O91" s="338"/>
      <c r="P91" s="338"/>
      <c r="Q91" s="338"/>
      <c r="R91" s="338"/>
      <c r="S91" s="338"/>
      <c r="T91" s="338"/>
      <c r="U91" s="338"/>
      <c r="V91" s="338"/>
      <c r="W91" s="338"/>
      <c r="X91" s="338"/>
      <c r="Y91" s="338"/>
    </row>
    <row r="92" spans="1:25">
      <c r="B92" s="341"/>
      <c r="C92" s="772" t="s">
        <v>94</v>
      </c>
      <c r="D92" s="288" t="s">
        <v>1830</v>
      </c>
      <c r="E92" s="338"/>
      <c r="F92" s="338"/>
      <c r="G92" s="338"/>
      <c r="H92" s="338"/>
      <c r="I92" s="338"/>
      <c r="J92" s="338"/>
      <c r="K92" s="338"/>
      <c r="L92" s="338"/>
      <c r="M92" s="338"/>
      <c r="N92" s="338"/>
      <c r="O92" s="338"/>
      <c r="P92" s="338"/>
      <c r="Q92" s="338"/>
      <c r="R92" s="338"/>
      <c r="S92" s="338"/>
      <c r="T92" s="338"/>
      <c r="U92" s="338"/>
      <c r="V92" s="338"/>
      <c r="W92" s="338"/>
      <c r="X92" s="338"/>
      <c r="Y92" s="338"/>
    </row>
    <row r="93" spans="1:25">
      <c r="B93" s="341"/>
      <c r="C93" s="772" t="s">
        <v>95</v>
      </c>
      <c r="D93" s="288" t="s">
        <v>1831</v>
      </c>
      <c r="E93" s="338"/>
      <c r="F93" s="338"/>
      <c r="G93" s="338"/>
      <c r="H93" s="338"/>
      <c r="I93" s="338"/>
      <c r="J93" s="338"/>
      <c r="K93" s="338"/>
      <c r="L93" s="338"/>
      <c r="M93" s="338"/>
      <c r="N93" s="338"/>
      <c r="O93" s="338"/>
      <c r="P93" s="338"/>
      <c r="Q93" s="338"/>
      <c r="R93" s="338"/>
      <c r="S93" s="338"/>
      <c r="T93" s="338"/>
      <c r="U93" s="338"/>
      <c r="V93" s="338"/>
      <c r="W93" s="338"/>
      <c r="X93" s="338"/>
      <c r="Y93" s="338"/>
    </row>
    <row r="94" spans="1:25">
      <c r="B94" s="341"/>
      <c r="C94" s="78"/>
      <c r="D94" s="687"/>
      <c r="E94" s="338"/>
      <c r="F94" s="338"/>
      <c r="G94" s="338"/>
      <c r="H94" s="338"/>
      <c r="I94" s="338"/>
      <c r="J94" s="338"/>
      <c r="K94" s="338"/>
      <c r="L94" s="338"/>
      <c r="M94" s="338"/>
      <c r="N94" s="338"/>
      <c r="O94" s="338"/>
      <c r="P94" s="338"/>
      <c r="Q94" s="338"/>
      <c r="R94" s="338"/>
      <c r="S94" s="338"/>
      <c r="T94" s="338"/>
      <c r="U94" s="338"/>
      <c r="V94" s="338"/>
      <c r="W94" s="338"/>
      <c r="X94" s="338"/>
      <c r="Y94" s="338"/>
    </row>
    <row r="95" spans="1:25">
      <c r="E95" s="52"/>
      <c r="F95" s="52"/>
      <c r="G95" s="52"/>
      <c r="H95" s="52"/>
      <c r="I95" s="52"/>
      <c r="J95" s="52"/>
      <c r="K95" s="52"/>
      <c r="L95" s="52"/>
      <c r="M95" s="52"/>
      <c r="N95" s="52"/>
      <c r="O95" s="52"/>
      <c r="P95" s="53"/>
      <c r="Q95" s="52"/>
      <c r="R95" s="52"/>
      <c r="S95" s="52"/>
    </row>
    <row r="96" spans="1:25" s="48" customFormat="1" ht="22">
      <c r="A96" s="112"/>
      <c r="B96" s="344" t="s">
        <v>257</v>
      </c>
      <c r="C96" s="111"/>
      <c r="D96" s="824">
        <f>Base_Year</f>
        <v>2006</v>
      </c>
      <c r="E96" s="111"/>
      <c r="F96" s="111"/>
      <c r="G96" s="111"/>
      <c r="H96" s="111"/>
      <c r="I96" s="111"/>
      <c r="J96" s="111"/>
      <c r="K96" s="111"/>
      <c r="L96" s="111"/>
      <c r="M96" s="111"/>
      <c r="N96" s="111"/>
      <c r="O96" s="111"/>
      <c r="P96" s="111"/>
      <c r="Q96" s="33"/>
      <c r="R96" s="33"/>
      <c r="S96" s="33"/>
    </row>
    <row r="97" spans="2:25">
      <c r="B97" s="341"/>
      <c r="C97" s="338"/>
      <c r="D97" s="687"/>
      <c r="E97" s="338"/>
      <c r="F97" s="338"/>
      <c r="G97" s="338"/>
      <c r="H97" s="338"/>
      <c r="I97" s="338"/>
      <c r="J97" s="338"/>
      <c r="K97" s="338"/>
      <c r="L97" s="338"/>
      <c r="M97" s="338"/>
      <c r="N97" s="338"/>
      <c r="O97" s="338"/>
      <c r="P97" s="338"/>
      <c r="Q97" s="36"/>
      <c r="R97" s="36"/>
      <c r="S97" s="36"/>
    </row>
    <row r="98" spans="2:25">
      <c r="B98" s="341"/>
      <c r="C98" s="1028" t="s">
        <v>1357</v>
      </c>
      <c r="D98" s="1028"/>
      <c r="E98" s="820"/>
      <c r="F98" s="338"/>
      <c r="G98" s="338"/>
      <c r="H98" s="338"/>
      <c r="I98" s="78"/>
      <c r="J98" s="78"/>
      <c r="K98" s="338"/>
      <c r="L98" s="338"/>
      <c r="M98" s="338"/>
      <c r="N98" s="338"/>
      <c r="O98" s="338"/>
      <c r="P98" s="338"/>
    </row>
    <row r="99" spans="2:25" ht="15">
      <c r="B99" s="106"/>
      <c r="C99" s="171" t="str">
        <f>Preferences.EnergyUnits</f>
        <v>PJ</v>
      </c>
      <c r="D99" s="687"/>
      <c r="E99" s="465" t="s">
        <v>32</v>
      </c>
      <c r="F99" s="465"/>
      <c r="G99" s="465"/>
      <c r="H99" s="814" t="str">
        <f t="array" ref="H99:O99">TRANSPOSE(IND.Sector_ID)</f>
        <v>MI</v>
      </c>
      <c r="I99" s="814" t="str">
        <v>IS</v>
      </c>
      <c r="J99" s="814" t="str">
        <v>CP</v>
      </c>
      <c r="K99" s="814" t="str">
        <v>NF</v>
      </c>
      <c r="L99" s="814" t="str">
        <v>NM</v>
      </c>
      <c r="M99" s="814" t="str">
        <v>FB</v>
      </c>
      <c r="N99" s="814" t="str">
        <v>PP</v>
      </c>
      <c r="O99" s="814" t="str">
        <v>OT</v>
      </c>
      <c r="P99" s="819"/>
      <c r="X99" s="165"/>
      <c r="Y99" s="165"/>
    </row>
    <row r="100" spans="2:25" s="821" customFormat="1" ht="26">
      <c r="B100" s="823"/>
      <c r="C100" s="699" t="s">
        <v>58</v>
      </c>
      <c r="D100" s="699" t="s">
        <v>59</v>
      </c>
      <c r="E100" s="699" t="s">
        <v>1349</v>
      </c>
      <c r="F100" s="698" t="s">
        <v>1354</v>
      </c>
      <c r="G100" s="699" t="s">
        <v>1343</v>
      </c>
      <c r="H100" s="818" t="str">
        <f>INDEX($D$33:$D$40,MATCH(H99,$C$33:$C$40,0))</f>
        <v>Mining SIC2</v>
      </c>
      <c r="I100" s="818" t="str">
        <f t="shared" ref="I100:O100" si="10">INDEX($D$33:$D$40,MATCH(I99,$C$33:$C$40,0))</f>
        <v>Iron  &amp; Steel  - 351</v>
      </c>
      <c r="J100" s="818" t="str">
        <f t="shared" si="10"/>
        <v>Chemicals  -33</v>
      </c>
      <c r="K100" s="818" t="str">
        <f t="shared" si="10"/>
        <v>Non-Ferrous metals  - 352</v>
      </c>
      <c r="L100" s="818" t="str">
        <f t="shared" si="10"/>
        <v>N.M.M Products  -34</v>
      </c>
      <c r="M100" s="818" t="str">
        <f t="shared" si="10"/>
        <v>Food, Beverage &amp; Tabacco  - 30</v>
      </c>
      <c r="N100" s="818" t="str">
        <f t="shared" si="10"/>
        <v>Pulp &amp; Paper Products  -323</v>
      </c>
      <c r="O100" s="818" t="str">
        <f t="shared" si="10"/>
        <v>Other</v>
      </c>
      <c r="P100" s="818" t="s">
        <v>1355</v>
      </c>
      <c r="X100" s="822"/>
      <c r="Y100" s="822"/>
    </row>
    <row r="101" spans="2:25" s="821" customFormat="1" ht="15">
      <c r="B101" s="823"/>
      <c r="C101" s="695"/>
      <c r="D101" s="339"/>
      <c r="E101" s="383" t="s">
        <v>1345</v>
      </c>
      <c r="F101" s="383"/>
      <c r="G101" s="713" t="s">
        <v>868</v>
      </c>
      <c r="H101" s="713">
        <f t="shared" ref="H101:P101" si="11">SUM(H102:H110)</f>
        <v>117.56357913599999</v>
      </c>
      <c r="I101" s="713">
        <f t="shared" si="11"/>
        <v>99.525273120000008</v>
      </c>
      <c r="J101" s="713">
        <f t="shared" si="11"/>
        <v>35.355234816000007</v>
      </c>
      <c r="K101" s="713">
        <f t="shared" si="11"/>
        <v>74.683578527999998</v>
      </c>
      <c r="L101" s="713">
        <f t="shared" si="11"/>
        <v>24.031958400000008</v>
      </c>
      <c r="M101" s="713">
        <f t="shared" si="11"/>
        <v>14.731855488000001</v>
      </c>
      <c r="N101" s="713">
        <f t="shared" si="11"/>
        <v>37.437264000000006</v>
      </c>
      <c r="O101" s="713">
        <f t="shared" si="11"/>
        <v>24.885786816000007</v>
      </c>
      <c r="P101" s="713">
        <f t="shared" si="11"/>
        <v>428.21453030399994</v>
      </c>
      <c r="R101" s="1312"/>
      <c r="X101" s="822"/>
      <c r="Y101" s="822"/>
    </row>
    <row r="102" spans="2:25" ht="15">
      <c r="B102" s="106"/>
      <c r="C102" s="336" t="str">
        <f>INDEX(EF[UK Vector],MATCH(G102,EF[SATIM Code],0))</f>
        <v>V.01</v>
      </c>
      <c r="D102" s="336" t="str">
        <f>INDEX(Vectors[Description], MATCH($C102, Vectors[Code], 0))</f>
        <v>Electricity (delivered to end user)</v>
      </c>
      <c r="E102" s="556" t="s">
        <v>1000</v>
      </c>
      <c r="F102" s="981" t="str">
        <f t="shared" ref="F102:F110" si="12">INDEX(IND.Sectors_Demand_ID,MATCH(E102,IND.Sectors_Demand,0))</f>
        <v>K</v>
      </c>
      <c r="G102" s="450" t="s">
        <v>879</v>
      </c>
      <c r="H102" s="720">
        <f t="array" ref="H102">Unit.PJ* SUM( IFERROR( (IND.Tech!$C$94:$C$253=$A$1&amp;$G102) * (IND.Tech!$D$94:$D$253=IND.Tech!$B$5&amp;H$99&amp;$F102) * (IND.Tech!$K$94:$K$253),0) )</f>
        <v>2.3512715827199999</v>
      </c>
      <c r="I102" s="720">
        <f t="array" ref="I102">Unit.PJ* SUM( IFERROR( (IND.Tech!$C$94:$C$253=$A$1&amp;$G102) * (IND.Tech!$D$94:$D$253=IND.Tech!$B$5&amp;I$99&amp;$F102) * (IND.Tech!$K$94:$K$253),0) )</f>
        <v>39.810109248000003</v>
      </c>
      <c r="J102" s="720">
        <f t="array" ref="J102">Unit.PJ* SUM( IFERROR( (IND.Tech!$C$94:$C$253=$A$1&amp;$G102) * (IND.Tech!$D$94:$D$253=IND.Tech!$B$5&amp;J$99&amp;$F102) * (IND.Tech!$K$94:$K$253),0) )</f>
        <v>0.7142471680000001</v>
      </c>
      <c r="K102" s="720">
        <f t="array" ref="K102">Unit.PJ* SUM( IFERROR( (IND.Tech!$C$94:$C$253=$A$1&amp;$G102) * (IND.Tech!$D$94:$D$253=IND.Tech!$B$5&amp;K$99&amp;$F102) * (IND.Tech!$K$94:$K$253),0) )</f>
        <v>0.74683578528000005</v>
      </c>
      <c r="L102" s="720">
        <f t="array" ref="L102">Unit.PJ* SUM( IFERROR( (IND.Tech!$C$94:$C$253=$A$1&amp;$G102) * (IND.Tech!$D$94:$D$253=IND.Tech!$B$5&amp;L$99&amp;$F102) * (IND.Tech!$K$94:$K$253),0) )</f>
        <v>5.5273504320000013</v>
      </c>
      <c r="M102" s="720">
        <f t="array" ref="M102">Unit.PJ* SUM( IFERROR( (IND.Tech!$C$94:$C$253=$A$1&amp;$G102) * (IND.Tech!$D$94:$D$253=IND.Tech!$B$5&amp;M$99&amp;$F102) * (IND.Tech!$K$94:$K$253),0) )</f>
        <v>1.0522753920000001</v>
      </c>
      <c r="N102" s="720">
        <f t="array" ref="N102">Unit.PJ* SUM( IFERROR( (IND.Tech!$C$94:$C$253=$A$1&amp;$G102) * (IND.Tech!$D$94:$D$253=IND.Tech!$B$5&amp;N$99&amp;$F102) * (IND.Tech!$K$94:$K$253),0) )</f>
        <v>0.74874528000000018</v>
      </c>
      <c r="O102" s="720">
        <f t="array" ref="O102">Unit.PJ* SUM( IFERROR( (IND.Tech!$C$94:$C$253=$A$1&amp;$G102) * (IND.Tech!$D$94:$D$253=IND.Tech!$B$5&amp;O$99&amp;$F102) * (IND.Tech!$K$94:$K$253),0) )</f>
        <v>2.4257357856000006</v>
      </c>
      <c r="P102" s="817">
        <f t="shared" ref="P102:P110" si="13">SUM($H102:$O102)</f>
        <v>53.3765706736</v>
      </c>
      <c r="X102" s="165"/>
      <c r="Y102" s="165"/>
    </row>
    <row r="103" spans="2:25" ht="15">
      <c r="B103" s="106"/>
      <c r="C103" s="336" t="str">
        <f>INDEX(EF[UK Vector],MATCH(G103,EF[SATIM Code],0))</f>
        <v>V.01</v>
      </c>
      <c r="D103" s="336" t="str">
        <f>INDEX(Vectors[Description], MATCH($C103, Vectors[Code], 0))</f>
        <v>Electricity (delivered to end user)</v>
      </c>
      <c r="E103" s="556" t="s">
        <v>98</v>
      </c>
      <c r="F103" s="981" t="str">
        <f t="shared" si="12"/>
        <v>A</v>
      </c>
      <c r="G103" s="450" t="s">
        <v>879</v>
      </c>
      <c r="H103" s="720">
        <f t="array" ref="H103">Unit.PJ* SUM( IFERROR( (IND.Tech!$C$94:$C$253=$A$1&amp;$G103) * (IND.Tech!$D$94:$D$253=IND.Tech!$B$5&amp;H$99&amp;$F103) * (IND.Tech!$K$94:$K$253),0) )</f>
        <v>21.848754099311257</v>
      </c>
      <c r="I103" s="720">
        <f t="array" ref="I103">Unit.PJ* SUM( IFERROR( (IND.Tech!$C$94:$C$253=$A$1&amp;$G103) * (IND.Tech!$D$94:$D$253=IND.Tech!$B$5&amp;I$99&amp;$F103) * (IND.Tech!$K$94:$K$253),0) )</f>
        <v>4.9762636560000004</v>
      </c>
      <c r="J103" s="720">
        <f t="array" ref="J103">Unit.PJ* SUM( IFERROR( (IND.Tech!$C$94:$C$253=$A$1&amp;$G103) * (IND.Tech!$D$94:$D$253=IND.Tech!$B$5&amp;J$99&amp;$F103) * (IND.Tech!$K$94:$K$253),0) )</f>
        <v>5.3568537600000008</v>
      </c>
      <c r="K103" s="720">
        <f t="array" ref="K103">Unit.PJ* SUM( IFERROR( (IND.Tech!$C$94:$C$253=$A$1&amp;$G103) * (IND.Tech!$D$94:$D$253=IND.Tech!$B$5&amp;K$99&amp;$F103) * (IND.Tech!$K$94:$K$253),0) )</f>
        <v>0</v>
      </c>
      <c r="L103" s="720">
        <f t="array" ref="L103">Unit.PJ* SUM( IFERROR( (IND.Tech!$C$94:$C$253=$A$1&amp;$G103) * (IND.Tech!$D$94:$D$253=IND.Tech!$B$5&amp;L$99&amp;$F103) * (IND.Tech!$K$94:$K$253),0) )</f>
        <v>3.1241545920000005</v>
      </c>
      <c r="M103" s="720">
        <f t="array" ref="M103">Unit.PJ* SUM( IFERROR( (IND.Tech!$C$94:$C$253=$A$1&amp;$G103) * (IND.Tech!$D$94:$D$253=IND.Tech!$B$5&amp;M$99&amp;$F103) * (IND.Tech!$K$94:$K$253),0) )</f>
        <v>0.60130022400000005</v>
      </c>
      <c r="N103" s="720">
        <f t="array" ref="N103">Unit.PJ* SUM( IFERROR( (IND.Tech!$C$94:$C$253=$A$1&amp;$G103) * (IND.Tech!$D$94:$D$253=IND.Tech!$B$5&amp;N$99&amp;$F103) * (IND.Tech!$K$94:$K$253),0) )</f>
        <v>13.103042400000001</v>
      </c>
      <c r="O103" s="720">
        <f t="array" ref="O103">Unit.PJ* SUM( IFERROR( (IND.Tech!$C$94:$C$253=$A$1&amp;$G103) * (IND.Tech!$D$94:$D$253=IND.Tech!$B$5&amp;O$99&amp;$F103) * (IND.Tech!$K$94:$K$253),0) )</f>
        <v>2.7474914131200001</v>
      </c>
      <c r="P103" s="817">
        <f t="shared" si="13"/>
        <v>51.757860144431262</v>
      </c>
      <c r="X103" s="165"/>
      <c r="Y103" s="165"/>
    </row>
    <row r="104" spans="2:25" ht="15">
      <c r="B104" s="106"/>
      <c r="C104" s="336" t="str">
        <f>INDEX(EF[UK Vector],MATCH(G104,EF[SATIM Code],0))</f>
        <v>V.01</v>
      </c>
      <c r="D104" s="336" t="str">
        <f>INDEX(Vectors[Description], MATCH($C104, Vectors[Code], 0))</f>
        <v>Electricity (delivered to end user)</v>
      </c>
      <c r="E104" s="556" t="s">
        <v>96</v>
      </c>
      <c r="F104" s="981" t="str">
        <f t="shared" si="12"/>
        <v>L</v>
      </c>
      <c r="G104" s="450" t="s">
        <v>879</v>
      </c>
      <c r="H104" s="720">
        <f t="array" ref="H104">Unit.PJ* SUM( IFERROR( (IND.Tech!$C$94:$C$253=$A$1&amp;$G104) * (IND.Tech!$D$94:$D$253=IND.Tech!$B$5&amp;H$99&amp;$F104) * (IND.Tech!$K$94:$K$253),0) )</f>
        <v>5.2903610611199996</v>
      </c>
      <c r="I104" s="720">
        <f t="array" ref="I104">Unit.PJ* SUM( IFERROR( (IND.Tech!$C$94:$C$253=$A$1&amp;$G104) * (IND.Tech!$D$94:$D$253=IND.Tech!$B$5&amp;I$99&amp;$F104) * (IND.Tech!$K$94:$K$253),0) )</f>
        <v>3.4833845592000006</v>
      </c>
      <c r="J104" s="720">
        <f t="array" ref="J104">Unit.PJ* SUM( IFERROR( (IND.Tech!$C$94:$C$253=$A$1&amp;$G104) * (IND.Tech!$D$94:$D$253=IND.Tech!$B$5&amp;J$99&amp;$F104) * (IND.Tech!$K$94:$K$253),0) )</f>
        <v>1.4284943360000002</v>
      </c>
      <c r="K104" s="720">
        <f t="array" ref="K104">Unit.PJ* SUM( IFERROR( (IND.Tech!$C$94:$C$253=$A$1&amp;$G104) * (IND.Tech!$D$94:$D$253=IND.Tech!$B$5&amp;K$99&amp;$F104) * (IND.Tech!$K$94:$K$253),0) )</f>
        <v>0.74683578528000005</v>
      </c>
      <c r="L104" s="720">
        <f t="array" ref="L104">Unit.PJ* SUM( IFERROR( (IND.Tech!$C$94:$C$253=$A$1&amp;$G104) * (IND.Tech!$D$94:$D$253=IND.Tech!$B$5&amp;L$99&amp;$F104) * (IND.Tech!$K$94:$K$253),0) )</f>
        <v>1.2015979200000002</v>
      </c>
      <c r="M104" s="720">
        <f t="array" ref="M104">Unit.PJ* SUM( IFERROR( (IND.Tech!$C$94:$C$253=$A$1&amp;$G104) * (IND.Tech!$D$94:$D$253=IND.Tech!$B$5&amp;M$99&amp;$F104) * (IND.Tech!$K$94:$K$253),0) )</f>
        <v>0.75162528000000006</v>
      </c>
      <c r="N104" s="720">
        <f t="array" ref="N104">Unit.PJ* SUM( IFERROR( (IND.Tech!$C$94:$C$253=$A$1&amp;$G104) * (IND.Tech!$D$94:$D$253=IND.Tech!$B$5&amp;N$99&amp;$F104) * (IND.Tech!$K$94:$K$253),0) )</f>
        <v>3.7437264000000008</v>
      </c>
      <c r="O104" s="720">
        <f t="array" ref="O104">Unit.PJ* SUM( IFERROR( (IND.Tech!$C$94:$C$253=$A$1&amp;$G104) * (IND.Tech!$D$94:$D$253=IND.Tech!$B$5&amp;O$99&amp;$F104) * (IND.Tech!$K$94:$K$253),0) )</f>
        <v>2.0285686828800005</v>
      </c>
      <c r="P104" s="817">
        <f t="shared" si="13"/>
        <v>18.674594024480001</v>
      </c>
      <c r="X104" s="165"/>
      <c r="Y104" s="165"/>
    </row>
    <row r="105" spans="2:25" ht="15">
      <c r="B105" s="106"/>
      <c r="C105" s="336" t="str">
        <f>INDEX(EF[UK Vector],MATCH(G105,EF[SATIM Code],0))</f>
        <v>V.01</v>
      </c>
      <c r="D105" s="336" t="str">
        <f>INDEX(Vectors[Description], MATCH($C105, Vectors[Code], 0))</f>
        <v>Electricity (delivered to end user)</v>
      </c>
      <c r="E105" s="556" t="s">
        <v>438</v>
      </c>
      <c r="F105" s="981" t="str">
        <f t="shared" si="12"/>
        <v>C</v>
      </c>
      <c r="G105" s="450" t="s">
        <v>879</v>
      </c>
      <c r="H105" s="720">
        <f t="array" ref="H105">Unit.PJ* SUM( IFERROR( (IND.Tech!$C$94:$C$253=$A$1&amp;$G105) * (IND.Tech!$D$94:$D$253=IND.Tech!$B$5&amp;H$99&amp;$F105) * (IND.Tech!$K$94:$K$253),0) )</f>
        <v>9.5437498082040619</v>
      </c>
      <c r="I105" s="720">
        <f t="array" ref="I105">Unit.PJ* SUM( IFERROR( (IND.Tech!$C$94:$C$253=$A$1&amp;$G105) * (IND.Tech!$D$94:$D$253=IND.Tech!$B$5&amp;I$99&amp;$F105) * (IND.Tech!$K$94:$K$253),0) )</f>
        <v>0.99525273120000013</v>
      </c>
      <c r="J105" s="720">
        <f t="array" ref="J105">Unit.PJ* SUM( IFERROR( (IND.Tech!$C$94:$C$253=$A$1&amp;$G105) * (IND.Tech!$D$94:$D$253=IND.Tech!$B$5&amp;J$99&amp;$F105) * (IND.Tech!$K$94:$K$253),0) )</f>
        <v>1.7856179200000004</v>
      </c>
      <c r="K105" s="720">
        <f t="array" ref="K105">Unit.PJ* SUM( IFERROR( (IND.Tech!$C$94:$C$253=$A$1&amp;$G105) * (IND.Tech!$D$94:$D$253=IND.Tech!$B$5&amp;K$99&amp;$F105) * (IND.Tech!$K$94:$K$253),0) )</f>
        <v>0</v>
      </c>
      <c r="L105" s="720">
        <f t="array" ref="L105">Unit.PJ* SUM( IFERROR( (IND.Tech!$C$94:$C$253=$A$1&amp;$G105) * (IND.Tech!$D$94:$D$253=IND.Tech!$B$5&amp;L$99&amp;$F105) * (IND.Tech!$K$94:$K$253),0) )</f>
        <v>0</v>
      </c>
      <c r="M105" s="720">
        <f t="array" ref="M105">Unit.PJ* SUM( IFERROR( (IND.Tech!$C$94:$C$253=$A$1&amp;$G105) * (IND.Tech!$D$94:$D$253=IND.Tech!$B$5&amp;M$99&amp;$F105) * (IND.Tech!$K$94:$K$253),0) )</f>
        <v>3.4574762880000001</v>
      </c>
      <c r="N105" s="720">
        <f t="array" ref="N105">Unit.PJ* SUM( IFERROR( (IND.Tech!$C$94:$C$253=$A$1&amp;$G105) * (IND.Tech!$D$94:$D$253=IND.Tech!$B$5&amp;N$99&amp;$F105) * (IND.Tech!$K$94:$K$253),0) )</f>
        <v>0</v>
      </c>
      <c r="O105" s="720">
        <f t="array" ref="O105">Unit.PJ* SUM( IFERROR( (IND.Tech!$C$94:$C$253=$A$1&amp;$G105) * (IND.Tech!$D$94:$D$253=IND.Tech!$B$5&amp;O$99&amp;$F105) * (IND.Tech!$K$94:$K$253),0) )</f>
        <v>1.2920499417600004</v>
      </c>
      <c r="P105" s="817">
        <f t="shared" si="13"/>
        <v>17.074146689164063</v>
      </c>
      <c r="X105" s="165"/>
      <c r="Y105" s="165"/>
    </row>
    <row r="106" spans="2:25" ht="15">
      <c r="B106" s="106"/>
      <c r="C106" s="336" t="str">
        <f>INDEX(EF[UK Vector],MATCH(G106,EF[SATIM Code],0))</f>
        <v>V.01</v>
      </c>
      <c r="D106" s="336" t="str">
        <f>INDEX(Vectors[Description], MATCH($C106, Vectors[Code], 0))</f>
        <v>Electricity (delivered to end user)</v>
      </c>
      <c r="E106" s="556" t="s">
        <v>999</v>
      </c>
      <c r="F106" s="981" t="str">
        <f t="shared" si="12"/>
        <v>H</v>
      </c>
      <c r="G106" s="450" t="s">
        <v>879</v>
      </c>
      <c r="H106" s="720">
        <f t="array" ref="H106">Unit.PJ* SUM( IFERROR( (IND.Tech!$C$94:$C$253=$A$1&amp;$G106) * (IND.Tech!$D$94:$D$253=IND.Tech!$B$5&amp;H$99&amp;$F106) * (IND.Tech!$K$94:$K$253),0) )</f>
        <v>9.4050863308799997</v>
      </c>
      <c r="I106" s="720">
        <f t="array" ref="I106">Unit.PJ* SUM( IFERROR( (IND.Tech!$C$94:$C$253=$A$1&amp;$G106) * (IND.Tech!$D$94:$D$253=IND.Tech!$B$5&amp;I$99&amp;$F106) * (IND.Tech!$K$94:$K$253),0) )</f>
        <v>1.9905054624000003</v>
      </c>
      <c r="J106" s="720">
        <f t="array" ref="J106">Unit.PJ* SUM( IFERROR( (IND.Tech!$C$94:$C$253=$A$1&amp;$G106) * (IND.Tech!$D$94:$D$253=IND.Tech!$B$5&amp;J$99&amp;$F106) * (IND.Tech!$K$94:$K$253),0) )</f>
        <v>0.7142471680000001</v>
      </c>
      <c r="K106" s="720">
        <f t="array" ref="K106">Unit.PJ* SUM( IFERROR( (IND.Tech!$C$94:$C$253=$A$1&amp;$G106) * (IND.Tech!$D$94:$D$253=IND.Tech!$B$5&amp;K$99&amp;$F106) * (IND.Tech!$K$94:$K$253),0) )</f>
        <v>0.74683578528000005</v>
      </c>
      <c r="L106" s="720">
        <f t="array" ref="L106">Unit.PJ* SUM( IFERROR( (IND.Tech!$C$94:$C$253=$A$1&amp;$G106) * (IND.Tech!$D$94:$D$253=IND.Tech!$B$5&amp;L$99&amp;$F106) * (IND.Tech!$K$94:$K$253),0) )</f>
        <v>0.48063916800000012</v>
      </c>
      <c r="M106" s="720">
        <f t="array" ref="M106">Unit.PJ* SUM( IFERROR( (IND.Tech!$C$94:$C$253=$A$1&amp;$G106) * (IND.Tech!$D$94:$D$253=IND.Tech!$B$5&amp;M$99&amp;$F106) * (IND.Tech!$K$94:$K$253),0) )</f>
        <v>0.90195033599999996</v>
      </c>
      <c r="N106" s="720">
        <f t="array" ref="N106">Unit.PJ* SUM( IFERROR( (IND.Tech!$C$94:$C$253=$A$1&amp;$G106) * (IND.Tech!$D$94:$D$253=IND.Tech!$B$5&amp;N$99&amp;$F106) * (IND.Tech!$K$94:$K$253),0) )</f>
        <v>1.4974905600000004</v>
      </c>
      <c r="O106" s="720">
        <f t="array" ref="O106">Unit.PJ* SUM( IFERROR( (IND.Tech!$C$94:$C$253=$A$1&amp;$G106) * (IND.Tech!$D$94:$D$253=IND.Tech!$B$5&amp;O$99&amp;$F106) * (IND.Tech!$K$94:$K$253),0) )</f>
        <v>2.1341447481600002</v>
      </c>
      <c r="P106" s="817">
        <f t="shared" si="13"/>
        <v>17.870899558720001</v>
      </c>
      <c r="X106" s="165"/>
      <c r="Y106" s="165"/>
    </row>
    <row r="107" spans="2:25" ht="15">
      <c r="B107" s="106"/>
      <c r="C107" s="336" t="str">
        <f>INDEX(EF[UK Vector],MATCH(G107,EF[SATIM Code],0))</f>
        <v>V.01</v>
      </c>
      <c r="D107" s="336" t="str">
        <f>INDEX(Vectors[Description], MATCH($C107, Vectors[Code], 0))</f>
        <v>Electricity (delivered to end user)</v>
      </c>
      <c r="E107" s="556" t="s">
        <v>997</v>
      </c>
      <c r="F107" s="981" t="str">
        <f t="shared" si="12"/>
        <v>P</v>
      </c>
      <c r="G107" s="450" t="s">
        <v>879</v>
      </c>
      <c r="H107" s="720">
        <f t="array" ref="H107">Unit.PJ* SUM( IFERROR( (IND.Tech!$C$94:$C$253=$A$1&amp;$G107) * (IND.Tech!$D$94:$D$253=IND.Tech!$B$5&amp;H$99&amp;$F107) * (IND.Tech!$K$94:$K$253),0) )</f>
        <v>21.028788298944985</v>
      </c>
      <c r="I107" s="720">
        <f t="array" ref="I107">Unit.PJ* SUM( IFERROR( (IND.Tech!$C$94:$C$253=$A$1&amp;$G107) * (IND.Tech!$D$94:$D$253=IND.Tech!$B$5&amp;I$99&amp;$F107) * (IND.Tech!$K$94:$K$253),0) )</f>
        <v>2.4881318280000002</v>
      </c>
      <c r="J107" s="720">
        <f t="array" ref="J107">Unit.PJ* SUM( IFERROR( (IND.Tech!$C$94:$C$253=$A$1&amp;$G107) * (IND.Tech!$D$94:$D$253=IND.Tech!$B$5&amp;J$99&amp;$F107) * (IND.Tech!$K$94:$K$253),0) )</f>
        <v>12.499325440000002</v>
      </c>
      <c r="K107" s="720">
        <f t="array" ref="K107">Unit.PJ* SUM( IFERROR( (IND.Tech!$C$94:$C$253=$A$1&amp;$G107) * (IND.Tech!$D$94:$D$253=IND.Tech!$B$5&amp;K$99&amp;$F107) * (IND.Tech!$K$94:$K$253),0) )</f>
        <v>0</v>
      </c>
      <c r="L107" s="720">
        <f t="array" ref="L107">Unit.PJ* SUM( IFERROR( (IND.Tech!$C$94:$C$253=$A$1&amp;$G107) * (IND.Tech!$D$94:$D$253=IND.Tech!$B$5&amp;L$99&amp;$F107) * (IND.Tech!$K$94:$K$253),0) )</f>
        <v>2.0427164640000006</v>
      </c>
      <c r="M107" s="720">
        <f t="array" ref="M107">Unit.PJ* SUM( IFERROR( (IND.Tech!$C$94:$C$253=$A$1&amp;$G107) * (IND.Tech!$D$94:$D$253=IND.Tech!$B$5&amp;M$99&amp;$F107) * (IND.Tech!$K$94:$K$253),0) )</f>
        <v>4.2091015680000003</v>
      </c>
      <c r="N107" s="720">
        <f t="array" ref="N107">Unit.PJ* SUM( IFERROR( (IND.Tech!$C$94:$C$253=$A$1&amp;$G107) * (IND.Tech!$D$94:$D$253=IND.Tech!$B$5&amp;N$99&amp;$F107) * (IND.Tech!$K$94:$K$253),0) )</f>
        <v>13.103042400000001</v>
      </c>
      <c r="O107" s="720">
        <f t="array" ref="O107">Unit.PJ* SUM( IFERROR( (IND.Tech!$C$94:$C$253=$A$1&amp;$G107) * (IND.Tech!$D$94:$D$253=IND.Tech!$B$5&amp;O$99&amp;$F107) * (IND.Tech!$K$94:$K$253),0) )</f>
        <v>3.2678305920000006</v>
      </c>
      <c r="P107" s="817">
        <f t="shared" si="13"/>
        <v>58.638936590944994</v>
      </c>
      <c r="X107" s="165"/>
      <c r="Y107" s="165"/>
    </row>
    <row r="108" spans="2:25" ht="15">
      <c r="B108" s="106"/>
      <c r="C108" s="336" t="str">
        <f>INDEX(EF[UK Vector],MATCH(G108,EF[SATIM Code],0))</f>
        <v>V.01</v>
      </c>
      <c r="D108" s="336" t="str">
        <f>INDEX(Vectors[Description], MATCH($C108, Vectors[Code], 0))</f>
        <v>Electricity (delivered to end user)</v>
      </c>
      <c r="E108" s="556" t="s">
        <v>996</v>
      </c>
      <c r="F108" s="981" t="str">
        <f t="shared" si="12"/>
        <v>F</v>
      </c>
      <c r="G108" s="450" t="s">
        <v>879</v>
      </c>
      <c r="H108" s="720">
        <f t="array" ref="H108">Unit.PJ* SUM( IFERROR( (IND.Tech!$C$94:$C$253=$A$1&amp;$G108) * (IND.Tech!$D$94:$D$253=IND.Tech!$B$5&amp;H$99&amp;$F108) * (IND.Tech!$K$94:$K$253),0) )</f>
        <v>8.0967945939849866</v>
      </c>
      <c r="I108" s="720">
        <f t="array" ref="I108">Unit.PJ* SUM( IFERROR( (IND.Tech!$C$94:$C$253=$A$1&amp;$G108) * (IND.Tech!$D$94:$D$253=IND.Tech!$B$5&amp;I$99&amp;$F108) * (IND.Tech!$K$94:$K$253),0) )</f>
        <v>4.4786372904</v>
      </c>
      <c r="J108" s="720">
        <f t="array" ref="J108">Unit.PJ* SUM( IFERROR( (IND.Tech!$C$94:$C$253=$A$1&amp;$G108) * (IND.Tech!$D$94:$D$253=IND.Tech!$B$5&amp;J$99&amp;$F108) * (IND.Tech!$K$94:$K$253),0) )</f>
        <v>2.8569886720000004</v>
      </c>
      <c r="K108" s="720">
        <f t="array" ref="K108">Unit.PJ* SUM( IFERROR( (IND.Tech!$C$94:$C$253=$A$1&amp;$G108) * (IND.Tech!$D$94:$D$253=IND.Tech!$B$5&amp;K$99&amp;$F108) * (IND.Tech!$K$94:$K$253),0) )</f>
        <v>0</v>
      </c>
      <c r="L108" s="720">
        <f t="array" ref="L108">Unit.PJ* SUM( IFERROR( (IND.Tech!$C$94:$C$253=$A$1&amp;$G108) * (IND.Tech!$D$94:$D$253=IND.Tech!$B$5&amp;L$99&amp;$F108) * (IND.Tech!$K$94:$K$253),0) )</f>
        <v>2.1628762560000001</v>
      </c>
      <c r="M108" s="720">
        <f t="array" ref="M108">Unit.PJ* SUM( IFERROR( (IND.Tech!$C$94:$C$253=$A$1&amp;$G108) * (IND.Tech!$D$94:$D$253=IND.Tech!$B$5&amp;M$99&amp;$F108) * (IND.Tech!$K$94:$K$253),0) )</f>
        <v>0.60130022400000005</v>
      </c>
      <c r="N108" s="720">
        <f t="array" ref="N108">Unit.PJ* SUM( IFERROR( (IND.Tech!$C$94:$C$253=$A$1&amp;$G108) * (IND.Tech!$D$94:$D$253=IND.Tech!$B$5&amp;N$99&amp;$F108) * (IND.Tech!$K$94:$K$253),0) )</f>
        <v>0</v>
      </c>
      <c r="O108" s="720">
        <f t="array" ref="O108">Unit.PJ* SUM( IFERROR( (IND.Tech!$C$94:$C$253=$A$1&amp;$G108) * (IND.Tech!$D$94:$D$253=IND.Tech!$B$5&amp;O$99&amp;$F108) * (IND.Tech!$K$94:$K$253),0) )</f>
        <v>1.3913417174400002</v>
      </c>
      <c r="P108" s="817">
        <f t="shared" si="13"/>
        <v>19.587938753824986</v>
      </c>
      <c r="X108" s="165"/>
      <c r="Y108" s="165"/>
    </row>
    <row r="109" spans="2:25" ht="15">
      <c r="B109" s="106"/>
      <c r="C109" s="336" t="str">
        <f>INDEX(EF[UK Vector],MATCH(G109,EF[SATIM Code],0))</f>
        <v>V.01</v>
      </c>
      <c r="D109" s="336" t="str">
        <f>INDEX(Vectors[Description], MATCH($C109, Vectors[Code], 0))</f>
        <v>Electricity (delivered to end user)</v>
      </c>
      <c r="E109" s="556" t="s">
        <v>995</v>
      </c>
      <c r="F109" s="981" t="str">
        <f t="shared" si="12"/>
        <v>O</v>
      </c>
      <c r="G109" s="450" t="s">
        <v>879</v>
      </c>
      <c r="H109" s="720">
        <f t="array" ref="H109">Unit.PJ* SUM( IFERROR( (IND.Tech!$C$94:$C$253=$A$1&amp;$G109) * (IND.Tech!$D$94:$D$253=IND.Tech!$B$5&amp;H$99&amp;$F109) * (IND.Tech!$K$94:$K$253),0) )</f>
        <v>39.728377128821904</v>
      </c>
      <c r="I109" s="720">
        <f t="array" ref="I109">Unit.PJ* SUM( IFERROR( (IND.Tech!$C$94:$C$253=$A$1&amp;$G109) * (IND.Tech!$D$94:$D$253=IND.Tech!$B$5&amp;I$99&amp;$F109) * (IND.Tech!$K$94:$K$253),0) )</f>
        <v>41.302988344799999</v>
      </c>
      <c r="J109" s="720">
        <f t="array" ref="J109">Unit.PJ* SUM( IFERROR( (IND.Tech!$C$94:$C$253=$A$1&amp;$G109) * (IND.Tech!$D$94:$D$253=IND.Tech!$B$5&amp;J$99&amp;$F109) * (IND.Tech!$K$94:$K$253),0) )</f>
        <v>7.1424716800000017</v>
      </c>
      <c r="K109" s="720">
        <f t="array" ref="K109">Unit.PJ* SUM( IFERROR( (IND.Tech!$C$94:$C$253=$A$1&amp;$G109) * (IND.Tech!$D$94:$D$253=IND.Tech!$B$5&amp;K$99&amp;$F109) * (IND.Tech!$K$94:$K$253),0) )</f>
        <v>5.2278504969600004</v>
      </c>
      <c r="L109" s="720">
        <f t="array" ref="L109">Unit.PJ* SUM( IFERROR( (IND.Tech!$C$94:$C$253=$A$1&amp;$G109) * (IND.Tech!$D$94:$D$253=IND.Tech!$B$5&amp;L$99&amp;$F109) * (IND.Tech!$K$94:$K$253),0) )</f>
        <v>9.4926235680000026</v>
      </c>
      <c r="M109" s="720">
        <f t="array" ref="M109">Unit.PJ* SUM( IFERROR( (IND.Tech!$C$94:$C$253=$A$1&amp;$G109) * (IND.Tech!$D$94:$D$253=IND.Tech!$B$5&amp;M$99&amp;$F109) * (IND.Tech!$K$94:$K$253),0) )</f>
        <v>3.156826176</v>
      </c>
      <c r="N109" s="720">
        <f t="array" ref="N109">Unit.PJ* SUM( IFERROR( (IND.Tech!$C$94:$C$253=$A$1&amp;$G109) * (IND.Tech!$D$94:$D$253=IND.Tech!$B$5&amp;N$99&amp;$F109) * (IND.Tech!$K$94:$K$253),0) )</f>
        <v>5.2412169600000009</v>
      </c>
      <c r="O109" s="720">
        <f t="array" ref="O109">Unit.PJ* SUM( IFERROR( (IND.Tech!$C$94:$C$253=$A$1&amp;$G109) * (IND.Tech!$D$94:$D$253=IND.Tech!$B$5&amp;O$99&amp;$F109) * (IND.Tech!$K$94:$K$253),0) )</f>
        <v>9.2713381326720032</v>
      </c>
      <c r="P109" s="817">
        <f t="shared" si="13"/>
        <v>120.5636924872539</v>
      </c>
      <c r="X109" s="165"/>
      <c r="Y109" s="165"/>
    </row>
    <row r="110" spans="2:25" ht="15">
      <c r="B110" s="106"/>
      <c r="C110" s="336" t="str">
        <f>INDEX(EF[UK Vector],MATCH(G110,EF[SATIM Code],0))</f>
        <v>V.01</v>
      </c>
      <c r="D110" s="336" t="str">
        <f>INDEX(Vectors[Description], MATCH($C110, Vectors[Code], 0))</f>
        <v>Electricity (delivered to end user)</v>
      </c>
      <c r="E110" s="556" t="s">
        <v>994</v>
      </c>
      <c r="F110" s="981" t="str">
        <f t="shared" si="12"/>
        <v>E</v>
      </c>
      <c r="G110" s="450" t="s">
        <v>879</v>
      </c>
      <c r="H110" s="720">
        <f t="array" ref="H110">Unit.PJ* SUM( IFERROR( (IND.Tech!$C$94:$C$253=$A$1&amp;$G110) * (IND.Tech!$D$94:$D$253=IND.Tech!$B$5&amp;H$99&amp;$F110) * (IND.Tech!$K$94:$K$253),0) )</f>
        <v>0.2703962320128</v>
      </c>
      <c r="I110" s="720">
        <f t="array" ref="I110">Unit.PJ* SUM( IFERROR( (IND.Tech!$C$94:$C$253=$A$1&amp;$G110) * (IND.Tech!$D$94:$D$253=IND.Tech!$B$5&amp;I$99&amp;$F110) * (IND.Tech!$K$94:$K$253),0) )</f>
        <v>0</v>
      </c>
      <c r="J110" s="720">
        <f t="array" ref="J110">Unit.PJ* SUM( IFERROR( (IND.Tech!$C$94:$C$253=$A$1&amp;$G110) * (IND.Tech!$D$94:$D$253=IND.Tech!$B$5&amp;J$99&amp;$F110) * (IND.Tech!$K$94:$K$253),0) )</f>
        <v>2.8569886720000004</v>
      </c>
      <c r="K110" s="720">
        <f t="array" ref="K110">Unit.PJ* SUM( IFERROR( (IND.Tech!$C$94:$C$253=$A$1&amp;$G110) * (IND.Tech!$D$94:$D$253=IND.Tech!$B$5&amp;K$99&amp;$F110) * (IND.Tech!$K$94:$K$253),0) )</f>
        <v>67.215220675200001</v>
      </c>
      <c r="L110" s="720">
        <f t="array" ref="L110">Unit.PJ* SUM( IFERROR( (IND.Tech!$C$94:$C$253=$A$1&amp;$G110) * (IND.Tech!$D$94:$D$253=IND.Tech!$B$5&amp;L$99&amp;$F110) * (IND.Tech!$K$94:$K$253),0) )</f>
        <v>0</v>
      </c>
      <c r="M110" s="720">
        <f t="array" ref="M110">Unit.PJ* SUM( IFERROR( (IND.Tech!$C$94:$C$253=$A$1&amp;$G110) * (IND.Tech!$D$94:$D$253=IND.Tech!$B$5&amp;M$99&amp;$F110) * (IND.Tech!$K$94:$K$253),0) )</f>
        <v>0</v>
      </c>
      <c r="N110" s="720">
        <f t="array" ref="N110">Unit.PJ* SUM( IFERROR( (IND.Tech!$C$94:$C$253=$A$1&amp;$G110) * (IND.Tech!$D$94:$D$253=IND.Tech!$B$5&amp;N$99&amp;$F110) * (IND.Tech!$K$94:$K$253),0) )</f>
        <v>0</v>
      </c>
      <c r="O110" s="720">
        <f t="array" ref="O110">Unit.PJ* SUM( IFERROR( (IND.Tech!$C$94:$C$253=$A$1&amp;$G110) * (IND.Tech!$D$94:$D$253=IND.Tech!$B$5&amp;O$99&amp;$F110) * (IND.Tech!$K$94:$K$253),0) )</f>
        <v>0.32728580236800009</v>
      </c>
      <c r="P110" s="817">
        <f t="shared" si="13"/>
        <v>70.669891381580797</v>
      </c>
      <c r="X110" s="165"/>
      <c r="Y110" s="165"/>
    </row>
    <row r="111" spans="2:25" ht="15">
      <c r="B111" s="106"/>
      <c r="C111" s="336"/>
      <c r="D111" s="336"/>
      <c r="E111" s="336"/>
      <c r="F111" s="336"/>
      <c r="G111" s="336"/>
      <c r="H111" s="336"/>
      <c r="I111" s="387"/>
      <c r="J111" s="387"/>
      <c r="K111" s="387"/>
      <c r="L111" s="387"/>
      <c r="M111" s="387"/>
      <c r="N111" s="387"/>
      <c r="O111" s="387"/>
      <c r="P111" s="387"/>
      <c r="X111" s="165"/>
      <c r="Y111" s="165"/>
    </row>
    <row r="112" spans="2:25" ht="15">
      <c r="B112" s="106"/>
      <c r="C112" s="339"/>
      <c r="D112" s="339"/>
      <c r="E112" s="383" t="s">
        <v>1344</v>
      </c>
      <c r="F112" s="287"/>
      <c r="G112" s="725" t="s">
        <v>868</v>
      </c>
      <c r="H112" s="725">
        <f t="shared" ref="H112:P112" si="14">SUM(H113:H119)</f>
        <v>56.259635494999991</v>
      </c>
      <c r="I112" s="725">
        <f t="shared" si="14"/>
        <v>151.20681996264807</v>
      </c>
      <c r="J112" s="725">
        <f t="shared" si="14"/>
        <v>110.320924584</v>
      </c>
      <c r="K112" s="725">
        <f t="shared" si="14"/>
        <v>0.80999999999999972</v>
      </c>
      <c r="L112" s="725">
        <f t="shared" si="14"/>
        <v>61.868499999999983</v>
      </c>
      <c r="M112" s="725">
        <f t="shared" si="14"/>
        <v>44.097350111999994</v>
      </c>
      <c r="N112" s="725">
        <f t="shared" si="14"/>
        <v>109.13309090909088</v>
      </c>
      <c r="O112" s="725">
        <f t="shared" si="14"/>
        <v>163.24174600665185</v>
      </c>
      <c r="P112" s="725">
        <f t="shared" si="14"/>
        <v>696.93806706939074</v>
      </c>
      <c r="Q112" s="821"/>
      <c r="X112" s="165"/>
      <c r="Y112" s="165"/>
    </row>
    <row r="113" spans="2:25" ht="15">
      <c r="B113" s="106"/>
      <c r="C113" s="336" t="str">
        <f>INDEX(EF[UK Vector],MATCH(G113,EF[SATIM Code],0))</f>
        <v>V.03</v>
      </c>
      <c r="D113" s="336" t="str">
        <f>INDEX(Vectors[Description], MATCH($C113, Vectors[Code], 0))</f>
        <v>Solid hydrocarbons</v>
      </c>
      <c r="E113" s="556" t="s">
        <v>1316</v>
      </c>
      <c r="F113" s="981" t="str">
        <f t="shared" ref="F113:F120" si="15">INDEX(IND.Sectors_Demand_ID,MATCH(E113,IND.Sectors_Demand,0))</f>
        <v>S</v>
      </c>
      <c r="G113" s="450" t="s">
        <v>882</v>
      </c>
      <c r="H113" s="720">
        <f t="array" ref="H113" xml:space="preserve"> Unit.PJ * SUM( IFERROR( (IND.Tech!$C$94:$C$253=CONCATENATE($A$1,$G113)) * (IND.Tech!$D$94:$D$253=CONCATENATE(IND.Tech!$B$5,H$99,$F113)) * (IND.Tech!$K$94:$K$253),0) )</f>
        <v>53.282366999999986</v>
      </c>
      <c r="I113" s="720">
        <f t="array" ref="I113" xml:space="preserve"> Unit.PJ * SUM( IFERROR( (IND.Tech!$C$94:$C$253=CONCATENATE($A$1,$G113)) * (IND.Tech!$D$94:$D$253=CONCATENATE(IND.Tech!$B$5,I$99,$F113)) * (IND.Tech!$K$94:$K$253),0) )</f>
        <v>125.37071996264805</v>
      </c>
      <c r="J113" s="720">
        <f t="array" ref="J113" xml:space="preserve"> Unit.PJ * SUM( IFERROR( (IND.Tech!$C$94:$C$253=CONCATENATE($A$1,$G113)) * (IND.Tech!$D$94:$D$253=CONCATENATE(IND.Tech!$B$5,J$99,$F113)) * (IND.Tech!$K$94:$K$253),0) )</f>
        <v>50.84189099999999</v>
      </c>
      <c r="K113" s="720">
        <f t="array" ref="K113" xml:space="preserve"> Unit.PJ * SUM( IFERROR( (IND.Tech!$C$94:$C$253=CONCATENATE($A$1,$G113)) * (IND.Tech!$D$94:$D$253=CONCATENATE(IND.Tech!$B$5,K$99,$F113)) * (IND.Tech!$K$94:$K$253),0) )</f>
        <v>0.80999999999999972</v>
      </c>
      <c r="L113" s="720">
        <f t="array" ref="L113" xml:space="preserve"> Unit.PJ * SUM( IFERROR( (IND.Tech!$C$94:$C$253=CONCATENATE($A$1,$G113)) * (IND.Tech!$D$94:$D$253=CONCATENATE(IND.Tech!$B$5,L$99,$F113)) * (IND.Tech!$K$94:$K$253),0) )</f>
        <v>53.999999999999986</v>
      </c>
      <c r="M113" s="720">
        <f t="array" ref="M113" xml:space="preserve"> Unit.PJ * SUM( IFERROR( (IND.Tech!$C$94:$C$253=CONCATENATE($A$1,$G113)) * (IND.Tech!$D$94:$D$253=CONCATENATE(IND.Tech!$B$5,M$99,$F113)) * (IND.Tech!$K$94:$K$253),0) )</f>
        <v>32.399999999999991</v>
      </c>
      <c r="N113" s="720">
        <f t="array" ref="N113" xml:space="preserve"> Unit.PJ * SUM( IFERROR( (IND.Tech!$C$94:$C$253=CONCATENATE($A$1,$G113)) * (IND.Tech!$D$94:$D$253=CONCATENATE(IND.Tech!$B$5,N$99,$F113)) * (IND.Tech!$K$94:$K$253),0) )</f>
        <v>64.799999999999983</v>
      </c>
      <c r="O113" s="720">
        <f t="array" ref="O113" xml:space="preserve"> Unit.PJ * SUM( IFERROR( (IND.Tech!$C$94:$C$253=CONCATENATE($A$1,$G113)) * (IND.Tech!$D$94:$D$253=CONCATENATE(IND.Tech!$B$5,O$99,$F113)) * (IND.Tech!$K$94:$K$253),0) )</f>
        <v>154.46031303735185</v>
      </c>
      <c r="P113" s="817">
        <f t="shared" ref="P113:P120" si="16">SUM($H113:$O113)</f>
        <v>535.96529099999987</v>
      </c>
      <c r="X113" s="165"/>
      <c r="Y113" s="165"/>
    </row>
    <row r="114" spans="2:25" ht="15">
      <c r="B114" s="106"/>
      <c r="C114" s="336" t="str">
        <f>INDEX(EF[UK Vector],MATCH(G114,EF[SATIM Code],0))</f>
        <v>V.05</v>
      </c>
      <c r="D114" s="336" t="str">
        <f>INDEX(Vectors[Description], MATCH($C114, Vectors[Code], 0))</f>
        <v>Gaseous hydrocarbons</v>
      </c>
      <c r="E114" s="556" t="s">
        <v>1316</v>
      </c>
      <c r="F114" s="981" t="str">
        <f t="shared" si="15"/>
        <v>S</v>
      </c>
      <c r="G114" s="450" t="s">
        <v>869</v>
      </c>
      <c r="H114" s="720">
        <f t="array" ref="H114" xml:space="preserve"> Unit.PJ * SUM( IFERROR( (IND.Tech!$C$94:$C$253=CONCATENATE($A$1,$G114)) * (IND.Tech!$D$94:$D$253=CONCATENATE(IND.Tech!$B$5,H$99,$F114)) * (IND.Tech!$K$94:$K$253),0) )</f>
        <v>2.89994</v>
      </c>
      <c r="I114" s="720">
        <f t="array" ref="I114" xml:space="preserve"> Unit.PJ * SUM( IFERROR( (IND.Tech!$C$94:$C$253=CONCATENATE($A$1,$G114)) * (IND.Tech!$D$94:$D$253=CONCATENATE(IND.Tech!$B$5,I$99,$F114)) * (IND.Tech!$K$94:$K$253),0) )</f>
        <v>21.976099999999999</v>
      </c>
      <c r="J114" s="720">
        <f t="array" ref="J114" xml:space="preserve"> Unit.PJ * SUM( IFERROR( (IND.Tech!$C$94:$C$253=CONCATENATE($A$1,$G114)) * (IND.Tech!$D$94:$D$253=CONCATENATE(IND.Tech!$B$5,J$99,$F114)) * (IND.Tech!$K$94:$K$253),0) )</f>
        <v>59.121910000000007</v>
      </c>
      <c r="K114" s="720">
        <f t="array" ref="K114" xml:space="preserve"> Unit.PJ * SUM( IFERROR( (IND.Tech!$C$94:$C$253=CONCATENATE($A$1,$G114)) * (IND.Tech!$D$94:$D$253=CONCATENATE(IND.Tech!$B$5,K$99,$F114)) * (IND.Tech!$K$94:$K$253),0) )</f>
        <v>0</v>
      </c>
      <c r="L114" s="720">
        <f t="array" ref="L114" xml:space="preserve"> Unit.PJ * SUM( IFERROR( (IND.Tech!$C$94:$C$253=CONCATENATE($A$1,$G114)) * (IND.Tech!$D$94:$D$253=CONCATENATE(IND.Tech!$B$5,L$99,$F114)) * (IND.Tech!$K$94:$K$253),0) )</f>
        <v>7.8685</v>
      </c>
      <c r="M114" s="720">
        <f t="array" ref="M114" xml:space="preserve"> Unit.PJ * SUM( IFERROR( (IND.Tech!$C$94:$C$253=CONCATENATE($A$1,$G114)) * (IND.Tech!$D$94:$D$253=CONCATENATE(IND.Tech!$B$5,M$99,$F114)) * (IND.Tech!$K$94:$K$253),0) )</f>
        <v>1.3967000000000001</v>
      </c>
      <c r="N114" s="720">
        <f t="array" ref="N114" xml:space="preserve"> Unit.PJ * SUM( IFERROR( (IND.Tech!$C$94:$C$253=CONCATENATE($A$1,$G114)) * (IND.Tech!$D$94:$D$253=CONCATENATE(IND.Tech!$B$5,N$99,$F114)) * (IND.Tech!$K$94:$K$253),0) )</f>
        <v>3.1206999999999998</v>
      </c>
      <c r="O114" s="720">
        <f t="array" ref="O114" xml:space="preserve"> Unit.PJ * SUM( IFERROR( (IND.Tech!$C$94:$C$253=CONCATENATE($A$1,$G114)) * (IND.Tech!$D$94:$D$253=CONCATENATE(IND.Tech!$B$5,O$99,$F114)) * (IND.Tech!$K$94:$K$253),0) )</f>
        <v>8.4365099999999984</v>
      </c>
      <c r="P114" s="817">
        <f t="shared" si="16"/>
        <v>104.82035999999999</v>
      </c>
      <c r="X114" s="165"/>
      <c r="Y114" s="165"/>
    </row>
    <row r="115" spans="2:25" ht="15">
      <c r="B115" s="106"/>
      <c r="C115" s="336" t="str">
        <f>INDEX(EF[UK Vector],MATCH(G115,EF[SATIM Code],0))</f>
        <v>V.04</v>
      </c>
      <c r="D115" s="336" t="str">
        <f>INDEX(Vectors[Description], MATCH($C115, Vectors[Code], 0))</f>
        <v>Liquid hydrocarbons</v>
      </c>
      <c r="E115" s="556" t="s">
        <v>1316</v>
      </c>
      <c r="F115" s="981" t="str">
        <f t="shared" si="15"/>
        <v>S</v>
      </c>
      <c r="G115" s="450" t="s">
        <v>885</v>
      </c>
      <c r="H115" s="720">
        <f t="array" ref="H115" xml:space="preserve"> Unit.PJ * SUM( IFERROR( (IND.Tech!$C$94:$C$253=CONCATENATE($A$1,$G115)) * (IND.Tech!$D$94:$D$253=CONCATENATE(IND.Tech!$B$5,H$99,$F115)) * (IND.Tech!$K$94:$K$253),0) )</f>
        <v>7.7266924799999984E-2</v>
      </c>
      <c r="I115" s="720">
        <f t="array" ref="I115" xml:space="preserve"> Unit.PJ * SUM( IFERROR( (IND.Tech!$C$94:$C$253=CONCATENATE($A$1,$G115)) * (IND.Tech!$D$94:$D$253=CONCATENATE(IND.Tech!$B$5,I$99,$F115)) * (IND.Tech!$K$94:$K$253),0) )</f>
        <v>0</v>
      </c>
      <c r="J115" s="720">
        <f t="array" ref="J115" xml:space="preserve"> Unit.PJ * SUM( IFERROR( (IND.Tech!$C$94:$C$253=CONCATENATE($A$1,$G115)) * (IND.Tech!$D$94:$D$253=CONCATENATE(IND.Tech!$B$5,J$99,$F115)) * (IND.Tech!$K$94:$K$253),0) )</f>
        <v>0</v>
      </c>
      <c r="K115" s="720">
        <f t="array" ref="K115" xml:space="preserve"> Unit.PJ * SUM( IFERROR( (IND.Tech!$C$94:$C$253=CONCATENATE($A$1,$G115)) * (IND.Tech!$D$94:$D$253=CONCATENATE(IND.Tech!$B$5,K$99,$F115)) * (IND.Tech!$K$94:$K$253),0) )</f>
        <v>0</v>
      </c>
      <c r="L115" s="720">
        <f t="array" ref="L115" xml:space="preserve"> Unit.PJ * SUM( IFERROR( (IND.Tech!$C$94:$C$253=CONCATENATE($A$1,$G115)) * (IND.Tech!$D$94:$D$253=CONCATENATE(IND.Tech!$B$5,L$99,$F115)) * (IND.Tech!$K$94:$K$253),0) )</f>
        <v>0</v>
      </c>
      <c r="M115" s="720">
        <f t="array" ref="M115" xml:space="preserve"> Unit.PJ * SUM( IFERROR( (IND.Tech!$C$94:$C$253=CONCATENATE($A$1,$G115)) * (IND.Tech!$D$94:$D$253=CONCATENATE(IND.Tech!$B$5,M$99,$F115)) * (IND.Tech!$K$94:$K$253),0) )</f>
        <v>0</v>
      </c>
      <c r="N115" s="720">
        <f t="array" ref="N115" xml:space="preserve"> Unit.PJ * SUM( IFERROR( (IND.Tech!$C$94:$C$253=CONCATENATE($A$1,$G115)) * (IND.Tech!$D$94:$D$253=CONCATENATE(IND.Tech!$B$5,N$99,$F115)) * (IND.Tech!$K$94:$K$253),0) )</f>
        <v>0</v>
      </c>
      <c r="O115" s="720">
        <f t="array" ref="O115" xml:space="preserve"> Unit.PJ * SUM( IFERROR( (IND.Tech!$C$94:$C$253=CONCATENATE($A$1,$G115)) * (IND.Tech!$D$94:$D$253=CONCATENATE(IND.Tech!$B$5,O$99,$F115)) * (IND.Tech!$K$94:$K$253),0) )</f>
        <v>8.9749545599999994E-2</v>
      </c>
      <c r="P115" s="817">
        <f t="shared" si="16"/>
        <v>0.16701647039999998</v>
      </c>
      <c r="X115" s="165"/>
      <c r="Y115" s="165"/>
    </row>
    <row r="116" spans="2:25" ht="15">
      <c r="B116" s="106"/>
      <c r="C116" s="336" t="str">
        <f>INDEX(EF[UK Vector],MATCH(G116,EF[SATIM Code],0))</f>
        <v>V.04</v>
      </c>
      <c r="D116" s="336" t="str">
        <f>INDEX(Vectors[Description], MATCH($C116, Vectors[Code], 0))</f>
        <v>Liquid hydrocarbons</v>
      </c>
      <c r="E116" s="556" t="s">
        <v>1316</v>
      </c>
      <c r="F116" s="981" t="str">
        <f t="shared" si="15"/>
        <v>S</v>
      </c>
      <c r="G116" s="450" t="s">
        <v>887</v>
      </c>
      <c r="H116" s="720">
        <f t="array" ref="H116" xml:space="preserve"> Unit.PJ * SUM( IFERROR( (IND.Tech!$C$94:$C$253=CONCATENATE($A$1,$G116)) * (IND.Tech!$D$94:$D$253=CONCATENATE(IND.Tech!$B$5,H$99,$F116)) * (IND.Tech!$K$94:$K$253),0) )</f>
        <v>6.1570199999999995E-5</v>
      </c>
      <c r="I116" s="720">
        <f t="array" ref="I116" xml:space="preserve"> Unit.PJ * SUM( IFERROR( (IND.Tech!$C$94:$C$253=CONCATENATE($A$1,$G116)) * (IND.Tech!$D$94:$D$253=CONCATENATE(IND.Tech!$B$5,I$99,$F116)) * (IND.Tech!$K$94:$K$253),0) )</f>
        <v>3.86</v>
      </c>
      <c r="J116" s="720">
        <f t="array" ref="J116" xml:space="preserve"> Unit.PJ * SUM( IFERROR( (IND.Tech!$C$94:$C$253=CONCATENATE($A$1,$G116)) * (IND.Tech!$D$94:$D$253=CONCATENATE(IND.Tech!$B$5,J$99,$F116)) * (IND.Tech!$K$94:$K$253),0) )</f>
        <v>0</v>
      </c>
      <c r="K116" s="720">
        <f t="array" ref="K116" xml:space="preserve"> Unit.PJ * SUM( IFERROR( (IND.Tech!$C$94:$C$253=CONCATENATE($A$1,$G116)) * (IND.Tech!$D$94:$D$253=CONCATENATE(IND.Tech!$B$5,K$99,$F116)) * (IND.Tech!$K$94:$K$253),0) )</f>
        <v>0</v>
      </c>
      <c r="L116" s="720">
        <f t="array" ref="L116" xml:space="preserve"> Unit.PJ * SUM( IFERROR( (IND.Tech!$C$94:$C$253=CONCATENATE($A$1,$G116)) * (IND.Tech!$D$94:$D$253=CONCATENATE(IND.Tech!$B$5,L$99,$F116)) * (IND.Tech!$K$94:$K$253),0) )</f>
        <v>0</v>
      </c>
      <c r="M116" s="720">
        <f t="array" ref="M116" xml:space="preserve"> Unit.PJ * SUM( IFERROR( (IND.Tech!$C$94:$C$253=CONCATENATE($A$1,$G116)) * (IND.Tech!$D$94:$D$253=CONCATENATE(IND.Tech!$B$5,M$99,$F116)) * (IND.Tech!$K$94:$K$253),0) )</f>
        <v>0</v>
      </c>
      <c r="N116" s="720">
        <f t="array" ref="N116" xml:space="preserve"> Unit.PJ * SUM( IFERROR( (IND.Tech!$C$94:$C$253=CONCATENATE($A$1,$G116)) * (IND.Tech!$D$94:$D$253=CONCATENATE(IND.Tech!$B$5,N$99,$F116)) * (IND.Tech!$K$94:$K$253),0) )</f>
        <v>0</v>
      </c>
      <c r="O116" s="720">
        <f t="array" ref="O116" xml:space="preserve"> Unit.PJ * SUM( IFERROR( (IND.Tech!$C$94:$C$253=CONCATENATE($A$1,$G116)) * (IND.Tech!$D$94:$D$253=CONCATENATE(IND.Tech!$B$5,O$99,$F116)) * (IND.Tech!$K$94:$K$253),0) )</f>
        <v>3.8018396999999998E-3</v>
      </c>
      <c r="P116" s="817">
        <f t="shared" si="16"/>
        <v>3.8638634099</v>
      </c>
      <c r="X116" s="165"/>
      <c r="Y116" s="165"/>
    </row>
    <row r="117" spans="2:25" ht="15">
      <c r="B117" s="106"/>
      <c r="C117" s="336" t="str">
        <f>INDEX(EF[UK Vector],MATCH(G117,EF[SATIM Code],0))</f>
        <v>V.01</v>
      </c>
      <c r="D117" s="336" t="str">
        <f>INDEX(Vectors[Description], MATCH($C117, Vectors[Code], 0))</f>
        <v>Electricity (delivered to end user)</v>
      </c>
      <c r="E117" s="556" t="s">
        <v>1316</v>
      </c>
      <c r="F117" s="981" t="str">
        <f t="shared" si="15"/>
        <v>S</v>
      </c>
      <c r="G117" s="450" t="s">
        <v>879</v>
      </c>
      <c r="H117" s="720">
        <f t="array" ref="H117" xml:space="preserve"> Unit.PJ * SUM( IFERROR( (IND.Tech!$C$94:$C$253=CONCATENATE($A$1,$G117)) * (IND.Tech!$D$94:$D$253=CONCATENATE(IND.Tech!$B$5,H$99,$F117)) * (IND.Tech!$K$94:$K$253),0) )</f>
        <v>0</v>
      </c>
      <c r="I117" s="720">
        <f t="array" ref="I117" xml:space="preserve"> Unit.PJ * SUM( IFERROR( (IND.Tech!$C$94:$C$253=CONCATENATE($A$1,$G117)) * (IND.Tech!$D$94:$D$253=CONCATENATE(IND.Tech!$B$5,I$99,$F117)) * (IND.Tech!$K$94:$K$253),0) )</f>
        <v>0</v>
      </c>
      <c r="J117" s="720">
        <f t="array" ref="J117" xml:space="preserve"> Unit.PJ * SUM( IFERROR( (IND.Tech!$C$94:$C$253=CONCATENATE($A$1,$G117)) * (IND.Tech!$D$94:$D$253=CONCATENATE(IND.Tech!$B$5,J$99,$F117)) * (IND.Tech!$K$94:$K$253),0) )</f>
        <v>0.35712358400000005</v>
      </c>
      <c r="K117" s="720">
        <f t="array" ref="K117" xml:space="preserve"> Unit.PJ * SUM( IFERROR( (IND.Tech!$C$94:$C$253=CONCATENATE($A$1,$G117)) * (IND.Tech!$D$94:$D$253=CONCATENATE(IND.Tech!$B$5,K$99,$F117)) * (IND.Tech!$K$94:$K$253),0) )</f>
        <v>0</v>
      </c>
      <c r="L117" s="720">
        <f t="array" ref="L117" xml:space="preserve"> Unit.PJ * SUM( IFERROR( (IND.Tech!$C$94:$C$253=CONCATENATE($A$1,$G117)) * (IND.Tech!$D$94:$D$253=CONCATENATE(IND.Tech!$B$5,L$99,$F117)) * (IND.Tech!$K$94:$K$253),0) )</f>
        <v>0</v>
      </c>
      <c r="M117" s="720">
        <f t="array" ref="M117" xml:space="preserve"> Unit.PJ * SUM( IFERROR( (IND.Tech!$C$94:$C$253=CONCATENATE($A$1,$G117)) * (IND.Tech!$D$94:$D$253=CONCATENATE(IND.Tech!$B$5,M$99,$F117)) * (IND.Tech!$K$94:$K$253),0) )</f>
        <v>0.30065011200000002</v>
      </c>
      <c r="N117" s="720">
        <f t="array" ref="N117" xml:space="preserve"> Unit.PJ * SUM( IFERROR( (IND.Tech!$C$94:$C$253=CONCATENATE($A$1,$G117)) * (IND.Tech!$D$94:$D$253=CONCATENATE(IND.Tech!$B$5,N$99,$F117)) * (IND.Tech!$K$94:$K$253),0) )</f>
        <v>0</v>
      </c>
      <c r="O117" s="720">
        <f t="array" ref="O117" xml:space="preserve"> Unit.PJ * SUM( IFERROR( (IND.Tech!$C$94:$C$253=CONCATENATE($A$1,$G117)) * (IND.Tech!$D$94:$D$253=CONCATENATE(IND.Tech!$B$5,O$99,$F117)) * (IND.Tech!$K$94:$K$253),0) )</f>
        <v>0.25137158400000004</v>
      </c>
      <c r="P117" s="817">
        <f t="shared" si="16"/>
        <v>0.90914528000000006</v>
      </c>
      <c r="X117" s="165"/>
      <c r="Y117" s="165"/>
    </row>
    <row r="118" spans="2:25" ht="15">
      <c r="B118" s="106"/>
      <c r="C118" s="336" t="str">
        <f>INDEX(EF[UK Vector],MATCH(G118,EF[SATIM Code],0))</f>
        <v>V.09</v>
      </c>
      <c r="D118" s="336" t="str">
        <f>INDEX(Vectors[Description], MATCH($C118, Vectors[Code], 0))</f>
        <v>Dry biomass and waste</v>
      </c>
      <c r="E118" s="556" t="s">
        <v>1316</v>
      </c>
      <c r="F118" s="981" t="str">
        <f t="shared" si="15"/>
        <v>S</v>
      </c>
      <c r="G118" s="450" t="s">
        <v>888</v>
      </c>
      <c r="H118" s="720">
        <f t="array" ref="H118" xml:space="preserve"> Unit.PJ * SUM( IFERROR( (IND.Tech!$C$94:$C$253=CONCATENATE($A$1,$G118)) * (IND.Tech!$D$94:$D$253=CONCATENATE(IND.Tech!$B$5,H$99,$F118)) * (IND.Tech!$K$94:$K$253),0) )</f>
        <v>0</v>
      </c>
      <c r="I118" s="720">
        <f t="array" ref="I118" xml:space="preserve"> Unit.PJ * SUM( IFERROR( (IND.Tech!$C$94:$C$253=CONCATENATE($A$1,$G118)) * (IND.Tech!$D$94:$D$253=CONCATENATE(IND.Tech!$B$5,I$99,$F118)) * (IND.Tech!$K$94:$K$253),0) )</f>
        <v>0</v>
      </c>
      <c r="J118" s="720">
        <f t="array" ref="J118" xml:space="preserve"> Unit.PJ * SUM( IFERROR( (IND.Tech!$C$94:$C$253=CONCATENATE($A$1,$G118)) * (IND.Tech!$D$94:$D$253=CONCATENATE(IND.Tech!$B$5,J$99,$F118)) * (IND.Tech!$K$94:$K$253),0) )</f>
        <v>0</v>
      </c>
      <c r="K118" s="720">
        <f t="array" ref="K118" xml:space="preserve"> Unit.PJ * SUM( IFERROR( (IND.Tech!$C$94:$C$253=CONCATENATE($A$1,$G118)) * (IND.Tech!$D$94:$D$253=CONCATENATE(IND.Tech!$B$5,K$99,$F118)) * (IND.Tech!$K$94:$K$253),0) )</f>
        <v>0</v>
      </c>
      <c r="L118" s="720">
        <f t="array" ref="L118" xml:space="preserve"> Unit.PJ * SUM( IFERROR( (IND.Tech!$C$94:$C$253=CONCATENATE($A$1,$G118)) * (IND.Tech!$D$94:$D$253=CONCATENATE(IND.Tech!$B$5,L$99,$F118)) * (IND.Tech!$K$94:$K$253),0) )</f>
        <v>0</v>
      </c>
      <c r="M118" s="720">
        <f t="array" ref="M118" xml:space="preserve"> Unit.PJ * SUM( IFERROR( (IND.Tech!$C$94:$C$253=CONCATENATE($A$1,$G118)) * (IND.Tech!$D$94:$D$253=CONCATENATE(IND.Tech!$B$5,M$99,$F118)) * (IND.Tech!$K$94:$K$253),0) )</f>
        <v>0</v>
      </c>
      <c r="N118" s="720">
        <f t="array" ref="N118" xml:space="preserve"> Unit.PJ * SUM( IFERROR( (IND.Tech!$C$94:$C$253=CONCATENATE($A$1,$G118)) * (IND.Tech!$D$94:$D$253=CONCATENATE(IND.Tech!$B$5,N$99,$F118)) * (IND.Tech!$K$94:$K$253),0) )</f>
        <v>41.2123909090909</v>
      </c>
      <c r="O118" s="720">
        <f t="array" ref="O118" xml:space="preserve"> Unit.PJ * SUM( IFERROR( (IND.Tech!$C$94:$C$253=CONCATENATE($A$1,$G118)) * (IND.Tech!$D$94:$D$253=CONCATENATE(IND.Tech!$B$5,O$99,$F118)) * (IND.Tech!$K$94:$K$253),0) )</f>
        <v>0</v>
      </c>
      <c r="P118" s="817">
        <f t="shared" si="16"/>
        <v>41.2123909090909</v>
      </c>
      <c r="X118" s="165"/>
      <c r="Y118" s="165"/>
    </row>
    <row r="119" spans="2:25" ht="15">
      <c r="B119" s="106"/>
      <c r="C119" s="336" t="str">
        <f>INDEX(EF[UK Vector],MATCH(G119,EF[SATIM Code],0))</f>
        <v>V.09</v>
      </c>
      <c r="D119" s="336" t="str">
        <f>INDEX(Vectors[Description], MATCH($C119, Vectors[Code], 0))</f>
        <v>Dry biomass and waste</v>
      </c>
      <c r="E119" s="556" t="s">
        <v>1316</v>
      </c>
      <c r="F119" s="981" t="str">
        <f t="shared" si="15"/>
        <v>S</v>
      </c>
      <c r="G119" s="450" t="s">
        <v>889</v>
      </c>
      <c r="H119" s="720">
        <f t="array" ref="H119" xml:space="preserve"> Unit.PJ * SUM( IFERROR( (IND.Tech!$C$94:$C$253=CONCATENATE($A$1,$G119)) * (IND.Tech!$D$94:$D$253=CONCATENATE(IND.Tech!$B$5,H$99,$F119)) * (IND.Tech!$K$94:$K$253),0) )</f>
        <v>0</v>
      </c>
      <c r="I119" s="720">
        <f t="array" ref="I119" xml:space="preserve"> Unit.PJ * SUM( IFERROR( (IND.Tech!$C$94:$C$253=CONCATENATE($A$1,$G119)) * (IND.Tech!$D$94:$D$253=CONCATENATE(IND.Tech!$B$5,I$99,$F119)) * (IND.Tech!$K$94:$K$253),0) )</f>
        <v>0</v>
      </c>
      <c r="J119" s="720">
        <f t="array" ref="J119" xml:space="preserve"> Unit.PJ * SUM( IFERROR( (IND.Tech!$C$94:$C$253=CONCATENATE($A$1,$G119)) * (IND.Tech!$D$94:$D$253=CONCATENATE(IND.Tech!$B$5,J$99,$F119)) * (IND.Tech!$K$94:$K$253),0) )</f>
        <v>0</v>
      </c>
      <c r="K119" s="720">
        <f t="array" ref="K119" xml:space="preserve"> Unit.PJ * SUM( IFERROR( (IND.Tech!$C$94:$C$253=CONCATENATE($A$1,$G119)) * (IND.Tech!$D$94:$D$253=CONCATENATE(IND.Tech!$B$5,K$99,$F119)) * (IND.Tech!$K$94:$K$253),0) )</f>
        <v>0</v>
      </c>
      <c r="L119" s="720">
        <f t="array" ref="L119" xml:space="preserve"> Unit.PJ * SUM( IFERROR( (IND.Tech!$C$94:$C$253=CONCATENATE($A$1,$G119)) * (IND.Tech!$D$94:$D$253=CONCATENATE(IND.Tech!$B$5,L$99,$F119)) * (IND.Tech!$K$94:$K$253),0) )</f>
        <v>0</v>
      </c>
      <c r="M119" s="720">
        <f t="array" ref="M119" xml:space="preserve"> Unit.PJ * SUM( IFERROR( (IND.Tech!$C$94:$C$253=CONCATENATE($A$1,$G119)) * (IND.Tech!$D$94:$D$253=CONCATENATE(IND.Tech!$B$5,M$99,$F119)) * (IND.Tech!$K$94:$K$253),0) )</f>
        <v>10</v>
      </c>
      <c r="N119" s="720">
        <f t="array" ref="N119" xml:space="preserve"> Unit.PJ * SUM( IFERROR( (IND.Tech!$C$94:$C$253=CONCATENATE($A$1,$G119)) * (IND.Tech!$D$94:$D$253=CONCATENATE(IND.Tech!$B$5,N$99,$F119)) * (IND.Tech!$K$94:$K$253),0) )</f>
        <v>0</v>
      </c>
      <c r="O119" s="720">
        <f t="array" ref="O119" xml:space="preserve"> Unit.PJ * SUM( IFERROR( (IND.Tech!$C$94:$C$253=CONCATENATE($A$1,$G119)) * (IND.Tech!$D$94:$D$253=CONCATENATE(IND.Tech!$B$5,O$99,$F119)) * (IND.Tech!$K$94:$K$253),0) )</f>
        <v>0</v>
      </c>
      <c r="P119" s="817">
        <f t="shared" si="16"/>
        <v>10</v>
      </c>
      <c r="X119" s="165"/>
      <c r="Y119" s="165"/>
    </row>
    <row r="120" spans="2:25" ht="15">
      <c r="B120" s="106"/>
      <c r="C120" s="336" t="str">
        <f>INDEX(EF[UK Vector],MATCH(G120,EF[SATIM Code],0))</f>
        <v>V.16</v>
      </c>
      <c r="D120" s="336" t="str">
        <f>INDEX(Vectors[Description], MATCH($C120, Vectors[Code], 0))</f>
        <v>Other Waste</v>
      </c>
      <c r="E120" s="556" t="s">
        <v>1316</v>
      </c>
      <c r="F120" s="981" t="str">
        <f t="shared" si="15"/>
        <v>S</v>
      </c>
      <c r="G120" s="450" t="s">
        <v>890</v>
      </c>
      <c r="H120" s="720">
        <f t="array" ref="H120" xml:space="preserve"> Unit.PJ * SUM( IFERROR( (IND.Tech!$C$94:$C$253=CONCATENATE($A$1,$G120)) * (IND.Tech!$D$94:$D$253=CONCATENATE(IND.Tech!$B$5,H$99,$F120)) * (IND.Tech!$K$94:$K$253),0) )</f>
        <v>0</v>
      </c>
      <c r="I120" s="720">
        <f t="array" ref="I120" xml:space="preserve"> Unit.PJ * SUM( IFERROR( (IND.Tech!$C$94:$C$253=CONCATENATE($A$1,$G120)) * (IND.Tech!$D$94:$D$253=CONCATENATE(IND.Tech!$B$5,I$99,$F120)) * (IND.Tech!$K$94:$K$253),0) )</f>
        <v>0</v>
      </c>
      <c r="J120" s="720">
        <f t="array" ref="J120" xml:space="preserve"> Unit.PJ * SUM( IFERROR( (IND.Tech!$C$94:$C$253=CONCATENATE($A$1,$G120)) * (IND.Tech!$D$94:$D$253=CONCATENATE(IND.Tech!$B$5,J$99,$F120)) * (IND.Tech!$K$94:$K$253),0) )</f>
        <v>0</v>
      </c>
      <c r="K120" s="720">
        <f t="array" ref="K120" xml:space="preserve"> Unit.PJ * SUM( IFERROR( (IND.Tech!$C$94:$C$253=CONCATENATE($A$1,$G120)) * (IND.Tech!$D$94:$D$253=CONCATENATE(IND.Tech!$B$5,K$99,$F120)) * (IND.Tech!$K$94:$K$253),0) )</f>
        <v>0</v>
      </c>
      <c r="L120" s="720">
        <f t="array" ref="L120" xml:space="preserve"> Unit.PJ * SUM( IFERROR( (IND.Tech!$C$94:$C$253=CONCATENATE($A$1,$G120)) * (IND.Tech!$D$94:$D$253=CONCATENATE(IND.Tech!$B$5,L$99,$F120)) * (IND.Tech!$K$94:$K$253),0) )</f>
        <v>0</v>
      </c>
      <c r="M120" s="720">
        <f t="array" ref="M120" xml:space="preserve"> Unit.PJ * SUM( IFERROR( (IND.Tech!$C$94:$C$253=CONCATENATE($A$1,$G120)) * (IND.Tech!$D$94:$D$253=CONCATENATE(IND.Tech!$B$5,M$99,$F120)) * (IND.Tech!$K$94:$K$253),0) )</f>
        <v>0</v>
      </c>
      <c r="N120" s="720">
        <f t="array" ref="N120" xml:space="preserve"> Unit.PJ * SUM( IFERROR( (IND.Tech!$C$94:$C$253=CONCATENATE($A$1,$G120)) * (IND.Tech!$D$94:$D$253=CONCATENATE(IND.Tech!$B$5,N$99,$F120)) * (IND.Tech!$K$94:$K$253),0) )</f>
        <v>0</v>
      </c>
      <c r="O120" s="720">
        <f t="array" ref="O120" xml:space="preserve"> Unit.PJ * SUM( IFERROR( (IND.Tech!$C$94:$C$253=CONCATENATE($A$1,$G120)) * (IND.Tech!$D$94:$D$253=CONCATENATE(IND.Tech!$B$5,O$99,$F120)) * (IND.Tech!$K$94:$K$253),0) )</f>
        <v>0</v>
      </c>
      <c r="P120" s="817">
        <f t="shared" si="16"/>
        <v>0</v>
      </c>
      <c r="X120" s="165"/>
      <c r="Y120" s="165"/>
    </row>
    <row r="121" spans="2:25" ht="15">
      <c r="B121" s="106"/>
      <c r="C121" s="336"/>
      <c r="D121" s="336"/>
      <c r="E121" s="336"/>
      <c r="F121" s="336"/>
      <c r="G121" s="336"/>
      <c r="H121" s="336"/>
      <c r="I121" s="387"/>
      <c r="J121" s="387"/>
      <c r="K121" s="387"/>
      <c r="L121" s="387"/>
      <c r="M121" s="387"/>
      <c r="N121" s="387"/>
      <c r="O121" s="387"/>
      <c r="P121" s="387"/>
      <c r="X121" s="165"/>
      <c r="Y121" s="165"/>
    </row>
    <row r="122" spans="2:25" ht="15">
      <c r="B122" s="106"/>
      <c r="C122" s="339"/>
      <c r="D122" s="339"/>
      <c r="E122" s="383" t="s">
        <v>1348</v>
      </c>
      <c r="F122" s="287"/>
      <c r="G122" s="725" t="s">
        <v>868</v>
      </c>
      <c r="H122" s="725">
        <f t="shared" ref="H122:P122" si="17">SUM(H123:H125)</f>
        <v>28.149155919000002</v>
      </c>
      <c r="I122" s="725">
        <f t="shared" si="17"/>
        <v>50.250383099999993</v>
      </c>
      <c r="J122" s="725">
        <f t="shared" si="17"/>
        <v>0</v>
      </c>
      <c r="K122" s="725">
        <f t="shared" si="17"/>
        <v>0</v>
      </c>
      <c r="L122" s="725">
        <f t="shared" si="17"/>
        <v>0</v>
      </c>
      <c r="M122" s="725">
        <f t="shared" si="17"/>
        <v>0</v>
      </c>
      <c r="N122" s="725">
        <f t="shared" si="17"/>
        <v>0</v>
      </c>
      <c r="O122" s="725">
        <f t="shared" si="17"/>
        <v>7.8658203618</v>
      </c>
      <c r="P122" s="725">
        <f t="shared" si="17"/>
        <v>86.265359380799993</v>
      </c>
      <c r="X122" s="165"/>
      <c r="Y122" s="165"/>
    </row>
    <row r="123" spans="2:25" ht="15">
      <c r="B123" s="106"/>
      <c r="C123" s="336" t="str">
        <f>INDEX(EF[UK Vector],MATCH(G123,EF[SATIM Code],0))</f>
        <v>V.03</v>
      </c>
      <c r="D123" s="336" t="str">
        <f>INDEX(Vectors[Description], MATCH($C123, Vectors[Code], 0))</f>
        <v>Solid hydrocarbons</v>
      </c>
      <c r="E123" s="556" t="s">
        <v>1315</v>
      </c>
      <c r="F123" s="981" t="str">
        <f>INDEX(IND.Sectors_Demand_ID,MATCH(E123,IND.Sectors_Demand,0))</f>
        <v>T</v>
      </c>
      <c r="G123" s="450" t="s">
        <v>883</v>
      </c>
      <c r="H123" s="720">
        <f t="array" ref="H123" xml:space="preserve"> Unit.PJ * SUM( IFERROR( (IND.Tech!$C$94:$C$253=CONCATENATE($A$1,$G123)) * (IND.Tech!$D$94:$D$253=CONCATENATE(IND.Tech!$B$5,H$99,$F123)) * (IND.Tech!$K$94:$K$253),0) )</f>
        <v>0</v>
      </c>
      <c r="I123" s="720">
        <f t="array" ref="I123" xml:space="preserve"> Unit.PJ * SUM( IFERROR( (IND.Tech!$C$94:$C$253=CONCATENATE($A$1,$G123)) * (IND.Tech!$D$94:$D$253=CONCATENATE(IND.Tech!$B$5,I$99,$F123)) * (IND.Tech!$K$94:$K$253),0) )</f>
        <v>50.250383099999993</v>
      </c>
      <c r="J123" s="720">
        <f t="array" ref="J123" xml:space="preserve"> Unit.PJ * SUM( IFERROR( (IND.Tech!$C$94:$C$253=CONCATENATE($A$1,$G123)) * (IND.Tech!$D$94:$D$253=CONCATENATE(IND.Tech!$B$5,J$99,$F123)) * (IND.Tech!$K$94:$K$253),0) )</f>
        <v>0</v>
      </c>
      <c r="K123" s="720">
        <f t="array" ref="K123" xml:space="preserve"> Unit.PJ * SUM( IFERROR( (IND.Tech!$C$94:$C$253=CONCATENATE($A$1,$G123)) * (IND.Tech!$D$94:$D$253=CONCATENATE(IND.Tech!$B$5,K$99,$F123)) * (IND.Tech!$K$94:$K$253),0) )</f>
        <v>0</v>
      </c>
      <c r="L123" s="720">
        <f t="array" ref="L123" xml:space="preserve"> Unit.PJ * SUM( IFERROR( (IND.Tech!$C$94:$C$253=CONCATENATE($A$1,$G123)) * (IND.Tech!$D$94:$D$253=CONCATENATE(IND.Tech!$B$5,L$99,$F123)) * (IND.Tech!$K$94:$K$253),0) )</f>
        <v>0</v>
      </c>
      <c r="M123" s="720">
        <f t="array" ref="M123" xml:space="preserve"> Unit.PJ * SUM( IFERROR( (IND.Tech!$C$94:$C$253=CONCATENATE($A$1,$G123)) * (IND.Tech!$D$94:$D$253=CONCATENATE(IND.Tech!$B$5,M$99,$F123)) * (IND.Tech!$K$94:$K$253),0) )</f>
        <v>0</v>
      </c>
      <c r="N123" s="720">
        <f t="array" ref="N123" xml:space="preserve"> Unit.PJ * SUM( IFERROR( (IND.Tech!$C$94:$C$253=CONCATENATE($A$1,$G123)) * (IND.Tech!$D$94:$D$253=CONCATENATE(IND.Tech!$B$5,N$99,$F123)) * (IND.Tech!$K$94:$K$253),0) )</f>
        <v>0</v>
      </c>
      <c r="O123" s="720">
        <f t="array" ref="O123" xml:space="preserve"> Unit.PJ * SUM( IFERROR( (IND.Tech!$C$94:$C$253=CONCATENATE($A$1,$G123)) * (IND.Tech!$D$94:$D$253=CONCATENATE(IND.Tech!$B$5,O$99,$F123)) * (IND.Tech!$K$94:$K$253),0) )</f>
        <v>0</v>
      </c>
      <c r="P123" s="817">
        <f>SUM($H123:$O123)</f>
        <v>50.250383099999993</v>
      </c>
      <c r="X123" s="165"/>
      <c r="Y123" s="165"/>
    </row>
    <row r="124" spans="2:25" ht="15">
      <c r="B124" s="106"/>
      <c r="C124" s="336" t="str">
        <f>INDEX(EF[UK Vector],MATCH(G124,EF[SATIM Code],0))</f>
        <v>V.05</v>
      </c>
      <c r="D124" s="336" t="str">
        <f>INDEX(Vectors[Description], MATCH($C124, Vectors[Code], 0))</f>
        <v>Gaseous hydrocarbons</v>
      </c>
      <c r="E124" s="556" t="s">
        <v>1315</v>
      </c>
      <c r="F124" s="981" t="str">
        <f>INDEX(IND.Sectors_Demand_ID,MATCH(E124,IND.Sectors_Demand,0))</f>
        <v>T</v>
      </c>
      <c r="G124" s="450" t="s">
        <v>869</v>
      </c>
      <c r="H124" s="720">
        <f t="array" ref="H124" xml:space="preserve"> Unit.PJ * SUM( IFERROR( (IND.Tech!$C$94:$C$253=CONCATENATE($A$1,$G124)) * (IND.Tech!$D$94:$D$253=CONCATENATE(IND.Tech!$B$5,H$99,$F124)) * (IND.Tech!$K$94:$K$253),0) )</f>
        <v>0</v>
      </c>
      <c r="I124" s="720">
        <f t="array" ref="I124" xml:space="preserve"> Unit.PJ * SUM( IFERROR( (IND.Tech!$C$94:$C$253=CONCATENATE($A$1,$G124)) * (IND.Tech!$D$94:$D$253=CONCATENATE(IND.Tech!$B$5,I$99,$F124)) * (IND.Tech!$K$94:$K$253),0) )</f>
        <v>0</v>
      </c>
      <c r="J124" s="720">
        <f t="array" ref="J124" xml:space="preserve"> Unit.PJ * SUM( IFERROR( (IND.Tech!$C$94:$C$253=CONCATENATE($A$1,$G124)) * (IND.Tech!$D$94:$D$253=CONCATENATE(IND.Tech!$B$5,J$99,$F124)) * (IND.Tech!$K$94:$K$253),0) )</f>
        <v>0</v>
      </c>
      <c r="K124" s="720">
        <f t="array" ref="K124" xml:space="preserve"> Unit.PJ * SUM( IFERROR( (IND.Tech!$C$94:$C$253=CONCATENATE($A$1,$G124)) * (IND.Tech!$D$94:$D$253=CONCATENATE(IND.Tech!$B$5,K$99,$F124)) * (IND.Tech!$K$94:$K$253),0) )</f>
        <v>0</v>
      </c>
      <c r="L124" s="720">
        <f t="array" ref="L124" xml:space="preserve"> Unit.PJ * SUM( IFERROR( (IND.Tech!$C$94:$C$253=CONCATENATE($A$1,$G124)) * (IND.Tech!$D$94:$D$253=CONCATENATE(IND.Tech!$B$5,L$99,$F124)) * (IND.Tech!$K$94:$K$253),0) )</f>
        <v>0</v>
      </c>
      <c r="M124" s="720">
        <f t="array" ref="M124" xml:space="preserve"> Unit.PJ * SUM( IFERROR( (IND.Tech!$C$94:$C$253=CONCATENATE($A$1,$G124)) * (IND.Tech!$D$94:$D$253=CONCATENATE(IND.Tech!$B$5,M$99,$F124)) * (IND.Tech!$K$94:$K$253),0) )</f>
        <v>0</v>
      </c>
      <c r="N124" s="720">
        <f t="array" ref="N124" xml:space="preserve"> Unit.PJ * SUM( IFERROR( (IND.Tech!$C$94:$C$253=CONCATENATE($A$1,$G124)) * (IND.Tech!$D$94:$D$253=CONCATENATE(IND.Tech!$B$5,N$99,$F124)) * (IND.Tech!$K$94:$K$253),0) )</f>
        <v>0</v>
      </c>
      <c r="O124" s="720">
        <f t="array" ref="O124" xml:space="preserve"> Unit.PJ * SUM( IFERROR( (IND.Tech!$C$94:$C$253=CONCATENATE($A$1,$G124)) * (IND.Tech!$D$94:$D$253=CONCATENATE(IND.Tech!$B$5,O$99,$F124)) * (IND.Tech!$K$94:$K$253),0) )</f>
        <v>0</v>
      </c>
      <c r="P124" s="817">
        <f>SUM($H124:$O124)</f>
        <v>0</v>
      </c>
      <c r="X124" s="165"/>
      <c r="Y124" s="165"/>
    </row>
    <row r="125" spans="2:25" ht="15">
      <c r="B125" s="106"/>
      <c r="C125" s="336" t="str">
        <f>INDEX(EF[UK Vector],MATCH(G125,EF[SATIM Code],0))</f>
        <v>V.04</v>
      </c>
      <c r="D125" s="336" t="str">
        <f>INDEX(Vectors[Description], MATCH($C125, Vectors[Code], 0))</f>
        <v>Liquid hydrocarbons</v>
      </c>
      <c r="E125" s="556" t="s">
        <v>116</v>
      </c>
      <c r="F125" s="981" t="str">
        <f>INDEX(IND.Sectors_Demand_ID,MATCH(E125,IND.Sectors_Demand,0))</f>
        <v>R</v>
      </c>
      <c r="G125" s="450" t="s">
        <v>886</v>
      </c>
      <c r="H125" s="720">
        <f t="array" ref="H125" xml:space="preserve"> Unit.PJ * SUM( IFERROR( (IND.Tech!$C$94:$C$253=CONCATENATE($A$1,$G125)) * (IND.Tech!$D$94:$D$253=CONCATENATE(IND.Tech!$B$5,H$99,$F125)) * (IND.Tech!$K$94:$K$253),0) )</f>
        <v>28.149155919000002</v>
      </c>
      <c r="I125" s="720">
        <f t="array" ref="I125" xml:space="preserve"> Unit.PJ * SUM( IFERROR( (IND.Tech!$C$94:$C$253=CONCATENATE($A$1,$G125)) * (IND.Tech!$D$94:$D$253=CONCATENATE(IND.Tech!$B$5,I$99,$F125)) * (IND.Tech!$K$94:$K$253),0) )</f>
        <v>0</v>
      </c>
      <c r="J125" s="720">
        <f t="array" ref="J125" xml:space="preserve"> Unit.PJ * SUM( IFERROR( (IND.Tech!$C$94:$C$253=CONCATENATE($A$1,$G125)) * (IND.Tech!$D$94:$D$253=CONCATENATE(IND.Tech!$B$5,J$99,$F125)) * (IND.Tech!$K$94:$K$253),0) )</f>
        <v>0</v>
      </c>
      <c r="K125" s="720">
        <f t="array" ref="K125" xml:space="preserve"> Unit.PJ * SUM( IFERROR( (IND.Tech!$C$94:$C$253=CONCATENATE($A$1,$G125)) * (IND.Tech!$D$94:$D$253=CONCATENATE(IND.Tech!$B$5,K$99,$F125)) * (IND.Tech!$K$94:$K$253),0) )</f>
        <v>0</v>
      </c>
      <c r="L125" s="720">
        <f t="array" ref="L125" xml:space="preserve"> Unit.PJ * SUM( IFERROR( (IND.Tech!$C$94:$C$253=CONCATENATE($A$1,$G125)) * (IND.Tech!$D$94:$D$253=CONCATENATE(IND.Tech!$B$5,L$99,$F125)) * (IND.Tech!$K$94:$K$253),0) )</f>
        <v>0</v>
      </c>
      <c r="M125" s="720">
        <f t="array" ref="M125" xml:space="preserve"> Unit.PJ * SUM( IFERROR( (IND.Tech!$C$94:$C$253=CONCATENATE($A$1,$G125)) * (IND.Tech!$D$94:$D$253=CONCATENATE(IND.Tech!$B$5,M$99,$F125)) * (IND.Tech!$K$94:$K$253),0) )</f>
        <v>0</v>
      </c>
      <c r="N125" s="720">
        <f t="array" ref="N125" xml:space="preserve"> Unit.PJ * SUM( IFERROR( (IND.Tech!$C$94:$C$253=CONCATENATE($A$1,$G125)) * (IND.Tech!$D$94:$D$253=CONCATENATE(IND.Tech!$B$5,N$99,$F125)) * (IND.Tech!$K$94:$K$253),0) )</f>
        <v>0</v>
      </c>
      <c r="O125" s="720">
        <f t="array" ref="O125" xml:space="preserve"> Unit.PJ * SUM( IFERROR( (IND.Tech!$C$94:$C$253=CONCATENATE($A$1,$G125)) * (IND.Tech!$D$94:$D$253=CONCATENATE(IND.Tech!$B$5,O$99,$F125)) * (IND.Tech!$K$94:$K$253),0) )</f>
        <v>7.8658203618</v>
      </c>
      <c r="P125" s="817">
        <f>SUM($H125:$O125)</f>
        <v>36.014976280799999</v>
      </c>
      <c r="X125" s="165"/>
      <c r="Y125" s="165"/>
    </row>
    <row r="126" spans="2:25" ht="15">
      <c r="B126" s="106"/>
      <c r="C126" s="336"/>
      <c r="D126" s="336"/>
      <c r="E126" s="336"/>
      <c r="F126" s="336"/>
      <c r="G126" s="336"/>
      <c r="H126" s="336"/>
      <c r="I126" s="387"/>
      <c r="J126" s="387"/>
      <c r="K126" s="387"/>
      <c r="L126" s="387"/>
      <c r="M126" s="387"/>
      <c r="N126" s="387"/>
      <c r="O126" s="387"/>
      <c r="P126" s="387"/>
      <c r="X126" s="165"/>
      <c r="Y126" s="165"/>
    </row>
    <row r="127" spans="2:25" ht="16" thickBot="1">
      <c r="B127" s="106"/>
      <c r="C127" s="816" t="s">
        <v>1355</v>
      </c>
      <c r="D127" s="816"/>
      <c r="E127" s="816"/>
      <c r="F127" s="816"/>
      <c r="G127" s="816"/>
      <c r="H127" s="815">
        <f t="shared" ref="H127:P127" si="18">H101+H112+H122</f>
        <v>201.97237054999999</v>
      </c>
      <c r="I127" s="815">
        <f t="shared" si="18"/>
        <v>300.98247618264804</v>
      </c>
      <c r="J127" s="815">
        <f t="shared" si="18"/>
        <v>145.67615940000002</v>
      </c>
      <c r="K127" s="815">
        <f t="shared" si="18"/>
        <v>75.493578528</v>
      </c>
      <c r="L127" s="815">
        <f t="shared" si="18"/>
        <v>85.900458399999991</v>
      </c>
      <c r="M127" s="815">
        <f t="shared" si="18"/>
        <v>58.829205599999995</v>
      </c>
      <c r="N127" s="815">
        <f t="shared" si="18"/>
        <v>146.5703549090909</v>
      </c>
      <c r="O127" s="815">
        <f t="shared" si="18"/>
        <v>195.99335318445185</v>
      </c>
      <c r="P127" s="815">
        <f t="shared" si="18"/>
        <v>1211.4179567541905</v>
      </c>
      <c r="X127" s="165"/>
      <c r="Y127" s="165"/>
    </row>
    <row r="128" spans="2:25" ht="16" thickTop="1">
      <c r="B128" s="106"/>
      <c r="C128" s="79"/>
      <c r="D128" s="79"/>
      <c r="E128" s="79"/>
      <c r="F128" s="79"/>
      <c r="G128" s="79"/>
      <c r="H128" s="709"/>
      <c r="I128" s="709"/>
      <c r="J128" s="709"/>
      <c r="K128" s="709"/>
      <c r="L128" s="709"/>
      <c r="M128" s="709"/>
      <c r="N128" s="709"/>
      <c r="O128" s="709"/>
      <c r="P128" s="709"/>
      <c r="X128" s="165"/>
      <c r="Y128" s="165"/>
    </row>
    <row r="129" spans="2:25" ht="15">
      <c r="B129" s="106"/>
      <c r="C129" s="1654" t="s">
        <v>1356</v>
      </c>
      <c r="D129" s="1654"/>
      <c r="E129" s="820"/>
      <c r="F129" s="338"/>
      <c r="G129" s="338"/>
      <c r="H129" s="338"/>
      <c r="I129" s="78"/>
      <c r="J129" s="78"/>
      <c r="K129" s="338"/>
      <c r="L129" s="338"/>
      <c r="M129" s="338"/>
      <c r="N129" s="338"/>
      <c r="O129" s="338"/>
      <c r="P129" s="338"/>
      <c r="X129" s="165"/>
      <c r="Y129" s="165"/>
    </row>
    <row r="130" spans="2:25" ht="15">
      <c r="B130" s="106"/>
      <c r="C130" s="171" t="str">
        <f>Preferences.EnergyUnits</f>
        <v>PJ</v>
      </c>
      <c r="D130" s="687"/>
      <c r="E130" s="465" t="s">
        <v>32</v>
      </c>
      <c r="F130" s="465"/>
      <c r="G130" s="465"/>
      <c r="H130" s="814" t="str">
        <f t="array" ref="H130:O130">TRANSPOSE(IND.Sector_ID)</f>
        <v>MI</v>
      </c>
      <c r="I130" s="814" t="str">
        <v>IS</v>
      </c>
      <c r="J130" s="814" t="str">
        <v>CP</v>
      </c>
      <c r="K130" s="814" t="str">
        <v>NF</v>
      </c>
      <c r="L130" s="814" t="str">
        <v>NM</v>
      </c>
      <c r="M130" s="814" t="str">
        <v>FB</v>
      </c>
      <c r="N130" s="814" t="str">
        <v>PP</v>
      </c>
      <c r="O130" s="814" t="str">
        <v>OT</v>
      </c>
      <c r="P130" s="819"/>
      <c r="X130" s="165"/>
      <c r="Y130" s="165"/>
    </row>
    <row r="131" spans="2:25" ht="26.25" customHeight="1">
      <c r="B131" s="106"/>
      <c r="C131" s="699" t="s">
        <v>58</v>
      </c>
      <c r="D131" s="699" t="s">
        <v>59</v>
      </c>
      <c r="E131" s="699" t="s">
        <v>1349</v>
      </c>
      <c r="F131" s="698" t="s">
        <v>1354</v>
      </c>
      <c r="G131" s="699" t="s">
        <v>1343</v>
      </c>
      <c r="H131" s="818" t="str">
        <f>INDEX($D$33:$D$40,MATCH(H130,$C$33:$C$40,0))</f>
        <v>Mining SIC2</v>
      </c>
      <c r="I131" s="818" t="str">
        <f t="shared" ref="I131:O131" si="19">INDEX($D$33:$D$40,MATCH(I130,$C$33:$C$40,0))</f>
        <v>Iron  &amp; Steel  - 351</v>
      </c>
      <c r="J131" s="818" t="str">
        <f t="shared" si="19"/>
        <v>Chemicals  -33</v>
      </c>
      <c r="K131" s="818" t="str">
        <f t="shared" si="19"/>
        <v>Non-Ferrous metals  - 352</v>
      </c>
      <c r="L131" s="818" t="str">
        <f t="shared" si="19"/>
        <v>N.M.M Products  -34</v>
      </c>
      <c r="M131" s="818" t="str">
        <f t="shared" si="19"/>
        <v>Food, Beverage &amp; Tabacco  - 30</v>
      </c>
      <c r="N131" s="818" t="str">
        <f t="shared" si="19"/>
        <v>Pulp &amp; Paper Products  -323</v>
      </c>
      <c r="O131" s="818" t="str">
        <f t="shared" si="19"/>
        <v>Other</v>
      </c>
      <c r="P131" s="818" t="s">
        <v>1355</v>
      </c>
      <c r="X131" s="165"/>
      <c r="Y131" s="165"/>
    </row>
    <row r="132" spans="2:25" ht="15">
      <c r="B132" s="106"/>
      <c r="C132" s="695"/>
      <c r="D132" s="339"/>
      <c r="E132" s="383" t="s">
        <v>1345</v>
      </c>
      <c r="F132" s="383"/>
      <c r="G132" s="713" t="s">
        <v>868</v>
      </c>
      <c r="H132" s="713">
        <f t="shared" ref="H132:P132" si="20">SUM(H133:H141)</f>
        <v>87.871564073952925</v>
      </c>
      <c r="I132" s="713">
        <f t="shared" si="20"/>
        <v>83.501704147680016</v>
      </c>
      <c r="J132" s="713">
        <f t="shared" si="20"/>
        <v>25.79503647232</v>
      </c>
      <c r="K132" s="713">
        <f t="shared" si="20"/>
        <v>56.908886838336002</v>
      </c>
      <c r="L132" s="713">
        <f t="shared" si="20"/>
        <v>17.435185819200004</v>
      </c>
      <c r="M132" s="713">
        <f t="shared" si="20"/>
        <v>15.408318240000002</v>
      </c>
      <c r="N132" s="713">
        <f t="shared" si="20"/>
        <v>18.550164312000003</v>
      </c>
      <c r="O132" s="713">
        <f t="shared" si="20"/>
        <v>19.069656681473283</v>
      </c>
      <c r="P132" s="713">
        <f t="shared" si="20"/>
        <v>324.54051658496218</v>
      </c>
      <c r="X132" s="165"/>
      <c r="Y132" s="165"/>
    </row>
    <row r="133" spans="2:25" ht="15">
      <c r="B133" s="106"/>
      <c r="C133" s="336" t="str">
        <f>INDEX(EF[UK Vector],MATCH(G133,EF[SATIM Code],0))</f>
        <v>V.01</v>
      </c>
      <c r="D133" s="336" t="str">
        <f>INDEX(Vectors[Description], MATCH($C133, Vectors[Code], 0))</f>
        <v>Electricity (delivered to end user)</v>
      </c>
      <c r="E133" s="556" t="s">
        <v>1000</v>
      </c>
      <c r="F133" s="981" t="str">
        <f t="shared" ref="F133:F141" si="21">INDEX(IND.Sectors_Demand_ID,MATCH(E133,IND.Sectors_Demand,0))</f>
        <v>K</v>
      </c>
      <c r="G133" s="450" t="s">
        <v>879</v>
      </c>
      <c r="H133" s="720">
        <f t="array" ref="H133" xml:space="preserve"> Unit.PJ * SUM( IFERROR( (IND.Tech!$C$94:$C$253=$A$1&amp;$G133) * (IND.Tech!$D$94:$D$253=IND.Tech!$B$5&amp;H$99&amp;$F133) * (IND.Tech!$L$94:$L$253),0) )</f>
        <v>2.3512715827199999</v>
      </c>
      <c r="I133" s="720">
        <f t="array" ref="I133" xml:space="preserve"> Unit.PJ * SUM( IFERROR( (IND.Tech!$C$94:$C$253=$A$1&amp;$G133) * (IND.Tech!$D$94:$D$253=IND.Tech!$B$5&amp;I$99&amp;$F133) * (IND.Tech!$L$94:$L$253),0) )</f>
        <v>39.810109248000003</v>
      </c>
      <c r="J133" s="720">
        <f t="array" ref="J133" xml:space="preserve"> Unit.PJ * SUM( IFERROR( (IND.Tech!$C$94:$C$253=$A$1&amp;$G133) * (IND.Tech!$D$94:$D$253=IND.Tech!$B$5&amp;J$99&amp;$F133) * (IND.Tech!$L$94:$L$253),0) )</f>
        <v>0.7142471680000001</v>
      </c>
      <c r="K133" s="720">
        <f t="array" ref="K133" xml:space="preserve"> Unit.PJ * SUM( IFERROR( (IND.Tech!$C$94:$C$253=$A$1&amp;$G133) * (IND.Tech!$D$94:$D$253=IND.Tech!$B$5&amp;K$99&amp;$F133) * (IND.Tech!$L$94:$L$253),0) )</f>
        <v>0.74683578528000005</v>
      </c>
      <c r="L133" s="720">
        <f t="array" ref="L133" xml:space="preserve"> Unit.PJ * SUM( IFERROR( (IND.Tech!$C$94:$C$253=$A$1&amp;$G133) * (IND.Tech!$D$94:$D$253=IND.Tech!$B$5&amp;L$99&amp;$F133) * (IND.Tech!$L$94:$L$253),0) )</f>
        <v>5.5273504320000013</v>
      </c>
      <c r="M133" s="720">
        <f t="array" ref="M133" xml:space="preserve"> Unit.PJ * SUM( IFERROR( (IND.Tech!$C$94:$C$253=$A$1&amp;$G133) * (IND.Tech!$D$94:$D$253=IND.Tech!$B$5&amp;M$99&amp;$F133) * (IND.Tech!$L$94:$L$253),0) )</f>
        <v>1.0522753920000001</v>
      </c>
      <c r="N133" s="720">
        <f t="array" ref="N133" xml:space="preserve"> Unit.PJ * SUM( IFERROR( (IND.Tech!$C$94:$C$253=$A$1&amp;$G133) * (IND.Tech!$D$94:$D$253=IND.Tech!$B$5&amp;N$99&amp;$F133) * (IND.Tech!$L$94:$L$253),0) )</f>
        <v>0.74874528000000018</v>
      </c>
      <c r="O133" s="720">
        <f t="array" ref="O133" xml:space="preserve"> Unit.PJ * SUM( IFERROR( (IND.Tech!$C$94:$C$253=$A$1&amp;$G133) * (IND.Tech!$D$94:$D$253=IND.Tech!$B$5&amp;O$99&amp;$F133) * (IND.Tech!$L$94:$L$253),0) )</f>
        <v>2.4257357856000006</v>
      </c>
      <c r="P133" s="817">
        <f t="shared" ref="P133:P141" si="22">SUM($H133:$O133)</f>
        <v>53.3765706736</v>
      </c>
      <c r="X133" s="165"/>
      <c r="Y133" s="165"/>
    </row>
    <row r="134" spans="2:25" ht="15">
      <c r="B134" s="106"/>
      <c r="C134" s="336" t="str">
        <f>INDEX(EF[UK Vector],MATCH(G134,EF[SATIM Code],0))</f>
        <v>V.01</v>
      </c>
      <c r="D134" s="336" t="str">
        <f>INDEX(Vectors[Description], MATCH($C134, Vectors[Code], 0))</f>
        <v>Electricity (delivered to end user)</v>
      </c>
      <c r="E134" s="556" t="s">
        <v>98</v>
      </c>
      <c r="F134" s="981" t="str">
        <f t="shared" si="21"/>
        <v>A</v>
      </c>
      <c r="G134" s="450" t="s">
        <v>879</v>
      </c>
      <c r="H134" s="720">
        <f t="array" ref="H134" xml:space="preserve"> Unit.PJ * SUM( IFERROR( (IND.Tech!$C$94:$C$253=$A$1&amp;$G134) * (IND.Tech!$D$94:$D$253=IND.Tech!$B$5&amp;H$99&amp;$F134) * (IND.Tech!$L$94:$L$253),0) )</f>
        <v>1.0924377049655629</v>
      </c>
      <c r="I134" s="720">
        <f t="array" ref="I134" xml:space="preserve"> Unit.PJ * SUM( IFERROR( (IND.Tech!$C$94:$C$253=$A$1&amp;$G134) * (IND.Tech!$D$94:$D$253=IND.Tech!$B$5&amp;I$99&amp;$F134) * (IND.Tech!$L$94:$L$253),0) )</f>
        <v>0.24881318280000003</v>
      </c>
      <c r="J134" s="720">
        <f t="array" ref="J134" xml:space="preserve"> Unit.PJ * SUM( IFERROR( (IND.Tech!$C$94:$C$253=$A$1&amp;$G134) * (IND.Tech!$D$94:$D$253=IND.Tech!$B$5&amp;J$99&amp;$F134) * (IND.Tech!$L$94:$L$253),0) )</f>
        <v>0.26784268800000005</v>
      </c>
      <c r="K134" s="720">
        <f t="array" ref="K134" xml:space="preserve"> Unit.PJ * SUM( IFERROR( (IND.Tech!$C$94:$C$253=$A$1&amp;$G134) * (IND.Tech!$D$94:$D$253=IND.Tech!$B$5&amp;K$99&amp;$F134) * (IND.Tech!$L$94:$L$253),0) )</f>
        <v>0</v>
      </c>
      <c r="L134" s="720">
        <f t="array" ref="L134" xml:space="preserve"> Unit.PJ * SUM( IFERROR( (IND.Tech!$C$94:$C$253=$A$1&amp;$G134) * (IND.Tech!$D$94:$D$253=IND.Tech!$B$5&amp;L$99&amp;$F134) * (IND.Tech!$L$94:$L$253),0) )</f>
        <v>0.15620772960000004</v>
      </c>
      <c r="M134" s="720">
        <f t="array" ref="M134" xml:space="preserve"> Unit.PJ * SUM( IFERROR( (IND.Tech!$C$94:$C$253=$A$1&amp;$G134) * (IND.Tech!$D$94:$D$253=IND.Tech!$B$5&amp;M$99&amp;$F134) * (IND.Tech!$L$94:$L$253),0) )</f>
        <v>3.0065011200000005E-2</v>
      </c>
      <c r="N134" s="720">
        <f t="array" ref="N134" xml:space="preserve"> Unit.PJ * SUM( IFERROR( (IND.Tech!$C$94:$C$253=$A$1&amp;$G134) * (IND.Tech!$D$94:$D$253=IND.Tech!$B$5&amp;N$99&amp;$F134) * (IND.Tech!$L$94:$L$253),0) )</f>
        <v>0.65515212000000012</v>
      </c>
      <c r="O134" s="720">
        <f t="array" ref="O134" xml:space="preserve"> Unit.PJ * SUM( IFERROR( (IND.Tech!$C$94:$C$253=$A$1&amp;$G134) * (IND.Tech!$D$94:$D$253=IND.Tech!$B$5&amp;O$99&amp;$F134) * (IND.Tech!$L$94:$L$253),0) )</f>
        <v>0.13737457065600001</v>
      </c>
      <c r="P134" s="817">
        <f t="shared" si="22"/>
        <v>2.5878930072215631</v>
      </c>
      <c r="X134" s="165"/>
      <c r="Y134" s="165"/>
    </row>
    <row r="135" spans="2:25" ht="15">
      <c r="B135" s="106"/>
      <c r="C135" s="336" t="str">
        <f>INDEX(EF[UK Vector],MATCH(G135,EF[SATIM Code],0))</f>
        <v>V.01</v>
      </c>
      <c r="D135" s="336" t="str">
        <f>INDEX(Vectors[Description], MATCH($C135, Vectors[Code], 0))</f>
        <v>Electricity (delivered to end user)</v>
      </c>
      <c r="E135" s="556" t="s">
        <v>96</v>
      </c>
      <c r="F135" s="981" t="str">
        <f t="shared" si="21"/>
        <v>L</v>
      </c>
      <c r="G135" s="450" t="s">
        <v>879</v>
      </c>
      <c r="H135" s="720">
        <f t="array" ref="H135" xml:space="preserve"> Unit.PJ * SUM( IFERROR( (IND.Tech!$C$94:$C$253=$A$1&amp;$G135) * (IND.Tech!$D$94:$D$253=IND.Tech!$B$5&amp;H$99&amp;$F135) * (IND.Tech!$L$94:$L$253),0) )</f>
        <v>1.5871083183359997</v>
      </c>
      <c r="I135" s="720">
        <f t="array" ref="I135" xml:space="preserve"> Unit.PJ * SUM( IFERROR( (IND.Tech!$C$94:$C$253=$A$1&amp;$G135) * (IND.Tech!$D$94:$D$253=IND.Tech!$B$5&amp;I$99&amp;$F135) * (IND.Tech!$L$94:$L$253),0) )</f>
        <v>1.04501536776</v>
      </c>
      <c r="J135" s="720">
        <f t="array" ref="J135" xml:space="preserve"> Unit.PJ * SUM( IFERROR( (IND.Tech!$C$94:$C$253=$A$1&amp;$G135) * (IND.Tech!$D$94:$D$253=IND.Tech!$B$5&amp;J$99&amp;$F135) * (IND.Tech!$L$94:$L$253),0) )</f>
        <v>0.42854830080000006</v>
      </c>
      <c r="K135" s="720">
        <f t="array" ref="K135" xml:space="preserve"> Unit.PJ * SUM( IFERROR( (IND.Tech!$C$94:$C$253=$A$1&amp;$G135) * (IND.Tech!$D$94:$D$253=IND.Tech!$B$5&amp;K$99&amp;$F135) * (IND.Tech!$L$94:$L$253),0) )</f>
        <v>0.22405073558400002</v>
      </c>
      <c r="L135" s="720">
        <f t="array" ref="L135" xml:space="preserve"> Unit.PJ * SUM( IFERROR( (IND.Tech!$C$94:$C$253=$A$1&amp;$G135) * (IND.Tech!$D$94:$D$253=IND.Tech!$B$5&amp;L$99&amp;$F135) * (IND.Tech!$L$94:$L$253),0) )</f>
        <v>0.36047937600000007</v>
      </c>
      <c r="M135" s="720">
        <f t="array" ref="M135" xml:space="preserve"> Unit.PJ * SUM( IFERROR( (IND.Tech!$C$94:$C$253=$A$1&amp;$G135) * (IND.Tech!$D$94:$D$253=IND.Tech!$B$5&amp;M$99&amp;$F135) * (IND.Tech!$L$94:$L$253),0) )</f>
        <v>0.22548758400000002</v>
      </c>
      <c r="N135" s="720">
        <f t="array" ref="N135" xml:space="preserve"> Unit.PJ * SUM( IFERROR( (IND.Tech!$C$94:$C$253=$A$1&amp;$G135) * (IND.Tech!$D$94:$D$253=IND.Tech!$B$5&amp;N$99&amp;$F135) * (IND.Tech!$L$94:$L$253),0) )</f>
        <v>1.1231179200000001</v>
      </c>
      <c r="O135" s="720">
        <f t="array" ref="O135" xml:space="preserve"> Unit.PJ * SUM( IFERROR( (IND.Tech!$C$94:$C$253=$A$1&amp;$G135) * (IND.Tech!$D$94:$D$253=IND.Tech!$B$5&amp;O$99&amp;$F135) * (IND.Tech!$L$94:$L$253),0) )</f>
        <v>0.60857060486400016</v>
      </c>
      <c r="P135" s="817">
        <f t="shared" si="22"/>
        <v>5.6023782073440005</v>
      </c>
      <c r="X135" s="165"/>
      <c r="Y135" s="165"/>
    </row>
    <row r="136" spans="2:25" ht="15">
      <c r="B136" s="106"/>
      <c r="C136" s="336" t="str">
        <f>INDEX(EF[UK Vector],MATCH(G136,EF[SATIM Code],0))</f>
        <v>V.01</v>
      </c>
      <c r="D136" s="336" t="str">
        <f>INDEX(Vectors[Description], MATCH($C136, Vectors[Code], 0))</f>
        <v>Electricity (delivered to end user)</v>
      </c>
      <c r="E136" s="556" t="s">
        <v>438</v>
      </c>
      <c r="F136" s="981" t="str">
        <f t="shared" si="21"/>
        <v>C</v>
      </c>
      <c r="G136" s="450" t="s">
        <v>879</v>
      </c>
      <c r="H136" s="720">
        <f t="array" ref="H136" xml:space="preserve"> Unit.PJ * SUM( IFERROR( (IND.Tech!$C$94:$C$253=$A$1&amp;$G136) * (IND.Tech!$D$94:$D$253=IND.Tech!$B$5&amp;H$99&amp;$F136) * (IND.Tech!$L$94:$L$253),0) )</f>
        <v>19.087499616408124</v>
      </c>
      <c r="I136" s="720">
        <f t="array" ref="I136" xml:space="preserve"> Unit.PJ * SUM( IFERROR( (IND.Tech!$C$94:$C$253=$A$1&amp;$G136) * (IND.Tech!$D$94:$D$253=IND.Tech!$B$5&amp;I$99&amp;$F136) * (IND.Tech!$L$94:$L$253),0) )</f>
        <v>1.9905054624000003</v>
      </c>
      <c r="J136" s="720">
        <f t="array" ref="J136" xml:space="preserve"> Unit.PJ * SUM( IFERROR( (IND.Tech!$C$94:$C$253=$A$1&amp;$G136) * (IND.Tech!$D$94:$D$253=IND.Tech!$B$5&amp;J$99&amp;$F136) * (IND.Tech!$L$94:$L$253),0) )</f>
        <v>3.5712358400000008</v>
      </c>
      <c r="K136" s="720">
        <f t="array" ref="K136" xml:space="preserve"> Unit.PJ * SUM( IFERROR( (IND.Tech!$C$94:$C$253=$A$1&amp;$G136) * (IND.Tech!$D$94:$D$253=IND.Tech!$B$5&amp;K$99&amp;$F136) * (IND.Tech!$L$94:$L$253),0) )</f>
        <v>0</v>
      </c>
      <c r="L136" s="720">
        <f t="array" ref="L136" xml:space="preserve"> Unit.PJ * SUM( IFERROR( (IND.Tech!$C$94:$C$253=$A$1&amp;$G136) * (IND.Tech!$D$94:$D$253=IND.Tech!$B$5&amp;L$99&amp;$F136) * (IND.Tech!$L$94:$L$253),0) )</f>
        <v>0</v>
      </c>
      <c r="M136" s="720">
        <f t="array" ref="M136" xml:space="preserve"> Unit.PJ * SUM( IFERROR( (IND.Tech!$C$94:$C$253=$A$1&amp;$G136) * (IND.Tech!$D$94:$D$253=IND.Tech!$B$5&amp;M$99&amp;$F136) * (IND.Tech!$L$94:$L$253),0) )</f>
        <v>6.9149525760000001</v>
      </c>
      <c r="N136" s="720">
        <f t="array" ref="N136" xml:space="preserve"> Unit.PJ * SUM( IFERROR( (IND.Tech!$C$94:$C$253=$A$1&amp;$G136) * (IND.Tech!$D$94:$D$253=IND.Tech!$B$5&amp;N$99&amp;$F136) * (IND.Tech!$L$94:$L$253),0) )</f>
        <v>0</v>
      </c>
      <c r="O136" s="720">
        <f t="array" ref="O136" xml:space="preserve"> Unit.PJ * SUM( IFERROR( (IND.Tech!$C$94:$C$253=$A$1&amp;$G136) * (IND.Tech!$D$94:$D$253=IND.Tech!$B$5&amp;O$99&amp;$F136) * (IND.Tech!$L$94:$L$253),0) )</f>
        <v>2.5840998835200009</v>
      </c>
      <c r="P136" s="817">
        <f t="shared" si="22"/>
        <v>34.148293378328127</v>
      </c>
      <c r="X136" s="165"/>
      <c r="Y136" s="165"/>
    </row>
    <row r="137" spans="2:25" ht="15">
      <c r="B137" s="106"/>
      <c r="C137" s="336" t="str">
        <f>INDEX(EF[UK Vector],MATCH(G137,EF[SATIM Code],0))</f>
        <v>V.01</v>
      </c>
      <c r="D137" s="336" t="str">
        <f>INDEX(Vectors[Description], MATCH($C137, Vectors[Code], 0))</f>
        <v>Electricity (delivered to end user)</v>
      </c>
      <c r="E137" s="556" t="s">
        <v>999</v>
      </c>
      <c r="F137" s="981" t="str">
        <f t="shared" si="21"/>
        <v>H</v>
      </c>
      <c r="G137" s="450" t="s">
        <v>879</v>
      </c>
      <c r="H137" s="720">
        <f t="array" ref="H137" xml:space="preserve"> Unit.PJ * SUM( IFERROR( (IND.Tech!$C$94:$C$253=$A$1&amp;$G137) * (IND.Tech!$D$94:$D$253=IND.Tech!$B$5&amp;H$99&amp;$F137) * (IND.Tech!$L$94:$L$253),0) )</f>
        <v>8.4645776977920004</v>
      </c>
      <c r="I137" s="720">
        <f t="array" ref="I137" xml:space="preserve"> Unit.PJ * SUM( IFERROR( (IND.Tech!$C$94:$C$253=$A$1&amp;$G137) * (IND.Tech!$D$94:$D$253=IND.Tech!$B$5&amp;I$99&amp;$F137) * (IND.Tech!$L$94:$L$253),0) )</f>
        <v>1.7914549161600002</v>
      </c>
      <c r="J137" s="720">
        <f t="array" ref="J137" xml:space="preserve"> Unit.PJ * SUM( IFERROR( (IND.Tech!$C$94:$C$253=$A$1&amp;$G137) * (IND.Tech!$D$94:$D$253=IND.Tech!$B$5&amp;J$99&amp;$F137) * (IND.Tech!$L$94:$L$253),0) )</f>
        <v>0.64282245120000014</v>
      </c>
      <c r="K137" s="720">
        <f t="array" ref="K137" xml:space="preserve"> Unit.PJ * SUM( IFERROR( (IND.Tech!$C$94:$C$253=$A$1&amp;$G137) * (IND.Tech!$D$94:$D$253=IND.Tech!$B$5&amp;K$99&amp;$F137) * (IND.Tech!$L$94:$L$253),0) )</f>
        <v>0.67215220675200005</v>
      </c>
      <c r="L137" s="720">
        <f t="array" ref="L137" xml:space="preserve"> Unit.PJ * SUM( IFERROR( (IND.Tech!$C$94:$C$253=$A$1&amp;$G137) * (IND.Tech!$D$94:$D$253=IND.Tech!$B$5&amp;L$99&amp;$F137) * (IND.Tech!$L$94:$L$253),0) )</f>
        <v>0.43257525120000012</v>
      </c>
      <c r="M137" s="720">
        <f t="array" ref="M137" xml:space="preserve"> Unit.PJ * SUM( IFERROR( (IND.Tech!$C$94:$C$253=$A$1&amp;$G137) * (IND.Tech!$D$94:$D$253=IND.Tech!$B$5&amp;M$99&amp;$F137) * (IND.Tech!$L$94:$L$253),0) )</f>
        <v>0.81175530239999993</v>
      </c>
      <c r="N137" s="720">
        <f t="array" ref="N137" xml:space="preserve"> Unit.PJ * SUM( IFERROR( (IND.Tech!$C$94:$C$253=$A$1&amp;$G137) * (IND.Tech!$D$94:$D$253=IND.Tech!$B$5&amp;N$99&amp;$F137) * (IND.Tech!$L$94:$L$253),0) )</f>
        <v>1.3477415040000003</v>
      </c>
      <c r="O137" s="720">
        <f t="array" ref="O137" xml:space="preserve"> Unit.PJ * SUM( IFERROR( (IND.Tech!$C$94:$C$253=$A$1&amp;$G137) * (IND.Tech!$D$94:$D$253=IND.Tech!$B$5&amp;O$99&amp;$F137) * (IND.Tech!$L$94:$L$253),0) )</f>
        <v>1.9207302733440001</v>
      </c>
      <c r="P137" s="817">
        <f t="shared" si="22"/>
        <v>16.083809602848</v>
      </c>
      <c r="X137" s="165"/>
      <c r="Y137" s="165"/>
    </row>
    <row r="138" spans="2:25" ht="15">
      <c r="B138" s="106"/>
      <c r="C138" s="336" t="str">
        <f>INDEX(EF[UK Vector],MATCH(G138,EF[SATIM Code],0))</f>
        <v>V.01</v>
      </c>
      <c r="D138" s="336" t="str">
        <f>INDEX(Vectors[Description], MATCH($C138, Vectors[Code], 0))</f>
        <v>Electricity (delivered to end user)</v>
      </c>
      <c r="E138" s="556" t="s">
        <v>997</v>
      </c>
      <c r="F138" s="981" t="str">
        <f t="shared" si="21"/>
        <v>P</v>
      </c>
      <c r="G138" s="450" t="s">
        <v>879</v>
      </c>
      <c r="H138" s="720">
        <f t="array" ref="H138" xml:space="preserve"> Unit.PJ * SUM( IFERROR( (IND.Tech!$C$94:$C$253=$A$1&amp;$G138) * (IND.Tech!$D$94:$D$253=IND.Tech!$B$5&amp;H$99&amp;$F138) * (IND.Tech!$L$94:$L$253),0) )</f>
        <v>16.823030639155988</v>
      </c>
      <c r="I138" s="720">
        <f t="array" ref="I138" xml:space="preserve"> Unit.PJ * SUM( IFERROR( (IND.Tech!$C$94:$C$253=$A$1&amp;$G138) * (IND.Tech!$D$94:$D$253=IND.Tech!$B$5&amp;I$99&amp;$F138) * (IND.Tech!$L$94:$L$253),0) )</f>
        <v>1.9905054624000003</v>
      </c>
      <c r="J138" s="720">
        <f t="array" ref="J138" xml:space="preserve"> Unit.PJ * SUM( IFERROR( (IND.Tech!$C$94:$C$253=$A$1&amp;$G138) * (IND.Tech!$D$94:$D$253=IND.Tech!$B$5&amp;J$99&amp;$F138) * (IND.Tech!$L$94:$L$253),0) )</f>
        <v>9.9994603520000016</v>
      </c>
      <c r="K138" s="720">
        <f t="array" ref="K138" xml:space="preserve"> Unit.PJ * SUM( IFERROR( (IND.Tech!$C$94:$C$253=$A$1&amp;$G138) * (IND.Tech!$D$94:$D$253=IND.Tech!$B$5&amp;K$99&amp;$F138) * (IND.Tech!$L$94:$L$253),0) )</f>
        <v>0</v>
      </c>
      <c r="L138" s="720">
        <f t="array" ref="L138" xml:space="preserve"> Unit.PJ * SUM( IFERROR( (IND.Tech!$C$94:$C$253=$A$1&amp;$G138) * (IND.Tech!$D$94:$D$253=IND.Tech!$B$5&amp;L$99&amp;$F138) * (IND.Tech!$L$94:$L$253),0) )</f>
        <v>1.6341731712000005</v>
      </c>
      <c r="M138" s="720">
        <f t="array" ref="M138" xml:space="preserve"> Unit.PJ * SUM( IFERROR( (IND.Tech!$C$94:$C$253=$A$1&amp;$G138) * (IND.Tech!$D$94:$D$253=IND.Tech!$B$5&amp;M$99&amp;$F138) * (IND.Tech!$L$94:$L$253),0) )</f>
        <v>3.3672812544000004</v>
      </c>
      <c r="N138" s="720">
        <f t="array" ref="N138" xml:space="preserve"> Unit.PJ * SUM( IFERROR( (IND.Tech!$C$94:$C$253=$A$1&amp;$G138) * (IND.Tech!$D$94:$D$253=IND.Tech!$B$5&amp;N$99&amp;$F138) * (IND.Tech!$L$94:$L$253),0) )</f>
        <v>10.482433920000002</v>
      </c>
      <c r="O138" s="720">
        <f t="array" ref="O138" xml:space="preserve"> Unit.PJ * SUM( IFERROR( (IND.Tech!$C$94:$C$253=$A$1&amp;$G138) * (IND.Tech!$D$94:$D$253=IND.Tech!$B$5&amp;O$99&amp;$F138) * (IND.Tech!$L$94:$L$253),0) )</f>
        <v>2.6142644736000005</v>
      </c>
      <c r="P138" s="817">
        <f t="shared" si="22"/>
        <v>46.911149272755992</v>
      </c>
      <c r="X138" s="165"/>
      <c r="Y138" s="165"/>
    </row>
    <row r="139" spans="2:25" ht="15">
      <c r="B139" s="106"/>
      <c r="C139" s="336" t="str">
        <f>INDEX(EF[UK Vector],MATCH(G139,EF[SATIM Code],0))</f>
        <v>V.01</v>
      </c>
      <c r="D139" s="336" t="str">
        <f>INDEX(Vectors[Description], MATCH($C139, Vectors[Code], 0))</f>
        <v>Electricity (delivered to end user)</v>
      </c>
      <c r="E139" s="556" t="s">
        <v>996</v>
      </c>
      <c r="F139" s="981" t="str">
        <f t="shared" si="21"/>
        <v>F</v>
      </c>
      <c r="G139" s="450" t="s">
        <v>879</v>
      </c>
      <c r="H139" s="720">
        <f t="array" ref="H139" xml:space="preserve"> Unit.PJ * SUM( IFERROR( (IND.Tech!$C$94:$C$253=$A$1&amp;$G139) * (IND.Tech!$D$94:$D$253=IND.Tech!$B$5&amp;H$99&amp;$F139) * (IND.Tech!$L$94:$L$253),0) )</f>
        <v>6.4774356751879898</v>
      </c>
      <c r="I139" s="720">
        <f t="array" ref="I139" xml:space="preserve"> Unit.PJ * SUM( IFERROR( (IND.Tech!$C$94:$C$253=$A$1&amp;$G139) * (IND.Tech!$D$94:$D$253=IND.Tech!$B$5&amp;I$99&amp;$F139) * (IND.Tech!$L$94:$L$253),0) )</f>
        <v>3.5829098323200004</v>
      </c>
      <c r="J139" s="720">
        <f t="array" ref="J139" xml:space="preserve"> Unit.PJ * SUM( IFERROR( (IND.Tech!$C$94:$C$253=$A$1&amp;$G139) * (IND.Tech!$D$94:$D$253=IND.Tech!$B$5&amp;J$99&amp;$F139) * (IND.Tech!$L$94:$L$253),0) )</f>
        <v>2.2855909376000003</v>
      </c>
      <c r="K139" s="720">
        <f t="array" ref="K139" xml:space="preserve"> Unit.PJ * SUM( IFERROR( (IND.Tech!$C$94:$C$253=$A$1&amp;$G139) * (IND.Tech!$D$94:$D$253=IND.Tech!$B$5&amp;K$99&amp;$F139) * (IND.Tech!$L$94:$L$253),0) )</f>
        <v>0</v>
      </c>
      <c r="L139" s="720">
        <f t="array" ref="L139" xml:space="preserve"> Unit.PJ * SUM( IFERROR( (IND.Tech!$C$94:$C$253=$A$1&amp;$G139) * (IND.Tech!$D$94:$D$253=IND.Tech!$B$5&amp;L$99&amp;$F139) * (IND.Tech!$L$94:$L$253),0) )</f>
        <v>1.7303010048000003</v>
      </c>
      <c r="M139" s="720">
        <f t="array" ref="M139" xml:space="preserve"> Unit.PJ * SUM( IFERROR( (IND.Tech!$C$94:$C$253=$A$1&amp;$G139) * (IND.Tech!$D$94:$D$253=IND.Tech!$B$5&amp;M$99&amp;$F139) * (IND.Tech!$L$94:$L$253),0) )</f>
        <v>0.48104017920000008</v>
      </c>
      <c r="N139" s="720">
        <f t="array" ref="N139" xml:space="preserve"> Unit.PJ * SUM( IFERROR( (IND.Tech!$C$94:$C$253=$A$1&amp;$G139) * (IND.Tech!$D$94:$D$253=IND.Tech!$B$5&amp;N$99&amp;$F139) * (IND.Tech!$L$94:$L$253),0) )</f>
        <v>0</v>
      </c>
      <c r="O139" s="720">
        <f t="array" ref="O139" xml:space="preserve"> Unit.PJ * SUM( IFERROR( (IND.Tech!$C$94:$C$253=$A$1&amp;$G139) * (IND.Tech!$D$94:$D$253=IND.Tech!$B$5&amp;O$99&amp;$F139) * (IND.Tech!$L$94:$L$253),0) )</f>
        <v>1.1130733739520002</v>
      </c>
      <c r="P139" s="817">
        <f t="shared" si="22"/>
        <v>15.67035100305999</v>
      </c>
      <c r="X139" s="165"/>
      <c r="Y139" s="165"/>
    </row>
    <row r="140" spans="2:25" ht="15">
      <c r="B140" s="106"/>
      <c r="C140" s="336" t="str">
        <f>INDEX(EF[UK Vector],MATCH(G140,EF[SATIM Code],0))</f>
        <v>V.01</v>
      </c>
      <c r="D140" s="336" t="str">
        <f>INDEX(Vectors[Description], MATCH($C140, Vectors[Code], 0))</f>
        <v>Electricity (delivered to end user)</v>
      </c>
      <c r="E140" s="556" t="s">
        <v>995</v>
      </c>
      <c r="F140" s="981" t="str">
        <f t="shared" si="21"/>
        <v>O</v>
      </c>
      <c r="G140" s="450" t="s">
        <v>879</v>
      </c>
      <c r="H140" s="720">
        <f t="array" ref="H140" xml:space="preserve"> Unit.PJ * SUM( IFERROR( (IND.Tech!$C$94:$C$253=$A$1&amp;$G140) * (IND.Tech!$D$94:$D$253=IND.Tech!$B$5&amp;H$99&amp;$F140) * (IND.Tech!$L$94:$L$253),0) )</f>
        <v>31.782701703057526</v>
      </c>
      <c r="I140" s="720">
        <f t="array" ref="I140" xml:space="preserve"> Unit.PJ * SUM( IFERROR( (IND.Tech!$C$94:$C$253=$A$1&amp;$G140) * (IND.Tech!$D$94:$D$253=IND.Tech!$B$5&amp;I$99&amp;$F140) * (IND.Tech!$L$94:$L$253),0) )</f>
        <v>33.042390675840004</v>
      </c>
      <c r="J140" s="720">
        <f t="array" ref="J140" xml:space="preserve"> Unit.PJ * SUM( IFERROR( (IND.Tech!$C$94:$C$253=$A$1&amp;$G140) * (IND.Tech!$D$94:$D$253=IND.Tech!$B$5&amp;J$99&amp;$F140) * (IND.Tech!$L$94:$L$253),0) )</f>
        <v>5.7139773440000017</v>
      </c>
      <c r="K140" s="720">
        <f t="array" ref="K140" xml:space="preserve"> Unit.PJ * SUM( IFERROR( (IND.Tech!$C$94:$C$253=$A$1&amp;$G140) * (IND.Tech!$D$94:$D$253=IND.Tech!$B$5&amp;K$99&amp;$F140) * (IND.Tech!$L$94:$L$253),0) )</f>
        <v>4.1822803975680003</v>
      </c>
      <c r="L140" s="720">
        <f t="array" ref="L140" xml:space="preserve"> Unit.PJ * SUM( IFERROR( (IND.Tech!$C$94:$C$253=$A$1&amp;$G140) * (IND.Tech!$D$94:$D$253=IND.Tech!$B$5&amp;L$99&amp;$F140) * (IND.Tech!$L$94:$L$253),0) )</f>
        <v>7.5940988544000021</v>
      </c>
      <c r="M140" s="720">
        <f t="array" ref="M140" xml:space="preserve"> Unit.PJ * SUM( IFERROR( (IND.Tech!$C$94:$C$253=$A$1&amp;$G140) * (IND.Tech!$D$94:$D$253=IND.Tech!$B$5&amp;M$99&amp;$F140) * (IND.Tech!$L$94:$L$253),0) )</f>
        <v>2.5254609408000004</v>
      </c>
      <c r="N140" s="720">
        <f t="array" ref="N140" xml:space="preserve"> Unit.PJ * SUM( IFERROR( (IND.Tech!$C$94:$C$253=$A$1&amp;$G140) * (IND.Tech!$D$94:$D$253=IND.Tech!$B$5&amp;N$99&amp;$F140) * (IND.Tech!$L$94:$L$253),0) )</f>
        <v>4.1929735680000011</v>
      </c>
      <c r="O140" s="720">
        <f t="array" ref="O140" xml:space="preserve"> Unit.PJ * SUM( IFERROR( (IND.Tech!$C$94:$C$253=$A$1&amp;$G140) * (IND.Tech!$D$94:$D$253=IND.Tech!$B$5&amp;O$99&amp;$F140) * (IND.Tech!$L$94:$L$253),0) )</f>
        <v>7.4170705061376028</v>
      </c>
      <c r="P140" s="817">
        <f t="shared" si="22"/>
        <v>96.450953989803139</v>
      </c>
      <c r="X140" s="165"/>
      <c r="Y140" s="165"/>
    </row>
    <row r="141" spans="2:25" ht="15">
      <c r="B141" s="106"/>
      <c r="C141" s="336" t="str">
        <f>INDEX(EF[UK Vector],MATCH(G141,EF[SATIM Code],0))</f>
        <v>V.01</v>
      </c>
      <c r="D141" s="336" t="str">
        <f>INDEX(Vectors[Description], MATCH($C141, Vectors[Code], 0))</f>
        <v>Electricity (delivered to end user)</v>
      </c>
      <c r="E141" s="556" t="s">
        <v>994</v>
      </c>
      <c r="F141" s="981" t="str">
        <f t="shared" si="21"/>
        <v>E</v>
      </c>
      <c r="G141" s="450" t="s">
        <v>879</v>
      </c>
      <c r="H141" s="720">
        <f t="array" ref="H141" xml:space="preserve"> Unit.PJ * SUM( IFERROR( (IND.Tech!$C$94:$C$253=$A$1&amp;$G141) * (IND.Tech!$D$94:$D$253=IND.Tech!$B$5&amp;H$99&amp;$F141) * (IND.Tech!$L$94:$L$253),0) )</f>
        <v>0.205501136329728</v>
      </c>
      <c r="I141" s="720">
        <f t="array" ref="I141" xml:space="preserve"> Unit.PJ * SUM( IFERROR( (IND.Tech!$C$94:$C$253=$A$1&amp;$G141) * (IND.Tech!$D$94:$D$253=IND.Tech!$B$5&amp;I$99&amp;$F141) * (IND.Tech!$L$94:$L$253),0) )</f>
        <v>0</v>
      </c>
      <c r="J141" s="720">
        <f t="array" ref="J141" xml:space="preserve"> Unit.PJ * SUM( IFERROR( (IND.Tech!$C$94:$C$253=$A$1&amp;$G141) * (IND.Tech!$D$94:$D$253=IND.Tech!$B$5&amp;J$99&amp;$F141) * (IND.Tech!$L$94:$L$253),0) )</f>
        <v>2.1713113907200001</v>
      </c>
      <c r="K141" s="720">
        <f t="array" ref="K141" xml:space="preserve"> Unit.PJ * SUM( IFERROR( (IND.Tech!$C$94:$C$253=$A$1&amp;$G141) * (IND.Tech!$D$94:$D$253=IND.Tech!$B$5&amp;K$99&amp;$F141) * (IND.Tech!$L$94:$L$253),0) )</f>
        <v>51.083567713152</v>
      </c>
      <c r="L141" s="720">
        <f t="array" ref="L141" xml:space="preserve"> Unit.PJ * SUM( IFERROR( (IND.Tech!$C$94:$C$253=$A$1&amp;$G141) * (IND.Tech!$D$94:$D$253=IND.Tech!$B$5&amp;L$99&amp;$F141) * (IND.Tech!$L$94:$L$253),0) )</f>
        <v>0</v>
      </c>
      <c r="M141" s="720">
        <f t="array" ref="M141" xml:space="preserve"> Unit.PJ * SUM( IFERROR( (IND.Tech!$C$94:$C$253=$A$1&amp;$G141) * (IND.Tech!$D$94:$D$253=IND.Tech!$B$5&amp;M$99&amp;$F141) * (IND.Tech!$L$94:$L$253),0) )</f>
        <v>0</v>
      </c>
      <c r="N141" s="720">
        <f t="array" ref="N141" xml:space="preserve"> Unit.PJ * SUM( IFERROR( (IND.Tech!$C$94:$C$253=$A$1&amp;$G141) * (IND.Tech!$D$94:$D$253=IND.Tech!$B$5&amp;N$99&amp;$F141) * (IND.Tech!$L$94:$L$253),0) )</f>
        <v>0</v>
      </c>
      <c r="O141" s="720">
        <f t="array" ref="O141" xml:space="preserve"> Unit.PJ * SUM( IFERROR( (IND.Tech!$C$94:$C$253=$A$1&amp;$G141) * (IND.Tech!$D$94:$D$253=IND.Tech!$B$5&amp;O$99&amp;$F141) * (IND.Tech!$L$94:$L$253),0) )</f>
        <v>0.24873720979968006</v>
      </c>
      <c r="P141" s="817">
        <f t="shared" si="22"/>
        <v>53.709117450001408</v>
      </c>
      <c r="X141" s="165"/>
      <c r="Y141" s="165"/>
    </row>
    <row r="142" spans="2:25" ht="15">
      <c r="B142" s="106"/>
      <c r="C142" s="336"/>
      <c r="D142" s="336"/>
      <c r="E142" s="336"/>
      <c r="F142" s="336"/>
      <c r="G142" s="336"/>
      <c r="H142" s="336"/>
      <c r="I142" s="387"/>
      <c r="J142" s="387"/>
      <c r="K142" s="387"/>
      <c r="L142" s="387"/>
      <c r="M142" s="387"/>
      <c r="N142" s="387"/>
      <c r="O142" s="387"/>
      <c r="P142" s="387"/>
      <c r="X142" s="165"/>
      <c r="Y142" s="165"/>
    </row>
    <row r="143" spans="2:25" ht="15">
      <c r="B143" s="106"/>
      <c r="C143" s="339"/>
      <c r="D143" s="339"/>
      <c r="E143" s="383" t="s">
        <v>1344</v>
      </c>
      <c r="F143" s="287"/>
      <c r="G143" s="725" t="s">
        <v>868</v>
      </c>
      <c r="H143" s="725">
        <f t="shared" ref="H143:P143" si="23">SUM(H144:H150)</f>
        <v>36.241257519407995</v>
      </c>
      <c r="I143" s="725">
        <f t="shared" si="23"/>
        <v>98.839252776094753</v>
      </c>
      <c r="J143" s="725">
        <f t="shared" si="23"/>
        <v>75.377999363840004</v>
      </c>
      <c r="K143" s="725">
        <f t="shared" si="23"/>
        <v>0.51839999999999986</v>
      </c>
      <c r="L143" s="725">
        <f t="shared" si="23"/>
        <v>40.225319999999996</v>
      </c>
      <c r="M143" s="725">
        <f t="shared" si="23"/>
        <v>27.970118085119996</v>
      </c>
      <c r="N143" s="725">
        <f t="shared" si="23"/>
        <v>68.446338545454523</v>
      </c>
      <c r="O143" s="725">
        <f t="shared" si="23"/>
        <v>105.1836969633372</v>
      </c>
      <c r="P143" s="725">
        <f t="shared" si="23"/>
        <v>452.8023832532545</v>
      </c>
      <c r="X143" s="165"/>
      <c r="Y143" s="165"/>
    </row>
    <row r="144" spans="2:25" ht="15">
      <c r="B144" s="106"/>
      <c r="C144" s="336" t="str">
        <f>INDEX(EF[UK Vector],MATCH(G144,EF[SATIM Code],0))</f>
        <v>V.03</v>
      </c>
      <c r="D144" s="336" t="str">
        <f>INDEX(Vectors[Description], MATCH($C144, Vectors[Code], 0))</f>
        <v>Solid hydrocarbons</v>
      </c>
      <c r="E144" s="556" t="s">
        <v>1316</v>
      </c>
      <c r="F144" s="981" t="str">
        <f t="shared" ref="F144:F151" si="24">INDEX(IND.Sectors_Demand_ID,MATCH(E144,IND.Sectors_Demand,0))</f>
        <v>S</v>
      </c>
      <c r="G144" s="450" t="s">
        <v>882</v>
      </c>
      <c r="H144" s="720">
        <f t="array" ref="H144" xml:space="preserve"> Unit.PJ * SUM( IFERROR( (IND.Tech!$C$94:$C$253=$A$1&amp;$G144) * (IND.Tech!$D$94:$D$253=IND.Tech!$B$5&amp;H$99&amp;$F144) * (IND.Tech!$L$94:$L$253),0) )</f>
        <v>34.100714879999991</v>
      </c>
      <c r="I144" s="720">
        <f t="array" ref="I144" xml:space="preserve"> Unit.PJ * SUM( IFERROR( (IND.Tech!$C$94:$C$253=$A$1&amp;$G144) * (IND.Tech!$D$94:$D$253=IND.Tech!$B$5&amp;I$99&amp;$F144) * (IND.Tech!$L$94:$L$253),0) )</f>
        <v>80.237260776094757</v>
      </c>
      <c r="J144" s="720">
        <f t="array" ref="J144" xml:space="preserve"> Unit.PJ * SUM( IFERROR( (IND.Tech!$C$94:$C$253=$A$1&amp;$G144) * (IND.Tech!$D$94:$D$253=IND.Tech!$B$5&amp;J$99&amp;$F144) * (IND.Tech!$L$94:$L$253),0) )</f>
        <v>32.538810239999997</v>
      </c>
      <c r="K144" s="720">
        <f t="array" ref="K144" xml:space="preserve"> Unit.PJ * SUM( IFERROR( (IND.Tech!$C$94:$C$253=$A$1&amp;$G144) * (IND.Tech!$D$94:$D$253=IND.Tech!$B$5&amp;K$99&amp;$F144) * (IND.Tech!$L$94:$L$253),0) )</f>
        <v>0.51839999999999986</v>
      </c>
      <c r="L144" s="720">
        <f t="array" ref="L144" xml:space="preserve"> Unit.PJ * SUM( IFERROR( (IND.Tech!$C$94:$C$253=$A$1&amp;$G144) * (IND.Tech!$D$94:$D$253=IND.Tech!$B$5&amp;L$99&amp;$F144) * (IND.Tech!$L$94:$L$253),0) )</f>
        <v>34.559999999999995</v>
      </c>
      <c r="M144" s="720">
        <f t="array" ref="M144" xml:space="preserve"> Unit.PJ * SUM( IFERROR( (IND.Tech!$C$94:$C$253=$A$1&amp;$G144) * (IND.Tech!$D$94:$D$253=IND.Tech!$B$5&amp;M$99&amp;$F144) * (IND.Tech!$L$94:$L$253),0) )</f>
        <v>20.735999999999994</v>
      </c>
      <c r="N144" s="720">
        <f t="array" ref="N144" xml:space="preserve"> Unit.PJ * SUM( IFERROR( (IND.Tech!$C$94:$C$253=$A$1&amp;$G144) * (IND.Tech!$D$94:$D$253=IND.Tech!$B$5&amp;N$99&amp;$F144) * (IND.Tech!$L$94:$L$253),0) )</f>
        <v>41.471999999999987</v>
      </c>
      <c r="O144" s="720">
        <f t="array" ref="O144" xml:space="preserve"> Unit.PJ * SUM( IFERROR( (IND.Tech!$C$94:$C$253=$A$1&amp;$G144) * (IND.Tech!$D$94:$D$253=IND.Tech!$B$5&amp;O$99&amp;$F144) * (IND.Tech!$L$94:$L$253),0) )</f>
        <v>98.85460034390519</v>
      </c>
      <c r="P144" s="817">
        <f t="shared" ref="P144:P151" si="25">SUM($H144:$O144)</f>
        <v>343.01778623999996</v>
      </c>
      <c r="X144" s="165"/>
      <c r="Y144" s="165"/>
    </row>
    <row r="145" spans="2:25" ht="15">
      <c r="B145" s="106"/>
      <c r="C145" s="336" t="str">
        <f>INDEX(EF[UK Vector],MATCH(G145,EF[SATIM Code],0))</f>
        <v>V.05</v>
      </c>
      <c r="D145" s="336" t="str">
        <f>INDEX(Vectors[Description], MATCH($C145, Vectors[Code], 0))</f>
        <v>Gaseous hydrocarbons</v>
      </c>
      <c r="E145" s="556" t="s">
        <v>1316</v>
      </c>
      <c r="F145" s="981" t="str">
        <f t="shared" si="24"/>
        <v>S</v>
      </c>
      <c r="G145" s="450" t="s">
        <v>869</v>
      </c>
      <c r="H145" s="720">
        <f t="array" ref="H145" xml:space="preserve"> Unit.PJ * SUM( IFERROR( (IND.Tech!$C$94:$C$253=$A$1&amp;$G145) * (IND.Tech!$D$94:$D$253=IND.Tech!$B$5&amp;H$99&amp;$F145) * (IND.Tech!$L$94:$L$253),0) )</f>
        <v>2.0879567999999997</v>
      </c>
      <c r="I145" s="720">
        <f t="array" ref="I145" xml:space="preserve"> Unit.PJ * SUM( IFERROR( (IND.Tech!$C$94:$C$253=$A$1&amp;$G145) * (IND.Tech!$D$94:$D$253=IND.Tech!$B$5&amp;I$99&amp;$F145) * (IND.Tech!$L$94:$L$253),0) )</f>
        <v>15.822791999999998</v>
      </c>
      <c r="J145" s="720">
        <f t="array" ref="J145" xml:space="preserve"> Unit.PJ * SUM( IFERROR( (IND.Tech!$C$94:$C$253=$A$1&amp;$G145) * (IND.Tech!$D$94:$D$253=IND.Tech!$B$5&amp;J$99&amp;$F145) * (IND.Tech!$L$94:$L$253),0) )</f>
        <v>42.5677752</v>
      </c>
      <c r="K145" s="720">
        <f t="array" ref="K145" xml:space="preserve"> Unit.PJ * SUM( IFERROR( (IND.Tech!$C$94:$C$253=$A$1&amp;$G145) * (IND.Tech!$D$94:$D$253=IND.Tech!$B$5&amp;K$99&amp;$F145) * (IND.Tech!$L$94:$L$253),0) )</f>
        <v>0</v>
      </c>
      <c r="L145" s="720">
        <f t="array" ref="L145" xml:space="preserve"> Unit.PJ * SUM( IFERROR( (IND.Tech!$C$94:$C$253=$A$1&amp;$G145) * (IND.Tech!$D$94:$D$253=IND.Tech!$B$5&amp;L$99&amp;$F145) * (IND.Tech!$L$94:$L$253),0) )</f>
        <v>5.6653199999999995</v>
      </c>
      <c r="M145" s="720">
        <f t="array" ref="M145" xml:space="preserve"> Unit.PJ * SUM( IFERROR( (IND.Tech!$C$94:$C$253=$A$1&amp;$G145) * (IND.Tech!$D$94:$D$253=IND.Tech!$B$5&amp;M$99&amp;$F145) * (IND.Tech!$L$94:$L$253),0) )</f>
        <v>1.0056240000000001</v>
      </c>
      <c r="N145" s="720">
        <f t="array" ref="N145" xml:space="preserve"> Unit.PJ * SUM( IFERROR( (IND.Tech!$C$94:$C$253=$A$1&amp;$G145) * (IND.Tech!$D$94:$D$253=IND.Tech!$B$5&amp;N$99&amp;$F145) * (IND.Tech!$L$94:$L$253),0) )</f>
        <v>2.2469039999999998</v>
      </c>
      <c r="O145" s="720">
        <f t="array" ref="O145" xml:space="preserve"> Unit.PJ * SUM( IFERROR( (IND.Tech!$C$94:$C$253=$A$1&amp;$G145) * (IND.Tech!$D$94:$D$253=IND.Tech!$B$5&amp;O$99&amp;$F145) * (IND.Tech!$L$94:$L$253),0) )</f>
        <v>6.0742871999999988</v>
      </c>
      <c r="P145" s="817">
        <f t="shared" si="25"/>
        <v>75.470659199999986</v>
      </c>
      <c r="X145" s="165"/>
      <c r="Y145" s="165"/>
    </row>
    <row r="146" spans="2:25" ht="15">
      <c r="B146" s="106"/>
      <c r="C146" s="336" t="str">
        <f>INDEX(EF[UK Vector],MATCH(G146,EF[SATIM Code],0))</f>
        <v>V.04</v>
      </c>
      <c r="D146" s="336" t="str">
        <f>INDEX(Vectors[Description], MATCH($C146, Vectors[Code], 0))</f>
        <v>Liquid hydrocarbons</v>
      </c>
      <c r="E146" s="556" t="s">
        <v>1316</v>
      </c>
      <c r="F146" s="981" t="str">
        <f t="shared" si="24"/>
        <v>S</v>
      </c>
      <c r="G146" s="450" t="s">
        <v>885</v>
      </c>
      <c r="H146" s="720">
        <f t="array" ref="H146" xml:space="preserve"> Unit.PJ * SUM( IFERROR( (IND.Tech!$C$94:$C$253=$A$1&amp;$G146) * (IND.Tech!$D$94:$D$253=IND.Tech!$B$5&amp;H$99&amp;$F146) * (IND.Tech!$L$94:$L$253),0) )</f>
        <v>5.254150886399999E-2</v>
      </c>
      <c r="I146" s="720">
        <f t="array" ref="I146" xml:space="preserve"> Unit.PJ * SUM( IFERROR( (IND.Tech!$C$94:$C$253=$A$1&amp;$G146) * (IND.Tech!$D$94:$D$253=IND.Tech!$B$5&amp;I$99&amp;$F146) * (IND.Tech!$L$94:$L$253),0) )</f>
        <v>0</v>
      </c>
      <c r="J146" s="720">
        <f t="array" ref="J146" xml:space="preserve"> Unit.PJ * SUM( IFERROR( (IND.Tech!$C$94:$C$253=$A$1&amp;$G146) * (IND.Tech!$D$94:$D$253=IND.Tech!$B$5&amp;J$99&amp;$F146) * (IND.Tech!$L$94:$L$253),0) )</f>
        <v>0</v>
      </c>
      <c r="K146" s="720">
        <f t="array" ref="K146" xml:space="preserve"> Unit.PJ * SUM( IFERROR( (IND.Tech!$C$94:$C$253=$A$1&amp;$G146) * (IND.Tech!$D$94:$D$253=IND.Tech!$B$5&amp;K$99&amp;$F146) * (IND.Tech!$L$94:$L$253),0) )</f>
        <v>0</v>
      </c>
      <c r="L146" s="720">
        <f t="array" ref="L146" xml:space="preserve"> Unit.PJ * SUM( IFERROR( (IND.Tech!$C$94:$C$253=$A$1&amp;$G146) * (IND.Tech!$D$94:$D$253=IND.Tech!$B$5&amp;L$99&amp;$F146) * (IND.Tech!$L$94:$L$253),0) )</f>
        <v>0</v>
      </c>
      <c r="M146" s="720">
        <f t="array" ref="M146" xml:space="preserve"> Unit.PJ * SUM( IFERROR( (IND.Tech!$C$94:$C$253=$A$1&amp;$G146) * (IND.Tech!$D$94:$D$253=IND.Tech!$B$5&amp;M$99&amp;$F146) * (IND.Tech!$L$94:$L$253),0) )</f>
        <v>0</v>
      </c>
      <c r="N146" s="720">
        <f t="array" ref="N146" xml:space="preserve"> Unit.PJ * SUM( IFERROR( (IND.Tech!$C$94:$C$253=$A$1&amp;$G146) * (IND.Tech!$D$94:$D$253=IND.Tech!$B$5&amp;N$99&amp;$F146) * (IND.Tech!$L$94:$L$253),0) )</f>
        <v>0</v>
      </c>
      <c r="O146" s="720">
        <f t="array" ref="O146" xml:space="preserve"> Unit.PJ * SUM( IFERROR( (IND.Tech!$C$94:$C$253=$A$1&amp;$G146) * (IND.Tech!$D$94:$D$253=IND.Tech!$B$5&amp;O$99&amp;$F146) * (IND.Tech!$L$94:$L$253),0) )</f>
        <v>6.1029691008E-2</v>
      </c>
      <c r="P146" s="817">
        <f t="shared" si="25"/>
        <v>0.11357119987199998</v>
      </c>
      <c r="X146" s="165"/>
      <c r="Y146" s="165"/>
    </row>
    <row r="147" spans="2:25" ht="15">
      <c r="B147" s="106"/>
      <c r="C147" s="336" t="str">
        <f>INDEX(EF[UK Vector],MATCH(G147,EF[SATIM Code],0))</f>
        <v>V.04</v>
      </c>
      <c r="D147" s="336" t="str">
        <f>INDEX(Vectors[Description], MATCH($C147, Vectors[Code], 0))</f>
        <v>Liquid hydrocarbons</v>
      </c>
      <c r="E147" s="556" t="s">
        <v>1316</v>
      </c>
      <c r="F147" s="981" t="str">
        <f t="shared" si="24"/>
        <v>S</v>
      </c>
      <c r="G147" s="450" t="s">
        <v>887</v>
      </c>
      <c r="H147" s="720">
        <f t="array" ref="H147" xml:space="preserve"> Unit.PJ * SUM( IFERROR( (IND.Tech!$C$94:$C$253=$A$1&amp;$G147) * (IND.Tech!$D$94:$D$253=IND.Tech!$B$5&amp;H$99&amp;$F147) * (IND.Tech!$L$94:$L$253),0) )</f>
        <v>4.4330543999999992E-5</v>
      </c>
      <c r="I147" s="720">
        <f t="array" ref="I147" xml:space="preserve"> Unit.PJ * SUM( IFERROR( (IND.Tech!$C$94:$C$253=$A$1&amp;$G147) * (IND.Tech!$D$94:$D$253=IND.Tech!$B$5&amp;I$99&amp;$F147) * (IND.Tech!$L$94:$L$253),0) )</f>
        <v>2.7791999999999999</v>
      </c>
      <c r="J147" s="720">
        <f t="array" ref="J147" xml:space="preserve"> Unit.PJ * SUM( IFERROR( (IND.Tech!$C$94:$C$253=$A$1&amp;$G147) * (IND.Tech!$D$94:$D$253=IND.Tech!$B$5&amp;J$99&amp;$F147) * (IND.Tech!$L$94:$L$253),0) )</f>
        <v>0</v>
      </c>
      <c r="K147" s="720">
        <f t="array" ref="K147" xml:space="preserve"> Unit.PJ * SUM( IFERROR( (IND.Tech!$C$94:$C$253=$A$1&amp;$G147) * (IND.Tech!$D$94:$D$253=IND.Tech!$B$5&amp;K$99&amp;$F147) * (IND.Tech!$L$94:$L$253),0) )</f>
        <v>0</v>
      </c>
      <c r="L147" s="720">
        <f t="array" ref="L147" xml:space="preserve"> Unit.PJ * SUM( IFERROR( (IND.Tech!$C$94:$C$253=$A$1&amp;$G147) * (IND.Tech!$D$94:$D$253=IND.Tech!$B$5&amp;L$99&amp;$F147) * (IND.Tech!$L$94:$L$253),0) )</f>
        <v>0</v>
      </c>
      <c r="M147" s="720">
        <f t="array" ref="M147" xml:space="preserve"> Unit.PJ * SUM( IFERROR( (IND.Tech!$C$94:$C$253=$A$1&amp;$G147) * (IND.Tech!$D$94:$D$253=IND.Tech!$B$5&amp;M$99&amp;$F147) * (IND.Tech!$L$94:$L$253),0) )</f>
        <v>0</v>
      </c>
      <c r="N147" s="720">
        <f t="array" ref="N147" xml:space="preserve"> Unit.PJ * SUM( IFERROR( (IND.Tech!$C$94:$C$253=$A$1&amp;$G147) * (IND.Tech!$D$94:$D$253=IND.Tech!$B$5&amp;N$99&amp;$F147) * (IND.Tech!$L$94:$L$253),0) )</f>
        <v>0</v>
      </c>
      <c r="O147" s="720">
        <f t="array" ref="O147" xml:space="preserve"> Unit.PJ * SUM( IFERROR( (IND.Tech!$C$94:$C$253=$A$1&amp;$G147) * (IND.Tech!$D$94:$D$253=IND.Tech!$B$5&amp;O$99&amp;$F147) * (IND.Tech!$L$94:$L$253),0) )</f>
        <v>2.7373245839999996E-3</v>
      </c>
      <c r="P147" s="817">
        <f t="shared" si="25"/>
        <v>2.7819816551279999</v>
      </c>
      <c r="X147" s="165"/>
      <c r="Y147" s="165"/>
    </row>
    <row r="148" spans="2:25" ht="15">
      <c r="B148" s="106"/>
      <c r="C148" s="336" t="str">
        <f>INDEX(EF[UK Vector],MATCH(G148,EF[SATIM Code],0))</f>
        <v>V.01</v>
      </c>
      <c r="D148" s="336" t="str">
        <f>INDEX(Vectors[Description], MATCH($C148, Vectors[Code], 0))</f>
        <v>Electricity (delivered to end user)</v>
      </c>
      <c r="E148" s="556" t="s">
        <v>1316</v>
      </c>
      <c r="F148" s="981" t="str">
        <f t="shared" si="24"/>
        <v>S</v>
      </c>
      <c r="G148" s="450" t="s">
        <v>879</v>
      </c>
      <c r="H148" s="720">
        <f t="array" ref="H148" xml:space="preserve"> Unit.PJ * SUM( IFERROR( (IND.Tech!$C$94:$C$253=$A$1&amp;$G148) * (IND.Tech!$D$94:$D$253=IND.Tech!$B$5&amp;H$99&amp;$F148) * (IND.Tech!$L$94:$L$253),0) )</f>
        <v>0</v>
      </c>
      <c r="I148" s="720">
        <f t="array" ref="I148" xml:space="preserve"> Unit.PJ * SUM( IFERROR( (IND.Tech!$C$94:$C$253=$A$1&amp;$G148) * (IND.Tech!$D$94:$D$253=IND.Tech!$B$5&amp;I$99&amp;$F148) * (IND.Tech!$L$94:$L$253),0) )</f>
        <v>0</v>
      </c>
      <c r="J148" s="720">
        <f t="array" ref="J148" xml:space="preserve"> Unit.PJ * SUM( IFERROR( (IND.Tech!$C$94:$C$253=$A$1&amp;$G148) * (IND.Tech!$D$94:$D$253=IND.Tech!$B$5&amp;J$99&amp;$F148) * (IND.Tech!$L$94:$L$253),0) )</f>
        <v>0.27141392384000002</v>
      </c>
      <c r="K148" s="720">
        <f t="array" ref="K148" xml:space="preserve"> Unit.PJ * SUM( IFERROR( (IND.Tech!$C$94:$C$253=$A$1&amp;$G148) * (IND.Tech!$D$94:$D$253=IND.Tech!$B$5&amp;K$99&amp;$F148) * (IND.Tech!$L$94:$L$253),0) )</f>
        <v>0</v>
      </c>
      <c r="L148" s="720">
        <f t="array" ref="L148" xml:space="preserve"> Unit.PJ * SUM( IFERROR( (IND.Tech!$C$94:$C$253=$A$1&amp;$G148) * (IND.Tech!$D$94:$D$253=IND.Tech!$B$5&amp;L$99&amp;$F148) * (IND.Tech!$L$94:$L$253),0) )</f>
        <v>0</v>
      </c>
      <c r="M148" s="720">
        <f t="array" ref="M148" xml:space="preserve"> Unit.PJ * SUM( IFERROR( (IND.Tech!$C$94:$C$253=$A$1&amp;$G148) * (IND.Tech!$D$94:$D$253=IND.Tech!$B$5&amp;M$99&amp;$F148) * (IND.Tech!$L$94:$L$253),0) )</f>
        <v>0.22849408512000002</v>
      </c>
      <c r="N148" s="720">
        <f t="array" ref="N148" xml:space="preserve"> Unit.PJ * SUM( IFERROR( (IND.Tech!$C$94:$C$253=$A$1&amp;$G148) * (IND.Tech!$D$94:$D$253=IND.Tech!$B$5&amp;N$99&amp;$F148) * (IND.Tech!$L$94:$L$253),0) )</f>
        <v>0</v>
      </c>
      <c r="O148" s="720">
        <f t="array" ref="O148" xml:space="preserve"> Unit.PJ * SUM( IFERROR( (IND.Tech!$C$94:$C$253=$A$1&amp;$G148) * (IND.Tech!$D$94:$D$253=IND.Tech!$B$5&amp;O$99&amp;$F148) * (IND.Tech!$L$94:$L$253),0) )</f>
        <v>0.19104240384000004</v>
      </c>
      <c r="P148" s="817">
        <f t="shared" si="25"/>
        <v>0.69095041280000014</v>
      </c>
      <c r="X148" s="165"/>
      <c r="Y148" s="165"/>
    </row>
    <row r="149" spans="2:25" ht="15">
      <c r="B149" s="106"/>
      <c r="C149" s="336" t="str">
        <f>INDEX(EF[UK Vector],MATCH(G149,EF[SATIM Code],0))</f>
        <v>V.09</v>
      </c>
      <c r="D149" s="336" t="str">
        <f>INDEX(Vectors[Description], MATCH($C149, Vectors[Code], 0))</f>
        <v>Dry biomass and waste</v>
      </c>
      <c r="E149" s="556" t="s">
        <v>1316</v>
      </c>
      <c r="F149" s="981" t="str">
        <f t="shared" si="24"/>
        <v>S</v>
      </c>
      <c r="G149" s="450" t="s">
        <v>888</v>
      </c>
      <c r="H149" s="720">
        <f t="array" ref="H149" xml:space="preserve"> Unit.PJ * SUM( IFERROR( (IND.Tech!$C$94:$C$253=$A$1&amp;$G149) * (IND.Tech!$D$94:$D$253=IND.Tech!$B$5&amp;H$99&amp;$F149) * (IND.Tech!$L$94:$L$253),0) )</f>
        <v>0</v>
      </c>
      <c r="I149" s="720">
        <f t="array" ref="I149" xml:space="preserve"> Unit.PJ * SUM( IFERROR( (IND.Tech!$C$94:$C$253=$A$1&amp;$G149) * (IND.Tech!$D$94:$D$253=IND.Tech!$B$5&amp;I$99&amp;$F149) * (IND.Tech!$L$94:$L$253),0) )</f>
        <v>0</v>
      </c>
      <c r="J149" s="720">
        <f t="array" ref="J149" xml:space="preserve"> Unit.PJ * SUM( IFERROR( (IND.Tech!$C$94:$C$253=$A$1&amp;$G149) * (IND.Tech!$D$94:$D$253=IND.Tech!$B$5&amp;J$99&amp;$F149) * (IND.Tech!$L$94:$L$253),0) )</f>
        <v>0</v>
      </c>
      <c r="K149" s="720">
        <f t="array" ref="K149" xml:space="preserve"> Unit.PJ * SUM( IFERROR( (IND.Tech!$C$94:$C$253=$A$1&amp;$G149) * (IND.Tech!$D$94:$D$253=IND.Tech!$B$5&amp;K$99&amp;$F149) * (IND.Tech!$L$94:$L$253),0) )</f>
        <v>0</v>
      </c>
      <c r="L149" s="720">
        <f t="array" ref="L149" xml:space="preserve"> Unit.PJ * SUM( IFERROR( (IND.Tech!$C$94:$C$253=$A$1&amp;$G149) * (IND.Tech!$D$94:$D$253=IND.Tech!$B$5&amp;L$99&amp;$F149) * (IND.Tech!$L$94:$L$253),0) )</f>
        <v>0</v>
      </c>
      <c r="M149" s="720">
        <f t="array" ref="M149" xml:space="preserve"> Unit.PJ * SUM( IFERROR( (IND.Tech!$C$94:$C$253=$A$1&amp;$G149) * (IND.Tech!$D$94:$D$253=IND.Tech!$B$5&amp;M$99&amp;$F149) * (IND.Tech!$L$94:$L$253),0) )</f>
        <v>0</v>
      </c>
      <c r="N149" s="720">
        <f t="array" ref="N149" xml:space="preserve"> Unit.PJ * SUM( IFERROR( (IND.Tech!$C$94:$C$253=$A$1&amp;$G149) * (IND.Tech!$D$94:$D$253=IND.Tech!$B$5&amp;N$99&amp;$F149) * (IND.Tech!$L$94:$L$253),0) )</f>
        <v>24.727434545454539</v>
      </c>
      <c r="O149" s="720">
        <f t="array" ref="O149" xml:space="preserve"> Unit.PJ * SUM( IFERROR( (IND.Tech!$C$94:$C$253=$A$1&amp;$G149) * (IND.Tech!$D$94:$D$253=IND.Tech!$B$5&amp;O$99&amp;$F149) * (IND.Tech!$L$94:$L$253),0) )</f>
        <v>0</v>
      </c>
      <c r="P149" s="817">
        <f t="shared" si="25"/>
        <v>24.727434545454539</v>
      </c>
      <c r="X149" s="165"/>
      <c r="Y149" s="165"/>
    </row>
    <row r="150" spans="2:25" ht="15">
      <c r="B150" s="106"/>
      <c r="C150" s="336" t="str">
        <f>INDEX(EF[UK Vector],MATCH(G150,EF[SATIM Code],0))</f>
        <v>V.09</v>
      </c>
      <c r="D150" s="336" t="str">
        <f>INDEX(Vectors[Description], MATCH($C150, Vectors[Code], 0))</f>
        <v>Dry biomass and waste</v>
      </c>
      <c r="E150" s="556" t="s">
        <v>1316</v>
      </c>
      <c r="F150" s="981" t="str">
        <f t="shared" si="24"/>
        <v>S</v>
      </c>
      <c r="G150" s="450" t="s">
        <v>889</v>
      </c>
      <c r="H150" s="720">
        <f t="array" ref="H150" xml:space="preserve"> Unit.PJ * SUM( IFERROR( (IND.Tech!$C$94:$C$253=$A$1&amp;$G150) * (IND.Tech!$D$94:$D$253=IND.Tech!$B$5&amp;H$99&amp;$F150) * (IND.Tech!$L$94:$L$253),0) )</f>
        <v>0</v>
      </c>
      <c r="I150" s="720">
        <f t="array" ref="I150" xml:space="preserve"> Unit.PJ * SUM( IFERROR( (IND.Tech!$C$94:$C$253=$A$1&amp;$G150) * (IND.Tech!$D$94:$D$253=IND.Tech!$B$5&amp;I$99&amp;$F150) * (IND.Tech!$L$94:$L$253),0) )</f>
        <v>0</v>
      </c>
      <c r="J150" s="720">
        <f t="array" ref="J150" xml:space="preserve"> Unit.PJ * SUM( IFERROR( (IND.Tech!$C$94:$C$253=$A$1&amp;$G150) * (IND.Tech!$D$94:$D$253=IND.Tech!$B$5&amp;J$99&amp;$F150) * (IND.Tech!$L$94:$L$253),0) )</f>
        <v>0</v>
      </c>
      <c r="K150" s="720">
        <f t="array" ref="K150" xml:space="preserve"> Unit.PJ * SUM( IFERROR( (IND.Tech!$C$94:$C$253=$A$1&amp;$G150) * (IND.Tech!$D$94:$D$253=IND.Tech!$B$5&amp;K$99&amp;$F150) * (IND.Tech!$L$94:$L$253),0) )</f>
        <v>0</v>
      </c>
      <c r="L150" s="720">
        <f t="array" ref="L150" xml:space="preserve"> Unit.PJ * SUM( IFERROR( (IND.Tech!$C$94:$C$253=$A$1&amp;$G150) * (IND.Tech!$D$94:$D$253=IND.Tech!$B$5&amp;L$99&amp;$F150) * (IND.Tech!$L$94:$L$253),0) )</f>
        <v>0</v>
      </c>
      <c r="M150" s="720">
        <f t="array" ref="M150" xml:space="preserve"> Unit.PJ * SUM( IFERROR( (IND.Tech!$C$94:$C$253=$A$1&amp;$G150) * (IND.Tech!$D$94:$D$253=IND.Tech!$B$5&amp;M$99&amp;$F150) * (IND.Tech!$L$94:$L$253),0) )</f>
        <v>6</v>
      </c>
      <c r="N150" s="720">
        <f t="array" ref="N150" xml:space="preserve"> Unit.PJ * SUM( IFERROR( (IND.Tech!$C$94:$C$253=$A$1&amp;$G150) * (IND.Tech!$D$94:$D$253=IND.Tech!$B$5&amp;N$99&amp;$F150) * (IND.Tech!$L$94:$L$253),0) )</f>
        <v>0</v>
      </c>
      <c r="O150" s="720">
        <f t="array" ref="O150" xml:space="preserve"> Unit.PJ * SUM( IFERROR( (IND.Tech!$C$94:$C$253=$A$1&amp;$G150) * (IND.Tech!$D$94:$D$253=IND.Tech!$B$5&amp;O$99&amp;$F150) * (IND.Tech!$L$94:$L$253),0) )</f>
        <v>0</v>
      </c>
      <c r="P150" s="817">
        <f t="shared" si="25"/>
        <v>6</v>
      </c>
      <c r="X150" s="165"/>
      <c r="Y150" s="165"/>
    </row>
    <row r="151" spans="2:25" ht="15">
      <c r="B151" s="106"/>
      <c r="C151" s="336" t="str">
        <f>INDEX(EF[UK Vector],MATCH(G151,EF[SATIM Code],0))</f>
        <v>V.16</v>
      </c>
      <c r="D151" s="336" t="str">
        <f>INDEX(Vectors[Description], MATCH($C151, Vectors[Code], 0))</f>
        <v>Other Waste</v>
      </c>
      <c r="E151" s="556" t="s">
        <v>1316</v>
      </c>
      <c r="F151" s="981" t="str">
        <f t="shared" si="24"/>
        <v>S</v>
      </c>
      <c r="G151" s="450" t="s">
        <v>890</v>
      </c>
      <c r="H151" s="720">
        <f t="array" ref="H151" xml:space="preserve"> Unit.PJ * SUM( IFERROR( (IND.Tech!$C$94:$C$253=$A$1&amp;$G151) * (IND.Tech!$D$94:$D$253=IND.Tech!$B$5&amp;H$99&amp;$F151) * (IND.Tech!$L$94:$L$253),0) )</f>
        <v>0</v>
      </c>
      <c r="I151" s="720">
        <f t="array" ref="I151" xml:space="preserve"> Unit.PJ * SUM( IFERROR( (IND.Tech!$C$94:$C$253=$A$1&amp;$G151) * (IND.Tech!$D$94:$D$253=IND.Tech!$B$5&amp;I$99&amp;$F151) * (IND.Tech!$L$94:$L$253),0) )</f>
        <v>0</v>
      </c>
      <c r="J151" s="720">
        <f t="array" ref="J151" xml:space="preserve"> Unit.PJ * SUM( IFERROR( (IND.Tech!$C$94:$C$253=$A$1&amp;$G151) * (IND.Tech!$D$94:$D$253=IND.Tech!$B$5&amp;J$99&amp;$F151) * (IND.Tech!$L$94:$L$253),0) )</f>
        <v>0</v>
      </c>
      <c r="K151" s="720">
        <f t="array" ref="K151" xml:space="preserve"> Unit.PJ * SUM( IFERROR( (IND.Tech!$C$94:$C$253=$A$1&amp;$G151) * (IND.Tech!$D$94:$D$253=IND.Tech!$B$5&amp;K$99&amp;$F151) * (IND.Tech!$L$94:$L$253),0) )</f>
        <v>0</v>
      </c>
      <c r="L151" s="720">
        <f t="array" ref="L151" xml:space="preserve"> Unit.PJ * SUM( IFERROR( (IND.Tech!$C$94:$C$253=$A$1&amp;$G151) * (IND.Tech!$D$94:$D$253=IND.Tech!$B$5&amp;L$99&amp;$F151) * (IND.Tech!$L$94:$L$253),0) )</f>
        <v>0</v>
      </c>
      <c r="M151" s="720">
        <f t="array" ref="M151" xml:space="preserve"> Unit.PJ * SUM( IFERROR( (IND.Tech!$C$94:$C$253=$A$1&amp;$G151) * (IND.Tech!$D$94:$D$253=IND.Tech!$B$5&amp;M$99&amp;$F151) * (IND.Tech!$L$94:$L$253),0) )</f>
        <v>0</v>
      </c>
      <c r="N151" s="720">
        <f t="array" ref="N151" xml:space="preserve"> Unit.PJ * SUM( IFERROR( (IND.Tech!$C$94:$C$253=$A$1&amp;$G151) * (IND.Tech!$D$94:$D$253=IND.Tech!$B$5&amp;N$99&amp;$F151) * (IND.Tech!$L$94:$L$253),0) )</f>
        <v>0</v>
      </c>
      <c r="O151" s="720">
        <f t="array" ref="O151" xml:space="preserve"> Unit.PJ * SUM( IFERROR( (IND.Tech!$C$94:$C$253=$A$1&amp;$G151) * (IND.Tech!$D$94:$D$253=IND.Tech!$B$5&amp;O$99&amp;$F151) * (IND.Tech!$L$94:$L$253),0) )</f>
        <v>0</v>
      </c>
      <c r="P151" s="817">
        <f t="shared" si="25"/>
        <v>0</v>
      </c>
      <c r="X151" s="165"/>
      <c r="Y151" s="165"/>
    </row>
    <row r="152" spans="2:25" ht="15">
      <c r="B152" s="106"/>
      <c r="C152" s="336"/>
      <c r="D152" s="336"/>
      <c r="E152" s="336"/>
      <c r="F152" s="336"/>
      <c r="G152" s="336"/>
      <c r="H152" s="336"/>
      <c r="I152" s="387"/>
      <c r="J152" s="387"/>
      <c r="K152" s="387"/>
      <c r="L152" s="387"/>
      <c r="M152" s="387"/>
      <c r="N152" s="387"/>
      <c r="O152" s="387"/>
      <c r="P152" s="387"/>
      <c r="X152" s="165"/>
      <c r="Y152" s="165"/>
    </row>
    <row r="153" spans="2:25" ht="15">
      <c r="B153" s="106"/>
      <c r="C153" s="339"/>
      <c r="D153" s="339"/>
      <c r="E153" s="383" t="s">
        <v>1348</v>
      </c>
      <c r="F153" s="287"/>
      <c r="G153" s="725" t="s">
        <v>868</v>
      </c>
      <c r="H153" s="725">
        <f t="shared" ref="H153:P153" si="26">SUM(H154:H156)</f>
        <v>28.149155919000002</v>
      </c>
      <c r="I153" s="725">
        <f t="shared" si="26"/>
        <v>50.250383099999993</v>
      </c>
      <c r="J153" s="725">
        <f t="shared" si="26"/>
        <v>0</v>
      </c>
      <c r="K153" s="725">
        <f t="shared" si="26"/>
        <v>0</v>
      </c>
      <c r="L153" s="725">
        <f t="shared" si="26"/>
        <v>0</v>
      </c>
      <c r="M153" s="725">
        <f t="shared" si="26"/>
        <v>0</v>
      </c>
      <c r="N153" s="725">
        <f t="shared" si="26"/>
        <v>0</v>
      </c>
      <c r="O153" s="725">
        <f t="shared" si="26"/>
        <v>7.8658203618</v>
      </c>
      <c r="P153" s="725">
        <f t="shared" si="26"/>
        <v>86.265359380799993</v>
      </c>
      <c r="X153" s="165"/>
      <c r="Y153" s="165"/>
    </row>
    <row r="154" spans="2:25" ht="15">
      <c r="B154" s="106"/>
      <c r="C154" s="336" t="str">
        <f>INDEX(EF[UK Vector],MATCH(G154,EF[SATIM Code],0))</f>
        <v>V.03</v>
      </c>
      <c r="D154" s="336" t="str">
        <f>INDEX(Vectors[Description], MATCH($C154, Vectors[Code], 0))</f>
        <v>Solid hydrocarbons</v>
      </c>
      <c r="E154" s="556" t="s">
        <v>1315</v>
      </c>
      <c r="F154" s="981" t="str">
        <f>INDEX(IND.Sectors_Demand_ID,MATCH(E154,IND.Sectors_Demand,0))</f>
        <v>T</v>
      </c>
      <c r="G154" s="450" t="s">
        <v>883</v>
      </c>
      <c r="H154" s="720">
        <f t="array" ref="H154" xml:space="preserve"> Unit.PJ * SUM( IFERROR( (IND.Tech!$C$94:$C$253=$A$1&amp;$G154) * (IND.Tech!$D$94:$D$253=IND.Tech!$B$5&amp;H$99&amp;$F154) * (IND.Tech!$L$94:$L$253),0) )</f>
        <v>0</v>
      </c>
      <c r="I154" s="720">
        <f t="array" ref="I154" xml:space="preserve"> Unit.PJ * SUM( IFERROR( (IND.Tech!$C$94:$C$253=$A$1&amp;$G154) * (IND.Tech!$D$94:$D$253=IND.Tech!$B$5&amp;I$99&amp;$F154) * (IND.Tech!$L$94:$L$253),0) )</f>
        <v>50.250383099999993</v>
      </c>
      <c r="J154" s="720">
        <f t="array" ref="J154" xml:space="preserve"> Unit.PJ * SUM( IFERROR( (IND.Tech!$C$94:$C$253=$A$1&amp;$G154) * (IND.Tech!$D$94:$D$253=IND.Tech!$B$5&amp;J$99&amp;$F154) * (IND.Tech!$L$94:$L$253),0) )</f>
        <v>0</v>
      </c>
      <c r="K154" s="720">
        <f t="array" ref="K154" xml:space="preserve"> Unit.PJ * SUM( IFERROR( (IND.Tech!$C$94:$C$253=$A$1&amp;$G154) * (IND.Tech!$D$94:$D$253=IND.Tech!$B$5&amp;K$99&amp;$F154) * (IND.Tech!$L$94:$L$253),0) )</f>
        <v>0</v>
      </c>
      <c r="L154" s="720">
        <f t="array" ref="L154" xml:space="preserve"> Unit.PJ * SUM( IFERROR( (IND.Tech!$C$94:$C$253=$A$1&amp;$G154) * (IND.Tech!$D$94:$D$253=IND.Tech!$B$5&amp;L$99&amp;$F154) * (IND.Tech!$L$94:$L$253),0) )</f>
        <v>0</v>
      </c>
      <c r="M154" s="720">
        <f t="array" ref="M154" xml:space="preserve"> Unit.PJ * SUM( IFERROR( (IND.Tech!$C$94:$C$253=$A$1&amp;$G154) * (IND.Tech!$D$94:$D$253=IND.Tech!$B$5&amp;M$99&amp;$F154) * (IND.Tech!$L$94:$L$253),0) )</f>
        <v>0</v>
      </c>
      <c r="N154" s="720">
        <f t="array" ref="N154" xml:space="preserve"> Unit.PJ * SUM( IFERROR( (IND.Tech!$C$94:$C$253=$A$1&amp;$G154) * (IND.Tech!$D$94:$D$253=IND.Tech!$B$5&amp;N$99&amp;$F154) * (IND.Tech!$L$94:$L$253),0) )</f>
        <v>0</v>
      </c>
      <c r="O154" s="720">
        <f t="array" ref="O154" xml:space="preserve"> Unit.PJ * SUM( IFERROR( (IND.Tech!$C$94:$C$253=$A$1&amp;$G154) * (IND.Tech!$D$94:$D$253=IND.Tech!$B$5&amp;O$99&amp;$F154) * (IND.Tech!$L$94:$L$253),0) )</f>
        <v>0</v>
      </c>
      <c r="P154" s="817">
        <f>SUM($H154:$O154)</f>
        <v>50.250383099999993</v>
      </c>
      <c r="X154" s="165"/>
      <c r="Y154" s="165"/>
    </row>
    <row r="155" spans="2:25" ht="15">
      <c r="B155" s="106"/>
      <c r="C155" s="336" t="str">
        <f>INDEX(EF[UK Vector],MATCH(G155,EF[SATIM Code],0))</f>
        <v>V.05</v>
      </c>
      <c r="D155" s="336" t="str">
        <f>INDEX(Vectors[Description], MATCH($C155, Vectors[Code], 0))</f>
        <v>Gaseous hydrocarbons</v>
      </c>
      <c r="E155" s="556" t="s">
        <v>1315</v>
      </c>
      <c r="F155" s="981" t="str">
        <f>INDEX(IND.Sectors_Demand_ID,MATCH(E155,IND.Sectors_Demand,0))</f>
        <v>T</v>
      </c>
      <c r="G155" s="450" t="s">
        <v>869</v>
      </c>
      <c r="H155" s="720">
        <f t="array" ref="H155" xml:space="preserve"> Unit.PJ * SUM( IFERROR( (IND.Tech!$C$94:$C$253=$A$1&amp;$G155) * (IND.Tech!$D$94:$D$253=IND.Tech!$B$5&amp;H$99&amp;$F155) * (IND.Tech!$L$94:$L$253),0) )</f>
        <v>0</v>
      </c>
      <c r="I155" s="720">
        <f t="array" ref="I155" xml:space="preserve"> Unit.PJ * SUM( IFERROR( (IND.Tech!$C$94:$C$253=$A$1&amp;$G155) * (IND.Tech!$D$94:$D$253=IND.Tech!$B$5&amp;I$99&amp;$F155) * (IND.Tech!$L$94:$L$253),0) )</f>
        <v>0</v>
      </c>
      <c r="J155" s="720">
        <f t="array" ref="J155" xml:space="preserve"> Unit.PJ * SUM( IFERROR( (IND.Tech!$C$94:$C$253=$A$1&amp;$G155) * (IND.Tech!$D$94:$D$253=IND.Tech!$B$5&amp;J$99&amp;$F155) * (IND.Tech!$L$94:$L$253),0) )</f>
        <v>0</v>
      </c>
      <c r="K155" s="720">
        <f t="array" ref="K155" xml:space="preserve"> Unit.PJ * SUM( IFERROR( (IND.Tech!$C$94:$C$253=$A$1&amp;$G155) * (IND.Tech!$D$94:$D$253=IND.Tech!$B$5&amp;K$99&amp;$F155) * (IND.Tech!$L$94:$L$253),0) )</f>
        <v>0</v>
      </c>
      <c r="L155" s="720">
        <f t="array" ref="L155" xml:space="preserve"> Unit.PJ * SUM( IFERROR( (IND.Tech!$C$94:$C$253=$A$1&amp;$G155) * (IND.Tech!$D$94:$D$253=IND.Tech!$B$5&amp;L$99&amp;$F155) * (IND.Tech!$L$94:$L$253),0) )</f>
        <v>0</v>
      </c>
      <c r="M155" s="720">
        <f t="array" ref="M155" xml:space="preserve"> Unit.PJ * SUM( IFERROR( (IND.Tech!$C$94:$C$253=$A$1&amp;$G155) * (IND.Tech!$D$94:$D$253=IND.Tech!$B$5&amp;M$99&amp;$F155) * (IND.Tech!$L$94:$L$253),0) )</f>
        <v>0</v>
      </c>
      <c r="N155" s="720">
        <f t="array" ref="N155" xml:space="preserve"> Unit.PJ * SUM( IFERROR( (IND.Tech!$C$94:$C$253=$A$1&amp;$G155) * (IND.Tech!$D$94:$D$253=IND.Tech!$B$5&amp;N$99&amp;$F155) * (IND.Tech!$L$94:$L$253),0) )</f>
        <v>0</v>
      </c>
      <c r="O155" s="720">
        <f t="array" ref="O155" xml:space="preserve"> Unit.PJ * SUM( IFERROR( (IND.Tech!$C$94:$C$253=$A$1&amp;$G155) * (IND.Tech!$D$94:$D$253=IND.Tech!$B$5&amp;O$99&amp;$F155) * (IND.Tech!$L$94:$L$253),0) )</f>
        <v>0</v>
      </c>
      <c r="P155" s="817">
        <f>SUM($H155:$O155)</f>
        <v>0</v>
      </c>
      <c r="X155" s="165"/>
      <c r="Y155" s="165"/>
    </row>
    <row r="156" spans="2:25" ht="15">
      <c r="B156" s="106"/>
      <c r="C156" s="336" t="str">
        <f>INDEX(EF[UK Vector],MATCH(G156,EF[SATIM Code],0))</f>
        <v>V.04</v>
      </c>
      <c r="D156" s="336" t="str">
        <f>INDEX(Vectors[Description], MATCH($C156, Vectors[Code], 0))</f>
        <v>Liquid hydrocarbons</v>
      </c>
      <c r="E156" s="556" t="s">
        <v>116</v>
      </c>
      <c r="F156" s="981" t="str">
        <f>INDEX(IND.Sectors_Demand_ID,MATCH(E156,IND.Sectors_Demand,0))</f>
        <v>R</v>
      </c>
      <c r="G156" s="450" t="s">
        <v>886</v>
      </c>
      <c r="H156" s="720">
        <f t="array" ref="H156" xml:space="preserve"> Unit.PJ * SUM( IFERROR( (IND.Tech!$C$94:$C$253=$A$1&amp;$G156) * (IND.Tech!$D$94:$D$253=IND.Tech!$B$5&amp;H$99&amp;$F156) * (IND.Tech!$L$94:$L$253),0) )</f>
        <v>28.149155919000002</v>
      </c>
      <c r="I156" s="720">
        <f t="array" ref="I156" xml:space="preserve"> Unit.PJ * SUM( IFERROR( (IND.Tech!$C$94:$C$253=$A$1&amp;$G156) * (IND.Tech!$D$94:$D$253=IND.Tech!$B$5&amp;I$99&amp;$F156) * (IND.Tech!$L$94:$L$253),0) )</f>
        <v>0</v>
      </c>
      <c r="J156" s="720">
        <f t="array" ref="J156" xml:space="preserve"> Unit.PJ * SUM( IFERROR( (IND.Tech!$C$94:$C$253=$A$1&amp;$G156) * (IND.Tech!$D$94:$D$253=IND.Tech!$B$5&amp;J$99&amp;$F156) * (IND.Tech!$L$94:$L$253),0) )</f>
        <v>0</v>
      </c>
      <c r="K156" s="720">
        <f t="array" ref="K156" xml:space="preserve"> Unit.PJ * SUM( IFERROR( (IND.Tech!$C$94:$C$253=$A$1&amp;$G156) * (IND.Tech!$D$94:$D$253=IND.Tech!$B$5&amp;K$99&amp;$F156) * (IND.Tech!$L$94:$L$253),0) )</f>
        <v>0</v>
      </c>
      <c r="L156" s="720">
        <f t="array" ref="L156" xml:space="preserve"> Unit.PJ * SUM( IFERROR( (IND.Tech!$C$94:$C$253=$A$1&amp;$G156) * (IND.Tech!$D$94:$D$253=IND.Tech!$B$5&amp;L$99&amp;$F156) * (IND.Tech!$L$94:$L$253),0) )</f>
        <v>0</v>
      </c>
      <c r="M156" s="720">
        <f t="array" ref="M156" xml:space="preserve"> Unit.PJ * SUM( IFERROR( (IND.Tech!$C$94:$C$253=$A$1&amp;$G156) * (IND.Tech!$D$94:$D$253=IND.Tech!$B$5&amp;M$99&amp;$F156) * (IND.Tech!$L$94:$L$253),0) )</f>
        <v>0</v>
      </c>
      <c r="N156" s="720">
        <f t="array" ref="N156" xml:space="preserve"> Unit.PJ * SUM( IFERROR( (IND.Tech!$C$94:$C$253=$A$1&amp;$G156) * (IND.Tech!$D$94:$D$253=IND.Tech!$B$5&amp;N$99&amp;$F156) * (IND.Tech!$L$94:$L$253),0) )</f>
        <v>0</v>
      </c>
      <c r="O156" s="720">
        <f t="array" ref="O156" xml:space="preserve"> Unit.PJ * SUM( IFERROR( (IND.Tech!$C$94:$C$253=$A$1&amp;$G156) * (IND.Tech!$D$94:$D$253=IND.Tech!$B$5&amp;O$99&amp;$F156) * (IND.Tech!$L$94:$L$253),0) )</f>
        <v>7.8658203618</v>
      </c>
      <c r="P156" s="817">
        <f>SUM($H156:$O156)</f>
        <v>36.014976280799999</v>
      </c>
      <c r="X156" s="165"/>
      <c r="Y156" s="165"/>
    </row>
    <row r="157" spans="2:25" ht="15">
      <c r="B157" s="106"/>
      <c r="C157" s="336"/>
      <c r="D157" s="336"/>
      <c r="E157" s="336"/>
      <c r="F157" s="336"/>
      <c r="G157" s="336"/>
      <c r="H157" s="336"/>
      <c r="I157" s="387"/>
      <c r="J157" s="387"/>
      <c r="K157" s="387"/>
      <c r="L157" s="387"/>
      <c r="M157" s="387"/>
      <c r="N157" s="387"/>
      <c r="O157" s="387"/>
      <c r="P157" s="387"/>
      <c r="X157" s="165"/>
      <c r="Y157" s="165"/>
    </row>
    <row r="158" spans="2:25" ht="16" thickBot="1">
      <c r="B158" s="106"/>
      <c r="C158" s="816" t="s">
        <v>1355</v>
      </c>
      <c r="D158" s="816"/>
      <c r="E158" s="816"/>
      <c r="F158" s="816"/>
      <c r="G158" s="816"/>
      <c r="H158" s="815">
        <f t="shared" ref="H158:P158" si="27">H132+H143+H153</f>
        <v>152.26197751236091</v>
      </c>
      <c r="I158" s="815">
        <f t="shared" si="27"/>
        <v>232.59134002377476</v>
      </c>
      <c r="J158" s="815">
        <f t="shared" si="27"/>
        <v>101.17303583616001</v>
      </c>
      <c r="K158" s="815">
        <f t="shared" si="27"/>
        <v>57.427286838336002</v>
      </c>
      <c r="L158" s="815">
        <f t="shared" si="27"/>
        <v>57.660505819199997</v>
      </c>
      <c r="M158" s="815">
        <f t="shared" si="27"/>
        <v>43.378436325119999</v>
      </c>
      <c r="N158" s="815">
        <f t="shared" si="27"/>
        <v>86.99650285745453</v>
      </c>
      <c r="O158" s="815">
        <f t="shared" si="27"/>
        <v>132.11917400661048</v>
      </c>
      <c r="P158" s="815">
        <f t="shared" si="27"/>
        <v>863.60825921901665</v>
      </c>
      <c r="X158" s="165"/>
      <c r="Y158" s="165"/>
    </row>
    <row r="159" spans="2:25" ht="16" thickTop="1">
      <c r="B159" s="106"/>
      <c r="C159" s="79"/>
      <c r="D159" s="79"/>
      <c r="E159" s="79"/>
      <c r="F159" s="79"/>
      <c r="G159" s="79"/>
      <c r="H159" s="709"/>
      <c r="I159" s="709"/>
      <c r="J159" s="709"/>
      <c r="K159" s="709"/>
      <c r="L159" s="709"/>
      <c r="M159" s="709"/>
      <c r="N159" s="709"/>
      <c r="O159" s="709"/>
      <c r="P159" s="709"/>
      <c r="X159" s="165"/>
      <c r="Y159" s="165"/>
    </row>
    <row r="160" spans="2:25" ht="15">
      <c r="B160" s="106"/>
      <c r="C160" s="813" t="s">
        <v>2239</v>
      </c>
      <c r="D160" s="813"/>
      <c r="E160" s="79"/>
      <c r="F160" s="79"/>
      <c r="G160" s="79"/>
      <c r="H160" s="709"/>
      <c r="I160" s="709"/>
      <c r="J160" s="709"/>
      <c r="K160" s="709"/>
      <c r="L160" s="709"/>
      <c r="M160" s="709"/>
      <c r="N160" s="709"/>
      <c r="O160" s="709"/>
      <c r="P160" s="709"/>
      <c r="X160" s="165"/>
      <c r="Y160" s="165"/>
    </row>
    <row r="161" spans="2:25" ht="15">
      <c r="B161" s="106"/>
      <c r="C161" s="171"/>
      <c r="D161" s="687"/>
      <c r="E161" s="465" t="s">
        <v>32</v>
      </c>
      <c r="F161" s="465"/>
      <c r="G161" s="465"/>
      <c r="H161" s="814" t="str">
        <f t="array" ref="H161:O161">TRANSPOSE(IND.Sector_ID)</f>
        <v>MI</v>
      </c>
      <c r="I161" s="814" t="str">
        <v>IS</v>
      </c>
      <c r="J161" s="814" t="str">
        <v>CP</v>
      </c>
      <c r="K161" s="814" t="str">
        <v>NF</v>
      </c>
      <c r="L161" s="814" t="str">
        <v>NM</v>
      </c>
      <c r="M161" s="814" t="str">
        <v>FB</v>
      </c>
      <c r="N161" s="814" t="str">
        <v>PP</v>
      </c>
      <c r="O161" s="814" t="str">
        <v>OT</v>
      </c>
      <c r="P161" s="709"/>
      <c r="X161" s="165"/>
      <c r="Y161" s="165"/>
    </row>
    <row r="162" spans="2:25" ht="26.25" customHeight="1">
      <c r="B162" s="106"/>
      <c r="C162" s="699" t="s">
        <v>58</v>
      </c>
      <c r="D162" s="699" t="s">
        <v>59</v>
      </c>
      <c r="E162" s="699" t="s">
        <v>1349</v>
      </c>
      <c r="F162" s="698" t="s">
        <v>1354</v>
      </c>
      <c r="G162" s="699" t="s">
        <v>1343</v>
      </c>
      <c r="H162" s="818" t="str">
        <f>INDEX($D$33:$D$40,MATCH(H161,$C$33:$C$40,0))</f>
        <v>Mining SIC2</v>
      </c>
      <c r="I162" s="818" t="str">
        <f t="shared" ref="I162:O162" si="28">INDEX($D$33:$D$40,MATCH(I161,$C$33:$C$40,0))</f>
        <v>Iron  &amp; Steel  - 351</v>
      </c>
      <c r="J162" s="818" t="str">
        <f t="shared" si="28"/>
        <v>Chemicals  -33</v>
      </c>
      <c r="K162" s="818" t="str">
        <f t="shared" si="28"/>
        <v>Non-Ferrous metals  - 352</v>
      </c>
      <c r="L162" s="818" t="str">
        <f t="shared" si="28"/>
        <v>N.M.M Products  -34</v>
      </c>
      <c r="M162" s="818" t="str">
        <f t="shared" si="28"/>
        <v>Food, Beverage &amp; Tabacco  - 30</v>
      </c>
      <c r="N162" s="818" t="str">
        <f t="shared" si="28"/>
        <v>Pulp &amp; Paper Products  -323</v>
      </c>
      <c r="O162" s="818" t="str">
        <f t="shared" si="28"/>
        <v>Other</v>
      </c>
      <c r="P162" s="709"/>
      <c r="X162" s="165"/>
      <c r="Y162" s="165"/>
    </row>
    <row r="163" spans="2:25" ht="15">
      <c r="B163" s="106"/>
      <c r="C163" s="336" t="str">
        <f>INDEX(EF[UK Vector],MATCH(G163,EF[SATIM Code],0))</f>
        <v>V.03</v>
      </c>
      <c r="D163" s="336" t="str">
        <f>INDEX(Vectors[Description], MATCH($C163, Vectors[Code], 0))</f>
        <v>Solid hydrocarbons</v>
      </c>
      <c r="E163" s="556" t="s">
        <v>1316</v>
      </c>
      <c r="F163" s="981" t="str">
        <f t="shared" ref="F163:F170" si="29">INDEX(IND.Sectors_Demand_ID,MATCH(E163,IND.Sectors_Demand,0))</f>
        <v>S</v>
      </c>
      <c r="G163" s="450" t="s">
        <v>882</v>
      </c>
      <c r="H163" s="694">
        <f t="array" ref="H163">SUM( IFERROR( (IND.Tech!$C$94:$C$253=CONCATENATE($A$1,$G163)) * (IND.Tech!$D$94:$D$253=CONCATENATE(IND.Tech!$B$5,H$99,$F163)) * (IND.Tech!$U$94:$U$253),0) )</f>
        <v>0.94093630337573975</v>
      </c>
      <c r="I163" s="694">
        <f t="array" ref="I163">SUM( IFERROR( (IND.Tech!$C$94:$C$253=CONCATENATE($A$1,$G163)) * (IND.Tech!$D$94:$D$253=CONCATENATE(IND.Tech!$B$5,I$99,$F163)) * (IND.Tech!$U$94:$U$253),0) )</f>
        <v>0.81179550150849511</v>
      </c>
      <c r="J163" s="694">
        <f t="array" ref="J163">SUM( IFERROR( (IND.Tech!$C$94:$C$253=CONCATENATE($A$1,$G163)) * (IND.Tech!$D$94:$D$253=CONCATENATE(IND.Tech!$B$5,J$99,$F163)) * (IND.Tech!$U$94:$U$253),0) )</f>
        <v>0.43167516403479089</v>
      </c>
      <c r="K163" s="694">
        <f t="array" ref="K163">SUM( IFERROR( (IND.Tech!$C$94:$C$253=CONCATENATE($A$1,$G163)) * (IND.Tech!$D$94:$D$253=CONCATENATE(IND.Tech!$B$5,K$99,$F163)) * (IND.Tech!$U$94:$U$253),0) )</f>
        <v>1</v>
      </c>
      <c r="L163" s="694">
        <f t="array" ref="L163">SUM( IFERROR( (IND.Tech!$C$94:$C$253=CONCATENATE($A$1,$G163)) * (IND.Tech!$D$94:$D$253=CONCATENATE(IND.Tech!$B$5,L$99,$F163)) * (IND.Tech!$U$94:$U$253),0) )</f>
        <v>0.859160349749859</v>
      </c>
      <c r="M163" s="694">
        <f t="array" ref="M163">SUM( IFERROR( (IND.Tech!$C$94:$C$253=CONCATENATE($A$1,$G163)) * (IND.Tech!$D$94:$D$253=CONCATENATE(IND.Tech!$B$5,M$99,$F163)) * (IND.Tech!$U$94:$U$253),0) )</f>
        <v>0.74136261909567958</v>
      </c>
      <c r="N163" s="694">
        <f t="array" ref="N163">SUM( IFERROR( (IND.Tech!$C$94:$C$253=CONCATENATE($A$1,$G163)) * (IND.Tech!$D$94:$D$253=CONCATENATE(IND.Tech!$B$5,N$99,$F163)) * (IND.Tech!$U$94:$U$253),0) )</f>
        <v>0.60590531036892281</v>
      </c>
      <c r="O163" s="694">
        <f t="array" ref="O163">SUM( IFERROR( (IND.Tech!$C$94:$C$253=CONCATENATE($A$1,$G163)) * (IND.Tech!$D$94:$D$253=CONCATENATE(IND.Tech!$B$5,O$99,$F163)) * (IND.Tech!$U$94:$U$253),0) )</f>
        <v>0.93982815966586464</v>
      </c>
      <c r="P163" s="709"/>
      <c r="X163" s="165"/>
      <c r="Y163" s="165"/>
    </row>
    <row r="164" spans="2:25" ht="15">
      <c r="B164" s="106"/>
      <c r="C164" s="336" t="str">
        <f>INDEX(EF[UK Vector],MATCH(G164,EF[SATIM Code],0))</f>
        <v>V.05</v>
      </c>
      <c r="D164" s="336" t="str">
        <f>INDEX(Vectors[Description], MATCH($C164, Vectors[Code], 0))</f>
        <v>Gaseous hydrocarbons</v>
      </c>
      <c r="E164" s="556" t="s">
        <v>1316</v>
      </c>
      <c r="F164" s="981" t="str">
        <f t="shared" si="29"/>
        <v>S</v>
      </c>
      <c r="G164" s="450" t="s">
        <v>869</v>
      </c>
      <c r="H164" s="694">
        <f t="array" ref="H164">SUM( IFERROR( (IND.Tech!$C$94:$C$253=CONCATENATE($A$1,$G164)) * (IND.Tech!$D$94:$D$253=CONCATENATE(IND.Tech!$B$5,H$99,$F164)) * (IND.Tech!$U$94:$U$253),0) )</f>
        <v>5.76127028396256E-2</v>
      </c>
      <c r="I164" s="694">
        <f t="array" ref="I164">SUM( IFERROR( (IND.Tech!$C$94:$C$253=CONCATENATE($A$1,$G164)) * (IND.Tech!$D$94:$D$253=CONCATENATE(IND.Tech!$B$5,I$99,$F164)) * (IND.Tech!$U$94:$U$253),0) )</f>
        <v>0.16008611513731411</v>
      </c>
      <c r="J164" s="694">
        <f t="array" ref="J164">SUM( IFERROR( (IND.Tech!$C$94:$C$253=CONCATENATE($A$1,$G164)) * (IND.Tech!$D$94:$D$253=CONCATENATE(IND.Tech!$B$5,J$99,$F164)) * (IND.Tech!$U$94:$U$253),0) )</f>
        <v>0.56472413116897369</v>
      </c>
      <c r="K164" s="694">
        <f t="array" ref="K164">SUM( IFERROR( (IND.Tech!$C$94:$C$253=CONCATENATE($A$1,$G164)) * (IND.Tech!$D$94:$D$253=CONCATENATE(IND.Tech!$B$5,K$99,$F164)) * (IND.Tech!$U$94:$U$253),0) )</f>
        <v>0</v>
      </c>
      <c r="L164" s="694">
        <f t="array" ref="L164">SUM( IFERROR( (IND.Tech!$C$94:$C$253=CONCATENATE($A$1,$G164)) * (IND.Tech!$D$94:$D$253=CONCATENATE(IND.Tech!$B$5,L$99,$F164)) * (IND.Tech!$U$94:$U$253),0) )</f>
        <v>0.14083965025014095</v>
      </c>
      <c r="M164" s="694">
        <f t="array" ref="M164">SUM( IFERROR( (IND.Tech!$C$94:$C$253=CONCATENATE($A$1,$G164)) * (IND.Tech!$D$94:$D$253=CONCATENATE(IND.Tech!$B$5,M$99,$F164)) * (IND.Tech!$U$94:$U$253),0) )</f>
        <v>3.5953512850379725E-2</v>
      </c>
      <c r="N164" s="694">
        <f t="array" ref="N164">SUM( IFERROR( (IND.Tech!$C$94:$C$253=CONCATENATE($A$1,$G164)) * (IND.Tech!$D$94:$D$253=CONCATENATE(IND.Tech!$B$5,N$99,$F164)) * (IND.Tech!$U$94:$U$253),0) )</f>
        <v>3.282723441090795E-2</v>
      </c>
      <c r="O164" s="694">
        <f t="array" ref="O164">SUM( IFERROR( (IND.Tech!$C$94:$C$253=CONCATENATE($A$1,$G164)) * (IND.Tech!$D$94:$D$253=CONCATENATE(IND.Tech!$B$5,O$99,$F164)) * (IND.Tech!$U$94:$U$253),0) )</f>
        <v>5.7749322141788295E-2</v>
      </c>
      <c r="P164" s="709"/>
      <c r="X164" s="165"/>
      <c r="Y164" s="165"/>
    </row>
    <row r="165" spans="2:25" ht="15">
      <c r="B165" s="106"/>
      <c r="C165" s="336" t="str">
        <f>INDEX(EF[UK Vector],MATCH(G165,EF[SATIM Code],0))</f>
        <v>V.04</v>
      </c>
      <c r="D165" s="336" t="str">
        <f>INDEX(Vectors[Description], MATCH($C165, Vectors[Code], 0))</f>
        <v>Liquid hydrocarbons</v>
      </c>
      <c r="E165" s="556" t="s">
        <v>1316</v>
      </c>
      <c r="F165" s="981" t="str">
        <f t="shared" si="29"/>
        <v>S</v>
      </c>
      <c r="G165" s="450" t="s">
        <v>885</v>
      </c>
      <c r="H165" s="694">
        <f t="array" ref="H165">SUM( IFERROR( (IND.Tech!$C$94:$C$253=CONCATENATE($A$1,$G165)) * (IND.Tech!$D$94:$D$253=CONCATENATE(IND.Tech!$B$5,H$99,$F165)) * (IND.Tech!$U$94:$U$253),0) )</f>
        <v>1.4497705780728732E-3</v>
      </c>
      <c r="I165" s="694">
        <f t="array" ref="I165">SUM( IFERROR( (IND.Tech!$C$94:$C$253=CONCATENATE($A$1,$G165)) * (IND.Tech!$D$94:$D$253=CONCATENATE(IND.Tech!$B$5,I$99,$F165)) * (IND.Tech!$U$94:$U$253),0) )</f>
        <v>0</v>
      </c>
      <c r="J165" s="694">
        <f t="array" ref="J165">SUM( IFERROR( (IND.Tech!$C$94:$C$253=CONCATENATE($A$1,$G165)) * (IND.Tech!$D$94:$D$253=CONCATENATE(IND.Tech!$B$5,J$99,$F165)) * (IND.Tech!$U$94:$U$253),0) )</f>
        <v>0</v>
      </c>
      <c r="K165" s="694">
        <f t="array" ref="K165">SUM( IFERROR( (IND.Tech!$C$94:$C$253=CONCATENATE($A$1,$G165)) * (IND.Tech!$D$94:$D$253=CONCATENATE(IND.Tech!$B$5,K$99,$F165)) * (IND.Tech!$U$94:$U$253),0) )</f>
        <v>0</v>
      </c>
      <c r="L165" s="694">
        <f t="array" ref="L165">SUM( IFERROR( (IND.Tech!$C$94:$C$253=CONCATENATE($A$1,$G165)) * (IND.Tech!$D$94:$D$253=CONCATENATE(IND.Tech!$B$5,L$99,$F165)) * (IND.Tech!$U$94:$U$253),0) )</f>
        <v>0</v>
      </c>
      <c r="M165" s="694">
        <f t="array" ref="M165">SUM( IFERROR( (IND.Tech!$C$94:$C$253=CONCATENATE($A$1,$G165)) * (IND.Tech!$D$94:$D$253=CONCATENATE(IND.Tech!$B$5,M$99,$F165)) * (IND.Tech!$U$94:$U$253),0) )</f>
        <v>0</v>
      </c>
      <c r="N165" s="694">
        <f t="array" ref="N165">SUM( IFERROR( (IND.Tech!$C$94:$C$253=CONCATENATE($A$1,$G165)) * (IND.Tech!$D$94:$D$253=CONCATENATE(IND.Tech!$B$5,N$99,$F165)) * (IND.Tech!$U$94:$U$253),0) )</f>
        <v>0</v>
      </c>
      <c r="O165" s="694">
        <f t="array" ref="O165">SUM( IFERROR( (IND.Tech!$C$94:$C$253=CONCATENATE($A$1,$G165)) * (IND.Tech!$D$94:$D$253=CONCATENATE(IND.Tech!$B$5,O$99,$F165)) * (IND.Tech!$U$94:$U$253),0) )</f>
        <v>5.8022006042697375E-4</v>
      </c>
      <c r="P165" s="709"/>
      <c r="X165" s="165"/>
      <c r="Y165" s="165"/>
    </row>
    <row r="166" spans="2:25" ht="15">
      <c r="B166" s="106"/>
      <c r="C166" s="336" t="str">
        <f>INDEX(EF[UK Vector],MATCH(G166,EF[SATIM Code],0))</f>
        <v>V.04</v>
      </c>
      <c r="D166" s="336" t="str">
        <f>INDEX(Vectors[Description], MATCH($C166, Vectors[Code], 0))</f>
        <v>Liquid hydrocarbons</v>
      </c>
      <c r="E166" s="556" t="s">
        <v>1316</v>
      </c>
      <c r="F166" s="981" t="str">
        <f t="shared" si="29"/>
        <v>S</v>
      </c>
      <c r="G166" s="450" t="s">
        <v>887</v>
      </c>
      <c r="H166" s="694">
        <f t="array" ref="H166">SUM( IFERROR( (IND.Tech!$C$94:$C$253=CONCATENATE($A$1,$G166)) * (IND.Tech!$D$94:$D$253=CONCATENATE(IND.Tech!$B$5,H$99,$F166)) * (IND.Tech!$U$94:$U$253),0) )</f>
        <v>1.2232065616448326E-6</v>
      </c>
      <c r="I166" s="694">
        <f t="array" ref="I166">SUM( IFERROR( (IND.Tech!$C$94:$C$253=CONCATENATE($A$1,$G166)) * (IND.Tech!$D$94:$D$253=CONCATENATE(IND.Tech!$B$5,I$99,$F166)) * (IND.Tech!$U$94:$U$253),0) )</f>
        <v>2.8118383354190805E-2</v>
      </c>
      <c r="J166" s="694">
        <f t="array" ref="J166">SUM( IFERROR( (IND.Tech!$C$94:$C$253=CONCATENATE($A$1,$G166)) * (IND.Tech!$D$94:$D$253=CONCATENATE(IND.Tech!$B$5,J$99,$F166)) * (IND.Tech!$U$94:$U$253),0) )</f>
        <v>0</v>
      </c>
      <c r="K166" s="694">
        <f t="array" ref="K166">SUM( IFERROR( (IND.Tech!$C$94:$C$253=CONCATENATE($A$1,$G166)) * (IND.Tech!$D$94:$D$253=CONCATENATE(IND.Tech!$B$5,K$99,$F166)) * (IND.Tech!$U$94:$U$253),0) )</f>
        <v>0</v>
      </c>
      <c r="L166" s="694">
        <f t="array" ref="L166">SUM( IFERROR( (IND.Tech!$C$94:$C$253=CONCATENATE($A$1,$G166)) * (IND.Tech!$D$94:$D$253=CONCATENATE(IND.Tech!$B$5,L$99,$F166)) * (IND.Tech!$U$94:$U$253),0) )</f>
        <v>0</v>
      </c>
      <c r="M166" s="694">
        <f t="array" ref="M166">SUM( IFERROR( (IND.Tech!$C$94:$C$253=CONCATENATE($A$1,$G166)) * (IND.Tech!$D$94:$D$253=CONCATENATE(IND.Tech!$B$5,M$99,$F166)) * (IND.Tech!$U$94:$U$253),0) )</f>
        <v>0</v>
      </c>
      <c r="N166" s="694">
        <f t="array" ref="N166">SUM( IFERROR( (IND.Tech!$C$94:$C$253=CONCATENATE($A$1,$G166)) * (IND.Tech!$D$94:$D$253=CONCATENATE(IND.Tech!$B$5,N$99,$F166)) * (IND.Tech!$U$94:$U$253),0) )</f>
        <v>0</v>
      </c>
      <c r="O166" s="694">
        <f t="array" ref="O166">SUM( IFERROR( (IND.Tech!$C$94:$C$253=CONCATENATE($A$1,$G166)) * (IND.Tech!$D$94:$D$253=CONCATENATE(IND.Tech!$B$5,O$99,$F166)) * (IND.Tech!$U$94:$U$253),0) )</f>
        <v>2.6024228687779634E-5</v>
      </c>
      <c r="P166" s="709"/>
      <c r="X166" s="165"/>
      <c r="Y166" s="165"/>
    </row>
    <row r="167" spans="2:25" ht="15">
      <c r="B167" s="106"/>
      <c r="C167" s="336" t="str">
        <f>INDEX(EF[UK Vector],MATCH(G167,EF[SATIM Code],0))</f>
        <v>V.01</v>
      </c>
      <c r="D167" s="336" t="str">
        <f>INDEX(Vectors[Description], MATCH($C167, Vectors[Code], 0))</f>
        <v>Electricity (delivered to end user)</v>
      </c>
      <c r="E167" s="556" t="s">
        <v>1316</v>
      </c>
      <c r="F167" s="981" t="str">
        <f t="shared" si="29"/>
        <v>S</v>
      </c>
      <c r="G167" s="450" t="s">
        <v>879</v>
      </c>
      <c r="H167" s="694">
        <f t="array" ref="H167">SUM( IFERROR( (IND.Tech!$C$94:$C$253=CONCATENATE($A$1,$G167)) * (IND.Tech!$D$94:$D$253=CONCATENATE(IND.Tech!$B$5,H$99,$F167)) * (IND.Tech!$U$94:$U$253),0) )</f>
        <v>0</v>
      </c>
      <c r="I167" s="694">
        <f t="array" ref="I167">SUM( IFERROR( (IND.Tech!$C$94:$C$253=CONCATENATE($A$1,$G167)) * (IND.Tech!$D$94:$D$253=CONCATENATE(IND.Tech!$B$5,I$99,$F167)) * (IND.Tech!$U$94:$U$253),0) )</f>
        <v>0</v>
      </c>
      <c r="J167" s="694">
        <f t="array" ref="J167">SUM( IFERROR( (IND.Tech!$C$94:$C$253=CONCATENATE($A$1,$G167)) * (IND.Tech!$D$94:$D$253=CONCATENATE(IND.Tech!$B$5,J$99,$F167)) * (IND.Tech!$U$94:$U$253),0) )</f>
        <v>3.6007047962352988E-3</v>
      </c>
      <c r="K167" s="694">
        <f t="array" ref="K167">SUM( IFERROR( (IND.Tech!$C$94:$C$253=CONCATENATE($A$1,$G167)) * (IND.Tech!$D$94:$D$253=CONCATENATE(IND.Tech!$B$5,K$99,$F167)) * (IND.Tech!$U$94:$U$253),0) )</f>
        <v>0</v>
      </c>
      <c r="L167" s="694">
        <f t="array" ref="L167">SUM( IFERROR( (IND.Tech!$C$94:$C$253=CONCATENATE($A$1,$G167)) * (IND.Tech!$D$94:$D$253=CONCATENATE(IND.Tech!$B$5,L$99,$F167)) * (IND.Tech!$U$94:$U$253),0) )</f>
        <v>0</v>
      </c>
      <c r="M167" s="694">
        <f t="array" ref="M167">SUM( IFERROR( (IND.Tech!$C$94:$C$253=CONCATENATE($A$1,$G167)) * (IND.Tech!$D$94:$D$253=CONCATENATE(IND.Tech!$B$5,M$99,$F167)) * (IND.Tech!$U$94:$U$253),0) )</f>
        <v>8.1692213248666292E-3</v>
      </c>
      <c r="N167" s="694">
        <f t="array" ref="N167">SUM( IFERROR( (IND.Tech!$C$94:$C$253=CONCATENATE($A$1,$G167)) * (IND.Tech!$D$94:$D$253=CONCATENATE(IND.Tech!$B$5,N$99,$F167)) * (IND.Tech!$U$94:$U$253),0) )</f>
        <v>0</v>
      </c>
      <c r="O167" s="694">
        <f t="array" ref="O167">SUM( IFERROR( (IND.Tech!$C$94:$C$253=CONCATENATE($A$1,$G167)) * (IND.Tech!$D$94:$D$253=CONCATENATE(IND.Tech!$B$5,O$99,$F167)) * (IND.Tech!$U$94:$U$253),0) )</f>
        <v>1.8162739032322635E-3</v>
      </c>
      <c r="P167" s="709"/>
      <c r="X167" s="165"/>
      <c r="Y167" s="165"/>
    </row>
    <row r="168" spans="2:25" ht="15">
      <c r="B168" s="106"/>
      <c r="C168" s="336" t="str">
        <f>INDEX(EF[UK Vector],MATCH(G168,EF[SATIM Code],0))</f>
        <v>V.09</v>
      </c>
      <c r="D168" s="336" t="str">
        <f>INDEX(Vectors[Description], MATCH($C168, Vectors[Code], 0))</f>
        <v>Dry biomass and waste</v>
      </c>
      <c r="E168" s="556" t="s">
        <v>1316</v>
      </c>
      <c r="F168" s="981" t="str">
        <f t="shared" si="29"/>
        <v>S</v>
      </c>
      <c r="G168" s="450" t="s">
        <v>888</v>
      </c>
      <c r="H168" s="694">
        <f t="array" ref="H168">SUM( IFERROR( (IND.Tech!$C$94:$C$253=CONCATENATE($A$1,$G168)) * (IND.Tech!$D$94:$D$253=CONCATENATE(IND.Tech!$B$5,H$99,$F168)) * (IND.Tech!$U$94:$U$253),0) )</f>
        <v>0</v>
      </c>
      <c r="I168" s="694">
        <f t="array" ref="I168">SUM( IFERROR( (IND.Tech!$C$94:$C$253=CONCATENATE($A$1,$G168)) * (IND.Tech!$D$94:$D$253=CONCATENATE(IND.Tech!$B$5,I$99,$F168)) * (IND.Tech!$U$94:$U$253),0) )</f>
        <v>0</v>
      </c>
      <c r="J168" s="694">
        <f t="array" ref="J168">SUM( IFERROR( (IND.Tech!$C$94:$C$253=CONCATENATE($A$1,$G168)) * (IND.Tech!$D$94:$D$253=CONCATENATE(IND.Tech!$B$5,J$99,$F168)) * (IND.Tech!$U$94:$U$253),0) )</f>
        <v>0</v>
      </c>
      <c r="K168" s="694">
        <f t="array" ref="K168">SUM( IFERROR( (IND.Tech!$C$94:$C$253=CONCATENATE($A$1,$G168)) * (IND.Tech!$D$94:$D$253=CONCATENATE(IND.Tech!$B$5,K$99,$F168)) * (IND.Tech!$U$94:$U$253),0) )</f>
        <v>0</v>
      </c>
      <c r="L168" s="694">
        <f t="array" ref="L168">SUM( IFERROR( (IND.Tech!$C$94:$C$253=CONCATENATE($A$1,$G168)) * (IND.Tech!$D$94:$D$253=CONCATENATE(IND.Tech!$B$5,L$99,$F168)) * (IND.Tech!$U$94:$U$253),0) )</f>
        <v>0</v>
      </c>
      <c r="M168" s="694">
        <f t="array" ref="M168">SUM( IFERROR( (IND.Tech!$C$94:$C$253=CONCATENATE($A$1,$G168)) * (IND.Tech!$D$94:$D$253=CONCATENATE(IND.Tech!$B$5,M$99,$F168)) * (IND.Tech!$U$94:$U$253),0) )</f>
        <v>0</v>
      </c>
      <c r="N168" s="694">
        <f t="array" ref="N168">SUM( IFERROR( (IND.Tech!$C$94:$C$253=CONCATENATE($A$1,$G168)) * (IND.Tech!$D$94:$D$253=CONCATENATE(IND.Tech!$B$5,N$99,$F168)) * (IND.Tech!$U$94:$U$253),0) )</f>
        <v>0.36126745522016929</v>
      </c>
      <c r="O168" s="694">
        <f t="array" ref="O168">SUM( IFERROR( (IND.Tech!$C$94:$C$253=CONCATENATE($A$1,$G168)) * (IND.Tech!$D$94:$D$253=CONCATENATE(IND.Tech!$B$5,O$99,$F168)) * (IND.Tech!$U$94:$U$253),0) )</f>
        <v>0</v>
      </c>
      <c r="P168" s="709"/>
      <c r="X168" s="165"/>
      <c r="Y168" s="165"/>
    </row>
    <row r="169" spans="2:25" ht="15">
      <c r="B169" s="106"/>
      <c r="C169" s="336" t="str">
        <f>INDEX(EF[UK Vector],MATCH(G169,EF[SATIM Code],0))</f>
        <v>V.09</v>
      </c>
      <c r="D169" s="336" t="str">
        <f>INDEX(Vectors[Description], MATCH($C169, Vectors[Code], 0))</f>
        <v>Dry biomass and waste</v>
      </c>
      <c r="E169" s="556" t="s">
        <v>1316</v>
      </c>
      <c r="F169" s="981" t="str">
        <f t="shared" si="29"/>
        <v>S</v>
      </c>
      <c r="G169" s="450" t="s">
        <v>889</v>
      </c>
      <c r="H169" s="694">
        <f t="array" ref="H169">SUM( IFERROR( (IND.Tech!$C$94:$C$253=CONCATENATE($A$1,$G169)) * (IND.Tech!$D$94:$D$253=CONCATENATE(IND.Tech!$B$5,H$99,$F169)) * (IND.Tech!$U$94:$U$253),0) )</f>
        <v>0</v>
      </c>
      <c r="I169" s="694">
        <f t="array" ref="I169">SUM( IFERROR( (IND.Tech!$C$94:$C$253=CONCATENATE($A$1,$G169)) * (IND.Tech!$D$94:$D$253=CONCATENATE(IND.Tech!$B$5,I$99,$F169)) * (IND.Tech!$U$94:$U$253),0) )</f>
        <v>0</v>
      </c>
      <c r="J169" s="694">
        <f t="array" ref="J169">SUM( IFERROR( (IND.Tech!$C$94:$C$253=CONCATENATE($A$1,$G169)) * (IND.Tech!$D$94:$D$253=CONCATENATE(IND.Tech!$B$5,J$99,$F169)) * (IND.Tech!$U$94:$U$253),0) )</f>
        <v>0</v>
      </c>
      <c r="K169" s="694">
        <f t="array" ref="K169">SUM( IFERROR( (IND.Tech!$C$94:$C$253=CONCATENATE($A$1,$G169)) * (IND.Tech!$D$94:$D$253=CONCATENATE(IND.Tech!$B$5,K$99,$F169)) * (IND.Tech!$U$94:$U$253),0) )</f>
        <v>0</v>
      </c>
      <c r="L169" s="694">
        <f t="array" ref="L169">SUM( IFERROR( (IND.Tech!$C$94:$C$253=CONCATENATE($A$1,$G169)) * (IND.Tech!$D$94:$D$253=CONCATENATE(IND.Tech!$B$5,L$99,$F169)) * (IND.Tech!$U$94:$U$253),0) )</f>
        <v>0</v>
      </c>
      <c r="M169" s="694">
        <f t="array" ref="M169">SUM( IFERROR( (IND.Tech!$C$94:$C$253=CONCATENATE($A$1,$G169)) * (IND.Tech!$D$94:$D$253=CONCATENATE(IND.Tech!$B$5,M$99,$F169)) * (IND.Tech!$U$94:$U$253),0) )</f>
        <v>0.21451464672907403</v>
      </c>
      <c r="N169" s="694">
        <f t="array" ref="N169">SUM( IFERROR( (IND.Tech!$C$94:$C$253=CONCATENATE($A$1,$G169)) * (IND.Tech!$D$94:$D$253=CONCATENATE(IND.Tech!$B$5,N$99,$F169)) * (IND.Tech!$U$94:$U$253),0) )</f>
        <v>0</v>
      </c>
      <c r="O169" s="694">
        <f t="array" ref="O169">SUM( IFERROR( (IND.Tech!$C$94:$C$253=CONCATENATE($A$1,$G169)) * (IND.Tech!$D$94:$D$253=CONCATENATE(IND.Tech!$B$5,O$99,$F169)) * (IND.Tech!$U$94:$U$253),0) )</f>
        <v>0</v>
      </c>
      <c r="P169" s="709"/>
      <c r="X169" s="165"/>
      <c r="Y169" s="165"/>
    </row>
    <row r="170" spans="2:25" ht="15">
      <c r="B170" s="106"/>
      <c r="C170" s="336" t="str">
        <f>INDEX(EF[UK Vector],MATCH(G170,EF[SATIM Code],0))</f>
        <v>V.16</v>
      </c>
      <c r="D170" s="336" t="str">
        <f>INDEX(Vectors[Description], MATCH($C170, Vectors[Code], 0))</f>
        <v>Other Waste</v>
      </c>
      <c r="E170" s="556" t="s">
        <v>1316</v>
      </c>
      <c r="F170" s="981" t="str">
        <f t="shared" si="29"/>
        <v>S</v>
      </c>
      <c r="G170" s="450" t="s">
        <v>890</v>
      </c>
      <c r="H170" s="694">
        <f t="array" ref="H170">SUM( IFERROR( (IND.Tech!$C$94:$C$253=CONCATENATE($A$1,$G170)) * (IND.Tech!$D$94:$D$253=CONCATENATE(IND.Tech!$B$5,H$99,$F170)) * (IND.Tech!$U$94:$U$253),0) )</f>
        <v>0</v>
      </c>
      <c r="I170" s="694">
        <f t="array" ref="I170">SUM( IFERROR( (IND.Tech!$C$94:$C$253=CONCATENATE($A$1,$G170)) * (IND.Tech!$D$94:$D$253=CONCATENATE(IND.Tech!$B$5,I$99,$F170)) * (IND.Tech!$U$94:$U$253),0) )</f>
        <v>0</v>
      </c>
      <c r="J170" s="694">
        <f t="array" ref="J170">SUM( IFERROR( (IND.Tech!$C$94:$C$253=CONCATENATE($A$1,$G170)) * (IND.Tech!$D$94:$D$253=CONCATENATE(IND.Tech!$B$5,J$99,$F170)) * (IND.Tech!$U$94:$U$253),0) )</f>
        <v>0</v>
      </c>
      <c r="K170" s="694">
        <f t="array" ref="K170">SUM( IFERROR( (IND.Tech!$C$94:$C$253=CONCATENATE($A$1,$G170)) * (IND.Tech!$D$94:$D$253=CONCATENATE(IND.Tech!$B$5,K$99,$F170)) * (IND.Tech!$U$94:$U$253),0) )</f>
        <v>0</v>
      </c>
      <c r="L170" s="694">
        <f t="array" ref="L170">SUM( IFERROR( (IND.Tech!$C$94:$C$253=CONCATENATE($A$1,$G170)) * (IND.Tech!$D$94:$D$253=CONCATENATE(IND.Tech!$B$5,L$99,$F170)) * (IND.Tech!$U$94:$U$253),0) )</f>
        <v>0</v>
      </c>
      <c r="M170" s="694">
        <f t="array" ref="M170">SUM( IFERROR( (IND.Tech!$C$94:$C$253=CONCATENATE($A$1,$G170)) * (IND.Tech!$D$94:$D$253=CONCATENATE(IND.Tech!$B$5,M$99,$F170)) * (IND.Tech!$U$94:$U$253),0) )</f>
        <v>0</v>
      </c>
      <c r="N170" s="694">
        <f t="array" ref="N170">SUM( IFERROR( (IND.Tech!$C$94:$C$253=CONCATENATE($A$1,$G170)) * (IND.Tech!$D$94:$D$253=CONCATENATE(IND.Tech!$B$5,N$99,$F170)) * (IND.Tech!$U$94:$U$253),0) )</f>
        <v>0</v>
      </c>
      <c r="O170" s="694">
        <f t="array" ref="O170">SUM( IFERROR( (IND.Tech!$C$94:$C$253=CONCATENATE($A$1,$G170)) * (IND.Tech!$D$94:$D$253=CONCATENATE(IND.Tech!$B$5,O$99,$F170)) * (IND.Tech!$U$94:$U$253),0) )</f>
        <v>0</v>
      </c>
      <c r="P170" s="709"/>
      <c r="X170" s="165"/>
      <c r="Y170" s="165"/>
    </row>
    <row r="171" spans="2:25" ht="15">
      <c r="B171" s="106"/>
      <c r="C171" s="813"/>
      <c r="D171" s="813"/>
      <c r="E171" s="813"/>
      <c r="F171" s="813"/>
      <c r="G171" s="813"/>
      <c r="H171" s="713"/>
      <c r="I171" s="713"/>
      <c r="J171" s="713"/>
      <c r="K171" s="713"/>
      <c r="L171" s="713"/>
      <c r="M171" s="713"/>
      <c r="N171" s="713"/>
      <c r="O171" s="713"/>
      <c r="P171" s="709"/>
      <c r="X171" s="165"/>
      <c r="Y171" s="165"/>
    </row>
    <row r="172" spans="2:25" ht="15">
      <c r="B172" s="106"/>
      <c r="C172" s="79"/>
      <c r="D172" s="79"/>
      <c r="E172" s="79"/>
      <c r="F172" s="79"/>
      <c r="G172" s="79"/>
      <c r="H172" s="709"/>
      <c r="I172" s="709"/>
      <c r="J172" s="709"/>
      <c r="K172" s="709"/>
      <c r="L172" s="709"/>
      <c r="M172" s="709"/>
      <c r="N172" s="709"/>
      <c r="O172" s="709"/>
      <c r="P172" s="709"/>
      <c r="X172" s="165"/>
      <c r="Y172" s="165"/>
    </row>
    <row r="173" spans="2:25" ht="15">
      <c r="B173" s="106"/>
      <c r="C173" s="813" t="s">
        <v>2238</v>
      </c>
      <c r="D173" s="813"/>
      <c r="E173" s="79"/>
      <c r="F173" s="79"/>
      <c r="G173" s="79"/>
      <c r="H173" s="709"/>
      <c r="I173" s="709"/>
      <c r="J173" s="709"/>
      <c r="K173" s="709"/>
      <c r="L173" s="709"/>
      <c r="M173" s="709"/>
      <c r="N173" s="709"/>
      <c r="O173" s="709"/>
      <c r="P173" s="709"/>
      <c r="X173" s="165"/>
      <c r="Y173" s="165"/>
    </row>
    <row r="174" spans="2:25" ht="15">
      <c r="B174" s="106"/>
      <c r="C174" s="171"/>
      <c r="D174" s="687"/>
      <c r="E174" s="465" t="s">
        <v>32</v>
      </c>
      <c r="F174" s="465"/>
      <c r="G174" s="465"/>
      <c r="H174" s="814" t="str">
        <f t="array" ref="H174:O174">TRANSPOSE(IND.Sector_ID)</f>
        <v>MI</v>
      </c>
      <c r="I174" s="814" t="str">
        <v>IS</v>
      </c>
      <c r="J174" s="814" t="str">
        <v>CP</v>
      </c>
      <c r="K174" s="814" t="str">
        <v>NF</v>
      </c>
      <c r="L174" s="814" t="str">
        <v>NM</v>
      </c>
      <c r="M174" s="814" t="str">
        <v>FB</v>
      </c>
      <c r="N174" s="814" t="str">
        <v>PP</v>
      </c>
      <c r="O174" s="814" t="str">
        <v>OT</v>
      </c>
      <c r="P174" s="709"/>
      <c r="X174" s="165"/>
      <c r="Y174" s="165"/>
    </row>
    <row r="175" spans="2:25" ht="26">
      <c r="B175" s="106"/>
      <c r="C175" s="699" t="s">
        <v>58</v>
      </c>
      <c r="D175" s="699" t="s">
        <v>59</v>
      </c>
      <c r="E175" s="699" t="s">
        <v>1349</v>
      </c>
      <c r="F175" s="698" t="s">
        <v>1354</v>
      </c>
      <c r="G175" s="699" t="s">
        <v>1343</v>
      </c>
      <c r="H175" s="818" t="str">
        <f>INDEX($D$33:$D$40,MATCH(H174,$C$33:$C$40,0))</f>
        <v>Mining SIC2</v>
      </c>
      <c r="I175" s="818" t="str">
        <f t="shared" ref="I175:O175" si="30">INDEX($D$33:$D$40,MATCH(I174,$C$33:$C$40,0))</f>
        <v>Iron  &amp; Steel  - 351</v>
      </c>
      <c r="J175" s="818" t="str">
        <f t="shared" si="30"/>
        <v>Chemicals  -33</v>
      </c>
      <c r="K175" s="818" t="str">
        <f t="shared" si="30"/>
        <v>Non-Ferrous metals  - 352</v>
      </c>
      <c r="L175" s="818" t="str">
        <f t="shared" si="30"/>
        <v>N.M.M Products  -34</v>
      </c>
      <c r="M175" s="818" t="str">
        <f t="shared" si="30"/>
        <v>Food, Beverage &amp; Tabacco  - 30</v>
      </c>
      <c r="N175" s="818" t="str">
        <f t="shared" si="30"/>
        <v>Pulp &amp; Paper Products  -323</v>
      </c>
      <c r="O175" s="818" t="str">
        <f t="shared" si="30"/>
        <v>Other</v>
      </c>
      <c r="P175" s="709"/>
      <c r="X175" s="165"/>
      <c r="Y175" s="165"/>
    </row>
    <row r="176" spans="2:25" ht="15">
      <c r="B176" s="106"/>
      <c r="C176" s="336" t="str">
        <f>INDEX(EF[UK Vector],MATCH(G176,EF[SATIM Code],0))</f>
        <v>V.03</v>
      </c>
      <c r="D176" s="336" t="str">
        <f>INDEX(Vectors[Description], MATCH($C176, Vectors[Code], 0))</f>
        <v>Solid hydrocarbons</v>
      </c>
      <c r="E176" s="556" t="s">
        <v>1316</v>
      </c>
      <c r="F176" s="981" t="str">
        <f t="shared" ref="F176:F183" si="31">INDEX(IND.Sectors_Demand_ID,MATCH(E176,IND.Sectors_Demand,0))</f>
        <v>S</v>
      </c>
      <c r="G176" s="450" t="s">
        <v>882</v>
      </c>
      <c r="H176" s="720">
        <f t="array" ref="H176">SUM( IFERROR( (IND.Tech!$C$94:$C$253=CONCATENATE($A$1,$G176)) * (IND.Tech!$D$94:$D$253=CONCATENATE(IND.Tech!$B$5,H$99,$F176)) * (IND.Tech!$E$94:$E$253),0) )</f>
        <v>0.64</v>
      </c>
      <c r="I176" s="720">
        <f t="array" ref="I176">SUM( IFERROR( (IND.Tech!$C$94:$C$253=CONCATENATE($A$1,$G176)) * (IND.Tech!$D$94:$D$253=CONCATENATE(IND.Tech!$B$5,I$99,$F176)) * (IND.Tech!$E$94:$E$253),0) )</f>
        <v>0.64</v>
      </c>
      <c r="J176" s="720">
        <f t="array" ref="J176">SUM( IFERROR( (IND.Tech!$C$94:$C$253=CONCATENATE($A$1,$G176)) * (IND.Tech!$D$94:$D$253=CONCATENATE(IND.Tech!$B$5,J$99,$F176)) * (IND.Tech!$E$94:$E$253),0) )</f>
        <v>0.64</v>
      </c>
      <c r="K176" s="720">
        <f t="array" ref="K176">SUM( IFERROR( (IND.Tech!$C$94:$C$253=CONCATENATE($A$1,$G176)) * (IND.Tech!$D$94:$D$253=CONCATENATE(IND.Tech!$B$5,K$99,$F176)) * (IND.Tech!$E$94:$E$253),0) )</f>
        <v>0.64</v>
      </c>
      <c r="L176" s="720">
        <f t="array" ref="L176">SUM( IFERROR( (IND.Tech!$C$94:$C$253=CONCATENATE($A$1,$G176)) * (IND.Tech!$D$94:$D$253=CONCATENATE(IND.Tech!$B$5,L$99,$F176)) * (IND.Tech!$E$94:$E$253),0) )</f>
        <v>0.64</v>
      </c>
      <c r="M176" s="720">
        <f t="array" ref="M176">SUM( IFERROR( (IND.Tech!$C$94:$C$253=CONCATENATE($A$1,$G176)) * (IND.Tech!$D$94:$D$253=CONCATENATE(IND.Tech!$B$5,M$99,$F176)) * (IND.Tech!$E$94:$E$253),0) )</f>
        <v>0.64</v>
      </c>
      <c r="N176" s="720">
        <f t="array" ref="N176">SUM( IFERROR( (IND.Tech!$C$94:$C$253=CONCATENATE($A$1,$G176)) * (IND.Tech!$D$94:$D$253=CONCATENATE(IND.Tech!$B$5,N$99,$F176)) * (IND.Tech!$E$94:$E$253),0) )</f>
        <v>0.64</v>
      </c>
      <c r="O176" s="720">
        <f t="array" ref="O176">SUM( IFERROR( (IND.Tech!$C$94:$C$253=CONCATENATE($A$1,$G176)) * (IND.Tech!$D$94:$D$253=CONCATENATE(IND.Tech!$B$5,O$99,$F176)) * (IND.Tech!$E$94:$E$253),0) )</f>
        <v>0.64</v>
      </c>
      <c r="P176" s="709"/>
      <c r="X176" s="165"/>
      <c r="Y176" s="165"/>
    </row>
    <row r="177" spans="2:25" ht="15">
      <c r="B177" s="106"/>
      <c r="C177" s="336" t="str">
        <f>INDEX(EF[UK Vector],MATCH(G177,EF[SATIM Code],0))</f>
        <v>V.05</v>
      </c>
      <c r="D177" s="336" t="str">
        <f>INDEX(Vectors[Description], MATCH($C177, Vectors[Code], 0))</f>
        <v>Gaseous hydrocarbons</v>
      </c>
      <c r="E177" s="556" t="s">
        <v>1316</v>
      </c>
      <c r="F177" s="981" t="str">
        <f t="shared" si="31"/>
        <v>S</v>
      </c>
      <c r="G177" s="450" t="s">
        <v>869</v>
      </c>
      <c r="H177" s="720">
        <f t="array" ref="H177">SUM( IFERROR( (IND.Tech!$C$94:$C$253=CONCATENATE($A$1,$G177)) * (IND.Tech!$D$94:$D$253=CONCATENATE(IND.Tech!$B$5,H$99,$F177)) * (IND.Tech!$E$94:$E$253),0) )</f>
        <v>0.72</v>
      </c>
      <c r="I177" s="720">
        <f t="array" ref="I177">SUM( IFERROR( (IND.Tech!$C$94:$C$253=CONCATENATE($A$1,$G177)) * (IND.Tech!$D$94:$D$253=CONCATENATE(IND.Tech!$B$5,I$99,$F177)) * (IND.Tech!$E$94:$E$253),0) )</f>
        <v>0.72</v>
      </c>
      <c r="J177" s="720">
        <f t="array" ref="J177">SUM( IFERROR( (IND.Tech!$C$94:$C$253=CONCATENATE($A$1,$G177)) * (IND.Tech!$D$94:$D$253=CONCATENATE(IND.Tech!$B$5,J$99,$F177)) * (IND.Tech!$E$94:$E$253),0) )</f>
        <v>0.72</v>
      </c>
      <c r="K177" s="720">
        <f t="array" ref="K177">SUM( IFERROR( (IND.Tech!$C$94:$C$253=CONCATENATE($A$1,$G177)) * (IND.Tech!$D$94:$D$253=CONCATENATE(IND.Tech!$B$5,K$99,$F177)) * (IND.Tech!$E$94:$E$253),0) )</f>
        <v>0.72</v>
      </c>
      <c r="L177" s="720">
        <f t="array" ref="L177">SUM( IFERROR( (IND.Tech!$C$94:$C$253=CONCATENATE($A$1,$G177)) * (IND.Tech!$D$94:$D$253=CONCATENATE(IND.Tech!$B$5,L$99,$F177)) * (IND.Tech!$E$94:$E$253),0) )</f>
        <v>0.72</v>
      </c>
      <c r="M177" s="720">
        <f t="array" ref="M177">SUM( IFERROR( (IND.Tech!$C$94:$C$253=CONCATENATE($A$1,$G177)) * (IND.Tech!$D$94:$D$253=CONCATENATE(IND.Tech!$B$5,M$99,$F177)) * (IND.Tech!$E$94:$E$253),0) )</f>
        <v>0.72</v>
      </c>
      <c r="N177" s="720">
        <f t="array" ref="N177">SUM( IFERROR( (IND.Tech!$C$94:$C$253=CONCATENATE($A$1,$G177)) * (IND.Tech!$D$94:$D$253=CONCATENATE(IND.Tech!$B$5,N$99,$F177)) * (IND.Tech!$E$94:$E$253),0) )</f>
        <v>0.72</v>
      </c>
      <c r="O177" s="720">
        <f t="array" ref="O177">SUM( IFERROR( (IND.Tech!$C$94:$C$253=CONCATENATE($A$1,$G177)) * (IND.Tech!$D$94:$D$253=CONCATENATE(IND.Tech!$B$5,O$99,$F177)) * (IND.Tech!$E$94:$E$253),0) )</f>
        <v>0.72</v>
      </c>
      <c r="P177" s="709"/>
      <c r="X177" s="165"/>
      <c r="Y177" s="165"/>
    </row>
    <row r="178" spans="2:25" ht="15">
      <c r="B178" s="106"/>
      <c r="C178" s="336" t="str">
        <f>INDEX(EF[UK Vector],MATCH(G178,EF[SATIM Code],0))</f>
        <v>V.04</v>
      </c>
      <c r="D178" s="336" t="str">
        <f>INDEX(Vectors[Description], MATCH($C178, Vectors[Code], 0))</f>
        <v>Liquid hydrocarbons</v>
      </c>
      <c r="E178" s="556" t="s">
        <v>1316</v>
      </c>
      <c r="F178" s="981" t="str">
        <f t="shared" si="31"/>
        <v>S</v>
      </c>
      <c r="G178" s="450" t="s">
        <v>885</v>
      </c>
      <c r="H178" s="720">
        <f t="array" ref="H178">SUM( IFERROR( (IND.Tech!$C$94:$C$253=CONCATENATE($A$1,$G178)) * (IND.Tech!$D$94:$D$253=CONCATENATE(IND.Tech!$B$5,H$99,$F178)) * (IND.Tech!$E$94:$E$253),0) )</f>
        <v>0.68</v>
      </c>
      <c r="I178" s="720">
        <f t="array" ref="I178">SUM( IFERROR( (IND.Tech!$C$94:$C$253=CONCATENATE($A$1,$G178)) * (IND.Tech!$D$94:$D$253=CONCATENATE(IND.Tech!$B$5,I$99,$F178)) * (IND.Tech!$E$94:$E$253),0) )</f>
        <v>0.68</v>
      </c>
      <c r="J178" s="720">
        <f t="array" ref="J178">SUM( IFERROR( (IND.Tech!$C$94:$C$253=CONCATENATE($A$1,$G178)) * (IND.Tech!$D$94:$D$253=CONCATENATE(IND.Tech!$B$5,J$99,$F178)) * (IND.Tech!$E$94:$E$253),0) )</f>
        <v>0.68</v>
      </c>
      <c r="K178" s="720">
        <f t="array" ref="K178">SUM( IFERROR( (IND.Tech!$C$94:$C$253=CONCATENATE($A$1,$G178)) * (IND.Tech!$D$94:$D$253=CONCATENATE(IND.Tech!$B$5,K$99,$F178)) * (IND.Tech!$E$94:$E$253),0) )</f>
        <v>0.68</v>
      </c>
      <c r="L178" s="720">
        <f t="array" ref="L178">SUM( IFERROR( (IND.Tech!$C$94:$C$253=CONCATENATE($A$1,$G178)) * (IND.Tech!$D$94:$D$253=CONCATENATE(IND.Tech!$B$5,L$99,$F178)) * (IND.Tech!$E$94:$E$253),0) )</f>
        <v>0.68</v>
      </c>
      <c r="M178" s="720">
        <f t="array" ref="M178">SUM( IFERROR( (IND.Tech!$C$94:$C$253=CONCATENATE($A$1,$G178)) * (IND.Tech!$D$94:$D$253=CONCATENATE(IND.Tech!$B$5,M$99,$F178)) * (IND.Tech!$E$94:$E$253),0) )</f>
        <v>0.68</v>
      </c>
      <c r="N178" s="720">
        <f t="array" ref="N178">SUM( IFERROR( (IND.Tech!$C$94:$C$253=CONCATENATE($A$1,$G178)) * (IND.Tech!$D$94:$D$253=CONCATENATE(IND.Tech!$B$5,N$99,$F178)) * (IND.Tech!$E$94:$E$253),0) )</f>
        <v>0.68</v>
      </c>
      <c r="O178" s="720">
        <f t="array" ref="O178">SUM( IFERROR( (IND.Tech!$C$94:$C$253=CONCATENATE($A$1,$G178)) * (IND.Tech!$D$94:$D$253=CONCATENATE(IND.Tech!$B$5,O$99,$F178)) * (IND.Tech!$E$94:$E$253),0) )</f>
        <v>0.68</v>
      </c>
      <c r="P178" s="709"/>
      <c r="X178" s="165"/>
      <c r="Y178" s="165"/>
    </row>
    <row r="179" spans="2:25" ht="15">
      <c r="B179" s="106"/>
      <c r="C179" s="336" t="str">
        <f>INDEX(EF[UK Vector],MATCH(G179,EF[SATIM Code],0))</f>
        <v>V.04</v>
      </c>
      <c r="D179" s="336" t="str">
        <f>INDEX(Vectors[Description], MATCH($C179, Vectors[Code], 0))</f>
        <v>Liquid hydrocarbons</v>
      </c>
      <c r="E179" s="556" t="s">
        <v>1316</v>
      </c>
      <c r="F179" s="981" t="str">
        <f t="shared" si="31"/>
        <v>S</v>
      </c>
      <c r="G179" s="450" t="s">
        <v>887</v>
      </c>
      <c r="H179" s="720">
        <f t="array" ref="H179">SUM( IFERROR( (IND.Tech!$C$94:$C$253=CONCATENATE($A$1,$G179)) * (IND.Tech!$D$94:$D$253=CONCATENATE(IND.Tech!$B$5,H$99,$F179)) * (IND.Tech!$E$94:$E$253),0) )</f>
        <v>0.72</v>
      </c>
      <c r="I179" s="720">
        <f t="array" ref="I179">SUM( IFERROR( (IND.Tech!$C$94:$C$253=CONCATENATE($A$1,$G179)) * (IND.Tech!$D$94:$D$253=CONCATENATE(IND.Tech!$B$5,I$99,$F179)) * (IND.Tech!$E$94:$E$253),0) )</f>
        <v>0.72</v>
      </c>
      <c r="J179" s="720">
        <f t="array" ref="J179">SUM( IFERROR( (IND.Tech!$C$94:$C$253=CONCATENATE($A$1,$G179)) * (IND.Tech!$D$94:$D$253=CONCATENATE(IND.Tech!$B$5,J$99,$F179)) * (IND.Tech!$E$94:$E$253),0) )</f>
        <v>0.72</v>
      </c>
      <c r="K179" s="720">
        <f t="array" ref="K179">SUM( IFERROR( (IND.Tech!$C$94:$C$253=CONCATENATE($A$1,$G179)) * (IND.Tech!$D$94:$D$253=CONCATENATE(IND.Tech!$B$5,K$99,$F179)) * (IND.Tech!$E$94:$E$253),0) )</f>
        <v>0.72</v>
      </c>
      <c r="L179" s="720">
        <f t="array" ref="L179">SUM( IFERROR( (IND.Tech!$C$94:$C$253=CONCATENATE($A$1,$G179)) * (IND.Tech!$D$94:$D$253=CONCATENATE(IND.Tech!$B$5,L$99,$F179)) * (IND.Tech!$E$94:$E$253),0) )</f>
        <v>0.72</v>
      </c>
      <c r="M179" s="720">
        <f t="array" ref="M179">SUM( IFERROR( (IND.Tech!$C$94:$C$253=CONCATENATE($A$1,$G179)) * (IND.Tech!$D$94:$D$253=CONCATENATE(IND.Tech!$B$5,M$99,$F179)) * (IND.Tech!$E$94:$E$253),0) )</f>
        <v>0.72</v>
      </c>
      <c r="N179" s="720">
        <f t="array" ref="N179">SUM( IFERROR( (IND.Tech!$C$94:$C$253=CONCATENATE($A$1,$G179)) * (IND.Tech!$D$94:$D$253=CONCATENATE(IND.Tech!$B$5,N$99,$F179)) * (IND.Tech!$E$94:$E$253),0) )</f>
        <v>0.72</v>
      </c>
      <c r="O179" s="720">
        <f t="array" ref="O179">SUM( IFERROR( (IND.Tech!$C$94:$C$253=CONCATENATE($A$1,$G179)) * (IND.Tech!$D$94:$D$253=CONCATENATE(IND.Tech!$B$5,O$99,$F179)) * (IND.Tech!$E$94:$E$253),0) )</f>
        <v>0.72</v>
      </c>
      <c r="P179" s="709"/>
      <c r="X179" s="165"/>
      <c r="Y179" s="165"/>
    </row>
    <row r="180" spans="2:25" ht="15">
      <c r="B180" s="106"/>
      <c r="C180" s="336" t="str">
        <f>INDEX(EF[UK Vector],MATCH(G180,EF[SATIM Code],0))</f>
        <v>V.01</v>
      </c>
      <c r="D180" s="336" t="str">
        <f>INDEX(Vectors[Description], MATCH($C180, Vectors[Code], 0))</f>
        <v>Electricity (delivered to end user)</v>
      </c>
      <c r="E180" s="556" t="s">
        <v>1316</v>
      </c>
      <c r="F180" s="981" t="str">
        <f t="shared" si="31"/>
        <v>S</v>
      </c>
      <c r="G180" s="450" t="s">
        <v>879</v>
      </c>
      <c r="H180" s="720">
        <f t="array" ref="H180">SUM( IFERROR( (IND.Tech!$C$94:$C$253=CONCATENATE($A$1,$G180)) * (IND.Tech!$D$94:$D$253=CONCATENATE(IND.Tech!$B$5,H$99,$F180)) * (IND.Tech!$E$94:$E$253),0) )</f>
        <v>0.76</v>
      </c>
      <c r="I180" s="720">
        <f t="array" ref="I180">SUM( IFERROR( (IND.Tech!$C$94:$C$253=CONCATENATE($A$1,$G180)) * (IND.Tech!$D$94:$D$253=CONCATENATE(IND.Tech!$B$5,I$99,$F180)) * (IND.Tech!$E$94:$E$253),0) )</f>
        <v>0.76</v>
      </c>
      <c r="J180" s="720">
        <f t="array" ref="J180">SUM( IFERROR( (IND.Tech!$C$94:$C$253=CONCATENATE($A$1,$G180)) * (IND.Tech!$D$94:$D$253=CONCATENATE(IND.Tech!$B$5,J$99,$F180)) * (IND.Tech!$E$94:$E$253),0) )</f>
        <v>0.76</v>
      </c>
      <c r="K180" s="720">
        <f t="array" ref="K180">SUM( IFERROR( (IND.Tech!$C$94:$C$253=CONCATENATE($A$1,$G180)) * (IND.Tech!$D$94:$D$253=CONCATENATE(IND.Tech!$B$5,K$99,$F180)) * (IND.Tech!$E$94:$E$253),0) )</f>
        <v>0.76</v>
      </c>
      <c r="L180" s="720">
        <f t="array" ref="L180">SUM( IFERROR( (IND.Tech!$C$94:$C$253=CONCATENATE($A$1,$G180)) * (IND.Tech!$D$94:$D$253=CONCATENATE(IND.Tech!$B$5,L$99,$F180)) * (IND.Tech!$E$94:$E$253),0) )</f>
        <v>0.76</v>
      </c>
      <c r="M180" s="720">
        <f t="array" ref="M180">SUM( IFERROR( (IND.Tech!$C$94:$C$253=CONCATENATE($A$1,$G180)) * (IND.Tech!$D$94:$D$253=CONCATENATE(IND.Tech!$B$5,M$99,$F180)) * (IND.Tech!$E$94:$E$253),0) )</f>
        <v>0.76</v>
      </c>
      <c r="N180" s="720">
        <f t="array" ref="N180">SUM( IFERROR( (IND.Tech!$C$94:$C$253=CONCATENATE($A$1,$G180)) * (IND.Tech!$D$94:$D$253=CONCATENATE(IND.Tech!$B$5,N$99,$F180)) * (IND.Tech!$E$94:$E$253),0) )</f>
        <v>0.76</v>
      </c>
      <c r="O180" s="720">
        <f t="array" ref="O180">SUM( IFERROR( (IND.Tech!$C$94:$C$253=CONCATENATE($A$1,$G180)) * (IND.Tech!$D$94:$D$253=CONCATENATE(IND.Tech!$B$5,O$99,$F180)) * (IND.Tech!$E$94:$E$253),0) )</f>
        <v>0.76</v>
      </c>
      <c r="P180" s="709"/>
      <c r="X180" s="165"/>
      <c r="Y180" s="165"/>
    </row>
    <row r="181" spans="2:25" ht="15">
      <c r="B181" s="106"/>
      <c r="C181" s="336" t="str">
        <f>INDEX(EF[UK Vector],MATCH(G181,EF[SATIM Code],0))</f>
        <v>V.09</v>
      </c>
      <c r="D181" s="336" t="str">
        <f>INDEX(Vectors[Description], MATCH($C181, Vectors[Code], 0))</f>
        <v>Dry biomass and waste</v>
      </c>
      <c r="E181" s="556" t="s">
        <v>1316</v>
      </c>
      <c r="F181" s="981" t="str">
        <f t="shared" si="31"/>
        <v>S</v>
      </c>
      <c r="G181" s="450" t="s">
        <v>888</v>
      </c>
      <c r="H181" s="720">
        <f t="array" ref="H181">SUM( IFERROR( (IND.Tech!$C$94:$C$253=CONCATENATE($A$1,$G181)) * (IND.Tech!$D$94:$D$253=CONCATENATE(IND.Tech!$B$5,H$99,$F181)) * (IND.Tech!$E$94:$E$253),0) )</f>
        <v>0</v>
      </c>
      <c r="I181" s="720">
        <f t="array" ref="I181">SUM( IFERROR( (IND.Tech!$C$94:$C$253=CONCATENATE($A$1,$G181)) * (IND.Tech!$D$94:$D$253=CONCATENATE(IND.Tech!$B$5,I$99,$F181)) * (IND.Tech!$E$94:$E$253),0) )</f>
        <v>0</v>
      </c>
      <c r="J181" s="720">
        <f t="array" ref="J181">SUM( IFERROR( (IND.Tech!$C$94:$C$253=CONCATENATE($A$1,$G181)) * (IND.Tech!$D$94:$D$253=CONCATENATE(IND.Tech!$B$5,J$99,$F181)) * (IND.Tech!$E$94:$E$253),0) )</f>
        <v>0</v>
      </c>
      <c r="K181" s="720">
        <f t="array" ref="K181">SUM( IFERROR( (IND.Tech!$C$94:$C$253=CONCATENATE($A$1,$G181)) * (IND.Tech!$D$94:$D$253=CONCATENATE(IND.Tech!$B$5,K$99,$F181)) * (IND.Tech!$E$94:$E$253),0) )</f>
        <v>0</v>
      </c>
      <c r="L181" s="720">
        <f t="array" ref="L181">SUM( IFERROR( (IND.Tech!$C$94:$C$253=CONCATENATE($A$1,$G181)) * (IND.Tech!$D$94:$D$253=CONCATENATE(IND.Tech!$B$5,L$99,$F181)) * (IND.Tech!$E$94:$E$253),0) )</f>
        <v>0</v>
      </c>
      <c r="M181" s="720">
        <f t="array" ref="M181">SUM( IFERROR( (IND.Tech!$C$94:$C$253=CONCATENATE($A$1,$G181)) * (IND.Tech!$D$94:$D$253=CONCATENATE(IND.Tech!$B$5,M$99,$F181)) * (IND.Tech!$E$94:$E$253),0) )</f>
        <v>0</v>
      </c>
      <c r="N181" s="720">
        <f t="array" ref="N181">SUM( IFERROR( (IND.Tech!$C$94:$C$253=CONCATENATE($A$1,$G181)) * (IND.Tech!$D$94:$D$253=CONCATENATE(IND.Tech!$B$5,N$99,$F181)) * (IND.Tech!$E$94:$E$253),0) )</f>
        <v>0.6</v>
      </c>
      <c r="O181" s="720">
        <f t="array" ref="O181">SUM( IFERROR( (IND.Tech!$C$94:$C$253=CONCATENATE($A$1,$G181)) * (IND.Tech!$D$94:$D$253=CONCATENATE(IND.Tech!$B$5,O$99,$F181)) * (IND.Tech!$E$94:$E$253),0) )</f>
        <v>0</v>
      </c>
      <c r="P181" s="709"/>
      <c r="X181" s="165"/>
      <c r="Y181" s="165"/>
    </row>
    <row r="182" spans="2:25" ht="15">
      <c r="B182" s="106"/>
      <c r="C182" s="336" t="str">
        <f>INDEX(EF[UK Vector],MATCH(G182,EF[SATIM Code],0))</f>
        <v>V.09</v>
      </c>
      <c r="D182" s="336" t="str">
        <f>INDEX(Vectors[Description], MATCH($C182, Vectors[Code], 0))</f>
        <v>Dry biomass and waste</v>
      </c>
      <c r="E182" s="556" t="s">
        <v>1316</v>
      </c>
      <c r="F182" s="981" t="str">
        <f t="shared" si="31"/>
        <v>S</v>
      </c>
      <c r="G182" s="450" t="s">
        <v>889</v>
      </c>
      <c r="H182" s="720">
        <f t="array" ref="H182">SUM( IFERROR( (IND.Tech!$C$94:$C$253=CONCATENATE($A$1,$G182)) * (IND.Tech!$D$94:$D$253=CONCATENATE(IND.Tech!$B$5,H$99,$F182)) * (IND.Tech!$E$94:$E$253),0) )</f>
        <v>0</v>
      </c>
      <c r="I182" s="720">
        <f t="array" ref="I182">SUM( IFERROR( (IND.Tech!$C$94:$C$253=CONCATENATE($A$1,$G182)) * (IND.Tech!$D$94:$D$253=CONCATENATE(IND.Tech!$B$5,I$99,$F182)) * (IND.Tech!$E$94:$E$253),0) )</f>
        <v>0</v>
      </c>
      <c r="J182" s="720">
        <f t="array" ref="J182">SUM( IFERROR( (IND.Tech!$C$94:$C$253=CONCATENATE($A$1,$G182)) * (IND.Tech!$D$94:$D$253=CONCATENATE(IND.Tech!$B$5,J$99,$F182)) * (IND.Tech!$E$94:$E$253),0) )</f>
        <v>0</v>
      </c>
      <c r="K182" s="720">
        <f t="array" ref="K182">SUM( IFERROR( (IND.Tech!$C$94:$C$253=CONCATENATE($A$1,$G182)) * (IND.Tech!$D$94:$D$253=CONCATENATE(IND.Tech!$B$5,K$99,$F182)) * (IND.Tech!$E$94:$E$253),0) )</f>
        <v>0</v>
      </c>
      <c r="L182" s="720">
        <f t="array" ref="L182">SUM( IFERROR( (IND.Tech!$C$94:$C$253=CONCATENATE($A$1,$G182)) * (IND.Tech!$D$94:$D$253=CONCATENATE(IND.Tech!$B$5,L$99,$F182)) * (IND.Tech!$E$94:$E$253),0) )</f>
        <v>0</v>
      </c>
      <c r="M182" s="720">
        <f t="array" ref="M182">SUM( IFERROR( (IND.Tech!$C$94:$C$253=CONCATENATE($A$1,$G182)) * (IND.Tech!$D$94:$D$253=CONCATENATE(IND.Tech!$B$5,M$99,$F182)) * (IND.Tech!$E$94:$E$253),0) )</f>
        <v>0.6</v>
      </c>
      <c r="N182" s="720">
        <f t="array" ref="N182">SUM( IFERROR( (IND.Tech!$C$94:$C$253=CONCATENATE($A$1,$G182)) * (IND.Tech!$D$94:$D$253=CONCATENATE(IND.Tech!$B$5,N$99,$F182)) * (IND.Tech!$E$94:$E$253),0) )</f>
        <v>0</v>
      </c>
      <c r="O182" s="720">
        <f t="array" ref="O182">SUM( IFERROR( (IND.Tech!$C$94:$C$253=CONCATENATE($A$1,$G182)) * (IND.Tech!$D$94:$D$253=CONCATENATE(IND.Tech!$B$5,O$99,$F182)) * (IND.Tech!$E$94:$E$253),0) )</f>
        <v>0</v>
      </c>
      <c r="P182" s="709"/>
      <c r="X182" s="165"/>
      <c r="Y182" s="165"/>
    </row>
    <row r="183" spans="2:25" ht="15">
      <c r="B183" s="106"/>
      <c r="C183" s="336" t="str">
        <f>INDEX(EF[UK Vector],MATCH(G183,EF[SATIM Code],0))</f>
        <v>V.16</v>
      </c>
      <c r="D183" s="336" t="str">
        <f>INDEX(Vectors[Description], MATCH($C183, Vectors[Code], 0))</f>
        <v>Other Waste</v>
      </c>
      <c r="E183" s="556" t="s">
        <v>1316</v>
      </c>
      <c r="F183" s="981" t="str">
        <f t="shared" si="31"/>
        <v>S</v>
      </c>
      <c r="G183" s="450" t="s">
        <v>890</v>
      </c>
      <c r="H183" s="720">
        <f t="array" ref="H183">SUM( IFERROR( (IND.Tech!$C$94:$C$253=CONCATENATE($A$1,$G183)) * (IND.Tech!$D$94:$D$253=CONCATENATE(IND.Tech!$B$5,H$99,$F183)) * (IND.Tech!$E$94:$E$253),0) )</f>
        <v>0.6</v>
      </c>
      <c r="I183" s="720">
        <f t="array" ref="I183">SUM( IFERROR( (IND.Tech!$C$94:$C$253=CONCATENATE($A$1,$G183)) * (IND.Tech!$D$94:$D$253=CONCATENATE(IND.Tech!$B$5,I$99,$F183)) * (IND.Tech!$E$94:$E$253),0) )</f>
        <v>0.6</v>
      </c>
      <c r="J183" s="720">
        <f t="array" ref="J183">SUM( IFERROR( (IND.Tech!$C$94:$C$253=CONCATENATE($A$1,$G183)) * (IND.Tech!$D$94:$D$253=CONCATENATE(IND.Tech!$B$5,J$99,$F183)) * (IND.Tech!$E$94:$E$253),0) )</f>
        <v>0.6</v>
      </c>
      <c r="K183" s="720">
        <f t="array" ref="K183">SUM( IFERROR( (IND.Tech!$C$94:$C$253=CONCATENATE($A$1,$G183)) * (IND.Tech!$D$94:$D$253=CONCATENATE(IND.Tech!$B$5,K$99,$F183)) * (IND.Tech!$E$94:$E$253),0) )</f>
        <v>0.6</v>
      </c>
      <c r="L183" s="720">
        <f t="array" ref="L183">SUM( IFERROR( (IND.Tech!$C$94:$C$253=CONCATENATE($A$1,$G183)) * (IND.Tech!$D$94:$D$253=CONCATENATE(IND.Tech!$B$5,L$99,$F183)) * (IND.Tech!$E$94:$E$253),0) )</f>
        <v>0.6</v>
      </c>
      <c r="M183" s="720">
        <f t="array" ref="M183">SUM( IFERROR( (IND.Tech!$C$94:$C$253=CONCATENATE($A$1,$G183)) * (IND.Tech!$D$94:$D$253=CONCATENATE(IND.Tech!$B$5,M$99,$F183)) * (IND.Tech!$E$94:$E$253),0) )</f>
        <v>0.6</v>
      </c>
      <c r="N183" s="720">
        <f t="array" ref="N183">SUM( IFERROR( (IND.Tech!$C$94:$C$253=CONCATENATE($A$1,$G183)) * (IND.Tech!$D$94:$D$253=CONCATENATE(IND.Tech!$B$5,N$99,$F183)) * (IND.Tech!$E$94:$E$253),0) )</f>
        <v>0.6</v>
      </c>
      <c r="O183" s="720">
        <f t="array" ref="O183">SUM( IFERROR( (IND.Tech!$C$94:$C$253=CONCATENATE($A$1,$G183)) * (IND.Tech!$D$94:$D$253=CONCATENATE(IND.Tech!$B$5,O$99,$F183)) * (IND.Tech!$E$94:$E$253),0) )</f>
        <v>0.6</v>
      </c>
      <c r="P183" s="709"/>
      <c r="X183" s="165"/>
      <c r="Y183" s="165"/>
    </row>
    <row r="184" spans="2:25" ht="15">
      <c r="B184" s="106"/>
      <c r="C184" s="813"/>
      <c r="D184" s="813"/>
      <c r="E184" s="813"/>
      <c r="F184" s="813"/>
      <c r="G184" s="813"/>
      <c r="H184" s="713"/>
      <c r="I184" s="713"/>
      <c r="J184" s="713"/>
      <c r="K184" s="713"/>
      <c r="L184" s="713"/>
      <c r="M184" s="713"/>
      <c r="N184" s="713"/>
      <c r="O184" s="713"/>
      <c r="P184" s="709"/>
      <c r="X184" s="165"/>
      <c r="Y184" s="165"/>
    </row>
    <row r="185" spans="2:25" ht="15">
      <c r="B185" s="106"/>
      <c r="C185" s="79"/>
      <c r="D185" s="79"/>
      <c r="E185" s="79"/>
      <c r="F185" s="79"/>
      <c r="G185" s="79"/>
      <c r="H185" s="709"/>
      <c r="I185" s="709"/>
      <c r="J185" s="709"/>
      <c r="K185" s="709"/>
      <c r="L185" s="709"/>
      <c r="M185" s="709"/>
      <c r="N185" s="709"/>
      <c r="O185" s="709"/>
      <c r="P185" s="709"/>
      <c r="X185" s="165"/>
      <c r="Y185" s="165"/>
    </row>
    <row r="186" spans="2:25" ht="15">
      <c r="B186" s="106"/>
      <c r="C186" s="1028" t="s">
        <v>1866</v>
      </c>
      <c r="D186" s="151"/>
      <c r="E186" s="1246"/>
      <c r="F186" s="179"/>
      <c r="G186" s="338"/>
      <c r="H186" s="338"/>
      <c r="I186" s="338"/>
      <c r="J186" s="338"/>
      <c r="K186" s="338"/>
      <c r="L186" s="338"/>
      <c r="M186" s="338"/>
      <c r="N186" s="338"/>
      <c r="O186" s="709"/>
      <c r="P186" s="709"/>
      <c r="X186" s="165"/>
      <c r="Y186" s="165"/>
    </row>
    <row r="187" spans="2:25" ht="15">
      <c r="B187" s="106"/>
      <c r="C187" s="705" t="s">
        <v>59</v>
      </c>
      <c r="D187" s="1245" t="s">
        <v>1872</v>
      </c>
      <c r="E187" s="1244" t="s">
        <v>1904</v>
      </c>
      <c r="F187" s="179"/>
      <c r="G187" s="338"/>
      <c r="H187" s="338"/>
      <c r="I187" s="338"/>
      <c r="J187" s="338"/>
      <c r="K187" s="338"/>
      <c r="L187" s="338"/>
      <c r="M187" s="338"/>
      <c r="N187" s="338"/>
      <c r="O187" s="709"/>
      <c r="P187" s="709"/>
      <c r="X187" s="165"/>
      <c r="Y187" s="165"/>
    </row>
    <row r="188" spans="2:25" ht="15">
      <c r="B188" s="106"/>
      <c r="C188" s="697" t="s">
        <v>63</v>
      </c>
      <c r="D188" s="470">
        <v>0</v>
      </c>
      <c r="E188" s="1243">
        <v>1</v>
      </c>
      <c r="F188" s="179"/>
      <c r="G188" s="338"/>
      <c r="H188" s="338"/>
      <c r="I188" s="338"/>
      <c r="J188" s="338"/>
      <c r="K188" s="338"/>
      <c r="L188" s="338"/>
      <c r="M188" s="338"/>
      <c r="N188" s="338"/>
      <c r="O188" s="709"/>
      <c r="P188" s="709"/>
      <c r="X188" s="165"/>
      <c r="Y188" s="165"/>
    </row>
    <row r="189" spans="2:25">
      <c r="B189" s="338"/>
      <c r="C189" s="338"/>
      <c r="D189" s="338"/>
      <c r="E189" s="338"/>
      <c r="F189" s="179"/>
      <c r="G189" s="338"/>
      <c r="H189" s="338"/>
      <c r="I189" s="338"/>
      <c r="J189" s="338"/>
      <c r="K189" s="338"/>
      <c r="L189" s="338"/>
      <c r="M189" s="338"/>
      <c r="N189" s="338"/>
      <c r="O189" s="709"/>
      <c r="P189" s="709"/>
      <c r="X189" s="165"/>
      <c r="Y189" s="165"/>
    </row>
    <row r="190" spans="2:25" ht="15">
      <c r="B190" s="106"/>
      <c r="C190" s="1028" t="s">
        <v>1875</v>
      </c>
      <c r="D190" s="813"/>
      <c r="E190" s="813"/>
      <c r="F190" s="813"/>
      <c r="G190" s="813"/>
      <c r="H190" s="713"/>
      <c r="I190" s="713"/>
      <c r="J190" s="713"/>
      <c r="K190" s="713"/>
      <c r="L190" s="713"/>
      <c r="M190" s="713"/>
      <c r="N190" s="713"/>
      <c r="O190" s="709"/>
      <c r="P190" s="709"/>
      <c r="X190" s="165"/>
      <c r="Y190" s="165"/>
    </row>
    <row r="191" spans="2:25" ht="15">
      <c r="B191" s="106"/>
      <c r="C191" s="79"/>
      <c r="D191" s="79"/>
      <c r="E191" s="79"/>
      <c r="F191" s="79" t="s">
        <v>110</v>
      </c>
      <c r="G191" s="1587" t="str">
        <f t="array" ref="G191:N191">TRANSPOSE(IND.Sector_ID)</f>
        <v>MI</v>
      </c>
      <c r="H191" s="1587" t="str">
        <v>IS</v>
      </c>
      <c r="I191" s="1587" t="str">
        <v>CP</v>
      </c>
      <c r="J191" s="1587" t="str">
        <v>NF</v>
      </c>
      <c r="K191" s="1587" t="str">
        <v>NM</v>
      </c>
      <c r="L191" s="1587" t="str">
        <v>FB</v>
      </c>
      <c r="M191" s="1587" t="str">
        <v>PP</v>
      </c>
      <c r="N191" s="1587" t="str">
        <v>OT</v>
      </c>
      <c r="O191" s="709"/>
      <c r="P191" s="709"/>
      <c r="X191" s="165"/>
      <c r="Y191" s="165"/>
    </row>
    <row r="192" spans="2:25" ht="15">
      <c r="B192" s="106"/>
      <c r="C192" s="1242" t="s">
        <v>1871</v>
      </c>
      <c r="D192" s="1242"/>
      <c r="E192" s="1241"/>
      <c r="F192" s="1240" t="str">
        <f>Base_Year&amp;" CHP useful heat demand in "&amp;Preferences.EnergyUnits</f>
        <v>2006 CHP useful heat demand in PJ</v>
      </c>
      <c r="G192" s="1631">
        <f xml:space="preserve"> Unit.PJ * INDEX(IND.Tech!$K$258:$K$265,MATCH(G$191,IND.Tech!$B$258:$B$265,0))</f>
        <v>0</v>
      </c>
      <c r="H192" s="1631">
        <f xml:space="preserve"> Unit.PJ * INDEX(IND.Tech!$K$258:$K$265,MATCH(H$191,IND.Tech!$B$258:$B$265,0))</f>
        <v>0</v>
      </c>
      <c r="I192" s="1631">
        <f xml:space="preserve"> Unit.PJ * INDEX(IND.Tech!$K$258:$K$265,MATCH(I$191,IND.Tech!$B$258:$B$265,0))</f>
        <v>0</v>
      </c>
      <c r="J192" s="1631">
        <f xml:space="preserve"> Unit.PJ * INDEX(IND.Tech!$K$258:$K$265,MATCH(J$191,IND.Tech!$B$258:$B$265,0))</f>
        <v>0</v>
      </c>
      <c r="K192" s="1631">
        <f xml:space="preserve"> Unit.PJ * INDEX(IND.Tech!$K$258:$K$265,MATCH(K$191,IND.Tech!$B$258:$B$265,0))</f>
        <v>0</v>
      </c>
      <c r="L192" s="1631">
        <f xml:space="preserve"> Unit.PJ * INDEX(IND.Tech!$K$258:$K$265,MATCH(L$191,IND.Tech!$B$258:$B$265,0))</f>
        <v>7.525919224555734</v>
      </c>
      <c r="M192" s="1631">
        <f xml:space="preserve"> Unit.PJ * INDEX(IND.Tech!$K$258:$K$265,MATCH(M$191,IND.Tech!$B$258:$B$265,0))</f>
        <v>38.389959126978994</v>
      </c>
      <c r="N192" s="1631">
        <f xml:space="preserve"> Unit.PJ * INDEX(IND.Tech!$K$258:$K$265,MATCH(N$191,IND.Tech!$B$258:$B$265,0))</f>
        <v>0</v>
      </c>
      <c r="O192" s="709"/>
      <c r="P192" s="709"/>
      <c r="X192" s="165"/>
      <c r="Y192" s="165"/>
    </row>
    <row r="193" spans="2:25" ht="15">
      <c r="B193" s="106"/>
      <c r="C193" s="1236">
        <v>1</v>
      </c>
      <c r="D193" s="1239" t="s">
        <v>1906</v>
      </c>
      <c r="E193" s="79"/>
      <c r="F193" s="79"/>
      <c r="G193" s="144">
        <f>INDEX(IND.Tech!$F$258:$F$265,MATCH(G$191,IND.Tech!$B$258:$B$265,0))</f>
        <v>0.748</v>
      </c>
      <c r="H193" s="144">
        <f>INDEX(IND.Tech!$F$258:$F$265,MATCH(H$191,IND.Tech!$B$258:$B$265,0))</f>
        <v>0.748</v>
      </c>
      <c r="I193" s="144">
        <f>INDEX(IND.Tech!$F$258:$F$265,MATCH(I$191,IND.Tech!$B$258:$B$265,0))</f>
        <v>0.748</v>
      </c>
      <c r="J193" s="144">
        <f>INDEX(IND.Tech!$F$258:$F$265,MATCH(J$191,IND.Tech!$B$258:$B$265,0))</f>
        <v>0.748</v>
      </c>
      <c r="K193" s="144">
        <f>INDEX(IND.Tech!$F$258:$F$265,MATCH(K$191,IND.Tech!$B$258:$B$265,0))</f>
        <v>0.748</v>
      </c>
      <c r="L193" s="144">
        <f>INDEX(IND.Tech!$F$258:$F$265,MATCH(L$191,IND.Tech!$B$258:$B$265,0))</f>
        <v>0.748</v>
      </c>
      <c r="M193" s="144">
        <f>INDEX(IND.Tech!$F$258:$F$265,MATCH(M$191,IND.Tech!$B$258:$B$265,0))</f>
        <v>0.748</v>
      </c>
      <c r="N193" s="144">
        <f>INDEX(IND.Tech!$F$258:$F$265,MATCH(N$191,IND.Tech!$B$258:$B$265,0))</f>
        <v>0.748</v>
      </c>
      <c r="O193" s="709"/>
      <c r="P193" s="709"/>
      <c r="X193" s="165"/>
      <c r="Y193" s="165"/>
    </row>
    <row r="194" spans="2:25" ht="15">
      <c r="B194" s="106"/>
      <c r="C194" s="1236">
        <v>1</v>
      </c>
      <c r="D194" s="1239" t="s">
        <v>1021</v>
      </c>
      <c r="E194" s="1262" t="s">
        <v>1916</v>
      </c>
      <c r="F194" s="79"/>
      <c r="G194" s="1263">
        <f>INDEX(IND.Tech!$E$258:$E$265,MATCH(G$191,IND.Tech!$B$258:$B$265,0))</f>
        <v>5</v>
      </c>
      <c r="H194" s="1263">
        <f>INDEX(IND.Tech!$E$258:$E$265,MATCH(H$191,IND.Tech!$B$258:$B$265,0))</f>
        <v>0.25</v>
      </c>
      <c r="I194" s="1263">
        <f>INDEX(IND.Tech!$E$258:$E$265,MATCH(I$191,IND.Tech!$B$258:$B$265,0))</f>
        <v>0.3</v>
      </c>
      <c r="J194" s="1263">
        <f>INDEX(IND.Tech!$E$258:$E$265,MATCH(J$191,IND.Tech!$B$258:$B$265,0))</f>
        <v>5</v>
      </c>
      <c r="K194" s="1263">
        <f>INDEX(IND.Tech!$E$258:$E$265,MATCH(K$191,IND.Tech!$B$258:$B$265,0))</f>
        <v>0.25</v>
      </c>
      <c r="L194" s="1263">
        <f>INDEX(IND.Tech!$E$258:$E$265,MATCH(L$191,IND.Tech!$B$258:$B$265,0))</f>
        <v>0.19267822736030826</v>
      </c>
      <c r="M194" s="1263">
        <f>INDEX(IND.Tech!$E$258:$E$265,MATCH(M$191,IND.Tech!$B$258:$B$265,0))</f>
        <v>0.19267822736030826</v>
      </c>
      <c r="N194" s="1263">
        <f>INDEX(IND.Tech!$E$258:$E$265,MATCH(N$191,IND.Tech!$B$258:$B$265,0))</f>
        <v>0.25</v>
      </c>
      <c r="O194" s="709"/>
      <c r="P194" s="709"/>
      <c r="X194" s="165"/>
      <c r="Y194" s="165"/>
    </row>
    <row r="195" spans="2:25" ht="15">
      <c r="B195" s="106"/>
      <c r="C195" s="1236">
        <v>1</v>
      </c>
      <c r="D195" s="1239" t="s">
        <v>1907</v>
      </c>
      <c r="E195" s="1262" t="s">
        <v>1914</v>
      </c>
      <c r="F195" s="79"/>
      <c r="G195" s="1263">
        <v>0.1</v>
      </c>
      <c r="H195" s="1263">
        <v>0.1</v>
      </c>
      <c r="I195" s="1263">
        <v>0.1</v>
      </c>
      <c r="J195" s="1263">
        <v>0.01</v>
      </c>
      <c r="K195" s="1263">
        <v>0.1</v>
      </c>
      <c r="L195" s="1263">
        <v>0.1</v>
      </c>
      <c r="M195" s="1263">
        <v>0.1</v>
      </c>
      <c r="N195" s="1263">
        <v>0.1</v>
      </c>
      <c r="O195" s="79"/>
      <c r="P195" s="79"/>
    </row>
    <row r="196" spans="2:25" ht="15">
      <c r="B196" s="106"/>
      <c r="C196" s="1236">
        <v>0</v>
      </c>
      <c r="D196" s="1237" t="s">
        <v>1908</v>
      </c>
      <c r="E196" s="1262" t="s">
        <v>1911</v>
      </c>
      <c r="F196" s="1238">
        <v>0.5</v>
      </c>
      <c r="G196" s="144">
        <f>$F$196*(H112-H143)/H143</f>
        <v>0.27618216565569931</v>
      </c>
      <c r="H196" s="144">
        <f>$F$196*(I112+I123-I143-I154)/(I143+I154)</f>
        <v>0.17562443854271298</v>
      </c>
      <c r="I196" s="144">
        <f t="shared" ref="I196:N196" si="32">$F$196*(J112-J143)/J143</f>
        <v>0.23178464217055525</v>
      </c>
      <c r="J196" s="144">
        <f t="shared" si="32"/>
        <v>0.28124999999999994</v>
      </c>
      <c r="K196" s="144">
        <f t="shared" si="32"/>
        <v>0.26902433591578623</v>
      </c>
      <c r="L196" s="144">
        <f t="shared" si="32"/>
        <v>0.28829395674699759</v>
      </c>
      <c r="M196" s="144">
        <f t="shared" si="32"/>
        <v>0.29721642697232592</v>
      </c>
      <c r="N196" s="144">
        <f t="shared" si="32"/>
        <v>0.27598406749076027</v>
      </c>
      <c r="O196" s="709"/>
      <c r="P196" s="709"/>
      <c r="X196" s="165"/>
      <c r="Y196" s="165"/>
    </row>
    <row r="197" spans="2:25" ht="16">
      <c r="B197" s="106"/>
      <c r="C197" s="1236">
        <v>0</v>
      </c>
      <c r="D197" s="1300" t="s">
        <v>1913</v>
      </c>
      <c r="E197" s="1262" t="s">
        <v>1912</v>
      </c>
      <c r="F197" s="79"/>
      <c r="G197" s="144">
        <v>0.4</v>
      </c>
      <c r="H197" s="144">
        <v>0.4</v>
      </c>
      <c r="I197" s="144">
        <v>0.4</v>
      </c>
      <c r="J197" s="144">
        <v>0.4</v>
      </c>
      <c r="K197" s="144">
        <v>0.4</v>
      </c>
      <c r="L197" s="144">
        <v>0.4</v>
      </c>
      <c r="M197" s="144">
        <v>0.4</v>
      </c>
      <c r="N197" s="144">
        <v>0.4</v>
      </c>
      <c r="O197" s="709"/>
      <c r="P197" s="709"/>
      <c r="X197" s="165"/>
      <c r="Y197" s="165"/>
    </row>
    <row r="198" spans="2:25" ht="15">
      <c r="B198" s="106"/>
      <c r="C198" s="79"/>
      <c r="D198" s="79"/>
      <c r="E198" s="79"/>
      <c r="F198" s="79"/>
      <c r="G198" s="461"/>
      <c r="H198" s="709"/>
      <c r="I198" s="709"/>
      <c r="J198" s="709"/>
      <c r="K198" s="709"/>
      <c r="L198" s="709"/>
      <c r="M198" s="709"/>
      <c r="N198" s="709"/>
      <c r="O198" s="709"/>
      <c r="P198" s="709"/>
      <c r="X198" s="165"/>
      <c r="Y198" s="165"/>
    </row>
    <row r="199" spans="2:25" ht="15">
      <c r="B199" s="106"/>
      <c r="C199" s="458" t="s">
        <v>1874</v>
      </c>
      <c r="D199" s="466"/>
      <c r="E199" s="466"/>
      <c r="F199" s="466"/>
      <c r="G199" s="1264">
        <v>1</v>
      </c>
      <c r="H199" s="1264">
        <v>0</v>
      </c>
      <c r="I199" s="1264">
        <v>1</v>
      </c>
      <c r="J199" s="1264">
        <v>1</v>
      </c>
      <c r="K199" s="1264">
        <v>0</v>
      </c>
      <c r="L199" s="1265">
        <v>1</v>
      </c>
      <c r="M199" s="1265">
        <v>1</v>
      </c>
      <c r="N199" s="1264">
        <v>1</v>
      </c>
      <c r="O199" s="709"/>
      <c r="P199" s="709"/>
      <c r="X199" s="165"/>
      <c r="Y199" s="165"/>
    </row>
    <row r="200" spans="2:25" s="1261" customFormat="1" ht="15">
      <c r="B200" s="106"/>
      <c r="C200" s="1301" t="s">
        <v>1915</v>
      </c>
      <c r="D200" s="79"/>
      <c r="E200" s="79"/>
      <c r="F200" s="79"/>
      <c r="G200" s="380"/>
      <c r="H200" s="380"/>
      <c r="I200" s="380"/>
      <c r="J200" s="380"/>
      <c r="K200" s="380"/>
      <c r="L200" s="1302"/>
      <c r="M200" s="1302"/>
      <c r="N200" s="380"/>
      <c r="O200" s="709"/>
      <c r="P200" s="709"/>
      <c r="X200" s="165"/>
      <c r="Y200" s="165"/>
    </row>
    <row r="201" spans="2:25" s="1456" customFormat="1" ht="15">
      <c r="B201" s="106"/>
      <c r="C201" s="1301"/>
      <c r="D201" s="79"/>
      <c r="E201" s="79"/>
      <c r="F201" s="79"/>
      <c r="G201" s="380"/>
      <c r="H201" s="380"/>
      <c r="I201" s="380"/>
      <c r="J201" s="380"/>
      <c r="K201" s="380"/>
      <c r="L201" s="1302"/>
      <c r="M201" s="1302"/>
      <c r="N201" s="380"/>
      <c r="O201" s="709"/>
      <c r="P201" s="709"/>
      <c r="X201" s="165"/>
      <c r="Y201" s="165"/>
    </row>
    <row r="202" spans="2:25" s="1456" customFormat="1" ht="15">
      <c r="B202" s="106"/>
      <c r="C202" s="1632" t="s">
        <v>2478</v>
      </c>
      <c r="D202" s="1632"/>
      <c r="E202" s="1633"/>
      <c r="F202" s="1633"/>
      <c r="G202" s="1633"/>
      <c r="H202" s="1634"/>
      <c r="I202" s="1634"/>
      <c r="J202" s="1634"/>
      <c r="K202" s="1634"/>
      <c r="L202" s="1634"/>
      <c r="M202" s="1634"/>
      <c r="N202" s="1634"/>
      <c r="O202" s="1634"/>
      <c r="P202" s="709"/>
      <c r="X202" s="165"/>
      <c r="Y202" s="165"/>
    </row>
    <row r="203" spans="2:25" s="1456" customFormat="1" ht="15">
      <c r="B203" s="106"/>
      <c r="C203" s="1635"/>
      <c r="D203" s="1636"/>
      <c r="E203" s="1637" t="s">
        <v>32</v>
      </c>
      <c r="F203" s="1637"/>
      <c r="G203" s="1649">
        <v>2006</v>
      </c>
      <c r="H203" s="1638" t="str">
        <f t="array" ref="H203:O203">TRANSPOSE(IND.Sector_ID)</f>
        <v>MI</v>
      </c>
      <c r="I203" s="1638" t="str">
        <v>IS</v>
      </c>
      <c r="J203" s="1638" t="str">
        <v>CP</v>
      </c>
      <c r="K203" s="1638" t="str">
        <v>NF</v>
      </c>
      <c r="L203" s="1638" t="str">
        <v>NM</v>
      </c>
      <c r="M203" s="1638" t="str">
        <v>FB</v>
      </c>
      <c r="N203" s="1638" t="str">
        <v>PP</v>
      </c>
      <c r="O203" s="1638" t="str">
        <v>OT</v>
      </c>
      <c r="P203" s="709"/>
      <c r="X203" s="165"/>
      <c r="Y203" s="165"/>
    </row>
    <row r="204" spans="2:25" s="1456" customFormat="1" ht="26.25" customHeight="1">
      <c r="B204" s="106"/>
      <c r="C204" s="1639" t="s">
        <v>58</v>
      </c>
      <c r="D204" s="1639" t="s">
        <v>59</v>
      </c>
      <c r="E204" s="1639" t="s">
        <v>1349</v>
      </c>
      <c r="F204" s="1640" t="s">
        <v>1354</v>
      </c>
      <c r="G204" s="1639" t="s">
        <v>1343</v>
      </c>
      <c r="H204" s="1641" t="str">
        <f>INDEX($D$33:$D$40,MATCH(H203,$C$33:$C$40,0))</f>
        <v>Mining SIC2</v>
      </c>
      <c r="I204" s="1641" t="str">
        <f t="shared" ref="I204:O204" si="33">INDEX($D$33:$D$40,MATCH(I203,$C$33:$C$40,0))</f>
        <v>Iron  &amp; Steel  - 351</v>
      </c>
      <c r="J204" s="1641" t="str">
        <f t="shared" si="33"/>
        <v>Chemicals  -33</v>
      </c>
      <c r="K204" s="1641" t="str">
        <f t="shared" si="33"/>
        <v>Non-Ferrous metals  - 352</v>
      </c>
      <c r="L204" s="1641" t="str">
        <f t="shared" si="33"/>
        <v>N.M.M Products  -34</v>
      </c>
      <c r="M204" s="1641" t="str">
        <f t="shared" si="33"/>
        <v>Food, Beverage &amp; Tabacco  - 30</v>
      </c>
      <c r="N204" s="1641" t="str">
        <f t="shared" si="33"/>
        <v>Pulp &amp; Paper Products  -323</v>
      </c>
      <c r="O204" s="1641" t="str">
        <f t="shared" si="33"/>
        <v>Other</v>
      </c>
      <c r="P204" s="709"/>
      <c r="X204" s="165"/>
      <c r="Y204" s="165"/>
    </row>
    <row r="205" spans="2:25" s="1456" customFormat="1" ht="15">
      <c r="B205" s="106"/>
      <c r="C205" s="1642" t="str">
        <f>INDEX(EF[UK Vector],MATCH(G205,EF[SATIM Code],0))</f>
        <v>V.03</v>
      </c>
      <c r="D205" s="1642" t="str">
        <f>INDEX(Vectors[Description], MATCH($C205, Vectors[Code], 0))</f>
        <v>Solid hydrocarbons</v>
      </c>
      <c r="E205" s="1643" t="s">
        <v>1316</v>
      </c>
      <c r="F205" s="1644" t="str">
        <f t="shared" ref="F205:F212" si="34">INDEX(IND.Sectors_Demand_ID,MATCH(E205,IND.Sectors_Demand,0))</f>
        <v>S</v>
      </c>
      <c r="G205" s="1645" t="s">
        <v>882</v>
      </c>
      <c r="H205" s="1646">
        <v>0</v>
      </c>
      <c r="I205" s="1646">
        <v>0</v>
      </c>
      <c r="J205" s="1646">
        <v>0</v>
      </c>
      <c r="K205" s="1646">
        <v>0</v>
      </c>
      <c r="L205" s="1646">
        <v>0</v>
      </c>
      <c r="M205" s="1646">
        <f>1-SUM(M206:M212)</f>
        <v>0.16666666666666663</v>
      </c>
      <c r="N205" s="1646">
        <f>1-SUM(N206:N212)</f>
        <v>0.32673123370892077</v>
      </c>
      <c r="O205" s="1646">
        <v>0</v>
      </c>
      <c r="P205" s="709"/>
      <c r="X205" s="165"/>
      <c r="Y205" s="165"/>
    </row>
    <row r="206" spans="2:25" s="1456" customFormat="1" ht="15">
      <c r="B206" s="106"/>
      <c r="C206" s="1642" t="str">
        <f>INDEX(EF[UK Vector],MATCH(G206,EF[SATIM Code],0))</f>
        <v>V.05</v>
      </c>
      <c r="D206" s="1642" t="str">
        <f>INDEX(Vectors[Description], MATCH($C206, Vectors[Code], 0))</f>
        <v>Gaseous hydrocarbons</v>
      </c>
      <c r="E206" s="1643" t="s">
        <v>1316</v>
      </c>
      <c r="F206" s="1644" t="str">
        <f t="shared" si="34"/>
        <v>S</v>
      </c>
      <c r="G206" s="1645" t="s">
        <v>869</v>
      </c>
      <c r="H206" s="1646">
        <v>0</v>
      </c>
      <c r="I206" s="1646">
        <v>0</v>
      </c>
      <c r="J206" s="1646">
        <v>0</v>
      </c>
      <c r="K206" s="1646">
        <v>0</v>
      </c>
      <c r="L206" s="1646">
        <v>0</v>
      </c>
      <c r="M206" s="1646">
        <v>0</v>
      </c>
      <c r="N206" s="1646">
        <v>0</v>
      </c>
      <c r="O206" s="1646">
        <v>0</v>
      </c>
      <c r="P206" s="709"/>
      <c r="X206" s="165"/>
      <c r="Y206" s="165"/>
    </row>
    <row r="207" spans="2:25" s="1456" customFormat="1" ht="15">
      <c r="B207" s="106"/>
      <c r="C207" s="1642" t="str">
        <f>INDEX(EF[UK Vector],MATCH(G207,EF[SATIM Code],0))</f>
        <v>V.04</v>
      </c>
      <c r="D207" s="1642" t="str">
        <f>INDEX(Vectors[Description], MATCH($C207, Vectors[Code], 0))</f>
        <v>Liquid hydrocarbons</v>
      </c>
      <c r="E207" s="1643" t="s">
        <v>1316</v>
      </c>
      <c r="F207" s="1644" t="str">
        <f t="shared" si="34"/>
        <v>S</v>
      </c>
      <c r="G207" s="1645" t="s">
        <v>885</v>
      </c>
      <c r="H207" s="1646">
        <v>0</v>
      </c>
      <c r="I207" s="1646">
        <v>0</v>
      </c>
      <c r="J207" s="1646">
        <v>0</v>
      </c>
      <c r="K207" s="1646">
        <v>0</v>
      </c>
      <c r="L207" s="1646">
        <v>0</v>
      </c>
      <c r="M207" s="1646">
        <v>0</v>
      </c>
      <c r="N207" s="1646">
        <v>0</v>
      </c>
      <c r="O207" s="1646">
        <v>0</v>
      </c>
      <c r="P207" s="709"/>
      <c r="X207" s="165"/>
      <c r="Y207" s="165"/>
    </row>
    <row r="208" spans="2:25" s="1456" customFormat="1" ht="15">
      <c r="B208" s="106"/>
      <c r="C208" s="1642" t="str">
        <f>INDEX(EF[UK Vector],MATCH(G208,EF[SATIM Code],0))</f>
        <v>V.04</v>
      </c>
      <c r="D208" s="1642" t="str">
        <f>INDEX(Vectors[Description], MATCH($C208, Vectors[Code], 0))</f>
        <v>Liquid hydrocarbons</v>
      </c>
      <c r="E208" s="1643" t="s">
        <v>1316</v>
      </c>
      <c r="F208" s="1644" t="str">
        <f t="shared" si="34"/>
        <v>S</v>
      </c>
      <c r="G208" s="1645" t="s">
        <v>887</v>
      </c>
      <c r="H208" s="1646">
        <v>0</v>
      </c>
      <c r="I208" s="1646">
        <v>0</v>
      </c>
      <c r="J208" s="1646">
        <v>0</v>
      </c>
      <c r="K208" s="1646">
        <v>0</v>
      </c>
      <c r="L208" s="1646">
        <v>0</v>
      </c>
      <c r="M208" s="1646">
        <v>0</v>
      </c>
      <c r="N208" s="1646">
        <v>0</v>
      </c>
      <c r="O208" s="1646">
        <v>0</v>
      </c>
      <c r="P208" s="709"/>
      <c r="X208" s="165"/>
      <c r="Y208" s="165"/>
    </row>
    <row r="209" spans="2:25" s="1456" customFormat="1" ht="15">
      <c r="B209" s="106"/>
      <c r="C209" s="1642" t="str">
        <f>INDEX(EF[UK Vector],MATCH(G209,EF[SATIM Code],0))</f>
        <v>V.01</v>
      </c>
      <c r="D209" s="1642" t="str">
        <f>INDEX(Vectors[Description], MATCH($C209, Vectors[Code], 0))</f>
        <v>Electricity (delivered to end user)</v>
      </c>
      <c r="E209" s="1643" t="s">
        <v>1316</v>
      </c>
      <c r="F209" s="1644" t="str">
        <f t="shared" si="34"/>
        <v>S</v>
      </c>
      <c r="G209" s="1645" t="s">
        <v>879</v>
      </c>
      <c r="H209" s="1646">
        <v>0</v>
      </c>
      <c r="I209" s="1646">
        <v>0</v>
      </c>
      <c r="J209" s="1646">
        <v>0</v>
      </c>
      <c r="K209" s="1646">
        <v>0</v>
      </c>
      <c r="L209" s="1646">
        <v>0</v>
      </c>
      <c r="M209" s="1646">
        <v>0</v>
      </c>
      <c r="N209" s="1646">
        <v>0</v>
      </c>
      <c r="O209" s="1646">
        <v>0</v>
      </c>
      <c r="P209" s="709"/>
      <c r="X209" s="165"/>
      <c r="Y209" s="165"/>
    </row>
    <row r="210" spans="2:25" s="1456" customFormat="1" ht="15">
      <c r="B210" s="106"/>
      <c r="C210" s="1642" t="str">
        <f>INDEX(EF[UK Vector],MATCH(G210,EF[SATIM Code],0))</f>
        <v>V.09</v>
      </c>
      <c r="D210" s="1642" t="str">
        <f>INDEX(Vectors[Description], MATCH($C210, Vectors[Code], 0))</f>
        <v>Dry biomass and waste</v>
      </c>
      <c r="E210" s="1643" t="s">
        <v>1316</v>
      </c>
      <c r="F210" s="1644" t="str">
        <f t="shared" si="34"/>
        <v>S</v>
      </c>
      <c r="G210" s="1645" t="s">
        <v>888</v>
      </c>
      <c r="H210" s="1646">
        <v>0</v>
      </c>
      <c r="I210" s="1646">
        <v>0</v>
      </c>
      <c r="J210" s="1646">
        <v>0</v>
      </c>
      <c r="K210" s="1646">
        <v>0</v>
      </c>
      <c r="L210" s="1646">
        <v>0</v>
      </c>
      <c r="M210" s="1646">
        <v>0</v>
      </c>
      <c r="N210" s="1647">
        <f>1-IND.Tech!J264</f>
        <v>0.67326876629107923</v>
      </c>
      <c r="O210" s="1646">
        <v>0</v>
      </c>
      <c r="P210" s="709"/>
      <c r="X210" s="165"/>
      <c r="Y210" s="165"/>
    </row>
    <row r="211" spans="2:25" s="1456" customFormat="1" ht="15">
      <c r="B211" s="106"/>
      <c r="C211" s="1642" t="str">
        <f>INDEX(EF[UK Vector],MATCH(G211,EF[SATIM Code],0))</f>
        <v>V.09</v>
      </c>
      <c r="D211" s="1642" t="str">
        <f>INDEX(Vectors[Description], MATCH($C211, Vectors[Code], 0))</f>
        <v>Dry biomass and waste</v>
      </c>
      <c r="E211" s="1643" t="s">
        <v>1316</v>
      </c>
      <c r="F211" s="1644" t="str">
        <f t="shared" si="34"/>
        <v>S</v>
      </c>
      <c r="G211" s="1645" t="s">
        <v>889</v>
      </c>
      <c r="H211" s="1646">
        <v>0</v>
      </c>
      <c r="I211" s="1646">
        <v>0</v>
      </c>
      <c r="J211" s="1646">
        <v>0</v>
      </c>
      <c r="K211" s="1646">
        <v>0</v>
      </c>
      <c r="L211" s="1646">
        <v>0</v>
      </c>
      <c r="M211" s="1647">
        <f>1-IND.Tech!J263</f>
        <v>0.83333333333333337</v>
      </c>
      <c r="N211" s="1646">
        <v>0</v>
      </c>
      <c r="O211" s="1646">
        <v>0</v>
      </c>
      <c r="P211" s="709"/>
      <c r="X211" s="165"/>
      <c r="Y211" s="165"/>
    </row>
    <row r="212" spans="2:25" s="1456" customFormat="1" ht="15">
      <c r="B212" s="106"/>
      <c r="C212" s="1642" t="str">
        <f>INDEX(EF[UK Vector],MATCH(G212,EF[SATIM Code],0))</f>
        <v>V.16</v>
      </c>
      <c r="D212" s="1642" t="str">
        <f>INDEX(Vectors[Description], MATCH($C212, Vectors[Code], 0))</f>
        <v>Other Waste</v>
      </c>
      <c r="E212" s="1643" t="s">
        <v>1316</v>
      </c>
      <c r="F212" s="1644" t="str">
        <f t="shared" si="34"/>
        <v>S</v>
      </c>
      <c r="G212" s="1645" t="s">
        <v>890</v>
      </c>
      <c r="H212" s="1646">
        <v>0</v>
      </c>
      <c r="I212" s="1646">
        <v>0</v>
      </c>
      <c r="J212" s="1646">
        <v>0</v>
      </c>
      <c r="K212" s="1646">
        <v>0</v>
      </c>
      <c r="L212" s="1646">
        <v>0</v>
      </c>
      <c r="M212" s="1646">
        <v>0</v>
      </c>
      <c r="N212" s="1646">
        <v>0</v>
      </c>
      <c r="O212" s="1646">
        <v>0</v>
      </c>
      <c r="P212" s="709"/>
      <c r="X212" s="165"/>
      <c r="Y212" s="165"/>
    </row>
    <row r="213" spans="2:25" s="1456" customFormat="1" ht="15">
      <c r="B213" s="106"/>
      <c r="C213" s="1632"/>
      <c r="D213" s="1632"/>
      <c r="E213" s="1632"/>
      <c r="F213" s="1632"/>
      <c r="G213" s="1632"/>
      <c r="H213" s="1648"/>
      <c r="I213" s="1648"/>
      <c r="J213" s="1648"/>
      <c r="K213" s="1648"/>
      <c r="L213" s="1648"/>
      <c r="M213" s="1648"/>
      <c r="N213" s="1648"/>
      <c r="O213" s="1648"/>
      <c r="P213" s="709"/>
      <c r="X213" s="165"/>
      <c r="Y213" s="165"/>
    </row>
    <row r="214" spans="2:25" s="1456" customFormat="1" ht="15">
      <c r="B214" s="106"/>
      <c r="C214" s="1633"/>
      <c r="D214" s="1633"/>
      <c r="E214" s="1633"/>
      <c r="F214" s="1633"/>
      <c r="G214" s="1633"/>
      <c r="H214" s="1634"/>
      <c r="I214" s="1634"/>
      <c r="J214" s="1634"/>
      <c r="K214" s="1634"/>
      <c r="L214" s="1634"/>
      <c r="M214" s="1634"/>
      <c r="N214" s="1634"/>
      <c r="O214" s="1634"/>
      <c r="P214" s="709"/>
      <c r="X214" s="165"/>
      <c r="Y214" s="165"/>
    </row>
    <row r="215" spans="2:25" ht="17" collapsed="1">
      <c r="B215" s="341"/>
      <c r="C215" s="392" t="str">
        <f>"Basline GHG emissions "&amp;Base_Year&amp;" [2]"</f>
        <v>Basline GHG emissions 2006 [2]</v>
      </c>
      <c r="D215" s="730"/>
      <c r="E215" s="339" t="s">
        <v>1353</v>
      </c>
      <c r="F215" s="338"/>
      <c r="G215" s="338"/>
      <c r="H215" s="338"/>
      <c r="I215" s="338"/>
      <c r="J215" s="338"/>
      <c r="K215" s="338"/>
      <c r="L215" s="338"/>
      <c r="M215" s="338"/>
      <c r="N215" s="338"/>
      <c r="O215" s="338"/>
      <c r="P215" s="709"/>
      <c r="X215" s="476"/>
      <c r="Y215" s="476"/>
    </row>
    <row r="216" spans="2:25" hidden="1" outlineLevel="1">
      <c r="B216" s="341"/>
      <c r="C216" s="341"/>
      <c r="D216" s="338"/>
      <c r="E216" s="338"/>
      <c r="F216" s="338"/>
      <c r="G216" s="338"/>
      <c r="H216" s="338"/>
      <c r="I216" s="338"/>
      <c r="J216" s="338"/>
      <c r="K216" s="338"/>
      <c r="L216" s="338"/>
      <c r="M216" s="338"/>
      <c r="N216" s="338"/>
      <c r="O216" s="338"/>
      <c r="P216" s="709"/>
      <c r="X216" s="165"/>
      <c r="Y216" s="165"/>
    </row>
    <row r="217" spans="2:25" ht="15" hidden="1" outlineLevel="1">
      <c r="B217" s="106"/>
      <c r="C217" s="417" t="s">
        <v>32</v>
      </c>
      <c r="D217" s="812" t="s">
        <v>59</v>
      </c>
      <c r="E217" s="812" t="s">
        <v>162</v>
      </c>
      <c r="F217" s="812" t="s">
        <v>349</v>
      </c>
      <c r="G217" s="812" t="s">
        <v>350</v>
      </c>
      <c r="H217" s="812" t="s">
        <v>351</v>
      </c>
      <c r="I217" s="742" t="s">
        <v>352</v>
      </c>
      <c r="J217" s="338"/>
      <c r="K217" s="338"/>
      <c r="L217" s="338"/>
      <c r="M217" s="338"/>
      <c r="N217" s="338"/>
      <c r="O217" s="338"/>
      <c r="P217" s="709"/>
      <c r="X217" s="165"/>
      <c r="Y217" s="165"/>
    </row>
    <row r="218" spans="2:25" s="48" customFormat="1" ht="15" hidden="1" outlineLevel="1">
      <c r="B218" s="107"/>
      <c r="C218" s="1419" t="str">
        <f>C20</f>
        <v>MI</v>
      </c>
      <c r="D218" s="1419" t="str">
        <f>D20</f>
        <v>Mining SIC2</v>
      </c>
      <c r="E218" s="1419" t="s">
        <v>756</v>
      </c>
      <c r="F218" s="1419">
        <f>SUM(F219:F227)</f>
        <v>7.382013889514937</v>
      </c>
      <c r="G218" s="1419">
        <f>SUM(G219:G227)</f>
        <v>2.9580969650819999E-3</v>
      </c>
      <c r="H218" s="1419">
        <f>SUM(H219:H227)</f>
        <v>2.8464561975622991E-2</v>
      </c>
      <c r="I218" s="1418"/>
      <c r="J218" s="338"/>
      <c r="K218" s="338"/>
      <c r="L218" s="338"/>
      <c r="M218" s="338"/>
      <c r="N218" s="338"/>
      <c r="O218" s="338"/>
      <c r="P218" s="709"/>
    </row>
    <row r="219" spans="2:25" s="48" customFormat="1" ht="15" hidden="1" outlineLevel="1">
      <c r="B219" s="107"/>
      <c r="C219" s="1417"/>
      <c r="D219" s="1417"/>
      <c r="E219" s="1416" t="s">
        <v>882</v>
      </c>
      <c r="F219" s="1416">
        <f t="array" ref="F219">SUM(($G$102:$G$126= $E219) * ($H$102:$H$126) ) * SUM(EF[CO2] * (EF[SATIM Code]= $E219) )</f>
        <v>5.1284278237499992</v>
      </c>
      <c r="G219" s="1416">
        <f t="array" ref="G219">SUM(($G$102:$G$126= $E219) * ($H$102:$H$126) ) * SUM(EF[CH4] * (EF[SATIM Code]= $E219) )</f>
        <v>1.1189297069999996E-3</v>
      </c>
      <c r="H219" s="1416">
        <f t="array" ref="H219">SUM(($G$102:$G$126= $E219) * ($H$102:$H$126) ) * SUM(EF[N2O] * (EF[SATIM Code]= $E219) )</f>
        <v>2.3124547277999993E-2</v>
      </c>
      <c r="I219" s="1415"/>
      <c r="J219" s="338"/>
      <c r="K219" s="338"/>
      <c r="L219" s="338"/>
      <c r="M219" s="338"/>
      <c r="N219" s="338"/>
      <c r="O219" s="338"/>
      <c r="P219" s="709"/>
    </row>
    <row r="220" spans="2:25" s="48" customFormat="1" ht="15" hidden="1" outlineLevel="1">
      <c r="B220" s="107"/>
      <c r="C220" s="1416"/>
      <c r="D220" s="1417"/>
      <c r="E220" s="1416" t="s">
        <v>869</v>
      </c>
      <c r="F220" s="1416">
        <f t="array" ref="F220">SUM(($G$102:$G$126= $E220) * ($H$102:$H$126) ) * SUM(EF[CO2] * (EF[SATIM Code]= $E220) )</f>
        <v>0.162686634</v>
      </c>
      <c r="G220" s="1416">
        <f t="array" ref="G220">SUM(($G$102:$G$126= $E220) * ($H$102:$H$126) ) * SUM(EF[CH4] * (EF[SATIM Code]= $E220) )</f>
        <v>6.0898739999999996E-5</v>
      </c>
      <c r="H220" s="1416">
        <f t="array" ref="H220">SUM(($G$102:$G$126= $E220) * ($H$102:$H$126) ) * SUM(EF[N2O] * (EF[SATIM Code]= $E220) )</f>
        <v>8.9898140000000009E-5</v>
      </c>
      <c r="I220" s="1415"/>
      <c r="J220" s="338"/>
      <c r="K220" s="338"/>
      <c r="L220" s="338"/>
      <c r="M220" s="338"/>
      <c r="N220" s="338"/>
      <c r="O220" s="338"/>
      <c r="P220" s="709"/>
    </row>
    <row r="221" spans="2:25" s="48" customFormat="1" ht="15" hidden="1" outlineLevel="1">
      <c r="B221" s="107"/>
      <c r="C221" s="1417"/>
      <c r="D221" s="1417"/>
      <c r="E221" s="1416" t="s">
        <v>885</v>
      </c>
      <c r="F221" s="1416">
        <f t="array" ref="F221">SUM(($G$102:$G$126= $E221) * ($H$102:$H$126) ) * SUM(EF[CO2] * (EF[SATIM Code]= $E221) )</f>
        <v>5.9804599795199986E-3</v>
      </c>
      <c r="G221" s="1416">
        <f t="array" ref="G221">SUM(($G$102:$G$126= $E221) * ($H$102:$H$126) ) * SUM(EF[CH4] * (EF[SATIM Code]= $E221) )</f>
        <v>4.8678162623999987E-6</v>
      </c>
      <c r="H221" s="1416">
        <f t="array" ref="H221">SUM(($G$102:$G$126= $E221) * ($H$102:$H$126) ) * SUM(EF[N2O] * (EF[SATIM Code]= $E221) )</f>
        <v>1.4371648012799997E-5</v>
      </c>
      <c r="I221" s="1415"/>
      <c r="J221" s="338"/>
      <c r="K221" s="338"/>
      <c r="L221" s="338"/>
      <c r="M221" s="338"/>
      <c r="N221" s="338"/>
      <c r="O221" s="338"/>
      <c r="P221" s="709"/>
    </row>
    <row r="222" spans="2:25" s="48" customFormat="1" ht="15" hidden="1" outlineLevel="1">
      <c r="B222" s="107"/>
      <c r="C222" s="1417"/>
      <c r="D222" s="1417"/>
      <c r="E222" s="1416" t="s">
        <v>886</v>
      </c>
      <c r="F222" s="1416">
        <f t="array" ref="F222">SUM(($G$102:$G$126= $E222) * ($H$102:$H$126) ) * SUM(EF[CO2] * (EF[SATIM Code]= $E222) )</f>
        <v>2.0849150867057973</v>
      </c>
      <c r="G222" s="1416">
        <f t="array" ref="G222">SUM(($G$102:$G$126= $E222) * ($H$102:$H$126) ) * SUM(EF[CH4] * (EF[SATIM Code]= $E222) )</f>
        <v>1.7733968228970001E-3</v>
      </c>
      <c r="H222" s="1416">
        <f t="array" ref="H222">SUM(($G$102:$G$126= $E222) * ($H$102:$H$126) ) * SUM(EF[N2O] * (EF[SATIM Code]= $E222) )</f>
        <v>5.2357430009340004E-3</v>
      </c>
      <c r="I222" s="1415"/>
      <c r="J222" s="338"/>
      <c r="K222" s="338"/>
      <c r="L222" s="338"/>
      <c r="M222" s="338"/>
      <c r="N222" s="338"/>
      <c r="O222" s="338"/>
      <c r="P222" s="709"/>
    </row>
    <row r="223" spans="2:25" s="48" customFormat="1" ht="15" hidden="1" outlineLevel="1">
      <c r="B223" s="107"/>
      <c r="C223" s="1417"/>
      <c r="D223" s="1417"/>
      <c r="E223" s="1416" t="s">
        <v>887</v>
      </c>
      <c r="F223" s="1416">
        <f t="array" ref="F223">SUM(($G$102:$G$126= $E223) * ($H$102:$H$126) ) * SUM(EF[CO2] * (EF[SATIM Code]= $E223) )</f>
        <v>3.8850796199999996E-6</v>
      </c>
      <c r="G223" s="1416">
        <f t="array" ref="G223">SUM(($G$102:$G$126= $E223) * ($H$102:$H$126) ) * SUM(EF[CH4] * (EF[SATIM Code]= $E223) )</f>
        <v>3.8789225999999997E-9</v>
      </c>
      <c r="H223" s="1416">
        <f t="array" ref="H223">SUM(($G$102:$G$126= $E223) * ($H$102:$H$126) ) * SUM(EF[N2O] * (EF[SATIM Code]= $E223) )</f>
        <v>1.9086762000000001E-9</v>
      </c>
      <c r="I223" s="1415"/>
      <c r="J223" s="338"/>
      <c r="K223" s="338"/>
      <c r="L223" s="338"/>
      <c r="M223" s="338"/>
      <c r="N223" s="338"/>
      <c r="O223" s="338"/>
      <c r="P223" s="709"/>
    </row>
    <row r="224" spans="2:25" s="48" customFormat="1" ht="15" hidden="1" outlineLevel="1">
      <c r="B224" s="107"/>
      <c r="C224" s="1417"/>
      <c r="D224" s="1417"/>
      <c r="E224" s="1416" t="s">
        <v>879</v>
      </c>
      <c r="F224" s="1416">
        <f t="array" ref="F224">SUM(($G$102:$G$126= $E224) * ($H$102:$H$126) ) * SUM(EF[CO2] * (EF[SATIM Code]= $E224) )</f>
        <v>0</v>
      </c>
      <c r="G224" s="1416">
        <f t="array" ref="G224">SUM(($G$102:$G$126= $E224) * ($H$102:$H$126) ) * SUM(EF[CH4] * (EF[SATIM Code]= $E224) )</f>
        <v>0</v>
      </c>
      <c r="H224" s="1416">
        <f t="array" ref="H224">SUM(($G$102:$G$126= $E224) * ($H$102:$H$126) ) * SUM(EF[N2O] * (EF[SATIM Code]= $E224) )</f>
        <v>0</v>
      </c>
      <c r="I224" s="1415"/>
      <c r="J224" s="338"/>
      <c r="K224" s="338"/>
      <c r="L224" s="338"/>
      <c r="M224" s="338"/>
      <c r="N224" s="338"/>
      <c r="O224" s="338"/>
      <c r="P224" s="709"/>
    </row>
    <row r="225" spans="2:16" s="48" customFormat="1" ht="15" hidden="1" outlineLevel="1">
      <c r="B225" s="107"/>
      <c r="C225" s="1417"/>
      <c r="D225" s="1417"/>
      <c r="E225" s="1416" t="s">
        <v>888</v>
      </c>
      <c r="F225" s="1416">
        <f t="array" ref="F225">SUM(($G$102:$G$126= $E225) * ($H$102:$H$126) ) * SUM(EF[CO2] * (EF[SATIM Code]= $E225) )</f>
        <v>0</v>
      </c>
      <c r="G225" s="1416">
        <f t="array" ref="G225">SUM(($G$102:$G$126= $E225) * ($H$102:$H$126) ) * SUM(EF[CH4] * (EF[SATIM Code]= $E225) )</f>
        <v>0</v>
      </c>
      <c r="H225" s="1416">
        <f t="array" ref="H225">SUM(($G$102:$G$126= $E225) * ($H$102:$H$126) ) * SUM(EF[N2O] * (EF[SATIM Code]= $E225) )</f>
        <v>0</v>
      </c>
      <c r="I225" s="1415"/>
      <c r="J225" s="338"/>
      <c r="K225" s="338"/>
      <c r="L225" s="338"/>
      <c r="M225" s="338"/>
      <c r="N225" s="338"/>
      <c r="O225" s="338"/>
      <c r="P225" s="709"/>
    </row>
    <row r="226" spans="2:16" s="48" customFormat="1" ht="15" hidden="1" outlineLevel="1">
      <c r="B226" s="107"/>
      <c r="C226" s="1417"/>
      <c r="D226" s="1417"/>
      <c r="E226" s="1416" t="s">
        <v>889</v>
      </c>
      <c r="F226" s="1416">
        <f t="array" ref="F226">SUM(($G$102:$G$126= $E226) * ($H$102:$H$126) ) * SUM(EF[CO2] * (EF[SATIM Code]= $E226) )</f>
        <v>0</v>
      </c>
      <c r="G226" s="1416">
        <f t="array" ref="G226">SUM(($G$102:$G$126= $E226) * ($H$102:$H$126) ) * SUM(EF[CH4] * (EF[SATIM Code]= $E226) )</f>
        <v>0</v>
      </c>
      <c r="H226" s="1416">
        <f t="array" ref="H226">SUM(($G$102:$G$126= $E226) * ($H$102:$H$126) ) * SUM(EF[N2O] * (EF[SATIM Code]= $E226) )</f>
        <v>0</v>
      </c>
      <c r="I226" s="1415"/>
      <c r="J226" s="338"/>
      <c r="K226" s="338"/>
      <c r="L226" s="338"/>
      <c r="M226" s="338"/>
      <c r="N226" s="338"/>
      <c r="O226" s="338"/>
      <c r="P226" s="709"/>
    </row>
    <row r="227" spans="2:16" s="48" customFormat="1" ht="15" hidden="1" outlineLevel="1">
      <c r="B227" s="107"/>
      <c r="C227" s="1417"/>
      <c r="D227" s="1417"/>
      <c r="E227" s="1416" t="s">
        <v>890</v>
      </c>
      <c r="F227" s="1416">
        <f t="array" ref="F227">SUM(($G$102:$G$126= $E227) * ($H$102:$H$126) ) * SUM(EF[CO2] * (EF[SATIM Code]= $E227) )</f>
        <v>0</v>
      </c>
      <c r="G227" s="1416">
        <f t="array" ref="G227">SUM(($G$102:$G$126= $E227) * ($H$102:$H$126) ) * SUM(EF[CH4] * (EF[SATIM Code]= $E227) )</f>
        <v>0</v>
      </c>
      <c r="H227" s="1416">
        <f t="array" ref="H227">SUM(($G$102:$G$126= $E227) * ($H$102:$H$126) ) * SUM(EF[N2O] * (EF[SATIM Code]= $E227) )</f>
        <v>0</v>
      </c>
      <c r="I227" s="1415"/>
      <c r="J227" s="338"/>
      <c r="K227" s="338"/>
      <c r="L227" s="338"/>
      <c r="M227" s="338"/>
      <c r="N227" s="338"/>
      <c r="O227" s="338"/>
      <c r="P227" s="709"/>
    </row>
    <row r="228" spans="2:16" s="48" customFormat="1" ht="15" hidden="1" outlineLevel="1">
      <c r="B228" s="809"/>
      <c r="C228" s="1417"/>
      <c r="D228" s="1417"/>
      <c r="E228" s="1416"/>
      <c r="F228" s="1416"/>
      <c r="G228" s="1416"/>
      <c r="H228" s="1416"/>
      <c r="I228" s="1415"/>
      <c r="J228" s="338"/>
      <c r="K228" s="338"/>
      <c r="L228" s="338"/>
      <c r="M228" s="338"/>
      <c r="N228" s="338"/>
      <c r="O228" s="338"/>
      <c r="P228" s="709"/>
    </row>
    <row r="229" spans="2:16" s="48" customFormat="1" ht="15" hidden="1" outlineLevel="1">
      <c r="B229" s="809"/>
      <c r="C229" s="1414" t="str">
        <f>C21</f>
        <v>IS</v>
      </c>
      <c r="D229" s="1414" t="str">
        <f>D21</f>
        <v>Iron  &amp; Steel  - 351</v>
      </c>
      <c r="E229" s="1414" t="s">
        <v>756</v>
      </c>
      <c r="F229" s="1414">
        <f>SUM(F230:F238)</f>
        <v>18.297043247664877</v>
      </c>
      <c r="G229" s="1414">
        <f>SUM(G230:G238)</f>
        <v>1.1847001421849998E-3</v>
      </c>
      <c r="H229" s="1414">
        <f>SUM(H230:H238)</f>
        <v>2.3228818974688991E-2</v>
      </c>
      <c r="I229" s="1414"/>
      <c r="J229" s="338"/>
      <c r="K229" s="338"/>
      <c r="L229" s="338"/>
      <c r="M229" s="338"/>
      <c r="N229" s="338"/>
      <c r="O229" s="338"/>
      <c r="P229" s="709"/>
    </row>
    <row r="230" spans="2:16" s="48" customFormat="1" ht="15" hidden="1" outlineLevel="1">
      <c r="B230" s="107"/>
      <c r="C230" s="1416"/>
      <c r="D230" s="1416"/>
      <c r="E230" s="1416" t="s">
        <v>882</v>
      </c>
      <c r="F230" s="1416">
        <f t="array" ref="F230">SUM(($G$102:$G$126= $E230) * ($I$102:$I$126) ) * SUM(EF[CO2] * (EF[SATIM Code]= $E230) )</f>
        <v>12.066931796404875</v>
      </c>
      <c r="G230" s="1416">
        <f t="array" ref="G230">SUM(($G$102:$G$126= $E230) * ($H$102:$H$126) ) * SUM(EF[CH4] * (EF[SATIM Code]= $E230) )</f>
        <v>1.1189297069999996E-3</v>
      </c>
      <c r="H230" s="1416">
        <f t="array" ref="H230">SUM(($G$102:$G$126= $E230) * ($H$102:$H$126) ) * SUM(EF[N2O] * (EF[SATIM Code]= $E230) )</f>
        <v>2.3124547277999993E-2</v>
      </c>
      <c r="I230" s="1416"/>
      <c r="J230" s="338"/>
      <c r="K230" s="338"/>
      <c r="L230" s="338"/>
      <c r="M230" s="338"/>
      <c r="N230" s="338"/>
      <c r="O230" s="338"/>
      <c r="P230" s="709"/>
    </row>
    <row r="231" spans="2:16" s="48" customFormat="1" ht="15" hidden="1" outlineLevel="1">
      <c r="B231" s="107"/>
      <c r="C231" s="1416"/>
      <c r="D231" s="1416"/>
      <c r="E231" s="1416" t="s">
        <v>883</v>
      </c>
      <c r="F231" s="1416">
        <f t="array" ref="F231">SUM(($G$102:$G$126= $E231) * ($I$102:$I$126) ) * SUM(EF[CO2] * (EF[SATIM Code]= $E231) )</f>
        <v>4.7536862412599996</v>
      </c>
      <c r="G231" s="1416">
        <f t="array" ref="G231">SUM(($G$102:$G$126= $E231) * ($H$102:$H$126) ) * SUM(EF[CH4] * (EF[SATIM Code]= $E231) )</f>
        <v>0</v>
      </c>
      <c r="H231" s="1416">
        <f t="array" ref="H231">SUM(($G$102:$G$126= $E231) * ($H$102:$H$126) ) * SUM(EF[N2O] * (EF[SATIM Code]= $E231) )</f>
        <v>0</v>
      </c>
      <c r="I231" s="1416"/>
      <c r="J231" s="338"/>
      <c r="K231" s="338"/>
      <c r="L231" s="338"/>
      <c r="M231" s="338"/>
      <c r="N231" s="338"/>
      <c r="O231" s="338"/>
      <c r="P231" s="709"/>
    </row>
    <row r="232" spans="2:16" s="48" customFormat="1" ht="15" hidden="1" outlineLevel="1">
      <c r="B232" s="107"/>
      <c r="C232" s="1416"/>
      <c r="D232" s="1416"/>
      <c r="E232" s="1416" t="s">
        <v>869</v>
      </c>
      <c r="F232" s="1416">
        <f t="array" ref="F232">SUM(($G$102:$G$126= $E232) * ($I$102:$I$126) ) * SUM(EF[CO2] * (EF[SATIM Code]= $E232) )</f>
        <v>1.2328592099999998</v>
      </c>
      <c r="G232" s="1416">
        <f t="array" ref="G232">SUM(($G$102:$G$126= $E232) * ($H$102:$H$126) ) * SUM(EF[CH4] * (EF[SATIM Code]= $E232) )</f>
        <v>6.0898739999999996E-5</v>
      </c>
      <c r="H232" s="1416">
        <f t="array" ref="H232">SUM(($G$102:$G$126= $E232) * ($H$102:$H$126) ) * SUM(EF[N2O] * (EF[SATIM Code]= $E232) )</f>
        <v>8.9898140000000009E-5</v>
      </c>
      <c r="I232" s="1416"/>
      <c r="J232" s="338"/>
      <c r="K232" s="338"/>
      <c r="L232" s="338"/>
      <c r="M232" s="338"/>
      <c r="N232" s="338"/>
      <c r="O232" s="338"/>
      <c r="P232" s="709"/>
    </row>
    <row r="233" spans="2:16" s="48" customFormat="1" ht="15" hidden="1" outlineLevel="1">
      <c r="B233" s="107"/>
      <c r="C233" s="1416"/>
      <c r="D233" s="1416"/>
      <c r="E233" s="1416" t="s">
        <v>885</v>
      </c>
      <c r="F233" s="1416">
        <f t="array" ref="F233">SUM(($G$102:$G$126= $E233) * ($I$102:$I$126) ) * SUM(EF[CO2] * (EF[SATIM Code]= $E233) )</f>
        <v>0</v>
      </c>
      <c r="G233" s="1416">
        <f t="array" ref="G233">SUM(($G$102:$G$126= $E233) * ($H$102:$H$126) ) * SUM(EF[CH4] * (EF[SATIM Code]= $E233) )</f>
        <v>4.8678162623999987E-6</v>
      </c>
      <c r="H233" s="1416">
        <f t="array" ref="H233">SUM(($G$102:$G$126= $E233) * ($H$102:$H$126) ) * SUM(EF[N2O] * (EF[SATIM Code]= $E233) )</f>
        <v>1.4371648012799997E-5</v>
      </c>
      <c r="I233" s="1416"/>
      <c r="J233" s="338"/>
      <c r="K233" s="338"/>
      <c r="L233" s="338"/>
      <c r="M233" s="338"/>
      <c r="N233" s="338"/>
      <c r="O233" s="338"/>
      <c r="P233" s="709"/>
    </row>
    <row r="234" spans="2:16" s="48" customFormat="1" ht="15" hidden="1" outlineLevel="1">
      <c r="B234" s="107"/>
      <c r="C234" s="1416"/>
      <c r="D234" s="1416"/>
      <c r="E234" s="1416" t="s">
        <v>887</v>
      </c>
      <c r="F234" s="1416">
        <f t="array" ref="F234">SUM(($G$102:$G$126= $E234) * ($I$102:$I$126) ) * SUM(EF[CO2] * (EF[SATIM Code]= $E234) )</f>
        <v>0.243566</v>
      </c>
      <c r="G234" s="1416">
        <f t="array" ref="G234">SUM(($G$102:$G$126= $E234) * ($H$102:$H$126) ) * SUM(EF[CH4] * (EF[SATIM Code]= $E234) )</f>
        <v>3.8789225999999997E-9</v>
      </c>
      <c r="H234" s="1416">
        <f t="array" ref="H234">SUM(($G$102:$G$126= $E234) * ($H$102:$H$126) ) * SUM(EF[N2O] * (EF[SATIM Code]= $E234) )</f>
        <v>1.9086762000000001E-9</v>
      </c>
      <c r="I234" s="1416"/>
      <c r="J234" s="338"/>
      <c r="K234" s="338"/>
      <c r="L234" s="338"/>
      <c r="M234" s="338"/>
      <c r="N234" s="338"/>
      <c r="O234" s="338"/>
      <c r="P234" s="709"/>
    </row>
    <row r="235" spans="2:16" s="48" customFormat="1" ht="15" hidden="1" outlineLevel="1">
      <c r="B235" s="107"/>
      <c r="C235" s="1416"/>
      <c r="D235" s="1416"/>
      <c r="E235" s="1416" t="s">
        <v>879</v>
      </c>
      <c r="F235" s="1416">
        <f t="array" ref="F235">SUM(($G$102:$G$126= $E235) * ($I$102:$I$126) ) * SUM(EF[CO2] * (EF[SATIM Code]= $E235) )</f>
        <v>0</v>
      </c>
      <c r="G235" s="1416">
        <f t="array" ref="G235">SUM(($G$102:$G$126= $E235) * ($H$102:$H$126) ) * SUM(EF[CH4] * (EF[SATIM Code]= $E235) )</f>
        <v>0</v>
      </c>
      <c r="H235" s="1416">
        <f t="array" ref="H235">SUM(($G$102:$G$126= $E235) * ($H$102:$H$126) ) * SUM(EF[N2O] * (EF[SATIM Code]= $E235) )</f>
        <v>0</v>
      </c>
      <c r="I235" s="1416"/>
      <c r="J235" s="338"/>
      <c r="K235" s="338"/>
      <c r="L235" s="338"/>
      <c r="M235" s="338"/>
      <c r="N235" s="338"/>
      <c r="O235" s="338"/>
      <c r="P235" s="709"/>
    </row>
    <row r="236" spans="2:16" s="48" customFormat="1" ht="15" hidden="1" outlineLevel="1">
      <c r="B236" s="107"/>
      <c r="C236" s="1416"/>
      <c r="D236" s="1416"/>
      <c r="E236" s="1416" t="s">
        <v>888</v>
      </c>
      <c r="F236" s="1416">
        <f t="array" ref="F236">SUM(($G$102:$G$126= $E236) * ($I$102:$I$126) ) * SUM(EF[CO2] * (EF[SATIM Code]= $E236) )</f>
        <v>0</v>
      </c>
      <c r="G236" s="1416">
        <f t="array" ref="G236">SUM(($G$102:$G$126= $E236) * ($H$102:$H$126) ) * SUM(EF[CH4] * (EF[SATIM Code]= $E236) )</f>
        <v>0</v>
      </c>
      <c r="H236" s="1416">
        <f t="array" ref="H236">SUM(($G$102:$G$126= $E236) * ($H$102:$H$126) ) * SUM(EF[N2O] * (EF[SATIM Code]= $E236) )</f>
        <v>0</v>
      </c>
      <c r="I236" s="1416"/>
      <c r="J236" s="338"/>
      <c r="K236" s="338"/>
      <c r="L236" s="338"/>
      <c r="M236" s="338"/>
      <c r="N236" s="338"/>
      <c r="O236" s="338"/>
      <c r="P236" s="709"/>
    </row>
    <row r="237" spans="2:16" s="48" customFormat="1" ht="15" hidden="1" outlineLevel="1">
      <c r="B237" s="107"/>
      <c r="C237" s="1416"/>
      <c r="D237" s="1416"/>
      <c r="E237" s="1416" t="s">
        <v>889</v>
      </c>
      <c r="F237" s="1416">
        <f t="array" ref="F237">SUM(($G$102:$G$126= $E237) * ($I$102:$I$126) ) * SUM(EF[CO2] * (EF[SATIM Code]= $E237) )</f>
        <v>0</v>
      </c>
      <c r="G237" s="1416">
        <f t="array" ref="G237">SUM(($G$102:$G$126= $E237) * ($H$102:$H$126) ) * SUM(EF[CH4] * (EF[SATIM Code]= $E237) )</f>
        <v>0</v>
      </c>
      <c r="H237" s="1416">
        <f t="array" ref="H237">SUM(($G$102:$G$126= $E237) * ($H$102:$H$126) ) * SUM(EF[N2O] * (EF[SATIM Code]= $E237) )</f>
        <v>0</v>
      </c>
      <c r="I237" s="1416"/>
      <c r="J237" s="338"/>
      <c r="K237" s="338"/>
      <c r="L237" s="338"/>
      <c r="M237" s="338"/>
      <c r="N237" s="338"/>
      <c r="O237" s="338"/>
      <c r="P237" s="709"/>
    </row>
    <row r="238" spans="2:16" s="48" customFormat="1" ht="15" hidden="1" outlineLevel="1">
      <c r="B238" s="107"/>
      <c r="C238" s="1416"/>
      <c r="D238" s="1416"/>
      <c r="E238" s="1416" t="s">
        <v>890</v>
      </c>
      <c r="F238" s="1416">
        <f t="array" ref="F238">SUM(($G$102:$G$126= $E238) * ($I$102:$I$126) ) * SUM(EF[CO2] * (EF[SATIM Code]= $E238) )</f>
        <v>0</v>
      </c>
      <c r="G238" s="1416">
        <f t="array" ref="G238">SUM(($G$102:$G$126= $E238) * ($H$102:$H$126) ) * SUM(EF[CH4] * (EF[SATIM Code]= $E238) )</f>
        <v>0</v>
      </c>
      <c r="H238" s="1416">
        <f t="array" ref="H238">SUM(($G$102:$G$126= $E238) * ($H$102:$H$126) ) * SUM(EF[N2O] * (EF[SATIM Code]= $E238) )</f>
        <v>0</v>
      </c>
      <c r="I238" s="1416"/>
      <c r="J238" s="338"/>
      <c r="K238" s="338"/>
      <c r="L238" s="338"/>
      <c r="M238" s="338"/>
      <c r="N238" s="338"/>
      <c r="O238" s="338"/>
      <c r="P238" s="709"/>
    </row>
    <row r="239" spans="2:16" s="48" customFormat="1" ht="15" hidden="1" outlineLevel="1">
      <c r="B239" s="107"/>
      <c r="C239" s="1416"/>
      <c r="D239" s="1416"/>
      <c r="E239" s="1416"/>
      <c r="F239" s="1416"/>
      <c r="G239" s="1416"/>
      <c r="H239" s="1416"/>
      <c r="I239" s="1416"/>
      <c r="J239" s="338"/>
      <c r="K239" s="338"/>
      <c r="L239" s="338"/>
      <c r="M239" s="338"/>
      <c r="N239" s="338"/>
      <c r="O239" s="338"/>
      <c r="P239" s="709"/>
    </row>
    <row r="240" spans="2:16" s="48" customFormat="1" ht="15" hidden="1" outlineLevel="1">
      <c r="B240" s="107"/>
      <c r="C240" s="1414" t="str">
        <f>C22</f>
        <v>CP</v>
      </c>
      <c r="D240" s="1414" t="str">
        <f>D22</f>
        <v>Chemicals  -33</v>
      </c>
      <c r="E240" s="1414" t="s">
        <v>756</v>
      </c>
      <c r="F240" s="1414">
        <f>SUM(F241:F248)</f>
        <v>8.2102711597500004</v>
      </c>
      <c r="G240" s="1414">
        <f>SUM(G241:G248)</f>
        <v>1.1847001421849998E-3</v>
      </c>
      <c r="H240" s="1414">
        <f>SUM(H241:H248)</f>
        <v>2.3228818974688991E-2</v>
      </c>
      <c r="I240" s="1414"/>
      <c r="J240" s="338"/>
      <c r="K240" s="338"/>
      <c r="L240" s="338"/>
      <c r="M240" s="338"/>
      <c r="N240" s="338"/>
      <c r="O240" s="338"/>
      <c r="P240" s="709"/>
    </row>
    <row r="241" spans="2:16" s="48" customFormat="1" ht="15" hidden="1" outlineLevel="1">
      <c r="B241" s="107"/>
      <c r="C241" s="1416"/>
      <c r="D241" s="1416"/>
      <c r="E241" s="1416" t="s">
        <v>882</v>
      </c>
      <c r="F241" s="1416">
        <f t="array" ref="F241">SUM(($G$102:$G$126= $E241) * ($J$102:$J$126) ) * SUM(EF[CO2] * (EF[SATIM Code]= $E241) )</f>
        <v>4.8935320087499994</v>
      </c>
      <c r="G241" s="1416">
        <f t="array" ref="G241">SUM(($G$102:$G$126= $E241) * ($H$102:$H$126) ) * SUM(EF[CH4] * (EF[SATIM Code]= $E241) )</f>
        <v>1.1189297069999996E-3</v>
      </c>
      <c r="H241" s="1416">
        <f t="array" ref="H241">SUM(($G$102:$G$126= $E241) * ($H$102:$H$126) ) * SUM(EF[N2O] * (EF[SATIM Code]= $E241) )</f>
        <v>2.3124547277999993E-2</v>
      </c>
      <c r="I241" s="1416"/>
      <c r="J241" s="338"/>
      <c r="K241" s="338"/>
      <c r="L241" s="338"/>
      <c r="M241" s="338"/>
      <c r="N241" s="338"/>
      <c r="O241" s="338"/>
      <c r="P241" s="709"/>
    </row>
    <row r="242" spans="2:16" s="48" customFormat="1" ht="15" hidden="1" outlineLevel="1">
      <c r="B242" s="107"/>
      <c r="C242" s="1416"/>
      <c r="D242" s="1416"/>
      <c r="E242" s="1416" t="s">
        <v>869</v>
      </c>
      <c r="F242" s="1416">
        <f t="array" ref="F242">SUM(($G$102:$G$126= $E242) * ($J$102:$J$126) ) * SUM(EF[CO2] * (EF[SATIM Code]= $E242) )</f>
        <v>3.3167391510000002</v>
      </c>
      <c r="G242" s="1416">
        <f t="array" ref="G242">SUM(($G$102:$G$126= $E242) * ($H$102:$H$126) ) * SUM(EF[CH4] * (EF[SATIM Code]= $E242) )</f>
        <v>6.0898739999999996E-5</v>
      </c>
      <c r="H242" s="1416">
        <f t="array" ref="H242">SUM(($G$102:$G$126= $E242) * ($H$102:$H$126) ) * SUM(EF[N2O] * (EF[SATIM Code]= $E242) )</f>
        <v>8.9898140000000009E-5</v>
      </c>
      <c r="I242" s="1416"/>
      <c r="J242" s="338"/>
      <c r="K242" s="338"/>
      <c r="L242" s="338"/>
      <c r="M242" s="338"/>
      <c r="N242" s="338"/>
      <c r="O242" s="338"/>
      <c r="P242" s="709"/>
    </row>
    <row r="243" spans="2:16" s="48" customFormat="1" ht="15" hidden="1" outlineLevel="1">
      <c r="B243" s="107"/>
      <c r="C243" s="1416"/>
      <c r="D243" s="1416"/>
      <c r="E243" s="1416" t="s">
        <v>885</v>
      </c>
      <c r="F243" s="1416">
        <f t="array" ref="F243">SUM(($G$102:$G$126= $E243) * ($J$102:$J$126) ) * SUM(EF[CO2] * (EF[SATIM Code]= $E243) )</f>
        <v>0</v>
      </c>
      <c r="G243" s="1416">
        <f t="array" ref="G243">SUM(($G$102:$G$126= $E243) * ($H$102:$H$126) ) * SUM(EF[CH4] * (EF[SATIM Code]= $E243) )</f>
        <v>4.8678162623999987E-6</v>
      </c>
      <c r="H243" s="1416">
        <f t="array" ref="H243">SUM(($G$102:$G$126= $E243) * ($H$102:$H$126) ) * SUM(EF[N2O] * (EF[SATIM Code]= $E243) )</f>
        <v>1.4371648012799997E-5</v>
      </c>
      <c r="I243" s="1416"/>
      <c r="J243" s="338"/>
      <c r="K243" s="338"/>
      <c r="L243" s="338"/>
      <c r="M243" s="338"/>
      <c r="N243" s="338"/>
      <c r="O243" s="338"/>
      <c r="P243" s="709"/>
    </row>
    <row r="244" spans="2:16" s="48" customFormat="1" ht="15" hidden="1" outlineLevel="1">
      <c r="B244" s="107"/>
      <c r="C244" s="1416"/>
      <c r="D244" s="1416"/>
      <c r="E244" s="1416" t="s">
        <v>887</v>
      </c>
      <c r="F244" s="1416">
        <f t="array" ref="F244">SUM(($G$102:$G$126= $E244) * ($J$102:$J$126) ) * SUM(EF[CO2] * (EF[SATIM Code]= $E244) )</f>
        <v>0</v>
      </c>
      <c r="G244" s="1416">
        <f t="array" ref="G244">SUM(($G$102:$G$126= $E244) * ($H$102:$H$126) ) * SUM(EF[CH4] * (EF[SATIM Code]= $E244) )</f>
        <v>3.8789225999999997E-9</v>
      </c>
      <c r="H244" s="1416">
        <f t="array" ref="H244">SUM(($G$102:$G$126= $E244) * ($H$102:$H$126) ) * SUM(EF[N2O] * (EF[SATIM Code]= $E244) )</f>
        <v>1.9086762000000001E-9</v>
      </c>
      <c r="I244" s="1416"/>
      <c r="J244" s="338"/>
      <c r="K244" s="338"/>
      <c r="L244" s="338"/>
      <c r="M244" s="338"/>
      <c r="N244" s="338"/>
      <c r="O244" s="338"/>
      <c r="P244" s="709"/>
    </row>
    <row r="245" spans="2:16" s="48" customFormat="1" ht="15" hidden="1" outlineLevel="1">
      <c r="B245" s="107"/>
      <c r="C245" s="1416"/>
      <c r="D245" s="1416"/>
      <c r="E245" s="1416" t="s">
        <v>879</v>
      </c>
      <c r="F245" s="1416">
        <f t="array" ref="F245">SUM(($G$102:$G$126= $E245) * ($J$102:$J$126) ) * SUM(EF[CO2] * (EF[SATIM Code]= $E245) )</f>
        <v>0</v>
      </c>
      <c r="G245" s="1416">
        <f t="array" ref="G245">SUM(($G$102:$G$126= $E245) * ($H$102:$H$126) ) * SUM(EF[CH4] * (EF[SATIM Code]= $E245) )</f>
        <v>0</v>
      </c>
      <c r="H245" s="1416">
        <f t="array" ref="H245">SUM(($G$102:$G$126= $E245) * ($H$102:$H$126) ) * SUM(EF[N2O] * (EF[SATIM Code]= $E245) )</f>
        <v>0</v>
      </c>
      <c r="I245" s="1416"/>
      <c r="J245" s="338"/>
      <c r="K245" s="338"/>
      <c r="L245" s="338"/>
      <c r="M245" s="338"/>
      <c r="N245" s="338"/>
      <c r="O245" s="338"/>
      <c r="P245" s="709"/>
    </row>
    <row r="246" spans="2:16" s="48" customFormat="1" ht="15" hidden="1" outlineLevel="1">
      <c r="B246" s="107"/>
      <c r="C246" s="1416"/>
      <c r="D246" s="1416"/>
      <c r="E246" s="1416" t="s">
        <v>888</v>
      </c>
      <c r="F246" s="1416">
        <f t="array" ref="F246">SUM(($G$102:$G$126= $E246) * ($J$102:$J$126) ) * SUM(EF[CO2] * (EF[SATIM Code]= $E246) )</f>
        <v>0</v>
      </c>
      <c r="G246" s="1416">
        <f t="array" ref="G246">SUM(($G$102:$G$126= $E246) * ($H$102:$H$126) ) * SUM(EF[CH4] * (EF[SATIM Code]= $E246) )</f>
        <v>0</v>
      </c>
      <c r="H246" s="1416">
        <f t="array" ref="H246">SUM(($G$102:$G$126= $E246) * ($H$102:$H$126) ) * SUM(EF[N2O] * (EF[SATIM Code]= $E246) )</f>
        <v>0</v>
      </c>
      <c r="I246" s="1416"/>
      <c r="J246" s="338"/>
      <c r="K246" s="338"/>
      <c r="L246" s="338"/>
      <c r="M246" s="338"/>
      <c r="N246" s="338"/>
      <c r="O246" s="338"/>
      <c r="P246" s="709"/>
    </row>
    <row r="247" spans="2:16" s="48" customFormat="1" ht="15" hidden="1" outlineLevel="1">
      <c r="B247" s="107"/>
      <c r="C247" s="1416"/>
      <c r="D247" s="1416"/>
      <c r="E247" s="1416" t="s">
        <v>889</v>
      </c>
      <c r="F247" s="1416">
        <f t="array" ref="F247">SUM(($G$102:$G$126= $E247) * ($J$102:$J$126) ) * SUM(EF[CO2] * (EF[SATIM Code]= $E247) )</f>
        <v>0</v>
      </c>
      <c r="G247" s="1416">
        <f t="array" ref="G247">SUM(($G$102:$G$126= $E247) * ($H$102:$H$126) ) * SUM(EF[CH4] * (EF[SATIM Code]= $E247) )</f>
        <v>0</v>
      </c>
      <c r="H247" s="1416">
        <f t="array" ref="H247">SUM(($G$102:$G$126= $E247) * ($H$102:$H$126) ) * SUM(EF[N2O] * (EF[SATIM Code]= $E247) )</f>
        <v>0</v>
      </c>
      <c r="I247" s="1416"/>
      <c r="J247" s="338"/>
      <c r="K247" s="338"/>
      <c r="L247" s="338"/>
      <c r="M247" s="338"/>
      <c r="N247" s="338"/>
      <c r="O247" s="338"/>
      <c r="P247" s="709"/>
    </row>
    <row r="248" spans="2:16" s="48" customFormat="1" ht="15" hidden="1" outlineLevel="1">
      <c r="B248" s="107"/>
      <c r="C248" s="1416"/>
      <c r="D248" s="1416"/>
      <c r="E248" s="1416" t="s">
        <v>890</v>
      </c>
      <c r="F248" s="1416">
        <f t="array" ref="F248">SUM(($G$102:$G$126= $E248) * ($J$102:$J$126) ) * SUM(EF[CO2] * (EF[SATIM Code]= $E248) )</f>
        <v>0</v>
      </c>
      <c r="G248" s="1416">
        <f t="array" ref="G248">SUM(($G$102:$G$126= $E248) * ($H$102:$H$126) ) * SUM(EF[CH4] * (EF[SATIM Code]= $E248) )</f>
        <v>0</v>
      </c>
      <c r="H248" s="1416">
        <f t="array" ref="H248">SUM(($G$102:$G$126= $E248) * ($H$102:$H$126) ) * SUM(EF[N2O] * (EF[SATIM Code]= $E248) )</f>
        <v>0</v>
      </c>
      <c r="I248" s="1416"/>
      <c r="J248" s="338"/>
      <c r="K248" s="338"/>
      <c r="L248" s="338"/>
      <c r="M248" s="338"/>
      <c r="N248" s="338"/>
      <c r="O248" s="338"/>
      <c r="P248" s="709"/>
    </row>
    <row r="249" spans="2:16" s="48" customFormat="1" ht="15" hidden="1" outlineLevel="1">
      <c r="B249" s="107"/>
      <c r="C249" s="1416"/>
      <c r="D249" s="1416"/>
      <c r="E249" s="1416"/>
      <c r="F249" s="1416"/>
      <c r="G249" s="1416"/>
      <c r="H249" s="1416"/>
      <c r="I249" s="1416"/>
      <c r="J249" s="338"/>
      <c r="K249" s="338"/>
      <c r="L249" s="338"/>
      <c r="M249" s="338"/>
      <c r="N249" s="338"/>
      <c r="O249" s="338"/>
      <c r="P249" s="709"/>
    </row>
    <row r="250" spans="2:16" s="48" customFormat="1" ht="15" hidden="1" outlineLevel="1">
      <c r="B250" s="107"/>
      <c r="C250" s="1414" t="str">
        <f>C23</f>
        <v>NF</v>
      </c>
      <c r="D250" s="1414" t="str">
        <f>D23</f>
        <v>Non-Ferrous metals  - 352</v>
      </c>
      <c r="E250" s="1414" t="s">
        <v>756</v>
      </c>
      <c r="F250" s="1414">
        <f>SUM(F251:F258)</f>
        <v>7.7962499999999976E-2</v>
      </c>
      <c r="G250" s="1414">
        <f>SUM(G251:G258)</f>
        <v>1.1847001421849998E-3</v>
      </c>
      <c r="H250" s="1414">
        <f>SUM(H251:H258)</f>
        <v>2.3228818974688991E-2</v>
      </c>
      <c r="I250" s="1414"/>
      <c r="J250" s="338"/>
      <c r="K250" s="338"/>
      <c r="L250" s="338"/>
      <c r="M250" s="338"/>
      <c r="N250" s="338"/>
      <c r="O250" s="338"/>
      <c r="P250" s="709"/>
    </row>
    <row r="251" spans="2:16" s="48" customFormat="1" ht="15" hidden="1" outlineLevel="1">
      <c r="B251" s="107"/>
      <c r="C251" s="1416"/>
      <c r="D251" s="1416"/>
      <c r="E251" s="1416" t="s">
        <v>882</v>
      </c>
      <c r="F251" s="1416">
        <f t="array" ref="F251">SUM(($G$102:$G$126= $E251) * ($K$102:$K$126) ) * SUM(EF[CO2] * (EF[SATIM Code]= $E251) )</f>
        <v>7.7962499999999976E-2</v>
      </c>
      <c r="G251" s="1416">
        <f t="array" ref="G251">SUM(($G$102:$G$126= $E251) * ($H$102:$H$126) ) * SUM(EF[CH4] * (EF[SATIM Code]= $E251) )</f>
        <v>1.1189297069999996E-3</v>
      </c>
      <c r="H251" s="1416">
        <f t="array" ref="H251">SUM(($G$102:$G$126= $E251) * ($H$102:$H$126) ) * SUM(EF[N2O] * (EF[SATIM Code]= $E251) )</f>
        <v>2.3124547277999993E-2</v>
      </c>
      <c r="I251" s="1416"/>
      <c r="J251" s="338"/>
      <c r="K251" s="338"/>
      <c r="L251" s="338"/>
      <c r="M251" s="338"/>
      <c r="N251" s="338"/>
      <c r="O251" s="338"/>
      <c r="P251" s="709"/>
    </row>
    <row r="252" spans="2:16" s="48" customFormat="1" ht="15" hidden="1" outlineLevel="1">
      <c r="B252" s="107"/>
      <c r="C252" s="1416"/>
      <c r="D252" s="1416"/>
      <c r="E252" s="1416" t="s">
        <v>869</v>
      </c>
      <c r="F252" s="1416">
        <f t="array" ref="F252">SUM(($G$102:$G$126= $E252) * ($K$102:$K$126) ) * SUM(EF[CO2] * (EF[SATIM Code]= $E252) )</f>
        <v>0</v>
      </c>
      <c r="G252" s="1416">
        <f t="array" ref="G252">SUM(($G$102:$G$126= $E252) * ($H$102:$H$126) ) * SUM(EF[CH4] * (EF[SATIM Code]= $E252) )</f>
        <v>6.0898739999999996E-5</v>
      </c>
      <c r="H252" s="1416">
        <f t="array" ref="H252">SUM(($G$102:$G$126= $E252) * ($H$102:$H$126) ) * SUM(EF[N2O] * (EF[SATIM Code]= $E252) )</f>
        <v>8.9898140000000009E-5</v>
      </c>
      <c r="I252" s="1416"/>
      <c r="J252" s="338"/>
      <c r="K252" s="338"/>
      <c r="L252" s="338"/>
      <c r="M252" s="338"/>
      <c r="N252" s="338"/>
      <c r="O252" s="338"/>
      <c r="P252" s="709"/>
    </row>
    <row r="253" spans="2:16" s="48" customFormat="1" ht="15" hidden="1" outlineLevel="1">
      <c r="B253" s="107"/>
      <c r="C253" s="1416"/>
      <c r="D253" s="1416"/>
      <c r="E253" s="1416" t="s">
        <v>885</v>
      </c>
      <c r="F253" s="1416">
        <f t="array" ref="F253">SUM(($G$102:$G$126= $E253) * ($K$102:$K$126) ) * SUM(EF[CO2] * (EF[SATIM Code]= $E253) )</f>
        <v>0</v>
      </c>
      <c r="G253" s="1416">
        <f t="array" ref="G253">SUM(($G$102:$G$126= $E253) * ($H$102:$H$126) ) * SUM(EF[CH4] * (EF[SATIM Code]= $E253) )</f>
        <v>4.8678162623999987E-6</v>
      </c>
      <c r="H253" s="1416">
        <f t="array" ref="H253">SUM(($G$102:$G$126= $E253) * ($H$102:$H$126) ) * SUM(EF[N2O] * (EF[SATIM Code]= $E253) )</f>
        <v>1.4371648012799997E-5</v>
      </c>
      <c r="I253" s="1416"/>
      <c r="J253" s="338"/>
      <c r="K253" s="338"/>
      <c r="L253" s="338"/>
      <c r="M253" s="338"/>
      <c r="N253" s="338"/>
      <c r="O253" s="338"/>
      <c r="P253" s="709"/>
    </row>
    <row r="254" spans="2:16" s="48" customFormat="1" ht="15" hidden="1" outlineLevel="1">
      <c r="B254" s="107"/>
      <c r="C254" s="1416"/>
      <c r="D254" s="1416"/>
      <c r="E254" s="1416" t="s">
        <v>887</v>
      </c>
      <c r="F254" s="1416">
        <f t="array" ref="F254">SUM(($G$102:$G$126= $E254) * ($K$102:$K$126) ) * SUM(EF[CO2] * (EF[SATIM Code]= $E254) )</f>
        <v>0</v>
      </c>
      <c r="G254" s="1416">
        <f t="array" ref="G254">SUM(($G$102:$G$126= $E254) * ($H$102:$H$126) ) * SUM(EF[CH4] * (EF[SATIM Code]= $E254) )</f>
        <v>3.8789225999999997E-9</v>
      </c>
      <c r="H254" s="1416">
        <f t="array" ref="H254">SUM(($G$102:$G$126= $E254) * ($H$102:$H$126) ) * SUM(EF[N2O] * (EF[SATIM Code]= $E254) )</f>
        <v>1.9086762000000001E-9</v>
      </c>
      <c r="I254" s="1416"/>
      <c r="J254" s="338"/>
      <c r="K254" s="338"/>
      <c r="L254" s="338"/>
      <c r="M254" s="338"/>
      <c r="N254" s="338"/>
      <c r="O254" s="338"/>
      <c r="P254" s="709"/>
    </row>
    <row r="255" spans="2:16" s="48" customFormat="1" ht="15" hidden="1" outlineLevel="1">
      <c r="B255" s="107"/>
      <c r="C255" s="1416"/>
      <c r="D255" s="1416"/>
      <c r="E255" s="1416" t="s">
        <v>879</v>
      </c>
      <c r="F255" s="1416">
        <f t="array" ref="F255">SUM(($G$102:$G$126= $E255) * ($K$102:$K$126) ) * SUM(EF[CO2] * (EF[SATIM Code]= $E255) )</f>
        <v>0</v>
      </c>
      <c r="G255" s="1416">
        <f t="array" ref="G255">SUM(($G$102:$G$126= $E255) * ($H$102:$H$126) ) * SUM(EF[CH4] * (EF[SATIM Code]= $E255) )</f>
        <v>0</v>
      </c>
      <c r="H255" s="1416">
        <f t="array" ref="H255">SUM(($G$102:$G$126= $E255) * ($H$102:$H$126) ) * SUM(EF[N2O] * (EF[SATIM Code]= $E255) )</f>
        <v>0</v>
      </c>
      <c r="I255" s="1416"/>
      <c r="J255" s="338"/>
      <c r="K255" s="338"/>
      <c r="L255" s="338"/>
      <c r="M255" s="338"/>
      <c r="N255" s="338"/>
      <c r="O255" s="338"/>
      <c r="P255" s="709"/>
    </row>
    <row r="256" spans="2:16" s="48" customFormat="1" ht="15" hidden="1" outlineLevel="1">
      <c r="B256" s="107"/>
      <c r="C256" s="1416"/>
      <c r="D256" s="1416"/>
      <c r="E256" s="1416" t="s">
        <v>888</v>
      </c>
      <c r="F256" s="1416">
        <f t="array" ref="F256">SUM(($G$102:$G$126= $E256) * ($K$102:$K$126) ) * SUM(EF[CO2] * (EF[SATIM Code]= $E256) )</f>
        <v>0</v>
      </c>
      <c r="G256" s="1416">
        <f t="array" ref="G256">SUM(($G$102:$G$126= $E256) * ($H$102:$H$126) ) * SUM(EF[CH4] * (EF[SATIM Code]= $E256) )</f>
        <v>0</v>
      </c>
      <c r="H256" s="1416">
        <f t="array" ref="H256">SUM(($G$102:$G$126= $E256) * ($H$102:$H$126) ) * SUM(EF[N2O] * (EF[SATIM Code]= $E256) )</f>
        <v>0</v>
      </c>
      <c r="I256" s="1416"/>
      <c r="J256" s="338"/>
      <c r="K256" s="338"/>
      <c r="L256" s="338"/>
      <c r="M256" s="338"/>
      <c r="N256" s="338"/>
      <c r="O256" s="338"/>
      <c r="P256" s="709"/>
    </row>
    <row r="257" spans="2:16" s="48" customFormat="1" ht="15" hidden="1" outlineLevel="1">
      <c r="B257" s="107"/>
      <c r="C257" s="1416"/>
      <c r="D257" s="1416"/>
      <c r="E257" s="1416" t="s">
        <v>889</v>
      </c>
      <c r="F257" s="1416">
        <f t="array" ref="F257">SUM(($G$102:$G$126= $E257) * ($K$102:$K$126) ) * SUM(EF[CO2] * (EF[SATIM Code]= $E257) )</f>
        <v>0</v>
      </c>
      <c r="G257" s="1416">
        <f t="array" ref="G257">SUM(($G$102:$G$126= $E257) * ($H$102:$H$126) ) * SUM(EF[CH4] * (EF[SATIM Code]= $E257) )</f>
        <v>0</v>
      </c>
      <c r="H257" s="1416">
        <f t="array" ref="H257">SUM(($G$102:$G$126= $E257) * ($H$102:$H$126) ) * SUM(EF[N2O] * (EF[SATIM Code]= $E257) )</f>
        <v>0</v>
      </c>
      <c r="I257" s="1416"/>
      <c r="J257" s="338"/>
      <c r="K257" s="338"/>
      <c r="L257" s="338"/>
      <c r="M257" s="338"/>
      <c r="N257" s="338"/>
      <c r="O257" s="338"/>
      <c r="P257" s="709"/>
    </row>
    <row r="258" spans="2:16" s="48" customFormat="1" ht="15" hidden="1" outlineLevel="1">
      <c r="B258" s="107"/>
      <c r="C258" s="1416"/>
      <c r="D258" s="1416"/>
      <c r="E258" s="1416" t="s">
        <v>890</v>
      </c>
      <c r="F258" s="1416">
        <f t="array" ref="F258">SUM(($G$102:$G$126= $E258) * ($K$102:$K$126) ) * SUM(EF[CO2] * (EF[SATIM Code]= $E258) )</f>
        <v>0</v>
      </c>
      <c r="G258" s="1416">
        <f t="array" ref="G258">SUM(($G$102:$G$126= $E258) * ($H$102:$H$126) ) * SUM(EF[CH4] * (EF[SATIM Code]= $E258) )</f>
        <v>0</v>
      </c>
      <c r="H258" s="1416">
        <f t="array" ref="H258">SUM(($G$102:$G$126= $E258) * ($H$102:$H$126) ) * SUM(EF[N2O] * (EF[SATIM Code]= $E258) )</f>
        <v>0</v>
      </c>
      <c r="I258" s="1416"/>
      <c r="J258" s="338"/>
      <c r="K258" s="338"/>
      <c r="L258" s="338"/>
      <c r="M258" s="338"/>
      <c r="N258" s="338"/>
      <c r="O258" s="338"/>
      <c r="P258" s="709"/>
    </row>
    <row r="259" spans="2:16" s="48" customFormat="1" ht="15" hidden="1" outlineLevel="1">
      <c r="B259" s="107"/>
      <c r="C259" s="1416"/>
      <c r="D259" s="1416"/>
      <c r="E259" s="1416"/>
      <c r="F259" s="1416"/>
      <c r="G259" s="1416"/>
      <c r="H259" s="1416"/>
      <c r="I259" s="1416"/>
      <c r="J259" s="338"/>
      <c r="K259" s="338"/>
      <c r="L259" s="338"/>
      <c r="M259" s="338"/>
      <c r="N259" s="338"/>
      <c r="O259" s="338"/>
      <c r="P259" s="709"/>
    </row>
    <row r="260" spans="2:16" s="48" customFormat="1" ht="15" hidden="1" outlineLevel="1">
      <c r="B260" s="107"/>
      <c r="C260" s="1414" t="str">
        <f>C24</f>
        <v>NM</v>
      </c>
      <c r="D260" s="1414" t="str">
        <f>D24</f>
        <v>N.M.M Products  -34</v>
      </c>
      <c r="E260" s="1414" t="s">
        <v>756</v>
      </c>
      <c r="F260" s="1414">
        <f>SUM(F261:F268)</f>
        <v>5.6389228499999993</v>
      </c>
      <c r="G260" s="1414">
        <f>SUM(G261:G268)</f>
        <v>1.1847001421849998E-3</v>
      </c>
      <c r="H260" s="1414">
        <f>SUM(H261:H268)</f>
        <v>2.3228818974688991E-2</v>
      </c>
      <c r="I260" s="1414"/>
      <c r="J260" s="338"/>
      <c r="K260" s="338"/>
      <c r="L260" s="338"/>
      <c r="M260" s="338"/>
      <c r="N260" s="338"/>
      <c r="O260" s="338"/>
      <c r="P260" s="709"/>
    </row>
    <row r="261" spans="2:16" s="48" customFormat="1" ht="15" hidden="1" outlineLevel="1">
      <c r="B261" s="107"/>
      <c r="C261" s="1416"/>
      <c r="D261" s="1416"/>
      <c r="E261" s="1416" t="s">
        <v>882</v>
      </c>
      <c r="F261" s="1416">
        <f t="array" ref="F261">SUM(($G$102:$G$126= $E261) * ($L$102:$L$126) ) * SUM(EF[CO2] * (EF[SATIM Code]= $E261) )</f>
        <v>5.1974999999999989</v>
      </c>
      <c r="G261" s="1416">
        <f t="array" ref="G261">SUM(($G$102:$G$126= $E261) * ($H$102:$H$126) ) * SUM(EF[CH4] * (EF[SATIM Code]= $E261) )</f>
        <v>1.1189297069999996E-3</v>
      </c>
      <c r="H261" s="1416">
        <f t="array" ref="H261">SUM(($G$102:$G$126= $E261) * ($H$102:$H$126) ) * SUM(EF[N2O] * (EF[SATIM Code]= $E261) )</f>
        <v>2.3124547277999993E-2</v>
      </c>
      <c r="I261" s="1416"/>
      <c r="J261" s="338"/>
      <c r="K261" s="338"/>
      <c r="L261" s="338"/>
      <c r="M261" s="338"/>
      <c r="N261" s="338"/>
      <c r="O261" s="338"/>
      <c r="P261" s="709"/>
    </row>
    <row r="262" spans="2:16" s="48" customFormat="1" ht="15" hidden="1" outlineLevel="1">
      <c r="B262" s="107"/>
      <c r="C262" s="1416"/>
      <c r="D262" s="1416"/>
      <c r="E262" s="1416" t="s">
        <v>869</v>
      </c>
      <c r="F262" s="1416">
        <f t="array" ref="F262">SUM(($G$102:$G$126= $E262) * ($L$102:$L$126) ) * SUM(EF[CO2] * (EF[SATIM Code]= $E262) )</f>
        <v>0.44142284999999998</v>
      </c>
      <c r="G262" s="1416">
        <f t="array" ref="G262">SUM(($G$102:$G$126= $E262) * ($H$102:$H$126) ) * SUM(EF[CH4] * (EF[SATIM Code]= $E262) )</f>
        <v>6.0898739999999996E-5</v>
      </c>
      <c r="H262" s="1416">
        <f t="array" ref="H262">SUM(($G$102:$G$126= $E262) * ($H$102:$H$126) ) * SUM(EF[N2O] * (EF[SATIM Code]= $E262) )</f>
        <v>8.9898140000000009E-5</v>
      </c>
      <c r="I262" s="1416"/>
      <c r="J262" s="338"/>
      <c r="K262" s="338"/>
      <c r="L262" s="338"/>
      <c r="M262" s="338"/>
      <c r="N262" s="338"/>
      <c r="O262" s="338"/>
      <c r="P262" s="709"/>
    </row>
    <row r="263" spans="2:16" s="48" customFormat="1" ht="15" hidden="1" outlineLevel="1">
      <c r="B263" s="107"/>
      <c r="C263" s="1416"/>
      <c r="D263" s="1416"/>
      <c r="E263" s="1416" t="s">
        <v>885</v>
      </c>
      <c r="F263" s="1416">
        <f t="array" ref="F263">SUM(($G$102:$G$126= $E263) * ($L$102:$L$126) ) * SUM(EF[CO2] * (EF[SATIM Code]= $E263) )</f>
        <v>0</v>
      </c>
      <c r="G263" s="1416">
        <f t="array" ref="G263">SUM(($G$102:$G$126= $E263) * ($H$102:$H$126) ) * SUM(EF[CH4] * (EF[SATIM Code]= $E263) )</f>
        <v>4.8678162623999987E-6</v>
      </c>
      <c r="H263" s="1416">
        <f t="array" ref="H263">SUM(($G$102:$G$126= $E263) * ($H$102:$H$126) ) * SUM(EF[N2O] * (EF[SATIM Code]= $E263) )</f>
        <v>1.4371648012799997E-5</v>
      </c>
      <c r="I263" s="1416"/>
      <c r="J263" s="338"/>
      <c r="K263" s="338"/>
      <c r="L263" s="338"/>
      <c r="M263" s="338"/>
      <c r="N263" s="338"/>
      <c r="O263" s="338"/>
      <c r="P263" s="709"/>
    </row>
    <row r="264" spans="2:16" s="48" customFormat="1" ht="15" hidden="1" outlineLevel="1">
      <c r="B264" s="107"/>
      <c r="C264" s="1416"/>
      <c r="D264" s="1416"/>
      <c r="E264" s="1416" t="s">
        <v>887</v>
      </c>
      <c r="F264" s="1416">
        <f t="array" ref="F264">SUM(($G$102:$G$126= $E264) * ($L$102:$L$126) ) * SUM(EF[CO2] * (EF[SATIM Code]= $E264) )</f>
        <v>0</v>
      </c>
      <c r="G264" s="1416">
        <f t="array" ref="G264">SUM(($G$102:$G$126= $E264) * ($H$102:$H$126) ) * SUM(EF[CH4] * (EF[SATIM Code]= $E264) )</f>
        <v>3.8789225999999997E-9</v>
      </c>
      <c r="H264" s="1416">
        <f t="array" ref="H264">SUM(($G$102:$G$126= $E264) * ($H$102:$H$126) ) * SUM(EF[N2O] * (EF[SATIM Code]= $E264) )</f>
        <v>1.9086762000000001E-9</v>
      </c>
      <c r="I264" s="1416"/>
      <c r="J264" s="338"/>
      <c r="K264" s="338"/>
      <c r="L264" s="338"/>
      <c r="M264" s="338"/>
      <c r="N264" s="338"/>
      <c r="O264" s="338"/>
      <c r="P264" s="709"/>
    </row>
    <row r="265" spans="2:16" s="48" customFormat="1" ht="15" hidden="1" outlineLevel="1">
      <c r="B265" s="107"/>
      <c r="C265" s="1416"/>
      <c r="D265" s="1416"/>
      <c r="E265" s="1416" t="s">
        <v>879</v>
      </c>
      <c r="F265" s="1416">
        <f t="array" ref="F265">SUM(($G$102:$G$126= $E265) * ($L$102:$L$126) ) * SUM(EF[CO2] * (EF[SATIM Code]= $E265) )</f>
        <v>0</v>
      </c>
      <c r="G265" s="1416">
        <f t="array" ref="G265">SUM(($G$102:$G$126= $E265) * ($H$102:$H$126) ) * SUM(EF[CH4] * (EF[SATIM Code]= $E265) )</f>
        <v>0</v>
      </c>
      <c r="H265" s="1416">
        <f t="array" ref="H265">SUM(($G$102:$G$126= $E265) * ($H$102:$H$126) ) * SUM(EF[N2O] * (EF[SATIM Code]= $E265) )</f>
        <v>0</v>
      </c>
      <c r="I265" s="1416"/>
      <c r="J265" s="338"/>
      <c r="K265" s="338"/>
      <c r="L265" s="338"/>
      <c r="M265" s="338"/>
      <c r="N265" s="338"/>
      <c r="O265" s="338"/>
      <c r="P265" s="709"/>
    </row>
    <row r="266" spans="2:16" s="48" customFormat="1" ht="15" hidden="1" outlineLevel="1">
      <c r="B266" s="107"/>
      <c r="C266" s="1416"/>
      <c r="D266" s="1416"/>
      <c r="E266" s="1416" t="s">
        <v>888</v>
      </c>
      <c r="F266" s="1416">
        <f t="array" ref="F266">SUM(($G$102:$G$126= $E266) * ($L$102:$L$126) ) * SUM(EF[CO2] * (EF[SATIM Code]= $E266) )</f>
        <v>0</v>
      </c>
      <c r="G266" s="1416">
        <f t="array" ref="G266">SUM(($G$102:$G$126= $E266) * ($H$102:$H$126) ) * SUM(EF[CH4] * (EF[SATIM Code]= $E266) )</f>
        <v>0</v>
      </c>
      <c r="H266" s="1416">
        <f t="array" ref="H266">SUM(($G$102:$G$126= $E266) * ($H$102:$H$126) ) * SUM(EF[N2O] * (EF[SATIM Code]= $E266) )</f>
        <v>0</v>
      </c>
      <c r="I266" s="1416"/>
      <c r="J266" s="338"/>
      <c r="K266" s="338"/>
      <c r="L266" s="338"/>
      <c r="M266" s="338"/>
      <c r="N266" s="338"/>
      <c r="O266" s="338"/>
      <c r="P266" s="709"/>
    </row>
    <row r="267" spans="2:16" s="48" customFormat="1" ht="15" hidden="1" outlineLevel="1">
      <c r="B267" s="107"/>
      <c r="C267" s="1416"/>
      <c r="D267" s="1416"/>
      <c r="E267" s="1416" t="s">
        <v>889</v>
      </c>
      <c r="F267" s="1416">
        <f t="array" ref="F267">SUM(($G$102:$G$126= $E267) * ($L$102:$L$126) ) * SUM(EF[CO2] * (EF[SATIM Code]= $E267) )</f>
        <v>0</v>
      </c>
      <c r="G267" s="1416">
        <f t="array" ref="G267">SUM(($G$102:$G$126= $E267) * ($H$102:$H$126) ) * SUM(EF[CH4] * (EF[SATIM Code]= $E267) )</f>
        <v>0</v>
      </c>
      <c r="H267" s="1416">
        <f t="array" ref="H267">SUM(($G$102:$G$126= $E267) * ($H$102:$H$126) ) * SUM(EF[N2O] * (EF[SATIM Code]= $E267) )</f>
        <v>0</v>
      </c>
      <c r="I267" s="1416"/>
      <c r="J267" s="338"/>
      <c r="K267" s="338"/>
      <c r="L267" s="338"/>
      <c r="M267" s="338"/>
      <c r="N267" s="338"/>
      <c r="O267" s="338"/>
      <c r="P267" s="709"/>
    </row>
    <row r="268" spans="2:16" s="48" customFormat="1" ht="15" hidden="1" outlineLevel="1">
      <c r="B268" s="107"/>
      <c r="C268" s="1416"/>
      <c r="D268" s="1416"/>
      <c r="E268" s="1416" t="s">
        <v>890</v>
      </c>
      <c r="F268" s="1416">
        <f t="array" ref="F268">SUM(($G$102:$G$126= $E268) * ($L$102:$L$126) ) * SUM(EF[CO2] * (EF[SATIM Code]= $E268) )</f>
        <v>0</v>
      </c>
      <c r="G268" s="1416">
        <f t="array" ref="G268">SUM(($G$102:$G$126= $E268) * ($H$102:$H$126) ) * SUM(EF[CH4] * (EF[SATIM Code]= $E268) )</f>
        <v>0</v>
      </c>
      <c r="H268" s="1416">
        <f t="array" ref="H268">SUM(($G$102:$G$126= $E268) * ($H$102:$H$126) ) * SUM(EF[N2O] * (EF[SATIM Code]= $E268) )</f>
        <v>0</v>
      </c>
      <c r="I268" s="1416"/>
      <c r="J268" s="338"/>
      <c r="K268" s="338"/>
      <c r="L268" s="338"/>
      <c r="M268" s="338"/>
      <c r="N268" s="338"/>
      <c r="O268" s="338"/>
      <c r="P268" s="709"/>
    </row>
    <row r="269" spans="2:16" s="48" customFormat="1" ht="15" hidden="1" outlineLevel="1">
      <c r="B269" s="107"/>
      <c r="C269" s="1416"/>
      <c r="D269" s="1416"/>
      <c r="E269" s="1416"/>
      <c r="F269" s="1416"/>
      <c r="G269" s="1416"/>
      <c r="H269" s="1416"/>
      <c r="I269" s="1416"/>
      <c r="J269" s="338"/>
      <c r="K269" s="338"/>
      <c r="L269" s="338"/>
      <c r="M269" s="338"/>
      <c r="N269" s="338"/>
      <c r="O269" s="338"/>
      <c r="P269" s="709"/>
    </row>
    <row r="270" spans="2:16" s="48" customFormat="1" ht="15" hidden="1" outlineLevel="1">
      <c r="B270" s="107"/>
      <c r="C270" s="1414" t="str">
        <f>C25</f>
        <v>FB</v>
      </c>
      <c r="D270" s="1414" t="str">
        <f>D25</f>
        <v>Food, Beverage &amp; Tabacco  - 30</v>
      </c>
      <c r="E270" s="1414" t="s">
        <v>756</v>
      </c>
      <c r="F270" s="1414">
        <f>SUM(F271:F278)</f>
        <v>3.1968548699999992</v>
      </c>
      <c r="G270" s="1414">
        <f>SUM(G271:G278)</f>
        <v>1.1847001421849998E-3</v>
      </c>
      <c r="H270" s="1414">
        <f>SUM(H271:H278)</f>
        <v>2.3228818974688991E-2</v>
      </c>
      <c r="I270" s="1414"/>
      <c r="J270" s="338"/>
      <c r="K270" s="338"/>
      <c r="L270" s="338"/>
      <c r="M270" s="338"/>
      <c r="N270" s="338"/>
      <c r="O270" s="338"/>
      <c r="P270" s="709"/>
    </row>
    <row r="271" spans="2:16" s="48" customFormat="1" ht="15" hidden="1" outlineLevel="1">
      <c r="B271" s="107"/>
      <c r="C271" s="1416"/>
      <c r="D271" s="1416"/>
      <c r="E271" s="1416" t="s">
        <v>882</v>
      </c>
      <c r="F271" s="1416">
        <f t="array" ref="F271">SUM(($G$102:$G$126= $E271) * ($M$102:$M$126) ) * SUM(EF[CO2] * (EF[SATIM Code]= $E271) )</f>
        <v>3.1184999999999992</v>
      </c>
      <c r="G271" s="1416">
        <f t="array" ref="G271">SUM(($G$102:$G$126= $E271) * ($H$102:$H$126) ) * SUM(EF[CH4] * (EF[SATIM Code]= $E271) )</f>
        <v>1.1189297069999996E-3</v>
      </c>
      <c r="H271" s="1416">
        <f t="array" ref="H271">SUM(($G$102:$G$126= $E271) * ($H$102:$H$126) ) * SUM(EF[N2O] * (EF[SATIM Code]= $E271) )</f>
        <v>2.3124547277999993E-2</v>
      </c>
      <c r="I271" s="1416"/>
      <c r="J271" s="338"/>
      <c r="K271" s="338"/>
      <c r="L271" s="338"/>
      <c r="M271" s="338"/>
      <c r="N271" s="338"/>
      <c r="O271" s="338"/>
      <c r="P271" s="709"/>
    </row>
    <row r="272" spans="2:16" s="48" customFormat="1" ht="15" hidden="1" outlineLevel="1">
      <c r="B272" s="107"/>
      <c r="C272" s="1416"/>
      <c r="D272" s="1416"/>
      <c r="E272" s="1416" t="s">
        <v>869</v>
      </c>
      <c r="F272" s="1416">
        <f t="array" ref="F272">SUM(($G$102:$G$126= $E272) * ($M$102:$M$126) ) * SUM(EF[CO2] * (EF[SATIM Code]= $E272) )</f>
        <v>7.8354869999999993E-2</v>
      </c>
      <c r="G272" s="1416">
        <f t="array" ref="G272">SUM(($G$102:$G$126= $E272) * ($H$102:$H$126) ) * SUM(EF[CH4] * (EF[SATIM Code]= $E272) )</f>
        <v>6.0898739999999996E-5</v>
      </c>
      <c r="H272" s="1416">
        <f t="array" ref="H272">SUM(($G$102:$G$126= $E272) * ($H$102:$H$126) ) * SUM(EF[N2O] * (EF[SATIM Code]= $E272) )</f>
        <v>8.9898140000000009E-5</v>
      </c>
      <c r="I272" s="1416"/>
      <c r="J272" s="338"/>
      <c r="K272" s="338"/>
      <c r="L272" s="338"/>
      <c r="M272" s="338"/>
      <c r="N272" s="338"/>
      <c r="O272" s="338"/>
      <c r="P272" s="709"/>
    </row>
    <row r="273" spans="2:16" s="48" customFormat="1" ht="15" hidden="1" outlineLevel="1">
      <c r="B273" s="107"/>
      <c r="C273" s="1416"/>
      <c r="D273" s="1416"/>
      <c r="E273" s="1416" t="s">
        <v>885</v>
      </c>
      <c r="F273" s="1416">
        <f t="array" ref="F273">SUM(($G$102:$G$126= $E273) * ($M$102:$M$126) ) * SUM(EF[CO2] * (EF[SATIM Code]= $E273) )</f>
        <v>0</v>
      </c>
      <c r="G273" s="1416">
        <f t="array" ref="G273">SUM(($G$102:$G$126= $E273) * ($H$102:$H$126) ) * SUM(EF[CH4] * (EF[SATIM Code]= $E273) )</f>
        <v>4.8678162623999987E-6</v>
      </c>
      <c r="H273" s="1416">
        <f t="array" ref="H273">SUM(($G$102:$G$126= $E273) * ($H$102:$H$126) ) * SUM(EF[N2O] * (EF[SATIM Code]= $E273) )</f>
        <v>1.4371648012799997E-5</v>
      </c>
      <c r="I273" s="1416"/>
      <c r="J273" s="338"/>
      <c r="K273" s="338"/>
      <c r="L273" s="338"/>
      <c r="M273" s="338"/>
      <c r="N273" s="338"/>
      <c r="O273" s="338"/>
      <c r="P273" s="709"/>
    </row>
    <row r="274" spans="2:16" s="48" customFormat="1" ht="15" hidden="1" outlineLevel="1">
      <c r="B274" s="107"/>
      <c r="C274" s="1416"/>
      <c r="D274" s="1416"/>
      <c r="E274" s="1416" t="s">
        <v>887</v>
      </c>
      <c r="F274" s="1416">
        <f t="array" ref="F274">SUM(($G$102:$G$126= $E274) * ($M$102:$M$126) ) * SUM(EF[CO2] * (EF[SATIM Code]= $E274) )</f>
        <v>0</v>
      </c>
      <c r="G274" s="1416">
        <f t="array" ref="G274">SUM(($G$102:$G$126= $E274) * ($H$102:$H$126) ) * SUM(EF[CH4] * (EF[SATIM Code]= $E274) )</f>
        <v>3.8789225999999997E-9</v>
      </c>
      <c r="H274" s="1416">
        <f t="array" ref="H274">SUM(($G$102:$G$126= $E274) * ($H$102:$H$126) ) * SUM(EF[N2O] * (EF[SATIM Code]= $E274) )</f>
        <v>1.9086762000000001E-9</v>
      </c>
      <c r="I274" s="1416"/>
      <c r="J274" s="338"/>
      <c r="K274" s="338"/>
      <c r="L274" s="338"/>
      <c r="M274" s="338"/>
      <c r="N274" s="338"/>
      <c r="O274" s="338"/>
      <c r="P274" s="709"/>
    </row>
    <row r="275" spans="2:16" s="48" customFormat="1" ht="15" hidden="1" outlineLevel="1">
      <c r="B275" s="107"/>
      <c r="C275" s="1416"/>
      <c r="D275" s="1416"/>
      <c r="E275" s="1416" t="s">
        <v>879</v>
      </c>
      <c r="F275" s="1416">
        <f t="array" ref="F275">SUM(($G$102:$G$126= $E275) * ($M$102:$M$126) ) * SUM(EF[CO2] * (EF[SATIM Code]= $E275) )</f>
        <v>0</v>
      </c>
      <c r="G275" s="1416">
        <f t="array" ref="G275">SUM(($G$102:$G$126= $E275) * ($H$102:$H$126) ) * SUM(EF[CH4] * (EF[SATIM Code]= $E275) )</f>
        <v>0</v>
      </c>
      <c r="H275" s="1416">
        <f t="array" ref="H275">SUM(($G$102:$G$126= $E275) * ($H$102:$H$126) ) * SUM(EF[N2O] * (EF[SATIM Code]= $E275) )</f>
        <v>0</v>
      </c>
      <c r="I275" s="1416"/>
      <c r="J275" s="338"/>
      <c r="K275" s="338"/>
      <c r="L275" s="338"/>
      <c r="M275" s="338"/>
      <c r="N275" s="338"/>
      <c r="O275" s="338"/>
      <c r="P275" s="709"/>
    </row>
    <row r="276" spans="2:16" s="48" customFormat="1" ht="15" hidden="1" outlineLevel="1">
      <c r="B276" s="107"/>
      <c r="C276" s="1416"/>
      <c r="D276" s="1416"/>
      <c r="E276" s="1416" t="s">
        <v>888</v>
      </c>
      <c r="F276" s="1416">
        <f t="array" ref="F276">SUM(($G$102:$G$126= $E276) * ($M$102:$M$126) ) * SUM(EF[CO2] * (EF[SATIM Code]= $E276) )</f>
        <v>0</v>
      </c>
      <c r="G276" s="1416">
        <f t="array" ref="G276">SUM(($G$102:$G$126= $E276) * ($H$102:$H$126) ) * SUM(EF[CH4] * (EF[SATIM Code]= $E276) )</f>
        <v>0</v>
      </c>
      <c r="H276" s="1416">
        <f t="array" ref="H276">SUM(($G$102:$G$126= $E276) * ($H$102:$H$126) ) * SUM(EF[N2O] * (EF[SATIM Code]= $E276) )</f>
        <v>0</v>
      </c>
      <c r="I276" s="1416"/>
      <c r="J276" s="338"/>
      <c r="K276" s="338"/>
      <c r="L276" s="338"/>
      <c r="M276" s="338"/>
      <c r="N276" s="338"/>
      <c r="O276" s="338"/>
      <c r="P276" s="709"/>
    </row>
    <row r="277" spans="2:16" s="48" customFormat="1" ht="15" hidden="1" outlineLevel="1">
      <c r="B277" s="107"/>
      <c r="C277" s="1416"/>
      <c r="D277" s="1416"/>
      <c r="E277" s="1416" t="s">
        <v>889</v>
      </c>
      <c r="F277" s="1416">
        <f t="array" ref="F277">SUM(($G$102:$G$126= $E277) * ($M$102:$M$126) ) * SUM(EF[CO2] * (EF[SATIM Code]= $E277) )</f>
        <v>0</v>
      </c>
      <c r="G277" s="1416">
        <f t="array" ref="G277">SUM(($G$102:$G$126= $E277) * ($H$102:$H$126) ) * SUM(EF[CH4] * (EF[SATIM Code]= $E277) )</f>
        <v>0</v>
      </c>
      <c r="H277" s="1416">
        <f t="array" ref="H277">SUM(($G$102:$G$126= $E277) * ($H$102:$H$126) ) * SUM(EF[N2O] * (EF[SATIM Code]= $E277) )</f>
        <v>0</v>
      </c>
      <c r="I277" s="1416"/>
      <c r="J277" s="338"/>
      <c r="K277" s="338"/>
      <c r="L277" s="338"/>
      <c r="M277" s="338"/>
      <c r="N277" s="338"/>
      <c r="O277" s="338"/>
      <c r="P277" s="709"/>
    </row>
    <row r="278" spans="2:16" s="48" customFormat="1" ht="15" hidden="1" outlineLevel="1">
      <c r="B278" s="107"/>
      <c r="C278" s="1416"/>
      <c r="D278" s="1416"/>
      <c r="E278" s="1416" t="s">
        <v>890</v>
      </c>
      <c r="F278" s="1416">
        <f t="array" ref="F278">SUM(($G$102:$G$126= $E278) * ($M$102:$M$126) ) * SUM(EF[CO2] * (EF[SATIM Code]= $E278) )</f>
        <v>0</v>
      </c>
      <c r="G278" s="1416">
        <f t="array" ref="G278">SUM(($G$102:$G$126= $E278) * ($H$102:$H$126) ) * SUM(EF[CH4] * (EF[SATIM Code]= $E278) )</f>
        <v>0</v>
      </c>
      <c r="H278" s="1416">
        <f t="array" ref="H278">SUM(($G$102:$G$126= $E278) * ($H$102:$H$126) ) * SUM(EF[N2O] * (EF[SATIM Code]= $E278) )</f>
        <v>0</v>
      </c>
      <c r="I278" s="1416"/>
      <c r="J278" s="338"/>
      <c r="K278" s="338"/>
      <c r="L278" s="338"/>
      <c r="M278" s="338"/>
      <c r="N278" s="338"/>
      <c r="O278" s="338"/>
      <c r="P278" s="709"/>
    </row>
    <row r="279" spans="2:16" s="48" customFormat="1" ht="15" hidden="1" outlineLevel="1">
      <c r="B279" s="107"/>
      <c r="C279" s="1416"/>
      <c r="D279" s="1416"/>
      <c r="E279" s="1416"/>
      <c r="F279" s="1416"/>
      <c r="G279" s="1416"/>
      <c r="H279" s="1416"/>
      <c r="I279" s="1416"/>
      <c r="J279" s="338"/>
      <c r="K279" s="338"/>
      <c r="L279" s="338"/>
      <c r="M279" s="338"/>
      <c r="N279" s="338"/>
      <c r="O279" s="338"/>
      <c r="P279" s="709"/>
    </row>
    <row r="280" spans="2:16" s="48" customFormat="1" ht="15" hidden="1" outlineLevel="1">
      <c r="B280" s="107"/>
      <c r="C280" s="1414" t="str">
        <f>C26</f>
        <v>PP</v>
      </c>
      <c r="D280" s="1414" t="str">
        <f>D26</f>
        <v>Pulp &amp; Paper Products  -323</v>
      </c>
      <c r="E280" s="1414" t="s">
        <v>756</v>
      </c>
      <c r="F280" s="1414">
        <f>SUM(F281:F288)</f>
        <v>6.4120712699999984</v>
      </c>
      <c r="G280" s="1414">
        <f>SUM(G281:G288)</f>
        <v>1.1847001421849998E-3</v>
      </c>
      <c r="H280" s="1414">
        <f>SUM(H281:H288)</f>
        <v>2.3228818974688991E-2</v>
      </c>
      <c r="I280" s="1414"/>
      <c r="J280" s="338"/>
      <c r="K280" s="338"/>
      <c r="L280" s="338"/>
      <c r="M280" s="338"/>
      <c r="N280" s="338"/>
      <c r="O280" s="338"/>
      <c r="P280" s="709"/>
    </row>
    <row r="281" spans="2:16" s="48" customFormat="1" ht="15" hidden="1" outlineLevel="1">
      <c r="B281" s="107"/>
      <c r="C281" s="1416"/>
      <c r="D281" s="1416"/>
      <c r="E281" s="1416" t="s">
        <v>882</v>
      </c>
      <c r="F281" s="1416">
        <f t="array" ref="F281">SUM(($G$102:$G$126= $E281) * ($N$102:$N$126) ) * SUM(EF[CO2] * (EF[SATIM Code]= $E281) )</f>
        <v>6.2369999999999983</v>
      </c>
      <c r="G281" s="1416">
        <f t="array" ref="G281">SUM(($G$102:$G$126= $E281) * ($H$102:$H$126) ) * SUM(EF[CH4] * (EF[SATIM Code]= $E281) )</f>
        <v>1.1189297069999996E-3</v>
      </c>
      <c r="H281" s="1416">
        <f t="array" ref="H281">SUM(($G$102:$G$126= $E281) * ($H$102:$H$126) ) * SUM(EF[N2O] * (EF[SATIM Code]= $E281) )</f>
        <v>2.3124547277999993E-2</v>
      </c>
      <c r="I281" s="1416"/>
      <c r="J281" s="338"/>
      <c r="K281" s="338"/>
      <c r="L281" s="338"/>
      <c r="M281" s="338"/>
      <c r="N281" s="338"/>
      <c r="O281" s="338"/>
      <c r="P281" s="709"/>
    </row>
    <row r="282" spans="2:16" s="48" customFormat="1" ht="15" hidden="1" outlineLevel="1">
      <c r="B282" s="107"/>
      <c r="C282" s="1416"/>
      <c r="D282" s="1416"/>
      <c r="E282" s="1416" t="s">
        <v>869</v>
      </c>
      <c r="F282" s="1416">
        <f t="array" ref="F282">SUM(($G$102:$G$126= $E282) * ($N$102:$N$126) ) * SUM(EF[CO2] * (EF[SATIM Code]= $E282) )</f>
        <v>0.17507126999999997</v>
      </c>
      <c r="G282" s="1416">
        <f t="array" ref="G282">SUM(($G$102:$G$126= $E282) * ($H$102:$H$126) ) * SUM(EF[CH4] * (EF[SATIM Code]= $E282) )</f>
        <v>6.0898739999999996E-5</v>
      </c>
      <c r="H282" s="1416">
        <f t="array" ref="H282">SUM(($G$102:$G$126= $E282) * ($H$102:$H$126) ) * SUM(EF[N2O] * (EF[SATIM Code]= $E282) )</f>
        <v>8.9898140000000009E-5</v>
      </c>
      <c r="I282" s="1416"/>
      <c r="J282" s="338"/>
      <c r="K282" s="338"/>
      <c r="L282" s="338"/>
      <c r="M282" s="338"/>
      <c r="N282" s="338"/>
      <c r="O282" s="338"/>
      <c r="P282" s="709"/>
    </row>
    <row r="283" spans="2:16" s="48" customFormat="1" ht="15" hidden="1" outlineLevel="1">
      <c r="B283" s="107"/>
      <c r="C283" s="1416"/>
      <c r="D283" s="1416"/>
      <c r="E283" s="1416" t="s">
        <v>885</v>
      </c>
      <c r="F283" s="1416">
        <f t="array" ref="F283">SUM(($G$102:$G$126= $E283) * ($N$102:$N$126) ) * SUM(EF[CO2] * (EF[SATIM Code]= $E283) )</f>
        <v>0</v>
      </c>
      <c r="G283" s="1416">
        <f t="array" ref="G283">SUM(($G$102:$G$126= $E283) * ($H$102:$H$126) ) * SUM(EF[CH4] * (EF[SATIM Code]= $E283) )</f>
        <v>4.8678162623999987E-6</v>
      </c>
      <c r="H283" s="1416">
        <f t="array" ref="H283">SUM(($G$102:$G$126= $E283) * ($H$102:$H$126) ) * SUM(EF[N2O] * (EF[SATIM Code]= $E283) )</f>
        <v>1.4371648012799997E-5</v>
      </c>
      <c r="I283" s="1416"/>
      <c r="J283" s="338"/>
      <c r="K283" s="338"/>
      <c r="L283" s="338"/>
      <c r="M283" s="338"/>
      <c r="N283" s="338"/>
      <c r="O283" s="338"/>
      <c r="P283" s="709"/>
    </row>
    <row r="284" spans="2:16" s="48" customFormat="1" ht="15" hidden="1" outlineLevel="1">
      <c r="B284" s="107"/>
      <c r="C284" s="1416"/>
      <c r="D284" s="1416"/>
      <c r="E284" s="1416" t="s">
        <v>887</v>
      </c>
      <c r="F284" s="1416">
        <f t="array" ref="F284">SUM(($G$102:$G$126= $E284) * ($N$102:$N$126) ) * SUM(EF[CO2] * (EF[SATIM Code]= $E284) )</f>
        <v>0</v>
      </c>
      <c r="G284" s="1416">
        <f t="array" ref="G284">SUM(($G$102:$G$126= $E284) * ($H$102:$H$126) ) * SUM(EF[CH4] * (EF[SATIM Code]= $E284) )</f>
        <v>3.8789225999999997E-9</v>
      </c>
      <c r="H284" s="1416">
        <f t="array" ref="H284">SUM(($G$102:$G$126= $E284) * ($H$102:$H$126) ) * SUM(EF[N2O] * (EF[SATIM Code]= $E284) )</f>
        <v>1.9086762000000001E-9</v>
      </c>
      <c r="I284" s="1416"/>
      <c r="J284" s="338"/>
      <c r="K284" s="338"/>
      <c r="L284" s="338"/>
      <c r="M284" s="338"/>
      <c r="N284" s="338"/>
      <c r="O284" s="338"/>
      <c r="P284" s="709"/>
    </row>
    <row r="285" spans="2:16" s="48" customFormat="1" ht="15" hidden="1" outlineLevel="1">
      <c r="B285" s="107"/>
      <c r="C285" s="1416"/>
      <c r="D285" s="1416"/>
      <c r="E285" s="1416" t="s">
        <v>879</v>
      </c>
      <c r="F285" s="1416">
        <f t="array" ref="F285">SUM(($G$102:$G$126= $E285) * ($N$102:$N$126) ) * SUM(EF[CO2] * (EF[SATIM Code]= $E285) )</f>
        <v>0</v>
      </c>
      <c r="G285" s="1416">
        <f t="array" ref="G285">SUM(($G$102:$G$126= $E285) * ($H$102:$H$126) ) * SUM(EF[CH4] * (EF[SATIM Code]= $E285) )</f>
        <v>0</v>
      </c>
      <c r="H285" s="1416">
        <f t="array" ref="H285">SUM(($G$102:$G$126= $E285) * ($H$102:$H$126) ) * SUM(EF[N2O] * (EF[SATIM Code]= $E285) )</f>
        <v>0</v>
      </c>
      <c r="I285" s="1416"/>
      <c r="J285" s="338"/>
      <c r="K285" s="338"/>
      <c r="L285" s="338"/>
      <c r="M285" s="338"/>
      <c r="N285" s="338"/>
      <c r="O285" s="338"/>
      <c r="P285" s="709"/>
    </row>
    <row r="286" spans="2:16" s="48" customFormat="1" ht="15" hidden="1" outlineLevel="1">
      <c r="B286" s="107"/>
      <c r="C286" s="1416"/>
      <c r="D286" s="1416"/>
      <c r="E286" s="1416" t="s">
        <v>888</v>
      </c>
      <c r="F286" s="1416">
        <f t="array" ref="F286">SUM(($G$102:$G$126= $E286) * ($N$102:$N$126) ) * SUM(EF[CO2] * (EF[SATIM Code]= $E286) )</f>
        <v>0</v>
      </c>
      <c r="G286" s="1416">
        <f t="array" ref="G286">SUM(($G$102:$G$126= $E286) * ($H$102:$H$126) ) * SUM(EF[CH4] * (EF[SATIM Code]= $E286) )</f>
        <v>0</v>
      </c>
      <c r="H286" s="1416">
        <f t="array" ref="H286">SUM(($G$102:$G$126= $E286) * ($H$102:$H$126) ) * SUM(EF[N2O] * (EF[SATIM Code]= $E286) )</f>
        <v>0</v>
      </c>
      <c r="I286" s="1416"/>
      <c r="J286" s="338"/>
      <c r="K286" s="338"/>
      <c r="L286" s="338"/>
      <c r="M286" s="338"/>
      <c r="N286" s="338"/>
      <c r="O286" s="338"/>
      <c r="P286" s="709"/>
    </row>
    <row r="287" spans="2:16" s="48" customFormat="1" ht="15" hidden="1" outlineLevel="1">
      <c r="B287" s="107"/>
      <c r="C287" s="1416"/>
      <c r="D287" s="1416"/>
      <c r="E287" s="1416" t="s">
        <v>889</v>
      </c>
      <c r="F287" s="1416">
        <f t="array" ref="F287">SUM(($G$102:$G$126= $E287) * ($N$102:$N$126) ) * SUM(EF[CO2] * (EF[SATIM Code]= $E287) )</f>
        <v>0</v>
      </c>
      <c r="G287" s="1416">
        <f t="array" ref="G287">SUM(($G$102:$G$126= $E287) * ($H$102:$H$126) ) * SUM(EF[CH4] * (EF[SATIM Code]= $E287) )</f>
        <v>0</v>
      </c>
      <c r="H287" s="1416">
        <f t="array" ref="H287">SUM(($G$102:$G$126= $E287) * ($H$102:$H$126) ) * SUM(EF[N2O] * (EF[SATIM Code]= $E287) )</f>
        <v>0</v>
      </c>
      <c r="I287" s="1416"/>
      <c r="J287" s="338"/>
      <c r="K287" s="338"/>
      <c r="L287" s="338"/>
      <c r="M287" s="338"/>
      <c r="N287" s="338"/>
      <c r="O287" s="338"/>
      <c r="P287" s="709"/>
    </row>
    <row r="288" spans="2:16" s="48" customFormat="1" ht="15" hidden="1" outlineLevel="1">
      <c r="B288" s="107"/>
      <c r="C288" s="1416"/>
      <c r="D288" s="1416"/>
      <c r="E288" s="1416" t="s">
        <v>890</v>
      </c>
      <c r="F288" s="1416">
        <f t="array" ref="F288">SUM(($G$102:$G$126= $E288) * ($N$102:$N$126) ) * SUM(EF[CO2] * (EF[SATIM Code]= $E288) )</f>
        <v>0</v>
      </c>
      <c r="G288" s="1416">
        <f t="array" ref="G288">SUM(($G$102:$G$126= $E288) * ($H$102:$H$126) ) * SUM(EF[CH4] * (EF[SATIM Code]= $E288) )</f>
        <v>0</v>
      </c>
      <c r="H288" s="1416">
        <f t="array" ref="H288">SUM(($G$102:$G$126= $E288) * ($H$102:$H$126) ) * SUM(EF[N2O] * (EF[SATIM Code]= $E288) )</f>
        <v>0</v>
      </c>
      <c r="I288" s="1416"/>
      <c r="J288" s="338"/>
      <c r="K288" s="338"/>
      <c r="L288" s="338"/>
      <c r="M288" s="338"/>
      <c r="N288" s="338"/>
      <c r="O288" s="338"/>
      <c r="P288" s="709"/>
    </row>
    <row r="289" spans="2:16" s="48" customFormat="1" ht="15" hidden="1" outlineLevel="1">
      <c r="B289" s="107"/>
      <c r="C289" s="1416"/>
      <c r="D289" s="1416"/>
      <c r="E289" s="1416"/>
      <c r="F289" s="1416"/>
      <c r="G289" s="1416"/>
      <c r="H289" s="1416"/>
      <c r="I289" s="1416"/>
      <c r="J289" s="338"/>
      <c r="K289" s="338"/>
      <c r="L289" s="338"/>
      <c r="M289" s="338"/>
      <c r="N289" s="338"/>
      <c r="O289" s="338"/>
      <c r="P289" s="709"/>
    </row>
    <row r="290" spans="2:16" s="48" customFormat="1" ht="15" hidden="1" outlineLevel="1">
      <c r="B290" s="107"/>
      <c r="C290" s="1414" t="str">
        <f>C27</f>
        <v>OT</v>
      </c>
      <c r="D290" s="1414" t="str">
        <f>D27</f>
        <v>Other</v>
      </c>
      <c r="E290" s="1414" t="s">
        <v>756</v>
      </c>
      <c r="F290" s="1414">
        <f>SUM(F291:F299)</f>
        <v>15.929875208750957</v>
      </c>
      <c r="G290" s="1414">
        <f>SUM(G291:G299)</f>
        <v>2.9580969650819999E-3</v>
      </c>
      <c r="H290" s="1414">
        <f>SUM(H291:H299)</f>
        <v>2.8464561975622991E-2</v>
      </c>
      <c r="I290" s="1414"/>
      <c r="J290" s="338"/>
      <c r="K290" s="338"/>
      <c r="L290" s="338"/>
      <c r="M290" s="338"/>
      <c r="N290" s="338"/>
      <c r="O290" s="338"/>
      <c r="P290" s="709"/>
    </row>
    <row r="291" spans="2:16" s="48" customFormat="1" ht="15" hidden="1" outlineLevel="1">
      <c r="B291" s="107"/>
      <c r="C291" s="1416"/>
      <c r="D291" s="1416"/>
      <c r="E291" s="1416" t="s">
        <v>882</v>
      </c>
      <c r="F291" s="1416">
        <f t="array" ref="F291">SUM(($G$102:$G$126= $E291) * ($O$102:$O$126) ) * SUM(EF[CO2] * (EF[SATIM Code]= $E291) )</f>
        <v>14.866805129845115</v>
      </c>
      <c r="G291" s="1416">
        <f t="array" ref="G291">SUM(($G$102:$G$126= $E291) * ($H$102:$H$126) ) * SUM(EF[CH4] * (EF[SATIM Code]= $E291) )</f>
        <v>1.1189297069999996E-3</v>
      </c>
      <c r="H291" s="1416">
        <f t="array" ref="H291">SUM(($G$102:$G$126= $E291) * ($H$102:$H$126) ) * SUM(EF[N2O] * (EF[SATIM Code]= $E291) )</f>
        <v>2.3124547277999993E-2</v>
      </c>
      <c r="I291" s="1416"/>
      <c r="J291" s="338"/>
      <c r="K291" s="338"/>
      <c r="L291" s="338"/>
      <c r="M291" s="338"/>
      <c r="N291" s="338"/>
      <c r="O291" s="338"/>
      <c r="P291" s="709"/>
    </row>
    <row r="292" spans="2:16" s="48" customFormat="1" ht="15" hidden="1" outlineLevel="1">
      <c r="B292" s="107"/>
      <c r="C292" s="1416"/>
      <c r="D292" s="1416"/>
      <c r="E292" s="1416" t="s">
        <v>869</v>
      </c>
      <c r="F292" s="1416">
        <f t="array" ref="F292">SUM(($G$102:$G$126= $E292) * ($O$102:$O$126) ) * SUM(EF[CO2] * (EF[SATIM Code]= $E292) )</f>
        <v>0.4732882109999999</v>
      </c>
      <c r="G292" s="1416">
        <f t="array" ref="G292">SUM(($G$102:$G$126= $E292) * ($H$102:$H$126) ) * SUM(EF[CH4] * (EF[SATIM Code]= $E292) )</f>
        <v>6.0898739999999996E-5</v>
      </c>
      <c r="H292" s="1416">
        <f t="array" ref="H292">SUM(($G$102:$G$126= $E292) * ($H$102:$H$126) ) * SUM(EF[N2O] * (EF[SATIM Code]= $E292) )</f>
        <v>8.9898140000000009E-5</v>
      </c>
      <c r="I292" s="1416"/>
      <c r="J292" s="338"/>
      <c r="K292" s="338"/>
      <c r="L292" s="338"/>
      <c r="M292" s="338"/>
      <c r="N292" s="338"/>
      <c r="O292" s="338"/>
      <c r="P292" s="709"/>
    </row>
    <row r="293" spans="2:16" s="48" customFormat="1" ht="15" hidden="1" outlineLevel="1">
      <c r="B293" s="107"/>
      <c r="C293" s="1416"/>
      <c r="D293" s="1416"/>
      <c r="E293" s="1416" t="s">
        <v>885</v>
      </c>
      <c r="F293" s="1416">
        <f t="array" ref="F293">SUM(($G$102:$G$126= $E293) * ($O$102:$O$126) ) * SUM(EF[CO2] * (EF[SATIM Code]= $E293) )</f>
        <v>6.9466148294399996E-3</v>
      </c>
      <c r="G293" s="1416">
        <f t="array" ref="G293">SUM(($G$102:$G$126= $E293) * ($H$102:$H$126) ) * SUM(EF[CH4] * (EF[SATIM Code]= $E293) )</f>
        <v>4.8678162623999987E-6</v>
      </c>
      <c r="H293" s="1416">
        <f t="array" ref="H293">SUM(($G$102:$G$126= $E293) * ($H$102:$H$126) ) * SUM(EF[N2O] * (EF[SATIM Code]= $E293) )</f>
        <v>1.4371648012799997E-5</v>
      </c>
      <c r="I293" s="1416"/>
      <c r="J293" s="338"/>
      <c r="K293" s="338"/>
      <c r="L293" s="338"/>
      <c r="M293" s="338"/>
      <c r="N293" s="338"/>
      <c r="O293" s="338"/>
      <c r="P293" s="709"/>
    </row>
    <row r="294" spans="2:16" s="48" customFormat="1" ht="15" hidden="1" outlineLevel="1">
      <c r="B294" s="107"/>
      <c r="C294" s="1416"/>
      <c r="D294" s="1416"/>
      <c r="E294" s="1416" t="s">
        <v>886</v>
      </c>
      <c r="F294" s="1416">
        <f t="array" ref="F294">SUM(($G$102:$G$126= $E294) * ($O$102:$O$126) ) * SUM(EF[CO2] * (EF[SATIM Code]= $E294) )</f>
        <v>0.58259535699133203</v>
      </c>
      <c r="G294" s="1416">
        <f t="array" ref="G294">SUM(($G$102:$G$126= $E294) * ($H$102:$H$126) ) * SUM(EF[CH4] * (EF[SATIM Code]= $E294) )</f>
        <v>1.7733968228970001E-3</v>
      </c>
      <c r="H294" s="1416">
        <f t="array" ref="H294">SUM(($G$102:$G$126= $E294) * ($H$102:$H$126) ) * SUM(EF[N2O] * (EF[SATIM Code]= $E294) )</f>
        <v>5.2357430009340004E-3</v>
      </c>
      <c r="I294" s="1416"/>
      <c r="J294" s="338"/>
      <c r="K294" s="338"/>
      <c r="L294" s="338"/>
      <c r="M294" s="338"/>
      <c r="N294" s="338"/>
      <c r="O294" s="338"/>
      <c r="P294" s="709"/>
    </row>
    <row r="295" spans="2:16" s="48" customFormat="1" ht="15" hidden="1" outlineLevel="1">
      <c r="B295" s="107"/>
      <c r="C295" s="1416"/>
      <c r="D295" s="1416"/>
      <c r="E295" s="1416" t="s">
        <v>887</v>
      </c>
      <c r="F295" s="1416">
        <f t="array" ref="F295">SUM(($G$102:$G$126= $E295) * ($O$102:$O$126) ) * SUM(EF[CO2] * (EF[SATIM Code]= $E295) )</f>
        <v>2.3989608507E-4</v>
      </c>
      <c r="G295" s="1416">
        <f t="array" ref="G295">SUM(($G$102:$G$126= $E295) * ($H$102:$H$126) ) * SUM(EF[CH4] * (EF[SATIM Code]= $E295) )</f>
        <v>3.8789225999999997E-9</v>
      </c>
      <c r="H295" s="1416">
        <f t="array" ref="H295">SUM(($G$102:$G$126= $E295) * ($H$102:$H$126) ) * SUM(EF[N2O] * (EF[SATIM Code]= $E295) )</f>
        <v>1.9086762000000001E-9</v>
      </c>
      <c r="I295" s="1416"/>
      <c r="J295" s="338"/>
      <c r="K295" s="338"/>
      <c r="L295" s="338"/>
      <c r="M295" s="338"/>
      <c r="N295" s="338"/>
      <c r="O295" s="338"/>
      <c r="P295" s="709"/>
    </row>
    <row r="296" spans="2:16" s="48" customFormat="1" ht="15" hidden="1" outlineLevel="1">
      <c r="B296" s="107"/>
      <c r="C296" s="1416"/>
      <c r="D296" s="1416"/>
      <c r="E296" s="1416" t="s">
        <v>879</v>
      </c>
      <c r="F296" s="1416">
        <f t="array" ref="F296">SUM(($G$102:$G$126= $E296) * ($O$102:$O$126) ) * SUM(EF[CO2] * (EF[SATIM Code]= $E296) )</f>
        <v>0</v>
      </c>
      <c r="G296" s="1416">
        <f t="array" ref="G296">SUM(($G$102:$G$126= $E296) * ($H$102:$H$126) ) * SUM(EF[CH4] * (EF[SATIM Code]= $E296) )</f>
        <v>0</v>
      </c>
      <c r="H296" s="1416">
        <f t="array" ref="H296">SUM(($G$102:$G$126= $E296) * ($H$102:$H$126) ) * SUM(EF[N2O] * (EF[SATIM Code]= $E296) )</f>
        <v>0</v>
      </c>
      <c r="I296" s="1416"/>
      <c r="J296" s="338"/>
      <c r="K296" s="338"/>
      <c r="L296" s="338"/>
      <c r="M296" s="338"/>
      <c r="N296" s="338"/>
      <c r="O296" s="338"/>
      <c r="P296" s="709"/>
    </row>
    <row r="297" spans="2:16" s="48" customFormat="1" ht="15" hidden="1" outlineLevel="1">
      <c r="B297" s="107"/>
      <c r="C297" s="1416"/>
      <c r="D297" s="1416"/>
      <c r="E297" s="1416" t="s">
        <v>888</v>
      </c>
      <c r="F297" s="1416">
        <f t="array" ref="F297">SUM(($G$102:$G$126= $E297) * ($O$102:$O$126) ) * SUM(EF[CO2] * (EF[SATIM Code]= $E297) )</f>
        <v>0</v>
      </c>
      <c r="G297" s="1416">
        <f t="array" ref="G297">SUM(($G$102:$G$126= $E297) * ($H$102:$H$126) ) * SUM(EF[CH4] * (EF[SATIM Code]= $E297) )</f>
        <v>0</v>
      </c>
      <c r="H297" s="1416">
        <f t="array" ref="H297">SUM(($G$102:$G$126= $E297) * ($H$102:$H$126) ) * SUM(EF[N2O] * (EF[SATIM Code]= $E297) )</f>
        <v>0</v>
      </c>
      <c r="I297" s="1416"/>
      <c r="J297" s="338"/>
      <c r="K297" s="338"/>
      <c r="L297" s="338"/>
      <c r="M297" s="338"/>
      <c r="N297" s="338"/>
      <c r="O297" s="338"/>
      <c r="P297" s="709"/>
    </row>
    <row r="298" spans="2:16" s="48" customFormat="1" ht="15" hidden="1" outlineLevel="1">
      <c r="B298" s="107"/>
      <c r="C298" s="1416"/>
      <c r="D298" s="1416"/>
      <c r="E298" s="1416" t="s">
        <v>889</v>
      </c>
      <c r="F298" s="1416">
        <f t="array" ref="F298">SUM(($G$102:$G$126= $E298) * ($O$102:$O$126) ) * SUM(EF[CO2] * (EF[SATIM Code]= $E298) )</f>
        <v>0</v>
      </c>
      <c r="G298" s="1416">
        <f t="array" ref="G298">SUM(($G$102:$G$126= $E298) * ($H$102:$H$126) ) * SUM(EF[CH4] * (EF[SATIM Code]= $E298) )</f>
        <v>0</v>
      </c>
      <c r="H298" s="1416">
        <f t="array" ref="H298">SUM(($G$102:$G$126= $E298) * ($H$102:$H$126) ) * SUM(EF[N2O] * (EF[SATIM Code]= $E298) )</f>
        <v>0</v>
      </c>
      <c r="I298" s="1416"/>
      <c r="J298" s="338"/>
      <c r="K298" s="338"/>
      <c r="L298" s="338"/>
      <c r="M298" s="338"/>
      <c r="N298" s="338"/>
      <c r="O298" s="338"/>
      <c r="P298" s="709"/>
    </row>
    <row r="299" spans="2:16" s="48" customFormat="1" ht="15" hidden="1" outlineLevel="1">
      <c r="B299" s="107"/>
      <c r="C299" s="1416"/>
      <c r="D299" s="1416"/>
      <c r="E299" s="1416" t="s">
        <v>890</v>
      </c>
      <c r="F299" s="1416">
        <f t="array" ref="F299">SUM(($G$102:$G$126= $E299) * ($O$102:$O$126) ) * SUM(EF[CO2] * (EF[SATIM Code]= $E299) )</f>
        <v>0</v>
      </c>
      <c r="G299" s="1416">
        <f t="array" ref="G299">SUM(($G$102:$G$126= $E299) * ($H$102:$H$126) ) * SUM(EF[CH4] * (EF[SATIM Code]= $E299) )</f>
        <v>0</v>
      </c>
      <c r="H299" s="1416">
        <f t="array" ref="H299">SUM(($G$102:$G$126= $E299) * ($H$102:$H$126) ) * SUM(EF[N2O] * (EF[SATIM Code]= $E299) )</f>
        <v>0</v>
      </c>
      <c r="I299" s="1416"/>
      <c r="J299" s="338"/>
      <c r="K299" s="338"/>
      <c r="L299" s="338"/>
      <c r="M299" s="338"/>
      <c r="N299" s="338"/>
      <c r="O299" s="338"/>
      <c r="P299" s="709"/>
    </row>
    <row r="300" spans="2:16" s="48" customFormat="1" ht="15" hidden="1" outlineLevel="1">
      <c r="B300" s="107"/>
      <c r="C300" s="1413"/>
      <c r="D300" s="1413"/>
      <c r="E300" s="1413"/>
      <c r="F300" s="1413"/>
      <c r="G300" s="1413"/>
      <c r="H300" s="1413"/>
      <c r="I300" s="1413"/>
      <c r="J300" s="338"/>
      <c r="K300" s="338"/>
      <c r="L300" s="338"/>
      <c r="M300" s="338"/>
      <c r="N300" s="338"/>
      <c r="O300" s="338"/>
      <c r="P300" s="709"/>
    </row>
    <row r="301" spans="2:16" s="48" customFormat="1" ht="15">
      <c r="B301" s="107"/>
      <c r="C301" s="417" t="s">
        <v>32</v>
      </c>
      <c r="D301" s="812" t="s">
        <v>59</v>
      </c>
      <c r="E301" s="418" t="s">
        <v>162</v>
      </c>
      <c r="F301" s="811" t="s">
        <v>349</v>
      </c>
      <c r="G301" s="419" t="s">
        <v>350</v>
      </c>
      <c r="H301" s="419" t="s">
        <v>351</v>
      </c>
      <c r="I301" s="742" t="s">
        <v>352</v>
      </c>
      <c r="J301" s="420"/>
      <c r="K301" s="420"/>
      <c r="L301" s="420"/>
      <c r="M301" s="420"/>
      <c r="N301" s="420"/>
      <c r="O301" s="420"/>
      <c r="P301" s="420"/>
    </row>
    <row r="302" spans="2:16" s="48" customFormat="1" ht="15">
      <c r="B302" s="107"/>
      <c r="C302" s="336" t="str">
        <f t="shared" ref="C302:D309" si="35">C20</f>
        <v>MI</v>
      </c>
      <c r="D302" s="336" t="str">
        <f t="shared" si="35"/>
        <v>Mining SIC2</v>
      </c>
      <c r="E302" s="336"/>
      <c r="F302" s="810">
        <f t="array" ref="F302">SUM(($F$217:$H$217=F$301) * ($C$218:$C$299=$C302) * ($F$218:$H$299))</f>
        <v>7.382013889514937</v>
      </c>
      <c r="G302" s="810">
        <f t="array" ref="G302">SUM(($F$217:$H$217=G$301) * ($C$218:$C$299=$C302) * ($F$218:$H$299))</f>
        <v>2.9580969650819999E-3</v>
      </c>
      <c r="H302" s="810">
        <f t="array" ref="H302">SUM(($F$217:$H$217=H$301) * ($C$218:$C$299=$C302) * ($F$218:$H$299))</f>
        <v>2.8464561975622991E-2</v>
      </c>
      <c r="I302" s="336"/>
      <c r="J302" s="420"/>
      <c r="K302" s="420"/>
      <c r="L302" s="420"/>
      <c r="M302" s="420"/>
      <c r="N302" s="420"/>
      <c r="O302" s="420"/>
      <c r="P302" s="420"/>
    </row>
    <row r="303" spans="2:16" s="48" customFormat="1" ht="15">
      <c r="B303" s="107"/>
      <c r="C303" s="336" t="str">
        <f t="shared" si="35"/>
        <v>IS</v>
      </c>
      <c r="D303" s="336" t="str">
        <f t="shared" si="35"/>
        <v>Iron  &amp; Steel  - 351</v>
      </c>
      <c r="E303" s="336"/>
      <c r="F303" s="810">
        <f t="array" ref="F303">SUM(($F$217:$H$217=F$301) * ($C$218:$C$299=$C303) * ($F$218:$H$299))</f>
        <v>18.297043247664877</v>
      </c>
      <c r="G303" s="810">
        <f t="array" ref="G303">SUM(($F$217:$H$217=G$301) * ($C$218:$C$299=$C303) * ($F$218:$H$299))</f>
        <v>1.1847001421849998E-3</v>
      </c>
      <c r="H303" s="810">
        <f t="array" ref="H303">SUM(($F$217:$H$217=H$301) * ($C$218:$C$299=$C303) * ($F$218:$H$299))</f>
        <v>2.3228818974688991E-2</v>
      </c>
      <c r="I303" s="336"/>
      <c r="J303" s="420"/>
      <c r="K303" s="420"/>
      <c r="L303" s="420"/>
      <c r="M303" s="420"/>
      <c r="N303" s="420"/>
      <c r="O303" s="420"/>
      <c r="P303" s="420"/>
    </row>
    <row r="304" spans="2:16" s="48" customFormat="1" ht="15">
      <c r="B304" s="107"/>
      <c r="C304" s="336" t="str">
        <f t="shared" si="35"/>
        <v>CP</v>
      </c>
      <c r="D304" s="336" t="str">
        <f t="shared" si="35"/>
        <v>Chemicals  -33</v>
      </c>
      <c r="E304" s="336"/>
      <c r="F304" s="810">
        <f t="array" ref="F304">SUM(($F$217:$H$217=F$301) * ($C$218:$C$299=$C304) * ($F$218:$H$299))</f>
        <v>8.2102711597500004</v>
      </c>
      <c r="G304" s="810">
        <f t="array" ref="G304">SUM(($F$217:$H$217=G$301) * ($C$218:$C$299=$C304) * ($F$218:$H$299))</f>
        <v>1.1847001421849998E-3</v>
      </c>
      <c r="H304" s="810">
        <f t="array" ref="H304">SUM(($F$217:$H$217=H$301) * ($C$218:$C$299=$C304) * ($F$218:$H$299))</f>
        <v>2.3228818974688991E-2</v>
      </c>
      <c r="I304" s="336"/>
      <c r="J304" s="420"/>
      <c r="K304" s="420"/>
      <c r="L304" s="420"/>
      <c r="M304" s="420"/>
      <c r="N304" s="420"/>
      <c r="O304" s="420"/>
      <c r="P304" s="420"/>
    </row>
    <row r="305" spans="2:16" s="48" customFormat="1" ht="15">
      <c r="B305" s="107"/>
      <c r="C305" s="336" t="str">
        <f t="shared" si="35"/>
        <v>NF</v>
      </c>
      <c r="D305" s="336" t="str">
        <f t="shared" si="35"/>
        <v>Non-Ferrous metals  - 352</v>
      </c>
      <c r="E305" s="336"/>
      <c r="F305" s="810">
        <f t="array" ref="F305">SUM(($F$217:$H$217=F$301) * ($C$218:$C$299=$C305) * ($F$218:$H$299))</f>
        <v>7.7962499999999976E-2</v>
      </c>
      <c r="G305" s="810">
        <f t="array" ref="G305">SUM(($F$217:$H$217=G$301) * ($C$218:$C$299=$C305) * ($F$218:$H$299))</f>
        <v>1.1847001421849998E-3</v>
      </c>
      <c r="H305" s="810">
        <f t="array" ref="H305">SUM(($F$217:$H$217=H$301) * ($C$218:$C$299=$C305) * ($F$218:$H$299))</f>
        <v>2.3228818974688991E-2</v>
      </c>
      <c r="I305" s="336"/>
      <c r="J305" s="420"/>
      <c r="K305" s="420"/>
      <c r="L305" s="420"/>
      <c r="M305" s="420"/>
      <c r="N305" s="420"/>
      <c r="O305" s="420"/>
      <c r="P305" s="420"/>
    </row>
    <row r="306" spans="2:16" s="48" customFormat="1" ht="15">
      <c r="B306" s="107"/>
      <c r="C306" s="336" t="str">
        <f t="shared" si="35"/>
        <v>NM</v>
      </c>
      <c r="D306" s="336" t="str">
        <f t="shared" si="35"/>
        <v>N.M.M Products  -34</v>
      </c>
      <c r="E306" s="336"/>
      <c r="F306" s="810">
        <f t="array" ref="F306">SUM(($F$217:$H$217=F$301) * ($C$218:$C$299=$C306) * ($F$218:$H$299))</f>
        <v>5.6389228499999993</v>
      </c>
      <c r="G306" s="810">
        <f t="array" ref="G306">SUM(($F$217:$H$217=G$301) * ($C$218:$C$299=$C306) * ($F$218:$H$299))</f>
        <v>1.1847001421849998E-3</v>
      </c>
      <c r="H306" s="810">
        <f t="array" ref="H306">SUM(($F$217:$H$217=H$301) * ($C$218:$C$299=$C306) * ($F$218:$H$299))</f>
        <v>2.3228818974688991E-2</v>
      </c>
      <c r="I306" s="336"/>
      <c r="J306" s="420"/>
      <c r="K306" s="420"/>
      <c r="L306" s="420"/>
      <c r="M306" s="420"/>
      <c r="N306" s="420"/>
      <c r="O306" s="420"/>
      <c r="P306" s="420"/>
    </row>
    <row r="307" spans="2:16" s="48" customFormat="1" ht="15">
      <c r="B307" s="107"/>
      <c r="C307" s="336" t="str">
        <f t="shared" si="35"/>
        <v>FB</v>
      </c>
      <c r="D307" s="336" t="str">
        <f t="shared" si="35"/>
        <v>Food, Beverage &amp; Tabacco  - 30</v>
      </c>
      <c r="E307" s="336"/>
      <c r="F307" s="810">
        <f t="array" ref="F307">SUM(($F$217:$H$217=F$301) * ($C$218:$C$299=$C307) * ($F$218:$H$299))</f>
        <v>3.1968548699999992</v>
      </c>
      <c r="G307" s="810">
        <f t="array" ref="G307">SUM(($F$217:$H$217=G$301) * ($C$218:$C$299=$C307) * ($F$218:$H$299))</f>
        <v>1.1847001421849998E-3</v>
      </c>
      <c r="H307" s="810">
        <f t="array" ref="H307">SUM(($F$217:$H$217=H$301) * ($C$218:$C$299=$C307) * ($F$218:$H$299))</f>
        <v>2.3228818974688991E-2</v>
      </c>
      <c r="I307" s="336"/>
      <c r="J307" s="420"/>
      <c r="K307" s="420"/>
      <c r="L307" s="420"/>
      <c r="M307" s="420"/>
      <c r="N307" s="420"/>
      <c r="O307" s="420"/>
      <c r="P307" s="420"/>
    </row>
    <row r="308" spans="2:16" s="48" customFormat="1" ht="15">
      <c r="B308" s="107"/>
      <c r="C308" s="336" t="str">
        <f t="shared" si="35"/>
        <v>PP</v>
      </c>
      <c r="D308" s="336" t="str">
        <f t="shared" si="35"/>
        <v>Pulp &amp; Paper Products  -323</v>
      </c>
      <c r="E308" s="336"/>
      <c r="F308" s="810">
        <f t="array" ref="F308">SUM(($F$217:$H$217=F$301) * ($C$218:$C$299=$C308) * ($F$218:$H$299))</f>
        <v>6.4120712699999984</v>
      </c>
      <c r="G308" s="810">
        <f t="array" ref="G308">SUM(($F$217:$H$217=G$301) * ($C$218:$C$299=$C308) * ($F$218:$H$299))</f>
        <v>1.1847001421849998E-3</v>
      </c>
      <c r="H308" s="810">
        <f t="array" ref="H308">SUM(($F$217:$H$217=H$301) * ($C$218:$C$299=$C308) * ($F$218:$H$299))</f>
        <v>2.3228818974688991E-2</v>
      </c>
      <c r="I308" s="336"/>
      <c r="J308" s="420"/>
      <c r="K308" s="420"/>
      <c r="L308" s="420"/>
      <c r="M308" s="420"/>
      <c r="N308" s="420"/>
      <c r="O308" s="420"/>
      <c r="P308" s="420"/>
    </row>
    <row r="309" spans="2:16" s="48" customFormat="1" ht="15">
      <c r="B309" s="107"/>
      <c r="C309" s="336" t="str">
        <f t="shared" si="35"/>
        <v>OT</v>
      </c>
      <c r="D309" s="336" t="str">
        <f t="shared" si="35"/>
        <v>Other</v>
      </c>
      <c r="E309" s="336"/>
      <c r="F309" s="810">
        <f t="array" ref="F309">SUM(($F$217:$H$217=F$301) * ($C$218:$C$299=$C309) * ($F$218:$H$299))</f>
        <v>15.929875208750957</v>
      </c>
      <c r="G309" s="810">
        <f t="array" ref="G309">SUM(($F$217:$H$217=G$301) * ($C$218:$C$299=$C309) * ($F$218:$H$299))</f>
        <v>2.9580969650819999E-3</v>
      </c>
      <c r="H309" s="810">
        <f t="array" ref="H309">SUM(($F$217:$H$217=H$301) * ($C$218:$C$299=$C309) * ($F$218:$H$299))</f>
        <v>2.8464561975622991E-2</v>
      </c>
      <c r="I309" s="336"/>
      <c r="J309" s="420"/>
      <c r="K309" s="420"/>
      <c r="L309" s="420"/>
      <c r="M309" s="420"/>
      <c r="N309" s="420"/>
      <c r="O309" s="420"/>
      <c r="P309" s="420"/>
    </row>
    <row r="310" spans="2:16" s="48" customFormat="1" ht="15">
      <c r="B310" s="107"/>
      <c r="C310" s="84"/>
      <c r="D310" s="84"/>
      <c r="E310" s="84"/>
      <c r="F310" s="84"/>
      <c r="G310" s="84"/>
      <c r="H310" s="84"/>
      <c r="I310" s="84"/>
      <c r="J310" s="379"/>
      <c r="K310" s="461"/>
      <c r="L310" s="461"/>
      <c r="M310" s="172"/>
      <c r="N310" s="172"/>
      <c r="O310" s="172"/>
      <c r="P310" s="789"/>
    </row>
    <row r="311" spans="2:16" ht="15">
      <c r="B311" s="341"/>
      <c r="C311" s="809"/>
      <c r="D311" s="809"/>
      <c r="E311" s="809"/>
      <c r="F311" s="809"/>
      <c r="G311" s="809"/>
      <c r="H311" s="809"/>
      <c r="I311" s="809"/>
      <c r="J311" s="338"/>
      <c r="K311" s="338"/>
      <c r="L311" s="338"/>
      <c r="M311" s="338"/>
      <c r="N311" s="338"/>
      <c r="O311" s="338"/>
      <c r="P311" s="789"/>
    </row>
    <row r="312" spans="2:16">
      <c r="B312" s="341"/>
      <c r="C312" s="748" t="str">
        <f>"Baseline AQ Process emissions "&amp;Base_Year</f>
        <v>Baseline AQ Process emissions 2006</v>
      </c>
      <c r="D312" s="730"/>
      <c r="E312" s="808"/>
      <c r="F312" s="378"/>
      <c r="G312" s="378"/>
      <c r="H312" s="378"/>
      <c r="I312" s="807" t="s">
        <v>724</v>
      </c>
      <c r="J312" s="338"/>
      <c r="K312" s="338"/>
      <c r="L312" s="338"/>
      <c r="M312" s="338"/>
      <c r="N312" s="338"/>
      <c r="O312" s="338"/>
      <c r="P312" s="789"/>
    </row>
    <row r="313" spans="2:16">
      <c r="B313" s="341"/>
      <c r="C313" s="378"/>
      <c r="D313" s="730"/>
      <c r="E313" s="806"/>
      <c r="F313" s="805"/>
      <c r="G313" s="378"/>
      <c r="H313" s="378"/>
      <c r="I313" s="378"/>
      <c r="J313" s="338"/>
      <c r="K313" s="338"/>
      <c r="L313" s="338"/>
      <c r="M313" s="338"/>
      <c r="N313" s="338"/>
      <c r="O313" s="338"/>
      <c r="P313" s="789"/>
    </row>
    <row r="314" spans="2:16" ht="15">
      <c r="B314" s="106"/>
      <c r="C314" s="745" t="s">
        <v>32</v>
      </c>
      <c r="D314" s="744" t="s">
        <v>59</v>
      </c>
      <c r="E314" s="784" t="s">
        <v>162</v>
      </c>
      <c r="F314" s="803" t="s">
        <v>717</v>
      </c>
      <c r="G314" s="742" t="s">
        <v>719</v>
      </c>
      <c r="H314" s="742" t="s">
        <v>720</v>
      </c>
      <c r="I314" s="742" t="s">
        <v>718</v>
      </c>
      <c r="J314" s="338"/>
      <c r="K314" s="338"/>
      <c r="L314" s="338"/>
      <c r="M314" s="338"/>
      <c r="N314" s="338"/>
      <c r="O314" s="338"/>
      <c r="P314" s="789"/>
    </row>
    <row r="315" spans="2:16" s="48" customFormat="1" ht="15">
      <c r="B315" s="107"/>
      <c r="C315" s="714" t="str">
        <f t="shared" ref="C315:D322" si="36">C20</f>
        <v>MI</v>
      </c>
      <c r="D315" s="714" t="str">
        <f t="shared" si="36"/>
        <v>Mining SIC2</v>
      </c>
      <c r="E315" s="802"/>
      <c r="F315" s="796">
        <v>0</v>
      </c>
      <c r="G315" s="789">
        <v>0</v>
      </c>
      <c r="H315" s="789">
        <v>0</v>
      </c>
      <c r="I315" s="789">
        <v>0</v>
      </c>
      <c r="J315" s="337"/>
      <c r="K315" s="337"/>
      <c r="L315" s="337"/>
      <c r="M315" s="337"/>
      <c r="N315" s="337"/>
      <c r="O315" s="337"/>
      <c r="P315" s="789"/>
    </row>
    <row r="316" spans="2:16" s="48" customFormat="1" ht="15">
      <c r="B316" s="107"/>
      <c r="C316" s="714" t="str">
        <f t="shared" si="36"/>
        <v>IS</v>
      </c>
      <c r="D316" s="714" t="str">
        <f t="shared" si="36"/>
        <v>Iron  &amp; Steel  - 351</v>
      </c>
      <c r="E316" s="802"/>
      <c r="F316" s="796">
        <v>0</v>
      </c>
      <c r="G316" s="789">
        <v>0</v>
      </c>
      <c r="H316" s="789">
        <v>0</v>
      </c>
      <c r="I316" s="789">
        <v>0</v>
      </c>
      <c r="J316" s="337"/>
      <c r="K316" s="337"/>
      <c r="L316" s="337"/>
      <c r="M316" s="337"/>
      <c r="N316" s="337"/>
      <c r="O316" s="337"/>
      <c r="P316" s="789"/>
    </row>
    <row r="317" spans="2:16" s="48" customFormat="1" ht="15">
      <c r="B317" s="107"/>
      <c r="C317" s="714" t="str">
        <f t="shared" si="36"/>
        <v>CP</v>
      </c>
      <c r="D317" s="714" t="str">
        <f t="shared" si="36"/>
        <v>Chemicals  -33</v>
      </c>
      <c r="E317" s="802"/>
      <c r="F317" s="796">
        <v>0</v>
      </c>
      <c r="G317" s="789">
        <v>0</v>
      </c>
      <c r="H317" s="789">
        <v>0</v>
      </c>
      <c r="I317" s="789">
        <v>0</v>
      </c>
      <c r="J317" s="337"/>
      <c r="K317" s="337"/>
      <c r="L317" s="337"/>
      <c r="M317" s="337"/>
      <c r="N317" s="337"/>
      <c r="O317" s="337"/>
      <c r="P317" s="789"/>
    </row>
    <row r="318" spans="2:16" s="48" customFormat="1" ht="15">
      <c r="B318" s="107"/>
      <c r="C318" s="714" t="str">
        <f t="shared" si="36"/>
        <v>NF</v>
      </c>
      <c r="D318" s="714" t="str">
        <f t="shared" si="36"/>
        <v>Non-Ferrous metals  - 352</v>
      </c>
      <c r="E318" s="802"/>
      <c r="F318" s="796">
        <v>0</v>
      </c>
      <c r="G318" s="789">
        <v>0</v>
      </c>
      <c r="H318" s="789">
        <v>0</v>
      </c>
      <c r="I318" s="789">
        <v>0</v>
      </c>
      <c r="J318" s="337"/>
      <c r="K318" s="337"/>
      <c r="L318" s="337"/>
      <c r="M318" s="337"/>
      <c r="N318" s="337"/>
      <c r="O318" s="337"/>
      <c r="P318" s="789"/>
    </row>
    <row r="319" spans="2:16" s="48" customFormat="1" ht="15">
      <c r="B319" s="107"/>
      <c r="C319" s="714" t="str">
        <f t="shared" si="36"/>
        <v>NM</v>
      </c>
      <c r="D319" s="714" t="str">
        <f t="shared" si="36"/>
        <v>N.M.M Products  -34</v>
      </c>
      <c r="E319" s="802"/>
      <c r="F319" s="796">
        <v>0</v>
      </c>
      <c r="G319" s="789">
        <v>0</v>
      </c>
      <c r="H319" s="789">
        <v>0</v>
      </c>
      <c r="I319" s="789">
        <v>0</v>
      </c>
      <c r="J319" s="337"/>
      <c r="K319" s="337"/>
      <c r="L319" s="337"/>
      <c r="M319" s="337"/>
      <c r="N319" s="337"/>
      <c r="O319" s="337"/>
      <c r="P319" s="789"/>
    </row>
    <row r="320" spans="2:16" s="48" customFormat="1" ht="15">
      <c r="B320" s="107"/>
      <c r="C320" s="714" t="str">
        <f t="shared" si="36"/>
        <v>FB</v>
      </c>
      <c r="D320" s="714" t="str">
        <f t="shared" si="36"/>
        <v>Food, Beverage &amp; Tabacco  - 30</v>
      </c>
      <c r="E320" s="797"/>
      <c r="F320" s="796">
        <v>0</v>
      </c>
      <c r="G320" s="789">
        <v>0</v>
      </c>
      <c r="H320" s="789">
        <v>0</v>
      </c>
      <c r="I320" s="789">
        <v>0</v>
      </c>
      <c r="J320" s="337"/>
      <c r="K320" s="337"/>
      <c r="L320" s="337"/>
      <c r="M320" s="337"/>
      <c r="N320" s="337"/>
      <c r="O320" s="337"/>
      <c r="P320" s="789"/>
    </row>
    <row r="321" spans="2:16" s="48" customFormat="1" ht="15">
      <c r="B321" s="107"/>
      <c r="C321" s="714" t="str">
        <f t="shared" si="36"/>
        <v>PP</v>
      </c>
      <c r="D321" s="714" t="str">
        <f t="shared" si="36"/>
        <v>Pulp &amp; Paper Products  -323</v>
      </c>
      <c r="E321" s="797"/>
      <c r="F321" s="796">
        <v>0</v>
      </c>
      <c r="G321" s="789">
        <v>0</v>
      </c>
      <c r="H321" s="789">
        <v>0</v>
      </c>
      <c r="I321" s="789">
        <v>0</v>
      </c>
      <c r="J321" s="337"/>
      <c r="K321" s="337"/>
      <c r="L321" s="337"/>
      <c r="M321" s="337"/>
      <c r="N321" s="337"/>
      <c r="O321" s="337"/>
      <c r="P321" s="789"/>
    </row>
    <row r="322" spans="2:16" s="48" customFormat="1" ht="15">
      <c r="B322" s="107"/>
      <c r="C322" s="714" t="str">
        <f t="shared" si="36"/>
        <v>OT</v>
      </c>
      <c r="D322" s="714" t="str">
        <f t="shared" si="36"/>
        <v>Other</v>
      </c>
      <c r="E322" s="797"/>
      <c r="F322" s="796">
        <v>0</v>
      </c>
      <c r="G322" s="789">
        <v>0</v>
      </c>
      <c r="H322" s="789">
        <v>0</v>
      </c>
      <c r="I322" s="789">
        <v>0</v>
      </c>
      <c r="J322" s="337"/>
      <c r="K322" s="337"/>
      <c r="L322" s="337"/>
      <c r="M322" s="337"/>
      <c r="N322" s="337"/>
      <c r="O322" s="337"/>
      <c r="P322" s="789"/>
    </row>
    <row r="323" spans="2:16" s="48" customFormat="1" ht="15">
      <c r="B323" s="107"/>
      <c r="C323" s="735"/>
      <c r="D323" s="735"/>
      <c r="E323" s="800"/>
      <c r="F323" s="799"/>
      <c r="G323" s="804"/>
      <c r="H323" s="804"/>
      <c r="I323" s="804"/>
      <c r="J323" s="337"/>
      <c r="K323" s="337"/>
      <c r="L323" s="337"/>
      <c r="M323" s="337"/>
      <c r="N323" s="337"/>
      <c r="O323" s="337"/>
      <c r="P323" s="789"/>
    </row>
    <row r="324" spans="2:16" s="48" customFormat="1" ht="15">
      <c r="B324" s="107"/>
      <c r="C324" s="790"/>
      <c r="D324" s="798" t="s">
        <v>102</v>
      </c>
      <c r="E324" s="797"/>
      <c r="F324" s="796">
        <f>SUM(F315:F322)</f>
        <v>0</v>
      </c>
      <c r="G324" s="789">
        <f>SUM(G315:G322)</f>
        <v>0</v>
      </c>
      <c r="H324" s="789">
        <f>SUM(H315:H322)</f>
        <v>0</v>
      </c>
      <c r="I324" s="789">
        <f>SUM(I315:I322)</f>
        <v>0</v>
      </c>
      <c r="J324" s="337"/>
      <c r="K324" s="337"/>
      <c r="L324" s="337"/>
      <c r="M324" s="337"/>
      <c r="N324" s="337"/>
      <c r="O324" s="337"/>
      <c r="P324" s="789"/>
    </row>
    <row r="325" spans="2:16" s="48" customFormat="1" ht="15">
      <c r="B325" s="107"/>
      <c r="C325" s="790"/>
      <c r="D325" s="765"/>
      <c r="E325" s="797"/>
      <c r="F325" s="796"/>
      <c r="G325" s="789"/>
      <c r="H325" s="789"/>
      <c r="I325" s="789"/>
      <c r="J325" s="337"/>
      <c r="K325" s="337"/>
      <c r="L325" s="337"/>
      <c r="M325" s="337"/>
      <c r="N325" s="337"/>
      <c r="O325" s="337"/>
      <c r="P325" s="789"/>
    </row>
    <row r="326" spans="2:16" hidden="1">
      <c r="B326" s="341"/>
      <c r="C326" s="748" t="s">
        <v>726</v>
      </c>
      <c r="D326" s="746"/>
      <c r="E326" s="728"/>
      <c r="F326" s="718"/>
      <c r="G326" s="718"/>
      <c r="H326" s="718"/>
      <c r="I326" s="787" t="s">
        <v>724</v>
      </c>
      <c r="J326" s="338"/>
      <c r="K326" s="338"/>
      <c r="L326" s="338"/>
      <c r="M326" s="338"/>
      <c r="N326" s="338"/>
      <c r="O326" s="338"/>
      <c r="P326" s="789"/>
    </row>
    <row r="327" spans="2:16" hidden="1">
      <c r="B327" s="341"/>
      <c r="C327" s="718"/>
      <c r="D327" s="746"/>
      <c r="E327" s="769"/>
      <c r="F327" s="768"/>
      <c r="G327" s="718"/>
      <c r="H327" s="718"/>
      <c r="I327" s="718"/>
      <c r="J327" s="338"/>
      <c r="K327" s="338"/>
      <c r="L327" s="338"/>
      <c r="M327" s="338"/>
      <c r="N327" s="338"/>
      <c r="O327" s="338"/>
      <c r="P327" s="789"/>
    </row>
    <row r="328" spans="2:16" ht="15" hidden="1">
      <c r="B328" s="106"/>
      <c r="C328" s="745" t="s">
        <v>32</v>
      </c>
      <c r="D328" s="744" t="s">
        <v>59</v>
      </c>
      <c r="E328" s="784" t="s">
        <v>162</v>
      </c>
      <c r="F328" s="803" t="s">
        <v>717</v>
      </c>
      <c r="G328" s="742" t="s">
        <v>719</v>
      </c>
      <c r="H328" s="742" t="s">
        <v>720</v>
      </c>
      <c r="I328" s="742" t="s">
        <v>718</v>
      </c>
      <c r="J328" s="338"/>
      <c r="K328" s="338"/>
      <c r="L328" s="338"/>
      <c r="M328" s="338"/>
      <c r="N328" s="338"/>
      <c r="O328" s="338"/>
      <c r="P328" s="789"/>
    </row>
    <row r="329" spans="2:16" s="48" customFormat="1" ht="15" hidden="1">
      <c r="B329" s="107"/>
      <c r="C329" s="714" t="s">
        <v>1015</v>
      </c>
      <c r="D329" s="765" t="s">
        <v>1014</v>
      </c>
      <c r="E329" s="802"/>
      <c r="F329" s="796">
        <v>0</v>
      </c>
      <c r="G329" s="796">
        <v>0</v>
      </c>
      <c r="H329" s="796">
        <v>0</v>
      </c>
      <c r="I329" s="796">
        <v>0</v>
      </c>
      <c r="J329" s="337"/>
      <c r="K329" s="337"/>
      <c r="L329" s="337"/>
      <c r="M329" s="337"/>
      <c r="N329" s="337"/>
      <c r="O329" s="337"/>
      <c r="P329" s="789"/>
    </row>
    <row r="330" spans="2:16" s="48" customFormat="1" ht="15" hidden="1">
      <c r="B330" s="107"/>
      <c r="C330" s="714" t="s">
        <v>1013</v>
      </c>
      <c r="D330" s="765" t="s">
        <v>1012</v>
      </c>
      <c r="E330" s="802"/>
      <c r="F330" s="796">
        <v>0</v>
      </c>
      <c r="G330" s="796">
        <v>0</v>
      </c>
      <c r="H330" s="796">
        <v>0</v>
      </c>
      <c r="I330" s="796">
        <v>0</v>
      </c>
      <c r="J330" s="337"/>
      <c r="K330" s="337"/>
      <c r="L330" s="337"/>
      <c r="M330" s="337"/>
      <c r="N330" s="337"/>
      <c r="O330" s="337"/>
      <c r="P330" s="789"/>
    </row>
    <row r="331" spans="2:16" s="48" customFormat="1" ht="15" hidden="1">
      <c r="B331" s="107"/>
      <c r="C331" s="714" t="s">
        <v>1011</v>
      </c>
      <c r="D331" s="765" t="s">
        <v>1010</v>
      </c>
      <c r="E331" s="802"/>
      <c r="F331" s="796">
        <v>0</v>
      </c>
      <c r="G331" s="796">
        <v>0</v>
      </c>
      <c r="H331" s="796">
        <v>0</v>
      </c>
      <c r="I331" s="796">
        <v>0</v>
      </c>
      <c r="J331" s="337"/>
      <c r="K331" s="337"/>
      <c r="L331" s="337"/>
      <c r="M331" s="337"/>
      <c r="N331" s="337"/>
      <c r="O331" s="337"/>
      <c r="P331" s="789"/>
    </row>
    <row r="332" spans="2:16" s="48" customFormat="1" ht="26" hidden="1">
      <c r="B332" s="107"/>
      <c r="C332" s="714" t="s">
        <v>1009</v>
      </c>
      <c r="D332" s="765" t="s">
        <v>1008</v>
      </c>
      <c r="E332" s="802"/>
      <c r="F332" s="796">
        <v>0</v>
      </c>
      <c r="G332" s="796">
        <v>0</v>
      </c>
      <c r="H332" s="796">
        <v>0</v>
      </c>
      <c r="I332" s="796">
        <v>0</v>
      </c>
      <c r="J332" s="337"/>
      <c r="K332" s="337"/>
      <c r="L332" s="337"/>
      <c r="M332" s="337"/>
      <c r="N332" s="337"/>
      <c r="O332" s="337"/>
      <c r="P332" s="789"/>
    </row>
    <row r="333" spans="2:16" s="48" customFormat="1" ht="15" hidden="1">
      <c r="B333" s="107"/>
      <c r="C333" s="714" t="s">
        <v>1007</v>
      </c>
      <c r="D333" s="765" t="s">
        <v>1006</v>
      </c>
      <c r="E333" s="802"/>
      <c r="F333" s="796">
        <v>0</v>
      </c>
      <c r="G333" s="796">
        <v>0</v>
      </c>
      <c r="H333" s="796">
        <v>0</v>
      </c>
      <c r="I333" s="796">
        <v>0</v>
      </c>
      <c r="J333" s="337"/>
      <c r="K333" s="337"/>
      <c r="L333" s="337"/>
      <c r="M333" s="337"/>
      <c r="N333" s="337"/>
      <c r="O333" s="337"/>
      <c r="P333" s="789"/>
    </row>
    <row r="334" spans="2:16" s="48" customFormat="1" ht="15" hidden="1">
      <c r="B334" s="107"/>
      <c r="C334" s="790" t="s">
        <v>1005</v>
      </c>
      <c r="D334" s="765" t="s">
        <v>1004</v>
      </c>
      <c r="E334" s="797"/>
      <c r="F334" s="796">
        <v>0</v>
      </c>
      <c r="G334" s="796">
        <v>0</v>
      </c>
      <c r="H334" s="796">
        <v>0</v>
      </c>
      <c r="I334" s="796">
        <v>0</v>
      </c>
      <c r="J334" s="337"/>
      <c r="K334" s="337"/>
      <c r="L334" s="337"/>
      <c r="M334" s="337"/>
      <c r="N334" s="337"/>
      <c r="O334" s="337"/>
      <c r="P334" s="789"/>
    </row>
    <row r="335" spans="2:16" s="48" customFormat="1" ht="15" hidden="1">
      <c r="B335" s="107"/>
      <c r="C335" s="790" t="s">
        <v>1003</v>
      </c>
      <c r="D335" s="765" t="s">
        <v>1002</v>
      </c>
      <c r="E335" s="797"/>
      <c r="F335" s="796">
        <v>0</v>
      </c>
      <c r="G335" s="796">
        <v>0</v>
      </c>
      <c r="H335" s="796">
        <v>0</v>
      </c>
      <c r="I335" s="796">
        <v>0</v>
      </c>
      <c r="J335" s="337"/>
      <c r="K335" s="337"/>
      <c r="L335" s="337"/>
      <c r="M335" s="337"/>
      <c r="N335" s="337"/>
      <c r="O335" s="337"/>
      <c r="P335" s="789"/>
    </row>
    <row r="336" spans="2:16" s="48" customFormat="1" ht="15" hidden="1">
      <c r="B336" s="107"/>
      <c r="C336" s="790" t="s">
        <v>1001</v>
      </c>
      <c r="D336" s="765" t="s">
        <v>97</v>
      </c>
      <c r="E336" s="797"/>
      <c r="F336" s="789">
        <v>0</v>
      </c>
      <c r="G336" s="789">
        <v>0</v>
      </c>
      <c r="H336" s="789">
        <v>0</v>
      </c>
      <c r="I336" s="789">
        <v>0</v>
      </c>
      <c r="J336" s="337"/>
      <c r="K336" s="337"/>
      <c r="L336" s="337"/>
      <c r="M336" s="337"/>
      <c r="N336" s="337"/>
      <c r="O336" s="337"/>
      <c r="P336" s="789"/>
    </row>
    <row r="337" spans="2:16" s="48" customFormat="1" ht="15" hidden="1">
      <c r="B337" s="107"/>
      <c r="C337" s="801"/>
      <c r="D337" s="793"/>
      <c r="E337" s="801"/>
      <c r="F337" s="804"/>
      <c r="G337" s="804"/>
      <c r="H337" s="804"/>
      <c r="I337" s="804"/>
      <c r="J337" s="337"/>
      <c r="K337" s="337"/>
      <c r="L337" s="337"/>
      <c r="M337" s="337"/>
      <c r="N337" s="337"/>
      <c r="O337" s="337"/>
      <c r="P337" s="789"/>
    </row>
    <row r="338" spans="2:16" s="48" customFormat="1" ht="15" hidden="1">
      <c r="B338" s="107"/>
      <c r="C338" s="790"/>
      <c r="D338" s="798" t="s">
        <v>102</v>
      </c>
      <c r="E338" s="797"/>
      <c r="F338" s="796">
        <f>SUM(F329:F336)</f>
        <v>0</v>
      </c>
      <c r="G338" s="789">
        <f>SUM(G329:G336)</f>
        <v>0</v>
      </c>
      <c r="H338" s="789">
        <f>SUM(H329:H336)</f>
        <v>0</v>
      </c>
      <c r="I338" s="789">
        <f>SUM(I329:I336)</f>
        <v>0</v>
      </c>
      <c r="J338" s="337"/>
      <c r="K338" s="337"/>
      <c r="L338" s="337"/>
      <c r="M338" s="337"/>
      <c r="N338" s="337"/>
      <c r="O338" s="337"/>
      <c r="P338" s="789"/>
    </row>
    <row r="339" spans="2:16" hidden="1">
      <c r="B339" s="341"/>
      <c r="C339" s="718"/>
      <c r="D339" s="746"/>
      <c r="E339" s="769"/>
      <c r="F339" s="768"/>
      <c r="G339" s="718"/>
      <c r="H339" s="718"/>
      <c r="I339" s="718"/>
      <c r="J339" s="338"/>
      <c r="K339" s="338"/>
      <c r="L339" s="338"/>
      <c r="M339" s="338"/>
      <c r="N339" s="338"/>
      <c r="O339" s="338"/>
      <c r="P339" s="789"/>
    </row>
    <row r="340" spans="2:16" hidden="1">
      <c r="B340" s="341"/>
      <c r="C340" s="748" t="s">
        <v>727</v>
      </c>
      <c r="D340" s="746"/>
      <c r="E340" s="728"/>
      <c r="F340" s="718"/>
      <c r="G340" s="718"/>
      <c r="H340" s="718"/>
      <c r="I340" s="787" t="s">
        <v>724</v>
      </c>
      <c r="J340" s="338"/>
      <c r="K340" s="338"/>
      <c r="L340" s="338"/>
      <c r="M340" s="338"/>
      <c r="N340" s="338"/>
      <c r="O340" s="338"/>
      <c r="P340" s="789"/>
    </row>
    <row r="341" spans="2:16" hidden="1">
      <c r="B341" s="341"/>
      <c r="C341" s="718"/>
      <c r="D341" s="746"/>
      <c r="E341" s="769"/>
      <c r="F341" s="768"/>
      <c r="G341" s="718"/>
      <c r="H341" s="718"/>
      <c r="I341" s="718"/>
      <c r="J341" s="338"/>
      <c r="K341" s="338"/>
      <c r="L341" s="338"/>
      <c r="M341" s="338"/>
      <c r="N341" s="338"/>
      <c r="O341" s="338"/>
      <c r="P341" s="789"/>
    </row>
    <row r="342" spans="2:16" ht="15" hidden="1">
      <c r="B342" s="106"/>
      <c r="C342" s="745" t="s">
        <v>32</v>
      </c>
      <c r="D342" s="744" t="s">
        <v>59</v>
      </c>
      <c r="E342" s="784" t="s">
        <v>162</v>
      </c>
      <c r="F342" s="803" t="s">
        <v>717</v>
      </c>
      <c r="G342" s="742" t="s">
        <v>719</v>
      </c>
      <c r="H342" s="742" t="s">
        <v>720</v>
      </c>
      <c r="I342" s="742" t="s">
        <v>718</v>
      </c>
      <c r="J342" s="338"/>
      <c r="K342" s="338"/>
      <c r="L342" s="338"/>
      <c r="M342" s="338"/>
      <c r="N342" s="338"/>
      <c r="O342" s="338"/>
      <c r="P342" s="789"/>
    </row>
    <row r="343" spans="2:16" s="48" customFormat="1" ht="15" hidden="1">
      <c r="B343" s="107"/>
      <c r="C343" s="714" t="s">
        <v>1015</v>
      </c>
      <c r="D343" s="765" t="s">
        <v>1014</v>
      </c>
      <c r="E343" s="802"/>
      <c r="F343" s="796">
        <v>0</v>
      </c>
      <c r="G343" s="796">
        <v>0</v>
      </c>
      <c r="H343" s="796">
        <v>0</v>
      </c>
      <c r="I343" s="796">
        <v>0</v>
      </c>
      <c r="J343" s="337"/>
      <c r="K343" s="337"/>
      <c r="L343" s="337"/>
      <c r="M343" s="337"/>
      <c r="N343" s="337"/>
      <c r="O343" s="337"/>
      <c r="P343" s="789"/>
    </row>
    <row r="344" spans="2:16" s="48" customFormat="1" ht="15" hidden="1">
      <c r="B344" s="107"/>
      <c r="C344" s="714" t="s">
        <v>1013</v>
      </c>
      <c r="D344" s="765" t="s">
        <v>1012</v>
      </c>
      <c r="E344" s="802"/>
      <c r="F344" s="796">
        <v>0</v>
      </c>
      <c r="G344" s="796">
        <v>0</v>
      </c>
      <c r="H344" s="796">
        <v>0</v>
      </c>
      <c r="I344" s="796">
        <v>0</v>
      </c>
      <c r="J344" s="337"/>
      <c r="K344" s="337"/>
      <c r="L344" s="337"/>
      <c r="M344" s="337"/>
      <c r="N344" s="337"/>
      <c r="O344" s="337"/>
      <c r="P344" s="789"/>
    </row>
    <row r="345" spans="2:16" s="48" customFormat="1" ht="15" hidden="1">
      <c r="B345" s="107"/>
      <c r="C345" s="714" t="s">
        <v>1011</v>
      </c>
      <c r="D345" s="765" t="s">
        <v>1010</v>
      </c>
      <c r="E345" s="802"/>
      <c r="F345" s="796">
        <v>0</v>
      </c>
      <c r="G345" s="796">
        <v>0</v>
      </c>
      <c r="H345" s="796">
        <v>0</v>
      </c>
      <c r="I345" s="796">
        <v>0</v>
      </c>
      <c r="J345" s="337"/>
      <c r="K345" s="337"/>
      <c r="L345" s="337"/>
      <c r="M345" s="337"/>
      <c r="N345" s="337"/>
      <c r="O345" s="337"/>
      <c r="P345" s="789"/>
    </row>
    <row r="346" spans="2:16" s="48" customFormat="1" ht="26" hidden="1">
      <c r="B346" s="107"/>
      <c r="C346" s="714" t="s">
        <v>1009</v>
      </c>
      <c r="D346" s="765" t="s">
        <v>1008</v>
      </c>
      <c r="E346" s="802"/>
      <c r="F346" s="796">
        <v>0</v>
      </c>
      <c r="G346" s="796">
        <v>0</v>
      </c>
      <c r="H346" s="796">
        <v>0</v>
      </c>
      <c r="I346" s="796">
        <v>0</v>
      </c>
      <c r="J346" s="337"/>
      <c r="K346" s="337"/>
      <c r="L346" s="337"/>
      <c r="M346" s="337"/>
      <c r="N346" s="337"/>
      <c r="O346" s="337"/>
      <c r="P346" s="789"/>
    </row>
    <row r="347" spans="2:16" s="48" customFormat="1" ht="15" hidden="1">
      <c r="B347" s="107"/>
      <c r="C347" s="714" t="s">
        <v>1007</v>
      </c>
      <c r="D347" s="765" t="s">
        <v>1006</v>
      </c>
      <c r="E347" s="802"/>
      <c r="F347" s="796">
        <v>0</v>
      </c>
      <c r="G347" s="796">
        <v>0</v>
      </c>
      <c r="H347" s="796">
        <v>0</v>
      </c>
      <c r="I347" s="796">
        <v>0</v>
      </c>
      <c r="J347" s="337"/>
      <c r="K347" s="337"/>
      <c r="L347" s="337"/>
      <c r="M347" s="337"/>
      <c r="N347" s="337"/>
      <c r="O347" s="337"/>
      <c r="P347" s="789"/>
    </row>
    <row r="348" spans="2:16" s="48" customFormat="1" ht="15" hidden="1">
      <c r="B348" s="107"/>
      <c r="C348" s="790" t="s">
        <v>1005</v>
      </c>
      <c r="D348" s="765" t="s">
        <v>1004</v>
      </c>
      <c r="E348" s="797"/>
      <c r="F348" s="796">
        <v>0</v>
      </c>
      <c r="G348" s="796">
        <v>0</v>
      </c>
      <c r="H348" s="796">
        <v>0</v>
      </c>
      <c r="I348" s="796">
        <v>0</v>
      </c>
      <c r="J348" s="337"/>
      <c r="K348" s="337"/>
      <c r="L348" s="337"/>
      <c r="M348" s="337"/>
      <c r="N348" s="337"/>
      <c r="O348" s="337"/>
      <c r="P348" s="789"/>
    </row>
    <row r="349" spans="2:16" s="48" customFormat="1" ht="15" hidden="1">
      <c r="B349" s="107"/>
      <c r="C349" s="790" t="s">
        <v>1003</v>
      </c>
      <c r="D349" s="765" t="s">
        <v>1002</v>
      </c>
      <c r="E349" s="797"/>
      <c r="F349" s="796">
        <v>0</v>
      </c>
      <c r="G349" s="796">
        <v>0</v>
      </c>
      <c r="H349" s="796">
        <v>0</v>
      </c>
      <c r="I349" s="796">
        <v>0</v>
      </c>
      <c r="J349" s="337"/>
      <c r="K349" s="337"/>
      <c r="L349" s="337"/>
      <c r="M349" s="337"/>
      <c r="N349" s="337"/>
      <c r="O349" s="337"/>
      <c r="P349" s="789"/>
    </row>
    <row r="350" spans="2:16" s="48" customFormat="1" ht="15" hidden="1">
      <c r="B350" s="107"/>
      <c r="C350" s="790" t="s">
        <v>1001</v>
      </c>
      <c r="D350" s="765" t="s">
        <v>97</v>
      </c>
      <c r="E350" s="797"/>
      <c r="F350" s="796"/>
      <c r="G350" s="796"/>
      <c r="H350" s="796"/>
      <c r="I350" s="796"/>
      <c r="J350" s="337"/>
      <c r="K350" s="337"/>
      <c r="L350" s="337"/>
      <c r="M350" s="337"/>
      <c r="N350" s="337"/>
      <c r="O350" s="337"/>
      <c r="P350" s="789"/>
    </row>
    <row r="351" spans="2:16" s="48" customFormat="1" ht="15" hidden="1">
      <c r="B351" s="107"/>
      <c r="C351" s="801"/>
      <c r="D351" s="793"/>
      <c r="E351" s="800"/>
      <c r="F351" s="799"/>
      <c r="G351" s="799"/>
      <c r="H351" s="799"/>
      <c r="I351" s="799"/>
      <c r="J351" s="337"/>
      <c r="K351" s="337"/>
      <c r="L351" s="337"/>
      <c r="M351" s="337"/>
      <c r="N351" s="337"/>
      <c r="O351" s="337"/>
      <c r="P351" s="789"/>
    </row>
    <row r="352" spans="2:16" s="48" customFormat="1" ht="15" hidden="1">
      <c r="B352" s="107"/>
      <c r="C352" s="790"/>
      <c r="D352" s="798" t="s">
        <v>102</v>
      </c>
      <c r="E352" s="797"/>
      <c r="F352" s="796">
        <f>SUM(F343:F351)</f>
        <v>0</v>
      </c>
      <c r="G352" s="789">
        <f>SUM(G343:G351)</f>
        <v>0</v>
      </c>
      <c r="H352" s="789">
        <f>SUM(H343:H351)</f>
        <v>0</v>
      </c>
      <c r="I352" s="789">
        <f>SUM(I343:I351)</f>
        <v>0</v>
      </c>
      <c r="J352" s="337"/>
      <c r="K352" s="337"/>
      <c r="L352" s="337"/>
      <c r="M352" s="337"/>
      <c r="N352" s="337"/>
      <c r="O352" s="337"/>
      <c r="P352" s="789"/>
    </row>
    <row r="353" spans="2:16" s="48" customFormat="1" ht="15" hidden="1">
      <c r="B353" s="107"/>
      <c r="C353" s="337"/>
      <c r="D353" s="692"/>
      <c r="E353" s="337"/>
      <c r="F353" s="149"/>
      <c r="G353" s="149"/>
      <c r="H353" s="149"/>
      <c r="I353" s="149"/>
      <c r="J353" s="337"/>
      <c r="K353" s="337"/>
      <c r="L353" s="337"/>
      <c r="M353" s="337"/>
      <c r="N353" s="337"/>
      <c r="O353" s="337"/>
      <c r="P353" s="789"/>
    </row>
    <row r="354" spans="2:16" hidden="1">
      <c r="B354" s="341"/>
      <c r="C354" s="748" t="s">
        <v>721</v>
      </c>
      <c r="D354" s="746"/>
      <c r="E354" s="718"/>
      <c r="F354" s="718"/>
      <c r="G354" s="718"/>
      <c r="H354" s="718"/>
      <c r="I354" s="718"/>
      <c r="J354" s="718"/>
      <c r="K354" s="718"/>
      <c r="L354" s="718"/>
      <c r="M354" s="718"/>
      <c r="N354" s="718"/>
      <c r="O354" s="787" t="str">
        <f>"kt per "&amp;Preferences.EnergyUnits</f>
        <v>kt per PJ</v>
      </c>
      <c r="P354" s="789"/>
    </row>
    <row r="355" spans="2:16" hidden="1">
      <c r="B355" s="341"/>
      <c r="C355" s="718"/>
      <c r="D355" s="746"/>
      <c r="E355" s="769"/>
      <c r="F355" s="768"/>
      <c r="G355" s="718"/>
      <c r="H355" s="718"/>
      <c r="I355" s="718"/>
      <c r="J355" s="718"/>
      <c r="K355" s="718"/>
      <c r="L355" s="718"/>
      <c r="M355" s="718"/>
      <c r="N355" s="718"/>
      <c r="O355" s="718"/>
      <c r="P355" s="789"/>
    </row>
    <row r="356" spans="2:16" ht="14" hidden="1">
      <c r="B356" s="341"/>
      <c r="C356" s="786" t="s">
        <v>63</v>
      </c>
      <c r="D356" s="785" t="s">
        <v>245</v>
      </c>
      <c r="E356" s="784" t="s">
        <v>58</v>
      </c>
      <c r="F356" s="782">
        <v>2007</v>
      </c>
      <c r="G356" s="782" t="s">
        <v>203</v>
      </c>
      <c r="H356" s="782" t="s">
        <v>228</v>
      </c>
      <c r="I356" s="782" t="s">
        <v>229</v>
      </c>
      <c r="J356" s="782" t="s">
        <v>230</v>
      </c>
      <c r="K356" s="782" t="s">
        <v>231</v>
      </c>
      <c r="L356" s="782" t="s">
        <v>232</v>
      </c>
      <c r="M356" s="782" t="s">
        <v>233</v>
      </c>
      <c r="N356" s="782" t="s">
        <v>234</v>
      </c>
      <c r="O356" s="742" t="s">
        <v>235</v>
      </c>
      <c r="P356" s="789"/>
    </row>
    <row r="357" spans="2:16" ht="14" hidden="1">
      <c r="B357" s="341"/>
      <c r="C357" s="781" t="s">
        <v>1352</v>
      </c>
      <c r="D357" s="780" t="e">
        <f>INDEX(Modules[Module], MATCH($A357, Modules[Code], 0))</f>
        <v>#N/A</v>
      </c>
      <c r="E357" s="779" t="s">
        <v>33</v>
      </c>
      <c r="F357" s="778">
        <f>IND.Tech!$F$20</f>
        <v>0</v>
      </c>
      <c r="G357" s="778">
        <f>IND.Tech!$F$20</f>
        <v>0</v>
      </c>
      <c r="H357" s="778">
        <f>IND.Tech!$F$20</f>
        <v>0</v>
      </c>
      <c r="I357" s="778">
        <f>IND.Tech!$F$20</f>
        <v>0</v>
      </c>
      <c r="J357" s="778">
        <f>IND.Tech!$F$20</f>
        <v>0</v>
      </c>
      <c r="K357" s="778">
        <f>IND.Tech!$F$20</f>
        <v>0</v>
      </c>
      <c r="L357" s="778">
        <f>IND.Tech!$F$20</f>
        <v>0</v>
      </c>
      <c r="M357" s="778">
        <f>IND.Tech!$F$20</f>
        <v>0</v>
      </c>
      <c r="N357" s="778">
        <f>IND.Tech!$F$20</f>
        <v>0</v>
      </c>
      <c r="O357" s="778">
        <f>IND.Tech!$F$20</f>
        <v>0</v>
      </c>
      <c r="P357" s="789"/>
    </row>
    <row r="358" spans="2:16" hidden="1">
      <c r="B358" s="341"/>
      <c r="C358" s="794"/>
      <c r="D358" s="795"/>
      <c r="E358" s="794"/>
      <c r="F358" s="794"/>
      <c r="G358" s="794"/>
      <c r="H358" s="794"/>
      <c r="I358" s="794"/>
      <c r="J358" s="794"/>
      <c r="K358" s="794"/>
      <c r="L358" s="794"/>
      <c r="M358" s="794"/>
      <c r="N358" s="794"/>
      <c r="O358" s="794"/>
      <c r="P358" s="789"/>
    </row>
    <row r="359" spans="2:16" hidden="1">
      <c r="B359" s="341"/>
      <c r="C359" s="718"/>
      <c r="D359" s="746"/>
      <c r="E359" s="718"/>
      <c r="F359" s="718"/>
      <c r="G359" s="718"/>
      <c r="H359" s="718"/>
      <c r="I359" s="718"/>
      <c r="J359" s="718"/>
      <c r="K359" s="718"/>
      <c r="L359" s="718"/>
      <c r="M359" s="718"/>
      <c r="N359" s="718"/>
      <c r="O359" s="718"/>
      <c r="P359" s="789"/>
    </row>
    <row r="360" spans="2:16" hidden="1">
      <c r="B360" s="341"/>
      <c r="C360" s="748" t="s">
        <v>722</v>
      </c>
      <c r="D360" s="746"/>
      <c r="E360" s="718"/>
      <c r="F360" s="718"/>
      <c r="G360" s="718"/>
      <c r="H360" s="718"/>
      <c r="I360" s="718"/>
      <c r="J360" s="718"/>
      <c r="K360" s="718"/>
      <c r="L360" s="718"/>
      <c r="M360" s="718"/>
      <c r="N360" s="718"/>
      <c r="O360" s="787" t="str">
        <f>"kt per "&amp;Preferences.EnergyUnits</f>
        <v>kt per PJ</v>
      </c>
      <c r="P360" s="789"/>
    </row>
    <row r="361" spans="2:16" hidden="1">
      <c r="B361" s="341"/>
      <c r="C361" s="718"/>
      <c r="D361" s="746"/>
      <c r="E361" s="769"/>
      <c r="F361" s="768"/>
      <c r="G361" s="718"/>
      <c r="H361" s="718"/>
      <c r="I361" s="718"/>
      <c r="J361" s="718"/>
      <c r="K361" s="718"/>
      <c r="L361" s="718"/>
      <c r="M361" s="718"/>
      <c r="N361" s="718"/>
      <c r="O361" s="718"/>
      <c r="P361" s="789"/>
    </row>
    <row r="362" spans="2:16" ht="14" hidden="1">
      <c r="B362" s="341"/>
      <c r="C362" s="786" t="s">
        <v>63</v>
      </c>
      <c r="D362" s="785" t="s">
        <v>245</v>
      </c>
      <c r="E362" s="784" t="s">
        <v>58</v>
      </c>
      <c r="F362" s="783">
        <v>2007</v>
      </c>
      <c r="G362" s="782" t="s">
        <v>203</v>
      </c>
      <c r="H362" s="782" t="s">
        <v>228</v>
      </c>
      <c r="I362" s="782" t="s">
        <v>229</v>
      </c>
      <c r="J362" s="782" t="s">
        <v>230</v>
      </c>
      <c r="K362" s="782" t="s">
        <v>231</v>
      </c>
      <c r="L362" s="782" t="s">
        <v>232</v>
      </c>
      <c r="M362" s="782" t="s">
        <v>233</v>
      </c>
      <c r="N362" s="782" t="s">
        <v>234</v>
      </c>
      <c r="O362" s="742" t="s">
        <v>235</v>
      </c>
      <c r="P362" s="789"/>
    </row>
    <row r="363" spans="2:16" ht="14" hidden="1">
      <c r="B363" s="341"/>
      <c r="C363" s="781" t="s">
        <v>1352</v>
      </c>
      <c r="D363" s="780" t="e">
        <f>INDEX(Modules[Module], MATCH($A363, Modules[Code], 0))</f>
        <v>#N/A</v>
      </c>
      <c r="E363" s="779" t="s">
        <v>33</v>
      </c>
      <c r="F363" s="778">
        <f>IND.Tech!$F$20</f>
        <v>0</v>
      </c>
      <c r="G363" s="778">
        <f>IND.Tech!$F$20</f>
        <v>0</v>
      </c>
      <c r="H363" s="778">
        <f>IND.Tech!$F$20</f>
        <v>0</v>
      </c>
      <c r="I363" s="778">
        <f>IND.Tech!$F$20</f>
        <v>0</v>
      </c>
      <c r="J363" s="778">
        <f>IND.Tech!$F$20</f>
        <v>0</v>
      </c>
      <c r="K363" s="778">
        <f>IND.Tech!$F$20</f>
        <v>0</v>
      </c>
      <c r="L363" s="778">
        <f>IND.Tech!$F$20</f>
        <v>0</v>
      </c>
      <c r="M363" s="778">
        <f>IND.Tech!$F$20</f>
        <v>0</v>
      </c>
      <c r="N363" s="778">
        <f>IND.Tech!$F$20</f>
        <v>0</v>
      </c>
      <c r="O363" s="778">
        <f>IND.Tech!$F$20</f>
        <v>0</v>
      </c>
      <c r="P363" s="789"/>
    </row>
    <row r="364" spans="2:16" hidden="1">
      <c r="B364" s="341"/>
      <c r="C364" s="794"/>
      <c r="D364" s="795"/>
      <c r="E364" s="794"/>
      <c r="F364" s="794"/>
      <c r="G364" s="794"/>
      <c r="H364" s="794"/>
      <c r="I364" s="794"/>
      <c r="J364" s="794"/>
      <c r="K364" s="794"/>
      <c r="L364" s="794"/>
      <c r="M364" s="794"/>
      <c r="N364" s="794"/>
      <c r="O364" s="794"/>
      <c r="P364" s="789"/>
    </row>
    <row r="365" spans="2:16" hidden="1">
      <c r="B365" s="341"/>
      <c r="C365" s="718"/>
      <c r="D365" s="746"/>
      <c r="E365" s="718"/>
      <c r="F365" s="718">
        <v>0</v>
      </c>
      <c r="G365" s="718"/>
      <c r="H365" s="718"/>
      <c r="I365" s="718"/>
      <c r="J365" s="718"/>
      <c r="K365" s="718"/>
      <c r="L365" s="718"/>
      <c r="M365" s="718"/>
      <c r="N365" s="718"/>
      <c r="O365" s="718"/>
      <c r="P365" s="789"/>
    </row>
    <row r="366" spans="2:16" hidden="1">
      <c r="B366" s="341"/>
      <c r="C366" s="748" t="s">
        <v>723</v>
      </c>
      <c r="D366" s="746"/>
      <c r="E366" s="718"/>
      <c r="F366" s="718"/>
      <c r="G366" s="718"/>
      <c r="H366" s="718"/>
      <c r="I366" s="718"/>
      <c r="J366" s="718"/>
      <c r="K366" s="718"/>
      <c r="L366" s="718"/>
      <c r="M366" s="718"/>
      <c r="N366" s="718"/>
      <c r="O366" s="787" t="str">
        <f>"kt per "&amp;Preferences.EnergyUnits</f>
        <v>kt per PJ</v>
      </c>
      <c r="P366" s="789"/>
    </row>
    <row r="367" spans="2:16" hidden="1">
      <c r="B367" s="341"/>
      <c r="C367" s="718"/>
      <c r="D367" s="746"/>
      <c r="E367" s="769"/>
      <c r="F367" s="768"/>
      <c r="G367" s="718"/>
      <c r="H367" s="718"/>
      <c r="I367" s="718"/>
      <c r="J367" s="718"/>
      <c r="K367" s="718"/>
      <c r="L367" s="718"/>
      <c r="M367" s="718"/>
      <c r="N367" s="718"/>
      <c r="O367" s="718"/>
      <c r="P367" s="789"/>
    </row>
    <row r="368" spans="2:16" ht="14" hidden="1">
      <c r="B368" s="341"/>
      <c r="C368" s="786" t="s">
        <v>63</v>
      </c>
      <c r="D368" s="785" t="s">
        <v>245</v>
      </c>
      <c r="E368" s="784" t="s">
        <v>58</v>
      </c>
      <c r="F368" s="783">
        <v>2007</v>
      </c>
      <c r="G368" s="782" t="s">
        <v>203</v>
      </c>
      <c r="H368" s="782" t="s">
        <v>228</v>
      </c>
      <c r="I368" s="782" t="s">
        <v>229</v>
      </c>
      <c r="J368" s="782" t="s">
        <v>230</v>
      </c>
      <c r="K368" s="782" t="s">
        <v>231</v>
      </c>
      <c r="L368" s="782" t="s">
        <v>232</v>
      </c>
      <c r="M368" s="782" t="s">
        <v>233</v>
      </c>
      <c r="N368" s="782" t="s">
        <v>234</v>
      </c>
      <c r="O368" s="742" t="s">
        <v>235</v>
      </c>
      <c r="P368" s="789"/>
    </row>
    <row r="369" spans="2:23" ht="14" hidden="1">
      <c r="B369" s="341"/>
      <c r="C369" s="781" t="s">
        <v>1352</v>
      </c>
      <c r="D369" s="780" t="e">
        <f>INDEX(Modules[Module], MATCH($A369, Modules[Code], 0))</f>
        <v>#N/A</v>
      </c>
      <c r="E369" s="779" t="s">
        <v>33</v>
      </c>
      <c r="F369" s="778">
        <f>IND.Tech!$F$20</f>
        <v>0</v>
      </c>
      <c r="G369" s="778">
        <f>IND.Tech!$F$20</f>
        <v>0</v>
      </c>
      <c r="H369" s="778">
        <f>IND.Tech!$F$20</f>
        <v>0</v>
      </c>
      <c r="I369" s="778">
        <f>IND.Tech!$F$20</f>
        <v>0</v>
      </c>
      <c r="J369" s="778">
        <f>IND.Tech!$F$20</f>
        <v>0</v>
      </c>
      <c r="K369" s="778">
        <f>IND.Tech!$F$20</f>
        <v>0</v>
      </c>
      <c r="L369" s="778">
        <f>IND.Tech!$F$20</f>
        <v>0</v>
      </c>
      <c r="M369" s="778">
        <f>IND.Tech!$F$20</f>
        <v>0</v>
      </c>
      <c r="N369" s="778">
        <f>IND.Tech!$F$20</f>
        <v>0</v>
      </c>
      <c r="O369" s="778">
        <f>IND.Tech!$F$20</f>
        <v>0</v>
      </c>
      <c r="P369" s="789"/>
    </row>
    <row r="370" spans="2:23" ht="14" hidden="1">
      <c r="B370" s="341"/>
      <c r="C370" s="735"/>
      <c r="D370" s="793"/>
      <c r="E370" s="792"/>
      <c r="F370" s="791"/>
      <c r="G370" s="791"/>
      <c r="H370" s="791"/>
      <c r="I370" s="791"/>
      <c r="J370" s="791"/>
      <c r="K370" s="791"/>
      <c r="L370" s="791"/>
      <c r="M370" s="791"/>
      <c r="N370" s="791"/>
      <c r="O370" s="791"/>
      <c r="P370" s="789"/>
    </row>
    <row r="371" spans="2:23" hidden="1">
      <c r="B371" s="341"/>
      <c r="C371" s="790"/>
      <c r="D371" s="765"/>
      <c r="E371" s="790"/>
      <c r="F371" s="789"/>
      <c r="G371" s="788"/>
      <c r="H371" s="788"/>
      <c r="I371" s="788"/>
      <c r="J371" s="788"/>
      <c r="K371" s="788"/>
      <c r="L371" s="788"/>
      <c r="M371" s="788"/>
      <c r="N371" s="788"/>
      <c r="O371" s="788"/>
      <c r="P371" s="789"/>
    </row>
    <row r="372" spans="2:23" hidden="1">
      <c r="B372" s="341"/>
      <c r="C372" s="748" t="s">
        <v>725</v>
      </c>
      <c r="D372" s="746"/>
      <c r="E372" s="718"/>
      <c r="F372" s="718"/>
      <c r="G372" s="718"/>
      <c r="H372" s="718"/>
      <c r="I372" s="718"/>
      <c r="J372" s="718"/>
      <c r="K372" s="718"/>
      <c r="L372" s="718"/>
      <c r="M372" s="718"/>
      <c r="N372" s="718"/>
      <c r="O372" s="787" t="str">
        <f>"kt per "&amp;Preferences.EnergyUnits</f>
        <v>kt per PJ</v>
      </c>
      <c r="P372" s="789"/>
    </row>
    <row r="373" spans="2:23" hidden="1">
      <c r="B373" s="341"/>
      <c r="C373" s="718"/>
      <c r="D373" s="746"/>
      <c r="E373" s="769"/>
      <c r="F373" s="768"/>
      <c r="G373" s="718"/>
      <c r="H373" s="718"/>
      <c r="I373" s="718"/>
      <c r="J373" s="718"/>
      <c r="K373" s="718"/>
      <c r="L373" s="718"/>
      <c r="M373" s="718"/>
      <c r="N373" s="718"/>
      <c r="O373" s="718"/>
      <c r="P373" s="789"/>
    </row>
    <row r="374" spans="2:23" ht="14" hidden="1">
      <c r="B374" s="341"/>
      <c r="C374" s="786" t="s">
        <v>63</v>
      </c>
      <c r="D374" s="785" t="s">
        <v>245</v>
      </c>
      <c r="E374" s="784" t="s">
        <v>58</v>
      </c>
      <c r="F374" s="783">
        <v>2007</v>
      </c>
      <c r="G374" s="782" t="s">
        <v>203</v>
      </c>
      <c r="H374" s="782" t="s">
        <v>228</v>
      </c>
      <c r="I374" s="782" t="s">
        <v>229</v>
      </c>
      <c r="J374" s="782" t="s">
        <v>230</v>
      </c>
      <c r="K374" s="782" t="s">
        <v>231</v>
      </c>
      <c r="L374" s="782" t="s">
        <v>232</v>
      </c>
      <c r="M374" s="782" t="s">
        <v>233</v>
      </c>
      <c r="N374" s="782" t="s">
        <v>234</v>
      </c>
      <c r="O374" s="742" t="s">
        <v>235</v>
      </c>
      <c r="P374" s="789"/>
    </row>
    <row r="375" spans="2:23" ht="14" hidden="1">
      <c r="B375" s="341"/>
      <c r="C375" s="781" t="s">
        <v>1352</v>
      </c>
      <c r="D375" s="780" t="e">
        <f>INDEX(Modules[Module], MATCH($A375, Modules[Code], 0))</f>
        <v>#N/A</v>
      </c>
      <c r="E375" s="779" t="s">
        <v>33</v>
      </c>
      <c r="F375" s="778">
        <f>IND.Tech!$F$20</f>
        <v>0</v>
      </c>
      <c r="G375" s="778">
        <f>IND.Tech!$F$20</f>
        <v>0</v>
      </c>
      <c r="H375" s="778">
        <f>IND.Tech!$F$20</f>
        <v>0</v>
      </c>
      <c r="I375" s="778">
        <f>IND.Tech!$F$20</f>
        <v>0</v>
      </c>
      <c r="J375" s="778">
        <f>IND.Tech!$F$20</f>
        <v>0</v>
      </c>
      <c r="K375" s="778">
        <f>IND.Tech!$F$20</f>
        <v>0</v>
      </c>
      <c r="L375" s="778">
        <f>IND.Tech!$F$20</f>
        <v>0</v>
      </c>
      <c r="M375" s="778">
        <f>IND.Tech!$F$20</f>
        <v>0</v>
      </c>
      <c r="N375" s="778">
        <f>IND.Tech!$F$20</f>
        <v>0</v>
      </c>
      <c r="O375" s="778">
        <f>IND.Tech!$F$20</f>
        <v>0</v>
      </c>
      <c r="P375" s="789"/>
    </row>
    <row r="376" spans="2:23" ht="14" hidden="1">
      <c r="B376" s="341"/>
      <c r="C376" s="777"/>
      <c r="D376" s="776"/>
      <c r="E376" s="775"/>
      <c r="F376" s="774"/>
      <c r="G376" s="773"/>
      <c r="H376" s="773"/>
      <c r="I376" s="773"/>
      <c r="J376" s="773"/>
      <c r="K376" s="773"/>
      <c r="L376" s="773"/>
      <c r="M376" s="773"/>
      <c r="N376" s="773"/>
      <c r="O376" s="773"/>
      <c r="P376" s="789"/>
    </row>
    <row r="377" spans="2:23" hidden="1">
      <c r="B377" s="341"/>
      <c r="C377" s="337"/>
      <c r="D377" s="689"/>
      <c r="E377" s="192"/>
      <c r="F377" s="193"/>
      <c r="G377" s="421"/>
      <c r="H377" s="421"/>
      <c r="I377" s="421"/>
      <c r="J377" s="421"/>
      <c r="K377" s="421"/>
      <c r="L377" s="421"/>
      <c r="M377" s="421"/>
      <c r="N377" s="421"/>
      <c r="O377" s="421"/>
      <c r="P377" s="789"/>
    </row>
    <row r="378" spans="2:23" s="1261" customFormat="1">
      <c r="B378" s="341"/>
      <c r="C378" s="338" t="s">
        <v>227</v>
      </c>
      <c r="D378" s="687"/>
      <c r="E378" s="338"/>
      <c r="F378" s="338"/>
      <c r="G378" s="338"/>
      <c r="H378" s="338"/>
      <c r="I378" s="338"/>
      <c r="J378" s="338"/>
      <c r="K378" s="338"/>
      <c r="L378" s="338"/>
      <c r="M378" s="338"/>
      <c r="N378" s="338"/>
      <c r="O378" s="338"/>
      <c r="P378" s="789"/>
    </row>
    <row r="379" spans="2:23" s="1261" customFormat="1">
      <c r="B379" s="341"/>
      <c r="C379" s="772" t="s">
        <v>88</v>
      </c>
      <c r="D379" s="288" t="s">
        <v>1905</v>
      </c>
      <c r="E379" s="338"/>
      <c r="F379" s="338"/>
      <c r="G379" s="338"/>
      <c r="H379" s="338"/>
      <c r="I379" s="338"/>
      <c r="J379" s="338"/>
      <c r="K379" s="338"/>
      <c r="L379" s="338"/>
      <c r="M379" s="338"/>
      <c r="N379" s="338"/>
      <c r="O379" s="338"/>
      <c r="P379" s="789"/>
    </row>
    <row r="380" spans="2:23" s="1261" customFormat="1">
      <c r="B380" s="341"/>
      <c r="C380" s="772" t="s">
        <v>94</v>
      </c>
      <c r="D380" s="288" t="s">
        <v>1351</v>
      </c>
      <c r="E380" s="338"/>
      <c r="F380" s="338"/>
      <c r="G380" s="338"/>
      <c r="H380" s="338"/>
      <c r="I380" s="338"/>
      <c r="J380" s="338"/>
      <c r="K380" s="338"/>
      <c r="L380" s="338"/>
      <c r="M380" s="338"/>
      <c r="N380" s="338"/>
      <c r="O380" s="338"/>
      <c r="P380" s="789"/>
      <c r="T380" s="333"/>
      <c r="U380" s="333"/>
      <c r="V380" s="333"/>
      <c r="W380" s="333"/>
    </row>
    <row r="381" spans="2:23" s="1456" customFormat="1">
      <c r="B381" s="1440"/>
      <c r="C381" s="772" t="s">
        <v>95</v>
      </c>
      <c r="D381" s="288" t="s">
        <v>2460</v>
      </c>
      <c r="E381" s="1440"/>
      <c r="F381" s="1440"/>
      <c r="G381" s="1440"/>
      <c r="H381" s="1440"/>
      <c r="I381" s="1440"/>
      <c r="J381" s="1440"/>
      <c r="K381" s="1440"/>
      <c r="L381" s="1440"/>
      <c r="M381" s="1440"/>
      <c r="N381" s="1440"/>
      <c r="O381" s="1440"/>
      <c r="P381" s="789"/>
      <c r="T381" s="333"/>
      <c r="U381" s="333"/>
      <c r="V381" s="333"/>
      <c r="W381" s="333"/>
    </row>
    <row r="382" spans="2:23" s="1261" customFormat="1">
      <c r="B382" s="338"/>
      <c r="C382" s="772"/>
      <c r="D382" s="288"/>
      <c r="E382" s="338"/>
      <c r="F382" s="338"/>
      <c r="G382" s="338"/>
      <c r="H382" s="338"/>
      <c r="I382" s="338"/>
      <c r="J382" s="338"/>
      <c r="K382" s="338"/>
      <c r="L382" s="338"/>
      <c r="M382" s="338"/>
      <c r="N382" s="338"/>
      <c r="O382" s="338"/>
      <c r="P382" s="789"/>
      <c r="T382" s="333"/>
      <c r="U382" s="333"/>
      <c r="V382" s="333"/>
      <c r="W382" s="333"/>
    </row>
    <row r="383" spans="2:23" s="333" customFormat="1">
      <c r="B383" s="371"/>
      <c r="C383" s="372"/>
      <c r="D383" s="771"/>
      <c r="E383" s="371"/>
      <c r="F383" s="371"/>
      <c r="G383" s="371"/>
      <c r="H383" s="371"/>
      <c r="I383" s="371"/>
      <c r="J383" s="371"/>
      <c r="K383" s="371"/>
      <c r="L383" s="371"/>
      <c r="M383" s="371"/>
      <c r="N383" s="371"/>
      <c r="O383" s="371"/>
      <c r="P383" s="371"/>
      <c r="R383" s="1086"/>
      <c r="S383" s="1086"/>
      <c r="W383" s="1086"/>
    </row>
    <row r="384" spans="2:23" s="333" customFormat="1" ht="15">
      <c r="B384" s="344" t="s">
        <v>598</v>
      </c>
      <c r="C384" s="345"/>
      <c r="D384" s="729"/>
      <c r="E384" s="345"/>
      <c r="F384" s="345"/>
      <c r="G384" s="345"/>
      <c r="H384" s="345"/>
      <c r="I384" s="345"/>
      <c r="J384" s="345"/>
      <c r="K384" s="345"/>
      <c r="L384" s="345"/>
      <c r="M384" s="345"/>
      <c r="N384" s="345"/>
      <c r="O384" s="345"/>
      <c r="P384" s="346"/>
      <c r="R384" s="1086"/>
      <c r="S384" s="1086"/>
      <c r="W384" s="1086"/>
    </row>
    <row r="385" spans="2:23" s="333" customFormat="1">
      <c r="B385" s="341"/>
      <c r="C385" s="338"/>
      <c r="D385" s="687"/>
      <c r="E385" s="338"/>
      <c r="F385" s="338"/>
      <c r="G385" s="338"/>
      <c r="H385" s="338"/>
      <c r="I385" s="338"/>
      <c r="J385" s="338"/>
      <c r="K385" s="338"/>
      <c r="L385" s="338"/>
      <c r="M385" s="338"/>
      <c r="N385" s="338"/>
      <c r="O385" s="338"/>
      <c r="P385" s="342"/>
      <c r="R385" s="1086"/>
      <c r="S385" s="1086"/>
      <c r="W385" s="1086"/>
    </row>
    <row r="386" spans="2:23" s="333" customFormat="1">
      <c r="B386" s="338"/>
      <c r="C386" s="338"/>
      <c r="D386" s="687"/>
      <c r="E386" s="338"/>
      <c r="F386" s="718"/>
      <c r="G386" s="718"/>
      <c r="H386" s="378" t="s">
        <v>685</v>
      </c>
      <c r="I386" s="718"/>
      <c r="J386" s="718"/>
      <c r="K386" s="718"/>
      <c r="L386" s="718"/>
      <c r="M386" s="718"/>
      <c r="N386" s="718"/>
      <c r="O386" s="338"/>
      <c r="P386" s="338"/>
      <c r="R386" s="1086"/>
      <c r="S386" s="1086"/>
      <c r="W386" s="1086"/>
    </row>
    <row r="387" spans="2:23" s="333" customFormat="1">
      <c r="B387" s="338"/>
      <c r="C387" s="748" t="s">
        <v>686</v>
      </c>
      <c r="D387" s="746"/>
      <c r="E387" s="770"/>
      <c r="F387" s="1767" t="str">
        <f>Base_Year &amp; " Starting point "&amp;Preferences.moneyunits</f>
        <v>2006 Starting point $2010</v>
      </c>
      <c r="G387" s="1768"/>
      <c r="H387" s="768"/>
      <c r="I387" s="718"/>
      <c r="J387" s="747" t="s">
        <v>687</v>
      </c>
      <c r="K387" s="768"/>
      <c r="L387" s="718"/>
      <c r="M387" s="747" t="s">
        <v>688</v>
      </c>
      <c r="N387" s="718"/>
      <c r="O387" s="338"/>
      <c r="P387" s="338"/>
      <c r="R387" s="1086"/>
      <c r="S387" s="1086"/>
      <c r="W387" s="1086"/>
    </row>
    <row r="388" spans="2:23" s="333" customFormat="1">
      <c r="B388" s="338"/>
      <c r="C388" s="718"/>
      <c r="D388" s="746"/>
      <c r="E388" s="769"/>
      <c r="F388" s="718"/>
      <c r="G388" s="718"/>
      <c r="H388" s="768"/>
      <c r="I388" s="718"/>
      <c r="J388" s="718"/>
      <c r="K388" s="768"/>
      <c r="L388" s="718"/>
      <c r="M388" s="718"/>
      <c r="N388" s="718"/>
      <c r="O388" s="338"/>
      <c r="P388" s="338"/>
      <c r="R388" s="1086"/>
      <c r="S388" s="1086"/>
      <c r="W388" s="1086"/>
    </row>
    <row r="389" spans="2:23" s="333" customFormat="1" ht="14">
      <c r="B389" s="338"/>
      <c r="C389" s="745" t="s">
        <v>32</v>
      </c>
      <c r="D389" s="744" t="s">
        <v>59</v>
      </c>
      <c r="E389" s="745" t="s">
        <v>162</v>
      </c>
      <c r="F389" s="767" t="s">
        <v>683</v>
      </c>
      <c r="G389" s="766" t="s">
        <v>684</v>
      </c>
      <c r="H389" s="766">
        <v>1</v>
      </c>
      <c r="I389" s="766">
        <v>2</v>
      </c>
      <c r="J389" s="766">
        <v>3</v>
      </c>
      <c r="K389" s="766">
        <v>1</v>
      </c>
      <c r="L389" s="766">
        <v>2</v>
      </c>
      <c r="M389" s="766">
        <v>3</v>
      </c>
      <c r="N389" s="718"/>
      <c r="O389" s="338"/>
      <c r="P389" s="338"/>
      <c r="R389" s="1086"/>
      <c r="S389" s="1086"/>
      <c r="W389" s="1086"/>
    </row>
    <row r="390" spans="2:23" s="333" customFormat="1">
      <c r="B390" s="338"/>
      <c r="C390" s="714"/>
      <c r="D390" s="765"/>
      <c r="E390" s="764"/>
      <c r="F390" s="763">
        <v>0</v>
      </c>
      <c r="G390" s="762">
        <v>0</v>
      </c>
      <c r="H390" s="561">
        <v>0</v>
      </c>
      <c r="I390" s="561">
        <v>0</v>
      </c>
      <c r="J390" s="561">
        <v>0</v>
      </c>
      <c r="K390" s="561">
        <v>0</v>
      </c>
      <c r="L390" s="561">
        <v>0</v>
      </c>
      <c r="M390" s="561">
        <v>0</v>
      </c>
      <c r="N390" s="718"/>
      <c r="O390" s="338"/>
      <c r="P390" s="338"/>
      <c r="R390" s="1086"/>
      <c r="S390" s="1086"/>
      <c r="W390" s="1086"/>
    </row>
    <row r="391" spans="2:23" s="333" customFormat="1">
      <c r="B391" s="338"/>
      <c r="C391" s="714"/>
      <c r="D391" s="765"/>
      <c r="E391" s="764"/>
      <c r="F391" s="763">
        <v>0</v>
      </c>
      <c r="G391" s="762">
        <v>0</v>
      </c>
      <c r="H391" s="561">
        <v>0</v>
      </c>
      <c r="I391" s="561">
        <v>0</v>
      </c>
      <c r="J391" s="561">
        <v>0</v>
      </c>
      <c r="K391" s="561">
        <v>0</v>
      </c>
      <c r="L391" s="561">
        <v>0</v>
      </c>
      <c r="M391" s="561">
        <v>0</v>
      </c>
      <c r="N391" s="718"/>
      <c r="O391" s="338"/>
      <c r="P391" s="338"/>
      <c r="R391" s="1086"/>
      <c r="S391" s="1086"/>
      <c r="W391" s="1086"/>
    </row>
    <row r="392" spans="2:23" s="333" customFormat="1">
      <c r="B392" s="338"/>
      <c r="C392" s="714"/>
      <c r="D392" s="765"/>
      <c r="E392" s="764"/>
      <c r="F392" s="763">
        <v>0</v>
      </c>
      <c r="G392" s="762">
        <v>0</v>
      </c>
      <c r="H392" s="561">
        <v>0</v>
      </c>
      <c r="I392" s="561">
        <v>0</v>
      </c>
      <c r="J392" s="561">
        <v>0</v>
      </c>
      <c r="K392" s="561">
        <v>0</v>
      </c>
      <c r="L392" s="561">
        <v>0</v>
      </c>
      <c r="M392" s="561">
        <v>0</v>
      </c>
      <c r="N392" s="718"/>
      <c r="O392" s="338"/>
      <c r="P392" s="338"/>
      <c r="R392" s="1086"/>
      <c r="S392" s="1086"/>
      <c r="W392" s="1086"/>
    </row>
    <row r="393" spans="2:23" s="333" customFormat="1">
      <c r="B393" s="338"/>
      <c r="C393" s="714"/>
      <c r="D393" s="765"/>
      <c r="E393" s="764"/>
      <c r="F393" s="763">
        <v>0</v>
      </c>
      <c r="G393" s="762">
        <v>0</v>
      </c>
      <c r="H393" s="561">
        <v>0</v>
      </c>
      <c r="I393" s="561">
        <v>0</v>
      </c>
      <c r="J393" s="561">
        <v>0</v>
      </c>
      <c r="K393" s="561">
        <v>0</v>
      </c>
      <c r="L393" s="561">
        <v>0</v>
      </c>
      <c r="M393" s="561">
        <v>0</v>
      </c>
      <c r="N393" s="718"/>
      <c r="O393" s="338"/>
      <c r="P393" s="338"/>
      <c r="R393" s="1086"/>
      <c r="S393" s="1086"/>
      <c r="W393" s="1086"/>
    </row>
    <row r="394" spans="2:23" s="333" customFormat="1">
      <c r="B394" s="338"/>
      <c r="C394" s="714"/>
      <c r="D394" s="765"/>
      <c r="E394" s="764"/>
      <c r="F394" s="763">
        <v>0</v>
      </c>
      <c r="G394" s="762">
        <v>0</v>
      </c>
      <c r="H394" s="561">
        <v>0</v>
      </c>
      <c r="I394" s="561">
        <v>0</v>
      </c>
      <c r="J394" s="561">
        <v>0</v>
      </c>
      <c r="K394" s="561">
        <v>0</v>
      </c>
      <c r="L394" s="561">
        <v>0</v>
      </c>
      <c r="M394" s="561">
        <v>0</v>
      </c>
      <c r="N394" s="718"/>
      <c r="O394" s="338"/>
      <c r="P394" s="338"/>
      <c r="R394" s="1086"/>
      <c r="S394" s="1086"/>
      <c r="W394" s="1086"/>
    </row>
    <row r="395" spans="2:23" s="333" customFormat="1">
      <c r="B395" s="338"/>
      <c r="C395" s="714"/>
      <c r="D395" s="765"/>
      <c r="E395" s="764"/>
      <c r="F395" s="763">
        <v>0</v>
      </c>
      <c r="G395" s="762">
        <v>0</v>
      </c>
      <c r="H395" s="561">
        <v>0</v>
      </c>
      <c r="I395" s="561">
        <v>0</v>
      </c>
      <c r="J395" s="561">
        <v>0</v>
      </c>
      <c r="K395" s="561">
        <v>0</v>
      </c>
      <c r="L395" s="561">
        <v>0</v>
      </c>
      <c r="M395" s="561">
        <v>0</v>
      </c>
      <c r="N395" s="718"/>
      <c r="O395" s="338"/>
      <c r="P395" s="338"/>
      <c r="R395" s="1086"/>
      <c r="S395" s="1086"/>
      <c r="W395" s="1086"/>
    </row>
    <row r="396" spans="2:23" s="333" customFormat="1">
      <c r="B396" s="338"/>
      <c r="C396" s="714"/>
      <c r="D396" s="765"/>
      <c r="E396" s="764"/>
      <c r="F396" s="763">
        <v>0</v>
      </c>
      <c r="G396" s="762">
        <v>0</v>
      </c>
      <c r="H396" s="561">
        <v>0</v>
      </c>
      <c r="I396" s="561">
        <v>0</v>
      </c>
      <c r="J396" s="561">
        <v>0</v>
      </c>
      <c r="K396" s="561">
        <v>0</v>
      </c>
      <c r="L396" s="561">
        <v>0</v>
      </c>
      <c r="M396" s="561">
        <v>0</v>
      </c>
      <c r="N396" s="718"/>
      <c r="O396" s="338"/>
      <c r="P396" s="338"/>
      <c r="R396" s="1086"/>
      <c r="S396" s="1086"/>
      <c r="W396" s="1086"/>
    </row>
    <row r="397" spans="2:23" s="333" customFormat="1">
      <c r="B397" s="338"/>
      <c r="C397" s="758"/>
      <c r="D397" s="757"/>
      <c r="E397" s="756"/>
      <c r="F397" s="761">
        <v>0</v>
      </c>
      <c r="G397" s="760">
        <v>0</v>
      </c>
      <c r="H397" s="759">
        <v>0</v>
      </c>
      <c r="I397" s="759">
        <v>0</v>
      </c>
      <c r="J397" s="759">
        <v>0</v>
      </c>
      <c r="K397" s="759">
        <v>0</v>
      </c>
      <c r="L397" s="759">
        <v>0</v>
      </c>
      <c r="M397" s="759">
        <v>0</v>
      </c>
      <c r="N397" s="718"/>
      <c r="O397" s="338"/>
      <c r="P397" s="338"/>
      <c r="R397" s="1086"/>
      <c r="S397" s="1086"/>
      <c r="W397" s="1086"/>
    </row>
    <row r="398" spans="2:23" s="333" customFormat="1">
      <c r="B398" s="338"/>
      <c r="C398" s="758"/>
      <c r="D398" s="757" t="s">
        <v>102</v>
      </c>
      <c r="E398" s="756"/>
      <c r="F398" s="755">
        <f>SUM(F390:F397)</f>
        <v>0</v>
      </c>
      <c r="G398" s="755">
        <f>SUM(G390:G397)</f>
        <v>0</v>
      </c>
      <c r="H398" s="754"/>
      <c r="I398" s="753"/>
      <c r="J398" s="753"/>
      <c r="K398" s="754"/>
      <c r="L398" s="753"/>
      <c r="M398" s="753"/>
      <c r="N398" s="718"/>
      <c r="O398" s="338"/>
      <c r="P398" s="338"/>
      <c r="R398" s="1086"/>
      <c r="S398" s="1086"/>
      <c r="W398" s="1086"/>
    </row>
    <row r="399" spans="2:23" s="333" customFormat="1">
      <c r="B399" s="338"/>
      <c r="C399" s="718"/>
      <c r="D399" s="746"/>
      <c r="E399" s="718"/>
      <c r="F399" s="718"/>
      <c r="G399" s="718"/>
      <c r="H399" s="718"/>
      <c r="I399" s="718"/>
      <c r="J399" s="718"/>
      <c r="K399" s="718"/>
      <c r="L399" s="718"/>
      <c r="M399" s="718"/>
      <c r="N399" s="338"/>
      <c r="O399" s="338"/>
      <c r="P399" s="338"/>
      <c r="R399" s="1086"/>
      <c r="S399" s="1086"/>
      <c r="W399" s="1086"/>
    </row>
    <row r="400" spans="2:23" s="333" customFormat="1">
      <c r="B400" s="338"/>
      <c r="C400" s="752" t="s">
        <v>630</v>
      </c>
      <c r="D400" s="751"/>
      <c r="E400" s="718"/>
      <c r="F400" s="718"/>
      <c r="G400" s="718"/>
      <c r="H400" s="718"/>
      <c r="I400" s="718"/>
      <c r="J400" s="718"/>
      <c r="K400" s="718"/>
      <c r="L400" s="718"/>
      <c r="M400" s="718"/>
      <c r="N400" s="338"/>
      <c r="O400" s="338"/>
      <c r="P400" s="338"/>
      <c r="R400" s="1086"/>
      <c r="S400" s="1086"/>
      <c r="W400" s="1086"/>
    </row>
    <row r="401" spans="1:23" s="333" customFormat="1">
      <c r="B401" s="338"/>
      <c r="C401" s="752"/>
      <c r="D401" s="751"/>
      <c r="E401" s="718"/>
      <c r="F401" s="718"/>
      <c r="G401" s="718"/>
      <c r="H401" s="718"/>
      <c r="I401" s="718"/>
      <c r="J401" s="718"/>
      <c r="K401" s="718"/>
      <c r="L401" s="718"/>
      <c r="M401" s="718"/>
      <c r="N401" s="338"/>
      <c r="O401" s="338"/>
      <c r="P401" s="338"/>
      <c r="R401" s="1086"/>
      <c r="S401" s="1086"/>
      <c r="W401" s="1086"/>
    </row>
    <row r="402" spans="1:23" s="333" customFormat="1">
      <c r="B402" s="338"/>
      <c r="C402" s="748" t="s">
        <v>631</v>
      </c>
      <c r="D402" s="750"/>
      <c r="E402" s="749"/>
      <c r="F402" s="718"/>
      <c r="G402" s="718"/>
      <c r="H402" s="747" t="str">
        <f>Preferences.moneyunits&amp;"/"&amp;Preferences.EnergyUnits</f>
        <v>$2010/PJ</v>
      </c>
      <c r="I402" s="718"/>
      <c r="J402" s="718"/>
      <c r="K402" s="718"/>
      <c r="L402" s="718"/>
      <c r="M402" s="718"/>
      <c r="N402" s="338"/>
      <c r="O402" s="338"/>
      <c r="P402" s="338"/>
      <c r="R402" s="1086"/>
      <c r="S402" s="1086"/>
      <c r="W402" s="1086"/>
    </row>
    <row r="403" spans="1:23" s="333" customFormat="1">
      <c r="B403" s="338"/>
      <c r="C403" s="718"/>
      <c r="D403" s="746"/>
      <c r="E403" s="718"/>
      <c r="F403" s="718"/>
      <c r="G403" s="718"/>
      <c r="H403" s="718"/>
      <c r="I403" s="718"/>
      <c r="J403" s="718"/>
      <c r="K403" s="718"/>
      <c r="L403" s="718"/>
      <c r="M403" s="718"/>
      <c r="N403" s="338"/>
      <c r="O403" s="338"/>
      <c r="P403" s="338"/>
      <c r="R403" s="1086"/>
      <c r="S403" s="1086"/>
      <c r="W403" s="1086"/>
    </row>
    <row r="404" spans="1:23" s="333" customFormat="1" ht="14">
      <c r="B404" s="338"/>
      <c r="C404" s="745"/>
      <c r="D404" s="744"/>
      <c r="E404" s="743"/>
      <c r="F404" s="742" t="s">
        <v>450</v>
      </c>
      <c r="G404" s="742" t="s">
        <v>449</v>
      </c>
      <c r="H404" s="741"/>
      <c r="I404" s="718"/>
      <c r="J404" s="718"/>
      <c r="K404" s="718"/>
      <c r="L404" s="718"/>
      <c r="M404" s="718"/>
      <c r="N404" s="338"/>
      <c r="O404" s="338"/>
      <c r="P404" s="338"/>
      <c r="R404" s="1086"/>
      <c r="S404" s="1086"/>
      <c r="W404" s="1086"/>
    </row>
    <row r="405" spans="1:23" s="333" customFormat="1" ht="14">
      <c r="B405" s="338"/>
      <c r="C405" s="740"/>
      <c r="D405" s="739" t="s">
        <v>599</v>
      </c>
      <c r="E405" s="738"/>
      <c r="F405" s="737">
        <v>0</v>
      </c>
      <c r="G405" s="737">
        <v>0</v>
      </c>
      <c r="H405" s="736"/>
      <c r="I405" s="718"/>
      <c r="J405" s="718"/>
      <c r="K405" s="718"/>
      <c r="L405" s="718"/>
      <c r="M405" s="718"/>
      <c r="N405" s="338"/>
      <c r="O405" s="338"/>
      <c r="P405" s="338"/>
      <c r="R405" s="1086"/>
      <c r="S405" s="1086"/>
      <c r="W405" s="1086"/>
    </row>
    <row r="406" spans="1:23" s="333" customFormat="1" ht="14">
      <c r="B406" s="338"/>
      <c r="C406" s="735"/>
      <c r="D406" s="734" t="s">
        <v>600</v>
      </c>
      <c r="E406" s="733"/>
      <c r="F406" s="732">
        <v>0</v>
      </c>
      <c r="G406" s="732">
        <v>0</v>
      </c>
      <c r="H406" s="731"/>
      <c r="I406" s="718"/>
      <c r="J406" s="718"/>
      <c r="K406" s="718"/>
      <c r="L406" s="718"/>
      <c r="M406" s="718"/>
      <c r="N406" s="338"/>
      <c r="O406" s="338"/>
      <c r="P406" s="338"/>
      <c r="R406" s="1086"/>
      <c r="S406" s="1086"/>
      <c r="W406" s="1086"/>
    </row>
    <row r="407" spans="1:23" s="333" customFormat="1">
      <c r="B407" s="338"/>
      <c r="C407" s="718"/>
      <c r="D407" s="746"/>
      <c r="E407" s="718"/>
      <c r="F407" s="718"/>
      <c r="G407" s="718"/>
      <c r="H407" s="718"/>
      <c r="I407" s="718"/>
      <c r="J407" s="718"/>
      <c r="K407" s="718"/>
      <c r="L407" s="718"/>
      <c r="M407" s="718"/>
      <c r="N407" s="338"/>
      <c r="O407" s="338"/>
      <c r="P407" s="338"/>
      <c r="R407" s="1086"/>
      <c r="S407" s="1086"/>
      <c r="W407" s="1086"/>
    </row>
    <row r="408" spans="1:23" s="333" customFormat="1">
      <c r="B408" s="338"/>
      <c r="C408" s="748" t="s">
        <v>632</v>
      </c>
      <c r="D408" s="746"/>
      <c r="E408" s="718"/>
      <c r="F408" s="718"/>
      <c r="G408" s="718"/>
      <c r="H408" s="747" t="str">
        <f>Preferences.moneyunits&amp;"/"&amp;Preferences.EnergyUnits</f>
        <v>$2010/PJ</v>
      </c>
      <c r="I408" s="718"/>
      <c r="J408" s="718"/>
      <c r="K408" s="718"/>
      <c r="L408" s="718"/>
      <c r="M408" s="718"/>
      <c r="N408" s="338"/>
      <c r="O408" s="338"/>
      <c r="P408" s="338"/>
      <c r="R408" s="1086"/>
      <c r="S408" s="1086"/>
      <c r="W408" s="1086"/>
    </row>
    <row r="409" spans="1:23" s="333" customFormat="1">
      <c r="B409" s="338"/>
      <c r="C409" s="718"/>
      <c r="D409" s="746"/>
      <c r="E409" s="718"/>
      <c r="F409" s="718"/>
      <c r="G409" s="718"/>
      <c r="H409" s="718"/>
      <c r="I409" s="718"/>
      <c r="J409" s="718"/>
      <c r="K409" s="718"/>
      <c r="L409" s="718"/>
      <c r="M409" s="718"/>
      <c r="N409" s="338"/>
      <c r="O409" s="338"/>
      <c r="P409" s="338"/>
      <c r="R409" s="1086"/>
      <c r="S409" s="1086"/>
      <c r="W409" s="1086"/>
    </row>
    <row r="410" spans="1:23" s="333" customFormat="1" ht="14">
      <c r="B410" s="338"/>
      <c r="C410" s="745"/>
      <c r="D410" s="744"/>
      <c r="E410" s="743"/>
      <c r="F410" s="742" t="s">
        <v>450</v>
      </c>
      <c r="G410" s="742" t="s">
        <v>449</v>
      </c>
      <c r="H410" s="741"/>
      <c r="I410" s="718"/>
      <c r="J410" s="718"/>
      <c r="K410" s="718"/>
      <c r="L410" s="718"/>
      <c r="M410" s="718"/>
      <c r="N410" s="338"/>
      <c r="O410" s="338"/>
      <c r="P410" s="338"/>
      <c r="R410" s="1086"/>
      <c r="S410" s="1086"/>
      <c r="W410" s="1086"/>
    </row>
    <row r="411" spans="1:23" s="333" customFormat="1" ht="14">
      <c r="B411" s="338"/>
      <c r="C411" s="740"/>
      <c r="D411" s="739" t="s">
        <v>633</v>
      </c>
      <c r="E411" s="738"/>
      <c r="F411" s="737">
        <v>0</v>
      </c>
      <c r="G411" s="737">
        <v>0</v>
      </c>
      <c r="H411" s="736"/>
      <c r="I411" s="718"/>
      <c r="J411" s="718"/>
      <c r="K411" s="718"/>
      <c r="L411" s="718"/>
      <c r="M411" s="718"/>
      <c r="N411" s="338"/>
      <c r="O411" s="338"/>
      <c r="P411" s="338"/>
      <c r="R411" s="1086"/>
      <c r="S411" s="1086"/>
      <c r="W411" s="1086"/>
    </row>
    <row r="412" spans="1:23" s="333" customFormat="1" ht="14">
      <c r="B412" s="338"/>
      <c r="C412" s="735"/>
      <c r="D412" s="734" t="s">
        <v>634</v>
      </c>
      <c r="E412" s="733"/>
      <c r="F412" s="732">
        <v>0</v>
      </c>
      <c r="G412" s="732">
        <v>0</v>
      </c>
      <c r="H412" s="731"/>
      <c r="I412" s="718"/>
      <c r="J412" s="718"/>
      <c r="K412" s="718"/>
      <c r="L412" s="718"/>
      <c r="M412" s="718"/>
      <c r="N412" s="338"/>
      <c r="O412" s="338"/>
      <c r="P412" s="338"/>
      <c r="R412" s="1086"/>
      <c r="S412" s="1086"/>
      <c r="W412" s="1086"/>
    </row>
    <row r="413" spans="1:23" s="333" customFormat="1">
      <c r="B413" s="338"/>
      <c r="C413" s="378"/>
      <c r="D413" s="730"/>
      <c r="E413" s="378"/>
      <c r="F413" s="378"/>
      <c r="G413" s="378"/>
      <c r="H413" s="378"/>
      <c r="I413" s="378"/>
      <c r="J413" s="378"/>
      <c r="K413" s="378"/>
      <c r="L413" s="378"/>
      <c r="M413" s="378"/>
      <c r="N413" s="338"/>
      <c r="O413" s="338"/>
      <c r="P413" s="338"/>
      <c r="R413" s="1086"/>
      <c r="S413" s="1086"/>
      <c r="W413" s="1086"/>
    </row>
    <row r="415" spans="1:23" ht="22" collapsed="1">
      <c r="A415" s="343"/>
      <c r="B415" s="344" t="s">
        <v>264</v>
      </c>
      <c r="C415" s="345"/>
      <c r="D415" s="729"/>
      <c r="E415" s="345"/>
      <c r="F415" s="345"/>
      <c r="G415" s="345"/>
      <c r="H415" s="345"/>
      <c r="I415" s="345"/>
      <c r="J415" s="345"/>
      <c r="K415" s="345"/>
      <c r="L415" s="345"/>
      <c r="M415" s="345"/>
      <c r="N415" s="345"/>
      <c r="O415" s="345"/>
      <c r="P415" s="346"/>
    </row>
    <row r="416" spans="1:23">
      <c r="B416" s="341"/>
      <c r="C416" s="338"/>
      <c r="D416" s="687"/>
      <c r="E416" s="338"/>
      <c r="F416" s="338"/>
      <c r="G416" s="338"/>
      <c r="H416" s="338"/>
      <c r="I416" s="338"/>
      <c r="J416" s="338"/>
      <c r="K416" s="338"/>
      <c r="L416" s="338"/>
      <c r="M416" s="338"/>
      <c r="N416" s="338"/>
      <c r="O416" s="338"/>
      <c r="P416" s="342"/>
    </row>
    <row r="417" spans="2:16">
      <c r="B417" s="845">
        <v>1</v>
      </c>
      <c r="C417" s="339" t="s">
        <v>1350</v>
      </c>
      <c r="D417" s="695" t="str">
        <f>Preferences.EnergyUnits</f>
        <v>PJ</v>
      </c>
      <c r="E417" s="728"/>
      <c r="F417" s="718"/>
      <c r="G417" s="338"/>
      <c r="H417" s="338"/>
      <c r="I417" s="78"/>
      <c r="J417" s="338"/>
      <c r="K417" s="338"/>
      <c r="L417" s="338"/>
      <c r="M417" s="338"/>
      <c r="N417" s="338"/>
      <c r="O417" s="78"/>
      <c r="P417" s="342"/>
    </row>
    <row r="418" spans="2:16" ht="15">
      <c r="B418" s="106"/>
      <c r="C418" s="338"/>
      <c r="D418" s="687"/>
      <c r="E418" s="338"/>
      <c r="F418" s="338"/>
      <c r="G418" s="338"/>
      <c r="H418" s="338"/>
      <c r="I418" s="338"/>
      <c r="J418" s="338"/>
      <c r="K418" s="338"/>
      <c r="L418" s="338"/>
      <c r="M418" s="338"/>
      <c r="N418" s="338"/>
      <c r="O418" s="338"/>
      <c r="P418" s="342"/>
    </row>
    <row r="419" spans="2:16" ht="15">
      <c r="B419" s="106"/>
      <c r="C419" s="61" t="s">
        <v>32</v>
      </c>
      <c r="D419" s="61" t="s">
        <v>59</v>
      </c>
      <c r="E419" s="61" t="s">
        <v>1349</v>
      </c>
      <c r="F419" s="95">
        <f>Base_Year</f>
        <v>2006</v>
      </c>
      <c r="G419" s="95">
        <v>2010</v>
      </c>
      <c r="H419" s="80">
        <v>2015</v>
      </c>
      <c r="I419" s="80">
        <v>2020</v>
      </c>
      <c r="J419" s="80">
        <v>2025</v>
      </c>
      <c r="K419" s="80">
        <v>2030</v>
      </c>
      <c r="L419" s="80">
        <v>2035</v>
      </c>
      <c r="M419" s="80">
        <v>2040</v>
      </c>
      <c r="N419" s="80">
        <v>2045</v>
      </c>
      <c r="O419" s="80">
        <v>2050</v>
      </c>
      <c r="P419" s="342"/>
    </row>
    <row r="420" spans="2:16" ht="15">
      <c r="B420" s="106"/>
      <c r="C420" s="336"/>
      <c r="D420" s="336"/>
      <c r="E420" s="727" t="s">
        <v>1345</v>
      </c>
      <c r="F420" s="1576">
        <f t="shared" ref="F420:O420" si="37">SUM(F421:F428)</f>
        <v>324.54051658496229</v>
      </c>
      <c r="G420" s="722">
        <f t="shared" si="37"/>
        <v>377.49924439691029</v>
      </c>
      <c r="H420" s="726">
        <f t="shared" si="37"/>
        <v>458.87552352676357</v>
      </c>
      <c r="I420" s="1581">
        <f t="shared" si="37"/>
        <v>564.49784473241698</v>
      </c>
      <c r="J420" s="1581">
        <f t="shared" si="37"/>
        <v>693.2052223490316</v>
      </c>
      <c r="K420" s="1581">
        <f t="shared" si="37"/>
        <v>858.15408724727979</v>
      </c>
      <c r="L420" s="1581">
        <f t="shared" si="37"/>
        <v>1064.050928889566</v>
      </c>
      <c r="M420" s="1581">
        <f t="shared" si="37"/>
        <v>1295.7877921160573</v>
      </c>
      <c r="N420" s="1581">
        <f t="shared" si="37"/>
        <v>1539.601056058566</v>
      </c>
      <c r="O420" s="1581">
        <f t="shared" si="37"/>
        <v>1804.7618561153477</v>
      </c>
      <c r="P420" s="342"/>
    </row>
    <row r="421" spans="2:16" ht="15">
      <c r="B421" s="106"/>
      <c r="C421" s="336" t="str">
        <f t="shared" ref="C421:D428" si="38">C20</f>
        <v>MI</v>
      </c>
      <c r="D421" s="336" t="str">
        <f t="shared" si="38"/>
        <v>Mining SIC2</v>
      </c>
      <c r="E421" s="169"/>
      <c r="F421" s="1575">
        <f t="array" ref="F421">SUM( ($H$130:$O$130=$C421) * ($H$132:$O$132 ) )</f>
        <v>87.871564073952925</v>
      </c>
      <c r="G421" s="719">
        <f t="array" ref="G421" xml:space="preserve"> $F421 * SUM(($C$20:$C$27=$C421)*($F$19:$N$19=G$419)*($F$20:$N$27))</f>
        <v>103.24768229488953</v>
      </c>
      <c r="H421" s="421">
        <f t="array" ref="H421" xml:space="preserve"> $F421 * SUM(($C$20:$C$27=$C421)*($F$19:$N$19=H$419)*($F$20:$N$27))</f>
        <v>126.73283841064799</v>
      </c>
      <c r="I421" s="724">
        <f t="array" ref="I421" xml:space="preserve"> $F421 * SUM(($C$20:$C$27=$C421)*($F$19:$N$19=I$419)*($F$20:$N$27))</f>
        <v>157.6165652629461</v>
      </c>
      <c r="J421" s="724">
        <f t="array" ref="J421" xml:space="preserve"> $F421 * SUM(($C$20:$C$27=$C421)*($F$19:$N$19=J$419)*($F$20:$N$27))</f>
        <v>197.70189454491378</v>
      </c>
      <c r="K421" s="724">
        <f t="array" ref="K421" xml:space="preserve"> $F421 * SUM(($C$20:$C$27=$C421)*($F$19:$N$19=K$419)*($F$20:$N$27))</f>
        <v>250.08799214880966</v>
      </c>
      <c r="L421" s="724">
        <f t="array" ref="L421" xml:space="preserve"> $F421 * SUM(($C$20:$C$27=$C421)*($F$19:$N$19=L$419)*($F$20:$N$27))</f>
        <v>316.38940267438608</v>
      </c>
      <c r="M421" s="724">
        <f t="array" ref="M421" xml:space="preserve"> $F421 * SUM(($C$20:$C$27=$C421)*($F$19:$N$19=M$419)*($F$20:$N$27))</f>
        <v>392.36391038981321</v>
      </c>
      <c r="N421" s="724">
        <f t="array" ref="N421" xml:space="preserve"> $F421 * SUM(($C$20:$C$27=$C421)*($F$19:$N$19=N$419)*($F$20:$N$27))</f>
        <v>473.58251245456592</v>
      </c>
      <c r="O421" s="724">
        <f t="array" ref="O421" xml:space="preserve"> $F421 * SUM(($C$20:$C$27=$C421)*($F$19:$N$19=O$419)*($F$20:$N$27))</f>
        <v>563.52458814497686</v>
      </c>
      <c r="P421" s="342"/>
    </row>
    <row r="422" spans="2:16" ht="15">
      <c r="B422" s="106"/>
      <c r="C422" s="336" t="str">
        <f t="shared" si="38"/>
        <v>IS</v>
      </c>
      <c r="D422" s="336" t="str">
        <f t="shared" si="38"/>
        <v>Iron  &amp; Steel  - 351</v>
      </c>
      <c r="E422" s="185"/>
      <c r="F422" s="1575">
        <f t="array" ref="F422">SUM( ($H$130:$O$130=$C422) * ($H$132:$O$132 ) )</f>
        <v>83.501704147680016</v>
      </c>
      <c r="G422" s="719">
        <f t="array" ref="G422" xml:space="preserve"> $F422 * SUM(($C$20:$C$27=$C422)*($F$19:$N$19=G$419)*($F$20:$N$27))</f>
        <v>96.699671776082297</v>
      </c>
      <c r="H422" s="421">
        <f t="array" ref="H422" xml:space="preserve"> $F422 * SUM(($C$20:$C$27=$C422)*($F$19:$N$19=H$419)*($F$20:$N$27))</f>
        <v>121.51650768804819</v>
      </c>
      <c r="I422" s="421">
        <f t="array" ref="I422" xml:space="preserve"> $F422 * SUM(($C$20:$C$27=$C422)*($F$19:$N$19=I$419)*($F$20:$N$27))</f>
        <v>153.57416495587643</v>
      </c>
      <c r="J422" s="421">
        <f t="array" ref="J422" xml:space="preserve"> $F422 * SUM(($C$20:$C$27=$C422)*($F$19:$N$19=J$419)*($F$20:$N$27))</f>
        <v>192.98687989626222</v>
      </c>
      <c r="K422" s="421">
        <f t="array" ref="K422" xml:space="preserve"> $F422 * SUM(($C$20:$C$27=$C422)*($F$19:$N$19=K$419)*($F$20:$N$27))</f>
        <v>242.50932044553852</v>
      </c>
      <c r="L422" s="421">
        <f t="array" ref="L422" xml:space="preserve"> $F422 * SUM(($C$20:$C$27=$C422)*($F$19:$N$19=L$419)*($F$20:$N$27))</f>
        <v>298.16596660962398</v>
      </c>
      <c r="M422" s="421">
        <f t="array" ref="M422" xml:space="preserve"> $F422 * SUM(($C$20:$C$27=$C422)*($F$19:$N$19=M$419)*($F$20:$N$27))</f>
        <v>360.21152339239302</v>
      </c>
      <c r="N422" s="421">
        <f t="array" ref="N422" xml:space="preserve"> $F422 * SUM(($C$20:$C$27=$C422)*($F$19:$N$19=N$419)*($F$20:$N$27))</f>
        <v>424.91630945929131</v>
      </c>
      <c r="O422" s="421">
        <f t="array" ref="O422" xml:space="preserve"> $F422 * SUM(($C$20:$C$27=$C422)*($F$19:$N$19=O$419)*($F$20:$N$27))</f>
        <v>497.79803808903245</v>
      </c>
      <c r="P422" s="342"/>
    </row>
    <row r="423" spans="2:16" ht="15">
      <c r="B423" s="106"/>
      <c r="C423" s="336" t="str">
        <f t="shared" si="38"/>
        <v>CP</v>
      </c>
      <c r="D423" s="336" t="str">
        <f t="shared" si="38"/>
        <v>Chemicals  -33</v>
      </c>
      <c r="E423" s="185"/>
      <c r="F423" s="1575">
        <f t="array" ref="F423">SUM( ($H$130:$O$130=$C423) * ($H$132:$O$132 ) )</f>
        <v>25.79503647232</v>
      </c>
      <c r="G423" s="719">
        <f t="array" ref="G423" xml:space="preserve"> $F423 * SUM(($C$20:$C$27=$C423)*($F$19:$N$19=G$419)*($F$20:$N$27))</f>
        <v>29.441627647500699</v>
      </c>
      <c r="H423" s="421">
        <f t="array" ref="H423" xml:space="preserve"> $F423 * SUM(($C$20:$C$27=$C423)*($F$19:$N$19=H$419)*($F$20:$N$27))</f>
        <v>32.323600336184569</v>
      </c>
      <c r="I423" s="421">
        <f t="array" ref="I423" xml:space="preserve"> $F423 * SUM(($C$20:$C$27=$C423)*($F$19:$N$19=I$419)*($F$20:$N$27))</f>
        <v>35.705972266727812</v>
      </c>
      <c r="J423" s="421">
        <f t="array" ref="J423" xml:space="preserve"> $F423 * SUM(($C$20:$C$27=$C423)*($F$19:$N$19=J$419)*($F$20:$N$27))</f>
        <v>39.451855571829441</v>
      </c>
      <c r="K423" s="421">
        <f t="array" ref="K423" xml:space="preserve"> $F423 * SUM(($C$20:$C$27=$C423)*($F$19:$N$19=K$419)*($F$20:$N$27))</f>
        <v>44.430405010002225</v>
      </c>
      <c r="L423" s="421">
        <f t="array" ref="L423" xml:space="preserve"> $F423 * SUM(($C$20:$C$27=$C423)*($F$19:$N$19=L$419)*($F$20:$N$27))</f>
        <v>53.177738980526662</v>
      </c>
      <c r="M423" s="421">
        <f t="array" ref="M423" xml:space="preserve"> $F423 * SUM(($C$20:$C$27=$C423)*($F$19:$N$19=M$419)*($F$20:$N$27))</f>
        <v>62.679612408424326</v>
      </c>
      <c r="N423" s="421">
        <f t="array" ref="N423" xml:space="preserve"> $F423 * SUM(($C$20:$C$27=$C423)*($F$19:$N$19=N$419)*($F$20:$N$27))</f>
        <v>72.360151690692845</v>
      </c>
      <c r="O423" s="421">
        <f t="array" ref="O423" xml:space="preserve"> $F423 * SUM(($C$20:$C$27=$C423)*($F$19:$N$19=O$419)*($F$20:$N$27))</f>
        <v>80.640787547367353</v>
      </c>
      <c r="P423" s="342"/>
    </row>
    <row r="424" spans="2:16" ht="15">
      <c r="B424" s="106"/>
      <c r="C424" s="336" t="str">
        <f t="shared" si="38"/>
        <v>NF</v>
      </c>
      <c r="D424" s="336" t="str">
        <f t="shared" si="38"/>
        <v>Non-Ferrous metals  - 352</v>
      </c>
      <c r="E424" s="185"/>
      <c r="F424" s="1575">
        <f t="array" ref="F424">SUM( ($H$130:$O$130=$C424) * ($H$132:$O$132 ) )</f>
        <v>56.908886838336002</v>
      </c>
      <c r="G424" s="719">
        <f t="array" ref="G424" xml:space="preserve"> $F424 * SUM(($C$20:$C$27=$C424)*($F$19:$N$19=G$419)*($F$20:$N$27))</f>
        <v>65.959131686694064</v>
      </c>
      <c r="H424" s="421">
        <f t="array" ref="H424" xml:space="preserve"> $F424 * SUM(($C$20:$C$27=$C424)*($F$19:$N$19=H$419)*($F$20:$N$27))</f>
        <v>79.611421885552659</v>
      </c>
      <c r="I424" s="421">
        <f t="array" ref="I424" xml:space="preserve"> $F424 * SUM(($C$20:$C$27=$C424)*($F$19:$N$19=I$419)*($F$20:$N$27))</f>
        <v>98.247069572425758</v>
      </c>
      <c r="J424" s="421">
        <f t="array" ref="J424" xml:space="preserve"> $F424 * SUM(($C$20:$C$27=$C424)*($F$19:$N$19=J$419)*($F$20:$N$27))</f>
        <v>118.34488652472955</v>
      </c>
      <c r="K424" s="421">
        <f t="array" ref="K424" xml:space="preserve"> $F424 * SUM(($C$20:$C$27=$C424)*($F$19:$N$19=K$419)*($F$20:$N$27))</f>
        <v>144.0622578487187</v>
      </c>
      <c r="L424" s="421">
        <f t="array" ref="L424" xml:space="preserve"> $F424 * SUM(($C$20:$C$27=$C424)*($F$19:$N$19=L$419)*($F$20:$N$27))</f>
        <v>175.7648518435312</v>
      </c>
      <c r="M424" s="421">
        <f t="array" ref="M424" xml:space="preserve"> $F424 * SUM(($C$20:$C$27=$C424)*($F$19:$N$19=M$419)*($F$20:$N$27))</f>
        <v>210.84498221665731</v>
      </c>
      <c r="N424" s="421">
        <f t="array" ref="N424" xml:space="preserve"> $F424 * SUM(($C$20:$C$27=$C424)*($F$19:$N$19=N$419)*($F$20:$N$27))</f>
        <v>247.18470623130099</v>
      </c>
      <c r="O424" s="421">
        <f t="array" ref="O424" xml:space="preserve"> $F424 * SUM(($C$20:$C$27=$C424)*($F$19:$N$19=O$419)*($F$20:$N$27))</f>
        <v>285.14226927541915</v>
      </c>
      <c r="P424" s="342"/>
    </row>
    <row r="425" spans="2:16" ht="15">
      <c r="B425" s="106"/>
      <c r="C425" s="336" t="str">
        <f t="shared" si="38"/>
        <v>NM</v>
      </c>
      <c r="D425" s="336" t="str">
        <f t="shared" si="38"/>
        <v>N.M.M Products  -34</v>
      </c>
      <c r="E425" s="185"/>
      <c r="F425" s="1575">
        <f t="array" ref="F425">SUM( ($H$130:$O$130=$C425) * ($H$132:$O$132 ) )</f>
        <v>17.435185819200004</v>
      </c>
      <c r="G425" s="719">
        <f t="array" ref="G425" xml:space="preserve"> $F425 * SUM(($C$20:$C$27=$C425)*($F$19:$N$19=G$419)*($F$20:$N$27))</f>
        <v>20.544586395548553</v>
      </c>
      <c r="H425" s="421">
        <f t="array" ref="H425" xml:space="preserve"> $F425 * SUM(($C$20:$C$27=$C425)*($F$19:$N$19=H$419)*($F$20:$N$27))</f>
        <v>25.072654538264278</v>
      </c>
      <c r="I425" s="421">
        <f t="array" ref="I425" xml:space="preserve"> $F425 * SUM(($C$20:$C$27=$C425)*($F$19:$N$19=I$419)*($F$20:$N$27))</f>
        <v>30.798846795572519</v>
      </c>
      <c r="J425" s="421">
        <f t="array" ref="J425" xml:space="preserve"> $F425 * SUM(($C$20:$C$27=$C425)*($F$19:$N$19=J$419)*($F$20:$N$27))</f>
        <v>38.032124712443903</v>
      </c>
      <c r="K425" s="421">
        <f t="array" ref="K425" xml:space="preserve"> $F425 * SUM(($C$20:$C$27=$C425)*($F$19:$N$19=K$419)*($F$20:$N$27))</f>
        <v>47.343452977245811</v>
      </c>
      <c r="L425" s="421">
        <f t="array" ref="L425" xml:space="preserve"> $F425 * SUM(($C$20:$C$27=$C425)*($F$19:$N$19=L$419)*($F$20:$N$27))</f>
        <v>59.886313366662812</v>
      </c>
      <c r="M425" s="421">
        <f t="array" ref="M425" xml:space="preserve"> $F425 * SUM(($C$20:$C$27=$C425)*($F$19:$N$19=M$419)*($F$20:$N$27))</f>
        <v>74.257164822175483</v>
      </c>
      <c r="N425" s="421">
        <f t="array" ref="N425" xml:space="preserve"> $F425 * SUM(($C$20:$C$27=$C425)*($F$19:$N$19=N$419)*($F$20:$N$27))</f>
        <v>89.618069148736481</v>
      </c>
      <c r="O425" s="421">
        <f t="array" ref="O425" xml:space="preserve"> $F425 * SUM(($C$20:$C$27=$C425)*($F$19:$N$19=O$419)*($F$20:$N$27))</f>
        <v>106.52801877803441</v>
      </c>
      <c r="P425" s="342"/>
    </row>
    <row r="426" spans="2:16" ht="15">
      <c r="B426" s="106"/>
      <c r="C426" s="336" t="str">
        <f t="shared" si="38"/>
        <v>FB</v>
      </c>
      <c r="D426" s="336" t="str">
        <f t="shared" si="38"/>
        <v>Food, Beverage &amp; Tabacco  - 30</v>
      </c>
      <c r="E426" s="185"/>
      <c r="F426" s="1575">
        <f t="array" ref="F426">SUM( ($H$130:$O$130=$C426) * ($H$132:$O$132 ) )</f>
        <v>15.408318240000002</v>
      </c>
      <c r="G426" s="719">
        <f t="array" ref="G426" xml:space="preserve"> $F426 * SUM(($C$20:$C$27=$C426)*($F$19:$N$19=G$419)*($F$20:$N$27))</f>
        <v>17.72519804341233</v>
      </c>
      <c r="H426" s="421">
        <f t="array" ref="H426" xml:space="preserve"> $F426 * SUM(($C$20:$C$27=$C426)*($F$19:$N$19=H$419)*($F$20:$N$27))</f>
        <v>21.553925163564017</v>
      </c>
      <c r="I426" s="421">
        <f t="array" ref="I426" xml:space="preserve"> $F426 * SUM(($C$20:$C$27=$C426)*($F$19:$N$19=I$419)*($F$20:$N$27))</f>
        <v>26.352696136559434</v>
      </c>
      <c r="J426" s="421">
        <f t="array" ref="J426" xml:space="preserve"> $F426 * SUM(($C$20:$C$27=$C426)*($F$19:$N$19=J$419)*($F$20:$N$27))</f>
        <v>32.005721250389826</v>
      </c>
      <c r="K426" s="421">
        <f t="array" ref="K426" xml:space="preserve"> $F426 * SUM(($C$20:$C$27=$C426)*($F$19:$N$19=K$419)*($F$20:$N$27))</f>
        <v>39.136703852309296</v>
      </c>
      <c r="L426" s="421">
        <f t="array" ref="L426" xml:space="preserve"> $F426 * SUM(($C$20:$C$27=$C426)*($F$19:$N$19=L$419)*($F$20:$N$27))</f>
        <v>48.052869586840444</v>
      </c>
      <c r="M426" s="421">
        <f t="array" ref="M426" xml:space="preserve"> $F426 * SUM(($C$20:$C$27=$C426)*($F$19:$N$19=M$419)*($F$20:$N$27))</f>
        <v>57.979426939589544</v>
      </c>
      <c r="N426" s="421">
        <f t="array" ref="N426" xml:space="preserve"> $F426 * SUM(($C$20:$C$27=$C426)*($F$19:$N$19=N$419)*($F$20:$N$27))</f>
        <v>68.319137926456747</v>
      </c>
      <c r="O426" s="421">
        <f t="array" ref="O426" xml:space="preserve"> $F426 * SUM(($C$20:$C$27=$C426)*($F$19:$N$19=O$419)*($F$20:$N$27))</f>
        <v>79.773066598530164</v>
      </c>
      <c r="P426" s="342"/>
    </row>
    <row r="427" spans="2:16" ht="15">
      <c r="B427" s="106"/>
      <c r="C427" s="336" t="str">
        <f t="shared" si="38"/>
        <v>PP</v>
      </c>
      <c r="D427" s="336" t="str">
        <f t="shared" si="38"/>
        <v>Pulp &amp; Paper Products  -323</v>
      </c>
      <c r="E427" s="185"/>
      <c r="F427" s="1575">
        <f t="array" ref="F427">SUM( ($H$130:$O$130=$C427) * ($H$132:$O$132 ) )</f>
        <v>18.550164312000003</v>
      </c>
      <c r="G427" s="719">
        <f t="array" ref="G427" xml:space="preserve"> $F427 * SUM(($C$20:$C$27=$C427)*($F$19:$N$19=G$419)*($F$20:$N$27))</f>
        <v>21.58286383462287</v>
      </c>
      <c r="H427" s="421">
        <f t="array" ref="H427" xml:space="preserve"> $F427 * SUM(($C$20:$C$27=$C427)*($F$19:$N$19=H$419)*($F$20:$N$27))</f>
        <v>25.545831974269877</v>
      </c>
      <c r="I427" s="421">
        <f t="array" ref="I427" xml:space="preserve"> $F427 * SUM(($C$20:$C$27=$C427)*($F$19:$N$19=I$419)*($F$20:$N$27))</f>
        <v>30.441370020852343</v>
      </c>
      <c r="J427" s="421">
        <f t="array" ref="J427" xml:space="preserve"> $F427 * SUM(($C$20:$C$27=$C427)*($F$19:$N$19=J$419)*($F$20:$N$27))</f>
        <v>36.318478609639129</v>
      </c>
      <c r="K427" s="421">
        <f t="array" ref="K427" xml:space="preserve"> $F427 * SUM(($C$20:$C$27=$C427)*($F$19:$N$19=K$419)*($F$20:$N$27))</f>
        <v>43.717928224638392</v>
      </c>
      <c r="L427" s="421">
        <f t="array" ref="L427" xml:space="preserve"> $F427 * SUM(($C$20:$C$27=$C427)*($F$19:$N$19=L$419)*($F$20:$N$27))</f>
        <v>53.723645008881228</v>
      </c>
      <c r="M427" s="421">
        <f t="array" ref="M427" xml:space="preserve"> $F427 * SUM(($C$20:$C$27=$C427)*($F$19:$N$19=M$419)*($F$20:$N$27))</f>
        <v>64.872395201660353</v>
      </c>
      <c r="N427" s="421">
        <f t="array" ref="N427" xml:space="preserve"> $F427 * SUM(($C$20:$C$27=$C427)*($F$19:$N$19=N$419)*($F$20:$N$27))</f>
        <v>76.493776090725817</v>
      </c>
      <c r="O427" s="421">
        <f t="array" ref="O427" xml:space="preserve"> $F427 * SUM(($C$20:$C$27=$C427)*($F$19:$N$19=O$419)*($F$20:$N$27))</f>
        <v>88.64419165061534</v>
      </c>
      <c r="P427" s="342"/>
    </row>
    <row r="428" spans="2:16" ht="15">
      <c r="B428" s="106"/>
      <c r="C428" s="336" t="str">
        <f t="shared" si="38"/>
        <v>OT</v>
      </c>
      <c r="D428" s="336" t="str">
        <f t="shared" si="38"/>
        <v>Other</v>
      </c>
      <c r="E428" s="185"/>
      <c r="F428" s="1575">
        <f t="array" ref="F428">SUM( ($H$130:$O$130=$C428) * ($H$132:$O$132 ) )</f>
        <v>19.069656681473283</v>
      </c>
      <c r="G428" s="719">
        <f t="array" ref="G428" xml:space="preserve"> $F428 * SUM(($C$20:$C$27=$C428)*($F$19:$N$19=G$419)*($F$20:$N$27))</f>
        <v>22.298482718159974</v>
      </c>
      <c r="H428" s="421">
        <f t="array" ref="H428" xml:space="preserve"> $F428 * SUM(($C$20:$C$27=$C428)*($F$19:$N$19=H$419)*($F$20:$N$27))</f>
        <v>26.518743530231966</v>
      </c>
      <c r="I428" s="421">
        <f t="array" ref="I428" xml:space="preserve"> $F428 * SUM(($C$20:$C$27=$C428)*($F$19:$N$19=I$419)*($F$20:$N$27))</f>
        <v>31.761159721456526</v>
      </c>
      <c r="J428" s="421">
        <f t="array" ref="J428" xml:space="preserve"> $F428 * SUM(($C$20:$C$27=$C428)*($F$19:$N$19=J$419)*($F$20:$N$27))</f>
        <v>38.36338123882387</v>
      </c>
      <c r="K428" s="421">
        <f t="array" ref="K428" xml:space="preserve"> $F428 * SUM(($C$20:$C$27=$C428)*($F$19:$N$19=K$419)*($F$20:$N$27))</f>
        <v>46.866026740017269</v>
      </c>
      <c r="L428" s="421">
        <f t="array" ref="L428" xml:space="preserve"> $F428 * SUM(($C$20:$C$27=$C428)*($F$19:$N$19=L$419)*($F$20:$N$27))</f>
        <v>58.890140819113554</v>
      </c>
      <c r="M428" s="421">
        <f t="array" ref="M428" xml:space="preserve"> $F428 * SUM(($C$20:$C$27=$C428)*($F$19:$N$19=M$419)*($F$20:$N$27))</f>
        <v>72.578776745343859</v>
      </c>
      <c r="N428" s="421">
        <f t="array" ref="N428" xml:space="preserve"> $F428 * SUM(($C$20:$C$27=$C428)*($F$19:$N$19=N$419)*($F$20:$N$27))</f>
        <v>87.126393056795848</v>
      </c>
      <c r="O428" s="421">
        <f t="array" ref="O428" xml:space="preserve"> $F428 * SUM(($C$20:$C$27=$C428)*($F$19:$N$19=O$419)*($F$20:$N$27))</f>
        <v>102.71089603137177</v>
      </c>
      <c r="P428" s="342"/>
    </row>
    <row r="429" spans="2:16" ht="15">
      <c r="B429" s="106"/>
      <c r="C429" s="336"/>
      <c r="D429" s="336"/>
      <c r="E429" s="185"/>
      <c r="F429" s="175"/>
      <c r="G429" s="719"/>
      <c r="H429" s="421"/>
      <c r="I429" s="421"/>
      <c r="J429" s="421"/>
      <c r="K429" s="421"/>
      <c r="L429" s="421"/>
      <c r="M429" s="421"/>
      <c r="N429" s="421"/>
      <c r="O429" s="421"/>
      <c r="P429" s="342"/>
    </row>
    <row r="430" spans="2:16" ht="15">
      <c r="B430" s="106"/>
      <c r="C430" s="336"/>
      <c r="D430" s="336"/>
      <c r="E430" s="383" t="s">
        <v>1344</v>
      </c>
      <c r="F430" s="1576">
        <f t="shared" ref="F430:O430" si="39">SUM(F431:F438)</f>
        <v>452.80238325325445</v>
      </c>
      <c r="G430" s="722">
        <f t="shared" si="39"/>
        <v>525.88369058715364</v>
      </c>
      <c r="H430" s="721">
        <f t="shared" si="39"/>
        <v>628.78849629242211</v>
      </c>
      <c r="I430" s="721">
        <f t="shared" si="39"/>
        <v>758.42727148991048</v>
      </c>
      <c r="J430" s="721">
        <f t="shared" si="39"/>
        <v>917.79260639845427</v>
      </c>
      <c r="K430" s="721">
        <f t="shared" si="39"/>
        <v>1121.4277878948251</v>
      </c>
      <c r="L430" s="721">
        <f t="shared" si="39"/>
        <v>1388.867015994505</v>
      </c>
      <c r="M430" s="721">
        <f t="shared" si="39"/>
        <v>1689.5440734288015</v>
      </c>
      <c r="N430" s="721">
        <f t="shared" si="39"/>
        <v>2005.5812304921742</v>
      </c>
      <c r="O430" s="721">
        <f t="shared" si="39"/>
        <v>2344.086783700614</v>
      </c>
      <c r="P430" s="342"/>
    </row>
    <row r="431" spans="2:16" ht="15">
      <c r="B431" s="106"/>
      <c r="C431" s="336" t="str">
        <f t="shared" ref="C431:D438" si="40">C421</f>
        <v>MI</v>
      </c>
      <c r="D431" s="336" t="str">
        <f t="shared" si="40"/>
        <v>Mining SIC2</v>
      </c>
      <c r="E431" s="169"/>
      <c r="F431" s="1575">
        <f t="array" ref="F431">SUM( ($H$130:$O$130=$C431) * ($H$143:$O$143 ) )</f>
        <v>36.241257519407995</v>
      </c>
      <c r="G431" s="719">
        <f t="array" ref="G431">SUM(($C$20:$C$27=$C431)*($F$19:$N$19=G$419)*($F$20:$N$27)) * $F431</f>
        <v>42.582897912025132</v>
      </c>
      <c r="H431" s="421">
        <f t="array" ref="H431">SUM(($C$20:$C$27=$C431)*($F$19:$N$19=H$419)*($F$20:$N$27)) * $F431</f>
        <v>52.268984641497568</v>
      </c>
      <c r="I431" s="421">
        <f t="array" ref="I431">SUM(($C$20:$C$27=$C431)*($F$19:$N$19=I$419)*($F$20:$N$27)) * $F431</f>
        <v>65.006496597825276</v>
      </c>
      <c r="J431" s="421">
        <f t="array" ref="J431">SUM(($C$20:$C$27=$C431)*($F$19:$N$19=J$419)*($F$20:$N$27)) * $F431</f>
        <v>81.539066110704596</v>
      </c>
      <c r="K431" s="421">
        <f t="array" ref="K431">SUM(($C$20:$C$27=$C431)*($F$19:$N$19=K$419)*($F$20:$N$27)) * $F431</f>
        <v>103.14489586584381</v>
      </c>
      <c r="L431" s="421">
        <f t="array" ref="L431">SUM(($C$20:$C$27=$C431)*($F$19:$N$19=L$419)*($F$20:$N$27)) * $F431</f>
        <v>130.48987962799876</v>
      </c>
      <c r="M431" s="421">
        <f t="array" ref="M431">SUM(($C$20:$C$27=$C431)*($F$19:$N$19=M$419)*($F$20:$N$27)) * $F431</f>
        <v>161.82438161441803</v>
      </c>
      <c r="N431" s="421">
        <f t="array" ref="N431">SUM(($C$20:$C$27=$C431)*($F$19:$N$19=N$419)*($F$20:$N$27)) * $F431</f>
        <v>195.3217286096052</v>
      </c>
      <c r="O431" s="421">
        <f t="array" ref="O431">SUM(($C$20:$C$27=$C431)*($F$19:$N$19=O$419)*($F$20:$N$27)) * $F431</f>
        <v>232.41693638561532</v>
      </c>
      <c r="P431" s="342"/>
    </row>
    <row r="432" spans="2:16" ht="15">
      <c r="B432" s="106"/>
      <c r="C432" s="336" t="str">
        <f t="shared" si="40"/>
        <v>IS</v>
      </c>
      <c r="D432" s="336" t="str">
        <f t="shared" si="40"/>
        <v>Iron  &amp; Steel  - 351</v>
      </c>
      <c r="E432" s="185"/>
      <c r="F432" s="1575">
        <f t="array" ref="F432">SUM( ($H$130:$O$130=$C432) * ($H$143:$O$143 ) )</f>
        <v>98.839252776094753</v>
      </c>
      <c r="G432" s="719">
        <f t="array" ref="G432">SUM(($C$20:$C$27=$C432)*($F$19:$N$19=G$419)*($F$20:$N$27)) * $F432</f>
        <v>114.46141608245419</v>
      </c>
      <c r="H432" s="421">
        <f t="array" ref="H432">SUM(($C$20:$C$27=$C432)*($F$19:$N$19=H$419)*($F$20:$N$27)) * $F432</f>
        <v>143.83659522212224</v>
      </c>
      <c r="I432" s="421">
        <f t="array" ref="I432">SUM(($C$20:$C$27=$C432)*($F$19:$N$19=I$419)*($F$20:$N$27)) * $F432</f>
        <v>181.78258593508329</v>
      </c>
      <c r="J432" s="421">
        <f t="array" ref="J432">SUM(($C$20:$C$27=$C432)*($F$19:$N$19=J$419)*($F$20:$N$27)) * $F432</f>
        <v>228.4346074039552</v>
      </c>
      <c r="K432" s="421">
        <f t="array" ref="K432">SUM(($C$20:$C$27=$C432)*($F$19:$N$19=K$419)*($F$20:$N$27)) * $F432</f>
        <v>287.0533035072375</v>
      </c>
      <c r="L432" s="421">
        <f t="array" ref="L432">SUM(($C$20:$C$27=$C432)*($F$19:$N$19=L$419)*($F$20:$N$27)) * $F432</f>
        <v>352.93293285171893</v>
      </c>
      <c r="M432" s="421">
        <f t="array" ref="M432">SUM(($C$20:$C$27=$C432)*($F$19:$N$19=M$419)*($F$20:$N$27)) * $F432</f>
        <v>426.37498452098458</v>
      </c>
      <c r="N432" s="421">
        <f t="array" ref="N432">SUM(($C$20:$C$27=$C432)*($F$19:$N$19=N$419)*($F$20:$N$27)) * $F432</f>
        <v>502.96471129564446</v>
      </c>
      <c r="O432" s="421">
        <f t="array" ref="O432">SUM(($C$20:$C$27=$C432)*($F$19:$N$19=O$419)*($F$20:$N$27)) * $F432</f>
        <v>589.23331709623483</v>
      </c>
      <c r="P432" s="342"/>
    </row>
    <row r="433" spans="2:16" ht="15">
      <c r="B433" s="106"/>
      <c r="C433" s="336" t="str">
        <f t="shared" si="40"/>
        <v>CP</v>
      </c>
      <c r="D433" s="336" t="str">
        <f t="shared" si="40"/>
        <v>Chemicals  -33</v>
      </c>
      <c r="E433" s="185"/>
      <c r="F433" s="1575">
        <f t="array" ref="F433">SUM( ($H$130:$O$130=$C433) * ($H$143:$O$143 ) )</f>
        <v>75.377999363840004</v>
      </c>
      <c r="G433" s="719">
        <f t="array" ref="G433">SUM(($C$20:$C$27=$C433)*($F$19:$N$19=G$419)*($F$20:$N$27)) * $F433</f>
        <v>86.034031875285152</v>
      </c>
      <c r="H433" s="421">
        <f t="array" ref="H433">SUM(($C$20:$C$27=$C433)*($F$19:$N$19=H$419)*($F$20:$N$27)) * $F433</f>
        <v>94.455703840251331</v>
      </c>
      <c r="I433" s="421">
        <f t="array" ref="I433">SUM(($C$20:$C$27=$C433)*($F$19:$N$19=I$419)*($F$20:$N$27)) * $F433</f>
        <v>104.33963749943983</v>
      </c>
      <c r="J433" s="421">
        <f t="array" ref="J433">SUM(($C$20:$C$27=$C433)*($F$19:$N$19=J$419)*($F$20:$N$27)) * $F433</f>
        <v>115.28582048669631</v>
      </c>
      <c r="K433" s="421">
        <f t="array" ref="K433">SUM(($C$20:$C$27=$C433)*($F$19:$N$19=K$419)*($F$20:$N$27)) * $F433</f>
        <v>129.83408820425237</v>
      </c>
      <c r="L433" s="421">
        <f t="array" ref="L433">SUM(($C$20:$C$27=$C433)*($F$19:$N$19=L$419)*($F$20:$N$27)) * $F433</f>
        <v>155.39546064786282</v>
      </c>
      <c r="M433" s="421">
        <f t="array" ref="M433">SUM(($C$20:$C$27=$C433)*($F$19:$N$19=M$419)*($F$20:$N$27)) * $F433</f>
        <v>183.1617407991597</v>
      </c>
      <c r="N433" s="421">
        <f t="array" ref="N433">SUM(($C$20:$C$27=$C433)*($F$19:$N$19=N$419)*($F$20:$N$27)) * $F433</f>
        <v>211.4501165354564</v>
      </c>
      <c r="O433" s="421">
        <f t="array" ref="O433">SUM(($C$20:$C$27=$C433)*($F$19:$N$19=O$419)*($F$20:$N$27)) * $F433</f>
        <v>235.64770838636889</v>
      </c>
      <c r="P433" s="342"/>
    </row>
    <row r="434" spans="2:16" ht="15">
      <c r="B434" s="106"/>
      <c r="C434" s="336" t="str">
        <f t="shared" si="40"/>
        <v>NF</v>
      </c>
      <c r="D434" s="336" t="str">
        <f t="shared" si="40"/>
        <v>Non-Ferrous metals  - 352</v>
      </c>
      <c r="E434" s="185"/>
      <c r="F434" s="1575">
        <f t="array" ref="F434">SUM( ($H$130:$O$130=$C434) * ($H$143:$O$143 ) )</f>
        <v>0.51839999999999986</v>
      </c>
      <c r="G434" s="719">
        <f t="array" ref="G434">SUM(($C$20:$C$27=$C434)*($F$19:$N$19=G$419)*($F$20:$N$27)) * $F434</f>
        <v>0.60084137585605246</v>
      </c>
      <c r="H434" s="421">
        <f t="array" ref="H434">SUM(($C$20:$C$27=$C434)*($F$19:$N$19=H$419)*($F$20:$N$27)) * $F434</f>
        <v>0.72520415348678124</v>
      </c>
      <c r="I434" s="421">
        <f t="array" ref="I434">SUM(($C$20:$C$27=$C434)*($F$19:$N$19=I$419)*($F$20:$N$27)) * $F434</f>
        <v>0.89496181872312142</v>
      </c>
      <c r="J434" s="421">
        <f t="array" ref="J434">SUM(($C$20:$C$27=$C434)*($F$19:$N$19=J$419)*($F$20:$N$27)) * $F434</f>
        <v>1.0780388192919648</v>
      </c>
      <c r="K434" s="421">
        <f t="array" ref="K434">SUM(($C$20:$C$27=$C434)*($F$19:$N$19=K$419)*($F$20:$N$27)) * $F434</f>
        <v>1.3123060143651797</v>
      </c>
      <c r="L434" s="421">
        <f t="array" ref="L434">SUM(($C$20:$C$27=$C434)*($F$19:$N$19=L$419)*($F$20:$N$27)) * $F434</f>
        <v>1.6010943853905606</v>
      </c>
      <c r="M434" s="421">
        <f t="array" ref="M434">SUM(($C$20:$C$27=$C434)*($F$19:$N$19=M$419)*($F$20:$N$27)) * $F434</f>
        <v>1.9206497412542094</v>
      </c>
      <c r="N434" s="421">
        <f t="array" ref="N434">SUM(($C$20:$C$27=$C434)*($F$19:$N$19=N$419)*($F$20:$N$27)) * $F434</f>
        <v>2.2516791107568466</v>
      </c>
      <c r="O434" s="421">
        <f t="array" ref="O434">SUM(($C$20:$C$27=$C434)*($F$19:$N$19=O$419)*($F$20:$N$27)) * $F434</f>
        <v>2.5974458578374717</v>
      </c>
      <c r="P434" s="342"/>
    </row>
    <row r="435" spans="2:16" ht="15">
      <c r="B435" s="106"/>
      <c r="C435" s="336" t="str">
        <f t="shared" si="40"/>
        <v>NM</v>
      </c>
      <c r="D435" s="336" t="str">
        <f t="shared" si="40"/>
        <v>N.M.M Products  -34</v>
      </c>
      <c r="E435" s="185"/>
      <c r="F435" s="1575">
        <f t="array" ref="F435">SUM( ($H$130:$O$130=$C435) * ($H$143:$O$143 ) )</f>
        <v>40.225319999999996</v>
      </c>
      <c r="G435" s="719">
        <f t="array" ref="G435">SUM(($C$20:$C$27=$C435)*($F$19:$N$19=G$419)*($F$20:$N$27)) * $F435</f>
        <v>47.399125572755501</v>
      </c>
      <c r="H435" s="421">
        <f t="array" ref="H435">SUM(($C$20:$C$27=$C435)*($F$19:$N$19=H$419)*($F$20:$N$27)) * $F435</f>
        <v>57.845988136271515</v>
      </c>
      <c r="I435" s="421">
        <f t="array" ref="I435">SUM(($C$20:$C$27=$C435)*($F$19:$N$19=I$419)*($F$20:$N$27)) * $F435</f>
        <v>71.057084267985417</v>
      </c>
      <c r="J435" s="421">
        <f t="array" ref="J435">SUM(($C$20:$C$27=$C435)*($F$19:$N$19=J$419)*($F$20:$N$27)) * $F435</f>
        <v>87.745229830200884</v>
      </c>
      <c r="K435" s="421">
        <f t="array" ref="K435">SUM(($C$20:$C$27=$C435)*($F$19:$N$19=K$419)*($F$20:$N$27)) * $F435</f>
        <v>109.22771719573488</v>
      </c>
      <c r="L435" s="421">
        <f t="array" ref="L435">SUM(($C$20:$C$27=$C435)*($F$19:$N$19=L$419)*($F$20:$N$27)) * $F435</f>
        <v>138.16578405155309</v>
      </c>
      <c r="M435" s="421">
        <f t="array" ref="M435">SUM(($C$20:$C$27=$C435)*($F$19:$N$19=M$419)*($F$20:$N$27)) * $F435</f>
        <v>171.32127229612789</v>
      </c>
      <c r="N435" s="421">
        <f t="array" ref="N435">SUM(($C$20:$C$27=$C435)*($F$19:$N$19=N$419)*($F$20:$N$27)) * $F435</f>
        <v>206.76094574915521</v>
      </c>
      <c r="O435" s="421">
        <f t="array" ref="O435">SUM(($C$20:$C$27=$C435)*($F$19:$N$19=O$419)*($F$20:$N$27)) * $F435</f>
        <v>245.77447517614476</v>
      </c>
      <c r="P435" s="342"/>
    </row>
    <row r="436" spans="2:16" ht="15">
      <c r="B436" s="106"/>
      <c r="C436" s="336" t="str">
        <f t="shared" si="40"/>
        <v>FB</v>
      </c>
      <c r="D436" s="336" t="str">
        <f t="shared" si="40"/>
        <v>Food, Beverage &amp; Tabacco  - 30</v>
      </c>
      <c r="E436" s="185"/>
      <c r="F436" s="1575">
        <f t="array" ref="F436">SUM( ($H$130:$O$130=$C436) * ($H$143:$O$143 ) )</f>
        <v>27.970118085119996</v>
      </c>
      <c r="G436" s="719">
        <f t="array" ref="G436">SUM(($C$20:$C$27=$C436)*($F$19:$N$19=G$419)*($F$20:$N$27)) * $F436</f>
        <v>32.175859469811989</v>
      </c>
      <c r="H436" s="421">
        <f t="array" ref="H436">SUM(($C$20:$C$27=$C436)*($F$19:$N$19=H$419)*($F$20:$N$27)) * $F436</f>
        <v>39.125998219434798</v>
      </c>
      <c r="I436" s="421">
        <f t="array" ref="I436">SUM(($C$20:$C$27=$C436)*($F$19:$N$19=I$419)*($F$20:$N$27)) * $F436</f>
        <v>47.837019674695711</v>
      </c>
      <c r="J436" s="421">
        <f t="array" ref="J436">SUM(($C$20:$C$27=$C436)*($F$19:$N$19=J$419)*($F$20:$N$27)) * $F436</f>
        <v>58.098735295386639</v>
      </c>
      <c r="K436" s="421">
        <f t="array" ref="K436">SUM(($C$20:$C$27=$C436)*($F$19:$N$19=K$419)*($F$20:$N$27)) * $F436</f>
        <v>71.043329399163653</v>
      </c>
      <c r="L436" s="421">
        <f t="array" ref="L436">SUM(($C$20:$C$27=$C436)*($F$19:$N$19=L$419)*($F$20:$N$27)) * $F436</f>
        <v>87.228496694964321</v>
      </c>
      <c r="M436" s="421">
        <f t="array" ref="M436">SUM(($C$20:$C$27=$C436)*($F$19:$N$19=M$419)*($F$20:$N$27)) * $F436</f>
        <v>105.24778841846577</v>
      </c>
      <c r="N436" s="421">
        <f t="array" ref="N436">SUM(($C$20:$C$27=$C436)*($F$19:$N$19=N$419)*($F$20:$N$27)) * $F436</f>
        <v>124.01706179172186</v>
      </c>
      <c r="O436" s="421">
        <f t="array" ref="O436">SUM(($C$20:$C$27=$C436)*($F$19:$N$19=O$419)*($F$20:$N$27)) * $F436</f>
        <v>144.80893099551076</v>
      </c>
      <c r="P436" s="342"/>
    </row>
    <row r="437" spans="2:16" ht="15">
      <c r="B437" s="106"/>
      <c r="C437" s="336" t="str">
        <f t="shared" si="40"/>
        <v>PP</v>
      </c>
      <c r="D437" s="336" t="str">
        <f t="shared" si="40"/>
        <v>Pulp &amp; Paper Products  -323</v>
      </c>
      <c r="E437" s="185"/>
      <c r="F437" s="1575">
        <f t="array" ref="F437">SUM( ($H$130:$O$130=$C437) * ($H$143:$O$143 ) )</f>
        <v>68.446338545454523</v>
      </c>
      <c r="G437" s="719">
        <f t="array" ref="G437">SUM(($C$20:$C$27=$C437)*($F$19:$N$19=G$419)*($F$20:$N$27)) * $F437</f>
        <v>79.636383805474267</v>
      </c>
      <c r="H437" s="421">
        <f t="array" ref="H437">SUM(($C$20:$C$27=$C437)*($F$19:$N$19=H$419)*($F$20:$N$27)) * $F437</f>
        <v>94.258931313350431</v>
      </c>
      <c r="I437" s="421">
        <f t="array" ref="I437">SUM(($C$20:$C$27=$C437)*($F$19:$N$19=I$419)*($F$20:$N$27)) * $F437</f>
        <v>112.3224723614356</v>
      </c>
      <c r="J437" s="421">
        <f t="array" ref="J437">SUM(($C$20:$C$27=$C437)*($F$19:$N$19=J$419)*($F$20:$N$27)) * $F437</f>
        <v>134.00780934124202</v>
      </c>
      <c r="K437" s="421">
        <f t="array" ref="K437">SUM(($C$20:$C$27=$C437)*($F$19:$N$19=K$419)*($F$20:$N$27)) * $F437</f>
        <v>161.31027550164379</v>
      </c>
      <c r="L437" s="421">
        <f t="array" ref="L437">SUM(($C$20:$C$27=$C437)*($F$19:$N$19=L$419)*($F$20:$N$27)) * $F437</f>
        <v>198.22933815173539</v>
      </c>
      <c r="M437" s="421">
        <f t="array" ref="M437">SUM(($C$20:$C$27=$C437)*($F$19:$N$19=M$419)*($F$20:$N$27)) * $F437</f>
        <v>239.36596191522528</v>
      </c>
      <c r="N437" s="421">
        <f t="array" ref="N437">SUM(($C$20:$C$27=$C437)*($F$19:$N$19=N$419)*($F$20:$N$27)) * $F437</f>
        <v>282.24649695092216</v>
      </c>
      <c r="O437" s="421">
        <f t="array" ref="O437">SUM(($C$20:$C$27=$C437)*($F$19:$N$19=O$419)*($F$20:$N$27)) * $F437</f>
        <v>327.07906246853145</v>
      </c>
      <c r="P437" s="342"/>
    </row>
    <row r="438" spans="2:16" ht="15">
      <c r="B438" s="106"/>
      <c r="C438" s="336" t="str">
        <f t="shared" si="40"/>
        <v>OT</v>
      </c>
      <c r="D438" s="336" t="str">
        <f t="shared" si="40"/>
        <v>Other</v>
      </c>
      <c r="E438" s="185"/>
      <c r="F438" s="1575">
        <f t="array" ref="F438">SUM( ($H$130:$O$130=$C438) * ($H$143:$O$143 ) )</f>
        <v>105.1836969633372</v>
      </c>
      <c r="G438" s="719">
        <f t="array" ref="G438">SUM(($C$20:$C$27=$C438)*($F$19:$N$19=G$419)*($F$20:$N$27)) * $F438</f>
        <v>122.99313449349138</v>
      </c>
      <c r="H438" s="421">
        <f t="array" ref="H438">SUM(($C$20:$C$27=$C438)*($F$19:$N$19=H$419)*($F$20:$N$27)) * $F438</f>
        <v>146.2710907660074</v>
      </c>
      <c r="I438" s="421">
        <f t="array" ref="I438">SUM(($C$20:$C$27=$C438)*($F$19:$N$19=I$419)*($F$20:$N$27)) * $F438</f>
        <v>175.1870133347222</v>
      </c>
      <c r="J438" s="421">
        <f t="array" ref="J438">SUM(($C$20:$C$27=$C438)*($F$19:$N$19=J$419)*($F$20:$N$27)) * $F438</f>
        <v>211.60329911097665</v>
      </c>
      <c r="K438" s="421">
        <f t="array" ref="K438">SUM(($C$20:$C$27=$C438)*($F$19:$N$19=K$419)*($F$20:$N$27)) * $F438</f>
        <v>258.50187220658381</v>
      </c>
      <c r="L438" s="421">
        <f t="array" ref="L438">SUM(($C$20:$C$27=$C438)*($F$19:$N$19=L$419)*($F$20:$N$27)) * $F438</f>
        <v>324.82402958328123</v>
      </c>
      <c r="M438" s="421">
        <f t="array" ref="M438">SUM(($C$20:$C$27=$C438)*($F$19:$N$19=M$419)*($F$20:$N$27)) * $F438</f>
        <v>400.32729412316604</v>
      </c>
      <c r="N438" s="421">
        <f t="array" ref="N438">SUM(($C$20:$C$27=$C438)*($F$19:$N$19=N$419)*($F$20:$N$27)) * $F438</f>
        <v>480.56849044891186</v>
      </c>
      <c r="O438" s="421">
        <f t="array" ref="O438">SUM(($C$20:$C$27=$C438)*($F$19:$N$19=O$419)*($F$20:$N$27)) * $F438</f>
        <v>566.52890733437073</v>
      </c>
      <c r="P438" s="342"/>
    </row>
    <row r="439" spans="2:16" ht="15">
      <c r="B439" s="106"/>
      <c r="C439" s="336"/>
      <c r="D439" s="336"/>
      <c r="E439" s="185"/>
      <c r="F439" s="90"/>
      <c r="G439" s="719"/>
      <c r="H439" s="421"/>
      <c r="I439" s="421"/>
      <c r="J439" s="421"/>
      <c r="K439" s="421"/>
      <c r="L439" s="421"/>
      <c r="M439" s="421"/>
      <c r="N439" s="421"/>
      <c r="O439" s="421"/>
      <c r="P439" s="342"/>
    </row>
    <row r="440" spans="2:16" ht="15">
      <c r="B440" s="106"/>
      <c r="C440" s="336"/>
      <c r="D440" s="336"/>
      <c r="E440" s="383" t="s">
        <v>1348</v>
      </c>
      <c r="F440" s="723">
        <f t="shared" ref="F440:O440" si="41">SUM(F441:F444)</f>
        <v>86.265359380800007</v>
      </c>
      <c r="G440" s="722">
        <f t="shared" si="41"/>
        <v>100.46522019168525</v>
      </c>
      <c r="H440" s="721">
        <f t="shared" si="41"/>
        <v>124.66381435133783</v>
      </c>
      <c r="I440" s="721">
        <f t="shared" si="41"/>
        <v>156.01156010144081</v>
      </c>
      <c r="J440" s="721">
        <f t="shared" si="41"/>
        <v>195.29406780916239</v>
      </c>
      <c r="K440" s="721">
        <f t="shared" si="41"/>
        <v>245.38485920681862</v>
      </c>
      <c r="L440" s="721">
        <f t="shared" si="41"/>
        <v>305.07736720041669</v>
      </c>
      <c r="M440" s="721">
        <f t="shared" si="41"/>
        <v>372.39995038994846</v>
      </c>
      <c r="N440" s="721">
        <f t="shared" si="41"/>
        <v>443.35705436076643</v>
      </c>
      <c r="O440" s="721">
        <f t="shared" si="41"/>
        <v>522.45715854150296</v>
      </c>
      <c r="P440" s="342"/>
    </row>
    <row r="441" spans="2:16" ht="15">
      <c r="B441" s="106"/>
      <c r="C441" s="336" t="s">
        <v>1015</v>
      </c>
      <c r="D441" s="336" t="s">
        <v>1347</v>
      </c>
      <c r="E441" s="169" t="s">
        <v>886</v>
      </c>
      <c r="F441" s="1575">
        <f t="array" ref="F441">SUM(($H$130:$O$130=$C441)*($G$154:$G$156=$E441)*($H$154:$O$156))</f>
        <v>28.149155919000002</v>
      </c>
      <c r="G441" s="719">
        <f t="array" ref="G441">SUM(($C$20:$C$27=$C441)*($F$19:$N$19=G$419)*($F$20:$N$27)) * $F441</f>
        <v>33.074807963452685</v>
      </c>
      <c r="H441" s="421">
        <f t="array" ref="H441">SUM(($C$20:$C$27=$C441)*($F$19:$N$19=H$419)*($F$20:$N$27)) * $F441</f>
        <v>40.598144190040948</v>
      </c>
      <c r="I441" s="421">
        <f t="array" ref="I441">SUM(($C$20:$C$27=$C441)*($F$19:$N$19=I$419)*($F$20:$N$27)) * $F441</f>
        <v>50.491570484279876</v>
      </c>
      <c r="J441" s="421">
        <f t="array" ref="J441">SUM(($C$20:$C$27=$C441)*($F$19:$N$19=J$419)*($F$20:$N$27)) * $F441</f>
        <v>63.332677797140803</v>
      </c>
      <c r="K441" s="421">
        <f t="array" ref="K441">SUM(($C$20:$C$27=$C441)*($F$19:$N$19=K$419)*($F$20:$N$27)) * $F441</f>
        <v>80.114266300549829</v>
      </c>
      <c r="L441" s="421">
        <f t="array" ref="L441">SUM(($C$20:$C$27=$C441)*($F$19:$N$19=L$419)*($F$20:$N$27)) * $F441</f>
        <v>101.35354617684031</v>
      </c>
      <c r="M441" s="421">
        <f t="array" ref="M441">SUM(($C$20:$C$27=$C441)*($F$19:$N$19=M$419)*($F$20:$N$27)) * $F441</f>
        <v>125.69154773728779</v>
      </c>
      <c r="N441" s="421">
        <f t="array" ref="N441">SUM(($C$20:$C$27=$C441)*($F$19:$N$19=N$419)*($F$20:$N$27)) * $F441</f>
        <v>151.70946510495679</v>
      </c>
      <c r="O441" s="421">
        <f t="array" ref="O441">SUM(($C$20:$C$27=$C441)*($F$19:$N$19=O$419)*($F$20:$N$27)) * $F441</f>
        <v>180.52189764749255</v>
      </c>
      <c r="P441" s="342"/>
    </row>
    <row r="442" spans="2:16" ht="15">
      <c r="B442" s="106"/>
      <c r="C442" s="336" t="s">
        <v>1013</v>
      </c>
      <c r="D442" s="336" t="s">
        <v>1012</v>
      </c>
      <c r="E442" s="169" t="s">
        <v>883</v>
      </c>
      <c r="F442" s="175">
        <f t="array" ref="F442">SUM(($H$130:$O$130=$C442)*($G$154:$G$156=$E442)*($H$154:$O$156))</f>
        <v>50.250383099999993</v>
      </c>
      <c r="G442" s="719">
        <f t="array" ref="G442">SUM(($C$20:$C$27=$C442)*($F$19:$N$19=G$419)*($F$20:$N$27)) * $F442</f>
        <v>58.192771057683835</v>
      </c>
      <c r="H442" s="421">
        <f t="array" ref="H442">SUM(($C$20:$C$27=$C442)*($F$19:$N$19=H$419)*($F$20:$N$27)) * $F442</f>
        <v>73.127262810098827</v>
      </c>
      <c r="I442" s="421">
        <f t="array" ref="I442">SUM(($C$20:$C$27=$C442)*($F$19:$N$19=I$419)*($F$20:$N$27)) * $F442</f>
        <v>92.419199129719743</v>
      </c>
      <c r="J442" s="421">
        <f t="array" ref="J442">SUM(($C$20:$C$27=$C442)*($F$19:$N$19=J$419)*($F$20:$N$27)) * $F442</f>
        <v>116.13732614258629</v>
      </c>
      <c r="K442" s="421">
        <f t="array" ref="K442">SUM(($C$20:$C$27=$C442)*($F$19:$N$19=K$419)*($F$20:$N$27)) * $F442</f>
        <v>145.93937192175915</v>
      </c>
      <c r="L442" s="421">
        <f t="array" ref="L442">SUM(($C$20:$C$27=$C442)*($F$19:$N$19=L$419)*($F$20:$N$27)) * $F442</f>
        <v>179.4329134051774</v>
      </c>
      <c r="M442" s="421">
        <f t="array" ref="M442">SUM(($C$20:$C$27=$C442)*($F$19:$N$19=M$419)*($F$20:$N$27)) * $F442</f>
        <v>216.77122918940168</v>
      </c>
      <c r="N442" s="421">
        <f t="array" ref="N442">SUM(($C$20:$C$27=$C442)*($F$19:$N$19=N$419)*($F$20:$N$27)) * $F442</f>
        <v>255.70983914297494</v>
      </c>
      <c r="O442" s="421">
        <f t="array" ref="O442">SUM(($C$20:$C$27=$C442)*($F$19:$N$19=O$419)*($F$20:$N$27)) * $F442</f>
        <v>299.56924084042498</v>
      </c>
      <c r="P442" s="342"/>
    </row>
    <row r="443" spans="2:16" ht="15">
      <c r="B443" s="106"/>
      <c r="C443" s="336" t="s">
        <v>1013</v>
      </c>
      <c r="D443" s="336" t="s">
        <v>1346</v>
      </c>
      <c r="E443" s="169" t="s">
        <v>869</v>
      </c>
      <c r="F443" s="175">
        <f t="array" ref="F443">SUM(($H$130:$O$130=$C443)*($G$154:$G$156=$E443)*($H$154:$O$156))</f>
        <v>0</v>
      </c>
      <c r="G443" s="719">
        <f t="array" ref="G443">SUM(($C$20:$C$27=$C443)*($F$19:$N$19=G$419)*($F$20:$N$27)) * $F443</f>
        <v>0</v>
      </c>
      <c r="H443" s="421">
        <f t="array" ref="H443">SUM(($C$20:$C$27=$C443)*($F$19:$N$19=H$419)*($F$20:$N$27)) * $F443</f>
        <v>0</v>
      </c>
      <c r="I443" s="421">
        <f t="array" ref="I443">SUM(($C$20:$C$27=$C443)*($F$19:$N$19=I$419)*($F$20:$N$27)) * $F443</f>
        <v>0</v>
      </c>
      <c r="J443" s="421">
        <f t="array" ref="J443">SUM(($C$20:$C$27=$C443)*($F$19:$N$19=J$419)*($F$20:$N$27)) * $F443</f>
        <v>0</v>
      </c>
      <c r="K443" s="421">
        <f t="array" ref="K443">SUM(($C$20:$C$27=$C443)*($F$19:$N$19=K$419)*($F$20:$N$27)) * $F443</f>
        <v>0</v>
      </c>
      <c r="L443" s="421">
        <f t="array" ref="L443">SUM(($C$20:$C$27=$C443)*($F$19:$N$19=L$419)*($F$20:$N$27)) * $F443</f>
        <v>0</v>
      </c>
      <c r="M443" s="421">
        <f t="array" ref="M443">SUM(($C$20:$C$27=$C443)*($F$19:$N$19=M$419)*($F$20:$N$27)) * $F443</f>
        <v>0</v>
      </c>
      <c r="N443" s="421">
        <f t="array" ref="N443">SUM(($C$20:$C$27=$C443)*($F$19:$N$19=N$419)*($F$20:$N$27)) * $F443</f>
        <v>0</v>
      </c>
      <c r="O443" s="421">
        <f t="array" ref="O443">SUM(($C$20:$C$27=$C443)*($F$19:$N$19=O$419)*($F$20:$N$27)) * $F443</f>
        <v>0</v>
      </c>
      <c r="P443" s="342"/>
    </row>
    <row r="444" spans="2:16" ht="15">
      <c r="B444" s="106"/>
      <c r="C444" s="336" t="s">
        <v>1001</v>
      </c>
      <c r="D444" s="336" t="s">
        <v>97</v>
      </c>
      <c r="E444" s="169" t="s">
        <v>886</v>
      </c>
      <c r="F444" s="175">
        <f t="array" ref="F444">SUM(($H$130:$O$130=$C444)*($G$154:$G$156=$E444)*($H$154:$O$156))</f>
        <v>7.8658203618</v>
      </c>
      <c r="G444" s="719">
        <f t="array" ref="G444">SUM(($C$20:$C$27=$C444)*($F$19:$N$19=G$419)*($F$20:$N$27)) * $F444</f>
        <v>9.1976411705487191</v>
      </c>
      <c r="H444" s="421">
        <f t="array" ref="H444">SUM(($C$20:$C$27=$C444)*($F$19:$N$19=H$419)*($F$20:$N$27)) * $F444</f>
        <v>10.938407351198062</v>
      </c>
      <c r="I444" s="421">
        <f t="array" ref="I444">SUM(($C$20:$C$27=$C444)*($F$19:$N$19=I$419)*($F$20:$N$27)) * $F444</f>
        <v>13.100790487441202</v>
      </c>
      <c r="J444" s="421">
        <f t="array" ref="J444">SUM(($C$20:$C$27=$C444)*($F$19:$N$19=J$419)*($F$20:$N$27)) * $F444</f>
        <v>15.824063869435303</v>
      </c>
      <c r="K444" s="421">
        <f t="array" ref="K444">SUM(($C$20:$C$27=$C444)*($F$19:$N$19=K$419)*($F$20:$N$27)) * $F444</f>
        <v>19.331220984509656</v>
      </c>
      <c r="L444" s="421">
        <f t="array" ref="L444">SUM(($C$20:$C$27=$C444)*($F$19:$N$19=L$419)*($F$20:$N$27)) * $F444</f>
        <v>24.290907618399</v>
      </c>
      <c r="M444" s="421">
        <f t="array" ref="M444">SUM(($C$20:$C$27=$C444)*($F$19:$N$19=M$419)*($F$20:$N$27)) * $F444</f>
        <v>29.937173463259022</v>
      </c>
      <c r="N444" s="421">
        <f t="array" ref="N444">SUM(($C$20:$C$27=$C444)*($F$19:$N$19=N$419)*($F$20:$N$27)) * $F444</f>
        <v>35.937750112834671</v>
      </c>
      <c r="O444" s="421">
        <f t="array" ref="O444">SUM(($C$20:$C$27=$C444)*($F$19:$N$19=O$419)*($F$20:$N$27)) * $F444</f>
        <v>42.366020053585451</v>
      </c>
      <c r="P444" s="342"/>
    </row>
    <row r="445" spans="2:16" ht="15">
      <c r="B445" s="106"/>
      <c r="C445" s="84"/>
      <c r="D445" s="84"/>
      <c r="E445" s="243"/>
      <c r="F445" s="295"/>
      <c r="G445" s="177"/>
      <c r="H445" s="176"/>
      <c r="I445" s="176"/>
      <c r="J445" s="176"/>
      <c r="K445" s="176"/>
      <c r="L445" s="176"/>
      <c r="M445" s="176"/>
      <c r="N445" s="176"/>
      <c r="O445" s="176"/>
      <c r="P445" s="342"/>
    </row>
    <row r="446" spans="2:16" ht="15">
      <c r="B446" s="106"/>
      <c r="C446" s="336"/>
      <c r="D446" s="336"/>
      <c r="E446" s="185"/>
      <c r="F446" s="89"/>
      <c r="G446" s="88"/>
      <c r="H446" s="88"/>
      <c r="I446" s="88"/>
      <c r="J446" s="88"/>
      <c r="K446" s="88"/>
      <c r="L446" s="88"/>
      <c r="M446" s="88"/>
      <c r="N446" s="88"/>
      <c r="O446" s="88"/>
      <c r="P446" s="342"/>
    </row>
    <row r="447" spans="2:16">
      <c r="B447" s="845">
        <v>2</v>
      </c>
      <c r="C447" s="339" t="s">
        <v>2226</v>
      </c>
      <c r="D447" s="687"/>
      <c r="E447" s="339" t="str">
        <f xml:space="preserve"> "Trajectory: "&amp;$E$9</f>
        <v>Trajectory: 1</v>
      </c>
      <c r="F447" s="143" t="str">
        <f>Base_Year&amp;" = 100%"</f>
        <v>2006 = 100%</v>
      </c>
      <c r="G447" s="338"/>
      <c r="H447" s="338"/>
      <c r="I447" s="338"/>
      <c r="J447" s="338"/>
      <c r="K447" s="338"/>
      <c r="L447" s="338"/>
      <c r="M447" s="338"/>
      <c r="N447" s="338"/>
      <c r="O447" s="338"/>
      <c r="P447" s="747"/>
    </row>
    <row r="448" spans="2:16">
      <c r="B448" s="845"/>
      <c r="C448" s="1028"/>
      <c r="D448" s="1029"/>
      <c r="E448" s="1028"/>
      <c r="F448" s="381"/>
      <c r="G448" s="151"/>
      <c r="H448" s="151"/>
      <c r="I448" s="151"/>
      <c r="J448" s="151"/>
      <c r="K448" s="151"/>
      <c r="L448" s="151"/>
      <c r="M448" s="151"/>
      <c r="N448" s="151"/>
      <c r="O448" s="151"/>
      <c r="P448" s="849"/>
    </row>
    <row r="449" spans="2:28" ht="15">
      <c r="B449" s="106"/>
      <c r="C449" s="81" t="s">
        <v>32</v>
      </c>
      <c r="D449" s="1030" t="s">
        <v>59</v>
      </c>
      <c r="E449" s="81"/>
      <c r="F449" s="1024">
        <f>Base_Year</f>
        <v>2006</v>
      </c>
      <c r="G449" s="1031">
        <v>2010</v>
      </c>
      <c r="H449" s="1024">
        <v>2015</v>
      </c>
      <c r="I449" s="1024">
        <v>2020</v>
      </c>
      <c r="J449" s="1024">
        <v>2025</v>
      </c>
      <c r="K449" s="1024">
        <v>2030</v>
      </c>
      <c r="L449" s="1024">
        <v>2035</v>
      </c>
      <c r="M449" s="1024">
        <v>2040</v>
      </c>
      <c r="N449" s="1024">
        <v>2045</v>
      </c>
      <c r="O449" s="1024">
        <v>2050</v>
      </c>
      <c r="P449" s="846"/>
    </row>
    <row r="450" spans="2:28" ht="15">
      <c r="B450" s="106"/>
      <c r="C450" s="336" t="str">
        <f t="shared" ref="C450:D457" si="42">C20</f>
        <v>MI</v>
      </c>
      <c r="D450" s="336" t="str">
        <f t="shared" si="42"/>
        <v>Mining SIC2</v>
      </c>
      <c r="E450" s="335"/>
      <c r="F450" s="421">
        <f t="array" ref="F450">SUM(($H$99:$O$99=$C450 )*($H$101:$O$101))/SUM(($H$130:$O$130=$C450)*($H$132:$O$132))</f>
        <v>1.3379024303818945</v>
      </c>
      <c r="G450" s="1650">
        <f t="array" ref="G450" xml:space="preserve">  (1 - SUM(($F$32:$Y$32=$E$9) *  ($C$33:$C$40=$C450)* ($F$31:$Y$31=G$449) * ($F$33:$Y$40) ))</f>
        <v>0.99975499441934723</v>
      </c>
      <c r="H450" s="848">
        <f t="shared" ref="H450:H457" si="43">AVERAGE(G450,I450)</f>
        <v>0.99908859396253225</v>
      </c>
      <c r="I450" s="847">
        <f t="array" ref="I450" xml:space="preserve">  (1 - SUM(($F$32:$Y$32=$E$9) *  ($C$33:$C$40=$C450)* ($F$31:$Y$31=I$449) * ($F$33:$Y$40) ))</f>
        <v>0.99842219350571715</v>
      </c>
      <c r="J450" s="847">
        <f t="shared" ref="J450:J457" si="44">AVERAGE(I450,K450)</f>
        <v>0.99719907544151076</v>
      </c>
      <c r="K450" s="847">
        <f t="array" ref="K450" xml:space="preserve">  (1 - SUM(($F$32:$Y$32=$E$9) *  ($C$33:$C$40=$C450)* ($F$31:$Y$31=K$449) * ($F$33:$Y$40) ))</f>
        <v>0.99597595737730438</v>
      </c>
      <c r="L450" s="847">
        <f t="shared" ref="L450:L457" si="45">AVERAGE(K450,M450)</f>
        <v>0.9949347243899318</v>
      </c>
      <c r="M450" s="847">
        <f t="array" ref="M450" xml:space="preserve">  (1 - SUM(($F$32:$Y$32=$E$9) *  ($C$33:$C$40=$C450)* ($F$31:$Y$31=M$449) * ($F$33:$Y$40) ))</f>
        <v>0.99389349140255934</v>
      </c>
      <c r="N450" s="847">
        <f t="shared" ref="N450:N457" si="46">AVERAGE(M450,O450)</f>
        <v>0.99344674570127967</v>
      </c>
      <c r="O450" s="847">
        <f t="array" ref="O450" xml:space="preserve">  (1 - SUM(($F$32:$Y$32=$E$9) *  ($C$33:$C$40=$C450)* ($F$31:$Y$31=O$449) * ($F$33:$Y$40) ))</f>
        <v>0.99299999999999999</v>
      </c>
      <c r="P450" s="846"/>
    </row>
    <row r="451" spans="2:28" ht="15">
      <c r="B451" s="106"/>
      <c r="C451" s="336" t="str">
        <f t="shared" si="42"/>
        <v>IS</v>
      </c>
      <c r="D451" s="336" t="str">
        <f t="shared" si="42"/>
        <v>Iron  &amp; Steel  - 351</v>
      </c>
      <c r="E451" s="335"/>
      <c r="F451" s="421">
        <f t="array" ref="F451">SUM(($H$99:$O$99=$C451 )*($H$101:$O$101))/SUM(($H$130:$O$130=$C451)*($H$132:$O$132))</f>
        <v>1.1918951132300357</v>
      </c>
      <c r="G451" s="1651">
        <f t="array" ref="G451" xml:space="preserve">  (1 - SUM(($F$32:$Y$32=$E$9) *  ($C$33:$C$40=$C451)* ($F$31:$Y$31=G$449) * ($F$33:$Y$40) ))</f>
        <v>0.99975499441934723</v>
      </c>
      <c r="H451" s="421">
        <f t="shared" si="43"/>
        <v>0.99908859396253225</v>
      </c>
      <c r="I451" s="421">
        <f t="array" ref="I451" xml:space="preserve">  (1 - SUM(($F$32:$Y$32=$E$9) *  ($C$33:$C$40=$C451)* ($F$31:$Y$31=I$449) * ($F$33:$Y$40) ))</f>
        <v>0.99842219350571715</v>
      </c>
      <c r="J451" s="421">
        <f t="shared" si="44"/>
        <v>0.99719907544151076</v>
      </c>
      <c r="K451" s="421">
        <f t="array" ref="K451" xml:space="preserve">  (1 - SUM(($F$32:$Y$32=$E$9) *  ($C$33:$C$40=$C451)* ($F$31:$Y$31=K$449) * ($F$33:$Y$40) ))</f>
        <v>0.99597595737730438</v>
      </c>
      <c r="L451" s="421">
        <f t="shared" si="45"/>
        <v>0.9949347243899318</v>
      </c>
      <c r="M451" s="421">
        <f t="array" ref="M451" xml:space="preserve">  (1 - SUM(($F$32:$Y$32=$E$9) *  ($C$33:$C$40=$C451)* ($F$31:$Y$31=M$449) * ($F$33:$Y$40) ))</f>
        <v>0.99389349140255934</v>
      </c>
      <c r="N451" s="421">
        <f t="shared" si="46"/>
        <v>0.99344674570127967</v>
      </c>
      <c r="O451" s="421">
        <f t="array" ref="O451" xml:space="preserve">  (1 - SUM(($F$32:$Y$32=$E$9) *  ($C$33:$C$40=$C451)* ($F$31:$Y$31=O$449) * ($F$33:$Y$40) ))</f>
        <v>0.99299999999999999</v>
      </c>
      <c r="P451" s="846"/>
    </row>
    <row r="452" spans="2:28" ht="15">
      <c r="B452" s="106"/>
      <c r="C452" s="336" t="str">
        <f t="shared" si="42"/>
        <v>CP</v>
      </c>
      <c r="D452" s="336" t="str">
        <f t="shared" si="42"/>
        <v>Chemicals  -33</v>
      </c>
      <c r="E452" s="335"/>
      <c r="F452" s="421">
        <f t="array" ref="F452">SUM(($H$99:$O$99=$C452 )*($H$101:$O$101))/SUM(($H$130:$O$130=$C452)*($H$132:$O$132))</f>
        <v>1.3706216253634227</v>
      </c>
      <c r="G452" s="1651">
        <f t="array" ref="G452" xml:space="preserve">  (1 - SUM(($F$32:$Y$32=$E$9) *  ($C$33:$C$40=$C452)* ($F$31:$Y$31=G$449) * ($F$33:$Y$40) ))</f>
        <v>0.9997899952165834</v>
      </c>
      <c r="H452" s="421">
        <f t="shared" si="43"/>
        <v>0.99921879482502762</v>
      </c>
      <c r="I452" s="421">
        <f t="array" ref="I452" xml:space="preserve">  (1 - SUM(($F$32:$Y$32=$E$9) *  ($C$33:$C$40=$C452)* ($F$31:$Y$31=I$449) * ($F$33:$Y$40) ))</f>
        <v>0.99864759443347184</v>
      </c>
      <c r="J452" s="421">
        <f t="shared" si="44"/>
        <v>0.99759920752129494</v>
      </c>
      <c r="K452" s="421">
        <f t="array" ref="K452" xml:space="preserve">  (1 - SUM(($F$32:$Y$32=$E$9) *  ($C$33:$C$40=$C452)* ($F$31:$Y$31=K$449) * ($F$33:$Y$40) ))</f>
        <v>0.99655082060911804</v>
      </c>
      <c r="L452" s="421">
        <f t="shared" si="45"/>
        <v>0.99565833519137015</v>
      </c>
      <c r="M452" s="421">
        <f t="array" ref="M452" xml:space="preserve">  (1 - SUM(($F$32:$Y$32=$E$9) *  ($C$33:$C$40=$C452)* ($F$31:$Y$31=M$449) * ($F$33:$Y$40) ))</f>
        <v>0.99476584977362226</v>
      </c>
      <c r="N452" s="421">
        <f t="shared" si="46"/>
        <v>0.99438292488681113</v>
      </c>
      <c r="O452" s="421">
        <f t="array" ref="O452" xml:space="preserve">  (1 - SUM(($F$32:$Y$32=$E$9) *  ($C$33:$C$40=$C452)* ($F$31:$Y$31=O$449) * ($F$33:$Y$40) ))</f>
        <v>0.99399999999999999</v>
      </c>
      <c r="P452" s="846"/>
    </row>
    <row r="453" spans="2:28" ht="15">
      <c r="B453" s="106"/>
      <c r="C453" s="336" t="str">
        <f t="shared" si="42"/>
        <v>NF</v>
      </c>
      <c r="D453" s="336" t="str">
        <f t="shared" si="42"/>
        <v>Non-Ferrous metals  - 352</v>
      </c>
      <c r="E453" s="335"/>
      <c r="F453" s="421">
        <f t="array" ref="F453">SUM(($H$99:$O$99=$C453 )*($H$101:$O$101))/SUM(($H$130:$O$130=$C453)*($H$132:$O$132))</f>
        <v>1.3123359580052492</v>
      </c>
      <c r="G453" s="1651">
        <f t="array" ref="G453" xml:space="preserve">  (1 - SUM(($F$32:$Y$32=$E$9) *  ($C$33:$C$40=$C453)* ($F$31:$Y$31=G$449) * ($F$33:$Y$40) ))</f>
        <v>0.99996499920276394</v>
      </c>
      <c r="H453" s="421">
        <f t="shared" si="43"/>
        <v>0.99986979913750462</v>
      </c>
      <c r="I453" s="421">
        <f t="array" ref="I453" xml:space="preserve">  (1 - SUM(($F$32:$Y$32=$E$9) *  ($C$33:$C$40=$C453)* ($F$31:$Y$31=I$449) * ($F$33:$Y$40) ))</f>
        <v>0.99977459907224531</v>
      </c>
      <c r="J453" s="421">
        <f t="shared" si="44"/>
        <v>0.99959986792021582</v>
      </c>
      <c r="K453" s="421">
        <f t="array" ref="K453" xml:space="preserve">  (1 - SUM(($F$32:$Y$32=$E$9) *  ($C$33:$C$40=$C453)* ($F$31:$Y$31=K$449) * ($F$33:$Y$40) ))</f>
        <v>0.99942513676818634</v>
      </c>
      <c r="L453" s="421">
        <f t="shared" si="45"/>
        <v>0.99927638919856165</v>
      </c>
      <c r="M453" s="421">
        <f t="array" ref="M453" xml:space="preserve">  (1 - SUM(($F$32:$Y$32=$E$9) *  ($C$33:$C$40=$C453)* ($F$31:$Y$31=M$449) * ($F$33:$Y$40) ))</f>
        <v>0.99912764162893708</v>
      </c>
      <c r="N453" s="421">
        <f t="shared" si="46"/>
        <v>0.99906382081446854</v>
      </c>
      <c r="O453" s="421">
        <f t="array" ref="O453" xml:space="preserve">  (1 - SUM(($F$32:$Y$32=$E$9) *  ($C$33:$C$40=$C453)* ($F$31:$Y$31=O$449) * ($F$33:$Y$40) ))</f>
        <v>0.999</v>
      </c>
      <c r="P453" s="846"/>
    </row>
    <row r="454" spans="2:28" ht="15">
      <c r="B454" s="106"/>
      <c r="C454" s="336" t="str">
        <f t="shared" si="42"/>
        <v>NM</v>
      </c>
      <c r="D454" s="336" t="str">
        <f t="shared" si="42"/>
        <v>N.M.M Products  -34</v>
      </c>
      <c r="E454" s="185"/>
      <c r="F454" s="421">
        <f t="array" ref="F454">SUM(($H$99:$O$99=$C454 )*($H$101:$O$101))/SUM(($H$130:$O$130=$C454)*($H$132:$O$132))</f>
        <v>1.3783597518952448</v>
      </c>
      <c r="G454" s="1651">
        <f t="array" ref="G454" xml:space="preserve">  (1 - SUM(($F$32:$Y$32=$E$9) *  ($C$33:$C$40=$C454)* ($F$31:$Y$31=G$449) * ($F$33:$Y$40) ))</f>
        <v>0.99975499441934723</v>
      </c>
      <c r="H454" s="421">
        <f t="shared" si="43"/>
        <v>0.99908859396253225</v>
      </c>
      <c r="I454" s="421">
        <f t="array" ref="I454" xml:space="preserve">  (1 - SUM(($F$32:$Y$32=$E$9) *  ($C$33:$C$40=$C454)* ($F$31:$Y$31=I$449) * ($F$33:$Y$40) ))</f>
        <v>0.99842219350571715</v>
      </c>
      <c r="J454" s="421">
        <f t="shared" si="44"/>
        <v>0.99719907544151076</v>
      </c>
      <c r="K454" s="421">
        <f t="array" ref="K454" xml:space="preserve">  (1 - SUM(($F$32:$Y$32=$E$9) *  ($C$33:$C$40=$C454)* ($F$31:$Y$31=K$449) * ($F$33:$Y$40) ))</f>
        <v>0.99597595737730438</v>
      </c>
      <c r="L454" s="421">
        <f t="shared" si="45"/>
        <v>0.9949347243899318</v>
      </c>
      <c r="M454" s="421">
        <f t="array" ref="M454" xml:space="preserve">  (1 - SUM(($F$32:$Y$32=$E$9) *  ($C$33:$C$40=$C454)* ($F$31:$Y$31=M$449) * ($F$33:$Y$40) ))</f>
        <v>0.99389349140255934</v>
      </c>
      <c r="N454" s="421">
        <f t="shared" si="46"/>
        <v>0.99344674570127967</v>
      </c>
      <c r="O454" s="421">
        <f t="array" ref="O454" xml:space="preserve">  (1 - SUM(($F$32:$Y$32=$E$9) *  ($C$33:$C$40=$C454)* ($F$31:$Y$31=O$449) * ($F$33:$Y$40) ))</f>
        <v>0.99299999999999999</v>
      </c>
      <c r="P454" s="846"/>
    </row>
    <row r="455" spans="2:28" ht="15">
      <c r="B455" s="106"/>
      <c r="C455" s="336" t="str">
        <f t="shared" si="42"/>
        <v>FB</v>
      </c>
      <c r="D455" s="336" t="str">
        <f t="shared" si="42"/>
        <v>Food, Beverage &amp; Tabacco  - 30</v>
      </c>
      <c r="E455" s="185"/>
      <c r="F455" s="421">
        <f t="array" ref="F455">SUM(($H$99:$O$99=$C455 )*($H$101:$O$101))/SUM(($H$130:$O$130=$C455)*($H$132:$O$132))</f>
        <v>0.95609756097560972</v>
      </c>
      <c r="G455" s="1651">
        <f t="array" ref="G455" xml:space="preserve">  (1 - SUM(($F$32:$Y$32=$E$9) *  ($C$33:$C$40=$C455)* ($F$31:$Y$31=G$449) * ($F$33:$Y$40) ))</f>
        <v>0.9997899952165834</v>
      </c>
      <c r="H455" s="421">
        <f t="shared" si="43"/>
        <v>0.99921879482502762</v>
      </c>
      <c r="I455" s="421">
        <f t="array" ref="I455" xml:space="preserve">  (1 - SUM(($F$32:$Y$32=$E$9) *  ($C$33:$C$40=$C455)* ($F$31:$Y$31=I$449) * ($F$33:$Y$40) ))</f>
        <v>0.99864759443347184</v>
      </c>
      <c r="J455" s="421">
        <f t="shared" si="44"/>
        <v>0.99759920752129494</v>
      </c>
      <c r="K455" s="421">
        <f t="array" ref="K455" xml:space="preserve">  (1 - SUM(($F$32:$Y$32=$E$9) *  ($C$33:$C$40=$C455)* ($F$31:$Y$31=K$449) * ($F$33:$Y$40) ))</f>
        <v>0.99655082060911804</v>
      </c>
      <c r="L455" s="421">
        <f t="shared" si="45"/>
        <v>0.99565833519137015</v>
      </c>
      <c r="M455" s="421">
        <f t="array" ref="M455" xml:space="preserve">  (1 - SUM(($F$32:$Y$32=$E$9) *  ($C$33:$C$40=$C455)* ($F$31:$Y$31=M$449) * ($F$33:$Y$40) ))</f>
        <v>0.99476584977362226</v>
      </c>
      <c r="N455" s="421">
        <f t="shared" si="46"/>
        <v>0.99438292488681113</v>
      </c>
      <c r="O455" s="421">
        <f t="array" ref="O455" xml:space="preserve">  (1 - SUM(($F$32:$Y$32=$E$9) *  ($C$33:$C$40=$C455)* ($F$31:$Y$31=O$449) * ($F$33:$Y$40) ))</f>
        <v>0.99399999999999999</v>
      </c>
      <c r="P455" s="846"/>
    </row>
    <row r="456" spans="2:28" ht="15">
      <c r="B456" s="106"/>
      <c r="C456" s="336" t="str">
        <f t="shared" si="42"/>
        <v>PP</v>
      </c>
      <c r="D456" s="336" t="str">
        <f t="shared" si="42"/>
        <v>Pulp &amp; Paper Products  -323</v>
      </c>
      <c r="E456" s="185"/>
      <c r="F456" s="421">
        <f t="array" ref="F456">SUM(($H$99:$O$99=$C456 )*($H$101:$O$101))/SUM(($H$130:$O$130=$C456)*($H$132:$O$132))</f>
        <v>2.0181634712411705</v>
      </c>
      <c r="G456" s="1651">
        <f t="array" ref="G456" xml:space="preserve">  (1 - SUM(($F$32:$Y$32=$E$9) *  ($C$33:$C$40=$C456)* ($F$31:$Y$31=G$449) * ($F$33:$Y$40) ))</f>
        <v>0.99971999362211117</v>
      </c>
      <c r="H456" s="421">
        <f t="shared" si="43"/>
        <v>0.99895839310003676</v>
      </c>
      <c r="I456" s="421">
        <f t="array" ref="I456" xml:space="preserve">  (1 - SUM(($F$32:$Y$32=$E$9) *  ($C$33:$C$40=$C456)* ($F$31:$Y$31=I$449) * ($F$33:$Y$40) ))</f>
        <v>0.99819679257796246</v>
      </c>
      <c r="J456" s="421">
        <f t="shared" si="44"/>
        <v>0.99679894336172659</v>
      </c>
      <c r="K456" s="421">
        <f t="array" ref="K456" xml:space="preserve">  (1 - SUM(($F$32:$Y$32=$E$9) *  ($C$33:$C$40=$C456)* ($F$31:$Y$31=K$449) * ($F$33:$Y$40) ))</f>
        <v>0.99540109414549072</v>
      </c>
      <c r="L456" s="421">
        <f t="shared" si="45"/>
        <v>0.99421111358849357</v>
      </c>
      <c r="M456" s="421">
        <f t="array" ref="M456" xml:space="preserve">  (1 - SUM(($F$32:$Y$32=$E$9) *  ($C$33:$C$40=$C456)* ($F$31:$Y$31=M$449) * ($F$33:$Y$40) ))</f>
        <v>0.99302113303149642</v>
      </c>
      <c r="N456" s="421">
        <f t="shared" si="46"/>
        <v>0.9925105665157482</v>
      </c>
      <c r="O456" s="421">
        <f t="array" ref="O456" xml:space="preserve">  (1 - SUM(($F$32:$Y$32=$E$9) *  ($C$33:$C$40=$C456)* ($F$31:$Y$31=O$449) * ($F$33:$Y$40) ))</f>
        <v>0.99199999999999999</v>
      </c>
      <c r="P456" s="846"/>
    </row>
    <row r="457" spans="2:28" ht="15">
      <c r="B457" s="106"/>
      <c r="C457" s="336" t="str">
        <f t="shared" si="42"/>
        <v>OT</v>
      </c>
      <c r="D457" s="336" t="str">
        <f t="shared" si="42"/>
        <v>Other</v>
      </c>
      <c r="E457" s="185"/>
      <c r="F457" s="421">
        <f t="array" ref="F457">SUM(($H$99:$O$99=$C457 )*($H$101:$O$101))/SUM(($H$130:$O$130=$C457)*($H$132:$O$132))</f>
        <v>1.3049939614370332</v>
      </c>
      <c r="G457" s="1651">
        <f t="array" ref="G457" xml:space="preserve">  (1 - SUM(($F$32:$Y$32=$E$9) *  ($C$33:$C$40=$C457)* ($F$31:$Y$31=G$449) * ($F$33:$Y$40) ))</f>
        <v>0.99975499441934723</v>
      </c>
      <c r="H457" s="421">
        <f t="shared" si="43"/>
        <v>0.99908859396253225</v>
      </c>
      <c r="I457" s="421">
        <f t="array" ref="I457" xml:space="preserve">  (1 - SUM(($F$32:$Y$32=$E$9) *  ($C$33:$C$40=$C457)* ($F$31:$Y$31=I$449) * ($F$33:$Y$40) ))</f>
        <v>0.99842219350571715</v>
      </c>
      <c r="J457" s="421">
        <f t="shared" si="44"/>
        <v>0.99719907544151076</v>
      </c>
      <c r="K457" s="421">
        <f t="array" ref="K457" xml:space="preserve">  (1 - SUM(($F$32:$Y$32=$E$9) *  ($C$33:$C$40=$C457)* ($F$31:$Y$31=K$449) * ($F$33:$Y$40) ))</f>
        <v>0.99597595737730438</v>
      </c>
      <c r="L457" s="421">
        <f t="shared" si="45"/>
        <v>0.9949347243899318</v>
      </c>
      <c r="M457" s="421">
        <f t="array" ref="M457" xml:space="preserve">  (1 - SUM(($F$32:$Y$32=$E$9) *  ($C$33:$C$40=$C457)* ($F$31:$Y$31=M$449) * ($F$33:$Y$40) ))</f>
        <v>0.99389349140255934</v>
      </c>
      <c r="N457" s="421">
        <f t="shared" si="46"/>
        <v>0.99344674570127967</v>
      </c>
      <c r="O457" s="421">
        <f t="array" ref="O457" xml:space="preserve">  (1 - SUM(($F$32:$Y$32=$E$9) *  ($C$33:$C$40=$C457)* ($F$31:$Y$31=O$449) * ($F$33:$Y$40) ))</f>
        <v>0.99299999999999999</v>
      </c>
      <c r="P457" s="846"/>
    </row>
    <row r="458" spans="2:28" ht="15">
      <c r="B458" s="106"/>
      <c r="C458" s="84"/>
      <c r="D458" s="84"/>
      <c r="E458" s="243"/>
      <c r="F458" s="295"/>
      <c r="G458" s="177"/>
      <c r="H458" s="87"/>
      <c r="I458" s="87"/>
      <c r="J458" s="87"/>
      <c r="K458" s="87"/>
      <c r="L458" s="87"/>
      <c r="M458" s="87"/>
      <c r="N458" s="87"/>
      <c r="O458" s="87"/>
      <c r="P458" s="342"/>
    </row>
    <row r="459" spans="2:28">
      <c r="B459" s="341"/>
      <c r="C459" s="714"/>
      <c r="D459" s="336"/>
      <c r="E459" s="717"/>
      <c r="F459" s="716"/>
      <c r="G459" s="715"/>
      <c r="H459" s="715"/>
      <c r="I459" s="715"/>
      <c r="J459" s="715"/>
      <c r="K459" s="715"/>
      <c r="L459" s="715"/>
      <c r="M459" s="715"/>
      <c r="N459" s="715"/>
      <c r="O459" s="715"/>
      <c r="P459" s="709"/>
    </row>
    <row r="460" spans="2:28">
      <c r="B460" s="171">
        <v>3</v>
      </c>
      <c r="C460" s="1032" t="s">
        <v>2235</v>
      </c>
      <c r="D460" s="336"/>
      <c r="E460" s="171" t="str">
        <f xml:space="preserve"> "Trajectory: "&amp;$E$11</f>
        <v>Trajectory: 1</v>
      </c>
      <c r="F460" s="714"/>
      <c r="G460" s="560"/>
      <c r="H460" s="560"/>
      <c r="I460" s="560"/>
      <c r="J460" s="560"/>
      <c r="K460" s="560"/>
      <c r="L460" s="560"/>
      <c r="M460" s="560"/>
      <c r="N460" s="560"/>
      <c r="O460" s="560"/>
      <c r="P460" s="714"/>
      <c r="R460" s="36"/>
      <c r="S460" s="36"/>
      <c r="T460" s="36"/>
      <c r="U460" s="36"/>
      <c r="V460" s="36"/>
      <c r="W460" s="36"/>
      <c r="X460" s="36"/>
      <c r="Y460" s="36"/>
      <c r="Z460" s="36"/>
      <c r="AA460" s="36"/>
      <c r="AB460" s="36"/>
    </row>
    <row r="461" spans="2:28">
      <c r="B461" s="171"/>
      <c r="C461" s="171"/>
      <c r="D461" s="171"/>
      <c r="E461" s="171"/>
      <c r="F461" s="171"/>
      <c r="G461" s="1235"/>
      <c r="H461" s="171"/>
      <c r="I461" s="171"/>
      <c r="J461" s="171"/>
      <c r="K461" s="171"/>
      <c r="L461" s="171"/>
      <c r="M461" s="171"/>
      <c r="N461" s="171"/>
      <c r="O461" s="171"/>
      <c r="P461" s="709"/>
      <c r="R461" s="36"/>
      <c r="S461" s="36"/>
      <c r="T461" s="36"/>
      <c r="U461" s="36"/>
      <c r="V461" s="36"/>
      <c r="W461" s="36"/>
      <c r="X461" s="36"/>
      <c r="Y461" s="36"/>
      <c r="Z461" s="36"/>
      <c r="AA461" s="36"/>
      <c r="AB461" s="36"/>
    </row>
    <row r="462" spans="2:28" ht="14">
      <c r="B462" s="341"/>
      <c r="C462" s="467" t="s">
        <v>32</v>
      </c>
      <c r="D462" s="61"/>
      <c r="E462" s="61"/>
      <c r="F462" s="61">
        <f>Base_Year</f>
        <v>2006</v>
      </c>
      <c r="G462" s="1234">
        <v>2010</v>
      </c>
      <c r="H462" s="61">
        <v>2015</v>
      </c>
      <c r="I462" s="61">
        <v>2020</v>
      </c>
      <c r="J462" s="61">
        <v>2025</v>
      </c>
      <c r="K462" s="61">
        <v>2030</v>
      </c>
      <c r="L462" s="61">
        <v>2035</v>
      </c>
      <c r="M462" s="61">
        <v>2040</v>
      </c>
      <c r="N462" s="61">
        <v>2045</v>
      </c>
      <c r="O462" s="61">
        <v>2050</v>
      </c>
      <c r="P462" s="709"/>
      <c r="R462" s="36"/>
      <c r="S462" s="331"/>
      <c r="T462" s="331"/>
      <c r="U462" s="331"/>
      <c r="V462" s="331"/>
      <c r="W462" s="331"/>
      <c r="X462" s="331"/>
      <c r="Y462" s="331"/>
      <c r="Z462" s="331"/>
      <c r="AA462" s="331"/>
      <c r="AB462" s="36"/>
    </row>
    <row r="463" spans="2:28" ht="14">
      <c r="B463" s="341"/>
      <c r="C463" s="61" t="s">
        <v>1873</v>
      </c>
      <c r="D463" s="61"/>
      <c r="E463" s="1233"/>
      <c r="F463" s="61"/>
      <c r="G463" s="1031"/>
      <c r="H463" s="61"/>
      <c r="I463" s="61"/>
      <c r="J463" s="61"/>
      <c r="K463" s="61"/>
      <c r="L463" s="61"/>
      <c r="M463" s="61"/>
      <c r="N463" s="61"/>
      <c r="O463" s="61"/>
      <c r="P463" s="709"/>
      <c r="Q463" s="165"/>
      <c r="R463" s="36"/>
      <c r="S463" s="712"/>
      <c r="T463" s="712"/>
      <c r="U463" s="712"/>
      <c r="V463" s="712"/>
      <c r="W463" s="712"/>
      <c r="X463" s="712"/>
      <c r="Y463" s="712"/>
      <c r="Z463" s="712"/>
      <c r="AA463" s="712"/>
      <c r="AB463" s="36"/>
    </row>
    <row r="464" spans="2:28" ht="14">
      <c r="B464" s="341"/>
      <c r="C464" s="337" t="str">
        <f t="shared" ref="C464:D471" si="47">C20</f>
        <v>MI</v>
      </c>
      <c r="D464" s="337" t="str">
        <f t="shared" si="47"/>
        <v>Mining SIC2</v>
      </c>
      <c r="E464" s="386"/>
      <c r="F464" s="144">
        <v>0</v>
      </c>
      <c r="G464" s="1232">
        <f t="array" ref="G464">SUM(($C$67:$C$74=$C464) * ($F$66:$Y$66=$E$11) * ($F$65:$Y$65=G$462) * ($F$67:$Y$74))</f>
        <v>0</v>
      </c>
      <c r="H464" s="144">
        <f t="shared" ref="H464:H471" si="48">AVERAGE(G464,I464)</f>
        <v>0</v>
      </c>
      <c r="I464" s="144">
        <f t="array" ref="I464">SUM(($C$67:$C$74=$C464) * ($F$66:$Y$66=$E$11) * ($F$65:$Y$65=I$462) * ($F$67:$Y$74))</f>
        <v>0</v>
      </c>
      <c r="J464" s="144">
        <f t="shared" ref="J464:J471" si="49">AVERAGE(I464,K464)</f>
        <v>0</v>
      </c>
      <c r="K464" s="144">
        <f t="array" ref="K464">SUM(($C$67:$C$74=$C464) * ($F$66:$Y$66=$E$11) * ($F$65:$Y$65=K$462) * ($F$67:$Y$74))</f>
        <v>0</v>
      </c>
      <c r="L464" s="144">
        <f t="shared" ref="L464:L471" si="50">AVERAGE(K464,M464)</f>
        <v>0</v>
      </c>
      <c r="M464" s="144">
        <f t="array" ref="M464">SUM(($C$67:$C$74=$C464) * ($F$66:$Y$66=$E$11) * ($F$65:$Y$65=M$462) * ($F$67:$Y$74))</f>
        <v>0</v>
      </c>
      <c r="N464" s="144">
        <f t="shared" ref="N464:N471" si="51">AVERAGE(M464,O464)</f>
        <v>0</v>
      </c>
      <c r="O464" s="144">
        <f t="array" ref="O464">SUM(($C$67:$C$74=$C464) * ($F$66:$Y$66=$E$11) * ($F$65:$Y$65=O$462) * ($F$67:$Y$74))</f>
        <v>0</v>
      </c>
      <c r="P464" s="709"/>
      <c r="R464" s="36"/>
      <c r="S464" s="459"/>
      <c r="T464" s="711"/>
      <c r="U464" s="711"/>
      <c r="V464" s="711"/>
      <c r="W464" s="711"/>
      <c r="X464" s="711"/>
      <c r="Y464" s="711"/>
      <c r="Z464" s="711"/>
      <c r="AA464" s="711"/>
      <c r="AB464" s="36"/>
    </row>
    <row r="465" spans="1:28" ht="14">
      <c r="B465" s="341"/>
      <c r="C465" s="337" t="str">
        <f t="shared" si="47"/>
        <v>IS</v>
      </c>
      <c r="D465" s="337" t="str">
        <f t="shared" si="47"/>
        <v>Iron  &amp; Steel  - 351</v>
      </c>
      <c r="E465" s="386"/>
      <c r="F465" s="144">
        <v>0</v>
      </c>
      <c r="G465" s="1232">
        <f t="array" ref="G465">SUM(($C$67:$C$74=$C465) * ($F$66:$Y$66=$E$11) * ($F$65:$Y$65=G$462) * ($F$67:$Y$74))</f>
        <v>0</v>
      </c>
      <c r="H465" s="144">
        <f t="shared" si="48"/>
        <v>0</v>
      </c>
      <c r="I465" s="144">
        <f t="array" ref="I465">SUM(($C$67:$C$74=$C465) * ($F$66:$Y$66=$E$11) * ($F$65:$Y$65=I$462) * ($F$67:$Y$74))</f>
        <v>0</v>
      </c>
      <c r="J465" s="144">
        <f t="shared" si="49"/>
        <v>0</v>
      </c>
      <c r="K465" s="144">
        <f t="array" ref="K465">SUM(($C$67:$C$74=$C465) * ($F$66:$Y$66=$E$11) * ($F$65:$Y$65=K$462) * ($F$67:$Y$74))</f>
        <v>0</v>
      </c>
      <c r="L465" s="144">
        <f t="shared" si="50"/>
        <v>0</v>
      </c>
      <c r="M465" s="144">
        <f t="array" ref="M465">SUM(($C$67:$C$74=$C465) * ($F$66:$Y$66=$E$11) * ($F$65:$Y$65=M$462) * ($F$67:$Y$74))</f>
        <v>0</v>
      </c>
      <c r="N465" s="144">
        <f t="shared" si="51"/>
        <v>0</v>
      </c>
      <c r="O465" s="144">
        <f t="array" ref="O465">SUM(($C$67:$C$74=$C465) * ($F$66:$Y$66=$E$11) * ($F$65:$Y$65=O$462) * ($F$67:$Y$74))</f>
        <v>0</v>
      </c>
      <c r="P465" s="709"/>
      <c r="R465" s="36"/>
      <c r="S465" s="459"/>
      <c r="T465" s="711"/>
      <c r="U465" s="711"/>
      <c r="V465" s="711"/>
      <c r="W465" s="711"/>
      <c r="X465" s="711"/>
      <c r="Y465" s="711"/>
      <c r="Z465" s="711"/>
      <c r="AA465" s="711"/>
      <c r="AB465" s="36"/>
    </row>
    <row r="466" spans="1:28" ht="14">
      <c r="B466" s="341"/>
      <c r="C466" s="337" t="str">
        <f t="shared" si="47"/>
        <v>CP</v>
      </c>
      <c r="D466" s="337" t="str">
        <f t="shared" si="47"/>
        <v>Chemicals  -33</v>
      </c>
      <c r="E466" s="386"/>
      <c r="F466" s="144">
        <v>0</v>
      </c>
      <c r="G466" s="1232">
        <f t="array" ref="G466">SUM(($C$67:$C$74=$C466) * ($F$66:$Y$66=$E$11) * ($F$65:$Y$65=G$462) * ($F$67:$Y$74))</f>
        <v>0</v>
      </c>
      <c r="H466" s="144">
        <f t="shared" si="48"/>
        <v>0</v>
      </c>
      <c r="I466" s="144">
        <f t="array" ref="I466">SUM(($C$67:$C$74=$C466) * ($F$66:$Y$66=$E$11) * ($F$65:$Y$65=I$462) * ($F$67:$Y$74))</f>
        <v>0</v>
      </c>
      <c r="J466" s="144">
        <f t="shared" si="49"/>
        <v>0</v>
      </c>
      <c r="K466" s="144">
        <f t="array" ref="K466">SUM(($C$67:$C$74=$C466) * ($F$66:$Y$66=$E$11) * ($F$65:$Y$65=K$462) * ($F$67:$Y$74))</f>
        <v>0</v>
      </c>
      <c r="L466" s="144">
        <f t="shared" si="50"/>
        <v>0</v>
      </c>
      <c r="M466" s="144">
        <f t="array" ref="M466">SUM(($C$67:$C$74=$C466) * ($F$66:$Y$66=$E$11) * ($F$65:$Y$65=M$462) * ($F$67:$Y$74))</f>
        <v>0</v>
      </c>
      <c r="N466" s="144">
        <f t="shared" si="51"/>
        <v>0</v>
      </c>
      <c r="O466" s="144">
        <f t="array" ref="O466">SUM(($C$67:$C$74=$C466) * ($F$66:$Y$66=$E$11) * ($F$65:$Y$65=O$462) * ($F$67:$Y$74))</f>
        <v>0</v>
      </c>
      <c r="P466" s="709"/>
      <c r="R466" s="36"/>
      <c r="S466" s="459"/>
      <c r="T466" s="711"/>
      <c r="U466" s="711"/>
      <c r="V466" s="711"/>
      <c r="W466" s="711"/>
      <c r="X466" s="711"/>
      <c r="Y466" s="711"/>
      <c r="Z466" s="711"/>
      <c r="AA466" s="711"/>
      <c r="AB466" s="36"/>
    </row>
    <row r="467" spans="1:28" ht="14">
      <c r="B467" s="341"/>
      <c r="C467" s="337" t="str">
        <f t="shared" si="47"/>
        <v>NF</v>
      </c>
      <c r="D467" s="337" t="str">
        <f t="shared" si="47"/>
        <v>Non-Ferrous metals  - 352</v>
      </c>
      <c r="E467" s="386"/>
      <c r="F467" s="144">
        <v>0</v>
      </c>
      <c r="G467" s="1232">
        <f t="array" ref="G467">SUM(($C$67:$C$74=$C467) * ($F$66:$Y$66=$E$11) * ($F$65:$Y$65=G$462) * ($F$67:$Y$74))</f>
        <v>0</v>
      </c>
      <c r="H467" s="144">
        <f t="shared" si="48"/>
        <v>0</v>
      </c>
      <c r="I467" s="144">
        <f t="array" ref="I467">SUM(($C$67:$C$74=$C467) * ($F$66:$Y$66=$E$11) * ($F$65:$Y$65=I$462) * ($F$67:$Y$74))</f>
        <v>0</v>
      </c>
      <c r="J467" s="144">
        <f t="shared" si="49"/>
        <v>0</v>
      </c>
      <c r="K467" s="144">
        <f t="array" ref="K467">SUM(($C$67:$C$74=$C467) * ($F$66:$Y$66=$E$11) * ($F$65:$Y$65=K$462) * ($F$67:$Y$74))</f>
        <v>0</v>
      </c>
      <c r="L467" s="144">
        <f t="shared" si="50"/>
        <v>0</v>
      </c>
      <c r="M467" s="144">
        <f t="array" ref="M467">SUM(($C$67:$C$74=$C467) * ($F$66:$Y$66=$E$11) * ($F$65:$Y$65=M$462) * ($F$67:$Y$74))</f>
        <v>0</v>
      </c>
      <c r="N467" s="144">
        <f t="shared" si="51"/>
        <v>0</v>
      </c>
      <c r="O467" s="144">
        <f t="array" ref="O467">SUM(($C$67:$C$74=$C467) * ($F$66:$Y$66=$E$11) * ($F$65:$Y$65=O$462) * ($F$67:$Y$74))</f>
        <v>0</v>
      </c>
      <c r="P467" s="709"/>
      <c r="R467" s="36"/>
      <c r="S467" s="459"/>
      <c r="T467" s="711"/>
      <c r="U467" s="711"/>
      <c r="V467" s="711"/>
      <c r="W467" s="711"/>
      <c r="X467" s="711"/>
      <c r="Y467" s="711"/>
      <c r="Z467" s="711"/>
      <c r="AA467" s="711"/>
      <c r="AB467" s="36"/>
    </row>
    <row r="468" spans="1:28" ht="14">
      <c r="B468" s="341"/>
      <c r="C468" s="337" t="str">
        <f t="shared" si="47"/>
        <v>NM</v>
      </c>
      <c r="D468" s="337" t="str">
        <f t="shared" si="47"/>
        <v>N.M.M Products  -34</v>
      </c>
      <c r="E468" s="386"/>
      <c r="F468" s="144">
        <v>0</v>
      </c>
      <c r="G468" s="1232">
        <f t="array" ref="G468">SUM(($C$67:$C$74=$C468) * ($F$66:$Y$66=$E$11) * ($F$65:$Y$65=G$462) * ($F$67:$Y$74))</f>
        <v>0</v>
      </c>
      <c r="H468" s="144">
        <f t="shared" si="48"/>
        <v>0</v>
      </c>
      <c r="I468" s="144">
        <f t="array" ref="I468">SUM(($C$67:$C$74=$C468) * ($F$66:$Y$66=$E$11) * ($F$65:$Y$65=I$462) * ($F$67:$Y$74))</f>
        <v>0</v>
      </c>
      <c r="J468" s="144">
        <f t="shared" si="49"/>
        <v>0</v>
      </c>
      <c r="K468" s="144">
        <f t="array" ref="K468">SUM(($C$67:$C$74=$C468) * ($F$66:$Y$66=$E$11) * ($F$65:$Y$65=K$462) * ($F$67:$Y$74))</f>
        <v>0</v>
      </c>
      <c r="L468" s="144">
        <f t="shared" si="50"/>
        <v>0</v>
      </c>
      <c r="M468" s="144">
        <f t="array" ref="M468">SUM(($C$67:$C$74=$C468) * ($F$66:$Y$66=$E$11) * ($F$65:$Y$65=M$462) * ($F$67:$Y$74))</f>
        <v>0</v>
      </c>
      <c r="N468" s="144">
        <f t="shared" si="51"/>
        <v>0</v>
      </c>
      <c r="O468" s="144">
        <f t="array" ref="O468">SUM(($C$67:$C$74=$C468) * ($F$66:$Y$66=$E$11) * ($F$65:$Y$65=O$462) * ($F$67:$Y$74))</f>
        <v>0</v>
      </c>
      <c r="P468" s="709"/>
      <c r="R468" s="36"/>
      <c r="S468" s="459"/>
      <c r="T468" s="711"/>
      <c r="U468" s="711"/>
      <c r="V468" s="711"/>
      <c r="W468" s="711"/>
      <c r="X468" s="711"/>
      <c r="Y468" s="711"/>
      <c r="Z468" s="711"/>
      <c r="AA468" s="711"/>
      <c r="AB468" s="36"/>
    </row>
    <row r="469" spans="1:28" ht="14">
      <c r="B469" s="341"/>
      <c r="C469" s="337" t="str">
        <f t="shared" si="47"/>
        <v>FB</v>
      </c>
      <c r="D469" s="337" t="str">
        <f t="shared" si="47"/>
        <v>Food, Beverage &amp; Tabacco  - 30</v>
      </c>
      <c r="E469" s="386"/>
      <c r="F469" s="144">
        <v>0</v>
      </c>
      <c r="G469" s="1232">
        <f t="array" ref="G469">SUM(($C$67:$C$74=$C469) * ($F$66:$Y$66=$E$11) * ($F$65:$Y$65=G$462) * ($F$67:$Y$74))</f>
        <v>0</v>
      </c>
      <c r="H469" s="144">
        <f t="shared" si="48"/>
        <v>0</v>
      </c>
      <c r="I469" s="144">
        <f t="array" ref="I469">SUM(($C$67:$C$74=$C469) * ($F$66:$Y$66=$E$11) * ($F$65:$Y$65=I$462) * ($F$67:$Y$74))</f>
        <v>0</v>
      </c>
      <c r="J469" s="144">
        <f t="shared" si="49"/>
        <v>0</v>
      </c>
      <c r="K469" s="144">
        <f t="array" ref="K469">SUM(($C$67:$C$74=$C469) * ($F$66:$Y$66=$E$11) * ($F$65:$Y$65=K$462) * ($F$67:$Y$74))</f>
        <v>0</v>
      </c>
      <c r="L469" s="144">
        <f t="shared" si="50"/>
        <v>0</v>
      </c>
      <c r="M469" s="144">
        <f t="array" ref="M469">SUM(($C$67:$C$74=$C469) * ($F$66:$Y$66=$E$11) * ($F$65:$Y$65=M$462) * ($F$67:$Y$74))</f>
        <v>0</v>
      </c>
      <c r="N469" s="144">
        <f t="shared" si="51"/>
        <v>0</v>
      </c>
      <c r="O469" s="144">
        <f t="array" ref="O469">SUM(($C$67:$C$74=$C469) * ($F$66:$Y$66=$E$11) * ($F$65:$Y$65=O$462) * ($F$67:$Y$74))</f>
        <v>0</v>
      </c>
      <c r="P469" s="709"/>
      <c r="R469" s="36"/>
      <c r="S469" s="459"/>
      <c r="T469" s="711"/>
      <c r="U469" s="711"/>
      <c r="V469" s="711"/>
      <c r="W469" s="711"/>
      <c r="X469" s="711"/>
      <c r="Y469" s="711"/>
      <c r="Z469" s="711"/>
      <c r="AA469" s="711"/>
      <c r="AB469" s="36"/>
    </row>
    <row r="470" spans="1:28" ht="14">
      <c r="B470" s="341"/>
      <c r="C470" s="337" t="str">
        <f t="shared" si="47"/>
        <v>PP</v>
      </c>
      <c r="D470" s="337" t="str">
        <f t="shared" si="47"/>
        <v>Pulp &amp; Paper Products  -323</v>
      </c>
      <c r="E470" s="386"/>
      <c r="F470" s="144">
        <v>0</v>
      </c>
      <c r="G470" s="1232">
        <f t="array" ref="G470">SUM(($C$67:$C$74=$C470) * ($F$66:$Y$66=$E$11) * ($F$65:$Y$65=G$462) * ($F$67:$Y$74))</f>
        <v>0</v>
      </c>
      <c r="H470" s="144">
        <f t="shared" si="48"/>
        <v>0</v>
      </c>
      <c r="I470" s="144">
        <f t="array" ref="I470">SUM(($C$67:$C$74=$C470) * ($F$66:$Y$66=$E$11) * ($F$65:$Y$65=I$462) * ($F$67:$Y$74))</f>
        <v>0</v>
      </c>
      <c r="J470" s="144">
        <f t="shared" si="49"/>
        <v>0</v>
      </c>
      <c r="K470" s="144">
        <f t="array" ref="K470">SUM(($C$67:$C$74=$C470) * ($F$66:$Y$66=$E$11) * ($F$65:$Y$65=K$462) * ($F$67:$Y$74))</f>
        <v>0</v>
      </c>
      <c r="L470" s="144">
        <f t="shared" si="50"/>
        <v>0</v>
      </c>
      <c r="M470" s="144">
        <f t="array" ref="M470">SUM(($C$67:$C$74=$C470) * ($F$66:$Y$66=$E$11) * ($F$65:$Y$65=M$462) * ($F$67:$Y$74))</f>
        <v>0</v>
      </c>
      <c r="N470" s="144">
        <f t="shared" si="51"/>
        <v>0</v>
      </c>
      <c r="O470" s="144">
        <f t="array" ref="O470">SUM(($C$67:$C$74=$C470) * ($F$66:$Y$66=$E$11) * ($F$65:$Y$65=O$462) * ($F$67:$Y$74))</f>
        <v>0</v>
      </c>
      <c r="P470" s="709"/>
      <c r="R470" s="36"/>
      <c r="S470" s="459"/>
      <c r="T470" s="711"/>
      <c r="U470" s="711"/>
      <c r="V470" s="711"/>
      <c r="W470" s="711"/>
      <c r="X470" s="711"/>
      <c r="Y470" s="711"/>
      <c r="Z470" s="711"/>
      <c r="AA470" s="711"/>
      <c r="AB470" s="36"/>
    </row>
    <row r="471" spans="1:28" ht="14">
      <c r="B471" s="341"/>
      <c r="C471" s="337" t="str">
        <f t="shared" si="47"/>
        <v>OT</v>
      </c>
      <c r="D471" s="337" t="str">
        <f t="shared" si="47"/>
        <v>Other</v>
      </c>
      <c r="E471" s="386"/>
      <c r="F471" s="144">
        <v>0</v>
      </c>
      <c r="G471" s="1232">
        <f t="array" ref="G471">SUM(($C$67:$C$74=$C471) * ($F$66:$Y$66=$E$11) * ($F$65:$Y$65=G$462) * ($F$67:$Y$74))</f>
        <v>0</v>
      </c>
      <c r="H471" s="144">
        <f t="shared" si="48"/>
        <v>0</v>
      </c>
      <c r="I471" s="144">
        <f t="array" ref="I471">SUM(($C$67:$C$74=$C471) * ($F$66:$Y$66=$E$11) * ($F$65:$Y$65=I$462) * ($F$67:$Y$74))</f>
        <v>0</v>
      </c>
      <c r="J471" s="144">
        <f t="shared" si="49"/>
        <v>0</v>
      </c>
      <c r="K471" s="144">
        <f t="array" ref="K471">SUM(($C$67:$C$74=$C471) * ($F$66:$Y$66=$E$11) * ($F$65:$Y$65=K$462) * ($F$67:$Y$74))</f>
        <v>0</v>
      </c>
      <c r="L471" s="144">
        <f t="shared" si="50"/>
        <v>0</v>
      </c>
      <c r="M471" s="144">
        <f t="array" ref="M471">SUM(($C$67:$C$74=$C471) * ($F$66:$Y$66=$E$11) * ($F$65:$Y$65=M$462) * ($F$67:$Y$74))</f>
        <v>0</v>
      </c>
      <c r="N471" s="144">
        <f t="shared" si="51"/>
        <v>0</v>
      </c>
      <c r="O471" s="144">
        <f t="array" ref="O471">SUM(($C$67:$C$74=$C471) * ($F$66:$Y$66=$E$11) * ($F$65:$Y$65=O$462) * ($F$67:$Y$74))</f>
        <v>0</v>
      </c>
      <c r="P471" s="709"/>
      <c r="R471" s="36"/>
      <c r="S471" s="482"/>
      <c r="T471" s="711"/>
      <c r="U471" s="711"/>
      <c r="V471" s="711"/>
      <c r="W471" s="711"/>
      <c r="X471" s="711"/>
      <c r="Y471" s="711"/>
      <c r="Z471" s="711"/>
      <c r="AA471" s="711"/>
      <c r="AB471" s="36"/>
    </row>
    <row r="472" spans="1:28" ht="14">
      <c r="B472" s="341"/>
      <c r="C472" s="337"/>
      <c r="D472" s="337"/>
      <c r="E472" s="386"/>
      <c r="F472" s="144"/>
      <c r="G472" s="296"/>
      <c r="H472" s="144"/>
      <c r="I472" s="144"/>
      <c r="J472" s="144"/>
      <c r="K472" s="144"/>
      <c r="L472" s="144"/>
      <c r="M472" s="144"/>
      <c r="N472" s="144"/>
      <c r="O472" s="144"/>
      <c r="P472" s="709"/>
      <c r="R472" s="36"/>
      <c r="S472" s="482"/>
      <c r="T472" s="711"/>
      <c r="U472" s="711"/>
      <c r="V472" s="711"/>
      <c r="W472" s="711"/>
      <c r="X472" s="711"/>
      <c r="Y472" s="711"/>
      <c r="Z472" s="711"/>
      <c r="AA472" s="711"/>
      <c r="AB472" s="36"/>
    </row>
    <row r="473" spans="1:28" ht="14" outlineLevel="1">
      <c r="B473" s="202"/>
      <c r="C473" s="1269" t="s">
        <v>1872</v>
      </c>
      <c r="D473" s="1270" t="s">
        <v>1871</v>
      </c>
      <c r="E473" s="1271" t="s">
        <v>1870</v>
      </c>
      <c r="F473" s="1272">
        <f t="shared" ref="F473:O473" si="52">SUM(F474:F481)</f>
        <v>0</v>
      </c>
      <c r="G473" s="1273">
        <f t="shared" si="52"/>
        <v>0</v>
      </c>
      <c r="H473" s="1273">
        <f t="shared" si="52"/>
        <v>0</v>
      </c>
      <c r="I473" s="1273">
        <f t="shared" si="52"/>
        <v>0</v>
      </c>
      <c r="J473" s="1273">
        <f t="shared" si="52"/>
        <v>0</v>
      </c>
      <c r="K473" s="1273">
        <f t="shared" si="52"/>
        <v>0</v>
      </c>
      <c r="L473" s="1273">
        <f t="shared" si="52"/>
        <v>0</v>
      </c>
      <c r="M473" s="1273">
        <f t="shared" si="52"/>
        <v>0</v>
      </c>
      <c r="N473" s="1273">
        <f t="shared" si="52"/>
        <v>0</v>
      </c>
      <c r="O473" s="1273">
        <f t="shared" si="52"/>
        <v>0</v>
      </c>
      <c r="P473" s="1274"/>
      <c r="S473" s="482"/>
      <c r="T473" s="711"/>
      <c r="U473" s="711"/>
      <c r="V473" s="711"/>
      <c r="W473" s="711"/>
      <c r="X473" s="711"/>
      <c r="Y473" s="711"/>
      <c r="Z473" s="711"/>
      <c r="AA473" s="711"/>
      <c r="AB473" s="36"/>
    </row>
    <row r="474" spans="1:28" s="165" customFormat="1" ht="14" outlineLevel="1">
      <c r="A474" s="1086" t="s">
        <v>993</v>
      </c>
      <c r="B474" s="204"/>
      <c r="C474" s="204" t="str">
        <f t="shared" ref="C474:C481" si="53">C20</f>
        <v>MI</v>
      </c>
      <c r="D474" s="1275">
        <f t="shared" ref="D474:D481" si="54">INDEX($D$188:$E$188,MATCH($C$473,$D$187:$E$187,0))</f>
        <v>0</v>
      </c>
      <c r="E474" s="1276">
        <f>INDEX($G$196:$N$196,MATCH($C474,$G$191:$N$191,0))</f>
        <v>0.27618216565569931</v>
      </c>
      <c r="F474" s="1277">
        <f>INDEX($G$192:$N$192,MATCH($C474,$G$191:$N$191,0)) * F464</f>
        <v>0</v>
      </c>
      <c r="G474" s="1278">
        <f t="array" ref="G474" xml:space="preserve"> G464 * $E474 * IF($D510=0,SUM(($C$431:$C$438=$C474)*(G$431:G$438))+SUM(($C$441:$C$444=$C474)* ($E$441:$E$444=$G$123) *($E$441:$E$444=$G$124) *(G$441:G$444)),0)</f>
        <v>0</v>
      </c>
      <c r="H474" s="1279">
        <f t="array" ref="H474" xml:space="preserve"> H464 * $E474 * IF($D510=0,SUM(($C$431:$C$438=$C474)*(H$431:H$438))+SUM(($C$441:$C$444=$C474)* ($E$441:$E$444=$G$123) *($E$441:$E$444=$G$124) *(H$441:H$444)),0)</f>
        <v>0</v>
      </c>
      <c r="I474" s="1279">
        <f t="array" ref="I474" xml:space="preserve"> I464 * $E474 * IF($D510=0,SUM(($C$431:$C$438=$C474)*(I$431:I$438))+SUM(($C$441:$C$444=$C474)* ($E$441:$E$444=$G$123) *($E$441:$E$444=$G$124) *(I$441:I$444)),0)</f>
        <v>0</v>
      </c>
      <c r="J474" s="1279">
        <f t="array" ref="J474" xml:space="preserve"> J464 * $E474 * IF($D510=0,SUM(($C$431:$C$438=$C474)*(J$431:J$438))+SUM(($C$441:$C$444=$C474)* ($E$441:$E$444=$G$123) *($E$441:$E$444=$G$124) *(J$441:J$444)),0)</f>
        <v>0</v>
      </c>
      <c r="K474" s="1279">
        <f t="array" ref="K474" xml:space="preserve"> K464 * $E474 * IF($D510=0,SUM(($C$431:$C$438=$C474)*(K$431:K$438))+SUM(($C$441:$C$444=$C474)* ($E$441:$E$444=$G$123) *($E$441:$E$444=$G$124) *(K$441:K$444)),0)</f>
        <v>0</v>
      </c>
      <c r="L474" s="1279">
        <f t="array" ref="L474" xml:space="preserve"> L464 * $E474 * IF($D510=0,SUM(($C$431:$C$438=$C474)*(L$431:L$438))+SUM(($C$441:$C$444=$C474)* ($E$441:$E$444=$G$123) *($E$441:$E$444=$G$124) *(L$441:L$444)),0)</f>
        <v>0</v>
      </c>
      <c r="M474" s="1279">
        <f t="array" ref="M474" xml:space="preserve"> M464 * $E474 * IF($D510=0,SUM(($C$431:$C$438=$C474)*(M$431:M$438))+SUM(($C$441:$C$444=$C474)* ($E$441:$E$444=$G$123) *($E$441:$E$444=$G$124) *(M$441:M$444)),0)</f>
        <v>0</v>
      </c>
      <c r="N474" s="1279">
        <f t="array" ref="N474" xml:space="preserve"> N464 * $E474 * IF($D510=0,SUM(($C$431:$C$438=$C474)*(N$431:N$438))+SUM(($C$441:$C$444=$C474)* ($E$441:$E$444=$G$123) *($E$441:$E$444=$G$124) *(N$441:N$444)),0)</f>
        <v>0</v>
      </c>
      <c r="O474" s="1279">
        <f t="array" ref="O474" xml:space="preserve"> O464 * $E474 * IF($D510=0,SUM(($C$431:$C$438=$C474)*(O$431:O$438))+SUM(($C$441:$C$444=$C474)* ($E$441:$E$444=$G$123) *($E$441:$E$444=$G$124) *(O$441:O$444)),0)</f>
        <v>0</v>
      </c>
      <c r="P474" s="1274"/>
      <c r="S474" s="482"/>
      <c r="T474" s="711"/>
      <c r="U474" s="711"/>
      <c r="V474" s="711"/>
      <c r="W474" s="711"/>
      <c r="X474" s="711"/>
      <c r="Y474" s="711"/>
      <c r="Z474" s="711"/>
      <c r="AA474" s="711"/>
      <c r="AB474" s="36"/>
    </row>
    <row r="475" spans="1:28" s="165" customFormat="1" ht="14" outlineLevel="1">
      <c r="A475" s="1086" t="s">
        <v>993</v>
      </c>
      <c r="B475" s="204"/>
      <c r="C475" s="204" t="str">
        <f t="shared" si="53"/>
        <v>IS</v>
      </c>
      <c r="D475" s="1275">
        <f t="shared" si="54"/>
        <v>0</v>
      </c>
      <c r="E475" s="1276">
        <f t="shared" ref="E475:E481" si="55">INDEX($G$196:$N$196,MATCH($C475,$G$191:$N$191,0))</f>
        <v>0.17562443854271298</v>
      </c>
      <c r="F475" s="1277">
        <f t="shared" ref="F475:F481" si="56">INDEX($G$192:$N$192,MATCH($C475,$G$191:$N$191,0)) * F465</f>
        <v>0</v>
      </c>
      <c r="G475" s="1278">
        <f t="array" ref="G475" xml:space="preserve"> G465 * $E475 * IF($D511=0,SUM(($C$431:$C$438=$C475)*(G$431:G$438))+SUM(($C$441:$C$444=$C475)* ($E$441:$E$444=$G$123) *($E$441:$E$444=$G$124) *(G$441:G$444)),0)</f>
        <v>0</v>
      </c>
      <c r="H475" s="1279">
        <f t="array" ref="H475" xml:space="preserve"> H465 * $E475 * IF($D511=0,SUM(($C$431:$C$438=$C475)*(H$431:H$438))+SUM(($C$441:$C$444=$C475)* ($E$441:$E$444=$G$123) *($E$441:$E$444=$G$124) *(H$441:H$444)),0)</f>
        <v>0</v>
      </c>
      <c r="I475" s="1279">
        <f t="array" ref="I475" xml:space="preserve"> I465 * $E475 * IF($D511=0,SUM(($C$431:$C$438=$C475)*(I$431:I$438))+SUM(($C$441:$C$444=$C475)* ($E$441:$E$444=$G$123) *($E$441:$E$444=$G$124) *(I$441:I$444)),0)</f>
        <v>0</v>
      </c>
      <c r="J475" s="1279">
        <f t="array" ref="J475" xml:space="preserve"> J465 * $E475 * IF($D511=0,SUM(($C$431:$C$438=$C475)*(J$431:J$438))+SUM(($C$441:$C$444=$C475)* ($E$441:$E$444=$G$123) *($E$441:$E$444=$G$124) *(J$441:J$444)),0)</f>
        <v>0</v>
      </c>
      <c r="K475" s="1279">
        <f t="array" ref="K475" xml:space="preserve"> K465 * $E475 * IF($D511=0,SUM(($C$431:$C$438=$C475)*(K$431:K$438))+SUM(($C$441:$C$444=$C475)* ($E$441:$E$444=$G$123) *($E$441:$E$444=$G$124) *(K$441:K$444)),0)</f>
        <v>0</v>
      </c>
      <c r="L475" s="1279">
        <f t="array" ref="L475" xml:space="preserve"> L465 * $E475 * IF($D511=0,SUM(($C$431:$C$438=$C475)*(L$431:L$438))+SUM(($C$441:$C$444=$C475)* ($E$441:$E$444=$G$123) *($E$441:$E$444=$G$124) *(L$441:L$444)),0)</f>
        <v>0</v>
      </c>
      <c r="M475" s="1279">
        <f t="array" ref="M475" xml:space="preserve"> M465 * $E475 * IF($D511=0,SUM(($C$431:$C$438=$C475)*(M$431:M$438))+SUM(($C$441:$C$444=$C475)* ($E$441:$E$444=$G$123) *($E$441:$E$444=$G$124) *(M$441:M$444)),0)</f>
        <v>0</v>
      </c>
      <c r="N475" s="1279">
        <f t="array" ref="N475" xml:space="preserve"> N465 * $E475 * IF($D511=0,SUM(($C$431:$C$438=$C475)*(N$431:N$438))+SUM(($C$441:$C$444=$C475)* ($E$441:$E$444=$G$123) *($E$441:$E$444=$G$124) *(N$441:N$444)),0)</f>
        <v>0</v>
      </c>
      <c r="O475" s="1279">
        <f t="array" ref="O475" xml:space="preserve"> O465 * $E475 * IF($D511=0,SUM(($C$431:$C$438=$C475)*(O$431:O$438))+SUM(($C$441:$C$444=$C475)* ($E$441:$E$444=$G$123) *($E$441:$E$444=$G$124) *(O$441:O$444)),0)</f>
        <v>0</v>
      </c>
      <c r="P475" s="1274"/>
      <c r="S475" s="482"/>
      <c r="T475" s="711"/>
      <c r="U475" s="711"/>
      <c r="V475" s="711"/>
      <c r="W475" s="711"/>
      <c r="X475" s="711"/>
      <c r="Y475" s="711"/>
      <c r="Z475" s="711"/>
      <c r="AA475" s="711"/>
      <c r="AB475" s="36"/>
    </row>
    <row r="476" spans="1:28" ht="14" outlineLevel="1">
      <c r="A476" s="1086" t="s">
        <v>993</v>
      </c>
      <c r="B476" s="202"/>
      <c r="C476" s="204" t="str">
        <f t="shared" si="53"/>
        <v>CP</v>
      </c>
      <c r="D476" s="1275">
        <f t="shared" si="54"/>
        <v>0</v>
      </c>
      <c r="E476" s="1276">
        <f t="shared" si="55"/>
        <v>0.23178464217055525</v>
      </c>
      <c r="F476" s="1277">
        <f t="shared" si="56"/>
        <v>0</v>
      </c>
      <c r="G476" s="1278">
        <f t="array" ref="G476" xml:space="preserve"> G466 * $E476 * IF($D512=0,SUM(($C$431:$C$438=$C476)*(G$431:G$438))+SUM(($C$441:$C$444=$C476)* ($E$441:$E$444=$G$123) *($E$441:$E$444=$G$124) *(G$441:G$444)),0)</f>
        <v>0</v>
      </c>
      <c r="H476" s="1279">
        <f t="array" ref="H476" xml:space="preserve"> H466 * $E476 * IF($D512=0,SUM(($C$431:$C$438=$C476)*(H$431:H$438))+SUM(($C$441:$C$444=$C476)* ($E$441:$E$444=$G$123) *($E$441:$E$444=$G$124) *(H$441:H$444)),0)</f>
        <v>0</v>
      </c>
      <c r="I476" s="1279">
        <f t="array" ref="I476" xml:space="preserve"> I466 * $E476 * IF($D512=0,SUM(($C$431:$C$438=$C476)*(I$431:I$438))+SUM(($C$441:$C$444=$C476)* ($E$441:$E$444=$G$123) *($E$441:$E$444=$G$124) *(I$441:I$444)),0)</f>
        <v>0</v>
      </c>
      <c r="J476" s="1279">
        <f t="array" ref="J476" xml:space="preserve"> J466 * $E476 * IF($D512=0,SUM(($C$431:$C$438=$C476)*(J$431:J$438))+SUM(($C$441:$C$444=$C476)* ($E$441:$E$444=$G$123) *($E$441:$E$444=$G$124) *(J$441:J$444)),0)</f>
        <v>0</v>
      </c>
      <c r="K476" s="1279">
        <f t="array" ref="K476" xml:space="preserve"> K466 * $E476 * IF($D512=0,SUM(($C$431:$C$438=$C476)*(K$431:K$438))+SUM(($C$441:$C$444=$C476)* ($E$441:$E$444=$G$123) *($E$441:$E$444=$G$124) *(K$441:K$444)),0)</f>
        <v>0</v>
      </c>
      <c r="L476" s="1279">
        <f t="array" ref="L476" xml:space="preserve"> L466 * $E476 * IF($D512=0,SUM(($C$431:$C$438=$C476)*(L$431:L$438))+SUM(($C$441:$C$444=$C476)* ($E$441:$E$444=$G$123) *($E$441:$E$444=$G$124) *(L$441:L$444)),0)</f>
        <v>0</v>
      </c>
      <c r="M476" s="1279">
        <f t="array" ref="M476" xml:space="preserve"> M466 * $E476 * IF($D512=0,SUM(($C$431:$C$438=$C476)*(M$431:M$438))+SUM(($C$441:$C$444=$C476)* ($E$441:$E$444=$G$123) *($E$441:$E$444=$G$124) *(M$441:M$444)),0)</f>
        <v>0</v>
      </c>
      <c r="N476" s="1279">
        <f t="array" ref="N476" xml:space="preserve"> N466 * $E476 * IF($D512=0,SUM(($C$431:$C$438=$C476)*(N$431:N$438))+SUM(($C$441:$C$444=$C476)* ($E$441:$E$444=$G$123) *($E$441:$E$444=$G$124) *(N$441:N$444)),0)</f>
        <v>0</v>
      </c>
      <c r="O476" s="1279">
        <f t="array" ref="O476" xml:space="preserve"> O466 * $E476 * IF($D512=0,SUM(($C$431:$C$438=$C476)*(O$431:O$438))+SUM(($C$441:$C$444=$C476)* ($E$441:$E$444=$G$123) *($E$441:$E$444=$G$124) *(O$441:O$444)),0)</f>
        <v>0</v>
      </c>
      <c r="P476" s="1274"/>
      <c r="S476" s="482"/>
      <c r="T476" s="711"/>
      <c r="U476" s="711"/>
      <c r="V476" s="711"/>
      <c r="W476" s="711"/>
      <c r="X476" s="711"/>
      <c r="Y476" s="711"/>
      <c r="Z476" s="711"/>
      <c r="AA476" s="711"/>
      <c r="AB476" s="36"/>
    </row>
    <row r="477" spans="1:28" ht="14" outlineLevel="1">
      <c r="A477" s="1086" t="s">
        <v>993</v>
      </c>
      <c r="B477" s="202"/>
      <c r="C477" s="204" t="str">
        <f t="shared" si="53"/>
        <v>NF</v>
      </c>
      <c r="D477" s="1275">
        <f t="shared" si="54"/>
        <v>0</v>
      </c>
      <c r="E477" s="1276">
        <f t="shared" si="55"/>
        <v>0.28124999999999994</v>
      </c>
      <c r="F477" s="1277">
        <f t="shared" si="56"/>
        <v>0</v>
      </c>
      <c r="G477" s="1278">
        <f t="array" ref="G477" xml:space="preserve"> G467 * $E477 * IF($D513=0,SUM(($C$431:$C$438=$C477)*(G$431:G$438))+SUM(($C$441:$C$444=$C477)* ($E$441:$E$444=$G$123) *($E$441:$E$444=$G$124) *(G$441:G$444)),0)</f>
        <v>0</v>
      </c>
      <c r="H477" s="1279">
        <f t="array" ref="H477" xml:space="preserve"> H467 * $E477 * IF($D513=0,SUM(($C$431:$C$438=$C477)*(H$431:H$438))+SUM(($C$441:$C$444=$C477)* ($E$441:$E$444=$G$123) *($E$441:$E$444=$G$124) *(H$441:H$444)),0)</f>
        <v>0</v>
      </c>
      <c r="I477" s="1279">
        <f t="array" ref="I477" xml:space="preserve"> I467 * $E477 * IF($D513=0,SUM(($C$431:$C$438=$C477)*(I$431:I$438))+SUM(($C$441:$C$444=$C477)* ($E$441:$E$444=$G$123) *($E$441:$E$444=$G$124) *(I$441:I$444)),0)</f>
        <v>0</v>
      </c>
      <c r="J477" s="1279">
        <f t="array" ref="J477" xml:space="preserve"> J467 * $E477 * IF($D513=0,SUM(($C$431:$C$438=$C477)*(J$431:J$438))+SUM(($C$441:$C$444=$C477)* ($E$441:$E$444=$G$123) *($E$441:$E$444=$G$124) *(J$441:J$444)),0)</f>
        <v>0</v>
      </c>
      <c r="K477" s="1279">
        <f t="array" ref="K477" xml:space="preserve"> K467 * $E477 * IF($D513=0,SUM(($C$431:$C$438=$C477)*(K$431:K$438))+SUM(($C$441:$C$444=$C477)* ($E$441:$E$444=$G$123) *($E$441:$E$444=$G$124) *(K$441:K$444)),0)</f>
        <v>0</v>
      </c>
      <c r="L477" s="1279">
        <f t="array" ref="L477" xml:space="preserve"> L467 * $E477 * IF($D513=0,SUM(($C$431:$C$438=$C477)*(L$431:L$438))+SUM(($C$441:$C$444=$C477)* ($E$441:$E$444=$G$123) *($E$441:$E$444=$G$124) *(L$441:L$444)),0)</f>
        <v>0</v>
      </c>
      <c r="M477" s="1279">
        <f t="array" ref="M477" xml:space="preserve"> M467 * $E477 * IF($D513=0,SUM(($C$431:$C$438=$C477)*(M$431:M$438))+SUM(($C$441:$C$444=$C477)* ($E$441:$E$444=$G$123) *($E$441:$E$444=$G$124) *(M$441:M$444)),0)</f>
        <v>0</v>
      </c>
      <c r="N477" s="1279">
        <f t="array" ref="N477" xml:space="preserve"> N467 * $E477 * IF($D513=0,SUM(($C$431:$C$438=$C477)*(N$431:N$438))+SUM(($C$441:$C$444=$C477)* ($E$441:$E$444=$G$123) *($E$441:$E$444=$G$124) *(N$441:N$444)),0)</f>
        <v>0</v>
      </c>
      <c r="O477" s="1279">
        <f t="array" ref="O477" xml:space="preserve"> O467 * $E477 * IF($D513=0,SUM(($C$431:$C$438=$C477)*(O$431:O$438))+SUM(($C$441:$C$444=$C477)* ($E$441:$E$444=$G$123) *($E$441:$E$444=$G$124) *(O$441:O$444)),0)</f>
        <v>0</v>
      </c>
      <c r="P477" s="1274"/>
      <c r="R477" s="36"/>
      <c r="S477" s="36"/>
      <c r="T477" s="36"/>
      <c r="U477" s="36"/>
      <c r="V477" s="36"/>
      <c r="W477" s="36"/>
      <c r="X477" s="36"/>
      <c r="Y477" s="36"/>
      <c r="Z477" s="36"/>
      <c r="AA477" s="36"/>
      <c r="AB477" s="36"/>
    </row>
    <row r="478" spans="1:28" ht="14" outlineLevel="1">
      <c r="A478" s="1086" t="s">
        <v>993</v>
      </c>
      <c r="B478" s="201"/>
      <c r="C478" s="204" t="str">
        <f t="shared" si="53"/>
        <v>NM</v>
      </c>
      <c r="D478" s="1275">
        <f t="shared" si="54"/>
        <v>0</v>
      </c>
      <c r="E478" s="1276">
        <f t="shared" si="55"/>
        <v>0.26902433591578623</v>
      </c>
      <c r="F478" s="1277">
        <f t="shared" si="56"/>
        <v>0</v>
      </c>
      <c r="G478" s="1278">
        <f t="array" ref="G478" xml:space="preserve"> G468 * $E478 * IF($D514=0,SUM(($C$431:$C$438=$C478)*(G$431:G$438))+SUM(($C$441:$C$444=$C478)* ($E$441:$E$444=$G$123) *($E$441:$E$444=$G$124) *(G$441:G$444)),0)</f>
        <v>0</v>
      </c>
      <c r="H478" s="1279">
        <f t="array" ref="H478" xml:space="preserve"> H468 * $E478 * IF($D514=0,SUM(($C$431:$C$438=$C478)*(H$431:H$438))+SUM(($C$441:$C$444=$C478)* ($E$441:$E$444=$G$123) *($E$441:$E$444=$G$124) *(H$441:H$444)),0)</f>
        <v>0</v>
      </c>
      <c r="I478" s="1279">
        <f t="array" ref="I478" xml:space="preserve"> I468 * $E478 * IF($D514=0,SUM(($C$431:$C$438=$C478)*(I$431:I$438))+SUM(($C$441:$C$444=$C478)* ($E$441:$E$444=$G$123) *($E$441:$E$444=$G$124) *(I$441:I$444)),0)</f>
        <v>0</v>
      </c>
      <c r="J478" s="1279">
        <f t="array" ref="J478" xml:space="preserve"> J468 * $E478 * IF($D514=0,SUM(($C$431:$C$438=$C478)*(J$431:J$438))+SUM(($C$441:$C$444=$C478)* ($E$441:$E$444=$G$123) *($E$441:$E$444=$G$124) *(J$441:J$444)),0)</f>
        <v>0</v>
      </c>
      <c r="K478" s="1279">
        <f t="array" ref="K478" xml:space="preserve"> K468 * $E478 * IF($D514=0,SUM(($C$431:$C$438=$C478)*(K$431:K$438))+SUM(($C$441:$C$444=$C478)* ($E$441:$E$444=$G$123) *($E$441:$E$444=$G$124) *(K$441:K$444)),0)</f>
        <v>0</v>
      </c>
      <c r="L478" s="1279">
        <f t="array" ref="L478" xml:space="preserve"> L468 * $E478 * IF($D514=0,SUM(($C$431:$C$438=$C478)*(L$431:L$438))+SUM(($C$441:$C$444=$C478)* ($E$441:$E$444=$G$123) *($E$441:$E$444=$G$124) *(L$441:L$444)),0)</f>
        <v>0</v>
      </c>
      <c r="M478" s="1279">
        <f t="array" ref="M478" xml:space="preserve"> M468 * $E478 * IF($D514=0,SUM(($C$431:$C$438=$C478)*(M$431:M$438))+SUM(($C$441:$C$444=$C478)* ($E$441:$E$444=$G$123) *($E$441:$E$444=$G$124) *(M$441:M$444)),0)</f>
        <v>0</v>
      </c>
      <c r="N478" s="1279">
        <f t="array" ref="N478" xml:space="preserve"> N468 * $E478 * IF($D514=0,SUM(($C$431:$C$438=$C478)*(N$431:N$438))+SUM(($C$441:$C$444=$C478)* ($E$441:$E$444=$G$123) *($E$441:$E$444=$G$124) *(N$441:N$444)),0)</f>
        <v>0</v>
      </c>
      <c r="O478" s="1279">
        <f t="array" ref="O478" xml:space="preserve"> O468 * $E478 * IF($D514=0,SUM(($C$431:$C$438=$C478)*(O$431:O$438))+SUM(($C$441:$C$444=$C478)* ($E$441:$E$444=$G$123) *($E$441:$E$444=$G$124) *(O$441:O$444)),0)</f>
        <v>0</v>
      </c>
      <c r="P478" s="1274"/>
      <c r="R478" s="36"/>
      <c r="S478" s="36"/>
      <c r="T478" s="36"/>
      <c r="U478" s="36"/>
      <c r="V478" s="36"/>
      <c r="W478" s="36"/>
      <c r="X478" s="36"/>
      <c r="Y478" s="36"/>
      <c r="Z478" s="36"/>
      <c r="AA478" s="36"/>
      <c r="AB478" s="36"/>
    </row>
    <row r="479" spans="1:28" ht="14" outlineLevel="1">
      <c r="A479" s="1086" t="s">
        <v>993</v>
      </c>
      <c r="B479" s="201"/>
      <c r="C479" s="204" t="str">
        <f t="shared" si="53"/>
        <v>FB</v>
      </c>
      <c r="D479" s="1275">
        <f t="shared" si="54"/>
        <v>0</v>
      </c>
      <c r="E479" s="1276">
        <f t="shared" si="55"/>
        <v>0.28829395674699759</v>
      </c>
      <c r="F479" s="1277">
        <f t="shared" si="56"/>
        <v>0</v>
      </c>
      <c r="G479" s="1278">
        <f t="array" ref="G479" xml:space="preserve"> G469 * $E479 * IF($D515=0,SUM(($C$431:$C$438=$C479)*(G$431:G$438))+SUM(($C$441:$C$444=$C479)* ($E$441:$E$444=$G$123) *($E$441:$E$444=$G$124) *(G$441:G$444)),0)</f>
        <v>0</v>
      </c>
      <c r="H479" s="1279">
        <f t="array" ref="H479" xml:space="preserve"> H469 * $E479 * IF($D515=0,SUM(($C$431:$C$438=$C479)*(H$431:H$438))+SUM(($C$441:$C$444=$C479)* ($E$441:$E$444=$G$123) *($E$441:$E$444=$G$124) *(H$441:H$444)),0)</f>
        <v>0</v>
      </c>
      <c r="I479" s="1279">
        <f t="array" ref="I479" xml:space="preserve"> I469 * $E479 * IF($D515=0,SUM(($C$431:$C$438=$C479)*(I$431:I$438))+SUM(($C$441:$C$444=$C479)* ($E$441:$E$444=$G$123) *($E$441:$E$444=$G$124) *(I$441:I$444)),0)</f>
        <v>0</v>
      </c>
      <c r="J479" s="1279">
        <f t="array" ref="J479" xml:space="preserve"> J469 * $E479 * IF($D515=0,SUM(($C$431:$C$438=$C479)*(J$431:J$438))+SUM(($C$441:$C$444=$C479)* ($E$441:$E$444=$G$123) *($E$441:$E$444=$G$124) *(J$441:J$444)),0)</f>
        <v>0</v>
      </c>
      <c r="K479" s="1279">
        <f t="array" ref="K479" xml:space="preserve"> K469 * $E479 * IF($D515=0,SUM(($C$431:$C$438=$C479)*(K$431:K$438))+SUM(($C$441:$C$444=$C479)* ($E$441:$E$444=$G$123) *($E$441:$E$444=$G$124) *(K$441:K$444)),0)</f>
        <v>0</v>
      </c>
      <c r="L479" s="1279">
        <f t="array" ref="L479" xml:space="preserve"> L469 * $E479 * IF($D515=0,SUM(($C$431:$C$438=$C479)*(L$431:L$438))+SUM(($C$441:$C$444=$C479)* ($E$441:$E$444=$G$123) *($E$441:$E$444=$G$124) *(L$441:L$444)),0)</f>
        <v>0</v>
      </c>
      <c r="M479" s="1279">
        <f t="array" ref="M479" xml:space="preserve"> M469 * $E479 * IF($D515=0,SUM(($C$431:$C$438=$C479)*(M$431:M$438))+SUM(($C$441:$C$444=$C479)* ($E$441:$E$444=$G$123) *($E$441:$E$444=$G$124) *(M$441:M$444)),0)</f>
        <v>0</v>
      </c>
      <c r="N479" s="1279">
        <f t="array" ref="N479" xml:space="preserve"> N469 * $E479 * IF($D515=0,SUM(($C$431:$C$438=$C479)*(N$431:N$438))+SUM(($C$441:$C$444=$C479)* ($E$441:$E$444=$G$123) *($E$441:$E$444=$G$124) *(N$441:N$444)),0)</f>
        <v>0</v>
      </c>
      <c r="O479" s="1279">
        <f t="array" ref="O479" xml:space="preserve"> O469 * $E479 * IF($D515=0,SUM(($C$431:$C$438=$C479)*(O$431:O$438))+SUM(($C$441:$C$444=$C479)* ($E$441:$E$444=$G$123) *($E$441:$E$444=$G$124) *(O$441:O$444)),0)</f>
        <v>0</v>
      </c>
      <c r="P479" s="1274"/>
      <c r="R479" s="36"/>
      <c r="S479" s="36"/>
      <c r="T479" s="36"/>
      <c r="U479" s="36"/>
      <c r="V479" s="36"/>
      <c r="W479" s="36"/>
      <c r="X479" s="36"/>
      <c r="Y479" s="36"/>
      <c r="Z479" s="36"/>
      <c r="AA479" s="36"/>
      <c r="AB479" s="36"/>
    </row>
    <row r="480" spans="1:28" ht="14" outlineLevel="1">
      <c r="A480" s="1086" t="s">
        <v>993</v>
      </c>
      <c r="B480" s="201"/>
      <c r="C480" s="204" t="str">
        <f t="shared" si="53"/>
        <v>PP</v>
      </c>
      <c r="D480" s="1275">
        <f t="shared" si="54"/>
        <v>0</v>
      </c>
      <c r="E480" s="1276">
        <f t="shared" si="55"/>
        <v>0.29721642697232592</v>
      </c>
      <c r="F480" s="1277">
        <f t="shared" si="56"/>
        <v>0</v>
      </c>
      <c r="G480" s="1278">
        <f t="array" ref="G480" xml:space="preserve"> G470 * $E480 * IF($D516=0,SUM(($C$431:$C$438=$C480)*(G$431:G$438))+SUM(($C$441:$C$444=$C480)* ($E$441:$E$444=$G$123) *($E$441:$E$444=$G$124) *(G$441:G$444)),0)</f>
        <v>0</v>
      </c>
      <c r="H480" s="1279">
        <f t="array" ref="H480" xml:space="preserve"> H470 * $E480 * IF($D516=0,SUM(($C$431:$C$438=$C480)*(H$431:H$438))+SUM(($C$441:$C$444=$C480)* ($E$441:$E$444=$G$123) *($E$441:$E$444=$G$124) *(H$441:H$444)),0)</f>
        <v>0</v>
      </c>
      <c r="I480" s="1279">
        <f t="array" ref="I480" xml:space="preserve"> I470 * $E480 * IF($D516=0,SUM(($C$431:$C$438=$C480)*(I$431:I$438))+SUM(($C$441:$C$444=$C480)* ($E$441:$E$444=$G$123) *($E$441:$E$444=$G$124) *(I$441:I$444)),0)</f>
        <v>0</v>
      </c>
      <c r="J480" s="1279">
        <f t="array" ref="J480" xml:space="preserve"> J470 * $E480 * IF($D516=0,SUM(($C$431:$C$438=$C480)*(J$431:J$438))+SUM(($C$441:$C$444=$C480)* ($E$441:$E$444=$G$123) *($E$441:$E$444=$G$124) *(J$441:J$444)),0)</f>
        <v>0</v>
      </c>
      <c r="K480" s="1279">
        <f t="array" ref="K480" xml:space="preserve"> K470 * $E480 * IF($D516=0,SUM(($C$431:$C$438=$C480)*(K$431:K$438))+SUM(($C$441:$C$444=$C480)* ($E$441:$E$444=$G$123) *($E$441:$E$444=$G$124) *(K$441:K$444)),0)</f>
        <v>0</v>
      </c>
      <c r="L480" s="1279">
        <f t="array" ref="L480" xml:space="preserve"> L470 * $E480 * IF($D516=0,SUM(($C$431:$C$438=$C480)*(L$431:L$438))+SUM(($C$441:$C$444=$C480)* ($E$441:$E$444=$G$123) *($E$441:$E$444=$G$124) *(L$441:L$444)),0)</f>
        <v>0</v>
      </c>
      <c r="M480" s="1279">
        <f t="array" ref="M480" xml:space="preserve"> M470 * $E480 * IF($D516=0,SUM(($C$431:$C$438=$C480)*(M$431:M$438))+SUM(($C$441:$C$444=$C480)* ($E$441:$E$444=$G$123) *($E$441:$E$444=$G$124) *(M$441:M$444)),0)</f>
        <v>0</v>
      </c>
      <c r="N480" s="1279">
        <f t="array" ref="N480" xml:space="preserve"> N470 * $E480 * IF($D516=0,SUM(($C$431:$C$438=$C480)*(N$431:N$438))+SUM(($C$441:$C$444=$C480)* ($E$441:$E$444=$G$123) *($E$441:$E$444=$G$124) *(N$441:N$444)),0)</f>
        <v>0</v>
      </c>
      <c r="O480" s="1279">
        <f t="array" ref="O480" xml:space="preserve"> O470 * $E480 * IF($D516=0,SUM(($C$431:$C$438=$C480)*(O$431:O$438))+SUM(($C$441:$C$444=$C480)* ($E$441:$E$444=$G$123) *($E$441:$E$444=$G$124) *(O$441:O$444)),0)</f>
        <v>0</v>
      </c>
      <c r="P480" s="1274"/>
      <c r="R480" s="36"/>
      <c r="S480" s="36"/>
      <c r="T480" s="36"/>
      <c r="U480" s="36"/>
      <c r="V480" s="36"/>
      <c r="W480" s="36"/>
      <c r="X480" s="36"/>
      <c r="Y480" s="36"/>
      <c r="Z480" s="36"/>
      <c r="AA480" s="36"/>
      <c r="AB480" s="36"/>
    </row>
    <row r="481" spans="1:28" ht="14" outlineLevel="1">
      <c r="A481" s="1086" t="s">
        <v>993</v>
      </c>
      <c r="B481" s="201"/>
      <c r="C481" s="1582" t="str">
        <f t="shared" si="53"/>
        <v>OT</v>
      </c>
      <c r="D481" s="1280">
        <f t="shared" si="54"/>
        <v>0</v>
      </c>
      <c r="E481" s="1281">
        <f t="shared" si="55"/>
        <v>0.27598406749076027</v>
      </c>
      <c r="F481" s="1282">
        <f t="shared" si="56"/>
        <v>0</v>
      </c>
      <c r="G481" s="1584">
        <f t="array" ref="G481" xml:space="preserve"> G471 * $E481 * IF($D517=0,SUM(($C$431:$C$438=$C481)*(G$431:G$438))+SUM(($C$441:$C$444=$C481)* ($E$441:$E$444=$G$123) *($E$441:$E$444=$G$124) *(G$441:G$444)),0)</f>
        <v>0</v>
      </c>
      <c r="H481" s="1585">
        <f t="array" ref="H481" xml:space="preserve"> H471 * $E481 * IF($D517=0,SUM(($C$431:$C$438=$C481)*(H$431:H$438))+SUM(($C$441:$C$444=$C481)* ($E$441:$E$444=$G$123) *($E$441:$E$444=$G$124) *(H$441:H$444)),0)</f>
        <v>0</v>
      </c>
      <c r="I481" s="1585">
        <f t="array" ref="I481" xml:space="preserve"> I471 * $E481 * IF($D517=0,SUM(($C$431:$C$438=$C481)*(I$431:I$438))+SUM(($C$441:$C$444=$C481)* ($E$441:$E$444=$G$123) *($E$441:$E$444=$G$124) *(I$441:I$444)),0)</f>
        <v>0</v>
      </c>
      <c r="J481" s="1585">
        <f t="array" ref="J481" xml:space="preserve"> J471 * $E481 * IF($D517=0,SUM(($C$431:$C$438=$C481)*(J$431:J$438))+SUM(($C$441:$C$444=$C481)* ($E$441:$E$444=$G$123) *($E$441:$E$444=$G$124) *(J$441:J$444)),0)</f>
        <v>0</v>
      </c>
      <c r="K481" s="1585">
        <f t="array" ref="K481" xml:space="preserve"> K471 * $E481 * IF($D517=0,SUM(($C$431:$C$438=$C481)*(K$431:K$438))+SUM(($C$441:$C$444=$C481)* ($E$441:$E$444=$G$123) *($E$441:$E$444=$G$124) *(K$441:K$444)),0)</f>
        <v>0</v>
      </c>
      <c r="L481" s="1585">
        <f t="array" ref="L481" xml:space="preserve"> L471 * $E481 * IF($D517=0,SUM(($C$431:$C$438=$C481)*(L$431:L$438))+SUM(($C$441:$C$444=$C481)* ($E$441:$E$444=$G$123) *($E$441:$E$444=$G$124) *(L$441:L$444)),0)</f>
        <v>0</v>
      </c>
      <c r="M481" s="1585">
        <f t="array" ref="M481" xml:space="preserve"> M471 * $E481 * IF($D517=0,SUM(($C$431:$C$438=$C481)*(M$431:M$438))+SUM(($C$441:$C$444=$C481)* ($E$441:$E$444=$G$123) *($E$441:$E$444=$G$124) *(M$441:M$444)),0)</f>
        <v>0</v>
      </c>
      <c r="N481" s="1585">
        <f t="array" ref="N481" xml:space="preserve"> N471 * $E481 * IF($D517=0,SUM(($C$431:$C$438=$C481)*(N$431:N$438))+SUM(($C$441:$C$444=$C481)* ($E$441:$E$444=$G$123) *($E$441:$E$444=$G$124) *(N$441:N$444)),0)</f>
        <v>0</v>
      </c>
      <c r="O481" s="1585">
        <f t="array" ref="O481" xml:space="preserve"> O471 * $E481 * IF($D517=0,SUM(($C$431:$C$438=$C481)*(O$431:O$438))+SUM(($C$441:$C$444=$C481)* ($E$441:$E$444=$G$123) *($E$441:$E$444=$G$124) *(O$441:O$444)),0)</f>
        <v>0</v>
      </c>
      <c r="P481" s="1274"/>
      <c r="R481" s="36"/>
      <c r="S481" s="36"/>
      <c r="T481" s="36"/>
      <c r="U481" s="36"/>
      <c r="V481" s="36"/>
      <c r="W481" s="36"/>
      <c r="X481" s="36"/>
      <c r="Y481" s="36"/>
      <c r="Z481" s="36"/>
      <c r="AA481" s="36"/>
      <c r="AB481" s="36"/>
    </row>
    <row r="482" spans="1:28" ht="14" outlineLevel="1">
      <c r="B482" s="201"/>
      <c r="C482" s="1285" t="s">
        <v>555</v>
      </c>
      <c r="D482" s="1286"/>
      <c r="E482" s="1286" t="s">
        <v>384</v>
      </c>
      <c r="F482" s="1287">
        <f t="shared" ref="F482:O482" si="57">SUM(F483:F490)</f>
        <v>0</v>
      </c>
      <c r="G482" s="1288">
        <f t="shared" si="57"/>
        <v>0</v>
      </c>
      <c r="H482" s="1288">
        <f t="shared" si="57"/>
        <v>0</v>
      </c>
      <c r="I482" s="1288">
        <f t="shared" si="57"/>
        <v>0</v>
      </c>
      <c r="J482" s="1288">
        <f t="shared" si="57"/>
        <v>0</v>
      </c>
      <c r="K482" s="1288">
        <f t="shared" si="57"/>
        <v>0</v>
      </c>
      <c r="L482" s="1288">
        <f t="shared" si="57"/>
        <v>0</v>
      </c>
      <c r="M482" s="1288">
        <f t="shared" si="57"/>
        <v>0</v>
      </c>
      <c r="N482" s="1288">
        <f t="shared" si="57"/>
        <v>0</v>
      </c>
      <c r="O482" s="1288">
        <f t="shared" si="57"/>
        <v>0</v>
      </c>
      <c r="P482" s="1274"/>
      <c r="R482" s="36"/>
      <c r="S482" s="36"/>
      <c r="T482" s="36"/>
      <c r="U482" s="36"/>
      <c r="V482" s="36"/>
      <c r="W482" s="36"/>
      <c r="X482" s="36"/>
      <c r="Y482" s="36"/>
      <c r="Z482" s="36"/>
      <c r="AA482" s="36"/>
      <c r="AB482" s="36"/>
    </row>
    <row r="483" spans="1:28" ht="14" outlineLevel="1">
      <c r="A483" s="36" t="s">
        <v>416</v>
      </c>
      <c r="B483" s="201"/>
      <c r="C483" s="204" t="str">
        <f t="shared" ref="C483:C490" si="58">C20</f>
        <v>MI</v>
      </c>
      <c r="D483" s="1275">
        <f t="shared" ref="D483:D490" si="59">D474</f>
        <v>0</v>
      </c>
      <c r="E483" s="1289">
        <f t="shared" ref="E483:E490" si="60">INDEX($G$197:$N$197,MATCH($C483,$G$191:$N$191,0))</f>
        <v>0.4</v>
      </c>
      <c r="F483" s="1290">
        <f t="shared" ref="F483:O490" si="61">F474 *$E483</f>
        <v>0</v>
      </c>
      <c r="G483" s="1291">
        <f t="shared" si="61"/>
        <v>0</v>
      </c>
      <c r="H483" s="1279">
        <f t="shared" si="61"/>
        <v>0</v>
      </c>
      <c r="I483" s="1279">
        <f t="shared" si="61"/>
        <v>0</v>
      </c>
      <c r="J483" s="1279">
        <f t="shared" si="61"/>
        <v>0</v>
      </c>
      <c r="K483" s="1279">
        <f t="shared" si="61"/>
        <v>0</v>
      </c>
      <c r="L483" s="1279">
        <f t="shared" si="61"/>
        <v>0</v>
      </c>
      <c r="M483" s="1279">
        <f t="shared" si="61"/>
        <v>0</v>
      </c>
      <c r="N483" s="1279">
        <f t="shared" si="61"/>
        <v>0</v>
      </c>
      <c r="O483" s="1279">
        <f t="shared" si="61"/>
        <v>0</v>
      </c>
      <c r="P483" s="1274"/>
      <c r="R483" s="36"/>
      <c r="S483" s="36"/>
      <c r="T483" s="36"/>
      <c r="U483" s="36"/>
      <c r="V483" s="36"/>
      <c r="W483" s="36"/>
      <c r="X483" s="36"/>
      <c r="Y483" s="36"/>
      <c r="Z483" s="36"/>
      <c r="AA483" s="36"/>
      <c r="AB483" s="36"/>
    </row>
    <row r="484" spans="1:28" ht="14" outlineLevel="1">
      <c r="A484" s="36" t="s">
        <v>416</v>
      </c>
      <c r="B484" s="201"/>
      <c r="C484" s="204" t="str">
        <f t="shared" si="58"/>
        <v>IS</v>
      </c>
      <c r="D484" s="1275">
        <f t="shared" si="59"/>
        <v>0</v>
      </c>
      <c r="E484" s="1289">
        <f t="shared" si="60"/>
        <v>0.4</v>
      </c>
      <c r="F484" s="1290">
        <f t="shared" si="61"/>
        <v>0</v>
      </c>
      <c r="G484" s="1278">
        <f t="shared" si="61"/>
        <v>0</v>
      </c>
      <c r="H484" s="1279">
        <f t="shared" si="61"/>
        <v>0</v>
      </c>
      <c r="I484" s="1279">
        <f t="shared" si="61"/>
        <v>0</v>
      </c>
      <c r="J484" s="1279">
        <f t="shared" si="61"/>
        <v>0</v>
      </c>
      <c r="K484" s="1279">
        <f t="shared" si="61"/>
        <v>0</v>
      </c>
      <c r="L484" s="1279">
        <f t="shared" si="61"/>
        <v>0</v>
      </c>
      <c r="M484" s="1279">
        <f t="shared" si="61"/>
        <v>0</v>
      </c>
      <c r="N484" s="1279">
        <f t="shared" si="61"/>
        <v>0</v>
      </c>
      <c r="O484" s="1279">
        <f t="shared" si="61"/>
        <v>0</v>
      </c>
      <c r="P484" s="1274"/>
      <c r="R484" s="36"/>
      <c r="S484" s="36"/>
      <c r="T484" s="36"/>
      <c r="U484" s="36"/>
      <c r="V484" s="36"/>
      <c r="W484" s="36"/>
      <c r="X484" s="36"/>
      <c r="Y484" s="36"/>
      <c r="Z484" s="36"/>
      <c r="AA484" s="36"/>
      <c r="AB484" s="36"/>
    </row>
    <row r="485" spans="1:28" ht="14" outlineLevel="1">
      <c r="A485" s="36" t="s">
        <v>416</v>
      </c>
      <c r="B485" s="201"/>
      <c r="C485" s="204" t="str">
        <f t="shared" si="58"/>
        <v>CP</v>
      </c>
      <c r="D485" s="1275">
        <f t="shared" si="59"/>
        <v>0</v>
      </c>
      <c r="E485" s="1289">
        <f t="shared" si="60"/>
        <v>0.4</v>
      </c>
      <c r="F485" s="1290">
        <f t="shared" si="61"/>
        <v>0</v>
      </c>
      <c r="G485" s="1278">
        <f t="shared" si="61"/>
        <v>0</v>
      </c>
      <c r="H485" s="1279">
        <f t="shared" si="61"/>
        <v>0</v>
      </c>
      <c r="I485" s="1279">
        <f t="shared" si="61"/>
        <v>0</v>
      </c>
      <c r="J485" s="1279">
        <f t="shared" si="61"/>
        <v>0</v>
      </c>
      <c r="K485" s="1279">
        <f t="shared" si="61"/>
        <v>0</v>
      </c>
      <c r="L485" s="1279">
        <f t="shared" si="61"/>
        <v>0</v>
      </c>
      <c r="M485" s="1279">
        <f t="shared" si="61"/>
        <v>0</v>
      </c>
      <c r="N485" s="1279">
        <f t="shared" si="61"/>
        <v>0</v>
      </c>
      <c r="O485" s="1279">
        <f t="shared" si="61"/>
        <v>0</v>
      </c>
      <c r="P485" s="1274"/>
      <c r="R485" s="36"/>
      <c r="S485" s="36"/>
      <c r="T485" s="36"/>
      <c r="U485" s="36"/>
      <c r="V485" s="36"/>
      <c r="W485" s="36"/>
      <c r="X485" s="36"/>
      <c r="Y485" s="36"/>
      <c r="Z485" s="36"/>
      <c r="AA485" s="36"/>
      <c r="AB485" s="36"/>
    </row>
    <row r="486" spans="1:28" ht="14" outlineLevel="1">
      <c r="A486" s="36" t="s">
        <v>416</v>
      </c>
      <c r="B486" s="201"/>
      <c r="C486" s="204" t="str">
        <f t="shared" si="58"/>
        <v>NF</v>
      </c>
      <c r="D486" s="1275">
        <f t="shared" si="59"/>
        <v>0</v>
      </c>
      <c r="E486" s="1289">
        <f t="shared" si="60"/>
        <v>0.4</v>
      </c>
      <c r="F486" s="1290">
        <f t="shared" si="61"/>
        <v>0</v>
      </c>
      <c r="G486" s="1278">
        <f t="shared" si="61"/>
        <v>0</v>
      </c>
      <c r="H486" s="1279">
        <f t="shared" si="61"/>
        <v>0</v>
      </c>
      <c r="I486" s="1279">
        <f t="shared" si="61"/>
        <v>0</v>
      </c>
      <c r="J486" s="1279">
        <f t="shared" si="61"/>
        <v>0</v>
      </c>
      <c r="K486" s="1279">
        <f t="shared" si="61"/>
        <v>0</v>
      </c>
      <c r="L486" s="1279">
        <f t="shared" si="61"/>
        <v>0</v>
      </c>
      <c r="M486" s="1279">
        <f t="shared" si="61"/>
        <v>0</v>
      </c>
      <c r="N486" s="1279">
        <f t="shared" si="61"/>
        <v>0</v>
      </c>
      <c r="O486" s="1279">
        <f t="shared" si="61"/>
        <v>0</v>
      </c>
      <c r="P486" s="1274"/>
      <c r="R486" s="36"/>
      <c r="S486" s="36"/>
      <c r="T486" s="36"/>
      <c r="U486" s="36"/>
      <c r="V486" s="36"/>
      <c r="W486" s="36"/>
      <c r="X486" s="36"/>
      <c r="Y486" s="36"/>
      <c r="Z486" s="36"/>
      <c r="AA486" s="36"/>
      <c r="AB486" s="36"/>
    </row>
    <row r="487" spans="1:28" ht="14" outlineLevel="1">
      <c r="A487" s="36" t="s">
        <v>416</v>
      </c>
      <c r="B487" s="201"/>
      <c r="C487" s="204" t="str">
        <f t="shared" si="58"/>
        <v>NM</v>
      </c>
      <c r="D487" s="1275">
        <f t="shared" si="59"/>
        <v>0</v>
      </c>
      <c r="E487" s="1289">
        <f t="shared" si="60"/>
        <v>0.4</v>
      </c>
      <c r="F487" s="1290">
        <f t="shared" si="61"/>
        <v>0</v>
      </c>
      <c r="G487" s="1278">
        <f t="shared" si="61"/>
        <v>0</v>
      </c>
      <c r="H487" s="1279">
        <f t="shared" si="61"/>
        <v>0</v>
      </c>
      <c r="I487" s="1279">
        <f t="shared" si="61"/>
        <v>0</v>
      </c>
      <c r="J487" s="1279">
        <f t="shared" si="61"/>
        <v>0</v>
      </c>
      <c r="K487" s="1279">
        <f t="shared" si="61"/>
        <v>0</v>
      </c>
      <c r="L487" s="1279">
        <f t="shared" si="61"/>
        <v>0</v>
      </c>
      <c r="M487" s="1279">
        <f t="shared" si="61"/>
        <v>0</v>
      </c>
      <c r="N487" s="1279">
        <f t="shared" si="61"/>
        <v>0</v>
      </c>
      <c r="O487" s="1279">
        <f t="shared" si="61"/>
        <v>0</v>
      </c>
      <c r="P487" s="1274"/>
      <c r="R487" s="36"/>
      <c r="S487" s="36"/>
      <c r="T487" s="36"/>
      <c r="U487" s="36"/>
      <c r="V487" s="36"/>
      <c r="W487" s="36"/>
      <c r="X487" s="36"/>
      <c r="Y487" s="36"/>
      <c r="Z487" s="36"/>
      <c r="AA487" s="36"/>
      <c r="AB487" s="36"/>
    </row>
    <row r="488" spans="1:28" ht="14" outlineLevel="1">
      <c r="A488" s="36" t="s">
        <v>416</v>
      </c>
      <c r="B488" s="201"/>
      <c r="C488" s="204" t="str">
        <f t="shared" si="58"/>
        <v>FB</v>
      </c>
      <c r="D488" s="1275">
        <f t="shared" si="59"/>
        <v>0</v>
      </c>
      <c r="E488" s="1289">
        <f t="shared" si="60"/>
        <v>0.4</v>
      </c>
      <c r="F488" s="1290">
        <f t="shared" si="61"/>
        <v>0</v>
      </c>
      <c r="G488" s="1278">
        <f t="shared" si="61"/>
        <v>0</v>
      </c>
      <c r="H488" s="1279">
        <f t="shared" si="61"/>
        <v>0</v>
      </c>
      <c r="I488" s="1279">
        <f t="shared" si="61"/>
        <v>0</v>
      </c>
      <c r="J488" s="1279">
        <f t="shared" si="61"/>
        <v>0</v>
      </c>
      <c r="K488" s="1279">
        <f t="shared" si="61"/>
        <v>0</v>
      </c>
      <c r="L488" s="1279">
        <f t="shared" si="61"/>
        <v>0</v>
      </c>
      <c r="M488" s="1279">
        <f t="shared" si="61"/>
        <v>0</v>
      </c>
      <c r="N488" s="1279">
        <f t="shared" si="61"/>
        <v>0</v>
      </c>
      <c r="O488" s="1279">
        <f t="shared" si="61"/>
        <v>0</v>
      </c>
      <c r="P488" s="1274"/>
      <c r="R488" s="36"/>
      <c r="S488" s="36"/>
      <c r="T488" s="36"/>
      <c r="U488" s="36"/>
      <c r="V488" s="36"/>
      <c r="W488" s="36"/>
      <c r="X488" s="36"/>
      <c r="Y488" s="36"/>
      <c r="Z488" s="36"/>
      <c r="AA488" s="36"/>
      <c r="AB488" s="36"/>
    </row>
    <row r="489" spans="1:28" ht="14" outlineLevel="1">
      <c r="A489" s="36" t="s">
        <v>416</v>
      </c>
      <c r="B489" s="201"/>
      <c r="C489" s="204" t="str">
        <f t="shared" si="58"/>
        <v>PP</v>
      </c>
      <c r="D489" s="1275">
        <f t="shared" si="59"/>
        <v>0</v>
      </c>
      <c r="E489" s="1289">
        <f t="shared" si="60"/>
        <v>0.4</v>
      </c>
      <c r="F489" s="1290">
        <f t="shared" si="61"/>
        <v>0</v>
      </c>
      <c r="G489" s="1278">
        <f t="shared" si="61"/>
        <v>0</v>
      </c>
      <c r="H489" s="1279">
        <f t="shared" si="61"/>
        <v>0</v>
      </c>
      <c r="I489" s="1279">
        <f t="shared" si="61"/>
        <v>0</v>
      </c>
      <c r="J489" s="1279">
        <f t="shared" si="61"/>
        <v>0</v>
      </c>
      <c r="K489" s="1279">
        <f t="shared" si="61"/>
        <v>0</v>
      </c>
      <c r="L489" s="1279">
        <f t="shared" si="61"/>
        <v>0</v>
      </c>
      <c r="M489" s="1279">
        <f t="shared" si="61"/>
        <v>0</v>
      </c>
      <c r="N489" s="1279">
        <f t="shared" si="61"/>
        <v>0</v>
      </c>
      <c r="O489" s="1279">
        <f t="shared" si="61"/>
        <v>0</v>
      </c>
      <c r="P489" s="1274"/>
      <c r="R489" s="36"/>
      <c r="S489" s="36"/>
      <c r="T489" s="36"/>
      <c r="U489" s="36"/>
      <c r="V489" s="36"/>
      <c r="W489" s="36"/>
      <c r="X489" s="36"/>
      <c r="Y489" s="36"/>
      <c r="Z489" s="36"/>
      <c r="AA489" s="36"/>
      <c r="AB489" s="36"/>
    </row>
    <row r="490" spans="1:28" ht="14" outlineLevel="1">
      <c r="A490" s="36" t="s">
        <v>416</v>
      </c>
      <c r="B490" s="201"/>
      <c r="C490" s="204" t="str">
        <f t="shared" si="58"/>
        <v>OT</v>
      </c>
      <c r="D490" s="1275">
        <f t="shared" si="59"/>
        <v>0</v>
      </c>
      <c r="E490" s="1289">
        <f t="shared" si="60"/>
        <v>0.4</v>
      </c>
      <c r="F490" s="1290">
        <f t="shared" si="61"/>
        <v>0</v>
      </c>
      <c r="G490" s="1278">
        <f t="shared" si="61"/>
        <v>0</v>
      </c>
      <c r="H490" s="1279">
        <f t="shared" si="61"/>
        <v>0</v>
      </c>
      <c r="I490" s="1279">
        <f t="shared" si="61"/>
        <v>0</v>
      </c>
      <c r="J490" s="1279">
        <f t="shared" si="61"/>
        <v>0</v>
      </c>
      <c r="K490" s="1279">
        <f t="shared" si="61"/>
        <v>0</v>
      </c>
      <c r="L490" s="1279">
        <f t="shared" si="61"/>
        <v>0</v>
      </c>
      <c r="M490" s="1279">
        <f t="shared" si="61"/>
        <v>0</v>
      </c>
      <c r="N490" s="1279">
        <f t="shared" si="61"/>
        <v>0</v>
      </c>
      <c r="O490" s="1279">
        <f t="shared" si="61"/>
        <v>0</v>
      </c>
      <c r="P490" s="1274"/>
      <c r="R490" s="36"/>
      <c r="S490" s="36"/>
      <c r="T490" s="36"/>
      <c r="U490" s="36"/>
      <c r="V490" s="36"/>
      <c r="W490" s="36"/>
      <c r="X490" s="36"/>
      <c r="Y490" s="36"/>
      <c r="Z490" s="36"/>
      <c r="AA490" s="36"/>
      <c r="AB490" s="36"/>
    </row>
    <row r="491" spans="1:28" outlineLevel="1">
      <c r="B491" s="201"/>
      <c r="C491" s="1292" t="s">
        <v>1904</v>
      </c>
      <c r="D491" s="1293"/>
      <c r="E491" s="1271" t="s">
        <v>1907</v>
      </c>
      <c r="F491" s="1272">
        <f t="shared" ref="F491:O491" si="62">SUM(F492:F499)</f>
        <v>45.91587835153473</v>
      </c>
      <c r="G491" s="1272">
        <f t="shared" si="62"/>
        <v>45.91587835153473</v>
      </c>
      <c r="H491" s="1272">
        <f t="shared" si="62"/>
        <v>45.91587835153473</v>
      </c>
      <c r="I491" s="1272">
        <f t="shared" si="62"/>
        <v>45.91587835153473</v>
      </c>
      <c r="J491" s="1272">
        <f t="shared" si="62"/>
        <v>45.91587835153473</v>
      </c>
      <c r="K491" s="1272">
        <f t="shared" si="62"/>
        <v>45.91587835153473</v>
      </c>
      <c r="L491" s="1272">
        <f t="shared" si="62"/>
        <v>45.91587835153473</v>
      </c>
      <c r="M491" s="1272">
        <f t="shared" si="62"/>
        <v>45.91587835153473</v>
      </c>
      <c r="N491" s="1272">
        <f t="shared" si="62"/>
        <v>45.91587835153473</v>
      </c>
      <c r="O491" s="1272">
        <f t="shared" si="62"/>
        <v>45.91587835153473</v>
      </c>
      <c r="P491" s="1274"/>
      <c r="R491" s="36"/>
      <c r="S491" s="36"/>
      <c r="T491" s="36"/>
      <c r="U491" s="36"/>
      <c r="V491" s="36"/>
      <c r="W491" s="36"/>
      <c r="X491" s="36"/>
      <c r="Y491" s="36"/>
      <c r="Z491" s="36"/>
      <c r="AA491" s="36"/>
      <c r="AB491" s="36"/>
    </row>
    <row r="492" spans="1:28" s="483" customFormat="1" ht="14" outlineLevel="1">
      <c r="A492" s="1086" t="s">
        <v>993</v>
      </c>
      <c r="B492" s="201"/>
      <c r="C492" s="204" t="str">
        <f t="shared" ref="C492:C499" si="63">C20</f>
        <v>MI</v>
      </c>
      <c r="D492" s="1275">
        <f t="shared" ref="D492:D499" si="64">INDEX($D$188:$E$188,MATCH($C$491,$D$187:$E$187,0))</f>
        <v>1</v>
      </c>
      <c r="E492" s="1275">
        <f t="shared" ref="E492:E499" si="65">INDEX($G$195:$N$195,MATCH($C492,$G$191:$N$191,0))</f>
        <v>0.1</v>
      </c>
      <c r="F492" s="1277">
        <f t="shared" ref="F492:F499" si="66">INDEX($G$192:$N$192,MATCH($C510,$G$191:$N$191,0))</f>
        <v>0</v>
      </c>
      <c r="G492" s="1278" t="b">
        <f>IF(G431-$F492&gt;0, IF($E501&lt;=1,G464*MAX(G431-$F431,0)+$F492), 0)</f>
        <v>0</v>
      </c>
      <c r="H492" s="1279" t="b">
        <f t="shared" ref="H492:O492" si="67">IF(H431-$F492&gt;0, IF($E501&lt;=1,H464*MAX(H431-$F431,0)+$F492), 0)</f>
        <v>0</v>
      </c>
      <c r="I492" s="1279" t="b">
        <f t="shared" si="67"/>
        <v>0</v>
      </c>
      <c r="J492" s="1279" t="b">
        <f t="shared" si="67"/>
        <v>0</v>
      </c>
      <c r="K492" s="1279" t="b">
        <f t="shared" si="67"/>
        <v>0</v>
      </c>
      <c r="L492" s="1279" t="b">
        <f t="shared" si="67"/>
        <v>0</v>
      </c>
      <c r="M492" s="1279" t="b">
        <f t="shared" si="67"/>
        <v>0</v>
      </c>
      <c r="N492" s="1279" t="b">
        <f t="shared" si="67"/>
        <v>0</v>
      </c>
      <c r="O492" s="1279" t="b">
        <f t="shared" si="67"/>
        <v>0</v>
      </c>
      <c r="P492" s="1274"/>
      <c r="R492" s="36"/>
      <c r="S492" s="36"/>
      <c r="T492" s="36"/>
      <c r="U492" s="36"/>
      <c r="V492" s="36"/>
      <c r="W492" s="36"/>
      <c r="X492" s="36"/>
      <c r="Y492" s="36"/>
      <c r="Z492" s="36"/>
      <c r="AA492" s="36"/>
      <c r="AB492" s="36"/>
    </row>
    <row r="493" spans="1:28" s="483" customFormat="1" ht="14" outlineLevel="1">
      <c r="A493" s="1086" t="s">
        <v>993</v>
      </c>
      <c r="B493" s="201"/>
      <c r="C493" s="204" t="str">
        <f t="shared" si="63"/>
        <v>IS</v>
      </c>
      <c r="D493" s="1275">
        <f t="shared" si="64"/>
        <v>1</v>
      </c>
      <c r="E493" s="1275">
        <f t="shared" si="65"/>
        <v>0.1</v>
      </c>
      <c r="F493" s="1277">
        <f t="shared" si="66"/>
        <v>0</v>
      </c>
      <c r="G493" s="1278">
        <f t="shared" ref="G493:G499" si="68">IF(G432-$F493&gt;0, IF($E502&lt;=1,G465*MAX(G432-$F432,0)+$F493), 0)</f>
        <v>0</v>
      </c>
      <c r="H493" s="1279">
        <f t="shared" ref="H493:O493" si="69">IF(H432-$F493&gt;0, IF($E502&lt;=1,H465*MAX(H432-$F432,0)+$F493), 0)</f>
        <v>0</v>
      </c>
      <c r="I493" s="1279">
        <f t="shared" si="69"/>
        <v>0</v>
      </c>
      <c r="J493" s="1279">
        <f t="shared" si="69"/>
        <v>0</v>
      </c>
      <c r="K493" s="1279">
        <f t="shared" si="69"/>
        <v>0</v>
      </c>
      <c r="L493" s="1279">
        <f t="shared" si="69"/>
        <v>0</v>
      </c>
      <c r="M493" s="1279">
        <f t="shared" si="69"/>
        <v>0</v>
      </c>
      <c r="N493" s="1279">
        <f t="shared" si="69"/>
        <v>0</v>
      </c>
      <c r="O493" s="1279">
        <f t="shared" si="69"/>
        <v>0</v>
      </c>
      <c r="P493" s="1274"/>
      <c r="R493" s="36"/>
      <c r="S493" s="36"/>
      <c r="T493" s="36"/>
      <c r="U493" s="36"/>
      <c r="V493" s="36"/>
      <c r="W493" s="36"/>
      <c r="X493" s="36"/>
      <c r="Y493" s="36"/>
      <c r="Z493" s="36"/>
      <c r="AA493" s="36"/>
      <c r="AB493" s="36"/>
    </row>
    <row r="494" spans="1:28" s="483" customFormat="1" ht="14" outlineLevel="1">
      <c r="A494" s="1086" t="s">
        <v>993</v>
      </c>
      <c r="B494" s="201"/>
      <c r="C494" s="204" t="str">
        <f t="shared" si="63"/>
        <v>CP</v>
      </c>
      <c r="D494" s="1275">
        <f t="shared" si="64"/>
        <v>1</v>
      </c>
      <c r="E494" s="1275">
        <f t="shared" si="65"/>
        <v>0.1</v>
      </c>
      <c r="F494" s="1277">
        <f t="shared" si="66"/>
        <v>0</v>
      </c>
      <c r="G494" s="1278">
        <f t="shared" si="68"/>
        <v>0</v>
      </c>
      <c r="H494" s="1279">
        <f t="shared" ref="H494:O494" si="70">IF(H433-$F494&gt;0, IF($E503&lt;=1,H466*MAX(H433-$F433,0)+$F494), 0)</f>
        <v>0</v>
      </c>
      <c r="I494" s="1279">
        <f t="shared" si="70"/>
        <v>0</v>
      </c>
      <c r="J494" s="1279">
        <f t="shared" si="70"/>
        <v>0</v>
      </c>
      <c r="K494" s="1279">
        <f t="shared" si="70"/>
        <v>0</v>
      </c>
      <c r="L494" s="1279">
        <f t="shared" si="70"/>
        <v>0</v>
      </c>
      <c r="M494" s="1279">
        <f t="shared" si="70"/>
        <v>0</v>
      </c>
      <c r="N494" s="1279">
        <f t="shared" si="70"/>
        <v>0</v>
      </c>
      <c r="O494" s="1279">
        <f t="shared" si="70"/>
        <v>0</v>
      </c>
      <c r="P494" s="1274"/>
      <c r="R494" s="36"/>
      <c r="S494" s="36"/>
      <c r="T494" s="36"/>
      <c r="U494" s="36"/>
      <c r="V494" s="36"/>
      <c r="W494" s="36"/>
      <c r="X494" s="36"/>
      <c r="Y494" s="36"/>
      <c r="Z494" s="36"/>
      <c r="AA494" s="36"/>
      <c r="AB494" s="36"/>
    </row>
    <row r="495" spans="1:28" s="483" customFormat="1" ht="14" outlineLevel="1">
      <c r="A495" s="1086" t="s">
        <v>993</v>
      </c>
      <c r="B495" s="201"/>
      <c r="C495" s="204" t="str">
        <f t="shared" si="63"/>
        <v>NF</v>
      </c>
      <c r="D495" s="1275">
        <f t="shared" si="64"/>
        <v>1</v>
      </c>
      <c r="E495" s="1275">
        <f t="shared" si="65"/>
        <v>0.01</v>
      </c>
      <c r="F495" s="1277">
        <f t="shared" si="66"/>
        <v>0</v>
      </c>
      <c r="G495" s="1278" t="b">
        <f t="shared" si="68"/>
        <v>0</v>
      </c>
      <c r="H495" s="1279" t="b">
        <f t="shared" ref="H495:O495" si="71">IF(H434-$F495&gt;0, IF($E504&lt;=1,H467*MAX(H434-$F434,0)+$F495), 0)</f>
        <v>0</v>
      </c>
      <c r="I495" s="1279" t="b">
        <f t="shared" si="71"/>
        <v>0</v>
      </c>
      <c r="J495" s="1279" t="b">
        <f t="shared" si="71"/>
        <v>0</v>
      </c>
      <c r="K495" s="1279" t="b">
        <f t="shared" si="71"/>
        <v>0</v>
      </c>
      <c r="L495" s="1279" t="b">
        <f t="shared" si="71"/>
        <v>0</v>
      </c>
      <c r="M495" s="1279" t="b">
        <f t="shared" si="71"/>
        <v>0</v>
      </c>
      <c r="N495" s="1279" t="b">
        <f t="shared" si="71"/>
        <v>0</v>
      </c>
      <c r="O495" s="1279" t="b">
        <f t="shared" si="71"/>
        <v>0</v>
      </c>
      <c r="P495" s="1274"/>
      <c r="R495" s="36"/>
      <c r="S495" s="36"/>
      <c r="T495" s="36"/>
      <c r="U495" s="36"/>
      <c r="V495" s="36"/>
      <c r="W495" s="36"/>
      <c r="X495" s="36"/>
      <c r="Y495" s="36"/>
      <c r="Z495" s="36"/>
      <c r="AA495" s="36"/>
      <c r="AB495" s="36"/>
    </row>
    <row r="496" spans="1:28" s="483" customFormat="1" ht="14" outlineLevel="1">
      <c r="A496" s="1086" t="s">
        <v>993</v>
      </c>
      <c r="B496" s="201"/>
      <c r="C496" s="204" t="str">
        <f t="shared" si="63"/>
        <v>NM</v>
      </c>
      <c r="D496" s="1275">
        <f t="shared" si="64"/>
        <v>1</v>
      </c>
      <c r="E496" s="1275">
        <f t="shared" si="65"/>
        <v>0.1</v>
      </c>
      <c r="F496" s="1277">
        <f t="shared" si="66"/>
        <v>0</v>
      </c>
      <c r="G496" s="1278">
        <f t="shared" si="68"/>
        <v>0</v>
      </c>
      <c r="H496" s="1279">
        <f t="shared" ref="H496:O496" si="72">IF(H435-$F496&gt;0, IF($E505&lt;=1,H468*MAX(H435-$F435,0)+$F496), 0)</f>
        <v>0</v>
      </c>
      <c r="I496" s="1279">
        <f t="shared" si="72"/>
        <v>0</v>
      </c>
      <c r="J496" s="1279">
        <f t="shared" si="72"/>
        <v>0</v>
      </c>
      <c r="K496" s="1279">
        <f t="shared" si="72"/>
        <v>0</v>
      </c>
      <c r="L496" s="1279">
        <f t="shared" si="72"/>
        <v>0</v>
      </c>
      <c r="M496" s="1279">
        <f t="shared" si="72"/>
        <v>0</v>
      </c>
      <c r="N496" s="1279">
        <f t="shared" si="72"/>
        <v>0</v>
      </c>
      <c r="O496" s="1279">
        <f t="shared" si="72"/>
        <v>0</v>
      </c>
      <c r="P496" s="1274"/>
      <c r="R496" s="36"/>
      <c r="S496" s="36"/>
      <c r="T496" s="36"/>
      <c r="U496" s="36"/>
      <c r="V496" s="36"/>
      <c r="W496" s="36"/>
      <c r="X496" s="36"/>
      <c r="Y496" s="36"/>
      <c r="Z496" s="36"/>
      <c r="AA496" s="36"/>
      <c r="AB496" s="36"/>
    </row>
    <row r="497" spans="1:28" s="483" customFormat="1" ht="14" outlineLevel="1">
      <c r="A497" s="1086" t="s">
        <v>993</v>
      </c>
      <c r="B497" s="201"/>
      <c r="C497" s="204" t="str">
        <f t="shared" si="63"/>
        <v>FB</v>
      </c>
      <c r="D497" s="1275">
        <f t="shared" si="64"/>
        <v>1</v>
      </c>
      <c r="E497" s="1275">
        <f t="shared" si="65"/>
        <v>0.1</v>
      </c>
      <c r="F497" s="1277">
        <f t="shared" si="66"/>
        <v>7.525919224555734</v>
      </c>
      <c r="G497" s="1278">
        <f t="shared" si="68"/>
        <v>7.525919224555734</v>
      </c>
      <c r="H497" s="1279">
        <f t="shared" ref="H497:O497" si="73">IF(H436-$F497&gt;0, IF($E506&lt;=1,H469*MAX(H436-$F436,0)+$F497), 0)</f>
        <v>7.525919224555734</v>
      </c>
      <c r="I497" s="1279">
        <f t="shared" si="73"/>
        <v>7.525919224555734</v>
      </c>
      <c r="J497" s="1279">
        <f t="shared" si="73"/>
        <v>7.525919224555734</v>
      </c>
      <c r="K497" s="1279">
        <f t="shared" si="73"/>
        <v>7.525919224555734</v>
      </c>
      <c r="L497" s="1279">
        <f t="shared" si="73"/>
        <v>7.525919224555734</v>
      </c>
      <c r="M497" s="1279">
        <f t="shared" si="73"/>
        <v>7.525919224555734</v>
      </c>
      <c r="N497" s="1279">
        <f t="shared" si="73"/>
        <v>7.525919224555734</v>
      </c>
      <c r="O497" s="1279">
        <f t="shared" si="73"/>
        <v>7.525919224555734</v>
      </c>
      <c r="P497" s="1274"/>
      <c r="R497" s="36"/>
      <c r="S497" s="36"/>
      <c r="T497" s="36"/>
      <c r="U497" s="36"/>
      <c r="V497" s="36"/>
      <c r="W497" s="36"/>
      <c r="X497" s="36"/>
      <c r="Y497" s="36"/>
      <c r="Z497" s="36"/>
      <c r="AA497" s="36"/>
      <c r="AB497" s="36"/>
    </row>
    <row r="498" spans="1:28" s="483" customFormat="1" ht="14" outlineLevel="1">
      <c r="A498" s="1086" t="s">
        <v>993</v>
      </c>
      <c r="B498" s="201"/>
      <c r="C498" s="204" t="str">
        <f t="shared" si="63"/>
        <v>PP</v>
      </c>
      <c r="D498" s="1275">
        <f t="shared" si="64"/>
        <v>1</v>
      </c>
      <c r="E498" s="1275">
        <f t="shared" si="65"/>
        <v>0.1</v>
      </c>
      <c r="F498" s="1277">
        <f t="shared" si="66"/>
        <v>38.389959126978994</v>
      </c>
      <c r="G498" s="1278">
        <f>IF(G437-$F498&gt;0, IF($E507&lt;=1,G470*MAX(G437-$F437,0)+$F498), 0)</f>
        <v>38.389959126978994</v>
      </c>
      <c r="H498" s="1279">
        <f t="shared" ref="H498:O498" si="74">IF(H437-$F498&gt;0, IF($E507&lt;=1,H470*MAX(H437-$F437,0)+$F498), 0)</f>
        <v>38.389959126978994</v>
      </c>
      <c r="I498" s="1279">
        <f t="shared" si="74"/>
        <v>38.389959126978994</v>
      </c>
      <c r="J498" s="1279">
        <f t="shared" si="74"/>
        <v>38.389959126978994</v>
      </c>
      <c r="K498" s="1279">
        <f t="shared" si="74"/>
        <v>38.389959126978994</v>
      </c>
      <c r="L498" s="1279">
        <f t="shared" si="74"/>
        <v>38.389959126978994</v>
      </c>
      <c r="M498" s="1279">
        <f t="shared" si="74"/>
        <v>38.389959126978994</v>
      </c>
      <c r="N498" s="1279">
        <f t="shared" si="74"/>
        <v>38.389959126978994</v>
      </c>
      <c r="O498" s="1279">
        <f t="shared" si="74"/>
        <v>38.389959126978994</v>
      </c>
      <c r="P498" s="1274"/>
      <c r="R498" s="36"/>
      <c r="S498" s="36"/>
      <c r="T498" s="36"/>
      <c r="U498" s="36"/>
      <c r="V498" s="36"/>
      <c r="W498" s="36"/>
      <c r="X498" s="36"/>
      <c r="Y498" s="36"/>
      <c r="Z498" s="36"/>
      <c r="AA498" s="36"/>
      <c r="AB498" s="36"/>
    </row>
    <row r="499" spans="1:28" s="483" customFormat="1" ht="14" outlineLevel="1">
      <c r="A499" s="1086" t="s">
        <v>993</v>
      </c>
      <c r="B499" s="201"/>
      <c r="C499" s="1582" t="str">
        <f t="shared" si="63"/>
        <v>OT</v>
      </c>
      <c r="D499" s="1280">
        <f t="shared" si="64"/>
        <v>1</v>
      </c>
      <c r="E499" s="1280">
        <f t="shared" si="65"/>
        <v>0.1</v>
      </c>
      <c r="F499" s="1282">
        <f t="shared" si="66"/>
        <v>0</v>
      </c>
      <c r="G499" s="1283">
        <f t="shared" si="68"/>
        <v>0</v>
      </c>
      <c r="H499" s="1284">
        <f t="shared" ref="H499:O499" si="75">IF(H438-$F499&gt;0, IF($E508&lt;=1,H471*MAX(H438-$F438,0)+$F499), 0)</f>
        <v>0</v>
      </c>
      <c r="I499" s="1284">
        <f t="shared" si="75"/>
        <v>0</v>
      </c>
      <c r="J499" s="1284">
        <f t="shared" si="75"/>
        <v>0</v>
      </c>
      <c r="K499" s="1284">
        <f t="shared" si="75"/>
        <v>0</v>
      </c>
      <c r="L499" s="1284">
        <f t="shared" si="75"/>
        <v>0</v>
      </c>
      <c r="M499" s="1284">
        <f t="shared" si="75"/>
        <v>0</v>
      </c>
      <c r="N499" s="1284">
        <f t="shared" si="75"/>
        <v>0</v>
      </c>
      <c r="O499" s="1284">
        <f t="shared" si="75"/>
        <v>0</v>
      </c>
      <c r="P499" s="1274"/>
      <c r="R499" s="36"/>
      <c r="S499" s="36"/>
      <c r="T499" s="36"/>
      <c r="U499" s="36"/>
      <c r="V499" s="36"/>
      <c r="W499" s="36"/>
      <c r="X499" s="36"/>
      <c r="Y499" s="36"/>
      <c r="Z499" s="36"/>
      <c r="AA499" s="36"/>
      <c r="AB499" s="36"/>
    </row>
    <row r="500" spans="1:28" ht="14" outlineLevel="1">
      <c r="B500" s="201"/>
      <c r="C500" s="1285" t="s">
        <v>555</v>
      </c>
      <c r="D500" s="1286"/>
      <c r="E500" s="1286" t="s">
        <v>2231</v>
      </c>
      <c r="F500" s="1287">
        <f t="shared" ref="F500:O500" si="76">SUM(F501:F508)</f>
        <v>8.8469900484652637</v>
      </c>
      <c r="G500" s="1288">
        <f t="shared" si="76"/>
        <v>8.8469900484652637</v>
      </c>
      <c r="H500" s="1288">
        <f t="shared" si="76"/>
        <v>8.8469900484652637</v>
      </c>
      <c r="I500" s="1288">
        <f t="shared" si="76"/>
        <v>8.8469900484652637</v>
      </c>
      <c r="J500" s="1288">
        <f t="shared" si="76"/>
        <v>8.8469900484652637</v>
      </c>
      <c r="K500" s="1288">
        <f t="shared" si="76"/>
        <v>8.8469900484652637</v>
      </c>
      <c r="L500" s="1288">
        <f t="shared" si="76"/>
        <v>8.8469900484652637</v>
      </c>
      <c r="M500" s="1288">
        <f t="shared" si="76"/>
        <v>8.8469900484652637</v>
      </c>
      <c r="N500" s="1288">
        <f t="shared" si="76"/>
        <v>8.8469900484652637</v>
      </c>
      <c r="O500" s="1288">
        <f t="shared" si="76"/>
        <v>8.8469900484652637</v>
      </c>
      <c r="P500" s="1274"/>
      <c r="R500" s="36"/>
      <c r="S500" s="36"/>
      <c r="T500" s="36"/>
      <c r="U500" s="36"/>
      <c r="V500" s="36"/>
      <c r="W500" s="36"/>
      <c r="X500" s="36"/>
      <c r="Y500" s="36"/>
      <c r="Z500" s="36"/>
      <c r="AA500" s="36"/>
      <c r="AB500" s="36"/>
    </row>
    <row r="501" spans="1:28" s="483" customFormat="1" ht="14" outlineLevel="1">
      <c r="A501" s="36" t="s">
        <v>416</v>
      </c>
      <c r="B501" s="201"/>
      <c r="C501" s="204" t="str">
        <f t="shared" ref="C501:C508" si="77">C20</f>
        <v>MI</v>
      </c>
      <c r="D501" s="1275">
        <f t="shared" ref="D501:D508" si="78">D492</f>
        <v>1</v>
      </c>
      <c r="E501" s="1294">
        <f t="shared" ref="E501:E508" si="79">INDEX($G$194:$N$194,MATCH($C501,$G$191:$N$191,0))</f>
        <v>5</v>
      </c>
      <c r="F501" s="1290">
        <f t="shared" ref="F501:F508" si="80">$E501 * F492</f>
        <v>0</v>
      </c>
      <c r="G501" s="1291">
        <f t="shared" ref="G501:G508" si="81">IF(G421-$F501&gt;0, IF($E501&lt;=1,$E501*G492, G464*(MAX(G421-$F421,0)/(G450*$F450))+$F501), 0)</f>
        <v>0</v>
      </c>
      <c r="H501" s="1279">
        <f t="shared" ref="H501:O501" si="82">IF(H421-$F501&gt;0, IF($E501&lt;=1,$E501*H492, H464*(MAX(H421-$F421,0)/(H450*$F450))+$F501), 0)</f>
        <v>0</v>
      </c>
      <c r="I501" s="1279">
        <f t="shared" si="82"/>
        <v>0</v>
      </c>
      <c r="J501" s="1279">
        <f t="shared" si="82"/>
        <v>0</v>
      </c>
      <c r="K501" s="1279">
        <f t="shared" si="82"/>
        <v>0</v>
      </c>
      <c r="L501" s="1279">
        <f t="shared" si="82"/>
        <v>0</v>
      </c>
      <c r="M501" s="1279">
        <f t="shared" si="82"/>
        <v>0</v>
      </c>
      <c r="N501" s="1279">
        <f t="shared" si="82"/>
        <v>0</v>
      </c>
      <c r="O501" s="1279">
        <f t="shared" si="82"/>
        <v>0</v>
      </c>
      <c r="P501" s="1274"/>
      <c r="R501" s="36"/>
      <c r="S501" s="36"/>
      <c r="T501" s="36"/>
      <c r="U501" s="36"/>
      <c r="V501" s="36"/>
      <c r="W501" s="36"/>
      <c r="X501" s="36"/>
      <c r="Y501" s="36"/>
      <c r="Z501" s="36"/>
      <c r="AA501" s="36"/>
      <c r="AB501" s="36"/>
    </row>
    <row r="502" spans="1:28" s="483" customFormat="1" ht="14" outlineLevel="1">
      <c r="A502" s="36" t="s">
        <v>416</v>
      </c>
      <c r="B502" s="201"/>
      <c r="C502" s="204" t="str">
        <f t="shared" si="77"/>
        <v>IS</v>
      </c>
      <c r="D502" s="1275">
        <f t="shared" si="78"/>
        <v>1</v>
      </c>
      <c r="E502" s="1294">
        <f t="shared" si="79"/>
        <v>0.25</v>
      </c>
      <c r="F502" s="1290">
        <f t="shared" si="80"/>
        <v>0</v>
      </c>
      <c r="G502" s="1291">
        <f t="shared" si="81"/>
        <v>0</v>
      </c>
      <c r="H502" s="1279">
        <f t="shared" ref="H502:O502" si="83">IF(H422-$F502&gt;0, IF($E502&lt;=1,$E502*H493, H465*(MAX(H422-$F422,0)/(H451*$F451))+$F502), 0)</f>
        <v>0</v>
      </c>
      <c r="I502" s="1279">
        <f t="shared" si="83"/>
        <v>0</v>
      </c>
      <c r="J502" s="1279">
        <f t="shared" si="83"/>
        <v>0</v>
      </c>
      <c r="K502" s="1279">
        <f t="shared" si="83"/>
        <v>0</v>
      </c>
      <c r="L502" s="1279">
        <f t="shared" si="83"/>
        <v>0</v>
      </c>
      <c r="M502" s="1279">
        <f t="shared" si="83"/>
        <v>0</v>
      </c>
      <c r="N502" s="1279">
        <f t="shared" si="83"/>
        <v>0</v>
      </c>
      <c r="O502" s="1279">
        <f t="shared" si="83"/>
        <v>0</v>
      </c>
      <c r="P502" s="1274"/>
      <c r="R502" s="36"/>
      <c r="S502" s="36"/>
      <c r="T502" s="36"/>
      <c r="U502" s="36"/>
      <c r="V502" s="36"/>
      <c r="W502" s="36"/>
      <c r="X502" s="36"/>
      <c r="Y502" s="36"/>
      <c r="Z502" s="36"/>
      <c r="AA502" s="36"/>
      <c r="AB502" s="36"/>
    </row>
    <row r="503" spans="1:28" s="483" customFormat="1" ht="14" outlineLevel="1">
      <c r="A503" s="36" t="s">
        <v>416</v>
      </c>
      <c r="B503" s="201"/>
      <c r="C503" s="204" t="str">
        <f t="shared" si="77"/>
        <v>CP</v>
      </c>
      <c r="D503" s="1275">
        <f t="shared" si="78"/>
        <v>1</v>
      </c>
      <c r="E503" s="1294">
        <f t="shared" si="79"/>
        <v>0.3</v>
      </c>
      <c r="F503" s="1290">
        <f t="shared" si="80"/>
        <v>0</v>
      </c>
      <c r="G503" s="1291">
        <f t="shared" si="81"/>
        <v>0</v>
      </c>
      <c r="H503" s="1279">
        <f t="shared" ref="H503:O503" si="84">IF(H423-$F503&gt;0, IF($E503&lt;=1,$E503*H494, H466*(MAX(H423-$F423,0)/(H452*$F452))+$F503), 0)</f>
        <v>0</v>
      </c>
      <c r="I503" s="1279">
        <f t="shared" si="84"/>
        <v>0</v>
      </c>
      <c r="J503" s="1279">
        <f t="shared" si="84"/>
        <v>0</v>
      </c>
      <c r="K503" s="1279">
        <f t="shared" si="84"/>
        <v>0</v>
      </c>
      <c r="L503" s="1279">
        <f t="shared" si="84"/>
        <v>0</v>
      </c>
      <c r="M503" s="1279">
        <f t="shared" si="84"/>
        <v>0</v>
      </c>
      <c r="N503" s="1279">
        <f t="shared" si="84"/>
        <v>0</v>
      </c>
      <c r="O503" s="1279">
        <f t="shared" si="84"/>
        <v>0</v>
      </c>
      <c r="P503" s="1274"/>
      <c r="R503" s="36"/>
      <c r="S503" s="36"/>
      <c r="T503" s="36"/>
      <c r="U503" s="36"/>
      <c r="V503" s="36"/>
      <c r="W503" s="36"/>
      <c r="X503" s="36"/>
      <c r="Y503" s="36"/>
      <c r="Z503" s="36"/>
      <c r="AA503" s="36"/>
      <c r="AB503" s="36"/>
    </row>
    <row r="504" spans="1:28" s="483" customFormat="1" ht="14" outlineLevel="1">
      <c r="A504" s="36" t="s">
        <v>416</v>
      </c>
      <c r="B504" s="201"/>
      <c r="C504" s="204" t="str">
        <f t="shared" si="77"/>
        <v>NF</v>
      </c>
      <c r="D504" s="1275">
        <f t="shared" si="78"/>
        <v>1</v>
      </c>
      <c r="E504" s="1294">
        <f t="shared" si="79"/>
        <v>5</v>
      </c>
      <c r="F504" s="1290">
        <f t="shared" si="80"/>
        <v>0</v>
      </c>
      <c r="G504" s="1291">
        <f t="shared" si="81"/>
        <v>0</v>
      </c>
      <c r="H504" s="1279">
        <f t="shared" ref="H504:O504" si="85">IF(H424-$F504&gt;0, IF($E504&lt;=1,$E504*H495, H467*(MAX(H424-$F424,0)/(H453*$F453))+$F504), 0)</f>
        <v>0</v>
      </c>
      <c r="I504" s="1279">
        <f t="shared" si="85"/>
        <v>0</v>
      </c>
      <c r="J504" s="1279">
        <f t="shared" si="85"/>
        <v>0</v>
      </c>
      <c r="K504" s="1279">
        <f t="shared" si="85"/>
        <v>0</v>
      </c>
      <c r="L504" s="1279">
        <f t="shared" si="85"/>
        <v>0</v>
      </c>
      <c r="M504" s="1279">
        <f t="shared" si="85"/>
        <v>0</v>
      </c>
      <c r="N504" s="1279">
        <f t="shared" si="85"/>
        <v>0</v>
      </c>
      <c r="O504" s="1279">
        <f t="shared" si="85"/>
        <v>0</v>
      </c>
      <c r="P504" s="1274"/>
      <c r="R504" s="36"/>
      <c r="S504" s="36"/>
      <c r="T504" s="36"/>
      <c r="U504" s="36"/>
      <c r="V504" s="36"/>
      <c r="W504" s="36"/>
      <c r="X504" s="36"/>
      <c r="Y504" s="36"/>
      <c r="Z504" s="36"/>
      <c r="AA504" s="36"/>
      <c r="AB504" s="36"/>
    </row>
    <row r="505" spans="1:28" s="483" customFormat="1" ht="14" outlineLevel="1">
      <c r="A505" s="36" t="s">
        <v>416</v>
      </c>
      <c r="B505" s="201"/>
      <c r="C505" s="204" t="str">
        <f t="shared" si="77"/>
        <v>NM</v>
      </c>
      <c r="D505" s="1275">
        <f t="shared" si="78"/>
        <v>1</v>
      </c>
      <c r="E505" s="1294">
        <f t="shared" si="79"/>
        <v>0.25</v>
      </c>
      <c r="F505" s="1290">
        <f t="shared" si="80"/>
        <v>0</v>
      </c>
      <c r="G505" s="1291">
        <f t="shared" si="81"/>
        <v>0</v>
      </c>
      <c r="H505" s="1279">
        <f t="shared" ref="H505:O505" si="86">IF(H425-$F505&gt;0, IF($E505&lt;=1,$E505*H496, H468*(MAX(H425-$F425,0)/(H454*$F454))+$F505), 0)</f>
        <v>0</v>
      </c>
      <c r="I505" s="1279">
        <f t="shared" si="86"/>
        <v>0</v>
      </c>
      <c r="J505" s="1279">
        <f t="shared" si="86"/>
        <v>0</v>
      </c>
      <c r="K505" s="1279">
        <f t="shared" si="86"/>
        <v>0</v>
      </c>
      <c r="L505" s="1279">
        <f t="shared" si="86"/>
        <v>0</v>
      </c>
      <c r="M505" s="1279">
        <f t="shared" si="86"/>
        <v>0</v>
      </c>
      <c r="N505" s="1279">
        <f t="shared" si="86"/>
        <v>0</v>
      </c>
      <c r="O505" s="1279">
        <f t="shared" si="86"/>
        <v>0</v>
      </c>
      <c r="P505" s="1274"/>
      <c r="R505" s="36"/>
      <c r="S505" s="36"/>
      <c r="T505" s="36"/>
      <c r="U505" s="36"/>
      <c r="V505" s="36"/>
      <c r="W505" s="36"/>
      <c r="X505" s="36"/>
      <c r="Y505" s="36"/>
      <c r="Z505" s="36"/>
      <c r="AA505" s="36"/>
      <c r="AB505" s="36"/>
    </row>
    <row r="506" spans="1:28" s="483" customFormat="1" ht="14" outlineLevel="1">
      <c r="A506" s="36" t="s">
        <v>416</v>
      </c>
      <c r="B506" s="201"/>
      <c r="C506" s="204" t="str">
        <f t="shared" si="77"/>
        <v>FB</v>
      </c>
      <c r="D506" s="1275">
        <f t="shared" si="78"/>
        <v>1</v>
      </c>
      <c r="E506" s="1294">
        <f t="shared" si="79"/>
        <v>0.19267822736030826</v>
      </c>
      <c r="F506" s="1277">
        <f t="shared" si="80"/>
        <v>1.4500807754442646</v>
      </c>
      <c r="G506" s="1278">
        <f t="shared" si="81"/>
        <v>1.4500807754442646</v>
      </c>
      <c r="H506" s="1279">
        <f t="shared" ref="H506:O506" si="87">IF(H426-$F506&gt;0, IF($E506&lt;=1,$E506*H497, H469*(MAX(H426-$F426,0)/(H455*$F455))+$F506), 0)</f>
        <v>1.4500807754442646</v>
      </c>
      <c r="I506" s="1279">
        <f t="shared" si="87"/>
        <v>1.4500807754442646</v>
      </c>
      <c r="J506" s="1279">
        <f t="shared" si="87"/>
        <v>1.4500807754442646</v>
      </c>
      <c r="K506" s="1279">
        <f t="shared" si="87"/>
        <v>1.4500807754442646</v>
      </c>
      <c r="L506" s="1279">
        <f t="shared" si="87"/>
        <v>1.4500807754442646</v>
      </c>
      <c r="M506" s="1279">
        <f t="shared" si="87"/>
        <v>1.4500807754442646</v>
      </c>
      <c r="N506" s="1279">
        <f t="shared" si="87"/>
        <v>1.4500807754442646</v>
      </c>
      <c r="O506" s="1279">
        <f t="shared" si="87"/>
        <v>1.4500807754442646</v>
      </c>
      <c r="P506" s="1274"/>
      <c r="R506" s="36"/>
      <c r="S506" s="36"/>
      <c r="T506" s="36"/>
      <c r="U506" s="36"/>
      <c r="V506" s="36"/>
      <c r="W506" s="36"/>
      <c r="X506" s="36"/>
      <c r="Y506" s="36"/>
      <c r="Z506" s="36"/>
      <c r="AA506" s="36"/>
      <c r="AB506" s="36"/>
    </row>
    <row r="507" spans="1:28" s="483" customFormat="1" ht="14" outlineLevel="1">
      <c r="A507" s="36" t="s">
        <v>416</v>
      </c>
      <c r="B507" s="201"/>
      <c r="C507" s="204" t="str">
        <f t="shared" si="77"/>
        <v>PP</v>
      </c>
      <c r="D507" s="1275">
        <f t="shared" si="78"/>
        <v>1</v>
      </c>
      <c r="E507" s="1294">
        <f t="shared" si="79"/>
        <v>0.19267822736030826</v>
      </c>
      <c r="F507" s="1277">
        <f t="shared" si="80"/>
        <v>7.3969092730209995</v>
      </c>
      <c r="G507" s="1278">
        <f t="shared" si="81"/>
        <v>7.3969092730209995</v>
      </c>
      <c r="H507" s="1279">
        <f t="shared" ref="H507:O507" si="88">IF(H427-$F507&gt;0, IF($E507&lt;=1,$E507*H498, H470*(MAX(H427-$F427,0)/(H456*$F456))+$F507), 0)</f>
        <v>7.3969092730209995</v>
      </c>
      <c r="I507" s="1279">
        <f t="shared" si="88"/>
        <v>7.3969092730209995</v>
      </c>
      <c r="J507" s="1279">
        <f t="shared" si="88"/>
        <v>7.3969092730209995</v>
      </c>
      <c r="K507" s="1279">
        <f t="shared" si="88"/>
        <v>7.3969092730209995</v>
      </c>
      <c r="L507" s="1279">
        <f t="shared" si="88"/>
        <v>7.3969092730209995</v>
      </c>
      <c r="M507" s="1279">
        <f t="shared" si="88"/>
        <v>7.3969092730209995</v>
      </c>
      <c r="N507" s="1279">
        <f t="shared" si="88"/>
        <v>7.3969092730209995</v>
      </c>
      <c r="O507" s="1279">
        <f t="shared" si="88"/>
        <v>7.3969092730209995</v>
      </c>
      <c r="P507" s="1274"/>
      <c r="R507" s="36"/>
      <c r="S507" s="36"/>
      <c r="T507" s="36"/>
      <c r="U507" s="36"/>
      <c r="V507" s="36"/>
      <c r="W507" s="36"/>
      <c r="X507" s="36"/>
      <c r="Y507" s="36"/>
      <c r="Z507" s="36"/>
      <c r="AA507" s="36"/>
      <c r="AB507" s="36"/>
    </row>
    <row r="508" spans="1:28" s="483" customFormat="1" ht="14" outlineLevel="1">
      <c r="A508" s="36" t="s">
        <v>416</v>
      </c>
      <c r="B508" s="201"/>
      <c r="C508" s="204" t="str">
        <f t="shared" si="77"/>
        <v>OT</v>
      </c>
      <c r="D508" s="1275">
        <f t="shared" si="78"/>
        <v>1</v>
      </c>
      <c r="E508" s="1294">
        <f t="shared" si="79"/>
        <v>0.25</v>
      </c>
      <c r="F508" s="1290">
        <f t="shared" si="80"/>
        <v>0</v>
      </c>
      <c r="G508" s="1291">
        <f t="shared" si="81"/>
        <v>0</v>
      </c>
      <c r="H508" s="1279">
        <f t="shared" ref="H508:O508" si="89">IF(H428-$F508&gt;0, IF($E508&lt;=1,$E508*H499, H471*(MAX(H428-$F428,0)/(H457*$F457))+$F508), 0)</f>
        <v>0</v>
      </c>
      <c r="I508" s="1279">
        <f t="shared" si="89"/>
        <v>0</v>
      </c>
      <c r="J508" s="1279">
        <f t="shared" si="89"/>
        <v>0</v>
      </c>
      <c r="K508" s="1279">
        <f t="shared" si="89"/>
        <v>0</v>
      </c>
      <c r="L508" s="1279">
        <f t="shared" si="89"/>
        <v>0</v>
      </c>
      <c r="M508" s="1279">
        <f t="shared" si="89"/>
        <v>0</v>
      </c>
      <c r="N508" s="1279">
        <f t="shared" si="89"/>
        <v>0</v>
      </c>
      <c r="O508" s="1279">
        <f t="shared" si="89"/>
        <v>0</v>
      </c>
      <c r="P508" s="1295" t="s">
        <v>1909</v>
      </c>
      <c r="R508" s="36"/>
      <c r="S508" s="36"/>
      <c r="T508" s="36"/>
      <c r="U508" s="36"/>
      <c r="V508" s="36"/>
      <c r="W508" s="36"/>
      <c r="X508" s="36"/>
      <c r="Y508" s="36"/>
      <c r="Z508" s="36"/>
      <c r="AA508" s="36"/>
      <c r="AB508" s="36"/>
    </row>
    <row r="509" spans="1:28">
      <c r="A509" s="1086" t="s">
        <v>993</v>
      </c>
      <c r="B509" s="702"/>
      <c r="C509" s="466" t="s">
        <v>2481</v>
      </c>
      <c r="D509" s="466" t="str">
        <f>Preferences.EnergyUnits</f>
        <v>PJ</v>
      </c>
      <c r="E509" s="388" t="s">
        <v>59</v>
      </c>
      <c r="F509" s="1035">
        <f t="shared" ref="F509:O509" si="90">SUM(F510:F517)</f>
        <v>45.91587835153473</v>
      </c>
      <c r="G509" s="1035">
        <f t="shared" si="90"/>
        <v>45.91587835153473</v>
      </c>
      <c r="H509" s="1035">
        <f t="shared" si="90"/>
        <v>45.91587835153473</v>
      </c>
      <c r="I509" s="1035">
        <f t="shared" si="90"/>
        <v>45.91587835153473</v>
      </c>
      <c r="J509" s="1035">
        <f t="shared" si="90"/>
        <v>45.91587835153473</v>
      </c>
      <c r="K509" s="1035">
        <f t="shared" si="90"/>
        <v>45.91587835153473</v>
      </c>
      <c r="L509" s="1035">
        <f t="shared" si="90"/>
        <v>45.91587835153473</v>
      </c>
      <c r="M509" s="1035">
        <f t="shared" si="90"/>
        <v>45.91587835153473</v>
      </c>
      <c r="N509" s="1035">
        <f t="shared" si="90"/>
        <v>45.91587835153473</v>
      </c>
      <c r="O509" s="1035">
        <f t="shared" si="90"/>
        <v>45.91587835153473</v>
      </c>
      <c r="P509" s="1266"/>
      <c r="Q509" s="483"/>
      <c r="R509" s="36"/>
      <c r="S509" s="36"/>
      <c r="T509" s="36"/>
      <c r="U509" s="36"/>
      <c r="V509" s="36"/>
      <c r="W509" s="36"/>
      <c r="X509" s="36"/>
      <c r="Y509" s="36"/>
      <c r="Z509" s="36"/>
      <c r="AA509" s="36"/>
      <c r="AB509" s="36"/>
    </row>
    <row r="510" spans="1:28" ht="14">
      <c r="B510" s="338"/>
      <c r="C510" s="337" t="str">
        <f t="shared" ref="C510:C517" si="91">C20</f>
        <v>MI</v>
      </c>
      <c r="D510" s="450">
        <f t="shared" ref="D510:D517" si="92">INDEX($G$199:$N$199,MATCH($C510,$G$191:$N$191,0))</f>
        <v>1</v>
      </c>
      <c r="E510" s="450" t="str">
        <f t="shared" ref="E510:E517" si="93">INDEX($D$187:$E$187,MATCH($D510,$D$188:$E$188,0))</f>
        <v>Steam Turbine</v>
      </c>
      <c r="F510" s="1033">
        <f t="shared" ref="F510:F517" si="94">INDEX($G$192:$N$192,MATCH($C510,$G$191:$N$191,0))</f>
        <v>0</v>
      </c>
      <c r="G510" s="1034">
        <f t="array" ref="G510" xml:space="preserve"> $D510 * SUM(IFERROR(($A$474:$A$508=$A$509)* ($C$474:$C$508=$C510)*($D$474:$D$508=$D510)*(G$474:G$508),0))</f>
        <v>0</v>
      </c>
      <c r="H510" s="332">
        <f t="array" ref="H510" xml:space="preserve"> $D510 * SUM(IFERROR(($A$474:$A$508=$A$509)* ($C$474:$C$508=$C510)*($D$474:$D$508=$D510)*(H$474:H$508),0))</f>
        <v>0</v>
      </c>
      <c r="I510" s="332">
        <f t="array" ref="I510" xml:space="preserve"> $D510 * SUM(IFERROR(($A$474:$A$508=$A$509)* ($C$474:$C$508=$C510)*($D$474:$D$508=$D510)*(I$474:I$508),0))</f>
        <v>0</v>
      </c>
      <c r="J510" s="332">
        <f t="array" ref="J510" xml:space="preserve"> $D510 * SUM(IFERROR(($A$474:$A$508=$A$509)* ($C$474:$C$508=$C510)*($D$474:$D$508=$D510)*(J$474:J$508),0))</f>
        <v>0</v>
      </c>
      <c r="K510" s="332">
        <f t="array" ref="K510" xml:space="preserve"> $D510 * SUM(IFERROR(($A$474:$A$508=$A$509)* ($C$474:$C$508=$C510)*($D$474:$D$508=$D510)*(K$474:K$508),0))</f>
        <v>0</v>
      </c>
      <c r="L510" s="332">
        <f t="array" ref="L510" xml:space="preserve"> $D510 * SUM(IFERROR(($A$474:$A$508=$A$509)* ($C$474:$C$508=$C510)*($D$474:$D$508=$D510)*(L$474:L$508),0))</f>
        <v>0</v>
      </c>
      <c r="M510" s="332">
        <f t="array" ref="M510" xml:space="preserve"> $D510 * SUM(IFERROR(($A$474:$A$508=$A$509)* ($C$474:$C$508=$C510)*($D$474:$D$508=$D510)*(M$474:M$508),0))</f>
        <v>0</v>
      </c>
      <c r="N510" s="332">
        <f t="array" ref="N510" xml:space="preserve"> $D510 * SUM(IFERROR(($A$474:$A$508=$A$509)* ($C$474:$C$508=$C510)*($D$474:$D$508=$D510)*(N$474:N$508),0))</f>
        <v>0</v>
      </c>
      <c r="O510" s="332">
        <f t="array" ref="O510" xml:space="preserve"> $D510 * SUM(IFERROR(($A$474:$A$508=$A$509)* ($C$474:$C$508=$C510)*($D$474:$D$508=$D510)*(O$474:O$508),0))</f>
        <v>0</v>
      </c>
      <c r="P510" s="1267"/>
      <c r="Q510" s="483"/>
      <c r="R510" s="36"/>
      <c r="S510" s="36"/>
      <c r="T510" s="36"/>
      <c r="U510" s="36"/>
      <c r="V510" s="36"/>
      <c r="W510" s="36"/>
      <c r="X510" s="36"/>
      <c r="Y510" s="36"/>
      <c r="Z510" s="36"/>
      <c r="AA510" s="36"/>
      <c r="AB510" s="36"/>
    </row>
    <row r="511" spans="1:28" ht="14">
      <c r="B511" s="338"/>
      <c r="C511" s="337" t="str">
        <f t="shared" si="91"/>
        <v>IS</v>
      </c>
      <c r="D511" s="450">
        <f t="shared" si="92"/>
        <v>0</v>
      </c>
      <c r="E511" s="450" t="str">
        <f t="shared" si="93"/>
        <v>Waste heat recovery</v>
      </c>
      <c r="F511" s="1033">
        <f t="shared" si="94"/>
        <v>0</v>
      </c>
      <c r="G511" s="1034">
        <f t="array" ref="G511" xml:space="preserve"> $D511 * SUM(IFERROR(($A$474:$A$508=$A$509)* ($C$474:$C$508=$C511)*($D$474:$D$508=$D511)*(G$474:G$508),0))</f>
        <v>0</v>
      </c>
      <c r="H511" s="332">
        <f t="array" ref="H511" xml:space="preserve"> $D511 * SUM(IFERROR(($A$474:$A$508=$A$509)* ($C$474:$C$508=$C511)*($D$474:$D$508=$D511)*(H$474:H$508),0))</f>
        <v>0</v>
      </c>
      <c r="I511" s="332">
        <f t="array" ref="I511" xml:space="preserve"> $D511 * SUM(IFERROR(($A$474:$A$508=$A$509)* ($C$474:$C$508=$C511)*($D$474:$D$508=$D511)*(I$474:I$508),0))</f>
        <v>0</v>
      </c>
      <c r="J511" s="332">
        <f t="array" ref="J511" xml:space="preserve"> $D511 * SUM(IFERROR(($A$474:$A$508=$A$509)* ($C$474:$C$508=$C511)*($D$474:$D$508=$D511)*(J$474:J$508),0))</f>
        <v>0</v>
      </c>
      <c r="K511" s="332">
        <f t="array" ref="K511" xml:space="preserve"> $D511 * SUM(IFERROR(($A$474:$A$508=$A$509)* ($C$474:$C$508=$C511)*($D$474:$D$508=$D511)*(K$474:K$508),0))</f>
        <v>0</v>
      </c>
      <c r="L511" s="332">
        <f t="array" ref="L511" xml:space="preserve"> $D511 * SUM(IFERROR(($A$474:$A$508=$A$509)* ($C$474:$C$508=$C511)*($D$474:$D$508=$D511)*(L$474:L$508),0))</f>
        <v>0</v>
      </c>
      <c r="M511" s="332">
        <f t="array" ref="M511" xml:space="preserve"> $D511 * SUM(IFERROR(($A$474:$A$508=$A$509)* ($C$474:$C$508=$C511)*($D$474:$D$508=$D511)*(M$474:M$508),0))</f>
        <v>0</v>
      </c>
      <c r="N511" s="332">
        <f t="array" ref="N511" xml:space="preserve"> $D511 * SUM(IFERROR(($A$474:$A$508=$A$509)* ($C$474:$C$508=$C511)*($D$474:$D$508=$D511)*(N$474:N$508),0))</f>
        <v>0</v>
      </c>
      <c r="O511" s="332">
        <f t="array" ref="O511" xml:space="preserve"> $D511 * SUM(IFERROR(($A$474:$A$508=$A$509)* ($C$474:$C$508=$C511)*($D$474:$D$508=$D511)*(O$474:O$508),0))</f>
        <v>0</v>
      </c>
      <c r="P511" s="1267"/>
      <c r="Q511" s="483"/>
      <c r="R511" s="36"/>
      <c r="S511" s="36"/>
      <c r="T511" s="36"/>
      <c r="U511" s="36"/>
      <c r="V511" s="36"/>
      <c r="W511" s="36"/>
      <c r="X511" s="36"/>
      <c r="Y511" s="36"/>
      <c r="Z511" s="36"/>
      <c r="AA511" s="36"/>
      <c r="AB511" s="36"/>
    </row>
    <row r="512" spans="1:28" ht="14">
      <c r="B512" s="338"/>
      <c r="C512" s="337" t="str">
        <f t="shared" si="91"/>
        <v>CP</v>
      </c>
      <c r="D512" s="450">
        <f t="shared" si="92"/>
        <v>1</v>
      </c>
      <c r="E512" s="450" t="str">
        <f t="shared" si="93"/>
        <v>Steam Turbine</v>
      </c>
      <c r="F512" s="1033">
        <f t="shared" si="94"/>
        <v>0</v>
      </c>
      <c r="G512" s="1034">
        <f t="array" ref="G512" xml:space="preserve"> $D512 * SUM(IFERROR(($A$474:$A$508=$A$509)* ($C$474:$C$508=$C512)*($D$474:$D$508=$D512)*(G$474:G$508),0))</f>
        <v>0</v>
      </c>
      <c r="H512" s="332">
        <f t="array" ref="H512" xml:space="preserve"> $D512 * SUM(IFERROR(($A$474:$A$508=$A$509)* ($C$474:$C$508=$C512)*($D$474:$D$508=$D512)*(H$474:H$508),0))</f>
        <v>0</v>
      </c>
      <c r="I512" s="332">
        <f t="array" ref="I512" xml:space="preserve"> $D512 * SUM(IFERROR(($A$474:$A$508=$A$509)* ($C$474:$C$508=$C512)*($D$474:$D$508=$D512)*(I$474:I$508),0))</f>
        <v>0</v>
      </c>
      <c r="J512" s="332">
        <f t="array" ref="J512" xml:space="preserve"> $D512 * SUM(IFERROR(($A$474:$A$508=$A$509)* ($C$474:$C$508=$C512)*($D$474:$D$508=$D512)*(J$474:J$508),0))</f>
        <v>0</v>
      </c>
      <c r="K512" s="332">
        <f t="array" ref="K512" xml:space="preserve"> $D512 * SUM(IFERROR(($A$474:$A$508=$A$509)* ($C$474:$C$508=$C512)*($D$474:$D$508=$D512)*(K$474:K$508),0))</f>
        <v>0</v>
      </c>
      <c r="L512" s="332">
        <f t="array" ref="L512" xml:space="preserve"> $D512 * SUM(IFERROR(($A$474:$A$508=$A$509)* ($C$474:$C$508=$C512)*($D$474:$D$508=$D512)*(L$474:L$508),0))</f>
        <v>0</v>
      </c>
      <c r="M512" s="332">
        <f t="array" ref="M512" xml:space="preserve"> $D512 * SUM(IFERROR(($A$474:$A$508=$A$509)* ($C$474:$C$508=$C512)*($D$474:$D$508=$D512)*(M$474:M$508),0))</f>
        <v>0</v>
      </c>
      <c r="N512" s="332">
        <f t="array" ref="N512" xml:space="preserve"> $D512 * SUM(IFERROR(($A$474:$A$508=$A$509)* ($C$474:$C$508=$C512)*($D$474:$D$508=$D512)*(N$474:N$508),0))</f>
        <v>0</v>
      </c>
      <c r="O512" s="332">
        <f t="array" ref="O512" xml:space="preserve"> $D512 * SUM(IFERROR(($A$474:$A$508=$A$509)* ($C$474:$C$508=$C512)*($D$474:$D$508=$D512)*(O$474:O$508),0))</f>
        <v>0</v>
      </c>
      <c r="P512" s="1267"/>
      <c r="Q512" s="483"/>
      <c r="R512" s="36"/>
      <c r="S512" s="36"/>
      <c r="T512" s="36"/>
      <c r="U512" s="36"/>
      <c r="V512" s="36"/>
      <c r="W512" s="36"/>
      <c r="X512" s="36"/>
      <c r="Y512" s="36"/>
      <c r="Z512" s="36"/>
      <c r="AA512" s="36"/>
      <c r="AB512" s="36"/>
    </row>
    <row r="513" spans="1:28" ht="14">
      <c r="B513" s="338"/>
      <c r="C513" s="337" t="str">
        <f t="shared" si="91"/>
        <v>NF</v>
      </c>
      <c r="D513" s="450">
        <f t="shared" si="92"/>
        <v>1</v>
      </c>
      <c r="E513" s="450" t="str">
        <f t="shared" si="93"/>
        <v>Steam Turbine</v>
      </c>
      <c r="F513" s="1033">
        <f t="shared" si="94"/>
        <v>0</v>
      </c>
      <c r="G513" s="1034">
        <f t="array" ref="G513" xml:space="preserve"> $D513 * SUM(IFERROR(($A$474:$A$508=$A$509)* ($C$474:$C$508=$C513)*($D$474:$D$508=$D513)*(G$474:G$508),0))</f>
        <v>0</v>
      </c>
      <c r="H513" s="332">
        <f t="array" ref="H513" xml:space="preserve"> $D513 * SUM(IFERROR(($A$474:$A$508=$A$509)* ($C$474:$C$508=$C513)*($D$474:$D$508=$D513)*(H$474:H$508),0))</f>
        <v>0</v>
      </c>
      <c r="I513" s="332">
        <f t="array" ref="I513" xml:space="preserve"> $D513 * SUM(IFERROR(($A$474:$A$508=$A$509)* ($C$474:$C$508=$C513)*($D$474:$D$508=$D513)*(I$474:I$508),0))</f>
        <v>0</v>
      </c>
      <c r="J513" s="332">
        <f t="array" ref="J513" xml:space="preserve"> $D513 * SUM(IFERROR(($A$474:$A$508=$A$509)* ($C$474:$C$508=$C513)*($D$474:$D$508=$D513)*(J$474:J$508),0))</f>
        <v>0</v>
      </c>
      <c r="K513" s="332">
        <f t="array" ref="K513" xml:space="preserve"> $D513 * SUM(IFERROR(($A$474:$A$508=$A$509)* ($C$474:$C$508=$C513)*($D$474:$D$508=$D513)*(K$474:K$508),0))</f>
        <v>0</v>
      </c>
      <c r="L513" s="332">
        <f t="array" ref="L513" xml:space="preserve"> $D513 * SUM(IFERROR(($A$474:$A$508=$A$509)* ($C$474:$C$508=$C513)*($D$474:$D$508=$D513)*(L$474:L$508),0))</f>
        <v>0</v>
      </c>
      <c r="M513" s="332">
        <f t="array" ref="M513" xml:space="preserve"> $D513 * SUM(IFERROR(($A$474:$A$508=$A$509)* ($C$474:$C$508=$C513)*($D$474:$D$508=$D513)*(M$474:M$508),0))</f>
        <v>0</v>
      </c>
      <c r="N513" s="332">
        <f t="array" ref="N513" xml:space="preserve"> $D513 * SUM(IFERROR(($A$474:$A$508=$A$509)* ($C$474:$C$508=$C513)*($D$474:$D$508=$D513)*(N$474:N$508),0))</f>
        <v>0</v>
      </c>
      <c r="O513" s="332">
        <f t="array" ref="O513" xml:space="preserve"> $D513 * SUM(IFERROR(($A$474:$A$508=$A$509)* ($C$474:$C$508=$C513)*($D$474:$D$508=$D513)*(O$474:O$508),0))</f>
        <v>0</v>
      </c>
      <c r="P513" s="1267"/>
      <c r="Q513" s="483"/>
      <c r="R513" s="36"/>
      <c r="S513" s="36"/>
      <c r="T513" s="36"/>
      <c r="U513" s="36"/>
      <c r="V513" s="36"/>
      <c r="W513" s="36"/>
      <c r="X513" s="36"/>
      <c r="Y513" s="36"/>
      <c r="Z513" s="36"/>
      <c r="AA513" s="36"/>
      <c r="AB513" s="36"/>
    </row>
    <row r="514" spans="1:28" ht="14">
      <c r="B514" s="338"/>
      <c r="C514" s="337" t="str">
        <f t="shared" si="91"/>
        <v>NM</v>
      </c>
      <c r="D514" s="450">
        <f t="shared" si="92"/>
        <v>0</v>
      </c>
      <c r="E514" s="450" t="str">
        <f t="shared" si="93"/>
        <v>Waste heat recovery</v>
      </c>
      <c r="F514" s="1033">
        <f t="shared" si="94"/>
        <v>0</v>
      </c>
      <c r="G514" s="1034">
        <f t="array" ref="G514" xml:space="preserve"> $D514 * SUM(IFERROR(($A$474:$A$508=$A$509)* ($C$474:$C$508=$C514)*($D$474:$D$508=$D514)*(G$474:G$508),0))</f>
        <v>0</v>
      </c>
      <c r="H514" s="332">
        <f t="array" ref="H514" xml:space="preserve"> $D514 * SUM(IFERROR(($A$474:$A$508=$A$509)* ($C$474:$C$508=$C514)*($D$474:$D$508=$D514)*(H$474:H$508),0))</f>
        <v>0</v>
      </c>
      <c r="I514" s="332">
        <f t="array" ref="I514" xml:space="preserve"> $D514 * SUM(IFERROR(($A$474:$A$508=$A$509)* ($C$474:$C$508=$C514)*($D$474:$D$508=$D514)*(I$474:I$508),0))</f>
        <v>0</v>
      </c>
      <c r="J514" s="332">
        <f t="array" ref="J514" xml:space="preserve"> $D514 * SUM(IFERROR(($A$474:$A$508=$A$509)* ($C$474:$C$508=$C514)*($D$474:$D$508=$D514)*(J$474:J$508),0))</f>
        <v>0</v>
      </c>
      <c r="K514" s="332">
        <f t="array" ref="K514" xml:space="preserve"> $D514 * SUM(IFERROR(($A$474:$A$508=$A$509)* ($C$474:$C$508=$C514)*($D$474:$D$508=$D514)*(K$474:K$508),0))</f>
        <v>0</v>
      </c>
      <c r="L514" s="332">
        <f t="array" ref="L514" xml:space="preserve"> $D514 * SUM(IFERROR(($A$474:$A$508=$A$509)* ($C$474:$C$508=$C514)*($D$474:$D$508=$D514)*(L$474:L$508),0))</f>
        <v>0</v>
      </c>
      <c r="M514" s="332">
        <f t="array" ref="M514" xml:space="preserve"> $D514 * SUM(IFERROR(($A$474:$A$508=$A$509)* ($C$474:$C$508=$C514)*($D$474:$D$508=$D514)*(M$474:M$508),0))</f>
        <v>0</v>
      </c>
      <c r="N514" s="332">
        <f t="array" ref="N514" xml:space="preserve"> $D514 * SUM(IFERROR(($A$474:$A$508=$A$509)* ($C$474:$C$508=$C514)*($D$474:$D$508=$D514)*(N$474:N$508),0))</f>
        <v>0</v>
      </c>
      <c r="O514" s="332">
        <f t="array" ref="O514" xml:space="preserve"> $D514 * SUM(IFERROR(($A$474:$A$508=$A$509)* ($C$474:$C$508=$C514)*($D$474:$D$508=$D514)*(O$474:O$508),0))</f>
        <v>0</v>
      </c>
      <c r="P514" s="1267"/>
      <c r="Q514" s="483"/>
      <c r="R514" s="36"/>
      <c r="S514" s="36"/>
      <c r="T514" s="36"/>
      <c r="U514" s="36"/>
      <c r="V514" s="36"/>
      <c r="W514" s="36"/>
      <c r="X514" s="36"/>
      <c r="Y514" s="36"/>
      <c r="Z514" s="36"/>
      <c r="AA514" s="36"/>
      <c r="AB514" s="36"/>
    </row>
    <row r="515" spans="1:28" ht="14">
      <c r="B515" s="338"/>
      <c r="C515" s="337" t="str">
        <f t="shared" si="91"/>
        <v>FB</v>
      </c>
      <c r="D515" s="450">
        <f t="shared" si="92"/>
        <v>1</v>
      </c>
      <c r="E515" s="450" t="str">
        <f t="shared" si="93"/>
        <v>Steam Turbine</v>
      </c>
      <c r="F515" s="1033">
        <f>INDEX($G$192:$N$192,MATCH($C515,$G$191:$N$191,0))</f>
        <v>7.525919224555734</v>
      </c>
      <c r="G515" s="1034">
        <f t="array" ref="G515" xml:space="preserve"> $D515 * SUM(IFERROR(($A$474:$A$508=$A$509)* ($C$474:$C$508=$C515)*($D$474:$D$508=$D515)*(G$474:G$508),0))</f>
        <v>7.525919224555734</v>
      </c>
      <c r="H515" s="332">
        <f t="array" ref="H515" xml:space="preserve"> $D515 * SUM(IFERROR(($A$474:$A$508=$A$509)* ($C$474:$C$508=$C515)*($D$474:$D$508=$D515)*(H$474:H$508),0))</f>
        <v>7.525919224555734</v>
      </c>
      <c r="I515" s="332">
        <f t="array" ref="I515" xml:space="preserve"> $D515 * SUM(IFERROR(($A$474:$A$508=$A$509)* ($C$474:$C$508=$C515)*($D$474:$D$508=$D515)*(I$474:I$508),0))</f>
        <v>7.525919224555734</v>
      </c>
      <c r="J515" s="332">
        <f t="array" ref="J515" xml:space="preserve"> $D515 * SUM(IFERROR(($A$474:$A$508=$A$509)* ($C$474:$C$508=$C515)*($D$474:$D$508=$D515)*(J$474:J$508),0))</f>
        <v>7.525919224555734</v>
      </c>
      <c r="K515" s="332">
        <f t="array" ref="K515" xml:space="preserve"> $D515 * SUM(IFERROR(($A$474:$A$508=$A$509)* ($C$474:$C$508=$C515)*($D$474:$D$508=$D515)*(K$474:K$508),0))</f>
        <v>7.525919224555734</v>
      </c>
      <c r="L515" s="332">
        <f t="array" ref="L515" xml:space="preserve"> $D515 * SUM(IFERROR(($A$474:$A$508=$A$509)* ($C$474:$C$508=$C515)*($D$474:$D$508=$D515)*(L$474:L$508),0))</f>
        <v>7.525919224555734</v>
      </c>
      <c r="M515" s="332">
        <f t="array" ref="M515" xml:space="preserve"> $D515 * SUM(IFERROR(($A$474:$A$508=$A$509)* ($C$474:$C$508=$C515)*($D$474:$D$508=$D515)*(M$474:M$508),0))</f>
        <v>7.525919224555734</v>
      </c>
      <c r="N515" s="332">
        <f t="array" ref="N515" xml:space="preserve"> $D515 * SUM(IFERROR(($A$474:$A$508=$A$509)* ($C$474:$C$508=$C515)*($D$474:$D$508=$D515)*(N$474:N$508),0))</f>
        <v>7.525919224555734</v>
      </c>
      <c r="O515" s="332">
        <f t="array" ref="O515" xml:space="preserve"> $D515 * SUM(IFERROR(($A$474:$A$508=$A$509)* ($C$474:$C$508=$C515)*($D$474:$D$508=$D515)*(O$474:O$508),0))</f>
        <v>7.525919224555734</v>
      </c>
      <c r="P515" s="1267"/>
      <c r="Q515" s="483"/>
      <c r="R515" s="36"/>
      <c r="S515" s="36"/>
      <c r="T515" s="36"/>
      <c r="U515" s="36"/>
      <c r="V515" s="36"/>
      <c r="W515" s="36"/>
      <c r="X515" s="36"/>
      <c r="Y515" s="36"/>
      <c r="Z515" s="36"/>
      <c r="AA515" s="36"/>
      <c r="AB515" s="36"/>
    </row>
    <row r="516" spans="1:28" ht="14">
      <c r="B516" s="338"/>
      <c r="C516" s="337" t="str">
        <f t="shared" si="91"/>
        <v>PP</v>
      </c>
      <c r="D516" s="450">
        <f t="shared" si="92"/>
        <v>1</v>
      </c>
      <c r="E516" s="450" t="str">
        <f t="shared" si="93"/>
        <v>Steam Turbine</v>
      </c>
      <c r="F516" s="1033">
        <f t="shared" si="94"/>
        <v>38.389959126978994</v>
      </c>
      <c r="G516" s="1034">
        <f t="array" ref="G516" xml:space="preserve"> $D516 * SUM(IFERROR(($A$474:$A$508=$A$509)* ($C$474:$C$508=$C516)*($D$474:$D$508=$D516)*(G$474:G$508),0))</f>
        <v>38.389959126978994</v>
      </c>
      <c r="H516" s="332">
        <f t="array" ref="H516" xml:space="preserve"> $D516 * SUM(IFERROR(($A$474:$A$508=$A$509)* ($C$474:$C$508=$C516)*($D$474:$D$508=$D516)*(H$474:H$508),0))</f>
        <v>38.389959126978994</v>
      </c>
      <c r="I516" s="332">
        <f t="array" ref="I516" xml:space="preserve"> $D516 * SUM(IFERROR(($A$474:$A$508=$A$509)* ($C$474:$C$508=$C516)*($D$474:$D$508=$D516)*(I$474:I$508),0))</f>
        <v>38.389959126978994</v>
      </c>
      <c r="J516" s="332">
        <f t="array" ref="J516" xml:space="preserve"> $D516 * SUM(IFERROR(($A$474:$A$508=$A$509)* ($C$474:$C$508=$C516)*($D$474:$D$508=$D516)*(J$474:J$508),0))</f>
        <v>38.389959126978994</v>
      </c>
      <c r="K516" s="332">
        <f t="array" ref="K516" xml:space="preserve"> $D516 * SUM(IFERROR(($A$474:$A$508=$A$509)* ($C$474:$C$508=$C516)*($D$474:$D$508=$D516)*(K$474:K$508),0))</f>
        <v>38.389959126978994</v>
      </c>
      <c r="L516" s="332">
        <f t="array" ref="L516" xml:space="preserve"> $D516 * SUM(IFERROR(($A$474:$A$508=$A$509)* ($C$474:$C$508=$C516)*($D$474:$D$508=$D516)*(L$474:L$508),0))</f>
        <v>38.389959126978994</v>
      </c>
      <c r="M516" s="332">
        <f t="array" ref="M516" xml:space="preserve"> $D516 * SUM(IFERROR(($A$474:$A$508=$A$509)* ($C$474:$C$508=$C516)*($D$474:$D$508=$D516)*(M$474:M$508),0))</f>
        <v>38.389959126978994</v>
      </c>
      <c r="N516" s="332">
        <f t="array" ref="N516" xml:space="preserve"> $D516 * SUM(IFERROR(($A$474:$A$508=$A$509)* ($C$474:$C$508=$C516)*($D$474:$D$508=$D516)*(N$474:N$508),0))</f>
        <v>38.389959126978994</v>
      </c>
      <c r="O516" s="332">
        <f t="array" ref="O516" xml:space="preserve"> $D516 * SUM(IFERROR(($A$474:$A$508=$A$509)* ($C$474:$C$508=$C516)*($D$474:$D$508=$D516)*(O$474:O$508),0))</f>
        <v>38.389959126978994</v>
      </c>
      <c r="P516" s="1267"/>
      <c r="Q516" s="483"/>
      <c r="R516" s="36"/>
      <c r="S516" s="36"/>
      <c r="T516" s="36"/>
      <c r="U516" s="36"/>
      <c r="V516" s="36"/>
      <c r="W516" s="36"/>
      <c r="X516" s="36"/>
      <c r="Y516" s="36"/>
      <c r="Z516" s="36"/>
      <c r="AA516" s="36"/>
      <c r="AB516" s="36"/>
    </row>
    <row r="517" spans="1:28" ht="14">
      <c r="B517" s="338"/>
      <c r="C517" s="337" t="str">
        <f t="shared" si="91"/>
        <v>OT</v>
      </c>
      <c r="D517" s="450">
        <f t="shared" si="92"/>
        <v>1</v>
      </c>
      <c r="E517" s="450" t="str">
        <f t="shared" si="93"/>
        <v>Steam Turbine</v>
      </c>
      <c r="F517" s="1033">
        <f t="shared" si="94"/>
        <v>0</v>
      </c>
      <c r="G517" s="1034">
        <f t="array" ref="G517" xml:space="preserve"> $D517 * SUM(IFERROR(($A$474:$A$508=$A$509)* ($C$474:$C$508=$C517)*($D$474:$D$508=$D517)*(G$474:G$508),0))</f>
        <v>0</v>
      </c>
      <c r="H517" s="332">
        <f t="array" ref="H517" xml:space="preserve"> $D517 * SUM(IFERROR(($A$474:$A$508=$A$509)* ($C$474:$C$508=$C517)*($D$474:$D$508=$D517)*(H$474:H$508),0))</f>
        <v>0</v>
      </c>
      <c r="I517" s="332">
        <f t="array" ref="I517" xml:space="preserve"> $D517 * SUM(IFERROR(($A$474:$A$508=$A$509)* ($C$474:$C$508=$C517)*($D$474:$D$508=$D517)*(I$474:I$508),0))</f>
        <v>0</v>
      </c>
      <c r="J517" s="332">
        <f t="array" ref="J517" xml:space="preserve"> $D517 * SUM(IFERROR(($A$474:$A$508=$A$509)* ($C$474:$C$508=$C517)*($D$474:$D$508=$D517)*(J$474:J$508),0))</f>
        <v>0</v>
      </c>
      <c r="K517" s="332">
        <f t="array" ref="K517" xml:space="preserve"> $D517 * SUM(IFERROR(($A$474:$A$508=$A$509)* ($C$474:$C$508=$C517)*($D$474:$D$508=$D517)*(K$474:K$508),0))</f>
        <v>0</v>
      </c>
      <c r="L517" s="332">
        <f t="array" ref="L517" xml:space="preserve"> $D517 * SUM(IFERROR(($A$474:$A$508=$A$509)* ($C$474:$C$508=$C517)*($D$474:$D$508=$D517)*(L$474:L$508),0))</f>
        <v>0</v>
      </c>
      <c r="M517" s="332">
        <f t="array" ref="M517" xml:space="preserve"> $D517 * SUM(IFERROR(($A$474:$A$508=$A$509)* ($C$474:$C$508=$C517)*($D$474:$D$508=$D517)*(M$474:M$508),0))</f>
        <v>0</v>
      </c>
      <c r="N517" s="332">
        <f t="array" ref="N517" xml:space="preserve"> $D517 * SUM(IFERROR(($A$474:$A$508=$A$509)* ($C$474:$C$508=$C517)*($D$474:$D$508=$D517)*(N$474:N$508),0))</f>
        <v>0</v>
      </c>
      <c r="O517" s="332">
        <f t="array" ref="O517" xml:space="preserve"> $D517 * SUM(IFERROR(($A$474:$A$508=$A$509)* ($C$474:$C$508=$C517)*($D$474:$D$508=$D517)*(O$474:O$508),0))</f>
        <v>0</v>
      </c>
      <c r="P517" s="1267"/>
      <c r="Q517" s="483"/>
      <c r="R517" s="36"/>
      <c r="S517" s="36"/>
      <c r="T517" s="36"/>
      <c r="U517" s="36"/>
      <c r="V517" s="36"/>
      <c r="W517" s="36"/>
      <c r="X517" s="36"/>
      <c r="Y517" s="36"/>
      <c r="Z517" s="36"/>
      <c r="AA517" s="36"/>
      <c r="AB517" s="36"/>
    </row>
    <row r="518" spans="1:28" ht="14">
      <c r="A518" s="36" t="s">
        <v>416</v>
      </c>
      <c r="B518" s="702"/>
      <c r="C518" s="466" t="s">
        <v>2482</v>
      </c>
      <c r="D518" s="466" t="str">
        <f>Preferences.EnergyUnits</f>
        <v>PJ</v>
      </c>
      <c r="E518" s="466"/>
      <c r="F518" s="1231">
        <f t="shared" ref="F518:O518" si="95">SUM(F519:F526)</f>
        <v>8.8469900484652637</v>
      </c>
      <c r="G518" s="1230">
        <f t="shared" si="95"/>
        <v>8.8469900484652637</v>
      </c>
      <c r="H518" s="1230">
        <f t="shared" si="95"/>
        <v>8.8469900484652637</v>
      </c>
      <c r="I518" s="1230">
        <f t="shared" si="95"/>
        <v>8.8469900484652637</v>
      </c>
      <c r="J518" s="1230">
        <f t="shared" si="95"/>
        <v>8.8469900484652637</v>
      </c>
      <c r="K518" s="1230">
        <f t="shared" si="95"/>
        <v>8.8469900484652637</v>
      </c>
      <c r="L518" s="1230">
        <f t="shared" si="95"/>
        <v>8.8469900484652637</v>
      </c>
      <c r="M518" s="1230">
        <f t="shared" si="95"/>
        <v>8.8469900484652637</v>
      </c>
      <c r="N518" s="1230">
        <f t="shared" si="95"/>
        <v>8.8469900484652637</v>
      </c>
      <c r="O518" s="1230">
        <f t="shared" si="95"/>
        <v>8.8469900484652637</v>
      </c>
      <c r="P518" s="1266"/>
      <c r="Q518" s="483"/>
      <c r="R518" s="36"/>
      <c r="S518" s="712"/>
      <c r="T518" s="712"/>
      <c r="U518" s="712"/>
      <c r="V518" s="712"/>
      <c r="W518" s="712"/>
      <c r="X518" s="712"/>
      <c r="Y518" s="712"/>
      <c r="Z518" s="712"/>
      <c r="AA518" s="712"/>
      <c r="AB518" s="36"/>
    </row>
    <row r="519" spans="1:28" ht="14">
      <c r="B519" s="341"/>
      <c r="C519" s="255" t="str">
        <f t="shared" ref="C519:C526" si="96">C20</f>
        <v>MI</v>
      </c>
      <c r="D519" s="450">
        <f t="shared" ref="D519:D526" si="97">INDEX($G$199:$N$199,MATCH($C510,$G$191:$N$191,0))</f>
        <v>1</v>
      </c>
      <c r="E519" s="1268" t="str">
        <f>E510</f>
        <v>Steam Turbine</v>
      </c>
      <c r="F519" s="336">
        <f t="array" ref="F519">SUM(IFERROR(($A$474:$A$508=$A$518)* ($C$474:$C$508=$C519)*($D$474:$D$508=$D519)*(F$474:F$508),0))</f>
        <v>0</v>
      </c>
      <c r="G519" s="1034">
        <f t="array" ref="G519">SUM(IFERROR(($A$474:$A$508=$A$518)* ($C$474:$C$508=$C519)*($D$474:$D$508=$D519)*(G$474:G$508),0))</f>
        <v>0</v>
      </c>
      <c r="H519" s="332">
        <f t="array" ref="H519">SUM(IFERROR(($A$474:$A$508=$A$518)* ($C$474:$C$508=$C519)*($D$474:$D$508=$D519)*(H$474:H$508),0))</f>
        <v>0</v>
      </c>
      <c r="I519" s="332">
        <f t="array" ref="I519">SUM(IFERROR(($A$474:$A$508=$A$518)* ($C$474:$C$508=$C519)*($D$474:$D$508=$D519)*(I$474:I$508),0))</f>
        <v>0</v>
      </c>
      <c r="J519" s="332">
        <f t="array" ref="J519">SUM(IFERROR(($A$474:$A$508=$A$518)* ($C$474:$C$508=$C519)*($D$474:$D$508=$D519)*(J$474:J$508),0))</f>
        <v>0</v>
      </c>
      <c r="K519" s="332">
        <f t="array" ref="K519">SUM(IFERROR(($A$474:$A$508=$A$518)* ($C$474:$C$508=$C519)*($D$474:$D$508=$D519)*(K$474:K$508),0))</f>
        <v>0</v>
      </c>
      <c r="L519" s="332">
        <f t="array" ref="L519">SUM(IFERROR(($A$474:$A$508=$A$518)* ($C$474:$C$508=$C519)*($D$474:$D$508=$D519)*(L$474:L$508),0))</f>
        <v>0</v>
      </c>
      <c r="M519" s="332">
        <f t="array" ref="M519">SUM(IFERROR(($A$474:$A$508=$A$518)* ($C$474:$C$508=$C519)*($D$474:$D$508=$D519)*(M$474:M$508),0))</f>
        <v>0</v>
      </c>
      <c r="N519" s="332">
        <f t="array" ref="N519">SUM(IFERROR(($A$474:$A$508=$A$518)* ($C$474:$C$508=$C519)*($D$474:$D$508=$D519)*(N$474:N$508),0))</f>
        <v>0</v>
      </c>
      <c r="O519" s="332">
        <f t="array" ref="O519">SUM(IFERROR(($A$474:$A$508=$A$518)* ($C$474:$C$508=$C519)*($D$474:$D$508=$D519)*(O$474:O$508),0))</f>
        <v>0</v>
      </c>
      <c r="P519" s="1267"/>
      <c r="Q519" s="483"/>
      <c r="R519" s="36"/>
      <c r="S519" s="459"/>
      <c r="T519" s="711"/>
      <c r="U519" s="711"/>
      <c r="V519" s="711"/>
      <c r="W519" s="711"/>
      <c r="X519" s="711"/>
      <c r="Y519" s="711"/>
      <c r="Z519" s="711"/>
      <c r="AA519" s="711"/>
      <c r="AB519" s="36"/>
    </row>
    <row r="520" spans="1:28" ht="14">
      <c r="A520" s="36"/>
      <c r="B520" s="341"/>
      <c r="C520" s="337" t="str">
        <f t="shared" si="96"/>
        <v>IS</v>
      </c>
      <c r="D520" s="450">
        <f t="shared" si="97"/>
        <v>0</v>
      </c>
      <c r="E520" s="450" t="str">
        <f t="shared" ref="E520:E526" si="98">E511</f>
        <v>Waste heat recovery</v>
      </c>
      <c r="F520" s="336">
        <f t="array" ref="F520">SUM(IFERROR(($A$474:$A$508=$A$518)* ($C$474:$C$508=$C520)*($D$474:$D$508=$D520)*(F$474:F$508),0))</f>
        <v>0</v>
      </c>
      <c r="G520" s="1034">
        <f t="array" ref="G520">SUM(IFERROR(($A$474:$A$508=$A$518)* ($C$474:$C$508=$C520)*($D$474:$D$508=$D520)*(G$474:G$508),0))</f>
        <v>0</v>
      </c>
      <c r="H520" s="332">
        <f t="array" ref="H520">SUM(IFERROR(($A$474:$A$508=$A$518)* ($C$474:$C$508=$C520)*($D$474:$D$508=$D520)*(H$474:H$508),0))</f>
        <v>0</v>
      </c>
      <c r="I520" s="332">
        <f t="array" ref="I520">SUM(IFERROR(($A$474:$A$508=$A$518)* ($C$474:$C$508=$C520)*($D$474:$D$508=$D520)*(I$474:I$508),0))</f>
        <v>0</v>
      </c>
      <c r="J520" s="332">
        <f t="array" ref="J520">SUM(IFERROR(($A$474:$A$508=$A$518)* ($C$474:$C$508=$C520)*($D$474:$D$508=$D520)*(J$474:J$508),0))</f>
        <v>0</v>
      </c>
      <c r="K520" s="332">
        <f t="array" ref="K520">SUM(IFERROR(($A$474:$A$508=$A$518)* ($C$474:$C$508=$C520)*($D$474:$D$508=$D520)*(K$474:K$508),0))</f>
        <v>0</v>
      </c>
      <c r="L520" s="332">
        <f t="array" ref="L520">SUM(IFERROR(($A$474:$A$508=$A$518)* ($C$474:$C$508=$C520)*($D$474:$D$508=$D520)*(L$474:L$508),0))</f>
        <v>0</v>
      </c>
      <c r="M520" s="332">
        <f t="array" ref="M520">SUM(IFERROR(($A$474:$A$508=$A$518)* ($C$474:$C$508=$C520)*($D$474:$D$508=$D520)*(M$474:M$508),0))</f>
        <v>0</v>
      </c>
      <c r="N520" s="332">
        <f t="array" ref="N520">SUM(IFERROR(($A$474:$A$508=$A$518)* ($C$474:$C$508=$C520)*($D$474:$D$508=$D520)*(N$474:N$508),0))</f>
        <v>0</v>
      </c>
      <c r="O520" s="332">
        <f t="array" ref="O520">SUM(IFERROR(($A$474:$A$508=$A$518)* ($C$474:$C$508=$C520)*($D$474:$D$508=$D520)*(O$474:O$508),0))</f>
        <v>0</v>
      </c>
      <c r="P520" s="1267"/>
      <c r="Q520" s="483"/>
      <c r="R520" s="36"/>
      <c r="S520" s="482"/>
      <c r="T520" s="711"/>
      <c r="U520" s="711"/>
      <c r="V520" s="711"/>
      <c r="W520" s="711"/>
      <c r="X520" s="711"/>
      <c r="Y520" s="711"/>
      <c r="Z520" s="711"/>
      <c r="AA520" s="711"/>
      <c r="AB520" s="36"/>
    </row>
    <row r="521" spans="1:28" ht="14">
      <c r="A521" s="36"/>
      <c r="B521" s="341"/>
      <c r="C521" s="337" t="str">
        <f t="shared" si="96"/>
        <v>CP</v>
      </c>
      <c r="D521" s="450">
        <f t="shared" si="97"/>
        <v>1</v>
      </c>
      <c r="E521" s="450" t="str">
        <f t="shared" si="98"/>
        <v>Steam Turbine</v>
      </c>
      <c r="F521" s="336">
        <f t="array" ref="F521">SUM(IFERROR(($A$474:$A$508=$A$518)* ($C$474:$C$508=$C521)*($D$474:$D$508=$D521)*(F$474:F$508),0))</f>
        <v>0</v>
      </c>
      <c r="G521" s="1034">
        <f t="array" ref="G521">SUM(IFERROR(($A$474:$A$508=$A$518)* ($C$474:$C$508=$C521)*($D$474:$D$508=$D521)*(G$474:G$508),0))</f>
        <v>0</v>
      </c>
      <c r="H521" s="332">
        <f t="array" ref="H521">SUM(IFERROR(($A$474:$A$508=$A$518)* ($C$474:$C$508=$C521)*($D$474:$D$508=$D521)*(H$474:H$508),0))</f>
        <v>0</v>
      </c>
      <c r="I521" s="332">
        <f t="array" ref="I521">SUM(IFERROR(($A$474:$A$508=$A$518)* ($C$474:$C$508=$C521)*($D$474:$D$508=$D521)*(I$474:I$508),0))</f>
        <v>0</v>
      </c>
      <c r="J521" s="332">
        <f t="array" ref="J521">SUM(IFERROR(($A$474:$A$508=$A$518)* ($C$474:$C$508=$C521)*($D$474:$D$508=$D521)*(J$474:J$508),0))</f>
        <v>0</v>
      </c>
      <c r="K521" s="332">
        <f t="array" ref="K521">SUM(IFERROR(($A$474:$A$508=$A$518)* ($C$474:$C$508=$C521)*($D$474:$D$508=$D521)*(K$474:K$508),0))</f>
        <v>0</v>
      </c>
      <c r="L521" s="332">
        <f t="array" ref="L521">SUM(IFERROR(($A$474:$A$508=$A$518)* ($C$474:$C$508=$C521)*($D$474:$D$508=$D521)*(L$474:L$508),0))</f>
        <v>0</v>
      </c>
      <c r="M521" s="332">
        <f t="array" ref="M521">SUM(IFERROR(($A$474:$A$508=$A$518)* ($C$474:$C$508=$C521)*($D$474:$D$508=$D521)*(M$474:M$508),0))</f>
        <v>0</v>
      </c>
      <c r="N521" s="332">
        <f t="array" ref="N521">SUM(IFERROR(($A$474:$A$508=$A$518)* ($C$474:$C$508=$C521)*($D$474:$D$508=$D521)*(N$474:N$508),0))</f>
        <v>0</v>
      </c>
      <c r="O521" s="332">
        <f t="array" ref="O521">SUM(IFERROR(($A$474:$A$508=$A$518)* ($C$474:$C$508=$C521)*($D$474:$D$508=$D521)*(O$474:O$508),0))</f>
        <v>0</v>
      </c>
      <c r="P521" s="1267"/>
      <c r="Q521" s="483"/>
      <c r="R521" s="36"/>
      <c r="S521" s="482"/>
      <c r="T521" s="711"/>
      <c r="U521" s="711"/>
      <c r="V521" s="711"/>
      <c r="W521" s="711"/>
      <c r="X521" s="711"/>
      <c r="Y521" s="711"/>
      <c r="Z521" s="711"/>
      <c r="AA521" s="711"/>
      <c r="AB521" s="36"/>
    </row>
    <row r="522" spans="1:28" ht="14">
      <c r="A522" s="36"/>
      <c r="B522" s="341"/>
      <c r="C522" s="337" t="str">
        <f t="shared" si="96"/>
        <v>NF</v>
      </c>
      <c r="D522" s="450">
        <f t="shared" si="97"/>
        <v>1</v>
      </c>
      <c r="E522" s="450" t="str">
        <f t="shared" si="98"/>
        <v>Steam Turbine</v>
      </c>
      <c r="F522" s="336">
        <f t="array" ref="F522">SUM(IFERROR(($A$474:$A$508=$A$518)* ($C$474:$C$508=$C522)*($D$474:$D$508=$D522)*(F$474:F$508),0))</f>
        <v>0</v>
      </c>
      <c r="G522" s="1034">
        <f t="array" ref="G522">SUM(IFERROR(($A$474:$A$508=$A$518)* ($C$474:$C$508=$C522)*($D$474:$D$508=$D522)*(G$474:G$508),0))</f>
        <v>0</v>
      </c>
      <c r="H522" s="332">
        <f t="array" ref="H522">SUM(IFERROR(($A$474:$A$508=$A$518)* ($C$474:$C$508=$C522)*($D$474:$D$508=$D522)*(H$474:H$508),0))</f>
        <v>0</v>
      </c>
      <c r="I522" s="332">
        <f t="array" ref="I522">SUM(IFERROR(($A$474:$A$508=$A$518)* ($C$474:$C$508=$C522)*($D$474:$D$508=$D522)*(I$474:I$508),0))</f>
        <v>0</v>
      </c>
      <c r="J522" s="332">
        <f t="array" ref="J522">SUM(IFERROR(($A$474:$A$508=$A$518)* ($C$474:$C$508=$C522)*($D$474:$D$508=$D522)*(J$474:J$508),0))</f>
        <v>0</v>
      </c>
      <c r="K522" s="332">
        <f t="array" ref="K522">SUM(IFERROR(($A$474:$A$508=$A$518)* ($C$474:$C$508=$C522)*($D$474:$D$508=$D522)*(K$474:K$508),0))</f>
        <v>0</v>
      </c>
      <c r="L522" s="332">
        <f t="array" ref="L522">SUM(IFERROR(($A$474:$A$508=$A$518)* ($C$474:$C$508=$C522)*($D$474:$D$508=$D522)*(L$474:L$508),0))</f>
        <v>0</v>
      </c>
      <c r="M522" s="332">
        <f t="array" ref="M522">SUM(IFERROR(($A$474:$A$508=$A$518)* ($C$474:$C$508=$C522)*($D$474:$D$508=$D522)*(M$474:M$508),0))</f>
        <v>0</v>
      </c>
      <c r="N522" s="332">
        <f t="array" ref="N522">SUM(IFERROR(($A$474:$A$508=$A$518)* ($C$474:$C$508=$C522)*($D$474:$D$508=$D522)*(N$474:N$508),0))</f>
        <v>0</v>
      </c>
      <c r="O522" s="332">
        <f t="array" ref="O522">SUM(IFERROR(($A$474:$A$508=$A$518)* ($C$474:$C$508=$C522)*($D$474:$D$508=$D522)*(O$474:O$508),0))</f>
        <v>0</v>
      </c>
      <c r="P522" s="1267"/>
      <c r="Q522" s="483"/>
      <c r="R522" s="36"/>
      <c r="S522" s="482"/>
      <c r="T522" s="711"/>
      <c r="U522" s="711"/>
      <c r="V522" s="711"/>
      <c r="W522" s="711"/>
      <c r="X522" s="711"/>
      <c r="Y522" s="711"/>
      <c r="Z522" s="711"/>
      <c r="AA522" s="711"/>
      <c r="AB522" s="36"/>
    </row>
    <row r="523" spans="1:28" ht="14">
      <c r="A523" s="36"/>
      <c r="B523" s="341"/>
      <c r="C523" s="337" t="str">
        <f t="shared" si="96"/>
        <v>NM</v>
      </c>
      <c r="D523" s="450">
        <f t="shared" si="97"/>
        <v>0</v>
      </c>
      <c r="E523" s="450" t="str">
        <f t="shared" si="98"/>
        <v>Waste heat recovery</v>
      </c>
      <c r="F523" s="336">
        <f t="array" ref="F523">SUM(IFERROR(($A$474:$A$508=$A$518)* ($C$474:$C$508=$C523)*($D$474:$D$508=$D523)*(F$474:F$508),0))</f>
        <v>0</v>
      </c>
      <c r="G523" s="1034">
        <f t="array" ref="G523">SUM(IFERROR(($A$474:$A$508=$A$518)* ($C$474:$C$508=$C523)*($D$474:$D$508=$D523)*(G$474:G$508),0))</f>
        <v>0</v>
      </c>
      <c r="H523" s="332">
        <f t="array" ref="H523">SUM(IFERROR(($A$474:$A$508=$A$518)* ($C$474:$C$508=$C523)*($D$474:$D$508=$D523)*(H$474:H$508),0))</f>
        <v>0</v>
      </c>
      <c r="I523" s="332">
        <f t="array" ref="I523">SUM(IFERROR(($A$474:$A$508=$A$518)* ($C$474:$C$508=$C523)*($D$474:$D$508=$D523)*(I$474:I$508),0))</f>
        <v>0</v>
      </c>
      <c r="J523" s="332">
        <f t="array" ref="J523">SUM(IFERROR(($A$474:$A$508=$A$518)* ($C$474:$C$508=$C523)*($D$474:$D$508=$D523)*(J$474:J$508),0))</f>
        <v>0</v>
      </c>
      <c r="K523" s="332">
        <f t="array" ref="K523">SUM(IFERROR(($A$474:$A$508=$A$518)* ($C$474:$C$508=$C523)*($D$474:$D$508=$D523)*(K$474:K$508),0))</f>
        <v>0</v>
      </c>
      <c r="L523" s="332">
        <f t="array" ref="L523">SUM(IFERROR(($A$474:$A$508=$A$518)* ($C$474:$C$508=$C523)*($D$474:$D$508=$D523)*(L$474:L$508),0))</f>
        <v>0</v>
      </c>
      <c r="M523" s="332">
        <f t="array" ref="M523">SUM(IFERROR(($A$474:$A$508=$A$518)* ($C$474:$C$508=$C523)*($D$474:$D$508=$D523)*(M$474:M$508),0))</f>
        <v>0</v>
      </c>
      <c r="N523" s="332">
        <f t="array" ref="N523">SUM(IFERROR(($A$474:$A$508=$A$518)* ($C$474:$C$508=$C523)*($D$474:$D$508=$D523)*(N$474:N$508),0))</f>
        <v>0</v>
      </c>
      <c r="O523" s="332">
        <f t="array" ref="O523">SUM(IFERROR(($A$474:$A$508=$A$518)* ($C$474:$C$508=$C523)*($D$474:$D$508=$D523)*(O$474:O$508),0))</f>
        <v>0</v>
      </c>
      <c r="P523" s="1267"/>
      <c r="Q523" s="483"/>
      <c r="R523" s="36"/>
      <c r="S523" s="482"/>
      <c r="T523" s="711"/>
      <c r="U523" s="711"/>
      <c r="V523" s="711"/>
      <c r="W523" s="711"/>
      <c r="X523" s="711"/>
      <c r="Y523" s="711"/>
      <c r="Z523" s="711"/>
      <c r="AA523" s="711"/>
      <c r="AB523" s="36"/>
    </row>
    <row r="524" spans="1:28" ht="14">
      <c r="A524" s="36"/>
      <c r="B524" s="341"/>
      <c r="C524" s="337" t="str">
        <f t="shared" si="96"/>
        <v>FB</v>
      </c>
      <c r="D524" s="450">
        <f t="shared" si="97"/>
        <v>1</v>
      </c>
      <c r="E524" s="450" t="str">
        <f t="shared" si="98"/>
        <v>Steam Turbine</v>
      </c>
      <c r="F524" s="1033">
        <f t="array" ref="F524">SUM(IFERROR(($A$474:$A$508=$A$518)* ($C$474:$C$508=$C524)*($D$474:$D$508=$D524)*(F$474:F$508),0))</f>
        <v>1.4500807754442646</v>
      </c>
      <c r="G524" s="1034">
        <f t="array" ref="G524">SUM(IFERROR(($A$474:$A$508=$A$518)* ($C$474:$C$508=$C524)*($D$474:$D$508=$D524)*(G$474:G$508),0))</f>
        <v>1.4500807754442646</v>
      </c>
      <c r="H524" s="332">
        <f t="array" ref="H524">SUM(IFERROR(($A$474:$A$508=$A$518)* ($C$474:$C$508=$C524)*($D$474:$D$508=$D524)*(H$474:H$508),0))</f>
        <v>1.4500807754442646</v>
      </c>
      <c r="I524" s="332">
        <f t="array" ref="I524">SUM(IFERROR(($A$474:$A$508=$A$518)* ($C$474:$C$508=$C524)*($D$474:$D$508=$D524)*(I$474:I$508),0))</f>
        <v>1.4500807754442646</v>
      </c>
      <c r="J524" s="332">
        <f t="array" ref="J524">SUM(IFERROR(($A$474:$A$508=$A$518)* ($C$474:$C$508=$C524)*($D$474:$D$508=$D524)*(J$474:J$508),0))</f>
        <v>1.4500807754442646</v>
      </c>
      <c r="K524" s="332">
        <f t="array" ref="K524">SUM(IFERROR(($A$474:$A$508=$A$518)* ($C$474:$C$508=$C524)*($D$474:$D$508=$D524)*(K$474:K$508),0))</f>
        <v>1.4500807754442646</v>
      </c>
      <c r="L524" s="332">
        <f t="array" ref="L524">SUM(IFERROR(($A$474:$A$508=$A$518)* ($C$474:$C$508=$C524)*($D$474:$D$508=$D524)*(L$474:L$508),0))</f>
        <v>1.4500807754442646</v>
      </c>
      <c r="M524" s="332">
        <f t="array" ref="M524">SUM(IFERROR(($A$474:$A$508=$A$518)* ($C$474:$C$508=$C524)*($D$474:$D$508=$D524)*(M$474:M$508),0))</f>
        <v>1.4500807754442646</v>
      </c>
      <c r="N524" s="332">
        <f t="array" ref="N524">SUM(IFERROR(($A$474:$A$508=$A$518)* ($C$474:$C$508=$C524)*($D$474:$D$508=$D524)*(N$474:N$508),0))</f>
        <v>1.4500807754442646</v>
      </c>
      <c r="O524" s="332">
        <f t="array" ref="O524">SUM(IFERROR(($A$474:$A$508=$A$518)* ($C$474:$C$508=$C524)*($D$474:$D$508=$D524)*(O$474:O$508),0))</f>
        <v>1.4500807754442646</v>
      </c>
      <c r="P524" s="1267"/>
      <c r="Q524" s="483"/>
      <c r="R524" s="36"/>
      <c r="S524" s="482"/>
      <c r="T524" s="711"/>
      <c r="U524" s="711"/>
      <c r="V524" s="711"/>
      <c r="W524" s="711"/>
      <c r="X524" s="711"/>
      <c r="Y524" s="711"/>
      <c r="Z524" s="711"/>
      <c r="AA524" s="711"/>
      <c r="AB524" s="36"/>
    </row>
    <row r="525" spans="1:28" ht="14">
      <c r="A525" s="36"/>
      <c r="B525" s="341"/>
      <c r="C525" s="337" t="str">
        <f t="shared" si="96"/>
        <v>PP</v>
      </c>
      <c r="D525" s="450">
        <f t="shared" si="97"/>
        <v>1</v>
      </c>
      <c r="E525" s="450" t="str">
        <f t="shared" si="98"/>
        <v>Steam Turbine</v>
      </c>
      <c r="F525" s="1033">
        <f t="array" ref="F525">SUM(IFERROR(($A$474:$A$508=$A$518)* ($C$474:$C$508=$C525)*($D$474:$D$508=$D525)*(F$474:F$508),0))</f>
        <v>7.3969092730209995</v>
      </c>
      <c r="G525" s="1034">
        <f t="array" ref="G525">SUM(IFERROR(($A$474:$A$508=$A$518)* ($C$474:$C$508=$C525)*($D$474:$D$508=$D525)*(G$474:G$508),0))</f>
        <v>7.3969092730209995</v>
      </c>
      <c r="H525" s="332">
        <f t="array" ref="H525">SUM(IFERROR(($A$474:$A$508=$A$518)* ($C$474:$C$508=$C525)*($D$474:$D$508=$D525)*(H$474:H$508),0))</f>
        <v>7.3969092730209995</v>
      </c>
      <c r="I525" s="332">
        <f t="array" ref="I525">SUM(IFERROR(($A$474:$A$508=$A$518)* ($C$474:$C$508=$C525)*($D$474:$D$508=$D525)*(I$474:I$508),0))</f>
        <v>7.3969092730209995</v>
      </c>
      <c r="J525" s="332">
        <f t="array" ref="J525">SUM(IFERROR(($A$474:$A$508=$A$518)* ($C$474:$C$508=$C525)*($D$474:$D$508=$D525)*(J$474:J$508),0))</f>
        <v>7.3969092730209995</v>
      </c>
      <c r="K525" s="332">
        <f t="array" ref="K525">SUM(IFERROR(($A$474:$A$508=$A$518)* ($C$474:$C$508=$C525)*($D$474:$D$508=$D525)*(K$474:K$508),0))</f>
        <v>7.3969092730209995</v>
      </c>
      <c r="L525" s="332">
        <f t="array" ref="L525">SUM(IFERROR(($A$474:$A$508=$A$518)* ($C$474:$C$508=$C525)*($D$474:$D$508=$D525)*(L$474:L$508),0))</f>
        <v>7.3969092730209995</v>
      </c>
      <c r="M525" s="332">
        <f t="array" ref="M525">SUM(IFERROR(($A$474:$A$508=$A$518)* ($C$474:$C$508=$C525)*($D$474:$D$508=$D525)*(M$474:M$508),0))</f>
        <v>7.3969092730209995</v>
      </c>
      <c r="N525" s="332">
        <f t="array" ref="N525">SUM(IFERROR(($A$474:$A$508=$A$518)* ($C$474:$C$508=$C525)*($D$474:$D$508=$D525)*(N$474:N$508),0))</f>
        <v>7.3969092730209995</v>
      </c>
      <c r="O525" s="332">
        <f t="array" ref="O525">SUM(IFERROR(($A$474:$A$508=$A$518)* ($C$474:$C$508=$C525)*($D$474:$D$508=$D525)*(O$474:O$508),0))</f>
        <v>7.3969092730209995</v>
      </c>
      <c r="P525" s="1267"/>
      <c r="Q525" s="483"/>
      <c r="R525" s="36"/>
      <c r="S525" s="482"/>
      <c r="T525" s="711"/>
      <c r="U525" s="711"/>
      <c r="V525" s="711"/>
      <c r="W525" s="711"/>
      <c r="X525" s="711"/>
      <c r="Y525" s="711"/>
      <c r="Z525" s="711"/>
      <c r="AA525" s="711"/>
      <c r="AB525" s="36"/>
    </row>
    <row r="526" spans="1:28" ht="14">
      <c r="A526" s="36"/>
      <c r="B526" s="341"/>
      <c r="C526" s="1583" t="str">
        <f t="shared" si="96"/>
        <v>OT</v>
      </c>
      <c r="D526" s="470">
        <f t="shared" si="97"/>
        <v>1</v>
      </c>
      <c r="E526" s="470" t="str">
        <f t="shared" si="98"/>
        <v>Steam Turbine</v>
      </c>
      <c r="F526" s="84">
        <f t="array" ref="F526">SUM(IFERROR(($A$474:$A$508=$A$518)* ($C$474:$C$508=$C526)*($D$474:$D$508=$D526)*(F$474:F$508),0))</f>
        <v>0</v>
      </c>
      <c r="G526" s="1229">
        <f t="array" ref="G526">SUM(IFERROR(($A$474:$A$508=$A$518)* ($C$474:$C$508=$C526)*($D$474:$D$508=$D526)*(G$474:G$508),0))</f>
        <v>0</v>
      </c>
      <c r="H526" s="710">
        <f t="array" ref="H526">SUM(IFERROR(($A$474:$A$508=$A$518)* ($C$474:$C$508=$C526)*($D$474:$D$508=$D526)*(H$474:H$508),0))</f>
        <v>0</v>
      </c>
      <c r="I526" s="710">
        <f t="array" ref="I526">SUM(IFERROR(($A$474:$A$508=$A$518)* ($C$474:$C$508=$C526)*($D$474:$D$508=$D526)*(I$474:I$508),0))</f>
        <v>0</v>
      </c>
      <c r="J526" s="710">
        <f t="array" ref="J526">SUM(IFERROR(($A$474:$A$508=$A$518)* ($C$474:$C$508=$C526)*($D$474:$D$508=$D526)*(J$474:J$508),0))</f>
        <v>0</v>
      </c>
      <c r="K526" s="710">
        <f t="array" ref="K526">SUM(IFERROR(($A$474:$A$508=$A$518)* ($C$474:$C$508=$C526)*($D$474:$D$508=$D526)*(K$474:K$508),0))</f>
        <v>0</v>
      </c>
      <c r="L526" s="710">
        <f t="array" ref="L526">SUM(IFERROR(($A$474:$A$508=$A$518)* ($C$474:$C$508=$C526)*($D$474:$D$508=$D526)*(L$474:L$508),0))</f>
        <v>0</v>
      </c>
      <c r="M526" s="710">
        <f t="array" ref="M526">SUM(IFERROR(($A$474:$A$508=$A$518)* ($C$474:$C$508=$C526)*($D$474:$D$508=$D526)*(M$474:M$508),0))</f>
        <v>0</v>
      </c>
      <c r="N526" s="710">
        <f t="array" ref="N526">SUM(IFERROR(($A$474:$A$508=$A$518)* ($C$474:$C$508=$C526)*($D$474:$D$508=$D526)*(N$474:N$508),0))</f>
        <v>0</v>
      </c>
      <c r="O526" s="710">
        <f t="array" ref="O526">SUM(IFERROR(($A$474:$A$508=$A$518)* ($C$474:$C$508=$C526)*($D$474:$D$508=$D526)*(O$474:O$508),0))</f>
        <v>0</v>
      </c>
      <c r="P526" s="1267"/>
      <c r="Q526" s="483"/>
      <c r="R526" s="36"/>
      <c r="S526" s="482"/>
      <c r="T526" s="711"/>
      <c r="U526" s="711"/>
      <c r="V526" s="711"/>
      <c r="W526" s="711"/>
      <c r="X526" s="711"/>
      <c r="Y526" s="711"/>
      <c r="Z526" s="711"/>
      <c r="AA526" s="711"/>
      <c r="AB526" s="36"/>
    </row>
    <row r="527" spans="1:28" ht="14">
      <c r="B527" s="341"/>
      <c r="C527" s="336"/>
      <c r="D527" s="336"/>
      <c r="E527" s="386"/>
      <c r="F527" s="336"/>
      <c r="G527" s="294"/>
      <c r="H527" s="332"/>
      <c r="I527" s="332"/>
      <c r="J527" s="332"/>
      <c r="K527" s="332"/>
      <c r="L527" s="332"/>
      <c r="M527" s="332"/>
      <c r="N527" s="332"/>
      <c r="O527" s="332"/>
      <c r="P527" s="709"/>
      <c r="Q527" s="483"/>
      <c r="R527" s="36"/>
      <c r="S527" s="36"/>
      <c r="T527" s="36"/>
      <c r="U527" s="36"/>
      <c r="V527" s="36"/>
      <c r="W527" s="36"/>
      <c r="X527" s="36"/>
      <c r="Y527" s="36"/>
      <c r="Z527" s="36"/>
      <c r="AA527" s="36"/>
      <c r="AB527" s="36"/>
    </row>
    <row r="528" spans="1:28" s="1456" customFormat="1">
      <c r="B528" s="1655">
        <v>4</v>
      </c>
      <c r="C528" s="1633" t="s">
        <v>2477</v>
      </c>
      <c r="D528" s="1653" t="str">
        <f xml:space="preserve"> "Trajectory: "&amp;$E$10</f>
        <v>Trajectory: 1</v>
      </c>
      <c r="E528" s="1633"/>
      <c r="F528" s="1633"/>
      <c r="G528" s="1633"/>
      <c r="H528" s="1634"/>
      <c r="I528" s="1634"/>
      <c r="J528" s="1634"/>
      <c r="K528" s="1634"/>
      <c r="L528" s="1634"/>
      <c r="M528" s="1634"/>
      <c r="N528" s="1634"/>
      <c r="O528" s="1634"/>
      <c r="P528" s="709"/>
      <c r="X528" s="165"/>
      <c r="Y528" s="165"/>
    </row>
    <row r="529" spans="2:29" s="1456" customFormat="1" ht="9.75" customHeight="1">
      <c r="B529" s="106"/>
      <c r="C529" s="1652"/>
      <c r="D529" s="1652"/>
      <c r="E529" s="1633"/>
      <c r="F529" s="1633"/>
      <c r="G529" s="1633"/>
      <c r="H529" s="1634"/>
      <c r="I529" s="1634"/>
      <c r="J529" s="1634"/>
      <c r="K529" s="1634"/>
      <c r="L529" s="1634"/>
      <c r="M529" s="1634"/>
      <c r="N529" s="1634"/>
      <c r="O529" s="1634"/>
      <c r="P529" s="709"/>
      <c r="X529" s="165"/>
      <c r="Y529" s="165"/>
    </row>
    <row r="530" spans="2:29" s="1456" customFormat="1" ht="15">
      <c r="B530" s="106"/>
      <c r="C530" s="1635"/>
      <c r="D530" s="1636"/>
      <c r="E530" s="1637" t="s">
        <v>32</v>
      </c>
      <c r="F530" s="1637"/>
      <c r="G530" s="1649"/>
      <c r="H530" s="1638" t="str">
        <f t="array" ref="H530:O530">TRANSPOSE(IND.Sector_ID)</f>
        <v>MI</v>
      </c>
      <c r="I530" s="1638" t="str">
        <v>IS</v>
      </c>
      <c r="J530" s="1638" t="str">
        <v>CP</v>
      </c>
      <c r="K530" s="1638" t="str">
        <v>NF</v>
      </c>
      <c r="L530" s="1638" t="str">
        <v>NM</v>
      </c>
      <c r="M530" s="1638" t="str">
        <v>FB</v>
      </c>
      <c r="N530" s="1638" t="str">
        <v>PP</v>
      </c>
      <c r="O530" s="1638" t="str">
        <v>OT</v>
      </c>
      <c r="P530" s="709"/>
      <c r="X530" s="165"/>
      <c r="Y530" s="165"/>
    </row>
    <row r="531" spans="2:29" s="1456" customFormat="1" ht="26.25" customHeight="1">
      <c r="B531" s="106"/>
      <c r="C531" s="1639" t="s">
        <v>58</v>
      </c>
      <c r="D531" s="1639" t="s">
        <v>59</v>
      </c>
      <c r="E531" s="1639" t="s">
        <v>1349</v>
      </c>
      <c r="F531" s="1640" t="s">
        <v>1354</v>
      </c>
      <c r="G531" s="1639" t="s">
        <v>1343</v>
      </c>
      <c r="H531" s="1641" t="str">
        <f>INDEX($D$33:$D$40,MATCH(H530,$C$33:$C$40,0))</f>
        <v>Mining SIC2</v>
      </c>
      <c r="I531" s="1641" t="str">
        <f t="shared" ref="I531:O531" si="99">INDEX($D$33:$D$40,MATCH(I530,$C$33:$C$40,0))</f>
        <v>Iron  &amp; Steel  - 351</v>
      </c>
      <c r="J531" s="1641" t="str">
        <f t="shared" si="99"/>
        <v>Chemicals  -33</v>
      </c>
      <c r="K531" s="1641" t="str">
        <f t="shared" si="99"/>
        <v>Non-Ferrous metals  - 352</v>
      </c>
      <c r="L531" s="1641" t="str">
        <f t="shared" si="99"/>
        <v>N.M.M Products  -34</v>
      </c>
      <c r="M531" s="1641" t="str">
        <f t="shared" si="99"/>
        <v>Food, Beverage &amp; Tabacco  - 30</v>
      </c>
      <c r="N531" s="1641" t="str">
        <f t="shared" si="99"/>
        <v>Pulp &amp; Paper Products  -323</v>
      </c>
      <c r="O531" s="1641" t="str">
        <f t="shared" si="99"/>
        <v>Other</v>
      </c>
      <c r="P531" s="709"/>
      <c r="X531" s="165"/>
      <c r="Y531" s="165"/>
    </row>
    <row r="532" spans="2:29" s="1456" customFormat="1" ht="15">
      <c r="B532" s="106"/>
      <c r="C532" s="1642" t="str">
        <f>INDEX(EF[UK Vector],MATCH(G532,EF[SATIM Code],0))</f>
        <v>V.03</v>
      </c>
      <c r="D532" s="1642" t="str">
        <f>INDEX(Vectors[Description], MATCH($C532, Vectors[Code], 0))</f>
        <v>Solid hydrocarbons</v>
      </c>
      <c r="E532" s="1643" t="s">
        <v>1316</v>
      </c>
      <c r="F532" s="1644" t="str">
        <f t="shared" ref="F532:F539" si="100">INDEX(IND.Sectors_Demand_ID,MATCH(E532,IND.Sectors_Demand,0))</f>
        <v>S</v>
      </c>
      <c r="G532" s="1645" t="s">
        <v>882</v>
      </c>
      <c r="H532" s="1646">
        <f>1-SUM(H533:H539)</f>
        <v>1</v>
      </c>
      <c r="I532" s="1646">
        <f t="shared" ref="I532:O532" si="101">1-SUM(I533:I539)</f>
        <v>1</v>
      </c>
      <c r="J532" s="1646">
        <f t="shared" si="101"/>
        <v>0.43527586883102631</v>
      </c>
      <c r="K532" s="1646">
        <f t="shared" si="101"/>
        <v>1</v>
      </c>
      <c r="L532" s="1646">
        <f t="shared" si="101"/>
        <v>1</v>
      </c>
      <c r="M532" s="1646">
        <f>1-SUM(M533:M539)</f>
        <v>0.16666666666666663</v>
      </c>
      <c r="N532" s="1646">
        <f t="shared" si="101"/>
        <v>0.32673123370892077</v>
      </c>
      <c r="O532" s="1646">
        <f t="shared" si="101"/>
        <v>1</v>
      </c>
      <c r="P532" s="709"/>
      <c r="X532" s="165"/>
      <c r="Y532" s="165"/>
    </row>
    <row r="533" spans="2:29" s="1456" customFormat="1" ht="15">
      <c r="B533" s="106"/>
      <c r="C533" s="1642" t="str">
        <f>INDEX(EF[UK Vector],MATCH(G533,EF[SATIM Code],0))</f>
        <v>V.05</v>
      </c>
      <c r="D533" s="1642" t="str">
        <f>INDEX(Vectors[Description], MATCH($C533, Vectors[Code], 0))</f>
        <v>Gaseous hydrocarbons</v>
      </c>
      <c r="E533" s="1643" t="s">
        <v>1316</v>
      </c>
      <c r="F533" s="1644" t="str">
        <f t="shared" si="100"/>
        <v>S</v>
      </c>
      <c r="G533" s="1645" t="s">
        <v>869</v>
      </c>
      <c r="H533" s="1646">
        <f t="array" ref="H533">SUM(IFERROR(($F$53:$M$53=H$530)*($D$56:$D$58=$E$10)*($F$56:$M$58),0))</f>
        <v>0</v>
      </c>
      <c r="I533" s="1646">
        <f t="array" ref="I533">SUM(IFERROR(($F$53:$M$53=I$530)*($D$56:$D$58=$E$10)*($F$56:$M$58),0))</f>
        <v>0</v>
      </c>
      <c r="J533" s="1646">
        <f t="array" ref="J533">MAX(SUM(IFERROR(($F$53:$M$53=J$530)*($D$56:$D$58=$E$10)*($F$56:$M$58),0)),J164)</f>
        <v>0.56472413116897369</v>
      </c>
      <c r="K533" s="1646">
        <f t="array" ref="K533">SUM(IFERROR(($F$53:$M$53=K$530)*($D$56:$D$58=$E$10)*($F$56:$M$58),0))</f>
        <v>0</v>
      </c>
      <c r="L533" s="1646">
        <f t="array" ref="L533">SUM(IFERROR(($F$53:$M$53=L$530)*($D$56:$D$58=$E$10)*($F$56:$M$58),0))</f>
        <v>0</v>
      </c>
      <c r="M533" s="1646">
        <f t="array" ref="M533">MIN(SUM(IFERROR(($F$53:$M$53=M$530)*($D$56:$D$58=$E$10)*($F$56:$M$58),0)),1-M538)</f>
        <v>0</v>
      </c>
      <c r="N533" s="1646">
        <f t="array" ref="N533">MIN(SUM(IFERROR(($F$53:$M$53=N$530)*($D$56:$D$58=$E$10)*($F$56:$M$58),0)),1-N537)</f>
        <v>0</v>
      </c>
      <c r="O533" s="1646">
        <f t="array" ref="O533">SUM(IFERROR(($F$53:$M$53=O$530)*($D$56:$D$58=$E$10)*($F$56:$M$58),0))</f>
        <v>0</v>
      </c>
      <c r="P533" s="709"/>
      <c r="R533" s="601"/>
      <c r="X533" s="165"/>
      <c r="Y533" s="165"/>
    </row>
    <row r="534" spans="2:29" s="1456" customFormat="1" ht="15">
      <c r="B534" s="106"/>
      <c r="C534" s="1642" t="str">
        <f>INDEX(EF[UK Vector],MATCH(G534,EF[SATIM Code],0))</f>
        <v>V.04</v>
      </c>
      <c r="D534" s="1642" t="str">
        <f>INDEX(Vectors[Description], MATCH($C534, Vectors[Code], 0))</f>
        <v>Liquid hydrocarbons</v>
      </c>
      <c r="E534" s="1643" t="s">
        <v>1316</v>
      </c>
      <c r="F534" s="1644" t="str">
        <f t="shared" si="100"/>
        <v>S</v>
      </c>
      <c r="G534" s="1645" t="s">
        <v>885</v>
      </c>
      <c r="H534" s="1646">
        <v>0</v>
      </c>
      <c r="I534" s="1646">
        <v>0</v>
      </c>
      <c r="J534" s="1646">
        <v>0</v>
      </c>
      <c r="K534" s="1646">
        <v>0</v>
      </c>
      <c r="L534" s="1646">
        <v>0</v>
      </c>
      <c r="M534" s="1646">
        <v>0</v>
      </c>
      <c r="N534" s="1646">
        <v>0</v>
      </c>
      <c r="O534" s="1646">
        <v>0</v>
      </c>
      <c r="P534" s="709"/>
      <c r="X534" s="165"/>
      <c r="Y534" s="165"/>
    </row>
    <row r="535" spans="2:29" s="1456" customFormat="1" ht="15">
      <c r="B535" s="106"/>
      <c r="C535" s="1642" t="str">
        <f>INDEX(EF[UK Vector],MATCH(G535,EF[SATIM Code],0))</f>
        <v>V.04</v>
      </c>
      <c r="D535" s="1642" t="str">
        <f>INDEX(Vectors[Description], MATCH($C535, Vectors[Code], 0))</f>
        <v>Liquid hydrocarbons</v>
      </c>
      <c r="E535" s="1643" t="s">
        <v>1316</v>
      </c>
      <c r="F535" s="1644" t="str">
        <f t="shared" si="100"/>
        <v>S</v>
      </c>
      <c r="G535" s="1645" t="s">
        <v>887</v>
      </c>
      <c r="H535" s="1646">
        <v>0</v>
      </c>
      <c r="I535" s="1646">
        <v>0</v>
      </c>
      <c r="J535" s="1646">
        <v>0</v>
      </c>
      <c r="K535" s="1646">
        <v>0</v>
      </c>
      <c r="L535" s="1646">
        <v>0</v>
      </c>
      <c r="M535" s="1646">
        <v>0</v>
      </c>
      <c r="N535" s="1646">
        <v>0</v>
      </c>
      <c r="O535" s="1646">
        <v>0</v>
      </c>
      <c r="P535" s="709"/>
      <c r="X535" s="165"/>
      <c r="Y535" s="165"/>
    </row>
    <row r="536" spans="2:29" s="1456" customFormat="1" ht="15">
      <c r="B536" s="106"/>
      <c r="C536" s="1642" t="str">
        <f>INDEX(EF[UK Vector],MATCH(G536,EF[SATIM Code],0))</f>
        <v>V.01</v>
      </c>
      <c r="D536" s="1642" t="str">
        <f>INDEX(Vectors[Description], MATCH($C536, Vectors[Code], 0))</f>
        <v>Electricity (delivered to end user)</v>
      </c>
      <c r="E536" s="1643" t="s">
        <v>1316</v>
      </c>
      <c r="F536" s="1644" t="str">
        <f t="shared" si="100"/>
        <v>S</v>
      </c>
      <c r="G536" s="1645" t="s">
        <v>879</v>
      </c>
      <c r="H536" s="1646">
        <v>0</v>
      </c>
      <c r="I536" s="1646">
        <v>0</v>
      </c>
      <c r="J536" s="1646">
        <v>0</v>
      </c>
      <c r="K536" s="1646">
        <v>0</v>
      </c>
      <c r="L536" s="1646">
        <v>0</v>
      </c>
      <c r="M536" s="1646">
        <v>0</v>
      </c>
      <c r="N536" s="1646">
        <v>0</v>
      </c>
      <c r="O536" s="1646">
        <v>0</v>
      </c>
      <c r="P536" s="709"/>
      <c r="X536" s="165"/>
      <c r="Y536" s="165"/>
    </row>
    <row r="537" spans="2:29" s="1456" customFormat="1" ht="15">
      <c r="B537" s="106"/>
      <c r="C537" s="1642" t="str">
        <f>INDEX(EF[UK Vector],MATCH(G537,EF[SATIM Code],0))</f>
        <v>V.09</v>
      </c>
      <c r="D537" s="1642" t="str">
        <f>INDEX(Vectors[Description], MATCH($C537, Vectors[Code], 0))</f>
        <v>Dry biomass and waste</v>
      </c>
      <c r="E537" s="1643" t="s">
        <v>1316</v>
      </c>
      <c r="F537" s="1644" t="str">
        <f t="shared" si="100"/>
        <v>S</v>
      </c>
      <c r="G537" s="1645" t="s">
        <v>888</v>
      </c>
      <c r="H537" s="1646">
        <v>0</v>
      </c>
      <c r="I537" s="1646">
        <v>0</v>
      </c>
      <c r="J537" s="1646">
        <v>0</v>
      </c>
      <c r="K537" s="1646">
        <v>0</v>
      </c>
      <c r="L537" s="1646">
        <v>0</v>
      </c>
      <c r="M537" s="1646">
        <v>0</v>
      </c>
      <c r="N537" s="1647">
        <f>N210</f>
        <v>0.67326876629107923</v>
      </c>
      <c r="O537" s="1646">
        <v>0</v>
      </c>
      <c r="P537" s="709"/>
      <c r="X537" s="165"/>
      <c r="Y537" s="165"/>
    </row>
    <row r="538" spans="2:29" s="1456" customFormat="1" ht="15">
      <c r="B538" s="106"/>
      <c r="C538" s="1642" t="str">
        <f>INDEX(EF[UK Vector],MATCH(G538,EF[SATIM Code],0))</f>
        <v>V.09</v>
      </c>
      <c r="D538" s="1642" t="str">
        <f>INDEX(Vectors[Description], MATCH($C538, Vectors[Code], 0))</f>
        <v>Dry biomass and waste</v>
      </c>
      <c r="E538" s="1643" t="s">
        <v>1316</v>
      </c>
      <c r="F538" s="1644" t="str">
        <f t="shared" si="100"/>
        <v>S</v>
      </c>
      <c r="G538" s="1645" t="s">
        <v>889</v>
      </c>
      <c r="H538" s="1646">
        <v>0</v>
      </c>
      <c r="I538" s="1646">
        <v>0</v>
      </c>
      <c r="J538" s="1646">
        <v>0</v>
      </c>
      <c r="K538" s="1646">
        <v>0</v>
      </c>
      <c r="L538" s="1646">
        <v>0</v>
      </c>
      <c r="M538" s="1647">
        <f>M211</f>
        <v>0.83333333333333337</v>
      </c>
      <c r="N538" s="1646">
        <v>0</v>
      </c>
      <c r="O538" s="1646">
        <v>0</v>
      </c>
      <c r="P538" s="709"/>
      <c r="X538" s="165"/>
      <c r="Y538" s="165"/>
    </row>
    <row r="539" spans="2:29" s="1456" customFormat="1" ht="15">
      <c r="B539" s="106"/>
      <c r="C539" s="1642" t="str">
        <f>INDEX(EF[UK Vector],MATCH(G539,EF[SATIM Code],0))</f>
        <v>V.16</v>
      </c>
      <c r="D539" s="1642" t="str">
        <f>INDEX(Vectors[Description], MATCH($C539, Vectors[Code], 0))</f>
        <v>Other Waste</v>
      </c>
      <c r="E539" s="1643" t="s">
        <v>1316</v>
      </c>
      <c r="F539" s="1644" t="str">
        <f t="shared" si="100"/>
        <v>S</v>
      </c>
      <c r="G539" s="1645" t="s">
        <v>890</v>
      </c>
      <c r="H539" s="1646">
        <v>0</v>
      </c>
      <c r="I539" s="1646">
        <v>0</v>
      </c>
      <c r="J539" s="1646">
        <v>0</v>
      </c>
      <c r="K539" s="1646">
        <v>0</v>
      </c>
      <c r="L539" s="1646">
        <v>0</v>
      </c>
      <c r="M539" s="1646">
        <v>0</v>
      </c>
      <c r="N539" s="1646">
        <v>0</v>
      </c>
      <c r="O539" s="1646">
        <v>0</v>
      </c>
      <c r="P539" s="709"/>
      <c r="X539" s="165"/>
      <c r="Y539" s="165"/>
    </row>
    <row r="540" spans="2:29" s="1456" customFormat="1" ht="15">
      <c r="B540" s="106"/>
      <c r="C540" s="1632"/>
      <c r="D540" s="1632"/>
      <c r="E540" s="1632"/>
      <c r="F540" s="1632"/>
      <c r="G540" s="1632"/>
      <c r="H540" s="1648"/>
      <c r="I540" s="1648"/>
      <c r="J540" s="1648"/>
      <c r="K540" s="1648"/>
      <c r="L540" s="1648"/>
      <c r="M540" s="1648"/>
      <c r="N540" s="1648"/>
      <c r="O540" s="1648"/>
      <c r="P540" s="709"/>
      <c r="X540" s="165"/>
      <c r="Y540" s="165"/>
    </row>
    <row r="541" spans="2:29" s="1456" customFormat="1" ht="14">
      <c r="B541" s="341"/>
      <c r="C541" s="336"/>
      <c r="D541" s="336"/>
      <c r="E541" s="386"/>
      <c r="F541" s="336"/>
      <c r="G541" s="294"/>
      <c r="H541" s="332"/>
      <c r="I541" s="332"/>
      <c r="J541" s="332"/>
      <c r="K541" s="332"/>
      <c r="L541" s="332"/>
      <c r="M541" s="332"/>
      <c r="N541" s="332"/>
      <c r="O541" s="332"/>
      <c r="P541" s="709"/>
      <c r="Q541" s="1372"/>
      <c r="R541" s="1365"/>
      <c r="S541" s="1365"/>
      <c r="T541" s="1365"/>
      <c r="U541" s="1365"/>
      <c r="V541" s="1365"/>
      <c r="W541" s="1365"/>
      <c r="X541" s="1365"/>
      <c r="Y541" s="1365"/>
      <c r="Z541" s="1365"/>
      <c r="AA541" s="1365"/>
      <c r="AB541" s="1365"/>
    </row>
    <row r="542" spans="2:29" ht="14">
      <c r="B542" s="845">
        <v>5</v>
      </c>
      <c r="C542" s="707" t="s">
        <v>2237</v>
      </c>
      <c r="D542" s="845"/>
      <c r="E542" s="171" t="str">
        <f xml:space="preserve"> "Trajectory: "&amp;$E$10</f>
        <v>Trajectory: 1</v>
      </c>
      <c r="F542" s="336"/>
      <c r="G542" s="294"/>
      <c r="H542" s="336"/>
      <c r="I542" s="336"/>
      <c r="J542" s="336"/>
      <c r="K542" s="336"/>
      <c r="L542" s="336"/>
      <c r="M542" s="336"/>
      <c r="N542" s="336"/>
      <c r="O542" s="336"/>
      <c r="P542" s="691"/>
      <c r="Q542" s="483"/>
      <c r="Z542" s="483"/>
      <c r="AA542" s="483"/>
      <c r="AB542" s="483"/>
      <c r="AC542" s="483"/>
    </row>
    <row r="543" spans="2:29">
      <c r="B543" s="845"/>
      <c r="C543" s="339"/>
      <c r="D543" s="707"/>
      <c r="E543" s="707"/>
      <c r="F543" s="188"/>
      <c r="G543" s="818"/>
      <c r="H543" s="698"/>
      <c r="I543" s="698"/>
      <c r="J543" s="698"/>
      <c r="K543" s="698"/>
      <c r="L543" s="698"/>
      <c r="M543" s="698"/>
      <c r="N543" s="698"/>
      <c r="O543" s="698"/>
      <c r="P543" s="691"/>
      <c r="Q543" s="483"/>
      <c r="R543" s="36"/>
      <c r="S543" s="36"/>
      <c r="T543" s="36"/>
      <c r="U543" s="36"/>
      <c r="V543" s="36"/>
      <c r="W543" s="36"/>
      <c r="X543" s="36"/>
      <c r="Y543" s="36"/>
      <c r="Z543" s="36"/>
      <c r="AA543" s="483"/>
      <c r="AB543" s="483"/>
      <c r="AC543" s="483"/>
    </row>
    <row r="544" spans="2:29" ht="14">
      <c r="B544" s="341"/>
      <c r="C544" s="457"/>
      <c r="D544" s="705"/>
      <c r="E544" s="704"/>
      <c r="F544" s="703"/>
      <c r="G544" s="702" t="s">
        <v>1343</v>
      </c>
      <c r="H544" s="450" t="s">
        <v>882</v>
      </c>
      <c r="I544" s="450" t="s">
        <v>869</v>
      </c>
      <c r="J544" s="450" t="s">
        <v>885</v>
      </c>
      <c r="K544" s="450" t="s">
        <v>887</v>
      </c>
      <c r="L544" s="450" t="s">
        <v>879</v>
      </c>
      <c r="M544" s="450" t="s">
        <v>888</v>
      </c>
      <c r="N544" s="450" t="s">
        <v>889</v>
      </c>
      <c r="O544" s="450" t="s">
        <v>890</v>
      </c>
      <c r="P544" s="691"/>
      <c r="Q544" s="708"/>
      <c r="R544" s="708"/>
      <c r="S544" s="708"/>
      <c r="T544" s="708"/>
      <c r="U544" s="708"/>
      <c r="V544" s="708"/>
      <c r="W544" s="708"/>
      <c r="X544" s="36"/>
      <c r="Y544" s="36"/>
      <c r="Z544" s="36"/>
      <c r="AA544" s="483"/>
      <c r="AB544" s="483"/>
      <c r="AC544" s="483"/>
    </row>
    <row r="545" spans="1:26">
      <c r="A545" s="452"/>
      <c r="B545" s="341"/>
      <c r="C545" s="695"/>
      <c r="D545" s="702"/>
      <c r="E545" s="695"/>
      <c r="F545" s="701"/>
      <c r="G545" s="700" t="s">
        <v>58</v>
      </c>
      <c r="H545" s="450" t="str">
        <f>INDEX(EF[UK Vector],MATCH(H544,EF[SATIM Code],0))</f>
        <v>V.03</v>
      </c>
      <c r="I545" s="450" t="str">
        <f>INDEX(EF[UK Vector],MATCH(I544,EF[SATIM Code],0))</f>
        <v>V.05</v>
      </c>
      <c r="J545" s="450" t="str">
        <f>INDEX(EF[UK Vector],MATCH(J544,EF[SATIM Code],0))</f>
        <v>V.04</v>
      </c>
      <c r="K545" s="450" t="str">
        <f>INDEX(EF[UK Vector],MATCH(K544,EF[SATIM Code],0))</f>
        <v>V.04</v>
      </c>
      <c r="L545" s="450" t="str">
        <f>INDEX(EF[UK Vector],MATCH(L544,EF[SATIM Code],0))</f>
        <v>V.01</v>
      </c>
      <c r="M545" s="450" t="str">
        <f>INDEX(EF[UK Vector],MATCH(M544,EF[SATIM Code],0))</f>
        <v>V.09</v>
      </c>
      <c r="N545" s="450" t="str">
        <f>INDEX(EF[UK Vector],MATCH(N544,EF[SATIM Code],0))</f>
        <v>V.09</v>
      </c>
      <c r="O545" s="450" t="str">
        <f>INDEX(EF[UK Vector],MATCH(O544,EF[SATIM Code],0))</f>
        <v>V.16</v>
      </c>
      <c r="P545" s="691"/>
      <c r="Q545" s="708"/>
      <c r="R545" s="708"/>
      <c r="S545" s="708"/>
      <c r="T545" s="708"/>
      <c r="U545" s="708"/>
      <c r="V545" s="708"/>
      <c r="W545" s="708"/>
      <c r="X545" s="36"/>
      <c r="Y545" s="36"/>
      <c r="Z545" s="36"/>
    </row>
    <row r="546" spans="1:26" ht="26">
      <c r="A546" s="452"/>
      <c r="B546" s="338"/>
      <c r="C546" s="83" t="s">
        <v>32</v>
      </c>
      <c r="D546" s="697" t="s">
        <v>59</v>
      </c>
      <c r="E546" s="699"/>
      <c r="F546" s="698"/>
      <c r="G546" s="697" t="s">
        <v>59</v>
      </c>
      <c r="H546" s="696" t="str">
        <f>INDEX(Vectors[Description], MATCH(H$545, Vectors[Code], 0))</f>
        <v>Solid hydrocarbons</v>
      </c>
      <c r="I546" s="696" t="str">
        <f>INDEX(Vectors[Description], MATCH(I$545, Vectors[Code], 0))</f>
        <v>Gaseous hydrocarbons</v>
      </c>
      <c r="J546" s="696" t="str">
        <f>INDEX(Vectors[Description], MATCH(J$545, Vectors[Code], 0))</f>
        <v>Liquid hydrocarbons</v>
      </c>
      <c r="K546" s="696" t="str">
        <f>INDEX(Vectors[Description], MATCH(K$545, Vectors[Code], 0))</f>
        <v>Liquid hydrocarbons</v>
      </c>
      <c r="L546" s="696" t="str">
        <f>INDEX(Vectors[Description], MATCH(L$545, Vectors[Code], 0))</f>
        <v>Electricity (delivered to end user)</v>
      </c>
      <c r="M546" s="696" t="str">
        <f>INDEX(Vectors[Description], MATCH(M$545, Vectors[Code], 0))</f>
        <v>Dry biomass and waste</v>
      </c>
      <c r="N546" s="696" t="str">
        <f>INDEX(Vectors[Description], MATCH(N$545, Vectors[Code], 0))</f>
        <v>Dry biomass and waste</v>
      </c>
      <c r="O546" s="696" t="str">
        <f>INDEX(Vectors[Description], MATCH(O$545, Vectors[Code], 0))</f>
        <v>Other Waste</v>
      </c>
      <c r="P546" s="691"/>
      <c r="Q546" s="708"/>
      <c r="R546" s="708"/>
      <c r="S546" s="708"/>
      <c r="T546" s="708"/>
      <c r="U546" s="708"/>
      <c r="V546" s="708"/>
      <c r="W546" s="708"/>
      <c r="X546" s="36"/>
      <c r="Y546" s="36"/>
      <c r="Z546" s="36"/>
    </row>
    <row r="547" spans="1:26">
      <c r="B547" s="845"/>
      <c r="C547" s="171"/>
      <c r="D547" s="171"/>
      <c r="E547" s="171"/>
      <c r="F547" s="171"/>
      <c r="G547" s="171"/>
      <c r="H547" s="171"/>
      <c r="I547" s="171"/>
      <c r="J547" s="171"/>
      <c r="K547" s="171"/>
      <c r="L547" s="171"/>
      <c r="M547" s="171"/>
      <c r="N547" s="171"/>
      <c r="O547" s="171"/>
      <c r="P547" s="171"/>
    </row>
    <row r="548" spans="1:26">
      <c r="A548" s="452">
        <v>2010</v>
      </c>
      <c r="B548" s="341"/>
      <c r="C548" s="337" t="str">
        <f t="shared" ref="C548:D555" si="102">C20</f>
        <v>MI</v>
      </c>
      <c r="D548" s="337" t="str">
        <f t="shared" si="102"/>
        <v>Mining SIC2</v>
      </c>
      <c r="E548" s="556"/>
      <c r="F548" s="981"/>
      <c r="G548" s="450" t="s">
        <v>993</v>
      </c>
      <c r="H548" s="694">
        <f t="shared" ref="H548:H555" si="103">1-SUM(I548:O548)</f>
        <v>0.94093630337573986</v>
      </c>
      <c r="I548" s="694">
        <f>INDEX(I$605:I$612, MATCH($C548,$C$605:$C$612,0))*($A548-Base_Year) + INDEX(I$595:I$602,MATCH($C548,$C$595:$C$602,0))</f>
        <v>5.76127028396256E-2</v>
      </c>
      <c r="J548" s="1036">
        <f t="shared" ref="J548:N555" si="104">INDEX($H$595:$O$602,MATCH($C548,$C$595:$C$602,0),MATCH(J$544,$H$544:$O$544,0))</f>
        <v>1.4497705780728732E-3</v>
      </c>
      <c r="K548" s="1036">
        <f t="shared" si="104"/>
        <v>1.2232065616448326E-6</v>
      </c>
      <c r="L548" s="1036">
        <f t="shared" si="104"/>
        <v>0</v>
      </c>
      <c r="M548" s="1036">
        <f t="shared" si="104"/>
        <v>0</v>
      </c>
      <c r="N548" s="1036">
        <f t="shared" si="104"/>
        <v>0</v>
      </c>
      <c r="O548" s="694">
        <f t="shared" ref="O548:O555" si="105">INDEX(O$605:O$612, MATCH($C548,$C$605:$C$612,0))*($A548-Base_Year) + INDEX(O$595:O$602,MATCH($C548,$C$595:$C$602,0))</f>
        <v>0</v>
      </c>
      <c r="P548" s="691"/>
      <c r="R548" s="693"/>
      <c r="S548" s="693"/>
      <c r="T548" s="693"/>
      <c r="U548" s="693"/>
      <c r="V548" s="693"/>
      <c r="W548" s="693"/>
      <c r="X548" s="36"/>
      <c r="Y548" s="36"/>
      <c r="Z548" s="36"/>
    </row>
    <row r="549" spans="1:26">
      <c r="A549" s="452">
        <v>2010</v>
      </c>
      <c r="B549" s="341"/>
      <c r="C549" s="337" t="str">
        <f t="shared" si="102"/>
        <v>IS</v>
      </c>
      <c r="D549" s="337" t="str">
        <f t="shared" si="102"/>
        <v>Iron  &amp; Steel  - 351</v>
      </c>
      <c r="E549" s="556"/>
      <c r="F549" s="981"/>
      <c r="G549" s="450" t="s">
        <v>993</v>
      </c>
      <c r="H549" s="694">
        <f t="shared" si="103"/>
        <v>0.81179550150849511</v>
      </c>
      <c r="I549" s="694">
        <f t="shared" ref="I549:I555" si="106">INDEX(I$605:I$612, MATCH($C549,$C$605:$C$612,0))*($A549-Base_Year) + INDEX(I$595:I$602,MATCH($C549,$C$595:$C$602,0))</f>
        <v>0.16008611513731411</v>
      </c>
      <c r="J549" s="1036">
        <f t="shared" si="104"/>
        <v>0</v>
      </c>
      <c r="K549" s="1036">
        <f t="shared" si="104"/>
        <v>2.8118383354190805E-2</v>
      </c>
      <c r="L549" s="1036">
        <f t="shared" si="104"/>
        <v>0</v>
      </c>
      <c r="M549" s="1036">
        <f t="shared" si="104"/>
        <v>0</v>
      </c>
      <c r="N549" s="1036">
        <f t="shared" si="104"/>
        <v>0</v>
      </c>
      <c r="O549" s="694">
        <f t="shared" si="105"/>
        <v>0</v>
      </c>
      <c r="P549" s="691"/>
      <c r="R549" s="693"/>
      <c r="S549" s="693"/>
      <c r="T549" s="693"/>
      <c r="U549" s="693"/>
      <c r="V549" s="693"/>
      <c r="W549" s="693"/>
      <c r="X549" s="36"/>
      <c r="Y549" s="36"/>
      <c r="Z549" s="36"/>
    </row>
    <row r="550" spans="1:26">
      <c r="A550" s="452">
        <v>2010</v>
      </c>
      <c r="B550" s="341"/>
      <c r="C550" s="337" t="str">
        <f t="shared" si="102"/>
        <v>CP</v>
      </c>
      <c r="D550" s="337" t="str">
        <f t="shared" si="102"/>
        <v>Chemicals  -33</v>
      </c>
      <c r="E550" s="556"/>
      <c r="F550" s="981"/>
      <c r="G550" s="450" t="s">
        <v>993</v>
      </c>
      <c r="H550" s="694">
        <f t="shared" si="103"/>
        <v>0.431675164034791</v>
      </c>
      <c r="I550" s="694">
        <f t="shared" si="106"/>
        <v>0.56472413116897369</v>
      </c>
      <c r="J550" s="1036">
        <f t="shared" si="104"/>
        <v>0</v>
      </c>
      <c r="K550" s="1036">
        <f t="shared" si="104"/>
        <v>0</v>
      </c>
      <c r="L550" s="1036">
        <f t="shared" si="104"/>
        <v>3.6007047962352988E-3</v>
      </c>
      <c r="M550" s="1036">
        <f t="shared" si="104"/>
        <v>0</v>
      </c>
      <c r="N550" s="1036">
        <f t="shared" si="104"/>
        <v>0</v>
      </c>
      <c r="O550" s="694">
        <f t="shared" si="105"/>
        <v>0</v>
      </c>
      <c r="P550" s="691"/>
      <c r="Q550" s="693"/>
      <c r="R550" s="693"/>
      <c r="S550" s="693"/>
      <c r="T550" s="693"/>
      <c r="U550" s="693"/>
      <c r="V550" s="693"/>
      <c r="W550" s="693"/>
      <c r="X550" s="36"/>
      <c r="Y550" s="36"/>
      <c r="Z550" s="36"/>
    </row>
    <row r="551" spans="1:26">
      <c r="A551" s="452">
        <v>2010</v>
      </c>
      <c r="B551" s="341"/>
      <c r="C551" s="337" t="str">
        <f t="shared" si="102"/>
        <v>NF</v>
      </c>
      <c r="D551" s="337" t="str">
        <f t="shared" si="102"/>
        <v>Non-Ferrous metals  - 352</v>
      </c>
      <c r="E551" s="556"/>
      <c r="F551" s="981"/>
      <c r="G551" s="450" t="s">
        <v>993</v>
      </c>
      <c r="H551" s="694">
        <f t="shared" si="103"/>
        <v>1</v>
      </c>
      <c r="I551" s="694">
        <f t="shared" si="106"/>
        <v>0</v>
      </c>
      <c r="J551" s="1036">
        <f t="shared" si="104"/>
        <v>0</v>
      </c>
      <c r="K551" s="1036">
        <f t="shared" si="104"/>
        <v>0</v>
      </c>
      <c r="L551" s="1036">
        <f t="shared" si="104"/>
        <v>0</v>
      </c>
      <c r="M551" s="1036">
        <f t="shared" si="104"/>
        <v>0</v>
      </c>
      <c r="N551" s="1036">
        <f t="shared" si="104"/>
        <v>0</v>
      </c>
      <c r="O551" s="694">
        <f t="shared" si="105"/>
        <v>0</v>
      </c>
      <c r="P551" s="691"/>
      <c r="Q551" s="693"/>
      <c r="R551" s="693"/>
      <c r="S551" s="693"/>
      <c r="T551" s="693"/>
      <c r="U551" s="693"/>
      <c r="V551" s="693"/>
      <c r="W551" s="693"/>
      <c r="X551" s="36"/>
      <c r="Y551" s="36"/>
      <c r="Z551" s="36"/>
    </row>
    <row r="552" spans="1:26">
      <c r="A552" s="452">
        <v>2010</v>
      </c>
      <c r="B552" s="341"/>
      <c r="C552" s="337" t="str">
        <f t="shared" si="102"/>
        <v>NM</v>
      </c>
      <c r="D552" s="337" t="str">
        <f t="shared" si="102"/>
        <v>N.M.M Products  -34</v>
      </c>
      <c r="E552" s="556"/>
      <c r="F552" s="981"/>
      <c r="G552" s="450" t="s">
        <v>993</v>
      </c>
      <c r="H552" s="694">
        <f t="shared" si="103"/>
        <v>0.859160349749859</v>
      </c>
      <c r="I552" s="694">
        <f t="shared" si="106"/>
        <v>0.14083965025014095</v>
      </c>
      <c r="J552" s="1036">
        <f t="shared" si="104"/>
        <v>0</v>
      </c>
      <c r="K552" s="1036">
        <f t="shared" si="104"/>
        <v>0</v>
      </c>
      <c r="L552" s="1036">
        <f t="shared" si="104"/>
        <v>0</v>
      </c>
      <c r="M552" s="1036">
        <f t="shared" si="104"/>
        <v>0</v>
      </c>
      <c r="N552" s="1036">
        <f t="shared" si="104"/>
        <v>0</v>
      </c>
      <c r="O552" s="694">
        <f t="shared" si="105"/>
        <v>0</v>
      </c>
      <c r="P552" s="691"/>
      <c r="Q552" s="693"/>
      <c r="R552" s="693"/>
      <c r="S552" s="693"/>
      <c r="T552" s="693"/>
      <c r="U552" s="693"/>
      <c r="V552" s="693"/>
      <c r="W552" s="693"/>
      <c r="X552" s="36"/>
      <c r="Y552" s="36"/>
      <c r="Z552" s="36"/>
    </row>
    <row r="553" spans="1:26">
      <c r="A553" s="452">
        <v>2010</v>
      </c>
      <c r="B553" s="341"/>
      <c r="C553" s="337" t="str">
        <f t="shared" si="102"/>
        <v>FB</v>
      </c>
      <c r="D553" s="337" t="str">
        <f t="shared" si="102"/>
        <v>Food, Beverage &amp; Tabacco  - 30</v>
      </c>
      <c r="E553" s="556"/>
      <c r="F553" s="981"/>
      <c r="G553" s="450" t="s">
        <v>993</v>
      </c>
      <c r="H553" s="694">
        <f t="shared" si="103"/>
        <v>0.74136261909567969</v>
      </c>
      <c r="I553" s="694">
        <f t="shared" si="106"/>
        <v>3.5953512850379725E-2</v>
      </c>
      <c r="J553" s="1036">
        <f t="shared" si="104"/>
        <v>0</v>
      </c>
      <c r="K553" s="1036">
        <f t="shared" si="104"/>
        <v>0</v>
      </c>
      <c r="L553" s="1036">
        <f t="shared" si="104"/>
        <v>8.1692213248666292E-3</v>
      </c>
      <c r="M553" s="1036">
        <f t="shared" si="104"/>
        <v>0</v>
      </c>
      <c r="N553" s="1036">
        <f t="shared" si="104"/>
        <v>0.21451464672907403</v>
      </c>
      <c r="O553" s="694">
        <f t="shared" si="105"/>
        <v>0</v>
      </c>
      <c r="P553" s="691"/>
      <c r="Q553" s="693"/>
      <c r="R553" s="693"/>
      <c r="S553" s="693"/>
      <c r="T553" s="693"/>
      <c r="U553" s="693"/>
      <c r="V553" s="693"/>
      <c r="W553" s="693"/>
      <c r="X553" s="36"/>
      <c r="Y553" s="36"/>
      <c r="Z553" s="36"/>
    </row>
    <row r="554" spans="1:26">
      <c r="A554" s="452">
        <v>2010</v>
      </c>
      <c r="B554" s="341"/>
      <c r="C554" s="337" t="str">
        <f t="shared" si="102"/>
        <v>PP</v>
      </c>
      <c r="D554" s="337" t="str">
        <f t="shared" si="102"/>
        <v>Pulp &amp; Paper Products  -323</v>
      </c>
      <c r="E554" s="556"/>
      <c r="F554" s="981"/>
      <c r="G554" s="450" t="s">
        <v>993</v>
      </c>
      <c r="H554" s="694">
        <f t="shared" si="103"/>
        <v>0.6059053103689227</v>
      </c>
      <c r="I554" s="694">
        <f t="shared" si="106"/>
        <v>3.282723441090795E-2</v>
      </c>
      <c r="J554" s="1036">
        <f t="shared" si="104"/>
        <v>0</v>
      </c>
      <c r="K554" s="1036">
        <f t="shared" si="104"/>
        <v>0</v>
      </c>
      <c r="L554" s="1036">
        <f t="shared" si="104"/>
        <v>0</v>
      </c>
      <c r="M554" s="1036">
        <f t="shared" si="104"/>
        <v>0.36126745522016929</v>
      </c>
      <c r="N554" s="1036">
        <f t="shared" si="104"/>
        <v>0</v>
      </c>
      <c r="O554" s="694">
        <f t="shared" si="105"/>
        <v>0</v>
      </c>
      <c r="P554" s="691"/>
      <c r="Q554" s="693"/>
      <c r="R554" s="693"/>
      <c r="S554" s="693"/>
      <c r="T554" s="693"/>
      <c r="U554" s="693"/>
      <c r="V554" s="693"/>
      <c r="W554" s="693"/>
      <c r="X554" s="36"/>
      <c r="Y554" s="36"/>
      <c r="Z554" s="36"/>
    </row>
    <row r="555" spans="1:26">
      <c r="A555" s="452">
        <v>2010</v>
      </c>
      <c r="B555" s="341"/>
      <c r="C555" s="337" t="str">
        <f t="shared" si="102"/>
        <v>OT</v>
      </c>
      <c r="D555" s="337" t="str">
        <f t="shared" si="102"/>
        <v>Other</v>
      </c>
      <c r="E555" s="556"/>
      <c r="F555" s="981"/>
      <c r="G555" s="450" t="s">
        <v>993</v>
      </c>
      <c r="H555" s="694">
        <f t="shared" si="103"/>
        <v>0.93982815966586464</v>
      </c>
      <c r="I555" s="694">
        <f t="shared" si="106"/>
        <v>5.7749322141788295E-2</v>
      </c>
      <c r="J555" s="1036">
        <f t="shared" si="104"/>
        <v>5.8022006042697375E-4</v>
      </c>
      <c r="K555" s="1036">
        <f t="shared" si="104"/>
        <v>2.6024228687779634E-5</v>
      </c>
      <c r="L555" s="1036">
        <f t="shared" si="104"/>
        <v>1.8162739032322635E-3</v>
      </c>
      <c r="M555" s="1036">
        <f t="shared" si="104"/>
        <v>0</v>
      </c>
      <c r="N555" s="1036">
        <f t="shared" si="104"/>
        <v>0</v>
      </c>
      <c r="O555" s="694">
        <f t="shared" si="105"/>
        <v>0</v>
      </c>
      <c r="P555" s="691"/>
      <c r="Q555" s="693"/>
      <c r="R555" s="693"/>
      <c r="S555" s="693"/>
      <c r="T555" s="693"/>
      <c r="U555" s="693"/>
      <c r="V555" s="693"/>
      <c r="W555" s="693"/>
      <c r="X555" s="36"/>
      <c r="Y555" s="36"/>
      <c r="Z555" s="36"/>
    </row>
    <row r="556" spans="1:26">
      <c r="A556" s="452"/>
      <c r="B556" s="341"/>
      <c r="C556" s="336"/>
      <c r="D556" s="336"/>
      <c r="E556" s="556"/>
      <c r="F556" s="981"/>
      <c r="G556" s="450"/>
      <c r="H556" s="694"/>
      <c r="I556" s="694"/>
      <c r="J556" s="1036"/>
      <c r="K556" s="1036"/>
      <c r="L556" s="1036"/>
      <c r="M556" s="1036"/>
      <c r="N556" s="1036"/>
      <c r="O556" s="694"/>
      <c r="P556" s="691"/>
      <c r="Q556" s="693"/>
      <c r="R556" s="693"/>
      <c r="S556" s="693"/>
      <c r="T556" s="693"/>
      <c r="U556" s="693"/>
      <c r="V556" s="693"/>
      <c r="W556" s="693"/>
      <c r="X556" s="36"/>
      <c r="Y556" s="36"/>
      <c r="Z556" s="36"/>
    </row>
    <row r="557" spans="1:26">
      <c r="A557" s="452">
        <v>2020</v>
      </c>
      <c r="B557" s="341"/>
      <c r="C557" s="336" t="str">
        <f>C548</f>
        <v>MI</v>
      </c>
      <c r="D557" s="336" t="str">
        <f t="shared" ref="C557:D564" si="107">D548</f>
        <v>Mining SIC2</v>
      </c>
      <c r="E557" s="556"/>
      <c r="F557" s="981"/>
      <c r="G557" s="450" t="s">
        <v>993</v>
      </c>
      <c r="H557" s="694">
        <f t="shared" ref="H557:H564" si="108">1-SUM(I557:O557)</f>
        <v>0.94093630337573986</v>
      </c>
      <c r="I557" s="694">
        <f t="shared" ref="I557:I564" si="109">INDEX(I$605:I$612, MATCH($C557,$C$605:$C$612,0))*($A557-Base_Year) + INDEX(I$595:I$602,MATCH($C557,$C$595:$C$602,0))</f>
        <v>5.76127028396256E-2</v>
      </c>
      <c r="J557" s="1036">
        <f t="shared" ref="J557:N564" si="110">INDEX($H$595:$O$602,MATCH($C557,$C$595:$C$602,0),MATCH(J$544,$H$544:$O$544,0))</f>
        <v>1.4497705780728732E-3</v>
      </c>
      <c r="K557" s="1036">
        <f t="shared" si="110"/>
        <v>1.2232065616448326E-6</v>
      </c>
      <c r="L557" s="1036">
        <f t="shared" si="110"/>
        <v>0</v>
      </c>
      <c r="M557" s="1036">
        <f t="shared" si="110"/>
        <v>0</v>
      </c>
      <c r="N557" s="1036">
        <f t="shared" si="110"/>
        <v>0</v>
      </c>
      <c r="O557" s="694">
        <f t="shared" ref="O557:O564" si="111">INDEX(O$605:O$612, MATCH($C557,$C$605:$C$612,0))*($A557-Base_Year) + INDEX(O$595:O$602,MATCH($C557,$C$595:$C$602,0))</f>
        <v>0</v>
      </c>
      <c r="P557" s="691"/>
      <c r="Q557" s="693"/>
      <c r="R557" s="693"/>
      <c r="S557" s="693"/>
      <c r="T557" s="693"/>
      <c r="U557" s="693"/>
      <c r="V557" s="693"/>
      <c r="W557" s="693"/>
      <c r="X557" s="36"/>
      <c r="Y557" s="36"/>
      <c r="Z557" s="36"/>
    </row>
    <row r="558" spans="1:26">
      <c r="A558" s="452">
        <v>2020</v>
      </c>
      <c r="B558" s="341"/>
      <c r="C558" s="336" t="str">
        <f t="shared" si="107"/>
        <v>IS</v>
      </c>
      <c r="D558" s="336" t="str">
        <f t="shared" si="107"/>
        <v>Iron  &amp; Steel  - 351</v>
      </c>
      <c r="E558" s="556"/>
      <c r="F558" s="981"/>
      <c r="G558" s="450" t="s">
        <v>993</v>
      </c>
      <c r="H558" s="694">
        <f t="shared" si="108"/>
        <v>0.81179550150849511</v>
      </c>
      <c r="I558" s="694">
        <f t="shared" si="109"/>
        <v>0.16008611513731411</v>
      </c>
      <c r="J558" s="1036">
        <f t="shared" si="110"/>
        <v>0</v>
      </c>
      <c r="K558" s="1036">
        <f t="shared" si="110"/>
        <v>2.8118383354190805E-2</v>
      </c>
      <c r="L558" s="1036">
        <f t="shared" si="110"/>
        <v>0</v>
      </c>
      <c r="M558" s="1036">
        <f t="shared" si="110"/>
        <v>0</v>
      </c>
      <c r="N558" s="1036">
        <f t="shared" si="110"/>
        <v>0</v>
      </c>
      <c r="O558" s="694">
        <f t="shared" si="111"/>
        <v>0</v>
      </c>
      <c r="P558" s="691"/>
      <c r="Q558" s="693"/>
      <c r="R558" s="693"/>
      <c r="S558" s="693"/>
      <c r="T558" s="693"/>
      <c r="U558" s="693"/>
      <c r="V558" s="693"/>
      <c r="W558" s="693"/>
      <c r="X558" s="36"/>
      <c r="Y558" s="36"/>
      <c r="Z558" s="36"/>
    </row>
    <row r="559" spans="1:26">
      <c r="A559" s="452">
        <v>2020</v>
      </c>
      <c r="B559" s="341"/>
      <c r="C559" s="336" t="str">
        <f t="shared" si="107"/>
        <v>CP</v>
      </c>
      <c r="D559" s="336" t="str">
        <f t="shared" si="107"/>
        <v>Chemicals  -33</v>
      </c>
      <c r="E559" s="556"/>
      <c r="F559" s="981"/>
      <c r="G559" s="450" t="s">
        <v>993</v>
      </c>
      <c r="H559" s="694">
        <f t="shared" si="108"/>
        <v>0.431675164034791</v>
      </c>
      <c r="I559" s="694">
        <f t="shared" si="109"/>
        <v>0.56472413116897369</v>
      </c>
      <c r="J559" s="1036">
        <f t="shared" si="110"/>
        <v>0</v>
      </c>
      <c r="K559" s="1036">
        <f t="shared" si="110"/>
        <v>0</v>
      </c>
      <c r="L559" s="1036">
        <f t="shared" si="110"/>
        <v>3.6007047962352988E-3</v>
      </c>
      <c r="M559" s="1036">
        <f t="shared" si="110"/>
        <v>0</v>
      </c>
      <c r="N559" s="1036">
        <f t="shared" si="110"/>
        <v>0</v>
      </c>
      <c r="O559" s="694">
        <f t="shared" si="111"/>
        <v>0</v>
      </c>
      <c r="P559" s="691"/>
      <c r="Q559" s="693"/>
      <c r="R559" s="693"/>
      <c r="S559" s="693"/>
      <c r="T559" s="693"/>
      <c r="U559" s="693"/>
      <c r="V559" s="693"/>
      <c r="W559" s="693"/>
      <c r="X559" s="36"/>
      <c r="Y559" s="36"/>
      <c r="Z559" s="36"/>
    </row>
    <row r="560" spans="1:26">
      <c r="A560" s="452">
        <v>2020</v>
      </c>
      <c r="B560" s="341"/>
      <c r="C560" s="336" t="str">
        <f t="shared" si="107"/>
        <v>NF</v>
      </c>
      <c r="D560" s="336" t="str">
        <f t="shared" si="107"/>
        <v>Non-Ferrous metals  - 352</v>
      </c>
      <c r="E560" s="556"/>
      <c r="F560" s="981"/>
      <c r="G560" s="450" t="s">
        <v>993</v>
      </c>
      <c r="H560" s="694">
        <f t="shared" si="108"/>
        <v>1</v>
      </c>
      <c r="I560" s="694">
        <f t="shared" si="109"/>
        <v>0</v>
      </c>
      <c r="J560" s="1036">
        <f t="shared" si="110"/>
        <v>0</v>
      </c>
      <c r="K560" s="1036">
        <f t="shared" si="110"/>
        <v>0</v>
      </c>
      <c r="L560" s="1036">
        <f t="shared" si="110"/>
        <v>0</v>
      </c>
      <c r="M560" s="1036">
        <f t="shared" si="110"/>
        <v>0</v>
      </c>
      <c r="N560" s="1036">
        <f t="shared" si="110"/>
        <v>0</v>
      </c>
      <c r="O560" s="694">
        <f t="shared" si="111"/>
        <v>0</v>
      </c>
      <c r="P560" s="691"/>
      <c r="Q560" s="693"/>
      <c r="R560" s="693"/>
      <c r="S560" s="693"/>
      <c r="T560" s="693"/>
      <c r="U560" s="693"/>
      <c r="V560" s="693"/>
      <c r="W560" s="693"/>
      <c r="X560" s="36"/>
      <c r="Y560" s="36"/>
      <c r="Z560" s="36"/>
    </row>
    <row r="561" spans="1:26">
      <c r="A561" s="452">
        <v>2020</v>
      </c>
      <c r="B561" s="341"/>
      <c r="C561" s="336" t="str">
        <f t="shared" si="107"/>
        <v>NM</v>
      </c>
      <c r="D561" s="336" t="str">
        <f t="shared" si="107"/>
        <v>N.M.M Products  -34</v>
      </c>
      <c r="E561" s="556"/>
      <c r="F561" s="981"/>
      <c r="G561" s="450" t="s">
        <v>993</v>
      </c>
      <c r="H561" s="694">
        <f t="shared" si="108"/>
        <v>0.859160349749859</v>
      </c>
      <c r="I561" s="694">
        <f t="shared" si="109"/>
        <v>0.14083965025014095</v>
      </c>
      <c r="J561" s="1036">
        <f t="shared" si="110"/>
        <v>0</v>
      </c>
      <c r="K561" s="1036">
        <f t="shared" si="110"/>
        <v>0</v>
      </c>
      <c r="L561" s="1036">
        <f t="shared" si="110"/>
        <v>0</v>
      </c>
      <c r="M561" s="1036">
        <f t="shared" si="110"/>
        <v>0</v>
      </c>
      <c r="N561" s="1036">
        <f t="shared" si="110"/>
        <v>0</v>
      </c>
      <c r="O561" s="694">
        <f t="shared" si="111"/>
        <v>0</v>
      </c>
      <c r="P561" s="691"/>
      <c r="Q561" s="693"/>
      <c r="R561" s="693"/>
      <c r="S561" s="693"/>
      <c r="T561" s="693"/>
      <c r="U561" s="693"/>
      <c r="V561" s="693"/>
      <c r="W561" s="693"/>
      <c r="X561" s="36"/>
      <c r="Y561" s="36"/>
      <c r="Z561" s="36"/>
    </row>
    <row r="562" spans="1:26">
      <c r="A562" s="452">
        <v>2020</v>
      </c>
      <c r="B562" s="341"/>
      <c r="C562" s="336" t="str">
        <f t="shared" si="107"/>
        <v>FB</v>
      </c>
      <c r="D562" s="336" t="str">
        <f t="shared" si="107"/>
        <v>Food, Beverage &amp; Tabacco  - 30</v>
      </c>
      <c r="E562" s="556"/>
      <c r="F562" s="981"/>
      <c r="G562" s="450" t="s">
        <v>993</v>
      </c>
      <c r="H562" s="694">
        <f t="shared" si="108"/>
        <v>0.74136261909567969</v>
      </c>
      <c r="I562" s="694">
        <f t="shared" si="109"/>
        <v>3.5953512850379725E-2</v>
      </c>
      <c r="J562" s="1036">
        <f t="shared" si="110"/>
        <v>0</v>
      </c>
      <c r="K562" s="1036">
        <f t="shared" si="110"/>
        <v>0</v>
      </c>
      <c r="L562" s="1036">
        <f t="shared" si="110"/>
        <v>8.1692213248666292E-3</v>
      </c>
      <c r="M562" s="1036">
        <f t="shared" si="110"/>
        <v>0</v>
      </c>
      <c r="N562" s="1036">
        <f t="shared" si="110"/>
        <v>0.21451464672907403</v>
      </c>
      <c r="O562" s="694">
        <f t="shared" si="111"/>
        <v>0</v>
      </c>
      <c r="P562" s="691"/>
      <c r="Q562" s="693"/>
      <c r="R562" s="693"/>
      <c r="S562" s="693"/>
      <c r="T562" s="693"/>
      <c r="U562" s="693"/>
      <c r="V562" s="693"/>
      <c r="W562" s="693"/>
      <c r="X562" s="36"/>
      <c r="Y562" s="36"/>
      <c r="Z562" s="36"/>
    </row>
    <row r="563" spans="1:26">
      <c r="A563" s="452">
        <v>2020</v>
      </c>
      <c r="B563" s="341"/>
      <c r="C563" s="336" t="str">
        <f t="shared" si="107"/>
        <v>PP</v>
      </c>
      <c r="D563" s="336" t="str">
        <f t="shared" si="107"/>
        <v>Pulp &amp; Paper Products  -323</v>
      </c>
      <c r="E563" s="556"/>
      <c r="F563" s="981"/>
      <c r="G563" s="450" t="s">
        <v>993</v>
      </c>
      <c r="H563" s="694">
        <f t="shared" si="108"/>
        <v>0.6059053103689227</v>
      </c>
      <c r="I563" s="694">
        <f t="shared" si="109"/>
        <v>3.282723441090795E-2</v>
      </c>
      <c r="J563" s="1036">
        <f t="shared" si="110"/>
        <v>0</v>
      </c>
      <c r="K563" s="1036">
        <f t="shared" si="110"/>
        <v>0</v>
      </c>
      <c r="L563" s="1036">
        <f t="shared" si="110"/>
        <v>0</v>
      </c>
      <c r="M563" s="1036">
        <f t="shared" si="110"/>
        <v>0.36126745522016929</v>
      </c>
      <c r="N563" s="1036">
        <f t="shared" si="110"/>
        <v>0</v>
      </c>
      <c r="O563" s="694">
        <f t="shared" si="111"/>
        <v>0</v>
      </c>
      <c r="P563" s="691"/>
      <c r="Q563" s="693"/>
      <c r="R563" s="693"/>
      <c r="S563" s="693"/>
      <c r="T563" s="693"/>
      <c r="U563" s="693"/>
      <c r="V563" s="693"/>
      <c r="W563" s="693"/>
      <c r="X563" s="36"/>
      <c r="Y563" s="36"/>
      <c r="Z563" s="36"/>
    </row>
    <row r="564" spans="1:26">
      <c r="A564" s="452">
        <v>2020</v>
      </c>
      <c r="B564" s="341"/>
      <c r="C564" s="336" t="str">
        <f t="shared" si="107"/>
        <v>OT</v>
      </c>
      <c r="D564" s="336" t="str">
        <f t="shared" si="107"/>
        <v>Other</v>
      </c>
      <c r="E564" s="556"/>
      <c r="F564" s="981"/>
      <c r="G564" s="450" t="s">
        <v>993</v>
      </c>
      <c r="H564" s="694">
        <f t="shared" si="108"/>
        <v>0.93982815966586464</v>
      </c>
      <c r="I564" s="694">
        <f t="shared" si="109"/>
        <v>5.7749322141788295E-2</v>
      </c>
      <c r="J564" s="1036">
        <f t="shared" si="110"/>
        <v>5.8022006042697375E-4</v>
      </c>
      <c r="K564" s="1036">
        <f t="shared" si="110"/>
        <v>2.6024228687779634E-5</v>
      </c>
      <c r="L564" s="1036">
        <f t="shared" si="110"/>
        <v>1.8162739032322635E-3</v>
      </c>
      <c r="M564" s="1036">
        <f t="shared" si="110"/>
        <v>0</v>
      </c>
      <c r="N564" s="1036">
        <f t="shared" si="110"/>
        <v>0</v>
      </c>
      <c r="O564" s="694">
        <f t="shared" si="111"/>
        <v>0</v>
      </c>
      <c r="P564" s="691"/>
      <c r="Q564" s="693"/>
      <c r="R564" s="693"/>
      <c r="S564" s="693"/>
      <c r="T564" s="693"/>
      <c r="U564" s="693"/>
      <c r="V564" s="693"/>
      <c r="W564" s="693"/>
      <c r="X564" s="36"/>
      <c r="Y564" s="36"/>
      <c r="Z564" s="36"/>
    </row>
    <row r="565" spans="1:26">
      <c r="A565" s="452"/>
      <c r="B565" s="341"/>
      <c r="C565" s="336"/>
      <c r="D565" s="336"/>
      <c r="E565" s="556"/>
      <c r="F565" s="981"/>
      <c r="G565" s="450"/>
      <c r="H565" s="694"/>
      <c r="I565" s="694"/>
      <c r="J565" s="1036"/>
      <c r="K565" s="1036"/>
      <c r="L565" s="1036"/>
      <c r="M565" s="1036"/>
      <c r="N565" s="1036"/>
      <c r="O565" s="694"/>
      <c r="P565" s="691"/>
      <c r="Q565" s="693"/>
      <c r="R565" s="693"/>
      <c r="S565" s="693"/>
      <c r="T565" s="693"/>
      <c r="U565" s="693"/>
      <c r="V565" s="693"/>
      <c r="W565" s="693"/>
      <c r="X565" s="36"/>
      <c r="Y565" s="36"/>
      <c r="Z565" s="36"/>
    </row>
    <row r="566" spans="1:26">
      <c r="A566" s="452">
        <f>2030</f>
        <v>2030</v>
      </c>
      <c r="B566" s="341"/>
      <c r="C566" s="341" t="str">
        <f t="shared" ref="C566:D573" si="112">C548</f>
        <v>MI</v>
      </c>
      <c r="D566" s="341" t="str">
        <f t="shared" si="112"/>
        <v>Mining SIC2</v>
      </c>
      <c r="E566" s="556"/>
      <c r="F566" s="981"/>
      <c r="G566" s="450" t="s">
        <v>993</v>
      </c>
      <c r="H566" s="694">
        <f t="shared" ref="H566:H573" si="113">1-SUM(I566:O566)</f>
        <v>0.94093630337573986</v>
      </c>
      <c r="I566" s="694">
        <f t="shared" ref="I566:I573" si="114">INDEX(I$605:I$612, MATCH($C566,$C$605:$C$612,0))*($A566-Base_Year) + INDEX(I$595:I$602,MATCH($C566,$C$595:$C$602,0))</f>
        <v>5.76127028396256E-2</v>
      </c>
      <c r="J566" s="1036">
        <f t="shared" ref="J566:N573" si="115">INDEX($H$595:$O$602,MATCH($C566,$C$595:$C$602,0),MATCH(J$544,$H$544:$O$544,0))</f>
        <v>1.4497705780728732E-3</v>
      </c>
      <c r="K566" s="1036">
        <f t="shared" si="115"/>
        <v>1.2232065616448326E-6</v>
      </c>
      <c r="L566" s="1036">
        <f t="shared" si="115"/>
        <v>0</v>
      </c>
      <c r="M566" s="1036">
        <f t="shared" si="115"/>
        <v>0</v>
      </c>
      <c r="N566" s="1036">
        <f t="shared" si="115"/>
        <v>0</v>
      </c>
      <c r="O566" s="694">
        <f t="shared" ref="O566:O573" si="116">INDEX(O$605:O$612, MATCH($C566,$C$605:$C$612,0))*($A566-Base_Year) + INDEX(O$595:O$602,MATCH($C566,$C$595:$C$602,0))</f>
        <v>0</v>
      </c>
      <c r="P566" s="691"/>
      <c r="Q566" s="693"/>
      <c r="R566" s="693"/>
      <c r="S566" s="693"/>
      <c r="T566" s="693"/>
      <c r="U566" s="693"/>
      <c r="V566" s="693"/>
      <c r="W566" s="693"/>
      <c r="X566" s="36"/>
      <c r="Y566" s="36"/>
      <c r="Z566" s="36"/>
    </row>
    <row r="567" spans="1:26">
      <c r="A567" s="452">
        <f>2030</f>
        <v>2030</v>
      </c>
      <c r="B567" s="341"/>
      <c r="C567" s="341" t="str">
        <f t="shared" si="112"/>
        <v>IS</v>
      </c>
      <c r="D567" s="341" t="str">
        <f t="shared" si="112"/>
        <v>Iron  &amp; Steel  - 351</v>
      </c>
      <c r="E567" s="556"/>
      <c r="F567" s="981"/>
      <c r="G567" s="450" t="s">
        <v>993</v>
      </c>
      <c r="H567" s="694">
        <f t="shared" si="113"/>
        <v>0.81179550150849511</v>
      </c>
      <c r="I567" s="694">
        <f t="shared" si="114"/>
        <v>0.16008611513731411</v>
      </c>
      <c r="J567" s="1036">
        <f t="shared" si="115"/>
        <v>0</v>
      </c>
      <c r="K567" s="1036">
        <f t="shared" si="115"/>
        <v>2.8118383354190805E-2</v>
      </c>
      <c r="L567" s="1036">
        <f t="shared" si="115"/>
        <v>0</v>
      </c>
      <c r="M567" s="1036">
        <f t="shared" si="115"/>
        <v>0</v>
      </c>
      <c r="N567" s="1036">
        <f t="shared" si="115"/>
        <v>0</v>
      </c>
      <c r="O567" s="694">
        <f t="shared" si="116"/>
        <v>0</v>
      </c>
      <c r="P567" s="691"/>
      <c r="Q567" s="693"/>
      <c r="R567" s="693"/>
      <c r="S567" s="693"/>
      <c r="T567" s="693"/>
      <c r="U567" s="693"/>
      <c r="V567" s="693"/>
      <c r="W567" s="693"/>
      <c r="X567" s="36"/>
      <c r="Y567" s="36"/>
      <c r="Z567" s="36"/>
    </row>
    <row r="568" spans="1:26">
      <c r="A568" s="452">
        <f>2030</f>
        <v>2030</v>
      </c>
      <c r="B568" s="341"/>
      <c r="C568" s="341" t="str">
        <f t="shared" si="112"/>
        <v>CP</v>
      </c>
      <c r="D568" s="341" t="str">
        <f t="shared" si="112"/>
        <v>Chemicals  -33</v>
      </c>
      <c r="E568" s="556"/>
      <c r="F568" s="981"/>
      <c r="G568" s="450" t="s">
        <v>993</v>
      </c>
      <c r="H568" s="694">
        <f t="shared" si="113"/>
        <v>0.431675164034791</v>
      </c>
      <c r="I568" s="694">
        <f t="shared" si="114"/>
        <v>0.56472413116897369</v>
      </c>
      <c r="J568" s="1036">
        <f t="shared" si="115"/>
        <v>0</v>
      </c>
      <c r="K568" s="1036">
        <f t="shared" si="115"/>
        <v>0</v>
      </c>
      <c r="L568" s="1036">
        <f t="shared" si="115"/>
        <v>3.6007047962352988E-3</v>
      </c>
      <c r="M568" s="1036">
        <f t="shared" si="115"/>
        <v>0</v>
      </c>
      <c r="N568" s="1036">
        <f t="shared" si="115"/>
        <v>0</v>
      </c>
      <c r="O568" s="694">
        <f t="shared" si="116"/>
        <v>0</v>
      </c>
      <c r="P568" s="691"/>
      <c r="Q568" s="693"/>
      <c r="R568" s="693"/>
      <c r="S568" s="693"/>
      <c r="T568" s="693"/>
      <c r="U568" s="693"/>
      <c r="V568" s="693"/>
      <c r="W568" s="693"/>
      <c r="X568" s="36"/>
      <c r="Y568" s="36"/>
      <c r="Z568" s="36"/>
    </row>
    <row r="569" spans="1:26">
      <c r="A569" s="452">
        <f>2030</f>
        <v>2030</v>
      </c>
      <c r="B569" s="341"/>
      <c r="C569" s="341" t="str">
        <f t="shared" si="112"/>
        <v>NF</v>
      </c>
      <c r="D569" s="341" t="str">
        <f t="shared" si="112"/>
        <v>Non-Ferrous metals  - 352</v>
      </c>
      <c r="E569" s="556"/>
      <c r="F569" s="981"/>
      <c r="G569" s="450" t="s">
        <v>993</v>
      </c>
      <c r="H569" s="694">
        <f t="shared" si="113"/>
        <v>1</v>
      </c>
      <c r="I569" s="694">
        <f t="shared" si="114"/>
        <v>0</v>
      </c>
      <c r="J569" s="1036">
        <f t="shared" si="115"/>
        <v>0</v>
      </c>
      <c r="K569" s="1036">
        <f t="shared" si="115"/>
        <v>0</v>
      </c>
      <c r="L569" s="1036">
        <f t="shared" si="115"/>
        <v>0</v>
      </c>
      <c r="M569" s="1036">
        <f t="shared" si="115"/>
        <v>0</v>
      </c>
      <c r="N569" s="1036">
        <f t="shared" si="115"/>
        <v>0</v>
      </c>
      <c r="O569" s="694">
        <f t="shared" si="116"/>
        <v>0</v>
      </c>
      <c r="P569" s="691"/>
      <c r="Q569" s="693"/>
      <c r="R569" s="693"/>
      <c r="S569" s="693"/>
      <c r="T569" s="693"/>
      <c r="U569" s="693"/>
      <c r="V569" s="693"/>
      <c r="W569" s="693"/>
      <c r="X569" s="36"/>
      <c r="Y569" s="36"/>
      <c r="Z569" s="36"/>
    </row>
    <row r="570" spans="1:26">
      <c r="A570" s="452">
        <f>2030</f>
        <v>2030</v>
      </c>
      <c r="B570" s="341"/>
      <c r="C570" s="341" t="str">
        <f t="shared" si="112"/>
        <v>NM</v>
      </c>
      <c r="D570" s="341" t="str">
        <f t="shared" si="112"/>
        <v>N.M.M Products  -34</v>
      </c>
      <c r="E570" s="556"/>
      <c r="F570" s="981"/>
      <c r="G570" s="450" t="s">
        <v>993</v>
      </c>
      <c r="H570" s="694">
        <f t="shared" si="113"/>
        <v>0.859160349749859</v>
      </c>
      <c r="I570" s="694">
        <f t="shared" si="114"/>
        <v>0.14083965025014095</v>
      </c>
      <c r="J570" s="1036">
        <f t="shared" si="115"/>
        <v>0</v>
      </c>
      <c r="K570" s="1036">
        <f t="shared" si="115"/>
        <v>0</v>
      </c>
      <c r="L570" s="1036">
        <f t="shared" si="115"/>
        <v>0</v>
      </c>
      <c r="M570" s="1036">
        <f t="shared" si="115"/>
        <v>0</v>
      </c>
      <c r="N570" s="1036">
        <f t="shared" si="115"/>
        <v>0</v>
      </c>
      <c r="O570" s="694">
        <f t="shared" si="116"/>
        <v>0</v>
      </c>
      <c r="P570" s="691"/>
      <c r="Q570" s="693"/>
      <c r="R570" s="693"/>
      <c r="S570" s="693"/>
      <c r="T570" s="693"/>
      <c r="U570" s="693"/>
      <c r="V570" s="693"/>
      <c r="W570" s="693"/>
      <c r="X570" s="36"/>
      <c r="Y570" s="36"/>
      <c r="Z570" s="36"/>
    </row>
    <row r="571" spans="1:26">
      <c r="A571" s="452">
        <f>2030</f>
        <v>2030</v>
      </c>
      <c r="B571" s="341"/>
      <c r="C571" s="341" t="str">
        <f t="shared" si="112"/>
        <v>FB</v>
      </c>
      <c r="D571" s="341" t="str">
        <f t="shared" si="112"/>
        <v>Food, Beverage &amp; Tabacco  - 30</v>
      </c>
      <c r="E571" s="556"/>
      <c r="F571" s="981"/>
      <c r="G571" s="450" t="s">
        <v>993</v>
      </c>
      <c r="H571" s="694">
        <f t="shared" si="113"/>
        <v>0.74136261909567969</v>
      </c>
      <c r="I571" s="694">
        <f t="shared" si="114"/>
        <v>3.5953512850379725E-2</v>
      </c>
      <c r="J571" s="1036">
        <f t="shared" si="115"/>
        <v>0</v>
      </c>
      <c r="K571" s="1036">
        <f t="shared" si="115"/>
        <v>0</v>
      </c>
      <c r="L571" s="1036">
        <f t="shared" si="115"/>
        <v>8.1692213248666292E-3</v>
      </c>
      <c r="M571" s="1036">
        <f t="shared" si="115"/>
        <v>0</v>
      </c>
      <c r="N571" s="1036">
        <f t="shared" si="115"/>
        <v>0.21451464672907403</v>
      </c>
      <c r="O571" s="694">
        <f t="shared" si="116"/>
        <v>0</v>
      </c>
      <c r="P571" s="691"/>
      <c r="Q571" s="693"/>
      <c r="R571" s="693"/>
      <c r="S571" s="693"/>
      <c r="T571" s="693"/>
      <c r="U571" s="693"/>
      <c r="V571" s="693"/>
      <c r="W571" s="693"/>
      <c r="X571" s="36"/>
      <c r="Y571" s="36"/>
      <c r="Z571" s="36"/>
    </row>
    <row r="572" spans="1:26">
      <c r="A572" s="452">
        <f>2030</f>
        <v>2030</v>
      </c>
      <c r="B572" s="341"/>
      <c r="C572" s="341" t="str">
        <f t="shared" si="112"/>
        <v>PP</v>
      </c>
      <c r="D572" s="341" t="str">
        <f t="shared" si="112"/>
        <v>Pulp &amp; Paper Products  -323</v>
      </c>
      <c r="E572" s="336"/>
      <c r="F572" s="336"/>
      <c r="G572" s="450" t="s">
        <v>993</v>
      </c>
      <c r="H572" s="694">
        <f t="shared" si="113"/>
        <v>0.6059053103689227</v>
      </c>
      <c r="I572" s="694">
        <f t="shared" si="114"/>
        <v>3.282723441090795E-2</v>
      </c>
      <c r="J572" s="1036">
        <f t="shared" si="115"/>
        <v>0</v>
      </c>
      <c r="K572" s="1036">
        <f t="shared" si="115"/>
        <v>0</v>
      </c>
      <c r="L572" s="1036">
        <f t="shared" si="115"/>
        <v>0</v>
      </c>
      <c r="M572" s="1036">
        <f t="shared" si="115"/>
        <v>0.36126745522016929</v>
      </c>
      <c r="N572" s="1036">
        <f t="shared" si="115"/>
        <v>0</v>
      </c>
      <c r="O572" s="694">
        <f t="shared" si="116"/>
        <v>0</v>
      </c>
      <c r="P572" s="691"/>
      <c r="Q572" s="36"/>
      <c r="R572" s="36"/>
      <c r="S572" s="36"/>
      <c r="T572" s="36"/>
      <c r="U572" s="36"/>
      <c r="V572" s="36"/>
      <c r="W572" s="36"/>
      <c r="X572" s="36"/>
      <c r="Y572" s="36"/>
      <c r="Z572" s="36"/>
    </row>
    <row r="573" spans="1:26">
      <c r="A573" s="452">
        <f>2030</f>
        <v>2030</v>
      </c>
      <c r="B573" s="341"/>
      <c r="C573" s="341" t="str">
        <f t="shared" si="112"/>
        <v>OT</v>
      </c>
      <c r="D573" s="341" t="str">
        <f t="shared" si="112"/>
        <v>Other</v>
      </c>
      <c r="E573" s="336"/>
      <c r="F573" s="336"/>
      <c r="G573" s="450" t="s">
        <v>993</v>
      </c>
      <c r="H573" s="694">
        <f t="shared" si="113"/>
        <v>0.93982815966586464</v>
      </c>
      <c r="I573" s="694">
        <f t="shared" si="114"/>
        <v>5.7749322141788295E-2</v>
      </c>
      <c r="J573" s="1036">
        <f t="shared" si="115"/>
        <v>5.8022006042697375E-4</v>
      </c>
      <c r="K573" s="1036">
        <f t="shared" si="115"/>
        <v>2.6024228687779634E-5</v>
      </c>
      <c r="L573" s="1036">
        <f t="shared" si="115"/>
        <v>1.8162739032322635E-3</v>
      </c>
      <c r="M573" s="1036">
        <f t="shared" si="115"/>
        <v>0</v>
      </c>
      <c r="N573" s="1036">
        <f t="shared" si="115"/>
        <v>0</v>
      </c>
      <c r="O573" s="694">
        <f t="shared" si="116"/>
        <v>0</v>
      </c>
      <c r="P573" s="691"/>
      <c r="Q573" s="36"/>
      <c r="R573" s="36"/>
      <c r="S573" s="36"/>
      <c r="T573" s="36"/>
      <c r="U573" s="36"/>
      <c r="V573" s="36"/>
      <c r="W573" s="36"/>
      <c r="X573" s="36"/>
      <c r="Y573" s="36"/>
      <c r="Z573" s="36"/>
    </row>
    <row r="574" spans="1:26">
      <c r="A574" s="452"/>
      <c r="B574" s="341"/>
      <c r="C574" s="336"/>
      <c r="D574" s="336"/>
      <c r="E574" s="336"/>
      <c r="F574" s="336"/>
      <c r="G574" s="450"/>
      <c r="H574" s="694"/>
      <c r="I574" s="694"/>
      <c r="J574" s="1036"/>
      <c r="K574" s="1036"/>
      <c r="L574" s="1036"/>
      <c r="M574" s="1036"/>
      <c r="N574" s="1036"/>
      <c r="O574" s="694"/>
      <c r="P574" s="691"/>
      <c r="Q574" s="36"/>
      <c r="R574" s="36"/>
      <c r="S574" s="36"/>
      <c r="T574" s="36"/>
      <c r="U574" s="36"/>
      <c r="V574" s="36"/>
      <c r="W574" s="36"/>
      <c r="X574" s="36"/>
      <c r="Y574" s="36"/>
      <c r="Z574" s="36"/>
    </row>
    <row r="575" spans="1:26">
      <c r="A575" s="452">
        <v>2040</v>
      </c>
      <c r="B575" s="341"/>
      <c r="C575" s="336" t="str">
        <f t="shared" ref="C575:D582" si="117">C548</f>
        <v>MI</v>
      </c>
      <c r="D575" s="336" t="str">
        <f t="shared" si="117"/>
        <v>Mining SIC2</v>
      </c>
      <c r="E575" s="336"/>
      <c r="F575" s="336"/>
      <c r="G575" s="450" t="s">
        <v>993</v>
      </c>
      <c r="H575" s="694">
        <f t="shared" ref="H575:H582" si="118">1-SUM(I575:O575)</f>
        <v>0.94093630337573986</v>
      </c>
      <c r="I575" s="694">
        <f t="shared" ref="I575:I582" si="119">INDEX(I$605:I$612, MATCH($C575,$C$605:$C$612,0))*($A575-Base_Year) + INDEX(I$595:I$602,MATCH($C575,$C$595:$C$602,0))</f>
        <v>5.76127028396256E-2</v>
      </c>
      <c r="J575" s="1036">
        <f t="shared" ref="J575:N582" si="120">INDEX($H$595:$O$602,MATCH($C575,$C$595:$C$602,0),MATCH(J$544,$H$544:$O$544,0))</f>
        <v>1.4497705780728732E-3</v>
      </c>
      <c r="K575" s="1036">
        <f t="shared" si="120"/>
        <v>1.2232065616448326E-6</v>
      </c>
      <c r="L575" s="1036">
        <f t="shared" si="120"/>
        <v>0</v>
      </c>
      <c r="M575" s="1036">
        <f t="shared" si="120"/>
        <v>0</v>
      </c>
      <c r="N575" s="1036">
        <f t="shared" si="120"/>
        <v>0</v>
      </c>
      <c r="O575" s="694">
        <f t="shared" ref="O575:O582" si="121">INDEX(O$605:O$612, MATCH($C575,$C$605:$C$612,0))*($A575-Base_Year) + INDEX(O$595:O$602,MATCH($C575,$C$595:$C$602,0))</f>
        <v>0</v>
      </c>
      <c r="P575" s="691"/>
      <c r="Q575" s="36"/>
      <c r="R575" s="36"/>
      <c r="S575" s="36"/>
      <c r="T575" s="36"/>
      <c r="U575" s="36"/>
      <c r="V575" s="36"/>
      <c r="W575" s="36"/>
      <c r="X575" s="36"/>
      <c r="Y575" s="36"/>
      <c r="Z575" s="36"/>
    </row>
    <row r="576" spans="1:26">
      <c r="A576" s="452">
        <v>2040</v>
      </c>
      <c r="B576" s="341"/>
      <c r="C576" s="336" t="str">
        <f t="shared" si="117"/>
        <v>IS</v>
      </c>
      <c r="D576" s="336" t="str">
        <f t="shared" si="117"/>
        <v>Iron  &amp; Steel  - 351</v>
      </c>
      <c r="E576" s="336"/>
      <c r="F576" s="336"/>
      <c r="G576" s="450" t="s">
        <v>993</v>
      </c>
      <c r="H576" s="694">
        <f t="shared" si="118"/>
        <v>0.81179550150849511</v>
      </c>
      <c r="I576" s="694">
        <f t="shared" si="119"/>
        <v>0.16008611513731411</v>
      </c>
      <c r="J576" s="1036">
        <f t="shared" si="120"/>
        <v>0</v>
      </c>
      <c r="K576" s="1036">
        <f t="shared" si="120"/>
        <v>2.8118383354190805E-2</v>
      </c>
      <c r="L576" s="1036">
        <f t="shared" si="120"/>
        <v>0</v>
      </c>
      <c r="M576" s="1036">
        <f t="shared" si="120"/>
        <v>0</v>
      </c>
      <c r="N576" s="1036">
        <f t="shared" si="120"/>
        <v>0</v>
      </c>
      <c r="O576" s="694">
        <f t="shared" si="121"/>
        <v>0</v>
      </c>
      <c r="P576" s="691"/>
      <c r="Q576" s="36"/>
      <c r="R576" s="36"/>
      <c r="S576" s="36"/>
      <c r="T576" s="36"/>
      <c r="U576" s="36"/>
      <c r="V576" s="36"/>
      <c r="W576" s="36"/>
      <c r="X576" s="36"/>
      <c r="Y576" s="36"/>
      <c r="Z576" s="36"/>
    </row>
    <row r="577" spans="1:26">
      <c r="A577" s="452">
        <v>2040</v>
      </c>
      <c r="B577" s="341"/>
      <c r="C577" s="336" t="str">
        <f t="shared" si="117"/>
        <v>CP</v>
      </c>
      <c r="D577" s="336" t="str">
        <f t="shared" si="117"/>
        <v>Chemicals  -33</v>
      </c>
      <c r="E577" s="336"/>
      <c r="F577" s="336"/>
      <c r="G577" s="450" t="s">
        <v>993</v>
      </c>
      <c r="H577" s="694">
        <f t="shared" si="118"/>
        <v>0.431675164034791</v>
      </c>
      <c r="I577" s="694">
        <f t="shared" si="119"/>
        <v>0.56472413116897369</v>
      </c>
      <c r="J577" s="1036">
        <f t="shared" si="120"/>
        <v>0</v>
      </c>
      <c r="K577" s="1036">
        <f t="shared" si="120"/>
        <v>0</v>
      </c>
      <c r="L577" s="1036">
        <f t="shared" si="120"/>
        <v>3.6007047962352988E-3</v>
      </c>
      <c r="M577" s="1036">
        <f t="shared" si="120"/>
        <v>0</v>
      </c>
      <c r="N577" s="1036">
        <f t="shared" si="120"/>
        <v>0</v>
      </c>
      <c r="O577" s="694">
        <f t="shared" si="121"/>
        <v>0</v>
      </c>
      <c r="P577" s="691"/>
      <c r="Q577" s="36"/>
      <c r="R577" s="36"/>
      <c r="S577" s="36"/>
      <c r="T577" s="36"/>
      <c r="U577" s="36"/>
      <c r="V577" s="36"/>
      <c r="W577" s="36"/>
      <c r="X577" s="36"/>
      <c r="Y577" s="36"/>
      <c r="Z577" s="36"/>
    </row>
    <row r="578" spans="1:26">
      <c r="A578" s="452">
        <v>2040</v>
      </c>
      <c r="B578" s="341"/>
      <c r="C578" s="336" t="str">
        <f t="shared" si="117"/>
        <v>NF</v>
      </c>
      <c r="D578" s="336" t="str">
        <f t="shared" si="117"/>
        <v>Non-Ferrous metals  - 352</v>
      </c>
      <c r="E578" s="336"/>
      <c r="F578" s="336"/>
      <c r="G578" s="450" t="s">
        <v>993</v>
      </c>
      <c r="H578" s="694">
        <f t="shared" si="118"/>
        <v>1</v>
      </c>
      <c r="I578" s="694">
        <f t="shared" si="119"/>
        <v>0</v>
      </c>
      <c r="J578" s="1036">
        <f t="shared" si="120"/>
        <v>0</v>
      </c>
      <c r="K578" s="1036">
        <f t="shared" si="120"/>
        <v>0</v>
      </c>
      <c r="L578" s="1036">
        <f t="shared" si="120"/>
        <v>0</v>
      </c>
      <c r="M578" s="1036">
        <f t="shared" si="120"/>
        <v>0</v>
      </c>
      <c r="N578" s="1036">
        <f t="shared" si="120"/>
        <v>0</v>
      </c>
      <c r="O578" s="694">
        <f t="shared" si="121"/>
        <v>0</v>
      </c>
      <c r="P578" s="691"/>
      <c r="Q578" s="36"/>
      <c r="R578" s="36"/>
      <c r="S578" s="36"/>
      <c r="T578" s="36"/>
      <c r="U578" s="36"/>
      <c r="V578" s="36"/>
      <c r="W578" s="36"/>
      <c r="X578" s="36"/>
      <c r="Y578" s="36"/>
      <c r="Z578" s="36"/>
    </row>
    <row r="579" spans="1:26">
      <c r="A579" s="452">
        <v>2040</v>
      </c>
      <c r="B579" s="341"/>
      <c r="C579" s="336" t="str">
        <f t="shared" si="117"/>
        <v>NM</v>
      </c>
      <c r="D579" s="336" t="str">
        <f t="shared" si="117"/>
        <v>N.M.M Products  -34</v>
      </c>
      <c r="E579" s="336"/>
      <c r="F579" s="336"/>
      <c r="G579" s="450" t="s">
        <v>993</v>
      </c>
      <c r="H579" s="694">
        <f t="shared" si="118"/>
        <v>0.859160349749859</v>
      </c>
      <c r="I579" s="694">
        <f t="shared" si="119"/>
        <v>0.14083965025014095</v>
      </c>
      <c r="J579" s="1036">
        <f t="shared" si="120"/>
        <v>0</v>
      </c>
      <c r="K579" s="1036">
        <f t="shared" si="120"/>
        <v>0</v>
      </c>
      <c r="L579" s="1036">
        <f t="shared" si="120"/>
        <v>0</v>
      </c>
      <c r="M579" s="1036">
        <f t="shared" si="120"/>
        <v>0</v>
      </c>
      <c r="N579" s="1036">
        <f t="shared" si="120"/>
        <v>0</v>
      </c>
      <c r="O579" s="694">
        <f t="shared" si="121"/>
        <v>0</v>
      </c>
      <c r="P579" s="691"/>
      <c r="Q579" s="36"/>
      <c r="R579" s="36"/>
      <c r="S579" s="36"/>
      <c r="T579" s="36"/>
      <c r="U579" s="36"/>
      <c r="V579" s="36"/>
      <c r="W579" s="36"/>
      <c r="X579" s="36"/>
      <c r="Y579" s="36"/>
      <c r="Z579" s="36"/>
    </row>
    <row r="580" spans="1:26">
      <c r="A580" s="452">
        <v>2040</v>
      </c>
      <c r="B580" s="341"/>
      <c r="C580" s="336" t="str">
        <f t="shared" si="117"/>
        <v>FB</v>
      </c>
      <c r="D580" s="336" t="str">
        <f t="shared" si="117"/>
        <v>Food, Beverage &amp; Tabacco  - 30</v>
      </c>
      <c r="E580" s="336"/>
      <c r="F580" s="336"/>
      <c r="G580" s="450" t="s">
        <v>993</v>
      </c>
      <c r="H580" s="694">
        <f t="shared" si="118"/>
        <v>0.74136261909567969</v>
      </c>
      <c r="I580" s="694">
        <f t="shared" si="119"/>
        <v>3.5953512850379725E-2</v>
      </c>
      <c r="J580" s="1036">
        <f t="shared" si="120"/>
        <v>0</v>
      </c>
      <c r="K580" s="1036">
        <f t="shared" si="120"/>
        <v>0</v>
      </c>
      <c r="L580" s="1036">
        <f t="shared" si="120"/>
        <v>8.1692213248666292E-3</v>
      </c>
      <c r="M580" s="1036">
        <f t="shared" si="120"/>
        <v>0</v>
      </c>
      <c r="N580" s="1036">
        <f t="shared" si="120"/>
        <v>0.21451464672907403</v>
      </c>
      <c r="O580" s="694">
        <f t="shared" si="121"/>
        <v>0</v>
      </c>
      <c r="P580" s="691"/>
      <c r="Q580" s="36"/>
      <c r="R580" s="36"/>
      <c r="S580" s="36"/>
      <c r="T580" s="36"/>
      <c r="U580" s="36"/>
      <c r="V580" s="36"/>
      <c r="W580" s="36"/>
      <c r="X580" s="36"/>
      <c r="Y580" s="36"/>
      <c r="Z580" s="36"/>
    </row>
    <row r="581" spans="1:26">
      <c r="A581" s="452">
        <v>2040</v>
      </c>
      <c r="B581" s="341"/>
      <c r="C581" s="336" t="str">
        <f t="shared" si="117"/>
        <v>PP</v>
      </c>
      <c r="D581" s="336" t="str">
        <f t="shared" si="117"/>
        <v>Pulp &amp; Paper Products  -323</v>
      </c>
      <c r="E581" s="336"/>
      <c r="F581" s="336"/>
      <c r="G581" s="450" t="s">
        <v>993</v>
      </c>
      <c r="H581" s="694">
        <f t="shared" si="118"/>
        <v>0.6059053103689227</v>
      </c>
      <c r="I581" s="694">
        <f t="shared" si="119"/>
        <v>3.282723441090795E-2</v>
      </c>
      <c r="J581" s="1036">
        <f t="shared" si="120"/>
        <v>0</v>
      </c>
      <c r="K581" s="1036">
        <f t="shared" si="120"/>
        <v>0</v>
      </c>
      <c r="L581" s="1036">
        <f t="shared" si="120"/>
        <v>0</v>
      </c>
      <c r="M581" s="1036">
        <f t="shared" si="120"/>
        <v>0.36126745522016929</v>
      </c>
      <c r="N581" s="1036">
        <f t="shared" si="120"/>
        <v>0</v>
      </c>
      <c r="O581" s="694">
        <f t="shared" si="121"/>
        <v>0</v>
      </c>
      <c r="P581" s="691"/>
      <c r="Q581" s="36"/>
      <c r="R581" s="36"/>
      <c r="S581" s="36"/>
      <c r="T581" s="36"/>
      <c r="U581" s="36"/>
      <c r="V581" s="36"/>
      <c r="W581" s="36"/>
      <c r="X581" s="36"/>
      <c r="Y581" s="36"/>
      <c r="Z581" s="36"/>
    </row>
    <row r="582" spans="1:26">
      <c r="A582" s="452">
        <v>2040</v>
      </c>
      <c r="B582" s="341"/>
      <c r="C582" s="336" t="str">
        <f t="shared" si="117"/>
        <v>OT</v>
      </c>
      <c r="D582" s="336" t="str">
        <f t="shared" si="117"/>
        <v>Other</v>
      </c>
      <c r="E582" s="336"/>
      <c r="F582" s="336"/>
      <c r="G582" s="450" t="s">
        <v>993</v>
      </c>
      <c r="H582" s="694">
        <f t="shared" si="118"/>
        <v>0.93982815966586464</v>
      </c>
      <c r="I582" s="694">
        <f t="shared" si="119"/>
        <v>5.7749322141788295E-2</v>
      </c>
      <c r="J582" s="1036">
        <f t="shared" si="120"/>
        <v>5.8022006042697375E-4</v>
      </c>
      <c r="K582" s="1036">
        <f t="shared" si="120"/>
        <v>2.6024228687779634E-5</v>
      </c>
      <c r="L582" s="1036">
        <f t="shared" si="120"/>
        <v>1.8162739032322635E-3</v>
      </c>
      <c r="M582" s="1036">
        <f t="shared" si="120"/>
        <v>0</v>
      </c>
      <c r="N582" s="1036">
        <f t="shared" si="120"/>
        <v>0</v>
      </c>
      <c r="O582" s="694">
        <f t="shared" si="121"/>
        <v>0</v>
      </c>
      <c r="P582" s="691"/>
      <c r="Q582" s="36"/>
      <c r="R582" s="36"/>
      <c r="S582" s="36"/>
      <c r="T582" s="36"/>
      <c r="U582" s="36"/>
      <c r="V582" s="36"/>
      <c r="W582" s="36"/>
      <c r="X582" s="36"/>
      <c r="Y582" s="36"/>
      <c r="Z582" s="36"/>
    </row>
    <row r="583" spans="1:26">
      <c r="A583" s="452"/>
      <c r="B583" s="341"/>
      <c r="C583" s="336"/>
      <c r="D583" s="336"/>
      <c r="E583" s="336"/>
      <c r="F583" s="336"/>
      <c r="G583" s="450"/>
      <c r="H583" s="694"/>
      <c r="I583" s="694"/>
      <c r="J583" s="1036"/>
      <c r="K583" s="1036"/>
      <c r="L583" s="1036"/>
      <c r="M583" s="1036"/>
      <c r="N583" s="1036"/>
      <c r="O583" s="694"/>
      <c r="P583" s="691"/>
      <c r="Q583" s="36"/>
      <c r="R583" s="36"/>
      <c r="S583" s="36"/>
      <c r="T583" s="36"/>
      <c r="U583" s="36"/>
      <c r="V583" s="36"/>
      <c r="W583" s="36"/>
      <c r="X583" s="36"/>
      <c r="Y583" s="36"/>
      <c r="Z583" s="36"/>
    </row>
    <row r="584" spans="1:26">
      <c r="A584" s="452">
        <v>2050</v>
      </c>
      <c r="B584" s="341"/>
      <c r="C584" s="79" t="str">
        <f t="shared" ref="C584:D591" si="122">C548</f>
        <v>MI</v>
      </c>
      <c r="D584" s="79" t="str">
        <f t="shared" si="122"/>
        <v>Mining SIC2</v>
      </c>
      <c r="E584" s="79"/>
      <c r="F584" s="79"/>
      <c r="G584" s="461" t="s">
        <v>993</v>
      </c>
      <c r="H584" s="1037">
        <f t="shared" ref="H584:H591" si="123">1-SUM(I584:O584)</f>
        <v>0.94093630337573986</v>
      </c>
      <c r="I584" s="1038">
        <f t="array" ref="I584">SUM(IFERROR(($F$53:$M$53=$C584)* ($E$55:$E$62=I$544) * ($D$55:$D$62=$E$10) * ($F$55:$M$62),-1))</f>
        <v>5.76127028396256E-2</v>
      </c>
      <c r="J584" s="1036">
        <f t="shared" ref="J584:N591" si="124">INDEX($H$595:$O$602,MATCH($C584,$C$595:$C$602,0),MATCH(J$544,$H$544:$O$544,0))</f>
        <v>1.4497705780728732E-3</v>
      </c>
      <c r="K584" s="1036">
        <f t="shared" si="124"/>
        <v>1.2232065616448326E-6</v>
      </c>
      <c r="L584" s="1036">
        <f t="shared" si="124"/>
        <v>0</v>
      </c>
      <c r="M584" s="1036">
        <f t="shared" si="124"/>
        <v>0</v>
      </c>
      <c r="N584" s="1036">
        <f t="shared" si="124"/>
        <v>0</v>
      </c>
      <c r="O584" s="1038">
        <f t="array" ref="O584">SUM(IFERROR(($F$53:$M$53=$C584)* ($E$55:$E$62=O$544) * ($D$55:$D$62=$E$10) * ($F$55:$M$62),-1))</f>
        <v>0</v>
      </c>
      <c r="P584" s="691"/>
      <c r="Q584" s="36"/>
      <c r="R584" s="36"/>
      <c r="S584" s="36"/>
      <c r="T584" s="36"/>
      <c r="U584" s="36"/>
      <c r="V584" s="36"/>
      <c r="W584" s="36"/>
      <c r="X584" s="36"/>
      <c r="Y584" s="36"/>
      <c r="Z584" s="36"/>
    </row>
    <row r="585" spans="1:26">
      <c r="A585" s="452">
        <v>2050</v>
      </c>
      <c r="B585" s="341"/>
      <c r="C585" s="79" t="str">
        <f t="shared" si="122"/>
        <v>IS</v>
      </c>
      <c r="D585" s="79" t="str">
        <f t="shared" si="122"/>
        <v>Iron  &amp; Steel  - 351</v>
      </c>
      <c r="E585" s="79"/>
      <c r="F585" s="79"/>
      <c r="G585" s="461" t="s">
        <v>993</v>
      </c>
      <c r="H585" s="1037">
        <f t="shared" si="123"/>
        <v>0.81179550150849511</v>
      </c>
      <c r="I585" s="1038">
        <f t="array" ref="I585">SUM(IFERROR(($F$53:$M$53=$C585)* ($E$55:$E$62=I$544) * ($D$55:$D$62=$E$10) * ($F$55:$M$62),-1))</f>
        <v>0.16008611513731411</v>
      </c>
      <c r="J585" s="1036">
        <f t="shared" si="124"/>
        <v>0</v>
      </c>
      <c r="K585" s="1036">
        <f t="shared" si="124"/>
        <v>2.8118383354190805E-2</v>
      </c>
      <c r="L585" s="1036">
        <f t="shared" si="124"/>
        <v>0</v>
      </c>
      <c r="M585" s="1036">
        <f t="shared" si="124"/>
        <v>0</v>
      </c>
      <c r="N585" s="1036">
        <f t="shared" si="124"/>
        <v>0</v>
      </c>
      <c r="O585" s="1038">
        <f t="array" ref="O585">SUM(IFERROR(($F$53:$M$53=$C585)* ($E$55:$E$62=O$544) * ($D$55:$D$62=$E$10) * ($F$55:$M$62),-1))</f>
        <v>0</v>
      </c>
      <c r="P585" s="691"/>
      <c r="Q585" s="36"/>
      <c r="R585" s="36"/>
      <c r="S585" s="36"/>
      <c r="T585" s="36"/>
      <c r="U585" s="36"/>
      <c r="V585" s="36"/>
      <c r="W585" s="36"/>
      <c r="X585" s="36"/>
      <c r="Y585" s="36"/>
      <c r="Z585" s="36"/>
    </row>
    <row r="586" spans="1:26">
      <c r="A586" s="452">
        <v>2050</v>
      </c>
      <c r="B586" s="341"/>
      <c r="C586" s="79" t="str">
        <f t="shared" si="122"/>
        <v>CP</v>
      </c>
      <c r="D586" s="79" t="str">
        <f t="shared" si="122"/>
        <v>Chemicals  -33</v>
      </c>
      <c r="E586" s="79"/>
      <c r="F586" s="79"/>
      <c r="G586" s="461" t="s">
        <v>993</v>
      </c>
      <c r="H586" s="1037">
        <f t="shared" si="123"/>
        <v>0.431675164034791</v>
      </c>
      <c r="I586" s="1038">
        <f t="array" ref="I586">SUM(IFERROR(($F$53:$M$53=$C586)* ($E$55:$E$62=I$544) * ($D$55:$D$62=$E$10) * ($F$55:$M$62),-1))</f>
        <v>0.56472413116897369</v>
      </c>
      <c r="J586" s="1036">
        <f t="shared" si="124"/>
        <v>0</v>
      </c>
      <c r="K586" s="1036">
        <f t="shared" si="124"/>
        <v>0</v>
      </c>
      <c r="L586" s="1036">
        <f t="shared" si="124"/>
        <v>3.6007047962352988E-3</v>
      </c>
      <c r="M586" s="1036">
        <f t="shared" si="124"/>
        <v>0</v>
      </c>
      <c r="N586" s="1036">
        <f t="shared" si="124"/>
        <v>0</v>
      </c>
      <c r="O586" s="1038">
        <f t="array" ref="O586">SUM(IFERROR(($F$53:$M$53=$C586)* ($E$55:$E$62=O$544) * ($D$55:$D$62=$E$10) * ($F$55:$M$62),-1))</f>
        <v>0</v>
      </c>
      <c r="P586" s="691"/>
      <c r="Q586" s="36"/>
      <c r="R586" s="36"/>
      <c r="S586" s="36"/>
      <c r="T586" s="36"/>
      <c r="U586" s="36"/>
      <c r="V586" s="36"/>
      <c r="W586" s="36"/>
      <c r="X586" s="36"/>
      <c r="Y586" s="36"/>
      <c r="Z586" s="36"/>
    </row>
    <row r="587" spans="1:26">
      <c r="A587" s="452">
        <v>2050</v>
      </c>
      <c r="B587" s="341"/>
      <c r="C587" s="79" t="str">
        <f t="shared" si="122"/>
        <v>NF</v>
      </c>
      <c r="D587" s="79" t="str">
        <f t="shared" si="122"/>
        <v>Non-Ferrous metals  - 352</v>
      </c>
      <c r="E587" s="79"/>
      <c r="F587" s="79"/>
      <c r="G587" s="461" t="s">
        <v>993</v>
      </c>
      <c r="H587" s="1037">
        <f t="shared" si="123"/>
        <v>1</v>
      </c>
      <c r="I587" s="1038">
        <f t="array" ref="I587">SUM(IFERROR(($F$53:$M$53=$C587)* ($E$55:$E$62=I$544) * ($D$55:$D$62=$E$10) * ($F$55:$M$62),-1))</f>
        <v>0</v>
      </c>
      <c r="J587" s="1036">
        <f t="shared" si="124"/>
        <v>0</v>
      </c>
      <c r="K587" s="1036">
        <f t="shared" si="124"/>
        <v>0</v>
      </c>
      <c r="L587" s="1036">
        <f t="shared" si="124"/>
        <v>0</v>
      </c>
      <c r="M587" s="1036">
        <f t="shared" si="124"/>
        <v>0</v>
      </c>
      <c r="N587" s="1036">
        <f t="shared" si="124"/>
        <v>0</v>
      </c>
      <c r="O587" s="1038">
        <f t="array" ref="O587">SUM(IFERROR(($F$53:$M$53=$C587)* ($E$55:$E$62=O$544) * ($D$55:$D$62=$E$10) * ($F$55:$M$62),-1))</f>
        <v>0</v>
      </c>
      <c r="P587" s="691"/>
      <c r="Q587" s="36"/>
      <c r="R587" s="36"/>
      <c r="S587" s="36"/>
      <c r="T587" s="36"/>
      <c r="U587" s="36"/>
      <c r="V587" s="36"/>
      <c r="W587" s="36"/>
      <c r="X587" s="36"/>
      <c r="Y587" s="36"/>
      <c r="Z587" s="36"/>
    </row>
    <row r="588" spans="1:26">
      <c r="A588" s="452">
        <v>2050</v>
      </c>
      <c r="B588" s="341"/>
      <c r="C588" s="79" t="str">
        <f t="shared" si="122"/>
        <v>NM</v>
      </c>
      <c r="D588" s="79" t="str">
        <f t="shared" si="122"/>
        <v>N.M.M Products  -34</v>
      </c>
      <c r="E588" s="79"/>
      <c r="F588" s="79"/>
      <c r="G588" s="461" t="s">
        <v>993</v>
      </c>
      <c r="H588" s="1037">
        <f t="shared" si="123"/>
        <v>0.859160349749859</v>
      </c>
      <c r="I588" s="1038">
        <f t="array" ref="I588">SUM(IFERROR(($F$53:$M$53=$C588)* ($E$55:$E$62=I$544) * ($D$55:$D$62=$E$10) * ($F$55:$M$62),-1))</f>
        <v>0.14083965025014095</v>
      </c>
      <c r="J588" s="1036">
        <f t="shared" si="124"/>
        <v>0</v>
      </c>
      <c r="K588" s="1036">
        <f t="shared" si="124"/>
        <v>0</v>
      </c>
      <c r="L588" s="1036">
        <f t="shared" si="124"/>
        <v>0</v>
      </c>
      <c r="M588" s="1036">
        <f t="shared" si="124"/>
        <v>0</v>
      </c>
      <c r="N588" s="1036">
        <f t="shared" si="124"/>
        <v>0</v>
      </c>
      <c r="O588" s="1038">
        <f t="array" ref="O588">SUM(IFERROR(($F$53:$M$53=$C588)* ($E$55:$E$62=O$544) * ($D$55:$D$62=$E$10) * ($F$55:$M$62),-1))</f>
        <v>0</v>
      </c>
      <c r="P588" s="691"/>
      <c r="Q588" s="36"/>
      <c r="R588" s="36"/>
      <c r="S588" s="36"/>
      <c r="T588" s="36"/>
      <c r="U588" s="36"/>
      <c r="V588" s="36"/>
      <c r="W588" s="36"/>
      <c r="X588" s="36"/>
      <c r="Y588" s="36"/>
      <c r="Z588" s="36"/>
    </row>
    <row r="589" spans="1:26">
      <c r="A589" s="452">
        <v>2050</v>
      </c>
      <c r="B589" s="341"/>
      <c r="C589" s="79" t="str">
        <f t="shared" si="122"/>
        <v>FB</v>
      </c>
      <c r="D589" s="79" t="str">
        <f t="shared" si="122"/>
        <v>Food, Beverage &amp; Tabacco  - 30</v>
      </c>
      <c r="E589" s="79"/>
      <c r="F589" s="79"/>
      <c r="G589" s="461" t="s">
        <v>993</v>
      </c>
      <c r="H589" s="1037">
        <f t="shared" si="123"/>
        <v>0.74136261909567969</v>
      </c>
      <c r="I589" s="1038">
        <f t="array" ref="I589">SUM(IFERROR(($F$53:$M$53=$C589)* ($E$55:$E$62=I$544) * ($D$55:$D$62=$E$10) * ($F$55:$M$62),-1))</f>
        <v>3.5953512850379725E-2</v>
      </c>
      <c r="J589" s="1036">
        <f t="shared" si="124"/>
        <v>0</v>
      </c>
      <c r="K589" s="1036">
        <f t="shared" si="124"/>
        <v>0</v>
      </c>
      <c r="L589" s="1036">
        <f t="shared" si="124"/>
        <v>8.1692213248666292E-3</v>
      </c>
      <c r="M589" s="1036">
        <f t="shared" si="124"/>
        <v>0</v>
      </c>
      <c r="N589" s="1036">
        <f t="shared" si="124"/>
        <v>0.21451464672907403</v>
      </c>
      <c r="O589" s="1038">
        <f t="array" ref="O589">SUM(IFERROR(($F$53:$M$53=$C589)* ($E$55:$E$62=O$544) * ($D$55:$D$62=$E$10) * ($F$55:$M$62),-1))</f>
        <v>0</v>
      </c>
      <c r="P589" s="691"/>
      <c r="Q589" s="36"/>
      <c r="R589" s="36"/>
      <c r="S589" s="36"/>
      <c r="T589" s="36"/>
      <c r="U589" s="36"/>
      <c r="V589" s="36"/>
      <c r="W589" s="36"/>
      <c r="X589" s="36"/>
      <c r="Y589" s="36"/>
      <c r="Z589" s="36"/>
    </row>
    <row r="590" spans="1:26">
      <c r="A590" s="452">
        <v>2050</v>
      </c>
      <c r="B590" s="341"/>
      <c r="C590" s="79" t="str">
        <f t="shared" si="122"/>
        <v>PP</v>
      </c>
      <c r="D590" s="79" t="str">
        <f t="shared" si="122"/>
        <v>Pulp &amp; Paper Products  -323</v>
      </c>
      <c r="E590" s="79"/>
      <c r="F590" s="79"/>
      <c r="G590" s="461" t="s">
        <v>993</v>
      </c>
      <c r="H590" s="1037">
        <f t="shared" si="123"/>
        <v>0.6059053103689227</v>
      </c>
      <c r="I590" s="1038">
        <f t="array" ref="I590">SUM(IFERROR(($F$53:$M$53=$C590)* ($E$55:$E$62=I$544) * ($D$55:$D$62=$E$10) * ($F$55:$M$62),-1))</f>
        <v>3.282723441090795E-2</v>
      </c>
      <c r="J590" s="1036">
        <f t="shared" si="124"/>
        <v>0</v>
      </c>
      <c r="K590" s="1036">
        <f t="shared" si="124"/>
        <v>0</v>
      </c>
      <c r="L590" s="1036">
        <f t="shared" si="124"/>
        <v>0</v>
      </c>
      <c r="M590" s="1036">
        <f t="shared" si="124"/>
        <v>0.36126745522016929</v>
      </c>
      <c r="N590" s="1036">
        <f t="shared" si="124"/>
        <v>0</v>
      </c>
      <c r="O590" s="1038">
        <f t="array" ref="O590">SUM(IFERROR(($F$53:$M$53=$C590)* ($E$55:$E$62=O$544) * ($D$55:$D$62=$E$10) * ($F$55:$M$62),-1))</f>
        <v>0</v>
      </c>
      <c r="P590" s="691"/>
      <c r="Q590" s="36"/>
      <c r="R590" s="36"/>
      <c r="S590" s="36"/>
      <c r="T590" s="36"/>
      <c r="U590" s="36"/>
      <c r="V590" s="36"/>
      <c r="W590" s="36"/>
      <c r="X590" s="36"/>
      <c r="Y590" s="36"/>
      <c r="Z590" s="36"/>
    </row>
    <row r="591" spans="1:26">
      <c r="A591" s="452">
        <v>2050</v>
      </c>
      <c r="B591" s="338"/>
      <c r="C591" s="79" t="str">
        <f t="shared" si="122"/>
        <v>OT</v>
      </c>
      <c r="D591" s="79" t="str">
        <f t="shared" si="122"/>
        <v>Other</v>
      </c>
      <c r="E591" s="79"/>
      <c r="F591" s="79"/>
      <c r="G591" s="461" t="s">
        <v>993</v>
      </c>
      <c r="H591" s="1037">
        <f t="shared" si="123"/>
        <v>0.93982815966586464</v>
      </c>
      <c r="I591" s="1038">
        <f t="array" ref="I591">SUM(IFERROR(($F$53:$M$53=$C591)* ($E$55:$E$62=I$544) * ($D$55:$D$62=$E$10) * ($F$55:$M$62),-1))</f>
        <v>5.7749322141788295E-2</v>
      </c>
      <c r="J591" s="1036">
        <f t="shared" si="124"/>
        <v>5.8022006042697375E-4</v>
      </c>
      <c r="K591" s="1036">
        <f t="shared" si="124"/>
        <v>2.6024228687779634E-5</v>
      </c>
      <c r="L591" s="1036">
        <f t="shared" si="124"/>
        <v>1.8162739032322635E-3</v>
      </c>
      <c r="M591" s="1036">
        <f t="shared" si="124"/>
        <v>0</v>
      </c>
      <c r="N591" s="1036">
        <f t="shared" si="124"/>
        <v>0</v>
      </c>
      <c r="O591" s="1038">
        <f t="array" ref="O591">SUM(IFERROR(($F$53:$M$53=$C591)* ($E$55:$E$62=O$544) * ($D$55:$D$62=$E$10) * ($F$55:$M$62),-1))</f>
        <v>0</v>
      </c>
      <c r="P591" s="691"/>
      <c r="Q591" s="36"/>
      <c r="R591" s="36"/>
      <c r="S591" s="36"/>
      <c r="T591" s="36"/>
      <c r="U591" s="36"/>
      <c r="V591" s="36"/>
      <c r="W591" s="36"/>
      <c r="X591" s="36"/>
      <c r="Y591" s="36"/>
      <c r="Z591" s="36"/>
    </row>
    <row r="592" spans="1:26" collapsed="1">
      <c r="A592" s="452"/>
      <c r="B592" s="338"/>
      <c r="C592" s="84"/>
      <c r="D592" s="84"/>
      <c r="E592" s="84"/>
      <c r="F592" s="84"/>
      <c r="G592" s="470"/>
      <c r="H592" s="84"/>
      <c r="I592" s="84"/>
      <c r="J592" s="84"/>
      <c r="K592" s="84"/>
      <c r="L592" s="84"/>
      <c r="M592" s="84"/>
      <c r="N592" s="84"/>
      <c r="O592" s="84"/>
      <c r="P592" s="691"/>
      <c r="Q592" s="36"/>
      <c r="R592" s="36"/>
      <c r="S592" s="36"/>
      <c r="T592" s="36"/>
      <c r="U592" s="36"/>
      <c r="V592" s="36"/>
      <c r="W592" s="36"/>
      <c r="X592" s="36"/>
      <c r="Y592" s="36"/>
      <c r="Z592" s="36"/>
    </row>
    <row r="593" spans="1:26" hidden="1" outlineLevel="2">
      <c r="B593" s="338"/>
      <c r="C593" s="1441"/>
      <c r="D593" s="1441"/>
      <c r="E593" s="1441"/>
      <c r="F593" s="1441"/>
      <c r="G593" s="1441"/>
      <c r="H593" s="1441"/>
      <c r="I593" s="1441"/>
      <c r="J593" s="1441"/>
      <c r="K593" s="1441"/>
      <c r="L593" s="1441"/>
      <c r="M593" s="1441"/>
      <c r="N593" s="1441"/>
      <c r="O593" s="1441"/>
      <c r="P593" s="338"/>
      <c r="Q593" s="36"/>
      <c r="R593" s="36"/>
      <c r="S593" s="36"/>
      <c r="T593" s="36"/>
      <c r="U593" s="36"/>
      <c r="V593" s="36"/>
      <c r="W593" s="36"/>
      <c r="X593" s="36"/>
      <c r="Y593" s="36"/>
      <c r="Z593" s="36"/>
    </row>
    <row r="594" spans="1:26" hidden="1" outlineLevel="2">
      <c r="A594" s="452"/>
      <c r="B594" s="338"/>
      <c r="C594" s="1436" t="s">
        <v>1832</v>
      </c>
      <c r="D594" s="1452"/>
      <c r="E594" s="1452"/>
      <c r="F594" s="1452"/>
      <c r="G594" s="1449"/>
      <c r="H594" s="1452"/>
      <c r="I594" s="1452"/>
      <c r="J594" s="1452"/>
      <c r="K594" s="1452"/>
      <c r="L594" s="1452"/>
      <c r="M594" s="1452"/>
      <c r="N594" s="1452"/>
      <c r="O594" s="1452"/>
      <c r="P594" s="691"/>
      <c r="Q594" s="36"/>
      <c r="R594" s="36"/>
      <c r="S594" s="36"/>
      <c r="T594" s="36"/>
      <c r="U594" s="36"/>
      <c r="V594" s="36"/>
      <c r="W594" s="36"/>
      <c r="X594" s="36"/>
      <c r="Y594" s="36"/>
      <c r="Z594" s="36"/>
    </row>
    <row r="595" spans="1:26" hidden="1" outlineLevel="2">
      <c r="A595" s="452">
        <v>2006</v>
      </c>
      <c r="B595" s="338"/>
      <c r="C595" s="1435" t="str">
        <f t="shared" ref="C595:D602" si="125">C20</f>
        <v>MI</v>
      </c>
      <c r="D595" s="1435" t="str">
        <f t="shared" si="125"/>
        <v>Mining SIC2</v>
      </c>
      <c r="E595" s="1434"/>
      <c r="F595" s="1433"/>
      <c r="G595" s="1432" t="s">
        <v>993</v>
      </c>
      <c r="H595" s="1431">
        <f t="shared" ref="H595:O602" si="126">INDEX($H$163:$O$170,MATCH(H$544,$G$163:$G$170,0),MATCH($C595,$H$161:$O$161,0))</f>
        <v>0.94093630337573975</v>
      </c>
      <c r="I595" s="1431">
        <f t="shared" si="126"/>
        <v>5.76127028396256E-2</v>
      </c>
      <c r="J595" s="1431">
        <f t="shared" si="126"/>
        <v>1.4497705780728732E-3</v>
      </c>
      <c r="K595" s="1431">
        <f t="shared" si="126"/>
        <v>1.2232065616448326E-6</v>
      </c>
      <c r="L595" s="1431">
        <f t="shared" si="126"/>
        <v>0</v>
      </c>
      <c r="M595" s="1431">
        <f t="shared" si="126"/>
        <v>0</v>
      </c>
      <c r="N595" s="1431">
        <f t="shared" si="126"/>
        <v>0</v>
      </c>
      <c r="O595" s="1431">
        <f t="shared" si="126"/>
        <v>0</v>
      </c>
      <c r="P595" s="691"/>
      <c r="Q595" s="36"/>
      <c r="R595" s="36"/>
      <c r="S595" s="36"/>
      <c r="T595" s="36"/>
      <c r="U595" s="36"/>
      <c r="V595" s="36"/>
      <c r="W595" s="36"/>
      <c r="X595" s="36"/>
      <c r="Y595" s="36"/>
      <c r="Z595" s="36"/>
    </row>
    <row r="596" spans="1:26" hidden="1" outlineLevel="2">
      <c r="A596" s="452">
        <v>2006</v>
      </c>
      <c r="B596" s="338"/>
      <c r="C596" s="1435" t="str">
        <f t="shared" si="125"/>
        <v>IS</v>
      </c>
      <c r="D596" s="1435" t="str">
        <f t="shared" si="125"/>
        <v>Iron  &amp; Steel  - 351</v>
      </c>
      <c r="E596" s="1434"/>
      <c r="F596" s="1433"/>
      <c r="G596" s="1432" t="s">
        <v>993</v>
      </c>
      <c r="H596" s="1431">
        <f t="shared" si="126"/>
        <v>0.81179550150849511</v>
      </c>
      <c r="I596" s="1431">
        <f t="shared" si="126"/>
        <v>0.16008611513731411</v>
      </c>
      <c r="J596" s="1431">
        <f t="shared" si="126"/>
        <v>0</v>
      </c>
      <c r="K596" s="1431">
        <f t="shared" si="126"/>
        <v>2.8118383354190805E-2</v>
      </c>
      <c r="L596" s="1431">
        <f t="shared" si="126"/>
        <v>0</v>
      </c>
      <c r="M596" s="1431">
        <f t="shared" si="126"/>
        <v>0</v>
      </c>
      <c r="N596" s="1431">
        <f t="shared" si="126"/>
        <v>0</v>
      </c>
      <c r="O596" s="1431">
        <f t="shared" si="126"/>
        <v>0</v>
      </c>
      <c r="P596" s="691"/>
      <c r="Q596" s="36"/>
      <c r="R596" s="36"/>
      <c r="S596" s="36"/>
      <c r="T596" s="36"/>
      <c r="U596" s="36"/>
      <c r="V596" s="36"/>
      <c r="W596" s="36"/>
      <c r="X596" s="36"/>
      <c r="Y596" s="36"/>
      <c r="Z596" s="36"/>
    </row>
    <row r="597" spans="1:26" hidden="1" outlineLevel="2">
      <c r="A597" s="452">
        <v>2006</v>
      </c>
      <c r="B597" s="338"/>
      <c r="C597" s="1435" t="str">
        <f t="shared" si="125"/>
        <v>CP</v>
      </c>
      <c r="D597" s="1435" t="str">
        <f t="shared" si="125"/>
        <v>Chemicals  -33</v>
      </c>
      <c r="E597" s="1434"/>
      <c r="F597" s="1433"/>
      <c r="G597" s="1432" t="s">
        <v>993</v>
      </c>
      <c r="H597" s="1431">
        <f t="shared" si="126"/>
        <v>0.43167516403479089</v>
      </c>
      <c r="I597" s="1431">
        <f t="shared" si="126"/>
        <v>0.56472413116897369</v>
      </c>
      <c r="J597" s="1431">
        <f t="shared" si="126"/>
        <v>0</v>
      </c>
      <c r="K597" s="1431">
        <f t="shared" si="126"/>
        <v>0</v>
      </c>
      <c r="L597" s="1431">
        <f t="shared" si="126"/>
        <v>3.6007047962352988E-3</v>
      </c>
      <c r="M597" s="1431">
        <f t="shared" si="126"/>
        <v>0</v>
      </c>
      <c r="N597" s="1431">
        <f t="shared" si="126"/>
        <v>0</v>
      </c>
      <c r="O597" s="1431">
        <f t="shared" si="126"/>
        <v>0</v>
      </c>
      <c r="P597" s="691"/>
      <c r="Q597" s="36"/>
      <c r="R597" s="36"/>
      <c r="S597" s="36"/>
      <c r="T597" s="36"/>
      <c r="U597" s="36"/>
      <c r="V597" s="36"/>
      <c r="W597" s="36"/>
      <c r="X597" s="36"/>
      <c r="Y597" s="36"/>
      <c r="Z597" s="36"/>
    </row>
    <row r="598" spans="1:26" hidden="1" outlineLevel="2">
      <c r="A598" s="452">
        <v>2006</v>
      </c>
      <c r="B598" s="338"/>
      <c r="C598" s="1435" t="str">
        <f t="shared" si="125"/>
        <v>NF</v>
      </c>
      <c r="D598" s="1435" t="str">
        <f t="shared" si="125"/>
        <v>Non-Ferrous metals  - 352</v>
      </c>
      <c r="E598" s="1434"/>
      <c r="F598" s="1433"/>
      <c r="G598" s="1432" t="s">
        <v>993</v>
      </c>
      <c r="H598" s="1431">
        <f t="shared" si="126"/>
        <v>1</v>
      </c>
      <c r="I598" s="1431">
        <f t="shared" si="126"/>
        <v>0</v>
      </c>
      <c r="J598" s="1431">
        <f t="shared" si="126"/>
        <v>0</v>
      </c>
      <c r="K598" s="1431">
        <f t="shared" si="126"/>
        <v>0</v>
      </c>
      <c r="L598" s="1431">
        <f t="shared" si="126"/>
        <v>0</v>
      </c>
      <c r="M598" s="1431">
        <f t="shared" si="126"/>
        <v>0</v>
      </c>
      <c r="N598" s="1431">
        <f t="shared" si="126"/>
        <v>0</v>
      </c>
      <c r="O598" s="1431">
        <f t="shared" si="126"/>
        <v>0</v>
      </c>
      <c r="P598" s="691"/>
      <c r="Q598" s="36"/>
      <c r="R598" s="36"/>
      <c r="S598" s="36"/>
      <c r="T598" s="36"/>
      <c r="U598" s="36"/>
      <c r="V598" s="36"/>
      <c r="W598" s="36"/>
      <c r="X598" s="36"/>
      <c r="Y598" s="36"/>
      <c r="Z598" s="36"/>
    </row>
    <row r="599" spans="1:26" hidden="1" outlineLevel="2">
      <c r="A599" s="452">
        <v>2006</v>
      </c>
      <c r="B599" s="338"/>
      <c r="C599" s="1435" t="str">
        <f t="shared" si="125"/>
        <v>NM</v>
      </c>
      <c r="D599" s="1435" t="str">
        <f t="shared" si="125"/>
        <v>N.M.M Products  -34</v>
      </c>
      <c r="E599" s="1434"/>
      <c r="F599" s="1433"/>
      <c r="G599" s="1432" t="s">
        <v>993</v>
      </c>
      <c r="H599" s="1431">
        <f t="shared" si="126"/>
        <v>0.859160349749859</v>
      </c>
      <c r="I599" s="1431">
        <f t="shared" si="126"/>
        <v>0.14083965025014095</v>
      </c>
      <c r="J599" s="1431">
        <f t="shared" si="126"/>
        <v>0</v>
      </c>
      <c r="K599" s="1431">
        <f t="shared" si="126"/>
        <v>0</v>
      </c>
      <c r="L599" s="1431">
        <f t="shared" si="126"/>
        <v>0</v>
      </c>
      <c r="M599" s="1431">
        <f t="shared" si="126"/>
        <v>0</v>
      </c>
      <c r="N599" s="1431">
        <f t="shared" si="126"/>
        <v>0</v>
      </c>
      <c r="O599" s="1431">
        <f t="shared" si="126"/>
        <v>0</v>
      </c>
      <c r="P599" s="691"/>
      <c r="Q599" s="36"/>
      <c r="R599" s="36"/>
      <c r="S599" s="36"/>
      <c r="T599" s="36"/>
      <c r="U599" s="36"/>
      <c r="V599" s="36"/>
      <c r="W599" s="36"/>
      <c r="X599" s="36"/>
      <c r="Y599" s="36"/>
      <c r="Z599" s="36"/>
    </row>
    <row r="600" spans="1:26" hidden="1" outlineLevel="2">
      <c r="A600" s="452">
        <v>2006</v>
      </c>
      <c r="B600" s="338"/>
      <c r="C600" s="1435" t="str">
        <f t="shared" si="125"/>
        <v>FB</v>
      </c>
      <c r="D600" s="1435" t="str">
        <f t="shared" si="125"/>
        <v>Food, Beverage &amp; Tabacco  - 30</v>
      </c>
      <c r="E600" s="1434"/>
      <c r="F600" s="1433"/>
      <c r="G600" s="1432" t="s">
        <v>993</v>
      </c>
      <c r="H600" s="1431">
        <f t="shared" si="126"/>
        <v>0.74136261909567958</v>
      </c>
      <c r="I600" s="1431">
        <f t="shared" si="126"/>
        <v>3.5953512850379725E-2</v>
      </c>
      <c r="J600" s="1431">
        <f t="shared" si="126"/>
        <v>0</v>
      </c>
      <c r="K600" s="1431">
        <f t="shared" si="126"/>
        <v>0</v>
      </c>
      <c r="L600" s="1431">
        <f t="shared" si="126"/>
        <v>8.1692213248666292E-3</v>
      </c>
      <c r="M600" s="1431">
        <f t="shared" si="126"/>
        <v>0</v>
      </c>
      <c r="N600" s="1431">
        <f t="shared" si="126"/>
        <v>0.21451464672907403</v>
      </c>
      <c r="O600" s="1431">
        <f t="shared" si="126"/>
        <v>0</v>
      </c>
      <c r="P600" s="691"/>
      <c r="Q600" s="36"/>
      <c r="R600" s="36"/>
      <c r="S600" s="36"/>
      <c r="T600" s="36"/>
      <c r="U600" s="36"/>
      <c r="V600" s="36"/>
      <c r="W600" s="36"/>
      <c r="X600" s="36"/>
      <c r="Y600" s="36"/>
      <c r="Z600" s="36"/>
    </row>
    <row r="601" spans="1:26" hidden="1" outlineLevel="2">
      <c r="A601" s="452">
        <v>2006</v>
      </c>
      <c r="B601" s="338"/>
      <c r="C601" s="1435" t="str">
        <f t="shared" si="125"/>
        <v>PP</v>
      </c>
      <c r="D601" s="1435" t="str">
        <f t="shared" si="125"/>
        <v>Pulp &amp; Paper Products  -323</v>
      </c>
      <c r="E601" s="1434"/>
      <c r="F601" s="1433"/>
      <c r="G601" s="1432" t="s">
        <v>993</v>
      </c>
      <c r="H601" s="1431">
        <f t="shared" si="126"/>
        <v>0.60590531036892281</v>
      </c>
      <c r="I601" s="1431">
        <f t="shared" si="126"/>
        <v>3.282723441090795E-2</v>
      </c>
      <c r="J601" s="1431">
        <f t="shared" si="126"/>
        <v>0</v>
      </c>
      <c r="K601" s="1431">
        <f t="shared" si="126"/>
        <v>0</v>
      </c>
      <c r="L601" s="1431">
        <f t="shared" si="126"/>
        <v>0</v>
      </c>
      <c r="M601" s="1431">
        <f t="shared" si="126"/>
        <v>0.36126745522016929</v>
      </c>
      <c r="N601" s="1431">
        <f t="shared" si="126"/>
        <v>0</v>
      </c>
      <c r="O601" s="1431">
        <f t="shared" si="126"/>
        <v>0</v>
      </c>
      <c r="P601" s="691"/>
      <c r="Q601" s="36"/>
      <c r="R601" s="36"/>
      <c r="S601" s="36"/>
      <c r="T601" s="36"/>
      <c r="U601" s="36"/>
      <c r="V601" s="36"/>
      <c r="W601" s="36"/>
      <c r="X601" s="36"/>
      <c r="Y601" s="36"/>
      <c r="Z601" s="36"/>
    </row>
    <row r="602" spans="1:26" hidden="1" outlineLevel="2">
      <c r="A602" s="452">
        <v>2006</v>
      </c>
      <c r="B602" s="338"/>
      <c r="C602" s="1435" t="str">
        <f t="shared" si="125"/>
        <v>OT</v>
      </c>
      <c r="D602" s="1435" t="str">
        <f t="shared" si="125"/>
        <v>Other</v>
      </c>
      <c r="E602" s="1434"/>
      <c r="F602" s="1433"/>
      <c r="G602" s="1432" t="s">
        <v>993</v>
      </c>
      <c r="H602" s="1431">
        <f t="shared" si="126"/>
        <v>0.93982815966586464</v>
      </c>
      <c r="I602" s="1431">
        <f t="shared" si="126"/>
        <v>5.7749322141788295E-2</v>
      </c>
      <c r="J602" s="1431">
        <f t="shared" si="126"/>
        <v>5.8022006042697375E-4</v>
      </c>
      <c r="K602" s="1431">
        <f t="shared" si="126"/>
        <v>2.6024228687779634E-5</v>
      </c>
      <c r="L602" s="1431">
        <f t="shared" si="126"/>
        <v>1.8162739032322635E-3</v>
      </c>
      <c r="M602" s="1431">
        <f t="shared" si="126"/>
        <v>0</v>
      </c>
      <c r="N602" s="1431">
        <f t="shared" si="126"/>
        <v>0</v>
      </c>
      <c r="O602" s="1431">
        <f t="shared" si="126"/>
        <v>0</v>
      </c>
      <c r="P602" s="691"/>
      <c r="Q602" s="36"/>
      <c r="R602" s="36"/>
      <c r="S602" s="36"/>
      <c r="T602" s="36"/>
      <c r="U602" s="36"/>
      <c r="V602" s="36"/>
      <c r="W602" s="36"/>
      <c r="X602" s="36"/>
      <c r="Y602" s="36"/>
      <c r="Z602" s="36"/>
    </row>
    <row r="603" spans="1:26" hidden="1" outlineLevel="2">
      <c r="B603" s="160"/>
      <c r="C603" s="1425"/>
      <c r="D603" s="1425"/>
      <c r="E603" s="1425"/>
      <c r="F603" s="1425"/>
      <c r="G603" s="1425"/>
      <c r="H603" s="1425"/>
      <c r="I603" s="1425"/>
      <c r="J603" s="1425"/>
      <c r="K603" s="1425"/>
      <c r="L603" s="1425"/>
      <c r="M603" s="1425"/>
      <c r="N603" s="1425"/>
      <c r="O603" s="1425"/>
      <c r="P603" s="160"/>
      <c r="Q603" s="36"/>
      <c r="R603" s="36"/>
      <c r="S603" s="36"/>
      <c r="T603" s="36"/>
      <c r="U603" s="36"/>
      <c r="V603" s="36"/>
      <c r="W603" s="36"/>
      <c r="X603" s="36"/>
      <c r="Y603" s="36"/>
      <c r="Z603" s="36"/>
    </row>
    <row r="604" spans="1:26" hidden="1" outlineLevel="2">
      <c r="A604" s="452"/>
      <c r="B604" s="338"/>
      <c r="C604" s="1436" t="s">
        <v>1833</v>
      </c>
      <c r="D604" s="1452"/>
      <c r="E604" s="1452"/>
      <c r="F604" s="1452"/>
      <c r="G604" s="1449"/>
      <c r="H604" s="1452"/>
      <c r="I604" s="1452"/>
      <c r="J604" s="1452"/>
      <c r="K604" s="1452"/>
      <c r="L604" s="1452"/>
      <c r="M604" s="1452"/>
      <c r="N604" s="1452"/>
      <c r="O604" s="1452"/>
      <c r="P604" s="691"/>
      <c r="Q604" s="36"/>
      <c r="R604" s="36"/>
      <c r="S604" s="36"/>
      <c r="T604" s="36"/>
      <c r="U604" s="36"/>
      <c r="V604" s="36"/>
      <c r="W604" s="36"/>
      <c r="X604" s="36"/>
      <c r="Y604" s="36"/>
      <c r="Z604" s="36"/>
    </row>
    <row r="605" spans="1:26" hidden="1" outlineLevel="2">
      <c r="A605" s="452">
        <v>2050</v>
      </c>
      <c r="B605" s="341"/>
      <c r="C605" s="1452" t="str">
        <f t="shared" ref="C605:D612" si="127">C20</f>
        <v>MI</v>
      </c>
      <c r="D605" s="1452" t="str">
        <f t="shared" si="127"/>
        <v>Mining SIC2</v>
      </c>
      <c r="E605" s="1452"/>
      <c r="F605" s="1452"/>
      <c r="G605" s="1449"/>
      <c r="H605" s="1424">
        <v>0</v>
      </c>
      <c r="I605" s="1424">
        <f t="shared" ref="I605:O612" si="128">(I584-I595)/($A$605-Base_Year)</f>
        <v>0</v>
      </c>
      <c r="J605" s="1424">
        <f t="shared" si="128"/>
        <v>0</v>
      </c>
      <c r="K605" s="1424">
        <f t="shared" si="128"/>
        <v>0</v>
      </c>
      <c r="L605" s="1424">
        <f t="shared" si="128"/>
        <v>0</v>
      </c>
      <c r="M605" s="1424">
        <f t="shared" si="128"/>
        <v>0</v>
      </c>
      <c r="N605" s="1424">
        <f t="shared" si="128"/>
        <v>0</v>
      </c>
      <c r="O605" s="1424">
        <f t="shared" si="128"/>
        <v>0</v>
      </c>
      <c r="P605" s="691"/>
      <c r="Q605" s="36"/>
      <c r="R605" s="36"/>
      <c r="S605" s="36"/>
      <c r="T605" s="36"/>
      <c r="U605" s="36"/>
      <c r="V605" s="36"/>
      <c r="W605" s="36"/>
      <c r="X605" s="36"/>
      <c r="Y605" s="36"/>
      <c r="Z605" s="36"/>
    </row>
    <row r="606" spans="1:26" hidden="1" outlineLevel="2">
      <c r="A606" s="452">
        <v>2050</v>
      </c>
      <c r="B606" s="341"/>
      <c r="C606" s="1452" t="str">
        <f t="shared" si="127"/>
        <v>IS</v>
      </c>
      <c r="D606" s="1452" t="str">
        <f t="shared" si="127"/>
        <v>Iron  &amp; Steel  - 351</v>
      </c>
      <c r="E606" s="1452"/>
      <c r="F606" s="1452"/>
      <c r="G606" s="1449"/>
      <c r="H606" s="1424">
        <v>0</v>
      </c>
      <c r="I606" s="1424">
        <f t="shared" si="128"/>
        <v>0</v>
      </c>
      <c r="J606" s="1424">
        <f t="shared" si="128"/>
        <v>0</v>
      </c>
      <c r="K606" s="1424">
        <f t="shared" si="128"/>
        <v>0</v>
      </c>
      <c r="L606" s="1424">
        <f t="shared" si="128"/>
        <v>0</v>
      </c>
      <c r="M606" s="1424">
        <f t="shared" si="128"/>
        <v>0</v>
      </c>
      <c r="N606" s="1424">
        <f t="shared" si="128"/>
        <v>0</v>
      </c>
      <c r="O606" s="1424">
        <f t="shared" si="128"/>
        <v>0</v>
      </c>
      <c r="P606" s="691"/>
      <c r="Q606" s="36"/>
      <c r="R606" s="36"/>
      <c r="S606" s="36"/>
      <c r="T606" s="36"/>
      <c r="U606" s="36"/>
      <c r="V606" s="36"/>
      <c r="W606" s="36"/>
      <c r="X606" s="36"/>
      <c r="Y606" s="36"/>
      <c r="Z606" s="36"/>
    </row>
    <row r="607" spans="1:26" hidden="1" outlineLevel="2">
      <c r="A607" s="452">
        <v>2050</v>
      </c>
      <c r="B607" s="341"/>
      <c r="C607" s="1452" t="str">
        <f t="shared" si="127"/>
        <v>CP</v>
      </c>
      <c r="D607" s="1452" t="str">
        <f t="shared" si="127"/>
        <v>Chemicals  -33</v>
      </c>
      <c r="E607" s="1452"/>
      <c r="F607" s="1452"/>
      <c r="G607" s="1449"/>
      <c r="H607" s="1424">
        <v>0</v>
      </c>
      <c r="I607" s="1424">
        <f t="shared" si="128"/>
        <v>0</v>
      </c>
      <c r="J607" s="1424">
        <f t="shared" si="128"/>
        <v>0</v>
      </c>
      <c r="K607" s="1424">
        <f t="shared" si="128"/>
        <v>0</v>
      </c>
      <c r="L607" s="1424">
        <f t="shared" si="128"/>
        <v>0</v>
      </c>
      <c r="M607" s="1424">
        <f t="shared" si="128"/>
        <v>0</v>
      </c>
      <c r="N607" s="1424">
        <f t="shared" si="128"/>
        <v>0</v>
      </c>
      <c r="O607" s="1424">
        <f t="shared" si="128"/>
        <v>0</v>
      </c>
      <c r="P607" s="691"/>
      <c r="Q607" s="36"/>
      <c r="R607" s="36"/>
      <c r="S607" s="36"/>
      <c r="T607" s="36"/>
      <c r="U607" s="36"/>
      <c r="V607" s="36"/>
      <c r="W607" s="36"/>
      <c r="X607" s="36"/>
      <c r="Y607" s="36"/>
      <c r="Z607" s="36"/>
    </row>
    <row r="608" spans="1:26" hidden="1" outlineLevel="2">
      <c r="A608" s="452">
        <v>2050</v>
      </c>
      <c r="B608" s="341"/>
      <c r="C608" s="1452" t="str">
        <f t="shared" si="127"/>
        <v>NF</v>
      </c>
      <c r="D608" s="1452" t="str">
        <f t="shared" si="127"/>
        <v>Non-Ferrous metals  - 352</v>
      </c>
      <c r="E608" s="1452"/>
      <c r="F608" s="1452"/>
      <c r="G608" s="1449"/>
      <c r="H608" s="1424">
        <v>0</v>
      </c>
      <c r="I608" s="1424">
        <f t="shared" si="128"/>
        <v>0</v>
      </c>
      <c r="J608" s="1424">
        <f t="shared" si="128"/>
        <v>0</v>
      </c>
      <c r="K608" s="1424">
        <f t="shared" si="128"/>
        <v>0</v>
      </c>
      <c r="L608" s="1424">
        <f t="shared" si="128"/>
        <v>0</v>
      </c>
      <c r="M608" s="1424">
        <f t="shared" si="128"/>
        <v>0</v>
      </c>
      <c r="N608" s="1424">
        <f t="shared" si="128"/>
        <v>0</v>
      </c>
      <c r="O608" s="1424">
        <f t="shared" si="128"/>
        <v>0</v>
      </c>
      <c r="P608" s="691"/>
      <c r="Q608" s="36"/>
      <c r="R608" s="36"/>
      <c r="S608" s="36"/>
      <c r="T608" s="36"/>
      <c r="U608" s="36"/>
      <c r="V608" s="36"/>
      <c r="W608" s="36"/>
      <c r="X608" s="36"/>
      <c r="Y608" s="36"/>
      <c r="Z608" s="36"/>
    </row>
    <row r="609" spans="1:26" hidden="1" outlineLevel="2">
      <c r="A609" s="452">
        <v>2050</v>
      </c>
      <c r="B609" s="341"/>
      <c r="C609" s="1452" t="str">
        <f t="shared" si="127"/>
        <v>NM</v>
      </c>
      <c r="D609" s="1452" t="str">
        <f t="shared" si="127"/>
        <v>N.M.M Products  -34</v>
      </c>
      <c r="E609" s="1452"/>
      <c r="F609" s="1452"/>
      <c r="G609" s="1449"/>
      <c r="H609" s="1424">
        <v>0</v>
      </c>
      <c r="I609" s="1424">
        <f t="shared" si="128"/>
        <v>0</v>
      </c>
      <c r="J609" s="1424">
        <f t="shared" si="128"/>
        <v>0</v>
      </c>
      <c r="K609" s="1424">
        <f t="shared" si="128"/>
        <v>0</v>
      </c>
      <c r="L609" s="1424">
        <f t="shared" si="128"/>
        <v>0</v>
      </c>
      <c r="M609" s="1424">
        <f t="shared" si="128"/>
        <v>0</v>
      </c>
      <c r="N609" s="1424">
        <f t="shared" si="128"/>
        <v>0</v>
      </c>
      <c r="O609" s="1424">
        <f t="shared" si="128"/>
        <v>0</v>
      </c>
      <c r="P609" s="691"/>
      <c r="Q609" s="36"/>
      <c r="R609" s="36"/>
      <c r="S609" s="36"/>
      <c r="T609" s="36"/>
      <c r="U609" s="36"/>
      <c r="V609" s="36"/>
      <c r="W609" s="36"/>
      <c r="X609" s="36"/>
      <c r="Y609" s="36"/>
      <c r="Z609" s="36"/>
    </row>
    <row r="610" spans="1:26" hidden="1" outlineLevel="2">
      <c r="A610" s="452">
        <v>2050</v>
      </c>
      <c r="B610" s="341"/>
      <c r="C610" s="1452" t="str">
        <f t="shared" si="127"/>
        <v>FB</v>
      </c>
      <c r="D610" s="1452" t="str">
        <f t="shared" si="127"/>
        <v>Food, Beverage &amp; Tabacco  - 30</v>
      </c>
      <c r="E610" s="1452"/>
      <c r="F610" s="1452"/>
      <c r="G610" s="1449"/>
      <c r="H610" s="1424">
        <v>0</v>
      </c>
      <c r="I610" s="1424">
        <f t="shared" si="128"/>
        <v>0</v>
      </c>
      <c r="J610" s="1424">
        <f t="shared" si="128"/>
        <v>0</v>
      </c>
      <c r="K610" s="1424">
        <f t="shared" si="128"/>
        <v>0</v>
      </c>
      <c r="L610" s="1424">
        <f t="shared" si="128"/>
        <v>0</v>
      </c>
      <c r="M610" s="1424">
        <f t="shared" si="128"/>
        <v>0</v>
      </c>
      <c r="N610" s="1424">
        <f t="shared" si="128"/>
        <v>0</v>
      </c>
      <c r="O610" s="1424">
        <f t="shared" si="128"/>
        <v>0</v>
      </c>
      <c r="P610" s="691"/>
      <c r="Q610" s="36"/>
      <c r="R610" s="36"/>
      <c r="S610" s="36"/>
      <c r="T610" s="36"/>
      <c r="U610" s="36"/>
      <c r="V610" s="36"/>
      <c r="W610" s="36"/>
      <c r="X610" s="36"/>
      <c r="Y610" s="36"/>
      <c r="Z610" s="36"/>
    </row>
    <row r="611" spans="1:26" hidden="1" outlineLevel="1">
      <c r="A611" s="452">
        <v>2050</v>
      </c>
      <c r="B611" s="341"/>
      <c r="C611" s="1452" t="str">
        <f t="shared" si="127"/>
        <v>PP</v>
      </c>
      <c r="D611" s="1452" t="str">
        <f t="shared" si="127"/>
        <v>Pulp &amp; Paper Products  -323</v>
      </c>
      <c r="E611" s="1452"/>
      <c r="F611" s="1452"/>
      <c r="G611" s="1449"/>
      <c r="H611" s="1424">
        <v>0</v>
      </c>
      <c r="I611" s="1424">
        <f t="shared" si="128"/>
        <v>0</v>
      </c>
      <c r="J611" s="1424">
        <f t="shared" si="128"/>
        <v>0</v>
      </c>
      <c r="K611" s="1424">
        <f t="shared" si="128"/>
        <v>0</v>
      </c>
      <c r="L611" s="1424">
        <f t="shared" si="128"/>
        <v>0</v>
      </c>
      <c r="M611" s="1424">
        <f t="shared" si="128"/>
        <v>0</v>
      </c>
      <c r="N611" s="1424">
        <f t="shared" si="128"/>
        <v>0</v>
      </c>
      <c r="O611" s="1424">
        <f t="shared" si="128"/>
        <v>0</v>
      </c>
      <c r="P611" s="691"/>
      <c r="Q611" s="36"/>
      <c r="R611" s="36"/>
      <c r="S611" s="36"/>
      <c r="T611" s="36"/>
      <c r="U611" s="36"/>
      <c r="V611" s="36"/>
      <c r="W611" s="36"/>
      <c r="X611" s="36"/>
      <c r="Y611" s="36"/>
      <c r="Z611" s="36"/>
    </row>
    <row r="612" spans="1:26" hidden="1" outlineLevel="1">
      <c r="A612" s="452">
        <v>2050</v>
      </c>
      <c r="B612" s="338"/>
      <c r="C612" s="1452" t="str">
        <f t="shared" si="127"/>
        <v>OT</v>
      </c>
      <c r="D612" s="1452" t="str">
        <f t="shared" si="127"/>
        <v>Other</v>
      </c>
      <c r="E612" s="1452"/>
      <c r="F612" s="1452"/>
      <c r="G612" s="1449"/>
      <c r="H612" s="1424">
        <v>0</v>
      </c>
      <c r="I612" s="1424">
        <f t="shared" si="128"/>
        <v>0</v>
      </c>
      <c r="J612" s="1424">
        <f t="shared" si="128"/>
        <v>0</v>
      </c>
      <c r="K612" s="1424">
        <f t="shared" si="128"/>
        <v>0</v>
      </c>
      <c r="L612" s="1424">
        <f t="shared" si="128"/>
        <v>0</v>
      </c>
      <c r="M612" s="1424">
        <f t="shared" si="128"/>
        <v>0</v>
      </c>
      <c r="N612" s="1424">
        <f t="shared" si="128"/>
        <v>0</v>
      </c>
      <c r="O612" s="1424">
        <f t="shared" si="128"/>
        <v>0</v>
      </c>
      <c r="P612" s="691"/>
      <c r="Q612" s="36"/>
      <c r="R612" s="36"/>
      <c r="S612" s="36"/>
      <c r="T612" s="36"/>
      <c r="U612" s="36"/>
      <c r="V612" s="36"/>
      <c r="W612" s="36"/>
      <c r="X612" s="36"/>
      <c r="Y612" s="36"/>
      <c r="Z612" s="36"/>
    </row>
    <row r="613" spans="1:26" hidden="1" outlineLevel="1">
      <c r="A613" s="452"/>
      <c r="B613" s="338"/>
      <c r="C613" s="1423"/>
      <c r="D613" s="1450"/>
      <c r="E613" s="1422"/>
      <c r="F613" s="1421"/>
      <c r="G613" s="1451"/>
      <c r="H613" s="1420"/>
      <c r="I613" s="1420"/>
      <c r="J613" s="1420"/>
      <c r="K613" s="1420"/>
      <c r="L613" s="1420"/>
      <c r="M613" s="1420"/>
      <c r="N613" s="1420"/>
      <c r="O613" s="1420"/>
      <c r="P613" s="691"/>
      <c r="Q613" s="36"/>
      <c r="R613" s="36"/>
      <c r="S613" s="36"/>
      <c r="T613" s="36"/>
      <c r="U613" s="36"/>
      <c r="V613" s="36"/>
      <c r="W613" s="36"/>
      <c r="X613" s="36"/>
      <c r="Y613" s="36"/>
      <c r="Z613" s="36"/>
    </row>
    <row r="614" spans="1:26" ht="14">
      <c r="A614" s="452"/>
      <c r="B614" s="341"/>
      <c r="C614" s="336"/>
      <c r="D614" s="336"/>
      <c r="E614" s="336"/>
      <c r="F614" s="336"/>
      <c r="G614" s="294"/>
      <c r="H614" s="336"/>
      <c r="I614" s="336"/>
      <c r="J614" s="336"/>
      <c r="K614" s="336"/>
      <c r="L614" s="336"/>
      <c r="M614" s="336"/>
      <c r="N614" s="336"/>
      <c r="O614" s="336"/>
      <c r="P614" s="691"/>
      <c r="Q614" s="36"/>
      <c r="R614" s="36"/>
      <c r="S614" s="36"/>
      <c r="T614" s="36"/>
      <c r="U614" s="36"/>
      <c r="V614" s="36"/>
      <c r="W614" s="36"/>
      <c r="X614" s="36"/>
      <c r="Y614" s="36"/>
      <c r="Z614" s="36"/>
    </row>
    <row r="615" spans="1:26" ht="14">
      <c r="A615" s="452"/>
      <c r="B615" s="341"/>
      <c r="C615" s="336"/>
      <c r="D615" s="336"/>
      <c r="E615" s="336"/>
      <c r="F615" s="336"/>
      <c r="G615" s="294"/>
      <c r="H615" s="336"/>
      <c r="I615" s="336"/>
      <c r="J615" s="336"/>
      <c r="K615" s="336"/>
      <c r="L615" s="336"/>
      <c r="M615" s="336"/>
      <c r="N615" s="336"/>
      <c r="O615" s="336"/>
      <c r="P615" s="160"/>
      <c r="Q615" s="36"/>
      <c r="R615" s="36"/>
      <c r="S615" s="36"/>
      <c r="T615" s="36"/>
      <c r="U615" s="36"/>
      <c r="V615" s="36"/>
      <c r="W615" s="36"/>
      <c r="X615" s="36"/>
      <c r="Y615" s="36"/>
      <c r="Z615" s="36"/>
    </row>
    <row r="616" spans="1:26">
      <c r="B616" s="845">
        <v>6</v>
      </c>
      <c r="C616" s="707" t="s">
        <v>2236</v>
      </c>
      <c r="D616" s="687"/>
      <c r="E616" s="171" t="str">
        <f xml:space="preserve"> "Trajectory: "&amp;$E$9</f>
        <v>Trajectory: 1</v>
      </c>
      <c r="F616" s="188"/>
      <c r="G616" s="188"/>
      <c r="H616" s="188"/>
      <c r="I616" s="188"/>
      <c r="J616" s="188"/>
      <c r="K616" s="188"/>
      <c r="L616" s="188"/>
      <c r="M616" s="188"/>
      <c r="N616" s="188"/>
      <c r="O616" s="188"/>
      <c r="P616" s="160"/>
      <c r="Q616" s="36"/>
      <c r="R616" s="36"/>
      <c r="S616" s="36"/>
      <c r="T616" s="36"/>
      <c r="U616" s="36"/>
      <c r="V616" s="36"/>
      <c r="W616" s="36"/>
      <c r="X616" s="36"/>
      <c r="Y616" s="36"/>
      <c r="Z616" s="36"/>
    </row>
    <row r="617" spans="1:26">
      <c r="B617" s="845"/>
      <c r="C617" s="707"/>
      <c r="D617" s="687"/>
      <c r="E617" s="171"/>
      <c r="F617" s="188"/>
      <c r="G617" s="706"/>
      <c r="H617" s="706"/>
      <c r="I617" s="706"/>
      <c r="J617" s="706"/>
      <c r="K617" s="706"/>
      <c r="L617" s="706"/>
      <c r="M617" s="706"/>
      <c r="N617" s="706"/>
      <c r="O617" s="706"/>
      <c r="P617" s="160"/>
      <c r="Q617" s="36"/>
      <c r="R617" s="36"/>
      <c r="S617" s="36"/>
      <c r="T617" s="36"/>
      <c r="U617" s="36"/>
      <c r="V617" s="36"/>
      <c r="W617" s="36"/>
      <c r="X617" s="36"/>
      <c r="Y617" s="36"/>
      <c r="Z617" s="36"/>
    </row>
    <row r="618" spans="1:26" ht="14">
      <c r="B618" s="341"/>
      <c r="C618" s="457"/>
      <c r="D618" s="705"/>
      <c r="E618" s="704"/>
      <c r="F618" s="703"/>
      <c r="G618" s="702" t="s">
        <v>1343</v>
      </c>
      <c r="H618" s="450" t="s">
        <v>882</v>
      </c>
      <c r="I618" s="450" t="s">
        <v>869</v>
      </c>
      <c r="J618" s="450" t="s">
        <v>885</v>
      </c>
      <c r="K618" s="450" t="s">
        <v>887</v>
      </c>
      <c r="L618" s="450" t="s">
        <v>879</v>
      </c>
      <c r="M618" s="450" t="s">
        <v>888</v>
      </c>
      <c r="N618" s="450" t="s">
        <v>889</v>
      </c>
      <c r="O618" s="450" t="s">
        <v>890</v>
      </c>
      <c r="P618" s="691"/>
      <c r="Q618" s="36"/>
      <c r="R618" s="36"/>
      <c r="S618" s="36"/>
      <c r="T618" s="36"/>
      <c r="U618" s="36"/>
      <c r="V618" s="36"/>
      <c r="W618" s="36"/>
      <c r="X618" s="36"/>
      <c r="Y618" s="36"/>
      <c r="Z618" s="36"/>
    </row>
    <row r="619" spans="1:26">
      <c r="A619" s="452"/>
      <c r="B619" s="341"/>
      <c r="C619" s="695"/>
      <c r="D619" s="702"/>
      <c r="E619" s="695"/>
      <c r="F619" s="701"/>
      <c r="G619" s="700" t="s">
        <v>58</v>
      </c>
      <c r="H619" s="450" t="str">
        <f>INDEX(EF[UK Vector],MATCH(H618,EF[SATIM Code],0))</f>
        <v>V.03</v>
      </c>
      <c r="I619" s="450" t="str">
        <f>INDEX(EF[UK Vector],MATCH(I618,EF[SATIM Code],0))</f>
        <v>V.05</v>
      </c>
      <c r="J619" s="450" t="str">
        <f>INDEX(EF[UK Vector],MATCH(J618,EF[SATIM Code],0))</f>
        <v>V.04</v>
      </c>
      <c r="K619" s="450" t="str">
        <f>INDEX(EF[UK Vector],MATCH(K618,EF[SATIM Code],0))</f>
        <v>V.04</v>
      </c>
      <c r="L619" s="450" t="str">
        <f>INDEX(EF[UK Vector],MATCH(L618,EF[SATIM Code],0))</f>
        <v>V.01</v>
      </c>
      <c r="M619" s="450" t="str">
        <f>INDEX(EF[UK Vector],MATCH(M618,EF[SATIM Code],0))</f>
        <v>V.09</v>
      </c>
      <c r="N619" s="450" t="str">
        <f>INDEX(EF[UK Vector],MATCH(N618,EF[SATIM Code],0))</f>
        <v>V.09</v>
      </c>
      <c r="O619" s="450" t="str">
        <f>INDEX(EF[UK Vector],MATCH(O618,EF[SATIM Code],0))</f>
        <v>V.16</v>
      </c>
      <c r="P619" s="691"/>
      <c r="Q619" s="36"/>
      <c r="R619" s="36"/>
      <c r="S619" s="36"/>
      <c r="T619" s="36"/>
      <c r="U619" s="36"/>
      <c r="V619" s="36"/>
      <c r="W619" s="36"/>
      <c r="X619" s="36"/>
      <c r="Y619" s="36"/>
      <c r="Z619" s="36"/>
    </row>
    <row r="620" spans="1:26" ht="26">
      <c r="A620" s="452"/>
      <c r="B620" s="338"/>
      <c r="C620" s="83" t="s">
        <v>32</v>
      </c>
      <c r="D620" s="697" t="s">
        <v>59</v>
      </c>
      <c r="E620" s="699"/>
      <c r="F620" s="698"/>
      <c r="G620" s="697" t="s">
        <v>59</v>
      </c>
      <c r="H620" s="696" t="str">
        <f>INDEX(Vectors[Description], MATCH(H$619, Vectors[Code], 0))</f>
        <v>Solid hydrocarbons</v>
      </c>
      <c r="I620" s="696" t="str">
        <f>INDEX(Vectors[Description], MATCH(I$619, Vectors[Code], 0))</f>
        <v>Gaseous hydrocarbons</v>
      </c>
      <c r="J620" s="696" t="str">
        <f>INDEX(Vectors[Description], MATCH(J$619, Vectors[Code], 0))</f>
        <v>Liquid hydrocarbons</v>
      </c>
      <c r="K620" s="696" t="str">
        <f>INDEX(Vectors[Description], MATCH(K$619, Vectors[Code], 0))</f>
        <v>Liquid hydrocarbons</v>
      </c>
      <c r="L620" s="696" t="str">
        <f>INDEX(Vectors[Description], MATCH(L$619, Vectors[Code], 0))</f>
        <v>Electricity (delivered to end user)</v>
      </c>
      <c r="M620" s="696" t="str">
        <f>INDEX(Vectors[Description], MATCH(M$619, Vectors[Code], 0))</f>
        <v>Dry biomass and waste</v>
      </c>
      <c r="N620" s="696" t="str">
        <f>INDEX(Vectors[Description], MATCH(N$619, Vectors[Code], 0))</f>
        <v>Dry biomass and waste</v>
      </c>
      <c r="O620" s="696" t="str">
        <f>INDEX(Vectors[Description], MATCH(O$619, Vectors[Code], 0))</f>
        <v>Other Waste</v>
      </c>
      <c r="P620" s="691"/>
      <c r="Q620" s="36"/>
      <c r="R620" s="36"/>
      <c r="S620" s="36"/>
      <c r="T620" s="36"/>
      <c r="U620" s="36"/>
      <c r="V620" s="36"/>
      <c r="W620" s="36"/>
      <c r="X620" s="36"/>
      <c r="Y620" s="36"/>
      <c r="Z620" s="36"/>
    </row>
    <row r="621" spans="1:26">
      <c r="A621" s="452">
        <v>2010</v>
      </c>
      <c r="B621" s="341"/>
      <c r="C621" s="337" t="str">
        <f t="shared" ref="C621:D628" si="129">C20</f>
        <v>MI</v>
      </c>
      <c r="D621" s="337" t="str">
        <f t="shared" si="129"/>
        <v>Mining SIC2</v>
      </c>
      <c r="E621" s="556"/>
      <c r="F621" s="981"/>
      <c r="G621" s="450" t="s">
        <v>993</v>
      </c>
      <c r="H621" s="694">
        <f t="array" ref="H621">MIN(SUM(IFERROR(($H$174:$O$174=$C621) * ($G$176:$G$183=H$618) * ($H$176:$O$183),0)) * (1 + SUM(($C$46:$C$49=$E$9) * ($F$45:$N$45=$A621) * ($F$46:$N$49)) ), INDEX($E$46:$E$49,MATCH($E$9,$C$46:$C$49,0)) )</f>
        <v>0.64022400510231114</v>
      </c>
      <c r="I621" s="694">
        <f t="array" ref="I621">MIN(SUM(IFERROR(($H$174:$O$174=$C621) * ($G$176:$G$183=I$618) * ($H$176:$O$183),0)) * (1 + SUM(($C$46:$C$49=$E$9) * ($F$45:$N$45=$A621) * ($F$46:$N$49)) ), INDEX($E$46:$E$49,MATCH($E$9,$C$46:$C$49,0)) )</f>
        <v>0.72025200574009995</v>
      </c>
      <c r="J621" s="694">
        <f t="array" ref="J621">MIN(SUM(IFERROR(($H$174:$O$174=$C621) * ($G$176:$G$183=J$618) * ($H$176:$O$183),0)) * (1 + SUM(($C$46:$C$49=$E$9) * ($F$45:$N$45=$A621) * ($F$46:$N$49)) ), INDEX($E$46:$E$49,MATCH($E$9,$C$46:$C$49,0)) )</f>
        <v>0.6802380054212056</v>
      </c>
      <c r="K621" s="694">
        <f t="array" ref="K621">MIN(SUM(IFERROR(($H$174:$O$174=$C621) * ($G$176:$G$183=K$618) * ($H$176:$O$183),0)) * (1 + SUM(($C$46:$C$49=$E$9) * ($F$45:$N$45=$A621) * ($F$46:$N$49)) ), INDEX($E$46:$E$49,MATCH($E$9,$C$46:$C$49,0)) )</f>
        <v>0.72025200574009995</v>
      </c>
      <c r="L621" s="694">
        <f t="array" ref="L621">MIN(SUM(IFERROR(($H$174:$O$174=$C621) * ($G$176:$G$183=L$618) * ($H$176:$O$183),0)) * (1 + SUM(($C$46:$C$49=$E$9) * ($F$45:$N$45=$A621) * ($F$46:$N$49)) ), INDEX($E$46:$E$49,MATCH($E$9,$C$46:$C$49,0)) )</f>
        <v>0.76</v>
      </c>
      <c r="M621" s="694">
        <f t="array" ref="M621">MIN(SUM(IFERROR(($H$174:$O$174=$C621) * ($G$176:$G$183=M$618) * ($H$176:$O$183),0)) * (1 + SUM(($C$46:$C$49=$E$9) * ($F$45:$N$45=$A621) * ($F$46:$N$49)) ), INDEX($E$46:$E$49,MATCH($E$9,$C$46:$C$49,0)) )</f>
        <v>0</v>
      </c>
      <c r="N621" s="694">
        <f t="array" ref="N621">MIN(SUM(IFERROR(($H$174:$O$174=$C621) * ($G$176:$G$183=N$618) * ($H$176:$O$183),0)) * (1 + SUM(($C$46:$C$49=$E$9) * ($F$45:$N$45=$A621) * ($F$46:$N$49)) ), INDEX($E$46:$E$49,MATCH($E$9,$C$46:$C$49,0)) )</f>
        <v>0</v>
      </c>
      <c r="O621" s="694">
        <f t="array" ref="O621">MIN(SUM(IFERROR(($H$174:$O$174=$C621) * ($G$176:$G$183=O$618) * ($H$176:$O$183),0)) * (1 + SUM(($C$46:$C$49=$E$9) * ($F$45:$N$45=$A621) * ($F$46:$N$49)) ), INDEX($E$46:$E$49,MATCH($E$9,$C$46:$C$49,0)) )</f>
        <v>0.60021000478341657</v>
      </c>
      <c r="P621" s="691"/>
      <c r="Q621" s="36"/>
      <c r="R621" s="36"/>
      <c r="S621" s="36"/>
      <c r="T621" s="36"/>
      <c r="U621" s="36"/>
      <c r="V621" s="36"/>
      <c r="W621" s="36"/>
      <c r="X621" s="36"/>
      <c r="Y621" s="36"/>
      <c r="Z621" s="36"/>
    </row>
    <row r="622" spans="1:26">
      <c r="A622" s="452">
        <v>2010</v>
      </c>
      <c r="B622" s="341"/>
      <c r="C622" s="337" t="str">
        <f t="shared" si="129"/>
        <v>IS</v>
      </c>
      <c r="D622" s="337" t="str">
        <f t="shared" si="129"/>
        <v>Iron  &amp; Steel  - 351</v>
      </c>
      <c r="E622" s="556"/>
      <c r="F622" s="981"/>
      <c r="G622" s="450" t="s">
        <v>993</v>
      </c>
      <c r="H622" s="694">
        <f t="array" ref="H622">MIN(SUM(IFERROR(($H$174:$O$174=$C622) * ($G$176:$G$183=H$618) * ($H$176:$O$183),0)) * (1 + SUM(($C$46:$C$49=$E$9) * ($F$45:$N$45=$A622) * ($F$46:$N$49)) ), INDEX($E$46:$E$49,MATCH($E$9,$C$46:$C$49,0)) )</f>
        <v>0.64022400510231114</v>
      </c>
      <c r="I622" s="694">
        <f t="array" ref="I622">MIN(SUM(IFERROR(($H$174:$O$174=$C622) * ($G$176:$G$183=I$618) * ($H$176:$O$183),0)) * (1 + SUM(($C$46:$C$49=$E$9) * ($F$45:$N$45=$A622) * ($F$46:$N$49)) ), INDEX($E$46:$E$49,MATCH($E$9,$C$46:$C$49,0)) )</f>
        <v>0.72025200574009995</v>
      </c>
      <c r="J622" s="694">
        <f t="array" ref="J622">MIN(SUM(IFERROR(($H$174:$O$174=$C622) * ($G$176:$G$183=J$618) * ($H$176:$O$183),0)) * (1 + SUM(($C$46:$C$49=$E$9) * ($F$45:$N$45=$A622) * ($F$46:$N$49)) ), INDEX($E$46:$E$49,MATCH($E$9,$C$46:$C$49,0)) )</f>
        <v>0.6802380054212056</v>
      </c>
      <c r="K622" s="694">
        <f t="array" ref="K622">MIN(SUM(IFERROR(($H$174:$O$174=$C622) * ($G$176:$G$183=K$618) * ($H$176:$O$183),0)) * (1 + SUM(($C$46:$C$49=$E$9) * ($F$45:$N$45=$A622) * ($F$46:$N$49)) ), INDEX($E$46:$E$49,MATCH($E$9,$C$46:$C$49,0)) )</f>
        <v>0.72025200574009995</v>
      </c>
      <c r="L622" s="694">
        <f t="array" ref="L622">MIN(SUM(IFERROR(($H$174:$O$174=$C622) * ($G$176:$G$183=L$618) * ($H$176:$O$183),0)) * (1 + SUM(($C$46:$C$49=$E$9) * ($F$45:$N$45=$A622) * ($F$46:$N$49)) ), INDEX($E$46:$E$49,MATCH($E$9,$C$46:$C$49,0)) )</f>
        <v>0.76</v>
      </c>
      <c r="M622" s="694">
        <f t="array" ref="M622">MIN(SUM(IFERROR(($H$174:$O$174=$C622) * ($G$176:$G$183=M$618) * ($H$176:$O$183),0)) * (1 + SUM(($C$46:$C$49=$E$9) * ($F$45:$N$45=$A622) * ($F$46:$N$49)) ), INDEX($E$46:$E$49,MATCH($E$9,$C$46:$C$49,0)) )</f>
        <v>0</v>
      </c>
      <c r="N622" s="694">
        <f t="array" ref="N622">MIN(SUM(IFERROR(($H$174:$O$174=$C622) * ($G$176:$G$183=N$618) * ($H$176:$O$183),0)) * (1 + SUM(($C$46:$C$49=$E$9) * ($F$45:$N$45=$A622) * ($F$46:$N$49)) ), INDEX($E$46:$E$49,MATCH($E$9,$C$46:$C$49,0)) )</f>
        <v>0</v>
      </c>
      <c r="O622" s="694">
        <f t="array" ref="O622">MIN(SUM(IFERROR(($H$174:$O$174=$C622) * ($G$176:$G$183=O$618) * ($H$176:$O$183),0)) * (1 + SUM(($C$46:$C$49=$E$9) * ($F$45:$N$45=$A622) * ($F$46:$N$49)) ), INDEX($E$46:$E$49,MATCH($E$9,$C$46:$C$49,0)) )</f>
        <v>0.60021000478341657</v>
      </c>
      <c r="P622" s="691"/>
      <c r="Q622" s="36"/>
      <c r="R622" s="36"/>
      <c r="S622" s="36"/>
      <c r="T622" s="36"/>
      <c r="U622" s="36"/>
      <c r="V622" s="36"/>
      <c r="W622" s="36"/>
      <c r="X622" s="36"/>
      <c r="Y622" s="36"/>
      <c r="Z622" s="36"/>
    </row>
    <row r="623" spans="1:26">
      <c r="A623" s="452">
        <v>2010</v>
      </c>
      <c r="B623" s="341"/>
      <c r="C623" s="337" t="str">
        <f t="shared" si="129"/>
        <v>CP</v>
      </c>
      <c r="D623" s="337" t="str">
        <f t="shared" si="129"/>
        <v>Chemicals  -33</v>
      </c>
      <c r="E623" s="556"/>
      <c r="F623" s="981"/>
      <c r="G623" s="450" t="s">
        <v>993</v>
      </c>
      <c r="H623" s="694">
        <f t="array" ref="H623">MIN(SUM(IFERROR(($H$174:$O$174=$C623) * ($G$176:$G$183=H$618) * ($H$176:$O$183),0)) * (1 + SUM(($C$46:$C$49=$E$9) * ($F$45:$N$45=$A623) * ($F$46:$N$49)) ), INDEX($E$46:$E$49,MATCH($E$9,$C$46:$C$49,0)) )</f>
        <v>0.64022400510231114</v>
      </c>
      <c r="I623" s="694">
        <f t="array" ref="I623">MIN(SUM(IFERROR(($H$174:$O$174=$C623) * ($G$176:$G$183=I$618) * ($H$176:$O$183),0)) * (1 + SUM(($C$46:$C$49=$E$9) * ($F$45:$N$45=$A623) * ($F$46:$N$49)) ), INDEX($E$46:$E$49,MATCH($E$9,$C$46:$C$49,0)) )</f>
        <v>0.72025200574009995</v>
      </c>
      <c r="J623" s="694">
        <f t="array" ref="J623">MIN(SUM(IFERROR(($H$174:$O$174=$C623) * ($G$176:$G$183=J$618) * ($H$176:$O$183),0)) * (1 + SUM(($C$46:$C$49=$E$9) * ($F$45:$N$45=$A623) * ($F$46:$N$49)) ), INDEX($E$46:$E$49,MATCH($E$9,$C$46:$C$49,0)) )</f>
        <v>0.6802380054212056</v>
      </c>
      <c r="K623" s="694">
        <f t="array" ref="K623">MIN(SUM(IFERROR(($H$174:$O$174=$C623) * ($G$176:$G$183=K$618) * ($H$176:$O$183),0)) * (1 + SUM(($C$46:$C$49=$E$9) * ($F$45:$N$45=$A623) * ($F$46:$N$49)) ), INDEX($E$46:$E$49,MATCH($E$9,$C$46:$C$49,0)) )</f>
        <v>0.72025200574009995</v>
      </c>
      <c r="L623" s="694">
        <f t="array" ref="L623">MIN(SUM(IFERROR(($H$174:$O$174=$C623) * ($G$176:$G$183=L$618) * ($H$176:$O$183),0)) * (1 + SUM(($C$46:$C$49=$E$9) * ($F$45:$N$45=$A623) * ($F$46:$N$49)) ), INDEX($E$46:$E$49,MATCH($E$9,$C$46:$C$49,0)) )</f>
        <v>0.76</v>
      </c>
      <c r="M623" s="694">
        <f t="array" ref="M623">MIN(SUM(IFERROR(($H$174:$O$174=$C623) * ($G$176:$G$183=M$618) * ($H$176:$O$183),0)) * (1 + SUM(($C$46:$C$49=$E$9) * ($F$45:$N$45=$A623) * ($F$46:$N$49)) ), INDEX($E$46:$E$49,MATCH($E$9,$C$46:$C$49,0)) )</f>
        <v>0</v>
      </c>
      <c r="N623" s="694">
        <f t="array" ref="N623">MIN(SUM(IFERROR(($H$174:$O$174=$C623) * ($G$176:$G$183=N$618) * ($H$176:$O$183),0)) * (1 + SUM(($C$46:$C$49=$E$9) * ($F$45:$N$45=$A623) * ($F$46:$N$49)) ), INDEX($E$46:$E$49,MATCH($E$9,$C$46:$C$49,0)) )</f>
        <v>0</v>
      </c>
      <c r="O623" s="694">
        <f t="array" ref="O623">MIN(SUM(IFERROR(($H$174:$O$174=$C623) * ($G$176:$G$183=O$618) * ($H$176:$O$183),0)) * (1 + SUM(($C$46:$C$49=$E$9) * ($F$45:$N$45=$A623) * ($F$46:$N$49)) ), INDEX($E$46:$E$49,MATCH($E$9,$C$46:$C$49,0)) )</f>
        <v>0.60021000478341657</v>
      </c>
      <c r="P623" s="691"/>
      <c r="Q623" s="36"/>
      <c r="R623" s="36"/>
      <c r="S623" s="36"/>
      <c r="T623" s="36"/>
      <c r="U623" s="36"/>
      <c r="V623" s="36"/>
      <c r="W623" s="36"/>
      <c r="X623" s="36"/>
      <c r="Y623" s="36"/>
      <c r="Z623" s="36"/>
    </row>
    <row r="624" spans="1:26">
      <c r="A624" s="452">
        <v>2010</v>
      </c>
      <c r="B624" s="341"/>
      <c r="C624" s="337" t="str">
        <f t="shared" si="129"/>
        <v>NF</v>
      </c>
      <c r="D624" s="337" t="str">
        <f t="shared" si="129"/>
        <v>Non-Ferrous metals  - 352</v>
      </c>
      <c r="E624" s="556"/>
      <c r="F624" s="981"/>
      <c r="G624" s="450" t="s">
        <v>993</v>
      </c>
      <c r="H624" s="694">
        <f t="array" ref="H624">MIN(SUM(IFERROR(($H$174:$O$174=$C624) * ($G$176:$G$183=H$618) * ($H$176:$O$183),0)) * (1 + SUM(($C$46:$C$49=$E$9) * ($F$45:$N$45=$A624) * ($F$46:$N$49)) ), INDEX($E$46:$E$49,MATCH($E$9,$C$46:$C$49,0)) )</f>
        <v>0.64022400510231114</v>
      </c>
      <c r="I624" s="694">
        <f t="array" ref="I624">MIN(SUM(IFERROR(($H$174:$O$174=$C624) * ($G$176:$G$183=I$618) * ($H$176:$O$183),0)) * (1 + SUM(($C$46:$C$49=$E$9) * ($F$45:$N$45=$A624) * ($F$46:$N$49)) ), INDEX($E$46:$E$49,MATCH($E$9,$C$46:$C$49,0)) )</f>
        <v>0.72025200574009995</v>
      </c>
      <c r="J624" s="694">
        <f t="array" ref="J624">MIN(SUM(IFERROR(($H$174:$O$174=$C624) * ($G$176:$G$183=J$618) * ($H$176:$O$183),0)) * (1 + SUM(($C$46:$C$49=$E$9) * ($F$45:$N$45=$A624) * ($F$46:$N$49)) ), INDEX($E$46:$E$49,MATCH($E$9,$C$46:$C$49,0)) )</f>
        <v>0.6802380054212056</v>
      </c>
      <c r="K624" s="694">
        <f t="array" ref="K624">MIN(SUM(IFERROR(($H$174:$O$174=$C624) * ($G$176:$G$183=K$618) * ($H$176:$O$183),0)) * (1 + SUM(($C$46:$C$49=$E$9) * ($F$45:$N$45=$A624) * ($F$46:$N$49)) ), INDEX($E$46:$E$49,MATCH($E$9,$C$46:$C$49,0)) )</f>
        <v>0.72025200574009995</v>
      </c>
      <c r="L624" s="694">
        <f t="array" ref="L624">MIN(SUM(IFERROR(($H$174:$O$174=$C624) * ($G$176:$G$183=L$618) * ($H$176:$O$183),0)) * (1 + SUM(($C$46:$C$49=$E$9) * ($F$45:$N$45=$A624) * ($F$46:$N$49)) ), INDEX($E$46:$E$49,MATCH($E$9,$C$46:$C$49,0)) )</f>
        <v>0.76</v>
      </c>
      <c r="M624" s="694">
        <f t="array" ref="M624">MIN(SUM(IFERROR(($H$174:$O$174=$C624) * ($G$176:$G$183=M$618) * ($H$176:$O$183),0)) * (1 + SUM(($C$46:$C$49=$E$9) * ($F$45:$N$45=$A624) * ($F$46:$N$49)) ), INDEX($E$46:$E$49,MATCH($E$9,$C$46:$C$49,0)) )</f>
        <v>0</v>
      </c>
      <c r="N624" s="694">
        <f t="array" ref="N624">MIN(SUM(IFERROR(($H$174:$O$174=$C624) * ($G$176:$G$183=N$618) * ($H$176:$O$183),0)) * (1 + SUM(($C$46:$C$49=$E$9) * ($F$45:$N$45=$A624) * ($F$46:$N$49)) ), INDEX($E$46:$E$49,MATCH($E$9,$C$46:$C$49,0)) )</f>
        <v>0</v>
      </c>
      <c r="O624" s="694">
        <f t="array" ref="O624">MIN(SUM(IFERROR(($H$174:$O$174=$C624) * ($G$176:$G$183=O$618) * ($H$176:$O$183),0)) * (1 + SUM(($C$46:$C$49=$E$9) * ($F$45:$N$45=$A624) * ($F$46:$N$49)) ), INDEX($E$46:$E$49,MATCH($E$9,$C$46:$C$49,0)) )</f>
        <v>0.60021000478341657</v>
      </c>
      <c r="P624" s="691"/>
      <c r="Q624" s="36"/>
      <c r="R624" s="36"/>
      <c r="S624" s="36"/>
      <c r="T624" s="36"/>
      <c r="U624" s="36"/>
      <c r="V624" s="36"/>
      <c r="W624" s="36"/>
      <c r="X624" s="36"/>
      <c r="Y624" s="36"/>
      <c r="Z624" s="36"/>
    </row>
    <row r="625" spans="1:26">
      <c r="A625" s="452">
        <v>2010</v>
      </c>
      <c r="B625" s="341"/>
      <c r="C625" s="337" t="str">
        <f t="shared" si="129"/>
        <v>NM</v>
      </c>
      <c r="D625" s="337" t="str">
        <f t="shared" si="129"/>
        <v>N.M.M Products  -34</v>
      </c>
      <c r="E625" s="556"/>
      <c r="F625" s="981"/>
      <c r="G625" s="450" t="s">
        <v>993</v>
      </c>
      <c r="H625" s="694">
        <f t="array" ref="H625">MIN(SUM(IFERROR(($H$174:$O$174=$C625) * ($G$176:$G$183=H$618) * ($H$176:$O$183),0)) * (1 + SUM(($C$46:$C$49=$E$9) * ($F$45:$N$45=$A625) * ($F$46:$N$49)) ), INDEX($E$46:$E$49,MATCH($E$9,$C$46:$C$49,0)) )</f>
        <v>0.64022400510231114</v>
      </c>
      <c r="I625" s="694">
        <f t="array" ref="I625">MIN(SUM(IFERROR(($H$174:$O$174=$C625) * ($G$176:$G$183=I$618) * ($H$176:$O$183),0)) * (1 + SUM(($C$46:$C$49=$E$9) * ($F$45:$N$45=$A625) * ($F$46:$N$49)) ), INDEX($E$46:$E$49,MATCH($E$9,$C$46:$C$49,0)) )</f>
        <v>0.72025200574009995</v>
      </c>
      <c r="J625" s="694">
        <f t="array" ref="J625">MIN(SUM(IFERROR(($H$174:$O$174=$C625) * ($G$176:$G$183=J$618) * ($H$176:$O$183),0)) * (1 + SUM(($C$46:$C$49=$E$9) * ($F$45:$N$45=$A625) * ($F$46:$N$49)) ), INDEX($E$46:$E$49,MATCH($E$9,$C$46:$C$49,0)) )</f>
        <v>0.6802380054212056</v>
      </c>
      <c r="K625" s="694">
        <f t="array" ref="K625">MIN(SUM(IFERROR(($H$174:$O$174=$C625) * ($G$176:$G$183=K$618) * ($H$176:$O$183),0)) * (1 + SUM(($C$46:$C$49=$E$9) * ($F$45:$N$45=$A625) * ($F$46:$N$49)) ), INDEX($E$46:$E$49,MATCH($E$9,$C$46:$C$49,0)) )</f>
        <v>0.72025200574009995</v>
      </c>
      <c r="L625" s="694">
        <f t="array" ref="L625">MIN(SUM(IFERROR(($H$174:$O$174=$C625) * ($G$176:$G$183=L$618) * ($H$176:$O$183),0)) * (1 + SUM(($C$46:$C$49=$E$9) * ($F$45:$N$45=$A625) * ($F$46:$N$49)) ), INDEX($E$46:$E$49,MATCH($E$9,$C$46:$C$49,0)) )</f>
        <v>0.76</v>
      </c>
      <c r="M625" s="694">
        <f t="array" ref="M625">MIN(SUM(IFERROR(($H$174:$O$174=$C625) * ($G$176:$G$183=M$618) * ($H$176:$O$183),0)) * (1 + SUM(($C$46:$C$49=$E$9) * ($F$45:$N$45=$A625) * ($F$46:$N$49)) ), INDEX($E$46:$E$49,MATCH($E$9,$C$46:$C$49,0)) )</f>
        <v>0</v>
      </c>
      <c r="N625" s="694">
        <f t="array" ref="N625">MIN(SUM(IFERROR(($H$174:$O$174=$C625) * ($G$176:$G$183=N$618) * ($H$176:$O$183),0)) * (1 + SUM(($C$46:$C$49=$E$9) * ($F$45:$N$45=$A625) * ($F$46:$N$49)) ), INDEX($E$46:$E$49,MATCH($E$9,$C$46:$C$49,0)) )</f>
        <v>0</v>
      </c>
      <c r="O625" s="694">
        <f t="array" ref="O625">MIN(SUM(IFERROR(($H$174:$O$174=$C625) * ($G$176:$G$183=O$618) * ($H$176:$O$183),0)) * (1 + SUM(($C$46:$C$49=$E$9) * ($F$45:$N$45=$A625) * ($F$46:$N$49)) ), INDEX($E$46:$E$49,MATCH($E$9,$C$46:$C$49,0)) )</f>
        <v>0.60021000478341657</v>
      </c>
      <c r="P625" s="691"/>
      <c r="Q625" s="36"/>
      <c r="R625" s="36"/>
      <c r="S625" s="36"/>
      <c r="T625" s="36"/>
      <c r="U625" s="36"/>
      <c r="V625" s="36"/>
      <c r="W625" s="36"/>
      <c r="X625" s="36"/>
      <c r="Y625" s="36"/>
      <c r="Z625" s="36"/>
    </row>
    <row r="626" spans="1:26">
      <c r="A626" s="452">
        <v>2010</v>
      </c>
      <c r="B626" s="341"/>
      <c r="C626" s="337" t="str">
        <f t="shared" si="129"/>
        <v>FB</v>
      </c>
      <c r="D626" s="337" t="str">
        <f t="shared" si="129"/>
        <v>Food, Beverage &amp; Tabacco  - 30</v>
      </c>
      <c r="E626" s="556"/>
      <c r="F626" s="981"/>
      <c r="G626" s="450" t="s">
        <v>993</v>
      </c>
      <c r="H626" s="694">
        <f t="array" ref="H626">MIN(SUM(IFERROR(($H$174:$O$174=$C626) * ($G$176:$G$183=H$618) * ($H$176:$O$183),0)) * (1 + SUM(($C$46:$C$49=$E$9) * ($F$45:$N$45=$A626) * ($F$46:$N$49)) ), INDEX($E$46:$E$49,MATCH($E$9,$C$46:$C$49,0)) )</f>
        <v>0.64022400510231114</v>
      </c>
      <c r="I626" s="694">
        <f t="array" ref="I626">MIN(SUM(IFERROR(($H$174:$O$174=$C626) * ($G$176:$G$183=I$618) * ($H$176:$O$183),0)) * (1 + SUM(($C$46:$C$49=$E$9) * ($F$45:$N$45=$A626) * ($F$46:$N$49)) ), INDEX($E$46:$E$49,MATCH($E$9,$C$46:$C$49,0)) )</f>
        <v>0.72025200574009995</v>
      </c>
      <c r="J626" s="694">
        <f t="array" ref="J626">MIN(SUM(IFERROR(($H$174:$O$174=$C626) * ($G$176:$G$183=J$618) * ($H$176:$O$183),0)) * (1 + SUM(($C$46:$C$49=$E$9) * ($F$45:$N$45=$A626) * ($F$46:$N$49)) ), INDEX($E$46:$E$49,MATCH($E$9,$C$46:$C$49,0)) )</f>
        <v>0.6802380054212056</v>
      </c>
      <c r="K626" s="694">
        <f t="array" ref="K626">MIN(SUM(IFERROR(($H$174:$O$174=$C626) * ($G$176:$G$183=K$618) * ($H$176:$O$183),0)) * (1 + SUM(($C$46:$C$49=$E$9) * ($F$45:$N$45=$A626) * ($F$46:$N$49)) ), INDEX($E$46:$E$49,MATCH($E$9,$C$46:$C$49,0)) )</f>
        <v>0.72025200574009995</v>
      </c>
      <c r="L626" s="694">
        <f t="array" ref="L626">MIN(SUM(IFERROR(($H$174:$O$174=$C626) * ($G$176:$G$183=L$618) * ($H$176:$O$183),0)) * (1 + SUM(($C$46:$C$49=$E$9) * ($F$45:$N$45=$A626) * ($F$46:$N$49)) ), INDEX($E$46:$E$49,MATCH($E$9,$C$46:$C$49,0)) )</f>
        <v>0.76</v>
      </c>
      <c r="M626" s="694">
        <f t="array" ref="M626">MIN(SUM(IFERROR(($H$174:$O$174=$C626) * ($G$176:$G$183=M$618) * ($H$176:$O$183),0)) * (1 + SUM(($C$46:$C$49=$E$9) * ($F$45:$N$45=$A626) * ($F$46:$N$49)) ), INDEX($E$46:$E$49,MATCH($E$9,$C$46:$C$49,0)) )</f>
        <v>0</v>
      </c>
      <c r="N626" s="694">
        <f t="array" ref="N626">MIN(SUM(IFERROR(($H$174:$O$174=$C626) * ($G$176:$G$183=N$618) * ($H$176:$O$183),0)) * (1 + SUM(($C$46:$C$49=$E$9) * ($F$45:$N$45=$A626) * ($F$46:$N$49)) ), INDEX($E$46:$E$49,MATCH($E$9,$C$46:$C$49,0)) )</f>
        <v>0.60021000478341657</v>
      </c>
      <c r="O626" s="694">
        <f t="array" ref="O626">MIN(SUM(IFERROR(($H$174:$O$174=$C626) * ($G$176:$G$183=O$618) * ($H$176:$O$183),0)) * (1 + SUM(($C$46:$C$49=$E$9) * ($F$45:$N$45=$A626) * ($F$46:$N$49)) ), INDEX($E$46:$E$49,MATCH($E$9,$C$46:$C$49,0)) )</f>
        <v>0.60021000478341657</v>
      </c>
      <c r="P626" s="691"/>
      <c r="Q626" s="36"/>
      <c r="R626" s="36"/>
      <c r="S626" s="36"/>
      <c r="T626" s="36"/>
      <c r="U626" s="36"/>
      <c r="V626" s="36"/>
      <c r="W626" s="36"/>
      <c r="X626" s="36"/>
      <c r="Y626" s="36"/>
      <c r="Z626" s="36"/>
    </row>
    <row r="627" spans="1:26">
      <c r="A627" s="452">
        <v>2010</v>
      </c>
      <c r="B627" s="341"/>
      <c r="C627" s="337" t="str">
        <f t="shared" si="129"/>
        <v>PP</v>
      </c>
      <c r="D627" s="337" t="str">
        <f t="shared" si="129"/>
        <v>Pulp &amp; Paper Products  -323</v>
      </c>
      <c r="E627" s="556"/>
      <c r="F627" s="981"/>
      <c r="G627" s="450" t="s">
        <v>993</v>
      </c>
      <c r="H627" s="694">
        <f t="array" ref="H627">MIN(SUM(IFERROR(($H$174:$O$174=$C627) * ($G$176:$G$183=H$618) * ($H$176:$O$183),0)) * (1 + SUM(($C$46:$C$49=$E$9) * ($F$45:$N$45=$A627) * ($F$46:$N$49)) ), INDEX($E$46:$E$49,MATCH($E$9,$C$46:$C$49,0)) )</f>
        <v>0.64022400510231114</v>
      </c>
      <c r="I627" s="694">
        <f t="array" ref="I627">MIN(SUM(IFERROR(($H$174:$O$174=$C627) * ($G$176:$G$183=I$618) * ($H$176:$O$183),0)) * (1 + SUM(($C$46:$C$49=$E$9) * ($F$45:$N$45=$A627) * ($F$46:$N$49)) ), INDEX($E$46:$E$49,MATCH($E$9,$C$46:$C$49,0)) )</f>
        <v>0.72025200574009995</v>
      </c>
      <c r="J627" s="694">
        <f t="array" ref="J627">MIN(SUM(IFERROR(($H$174:$O$174=$C627) * ($G$176:$G$183=J$618) * ($H$176:$O$183),0)) * (1 + SUM(($C$46:$C$49=$E$9) * ($F$45:$N$45=$A627) * ($F$46:$N$49)) ), INDEX($E$46:$E$49,MATCH($E$9,$C$46:$C$49,0)) )</f>
        <v>0.6802380054212056</v>
      </c>
      <c r="K627" s="694">
        <f t="array" ref="K627">MIN(SUM(IFERROR(($H$174:$O$174=$C627) * ($G$176:$G$183=K$618) * ($H$176:$O$183),0)) * (1 + SUM(($C$46:$C$49=$E$9) * ($F$45:$N$45=$A627) * ($F$46:$N$49)) ), INDEX($E$46:$E$49,MATCH($E$9,$C$46:$C$49,0)) )</f>
        <v>0.72025200574009995</v>
      </c>
      <c r="L627" s="694">
        <f t="array" ref="L627">MIN(SUM(IFERROR(($H$174:$O$174=$C627) * ($G$176:$G$183=L$618) * ($H$176:$O$183),0)) * (1 + SUM(($C$46:$C$49=$E$9) * ($F$45:$N$45=$A627) * ($F$46:$N$49)) ), INDEX($E$46:$E$49,MATCH($E$9,$C$46:$C$49,0)) )</f>
        <v>0.76</v>
      </c>
      <c r="M627" s="694">
        <f t="array" ref="M627">MIN(SUM(IFERROR(($H$174:$O$174=$C627) * ($G$176:$G$183=M$618) * ($H$176:$O$183),0)) * (1 + SUM(($C$46:$C$49=$E$9) * ($F$45:$N$45=$A627) * ($F$46:$N$49)) ), INDEX($E$46:$E$49,MATCH($E$9,$C$46:$C$49,0)) )</f>
        <v>0.60021000478341657</v>
      </c>
      <c r="N627" s="694">
        <f t="array" ref="N627">MIN(SUM(IFERROR(($H$174:$O$174=$C627) * ($G$176:$G$183=N$618) * ($H$176:$O$183),0)) * (1 + SUM(($C$46:$C$49=$E$9) * ($F$45:$N$45=$A627) * ($F$46:$N$49)) ), INDEX($E$46:$E$49,MATCH($E$9,$C$46:$C$49,0)) )</f>
        <v>0</v>
      </c>
      <c r="O627" s="694">
        <f t="array" ref="O627">MIN(SUM(IFERROR(($H$174:$O$174=$C627) * ($G$176:$G$183=O$618) * ($H$176:$O$183),0)) * (1 + SUM(($C$46:$C$49=$E$9) * ($F$45:$N$45=$A627) * ($F$46:$N$49)) ), INDEX($E$46:$E$49,MATCH($E$9,$C$46:$C$49,0)) )</f>
        <v>0.60021000478341657</v>
      </c>
      <c r="P627" s="691"/>
      <c r="Q627" s="36"/>
      <c r="R627" s="36"/>
      <c r="S627" s="36"/>
      <c r="T627" s="36"/>
      <c r="U627" s="36"/>
      <c r="V627" s="36"/>
      <c r="W627" s="36"/>
      <c r="X627" s="36"/>
      <c r="Y627" s="36"/>
      <c r="Z627" s="36"/>
    </row>
    <row r="628" spans="1:26">
      <c r="A628" s="452">
        <v>2010</v>
      </c>
      <c r="B628" s="341"/>
      <c r="C628" s="337" t="str">
        <f t="shared" si="129"/>
        <v>OT</v>
      </c>
      <c r="D628" s="337" t="str">
        <f t="shared" si="129"/>
        <v>Other</v>
      </c>
      <c r="E628" s="556"/>
      <c r="F628" s="981"/>
      <c r="G628" s="450" t="s">
        <v>993</v>
      </c>
      <c r="H628" s="694">
        <f t="array" ref="H628">MIN(SUM(IFERROR(($H$174:$O$174=$C628) * ($G$176:$G$183=H$618) * ($H$176:$O$183),0)) * (1 + SUM(($C$46:$C$49=$E$9) * ($F$45:$N$45=$A628) * ($F$46:$N$49)) ), INDEX($E$46:$E$49,MATCH($E$9,$C$46:$C$49,0)) )</f>
        <v>0.64022400510231114</v>
      </c>
      <c r="I628" s="694">
        <f t="array" ref="I628">MIN(SUM(IFERROR(($H$174:$O$174=$C628) * ($G$176:$G$183=I$618) * ($H$176:$O$183),0)) * (1 + SUM(($C$46:$C$49=$E$9) * ($F$45:$N$45=$A628) * ($F$46:$N$49)) ), INDEX($E$46:$E$49,MATCH($E$9,$C$46:$C$49,0)) )</f>
        <v>0.72025200574009995</v>
      </c>
      <c r="J628" s="694">
        <f t="array" ref="J628">MIN(SUM(IFERROR(($H$174:$O$174=$C628) * ($G$176:$G$183=J$618) * ($H$176:$O$183),0)) * (1 + SUM(($C$46:$C$49=$E$9) * ($F$45:$N$45=$A628) * ($F$46:$N$49)) ), INDEX($E$46:$E$49,MATCH($E$9,$C$46:$C$49,0)) )</f>
        <v>0.6802380054212056</v>
      </c>
      <c r="K628" s="694">
        <f t="array" ref="K628">MIN(SUM(IFERROR(($H$174:$O$174=$C628) * ($G$176:$G$183=K$618) * ($H$176:$O$183),0)) * (1 + SUM(($C$46:$C$49=$E$9) * ($F$45:$N$45=$A628) * ($F$46:$N$49)) ), INDEX($E$46:$E$49,MATCH($E$9,$C$46:$C$49,0)) )</f>
        <v>0.72025200574009995</v>
      </c>
      <c r="L628" s="694">
        <f t="array" ref="L628">MIN(SUM(IFERROR(($H$174:$O$174=$C628) * ($G$176:$G$183=L$618) * ($H$176:$O$183),0)) * (1 + SUM(($C$46:$C$49=$E$9) * ($F$45:$N$45=$A628) * ($F$46:$N$49)) ), INDEX($E$46:$E$49,MATCH($E$9,$C$46:$C$49,0)) )</f>
        <v>0.76</v>
      </c>
      <c r="M628" s="694">
        <f t="array" ref="M628">MIN(SUM(IFERROR(($H$174:$O$174=$C628) * ($G$176:$G$183=M$618) * ($H$176:$O$183),0)) * (1 + SUM(($C$46:$C$49=$E$9) * ($F$45:$N$45=$A628) * ($F$46:$N$49)) ), INDEX($E$46:$E$49,MATCH($E$9,$C$46:$C$49,0)) )</f>
        <v>0</v>
      </c>
      <c r="N628" s="694">
        <f t="array" ref="N628">MIN(SUM(IFERROR(($H$174:$O$174=$C628) * ($G$176:$G$183=N$618) * ($H$176:$O$183),0)) * (1 + SUM(($C$46:$C$49=$E$9) * ($F$45:$N$45=$A628) * ($F$46:$N$49)) ), INDEX($E$46:$E$49,MATCH($E$9,$C$46:$C$49,0)) )</f>
        <v>0</v>
      </c>
      <c r="O628" s="694">
        <f t="array" ref="O628">MIN(SUM(IFERROR(($H$174:$O$174=$C628) * ($G$176:$G$183=O$618) * ($H$176:$O$183),0)) * (1 + SUM(($C$46:$C$49=$E$9) * ($F$45:$N$45=$A628) * ($F$46:$N$49)) ), INDEX($E$46:$E$49,MATCH($E$9,$C$46:$C$49,0)) )</f>
        <v>0.60021000478341657</v>
      </c>
      <c r="P628" s="691"/>
      <c r="Q628" s="36"/>
      <c r="R628" s="36"/>
      <c r="S628" s="36"/>
      <c r="T628" s="36"/>
      <c r="U628" s="36"/>
      <c r="V628" s="36"/>
      <c r="W628" s="36"/>
      <c r="X628" s="36"/>
      <c r="Y628" s="36"/>
      <c r="Z628" s="36"/>
    </row>
    <row r="629" spans="1:26">
      <c r="A629" s="452"/>
      <c r="B629" s="341"/>
      <c r="C629" s="336"/>
      <c r="D629" s="336"/>
      <c r="E629" s="556"/>
      <c r="F629" s="981"/>
      <c r="G629" s="450" t="s">
        <v>993</v>
      </c>
      <c r="H629" s="694">
        <f t="array" ref="H629">MIN(SUM(IFERROR(($H$174:$O$174=$C629) * ($G$176:$G$183=H$618) * ($H$176:$O$183),0)) * (1 + SUM(($C$46:$C$49=$E$9) * ($F$45:$N$45=$A629) * ($F$46:$N$49)) ), INDEX($E$46:$E$49,MATCH($E$9,$C$46:$C$49,0)) )</f>
        <v>0</v>
      </c>
      <c r="I629" s="694">
        <f t="array" ref="I629">MIN(SUM(IFERROR(($H$174:$O$174=$C629) * ($G$176:$G$183=I$618) * ($H$176:$O$183),0)) * (1 + SUM(($C$46:$C$49=$E$9) * ($F$45:$N$45=$A629) * ($F$46:$N$49)) ), INDEX($E$46:$E$49,MATCH($E$9,$C$46:$C$49,0)) )</f>
        <v>0</v>
      </c>
      <c r="J629" s="694">
        <f t="array" ref="J629">MIN(SUM(IFERROR(($H$174:$O$174=$C629) * ($G$176:$G$183=J$618) * ($H$176:$O$183),0)) * (1 + SUM(($C$46:$C$49=$E$9) * ($F$45:$N$45=$A629) * ($F$46:$N$49)) ), INDEX($E$46:$E$49,MATCH($E$9,$C$46:$C$49,0)) )</f>
        <v>0</v>
      </c>
      <c r="K629" s="694">
        <f t="array" ref="K629">MIN(SUM(IFERROR(($H$174:$O$174=$C629) * ($G$176:$G$183=K$618) * ($H$176:$O$183),0)) * (1 + SUM(($C$46:$C$49=$E$9) * ($F$45:$N$45=$A629) * ($F$46:$N$49)) ), INDEX($E$46:$E$49,MATCH($E$9,$C$46:$C$49,0)) )</f>
        <v>0</v>
      </c>
      <c r="L629" s="694">
        <f t="array" ref="L629">MIN(SUM(IFERROR(($H$174:$O$174=$C629) * ($G$176:$G$183=L$618) * ($H$176:$O$183),0)) * (1 + SUM(($C$46:$C$49=$E$9) * ($F$45:$N$45=$A629) * ($F$46:$N$49)) ), INDEX($E$46:$E$49,MATCH($E$9,$C$46:$C$49,0)) )</f>
        <v>0</v>
      </c>
      <c r="M629" s="694">
        <f t="array" ref="M629">MIN(SUM(IFERROR(($H$174:$O$174=$C629) * ($G$176:$G$183=M$618) * ($H$176:$O$183),0)) * (1 + SUM(($C$46:$C$49=$E$9) * ($F$45:$N$45=$A629) * ($F$46:$N$49)) ), INDEX($E$46:$E$49,MATCH($E$9,$C$46:$C$49,0)) )</f>
        <v>0</v>
      </c>
      <c r="N629" s="694">
        <f t="array" ref="N629">MIN(SUM(IFERROR(($H$174:$O$174=$C629) * ($G$176:$G$183=N$618) * ($H$176:$O$183),0)) * (1 + SUM(($C$46:$C$49=$E$9) * ($F$45:$N$45=$A629) * ($F$46:$N$49)) ), INDEX($E$46:$E$49,MATCH($E$9,$C$46:$C$49,0)) )</f>
        <v>0</v>
      </c>
      <c r="O629" s="694">
        <f t="array" ref="O629">MIN(SUM(IFERROR(($H$174:$O$174=$C629) * ($G$176:$G$183=O$618) * ($H$176:$O$183),0)) * (1 + SUM(($C$46:$C$49=$E$9) * ($F$45:$N$45=$A629) * ($F$46:$N$49)) ), INDEX($E$46:$E$49,MATCH($E$9,$C$46:$C$49,0)) )</f>
        <v>0</v>
      </c>
      <c r="P629" s="691"/>
      <c r="Q629" s="36"/>
      <c r="R629" s="36"/>
      <c r="S629" s="36"/>
      <c r="T629" s="36"/>
      <c r="U629" s="36"/>
      <c r="V629" s="36"/>
      <c r="W629" s="36"/>
      <c r="X629" s="36"/>
      <c r="Y629" s="36"/>
      <c r="Z629" s="36"/>
    </row>
    <row r="630" spans="1:26">
      <c r="A630" s="452"/>
      <c r="B630" s="341"/>
      <c r="C630" s="695"/>
      <c r="D630" s="336"/>
      <c r="E630" s="556"/>
      <c r="F630" s="981"/>
      <c r="G630" s="450" t="s">
        <v>993</v>
      </c>
      <c r="H630" s="694">
        <f t="array" ref="H630">MIN(SUM(IFERROR(($H$174:$O$174=$C630) * ($G$176:$G$183=H$618) * ($H$176:$O$183),0)) * (1 + SUM(($C$46:$C$49=$E$9) * ($F$45:$N$45=$A630) * ($F$46:$N$49)) ), INDEX($E$46:$E$49,MATCH($E$9,$C$46:$C$49,0)) )</f>
        <v>0</v>
      </c>
      <c r="I630" s="694">
        <f t="array" ref="I630">MIN(SUM(IFERROR(($H$174:$O$174=$C630) * ($G$176:$G$183=I$618) * ($H$176:$O$183),0)) * (1 + SUM(($C$46:$C$49=$E$9) * ($F$45:$N$45=$A630) * ($F$46:$N$49)) ), INDEX($E$46:$E$49,MATCH($E$9,$C$46:$C$49,0)) )</f>
        <v>0</v>
      </c>
      <c r="J630" s="694">
        <f t="array" ref="J630">MIN(SUM(IFERROR(($H$174:$O$174=$C630) * ($G$176:$G$183=J$618) * ($H$176:$O$183),0)) * (1 + SUM(($C$46:$C$49=$E$9) * ($F$45:$N$45=$A630) * ($F$46:$N$49)) ), INDEX($E$46:$E$49,MATCH($E$9,$C$46:$C$49,0)) )</f>
        <v>0</v>
      </c>
      <c r="K630" s="694">
        <f t="array" ref="K630">MIN(SUM(IFERROR(($H$174:$O$174=$C630) * ($G$176:$G$183=K$618) * ($H$176:$O$183),0)) * (1 + SUM(($C$46:$C$49=$E$9) * ($F$45:$N$45=$A630) * ($F$46:$N$49)) ), INDEX($E$46:$E$49,MATCH($E$9,$C$46:$C$49,0)) )</f>
        <v>0</v>
      </c>
      <c r="L630" s="694">
        <f t="array" ref="L630">MIN(SUM(IFERROR(($H$174:$O$174=$C630) * ($G$176:$G$183=L$618) * ($H$176:$O$183),0)) * (1 + SUM(($C$46:$C$49=$E$9) * ($F$45:$N$45=$A630) * ($F$46:$N$49)) ), INDEX($E$46:$E$49,MATCH($E$9,$C$46:$C$49,0)) )</f>
        <v>0</v>
      </c>
      <c r="M630" s="694">
        <f t="array" ref="M630">MIN(SUM(IFERROR(($H$174:$O$174=$C630) * ($G$176:$G$183=M$618) * ($H$176:$O$183),0)) * (1 + SUM(($C$46:$C$49=$E$9) * ($F$45:$N$45=$A630) * ($F$46:$N$49)) ), INDEX($E$46:$E$49,MATCH($E$9,$C$46:$C$49,0)) )</f>
        <v>0</v>
      </c>
      <c r="N630" s="694">
        <f t="array" ref="N630">MIN(SUM(IFERROR(($H$174:$O$174=$C630) * ($G$176:$G$183=N$618) * ($H$176:$O$183),0)) * (1 + SUM(($C$46:$C$49=$E$9) * ($F$45:$N$45=$A630) * ($F$46:$N$49)) ), INDEX($E$46:$E$49,MATCH($E$9,$C$46:$C$49,0)) )</f>
        <v>0</v>
      </c>
      <c r="O630" s="694">
        <f t="array" ref="O630">MIN(SUM(IFERROR(($H$174:$O$174=$C630) * ($G$176:$G$183=O$618) * ($H$176:$O$183),0)) * (1 + SUM(($C$46:$C$49=$E$9) * ($F$45:$N$45=$A630) * ($F$46:$N$49)) ), INDEX($E$46:$E$49,MATCH($E$9,$C$46:$C$49,0)) )</f>
        <v>0</v>
      </c>
      <c r="P630" s="691"/>
      <c r="Q630" s="36"/>
      <c r="R630" s="36"/>
      <c r="S630" s="36"/>
      <c r="T630" s="36"/>
      <c r="U630" s="36"/>
      <c r="V630" s="36"/>
      <c r="W630" s="36"/>
      <c r="X630" s="36"/>
      <c r="Y630" s="36"/>
      <c r="Z630" s="36"/>
    </row>
    <row r="631" spans="1:26">
      <c r="A631" s="452">
        <v>2020</v>
      </c>
      <c r="B631" s="341"/>
      <c r="C631" s="336" t="str">
        <f t="shared" ref="C631:D638" si="130">C621</f>
        <v>MI</v>
      </c>
      <c r="D631" s="336" t="str">
        <f t="shared" si="130"/>
        <v>Mining SIC2</v>
      </c>
      <c r="E631" s="556"/>
      <c r="F631" s="981"/>
      <c r="G631" s="450" t="s">
        <v>993</v>
      </c>
      <c r="H631" s="694">
        <f t="array" ref="H631">MIN(SUM(IFERROR(($H$174:$O$174=$C631) * ($G$176:$G$183=H$618) * ($H$176:$O$183),0)) * (1 + SUM(($C$46:$C$49=$E$9) * ($F$45:$N$45=$A631) * ($F$46:$N$49)) ), INDEX($E$46:$E$49,MATCH($E$9,$C$46:$C$49,0)) )</f>
        <v>0.64144256593763005</v>
      </c>
      <c r="I631" s="694">
        <f t="array" ref="I631">MIN(SUM(IFERROR(($H$174:$O$174=$C631) * ($G$176:$G$183=I$618) * ($H$176:$O$183),0)) * (1 + SUM(($C$46:$C$49=$E$9) * ($F$45:$N$45=$A631) * ($F$46:$N$49)) ), INDEX($E$46:$E$49,MATCH($E$9,$C$46:$C$49,0)) )</f>
        <v>0.72162288667983376</v>
      </c>
      <c r="J631" s="694">
        <f t="array" ref="J631">MIN(SUM(IFERROR(($H$174:$O$174=$C631) * ($G$176:$G$183=J$618) * ($H$176:$O$183),0)) * (1 + SUM(($C$46:$C$49=$E$9) * ($F$45:$N$45=$A631) * ($F$46:$N$49)) ), INDEX($E$46:$E$49,MATCH($E$9,$C$46:$C$49,0)) )</f>
        <v>0.68153272630873196</v>
      </c>
      <c r="K631" s="694">
        <f t="array" ref="K631">MIN(SUM(IFERROR(($H$174:$O$174=$C631) * ($G$176:$G$183=K$618) * ($H$176:$O$183),0)) * (1 + SUM(($C$46:$C$49=$E$9) * ($F$45:$N$45=$A631) * ($F$46:$N$49)) ), INDEX($E$46:$E$49,MATCH($E$9,$C$46:$C$49,0)) )</f>
        <v>0.72162288667983376</v>
      </c>
      <c r="L631" s="694">
        <f t="array" ref="L631">MIN(SUM(IFERROR(($H$174:$O$174=$C631) * ($G$176:$G$183=L$618) * ($H$176:$O$183),0)) * (1 + SUM(($C$46:$C$49=$E$9) * ($F$45:$N$45=$A631) * ($F$46:$N$49)) ), INDEX($E$46:$E$49,MATCH($E$9,$C$46:$C$49,0)) )</f>
        <v>0.76</v>
      </c>
      <c r="M631" s="694">
        <f t="array" ref="M631">MIN(SUM(IFERROR(($H$174:$O$174=$C631) * ($G$176:$G$183=M$618) * ($H$176:$O$183),0)) * (1 + SUM(($C$46:$C$49=$E$9) * ($F$45:$N$45=$A631) * ($F$46:$N$49)) ), INDEX($E$46:$E$49,MATCH($E$9,$C$46:$C$49,0)) )</f>
        <v>0</v>
      </c>
      <c r="N631" s="694">
        <f t="array" ref="N631">MIN(SUM(IFERROR(($H$174:$O$174=$C631) * ($G$176:$G$183=N$618) * ($H$176:$O$183),0)) * (1 + SUM(($C$46:$C$49=$E$9) * ($F$45:$N$45=$A631) * ($F$46:$N$49)) ), INDEX($E$46:$E$49,MATCH($E$9,$C$46:$C$49,0)) )</f>
        <v>0</v>
      </c>
      <c r="O631" s="694">
        <f t="array" ref="O631">MIN(SUM(IFERROR(($H$174:$O$174=$C631) * ($G$176:$G$183=O$618) * ($H$176:$O$183),0)) * (1 + SUM(($C$46:$C$49=$E$9) * ($F$45:$N$45=$A631) * ($F$46:$N$49)) ), INDEX($E$46:$E$49,MATCH($E$9,$C$46:$C$49,0)) )</f>
        <v>0.60135240556652814</v>
      </c>
      <c r="P631" s="691"/>
      <c r="Q631" s="36"/>
      <c r="R631" s="36"/>
      <c r="S631" s="36"/>
      <c r="T631" s="36"/>
      <c r="U631" s="36"/>
      <c r="V631" s="36"/>
      <c r="W631" s="36"/>
      <c r="X631" s="36"/>
      <c r="Y631" s="36"/>
      <c r="Z631" s="36"/>
    </row>
    <row r="632" spans="1:26">
      <c r="A632" s="452">
        <v>2020</v>
      </c>
      <c r="B632" s="341"/>
      <c r="C632" s="336" t="str">
        <f t="shared" si="130"/>
        <v>IS</v>
      </c>
      <c r="D632" s="336" t="str">
        <f t="shared" si="130"/>
        <v>Iron  &amp; Steel  - 351</v>
      </c>
      <c r="E632" s="556"/>
      <c r="F632" s="981"/>
      <c r="G632" s="450" t="s">
        <v>993</v>
      </c>
      <c r="H632" s="694">
        <f t="array" ref="H632">MIN(SUM(IFERROR(($H$174:$O$174=$C632) * ($G$176:$G$183=H$618) * ($H$176:$O$183),0)) * (1 + SUM(($C$46:$C$49=$E$9) * ($F$45:$N$45=$A632) * ($F$46:$N$49)) ), INDEX($E$46:$E$49,MATCH($E$9,$C$46:$C$49,0)) )</f>
        <v>0.64144256593763005</v>
      </c>
      <c r="I632" s="694">
        <f t="array" ref="I632">MIN(SUM(IFERROR(($H$174:$O$174=$C632) * ($G$176:$G$183=I$618) * ($H$176:$O$183),0)) * (1 + SUM(($C$46:$C$49=$E$9) * ($F$45:$N$45=$A632) * ($F$46:$N$49)) ), INDEX($E$46:$E$49,MATCH($E$9,$C$46:$C$49,0)) )</f>
        <v>0.72162288667983376</v>
      </c>
      <c r="J632" s="694">
        <f t="array" ref="J632">MIN(SUM(IFERROR(($H$174:$O$174=$C632) * ($G$176:$G$183=J$618) * ($H$176:$O$183),0)) * (1 + SUM(($C$46:$C$49=$E$9) * ($F$45:$N$45=$A632) * ($F$46:$N$49)) ), INDEX($E$46:$E$49,MATCH($E$9,$C$46:$C$49,0)) )</f>
        <v>0.68153272630873196</v>
      </c>
      <c r="K632" s="694">
        <f t="array" ref="K632">MIN(SUM(IFERROR(($H$174:$O$174=$C632) * ($G$176:$G$183=K$618) * ($H$176:$O$183),0)) * (1 + SUM(($C$46:$C$49=$E$9) * ($F$45:$N$45=$A632) * ($F$46:$N$49)) ), INDEX($E$46:$E$49,MATCH($E$9,$C$46:$C$49,0)) )</f>
        <v>0.72162288667983376</v>
      </c>
      <c r="L632" s="694">
        <f t="array" ref="L632">MIN(SUM(IFERROR(($H$174:$O$174=$C632) * ($G$176:$G$183=L$618) * ($H$176:$O$183),0)) * (1 + SUM(($C$46:$C$49=$E$9) * ($F$45:$N$45=$A632) * ($F$46:$N$49)) ), INDEX($E$46:$E$49,MATCH($E$9,$C$46:$C$49,0)) )</f>
        <v>0.76</v>
      </c>
      <c r="M632" s="694">
        <f t="array" ref="M632">MIN(SUM(IFERROR(($H$174:$O$174=$C632) * ($G$176:$G$183=M$618) * ($H$176:$O$183),0)) * (1 + SUM(($C$46:$C$49=$E$9) * ($F$45:$N$45=$A632) * ($F$46:$N$49)) ), INDEX($E$46:$E$49,MATCH($E$9,$C$46:$C$49,0)) )</f>
        <v>0</v>
      </c>
      <c r="N632" s="694">
        <f t="array" ref="N632">MIN(SUM(IFERROR(($H$174:$O$174=$C632) * ($G$176:$G$183=N$618) * ($H$176:$O$183),0)) * (1 + SUM(($C$46:$C$49=$E$9) * ($F$45:$N$45=$A632) * ($F$46:$N$49)) ), INDEX($E$46:$E$49,MATCH($E$9,$C$46:$C$49,0)) )</f>
        <v>0</v>
      </c>
      <c r="O632" s="694">
        <f t="array" ref="O632">MIN(SUM(IFERROR(($H$174:$O$174=$C632) * ($G$176:$G$183=O$618) * ($H$176:$O$183),0)) * (1 + SUM(($C$46:$C$49=$E$9) * ($F$45:$N$45=$A632) * ($F$46:$N$49)) ), INDEX($E$46:$E$49,MATCH($E$9,$C$46:$C$49,0)) )</f>
        <v>0.60135240556652814</v>
      </c>
      <c r="P632" s="691"/>
      <c r="Q632" s="36"/>
      <c r="R632" s="36"/>
      <c r="S632" s="36"/>
      <c r="T632" s="36"/>
      <c r="U632" s="36"/>
      <c r="V632" s="36"/>
      <c r="W632" s="36"/>
      <c r="X632" s="36"/>
      <c r="Y632" s="36"/>
      <c r="Z632" s="36"/>
    </row>
    <row r="633" spans="1:26">
      <c r="A633" s="452">
        <v>2020</v>
      </c>
      <c r="B633" s="341"/>
      <c r="C633" s="336" t="str">
        <f t="shared" si="130"/>
        <v>CP</v>
      </c>
      <c r="D633" s="336" t="str">
        <f t="shared" si="130"/>
        <v>Chemicals  -33</v>
      </c>
      <c r="E633" s="556"/>
      <c r="F633" s="981"/>
      <c r="G633" s="450" t="s">
        <v>993</v>
      </c>
      <c r="H633" s="694">
        <f t="array" ref="H633">MIN(SUM(IFERROR(($H$174:$O$174=$C633) * ($G$176:$G$183=H$618) * ($H$176:$O$183),0)) * (1 + SUM(($C$46:$C$49=$E$9) * ($F$45:$N$45=$A633) * ($F$46:$N$49)) ), INDEX($E$46:$E$49,MATCH($E$9,$C$46:$C$49,0)) )</f>
        <v>0.64144256593763005</v>
      </c>
      <c r="I633" s="694">
        <f t="array" ref="I633">MIN(SUM(IFERROR(($H$174:$O$174=$C633) * ($G$176:$G$183=I$618) * ($H$176:$O$183),0)) * (1 + SUM(($C$46:$C$49=$E$9) * ($F$45:$N$45=$A633) * ($F$46:$N$49)) ), INDEX($E$46:$E$49,MATCH($E$9,$C$46:$C$49,0)) )</f>
        <v>0.72162288667983376</v>
      </c>
      <c r="J633" s="694">
        <f t="array" ref="J633">MIN(SUM(IFERROR(($H$174:$O$174=$C633) * ($G$176:$G$183=J$618) * ($H$176:$O$183),0)) * (1 + SUM(($C$46:$C$49=$E$9) * ($F$45:$N$45=$A633) * ($F$46:$N$49)) ), INDEX($E$46:$E$49,MATCH($E$9,$C$46:$C$49,0)) )</f>
        <v>0.68153272630873196</v>
      </c>
      <c r="K633" s="694">
        <f t="array" ref="K633">MIN(SUM(IFERROR(($H$174:$O$174=$C633) * ($G$176:$G$183=K$618) * ($H$176:$O$183),0)) * (1 + SUM(($C$46:$C$49=$E$9) * ($F$45:$N$45=$A633) * ($F$46:$N$49)) ), INDEX($E$46:$E$49,MATCH($E$9,$C$46:$C$49,0)) )</f>
        <v>0.72162288667983376</v>
      </c>
      <c r="L633" s="694">
        <f t="array" ref="L633">MIN(SUM(IFERROR(($H$174:$O$174=$C633) * ($G$176:$G$183=L$618) * ($H$176:$O$183),0)) * (1 + SUM(($C$46:$C$49=$E$9) * ($F$45:$N$45=$A633) * ($F$46:$N$49)) ), INDEX($E$46:$E$49,MATCH($E$9,$C$46:$C$49,0)) )</f>
        <v>0.76</v>
      </c>
      <c r="M633" s="694">
        <f t="array" ref="M633">MIN(SUM(IFERROR(($H$174:$O$174=$C633) * ($G$176:$G$183=M$618) * ($H$176:$O$183),0)) * (1 + SUM(($C$46:$C$49=$E$9) * ($F$45:$N$45=$A633) * ($F$46:$N$49)) ), INDEX($E$46:$E$49,MATCH($E$9,$C$46:$C$49,0)) )</f>
        <v>0</v>
      </c>
      <c r="N633" s="694">
        <f t="array" ref="N633">MIN(SUM(IFERROR(($H$174:$O$174=$C633) * ($G$176:$G$183=N$618) * ($H$176:$O$183),0)) * (1 + SUM(($C$46:$C$49=$E$9) * ($F$45:$N$45=$A633) * ($F$46:$N$49)) ), INDEX($E$46:$E$49,MATCH($E$9,$C$46:$C$49,0)) )</f>
        <v>0</v>
      </c>
      <c r="O633" s="694">
        <f t="array" ref="O633">MIN(SUM(IFERROR(($H$174:$O$174=$C633) * ($G$176:$G$183=O$618) * ($H$176:$O$183),0)) * (1 + SUM(($C$46:$C$49=$E$9) * ($F$45:$N$45=$A633) * ($F$46:$N$49)) ), INDEX($E$46:$E$49,MATCH($E$9,$C$46:$C$49,0)) )</f>
        <v>0.60135240556652814</v>
      </c>
      <c r="P633" s="691"/>
      <c r="Q633" s="36"/>
      <c r="R633" s="36"/>
      <c r="S633" s="36"/>
      <c r="T633" s="36"/>
      <c r="U633" s="36"/>
      <c r="V633" s="36"/>
      <c r="W633" s="36"/>
      <c r="X633" s="36"/>
      <c r="Y633" s="36"/>
      <c r="Z633" s="36"/>
    </row>
    <row r="634" spans="1:26">
      <c r="A634" s="452">
        <v>2020</v>
      </c>
      <c r="B634" s="341"/>
      <c r="C634" s="336" t="str">
        <f t="shared" si="130"/>
        <v>NF</v>
      </c>
      <c r="D634" s="336" t="str">
        <f t="shared" si="130"/>
        <v>Non-Ferrous metals  - 352</v>
      </c>
      <c r="E634" s="556"/>
      <c r="F634" s="981"/>
      <c r="G634" s="450" t="s">
        <v>993</v>
      </c>
      <c r="H634" s="694">
        <f t="array" ref="H634">MIN(SUM(IFERROR(($H$174:$O$174=$C634) * ($G$176:$G$183=H$618) * ($H$176:$O$183),0)) * (1 + SUM(($C$46:$C$49=$E$9) * ($F$45:$N$45=$A634) * ($F$46:$N$49)) ), INDEX($E$46:$E$49,MATCH($E$9,$C$46:$C$49,0)) )</f>
        <v>0.64144256593763005</v>
      </c>
      <c r="I634" s="694">
        <f t="array" ref="I634">MIN(SUM(IFERROR(($H$174:$O$174=$C634) * ($G$176:$G$183=I$618) * ($H$176:$O$183),0)) * (1 + SUM(($C$46:$C$49=$E$9) * ($F$45:$N$45=$A634) * ($F$46:$N$49)) ), INDEX($E$46:$E$49,MATCH($E$9,$C$46:$C$49,0)) )</f>
        <v>0.72162288667983376</v>
      </c>
      <c r="J634" s="694">
        <f t="array" ref="J634">MIN(SUM(IFERROR(($H$174:$O$174=$C634) * ($G$176:$G$183=J$618) * ($H$176:$O$183),0)) * (1 + SUM(($C$46:$C$49=$E$9) * ($F$45:$N$45=$A634) * ($F$46:$N$49)) ), INDEX($E$46:$E$49,MATCH($E$9,$C$46:$C$49,0)) )</f>
        <v>0.68153272630873196</v>
      </c>
      <c r="K634" s="694">
        <f t="array" ref="K634">MIN(SUM(IFERROR(($H$174:$O$174=$C634) * ($G$176:$G$183=K$618) * ($H$176:$O$183),0)) * (1 + SUM(($C$46:$C$49=$E$9) * ($F$45:$N$45=$A634) * ($F$46:$N$49)) ), INDEX($E$46:$E$49,MATCH($E$9,$C$46:$C$49,0)) )</f>
        <v>0.72162288667983376</v>
      </c>
      <c r="L634" s="694">
        <f t="array" ref="L634">MIN(SUM(IFERROR(($H$174:$O$174=$C634) * ($G$176:$G$183=L$618) * ($H$176:$O$183),0)) * (1 + SUM(($C$46:$C$49=$E$9) * ($F$45:$N$45=$A634) * ($F$46:$N$49)) ), INDEX($E$46:$E$49,MATCH($E$9,$C$46:$C$49,0)) )</f>
        <v>0.76</v>
      </c>
      <c r="M634" s="694">
        <f t="array" ref="M634">MIN(SUM(IFERROR(($H$174:$O$174=$C634) * ($G$176:$G$183=M$618) * ($H$176:$O$183),0)) * (1 + SUM(($C$46:$C$49=$E$9) * ($F$45:$N$45=$A634) * ($F$46:$N$49)) ), INDEX($E$46:$E$49,MATCH($E$9,$C$46:$C$49,0)) )</f>
        <v>0</v>
      </c>
      <c r="N634" s="694">
        <f t="array" ref="N634">MIN(SUM(IFERROR(($H$174:$O$174=$C634) * ($G$176:$G$183=N$618) * ($H$176:$O$183),0)) * (1 + SUM(($C$46:$C$49=$E$9) * ($F$45:$N$45=$A634) * ($F$46:$N$49)) ), INDEX($E$46:$E$49,MATCH($E$9,$C$46:$C$49,0)) )</f>
        <v>0</v>
      </c>
      <c r="O634" s="694">
        <f t="array" ref="O634">MIN(SUM(IFERROR(($H$174:$O$174=$C634) * ($G$176:$G$183=O$618) * ($H$176:$O$183),0)) * (1 + SUM(($C$46:$C$49=$E$9) * ($F$45:$N$45=$A634) * ($F$46:$N$49)) ), INDEX($E$46:$E$49,MATCH($E$9,$C$46:$C$49,0)) )</f>
        <v>0.60135240556652814</v>
      </c>
      <c r="P634" s="691"/>
      <c r="Q634" s="36"/>
      <c r="R634" s="36"/>
      <c r="S634" s="36"/>
      <c r="T634" s="36"/>
      <c r="U634" s="36"/>
      <c r="V634" s="36"/>
      <c r="W634" s="36"/>
      <c r="X634" s="36"/>
      <c r="Y634" s="36"/>
      <c r="Z634" s="36"/>
    </row>
    <row r="635" spans="1:26">
      <c r="A635" s="452">
        <v>2020</v>
      </c>
      <c r="B635" s="341"/>
      <c r="C635" s="336" t="str">
        <f t="shared" si="130"/>
        <v>NM</v>
      </c>
      <c r="D635" s="336" t="str">
        <f t="shared" si="130"/>
        <v>N.M.M Products  -34</v>
      </c>
      <c r="E635" s="556"/>
      <c r="F635" s="981"/>
      <c r="G635" s="450" t="s">
        <v>993</v>
      </c>
      <c r="H635" s="694">
        <f t="array" ref="H635">MIN(SUM(IFERROR(($H$174:$O$174=$C635) * ($G$176:$G$183=H$618) * ($H$176:$O$183),0)) * (1 + SUM(($C$46:$C$49=$E$9) * ($F$45:$N$45=$A635) * ($F$46:$N$49)) ), INDEX($E$46:$E$49,MATCH($E$9,$C$46:$C$49,0)) )</f>
        <v>0.64144256593763005</v>
      </c>
      <c r="I635" s="694">
        <f t="array" ref="I635">MIN(SUM(IFERROR(($H$174:$O$174=$C635) * ($G$176:$G$183=I$618) * ($H$176:$O$183),0)) * (1 + SUM(($C$46:$C$49=$E$9) * ($F$45:$N$45=$A635) * ($F$46:$N$49)) ), INDEX($E$46:$E$49,MATCH($E$9,$C$46:$C$49,0)) )</f>
        <v>0.72162288667983376</v>
      </c>
      <c r="J635" s="694">
        <f t="array" ref="J635">MIN(SUM(IFERROR(($H$174:$O$174=$C635) * ($G$176:$G$183=J$618) * ($H$176:$O$183),0)) * (1 + SUM(($C$46:$C$49=$E$9) * ($F$45:$N$45=$A635) * ($F$46:$N$49)) ), INDEX($E$46:$E$49,MATCH($E$9,$C$46:$C$49,0)) )</f>
        <v>0.68153272630873196</v>
      </c>
      <c r="K635" s="694">
        <f t="array" ref="K635">MIN(SUM(IFERROR(($H$174:$O$174=$C635) * ($G$176:$G$183=K$618) * ($H$176:$O$183),0)) * (1 + SUM(($C$46:$C$49=$E$9) * ($F$45:$N$45=$A635) * ($F$46:$N$49)) ), INDEX($E$46:$E$49,MATCH($E$9,$C$46:$C$49,0)) )</f>
        <v>0.72162288667983376</v>
      </c>
      <c r="L635" s="694">
        <f t="array" ref="L635">MIN(SUM(IFERROR(($H$174:$O$174=$C635) * ($G$176:$G$183=L$618) * ($H$176:$O$183),0)) * (1 + SUM(($C$46:$C$49=$E$9) * ($F$45:$N$45=$A635) * ($F$46:$N$49)) ), INDEX($E$46:$E$49,MATCH($E$9,$C$46:$C$49,0)) )</f>
        <v>0.76</v>
      </c>
      <c r="M635" s="694">
        <f t="array" ref="M635">MIN(SUM(IFERROR(($H$174:$O$174=$C635) * ($G$176:$G$183=M$618) * ($H$176:$O$183),0)) * (1 + SUM(($C$46:$C$49=$E$9) * ($F$45:$N$45=$A635) * ($F$46:$N$49)) ), INDEX($E$46:$E$49,MATCH($E$9,$C$46:$C$49,0)) )</f>
        <v>0</v>
      </c>
      <c r="N635" s="694">
        <f t="array" ref="N635">MIN(SUM(IFERROR(($H$174:$O$174=$C635) * ($G$176:$G$183=N$618) * ($H$176:$O$183),0)) * (1 + SUM(($C$46:$C$49=$E$9) * ($F$45:$N$45=$A635) * ($F$46:$N$49)) ), INDEX($E$46:$E$49,MATCH($E$9,$C$46:$C$49,0)) )</f>
        <v>0</v>
      </c>
      <c r="O635" s="694">
        <f t="array" ref="O635">MIN(SUM(IFERROR(($H$174:$O$174=$C635) * ($G$176:$G$183=O$618) * ($H$176:$O$183),0)) * (1 + SUM(($C$46:$C$49=$E$9) * ($F$45:$N$45=$A635) * ($F$46:$N$49)) ), INDEX($E$46:$E$49,MATCH($E$9,$C$46:$C$49,0)) )</f>
        <v>0.60135240556652814</v>
      </c>
      <c r="P635" s="691"/>
      <c r="Q635" s="36"/>
      <c r="R635" s="36"/>
      <c r="S635" s="36"/>
      <c r="T635" s="36"/>
      <c r="U635" s="36"/>
      <c r="V635" s="36"/>
      <c r="W635" s="36"/>
      <c r="X635" s="36"/>
      <c r="Y635" s="36"/>
      <c r="Z635" s="36"/>
    </row>
    <row r="636" spans="1:26">
      <c r="A636" s="452">
        <v>2020</v>
      </c>
      <c r="B636" s="341"/>
      <c r="C636" s="336" t="str">
        <f t="shared" si="130"/>
        <v>FB</v>
      </c>
      <c r="D636" s="336" t="str">
        <f t="shared" si="130"/>
        <v>Food, Beverage &amp; Tabacco  - 30</v>
      </c>
      <c r="E636" s="556"/>
      <c r="F636" s="981"/>
      <c r="G636" s="450" t="s">
        <v>993</v>
      </c>
      <c r="H636" s="694">
        <f t="array" ref="H636">MIN(SUM(IFERROR(($H$174:$O$174=$C636) * ($G$176:$G$183=H$618) * ($H$176:$O$183),0)) * (1 + SUM(($C$46:$C$49=$E$9) * ($F$45:$N$45=$A636) * ($F$46:$N$49)) ), INDEX($E$46:$E$49,MATCH($E$9,$C$46:$C$49,0)) )</f>
        <v>0.64144256593763005</v>
      </c>
      <c r="I636" s="694">
        <f t="array" ref="I636">MIN(SUM(IFERROR(($H$174:$O$174=$C636) * ($G$176:$G$183=I$618) * ($H$176:$O$183),0)) * (1 + SUM(($C$46:$C$49=$E$9) * ($F$45:$N$45=$A636) * ($F$46:$N$49)) ), INDEX($E$46:$E$49,MATCH($E$9,$C$46:$C$49,0)) )</f>
        <v>0.72162288667983376</v>
      </c>
      <c r="J636" s="694">
        <f t="array" ref="J636">MIN(SUM(IFERROR(($H$174:$O$174=$C636) * ($G$176:$G$183=J$618) * ($H$176:$O$183),0)) * (1 + SUM(($C$46:$C$49=$E$9) * ($F$45:$N$45=$A636) * ($F$46:$N$49)) ), INDEX($E$46:$E$49,MATCH($E$9,$C$46:$C$49,0)) )</f>
        <v>0.68153272630873196</v>
      </c>
      <c r="K636" s="694">
        <f t="array" ref="K636">MIN(SUM(IFERROR(($H$174:$O$174=$C636) * ($G$176:$G$183=K$618) * ($H$176:$O$183),0)) * (1 + SUM(($C$46:$C$49=$E$9) * ($F$45:$N$45=$A636) * ($F$46:$N$49)) ), INDEX($E$46:$E$49,MATCH($E$9,$C$46:$C$49,0)) )</f>
        <v>0.72162288667983376</v>
      </c>
      <c r="L636" s="694">
        <f t="array" ref="L636">MIN(SUM(IFERROR(($H$174:$O$174=$C636) * ($G$176:$G$183=L$618) * ($H$176:$O$183),0)) * (1 + SUM(($C$46:$C$49=$E$9) * ($F$45:$N$45=$A636) * ($F$46:$N$49)) ), INDEX($E$46:$E$49,MATCH($E$9,$C$46:$C$49,0)) )</f>
        <v>0.76</v>
      </c>
      <c r="M636" s="694">
        <f t="array" ref="M636">MIN(SUM(IFERROR(($H$174:$O$174=$C636) * ($G$176:$G$183=M$618) * ($H$176:$O$183),0)) * (1 + SUM(($C$46:$C$49=$E$9) * ($F$45:$N$45=$A636) * ($F$46:$N$49)) ), INDEX($E$46:$E$49,MATCH($E$9,$C$46:$C$49,0)) )</f>
        <v>0</v>
      </c>
      <c r="N636" s="694">
        <f t="array" ref="N636">MIN(SUM(IFERROR(($H$174:$O$174=$C636) * ($G$176:$G$183=N$618) * ($H$176:$O$183),0)) * (1 + SUM(($C$46:$C$49=$E$9) * ($F$45:$N$45=$A636) * ($F$46:$N$49)) ), INDEX($E$46:$E$49,MATCH($E$9,$C$46:$C$49,0)) )</f>
        <v>0.60135240556652814</v>
      </c>
      <c r="O636" s="694">
        <f t="array" ref="O636">MIN(SUM(IFERROR(($H$174:$O$174=$C636) * ($G$176:$G$183=O$618) * ($H$176:$O$183),0)) * (1 + SUM(($C$46:$C$49=$E$9) * ($F$45:$N$45=$A636) * ($F$46:$N$49)) ), INDEX($E$46:$E$49,MATCH($E$9,$C$46:$C$49,0)) )</f>
        <v>0.60135240556652814</v>
      </c>
      <c r="P636" s="691"/>
      <c r="Q636" s="36"/>
      <c r="R636" s="36"/>
      <c r="S636" s="36"/>
      <c r="T636" s="36"/>
      <c r="U636" s="36"/>
      <c r="V636" s="36"/>
      <c r="W636" s="36"/>
      <c r="X636" s="36"/>
      <c r="Y636" s="36"/>
      <c r="Z636" s="36"/>
    </row>
    <row r="637" spans="1:26">
      <c r="A637" s="452">
        <v>2020</v>
      </c>
      <c r="B637" s="341"/>
      <c r="C637" s="336" t="str">
        <f t="shared" si="130"/>
        <v>PP</v>
      </c>
      <c r="D637" s="336" t="str">
        <f t="shared" si="130"/>
        <v>Pulp &amp; Paper Products  -323</v>
      </c>
      <c r="E637" s="556"/>
      <c r="F637" s="981"/>
      <c r="G637" s="450" t="s">
        <v>993</v>
      </c>
      <c r="H637" s="694">
        <f t="array" ref="H637">MIN(SUM(IFERROR(($H$174:$O$174=$C637) * ($G$176:$G$183=H$618) * ($H$176:$O$183),0)) * (1 + SUM(($C$46:$C$49=$E$9) * ($F$45:$N$45=$A637) * ($F$46:$N$49)) ), INDEX($E$46:$E$49,MATCH($E$9,$C$46:$C$49,0)) )</f>
        <v>0.64144256593763005</v>
      </c>
      <c r="I637" s="694">
        <f t="array" ref="I637">MIN(SUM(IFERROR(($H$174:$O$174=$C637) * ($G$176:$G$183=I$618) * ($H$176:$O$183),0)) * (1 + SUM(($C$46:$C$49=$E$9) * ($F$45:$N$45=$A637) * ($F$46:$N$49)) ), INDEX($E$46:$E$49,MATCH($E$9,$C$46:$C$49,0)) )</f>
        <v>0.72162288667983376</v>
      </c>
      <c r="J637" s="694">
        <f t="array" ref="J637">MIN(SUM(IFERROR(($H$174:$O$174=$C637) * ($G$176:$G$183=J$618) * ($H$176:$O$183),0)) * (1 + SUM(($C$46:$C$49=$E$9) * ($F$45:$N$45=$A637) * ($F$46:$N$49)) ), INDEX($E$46:$E$49,MATCH($E$9,$C$46:$C$49,0)) )</f>
        <v>0.68153272630873196</v>
      </c>
      <c r="K637" s="694">
        <f t="array" ref="K637">MIN(SUM(IFERROR(($H$174:$O$174=$C637) * ($G$176:$G$183=K$618) * ($H$176:$O$183),0)) * (1 + SUM(($C$46:$C$49=$E$9) * ($F$45:$N$45=$A637) * ($F$46:$N$49)) ), INDEX($E$46:$E$49,MATCH($E$9,$C$46:$C$49,0)) )</f>
        <v>0.72162288667983376</v>
      </c>
      <c r="L637" s="694">
        <f t="array" ref="L637">MIN(SUM(IFERROR(($H$174:$O$174=$C637) * ($G$176:$G$183=L$618) * ($H$176:$O$183),0)) * (1 + SUM(($C$46:$C$49=$E$9) * ($F$45:$N$45=$A637) * ($F$46:$N$49)) ), INDEX($E$46:$E$49,MATCH($E$9,$C$46:$C$49,0)) )</f>
        <v>0.76</v>
      </c>
      <c r="M637" s="694">
        <f t="array" ref="M637">MIN(SUM(IFERROR(($H$174:$O$174=$C637) * ($G$176:$G$183=M$618) * ($H$176:$O$183),0)) * (1 + SUM(($C$46:$C$49=$E$9) * ($F$45:$N$45=$A637) * ($F$46:$N$49)) ), INDEX($E$46:$E$49,MATCH($E$9,$C$46:$C$49,0)) )</f>
        <v>0.60135240556652814</v>
      </c>
      <c r="N637" s="694">
        <f t="array" ref="N637">MIN(SUM(IFERROR(($H$174:$O$174=$C637) * ($G$176:$G$183=N$618) * ($H$176:$O$183),0)) * (1 + SUM(($C$46:$C$49=$E$9) * ($F$45:$N$45=$A637) * ($F$46:$N$49)) ), INDEX($E$46:$E$49,MATCH($E$9,$C$46:$C$49,0)) )</f>
        <v>0</v>
      </c>
      <c r="O637" s="694">
        <f t="array" ref="O637">MIN(SUM(IFERROR(($H$174:$O$174=$C637) * ($G$176:$G$183=O$618) * ($H$176:$O$183),0)) * (1 + SUM(($C$46:$C$49=$E$9) * ($F$45:$N$45=$A637) * ($F$46:$N$49)) ), INDEX($E$46:$E$49,MATCH($E$9,$C$46:$C$49,0)) )</f>
        <v>0.60135240556652814</v>
      </c>
      <c r="P637" s="691"/>
      <c r="Q637" s="36"/>
      <c r="R637" s="36"/>
      <c r="S637" s="36"/>
      <c r="T637" s="36"/>
      <c r="U637" s="36"/>
      <c r="V637" s="36"/>
      <c r="W637" s="36"/>
      <c r="X637" s="36"/>
      <c r="Y637" s="36"/>
      <c r="Z637" s="36"/>
    </row>
    <row r="638" spans="1:26">
      <c r="A638" s="452">
        <v>2020</v>
      </c>
      <c r="B638" s="341"/>
      <c r="C638" s="336" t="str">
        <f t="shared" si="130"/>
        <v>OT</v>
      </c>
      <c r="D638" s="336" t="str">
        <f t="shared" si="130"/>
        <v>Other</v>
      </c>
      <c r="E638" s="556"/>
      <c r="F638" s="981"/>
      <c r="G638" s="450" t="s">
        <v>993</v>
      </c>
      <c r="H638" s="694">
        <f t="array" ref="H638">MIN(SUM(IFERROR(($H$174:$O$174=$C638) * ($G$176:$G$183=H$618) * ($H$176:$O$183),0)) * (1 + SUM(($C$46:$C$49=$E$9) * ($F$45:$N$45=$A638) * ($F$46:$N$49)) ), INDEX($E$46:$E$49,MATCH($E$9,$C$46:$C$49,0)) )</f>
        <v>0.64144256593763005</v>
      </c>
      <c r="I638" s="694">
        <f t="array" ref="I638">MIN(SUM(IFERROR(($H$174:$O$174=$C638) * ($G$176:$G$183=I$618) * ($H$176:$O$183),0)) * (1 + SUM(($C$46:$C$49=$E$9) * ($F$45:$N$45=$A638) * ($F$46:$N$49)) ), INDEX($E$46:$E$49,MATCH($E$9,$C$46:$C$49,0)) )</f>
        <v>0.72162288667983376</v>
      </c>
      <c r="J638" s="694">
        <f t="array" ref="J638">MIN(SUM(IFERROR(($H$174:$O$174=$C638) * ($G$176:$G$183=J$618) * ($H$176:$O$183),0)) * (1 + SUM(($C$46:$C$49=$E$9) * ($F$45:$N$45=$A638) * ($F$46:$N$49)) ), INDEX($E$46:$E$49,MATCH($E$9,$C$46:$C$49,0)) )</f>
        <v>0.68153272630873196</v>
      </c>
      <c r="K638" s="694">
        <f t="array" ref="K638">MIN(SUM(IFERROR(($H$174:$O$174=$C638) * ($G$176:$G$183=K$618) * ($H$176:$O$183),0)) * (1 + SUM(($C$46:$C$49=$E$9) * ($F$45:$N$45=$A638) * ($F$46:$N$49)) ), INDEX($E$46:$E$49,MATCH($E$9,$C$46:$C$49,0)) )</f>
        <v>0.72162288667983376</v>
      </c>
      <c r="L638" s="694">
        <f t="array" ref="L638">MIN(SUM(IFERROR(($H$174:$O$174=$C638) * ($G$176:$G$183=L$618) * ($H$176:$O$183),0)) * (1 + SUM(($C$46:$C$49=$E$9) * ($F$45:$N$45=$A638) * ($F$46:$N$49)) ), INDEX($E$46:$E$49,MATCH($E$9,$C$46:$C$49,0)) )</f>
        <v>0.76</v>
      </c>
      <c r="M638" s="694">
        <f t="array" ref="M638">MIN(SUM(IFERROR(($H$174:$O$174=$C638) * ($G$176:$G$183=M$618) * ($H$176:$O$183),0)) * (1 + SUM(($C$46:$C$49=$E$9) * ($F$45:$N$45=$A638) * ($F$46:$N$49)) ), INDEX($E$46:$E$49,MATCH($E$9,$C$46:$C$49,0)) )</f>
        <v>0</v>
      </c>
      <c r="N638" s="694">
        <f t="array" ref="N638">MIN(SUM(IFERROR(($H$174:$O$174=$C638) * ($G$176:$G$183=N$618) * ($H$176:$O$183),0)) * (1 + SUM(($C$46:$C$49=$E$9) * ($F$45:$N$45=$A638) * ($F$46:$N$49)) ), INDEX($E$46:$E$49,MATCH($E$9,$C$46:$C$49,0)) )</f>
        <v>0</v>
      </c>
      <c r="O638" s="694">
        <f t="array" ref="O638">MIN(SUM(IFERROR(($H$174:$O$174=$C638) * ($G$176:$G$183=O$618) * ($H$176:$O$183),0)) * (1 + SUM(($C$46:$C$49=$E$9) * ($F$45:$N$45=$A638) * ($F$46:$N$49)) ), INDEX($E$46:$E$49,MATCH($E$9,$C$46:$C$49,0)) )</f>
        <v>0.60135240556652814</v>
      </c>
      <c r="P638" s="691"/>
      <c r="Q638" s="36"/>
      <c r="R638" s="36"/>
      <c r="S638" s="36"/>
      <c r="T638" s="36"/>
      <c r="U638" s="36"/>
      <c r="V638" s="36"/>
      <c r="W638" s="36"/>
      <c r="X638" s="36"/>
      <c r="Y638" s="36"/>
      <c r="Z638" s="36"/>
    </row>
    <row r="639" spans="1:26">
      <c r="A639" s="452"/>
      <c r="B639" s="341"/>
      <c r="C639" s="336"/>
      <c r="D639" s="336"/>
      <c r="E639" s="556"/>
      <c r="F639" s="981"/>
      <c r="G639" s="450" t="s">
        <v>993</v>
      </c>
      <c r="H639" s="694">
        <f t="array" ref="H639">MIN(SUM(IFERROR(($H$174:$O$174=$C639) * ($G$176:$G$183=H$618) * ($H$176:$O$183),0)) * (1 + SUM(($C$46:$C$49=$E$9) * ($F$45:$N$45=$A639) * ($F$46:$N$49)) ), INDEX($E$46:$E$49,MATCH($E$9,$C$46:$C$49,0)) )</f>
        <v>0</v>
      </c>
      <c r="I639" s="694">
        <f t="array" ref="I639">MIN(SUM(IFERROR(($H$174:$O$174=$C639) * ($G$176:$G$183=I$618) * ($H$176:$O$183),0)) * (1 + SUM(($C$46:$C$49=$E$9) * ($F$45:$N$45=$A639) * ($F$46:$N$49)) ), INDEX($E$46:$E$49,MATCH($E$9,$C$46:$C$49,0)) )</f>
        <v>0</v>
      </c>
      <c r="J639" s="694">
        <f t="array" ref="J639">MIN(SUM(IFERROR(($H$174:$O$174=$C639) * ($G$176:$G$183=J$618) * ($H$176:$O$183),0)) * (1 + SUM(($C$46:$C$49=$E$9) * ($F$45:$N$45=$A639) * ($F$46:$N$49)) ), INDEX($E$46:$E$49,MATCH($E$9,$C$46:$C$49,0)) )</f>
        <v>0</v>
      </c>
      <c r="K639" s="694">
        <f t="array" ref="K639">MIN(SUM(IFERROR(($H$174:$O$174=$C639) * ($G$176:$G$183=K$618) * ($H$176:$O$183),0)) * (1 + SUM(($C$46:$C$49=$E$9) * ($F$45:$N$45=$A639) * ($F$46:$N$49)) ), INDEX($E$46:$E$49,MATCH($E$9,$C$46:$C$49,0)) )</f>
        <v>0</v>
      </c>
      <c r="L639" s="694">
        <f t="array" ref="L639">MIN(SUM(IFERROR(($H$174:$O$174=$C639) * ($G$176:$G$183=L$618) * ($H$176:$O$183),0)) * (1 + SUM(($C$46:$C$49=$E$9) * ($F$45:$N$45=$A639) * ($F$46:$N$49)) ), INDEX($E$46:$E$49,MATCH($E$9,$C$46:$C$49,0)) )</f>
        <v>0</v>
      </c>
      <c r="M639" s="694">
        <f t="array" ref="M639">MIN(SUM(IFERROR(($H$174:$O$174=$C639) * ($G$176:$G$183=M$618) * ($H$176:$O$183),0)) * (1 + SUM(($C$46:$C$49=$E$9) * ($F$45:$N$45=$A639) * ($F$46:$N$49)) ), INDEX($E$46:$E$49,MATCH($E$9,$C$46:$C$49,0)) )</f>
        <v>0</v>
      </c>
      <c r="N639" s="694">
        <f t="array" ref="N639">MIN(SUM(IFERROR(($H$174:$O$174=$C639) * ($G$176:$G$183=N$618) * ($H$176:$O$183),0)) * (1 + SUM(($C$46:$C$49=$E$9) * ($F$45:$N$45=$A639) * ($F$46:$N$49)) ), INDEX($E$46:$E$49,MATCH($E$9,$C$46:$C$49,0)) )</f>
        <v>0</v>
      </c>
      <c r="O639" s="694">
        <f t="array" ref="O639">MIN(SUM(IFERROR(($H$174:$O$174=$C639) * ($G$176:$G$183=O$618) * ($H$176:$O$183),0)) * (1 + SUM(($C$46:$C$49=$E$9) * ($F$45:$N$45=$A639) * ($F$46:$N$49)) ), INDEX($E$46:$E$49,MATCH($E$9,$C$46:$C$49,0)) )</f>
        <v>0</v>
      </c>
      <c r="P639" s="691"/>
      <c r="Q639" s="36"/>
      <c r="R639" s="36"/>
      <c r="S639" s="36"/>
      <c r="T639" s="36"/>
      <c r="U639" s="36"/>
      <c r="V639" s="36"/>
      <c r="W639" s="36"/>
      <c r="X639" s="36"/>
      <c r="Y639" s="36"/>
      <c r="Z639" s="36"/>
    </row>
    <row r="640" spans="1:26">
      <c r="A640" s="452">
        <f>2030</f>
        <v>2030</v>
      </c>
      <c r="B640" s="341"/>
      <c r="C640" s="341" t="str">
        <f t="shared" ref="C640:D647" si="131">C621</f>
        <v>MI</v>
      </c>
      <c r="D640" s="341" t="str">
        <f t="shared" si="131"/>
        <v>Mining SIC2</v>
      </c>
      <c r="E640" s="556"/>
      <c r="F640" s="981"/>
      <c r="G640" s="450" t="s">
        <v>993</v>
      </c>
      <c r="H640" s="694">
        <f t="array" ref="H640">MIN(SUM(IFERROR(($H$174:$O$174=$C640) * ($G$176:$G$183=H$618) * ($H$176:$O$183),0)) * (1 + SUM(($C$46:$C$49=$E$9) * ($F$45:$N$45=$A640) * ($F$46:$N$49)) ), INDEX($E$46:$E$49,MATCH($E$9,$C$46:$C$49,0)) )</f>
        <v>0.64367912468360744</v>
      </c>
      <c r="I640" s="694">
        <f t="array" ref="I640">MIN(SUM(IFERROR(($H$174:$O$174=$C640) * ($G$176:$G$183=I$618) * ($H$176:$O$183),0)) * (1 + SUM(($C$46:$C$49=$E$9) * ($F$45:$N$45=$A640) * ($F$46:$N$49)) ), INDEX($E$46:$E$49,MATCH($E$9,$C$46:$C$49,0)) )</f>
        <v>0.72413901526905833</v>
      </c>
      <c r="J640" s="694">
        <f t="array" ref="J640">MIN(SUM(IFERROR(($H$174:$O$174=$C640) * ($G$176:$G$183=J$618) * ($H$176:$O$183),0)) * (1 + SUM(($C$46:$C$49=$E$9) * ($F$45:$N$45=$A640) * ($F$46:$N$49)) ), INDEX($E$46:$E$49,MATCH($E$9,$C$46:$C$49,0)) )</f>
        <v>0.68390906997633294</v>
      </c>
      <c r="K640" s="694">
        <f t="array" ref="K640">MIN(SUM(IFERROR(($H$174:$O$174=$C640) * ($G$176:$G$183=K$618) * ($H$176:$O$183),0)) * (1 + SUM(($C$46:$C$49=$E$9) * ($F$45:$N$45=$A640) * ($F$46:$N$49)) ), INDEX($E$46:$E$49,MATCH($E$9,$C$46:$C$49,0)) )</f>
        <v>0.72413901526905833</v>
      </c>
      <c r="L640" s="694">
        <f t="array" ref="L640">MIN(SUM(IFERROR(($H$174:$O$174=$C640) * ($G$176:$G$183=L$618) * ($H$176:$O$183),0)) * (1 + SUM(($C$46:$C$49=$E$9) * ($F$45:$N$45=$A640) * ($F$46:$N$49)) ), INDEX($E$46:$E$49,MATCH($E$9,$C$46:$C$49,0)) )</f>
        <v>0.76</v>
      </c>
      <c r="M640" s="694">
        <f t="array" ref="M640">MIN(SUM(IFERROR(($H$174:$O$174=$C640) * ($G$176:$G$183=M$618) * ($H$176:$O$183),0)) * (1 + SUM(($C$46:$C$49=$E$9) * ($F$45:$N$45=$A640) * ($F$46:$N$49)) ), INDEX($E$46:$E$49,MATCH($E$9,$C$46:$C$49,0)) )</f>
        <v>0</v>
      </c>
      <c r="N640" s="694">
        <f t="array" ref="N640">MIN(SUM(IFERROR(($H$174:$O$174=$C640) * ($G$176:$G$183=N$618) * ($H$176:$O$183),0)) * (1 + SUM(($C$46:$C$49=$E$9) * ($F$45:$N$45=$A640) * ($F$46:$N$49)) ), INDEX($E$46:$E$49,MATCH($E$9,$C$46:$C$49,0)) )</f>
        <v>0</v>
      </c>
      <c r="O640" s="694">
        <f t="array" ref="O640">MIN(SUM(IFERROR(($H$174:$O$174=$C640) * ($G$176:$G$183=O$618) * ($H$176:$O$183),0)) * (1 + SUM(($C$46:$C$49=$E$9) * ($F$45:$N$45=$A640) * ($F$46:$N$49)) ), INDEX($E$46:$E$49,MATCH($E$9,$C$46:$C$49,0)) )</f>
        <v>0.60344917939088194</v>
      </c>
      <c r="P640" s="691"/>
      <c r="Q640" s="36"/>
      <c r="R640" s="36"/>
      <c r="S640" s="36"/>
      <c r="T640" s="36"/>
      <c r="U640" s="36"/>
      <c r="V640" s="36"/>
      <c r="W640" s="36"/>
      <c r="X640" s="36"/>
      <c r="Y640" s="36"/>
      <c r="Z640" s="36"/>
    </row>
    <row r="641" spans="1:26">
      <c r="A641" s="452">
        <f>2030</f>
        <v>2030</v>
      </c>
      <c r="B641" s="341"/>
      <c r="C641" s="341" t="str">
        <f t="shared" si="131"/>
        <v>IS</v>
      </c>
      <c r="D641" s="341" t="str">
        <f t="shared" si="131"/>
        <v>Iron  &amp; Steel  - 351</v>
      </c>
      <c r="E641" s="556"/>
      <c r="F641" s="981"/>
      <c r="G641" s="450" t="s">
        <v>993</v>
      </c>
      <c r="H641" s="694">
        <f t="array" ref="H641">MIN(SUM(IFERROR(($H$174:$O$174=$C641) * ($G$176:$G$183=H$618) * ($H$176:$O$183),0)) * (1 + SUM(($C$46:$C$49=$E$9) * ($F$45:$N$45=$A641) * ($F$46:$N$49)) ), INDEX($E$46:$E$49,MATCH($E$9,$C$46:$C$49,0)) )</f>
        <v>0.64367912468360744</v>
      </c>
      <c r="I641" s="694">
        <f t="array" ref="I641">MIN(SUM(IFERROR(($H$174:$O$174=$C641) * ($G$176:$G$183=I$618) * ($H$176:$O$183),0)) * (1 + SUM(($C$46:$C$49=$E$9) * ($F$45:$N$45=$A641) * ($F$46:$N$49)) ), INDEX($E$46:$E$49,MATCH($E$9,$C$46:$C$49,0)) )</f>
        <v>0.72413901526905833</v>
      </c>
      <c r="J641" s="694">
        <f t="array" ref="J641">MIN(SUM(IFERROR(($H$174:$O$174=$C641) * ($G$176:$G$183=J$618) * ($H$176:$O$183),0)) * (1 + SUM(($C$46:$C$49=$E$9) * ($F$45:$N$45=$A641) * ($F$46:$N$49)) ), INDEX($E$46:$E$49,MATCH($E$9,$C$46:$C$49,0)) )</f>
        <v>0.68390906997633294</v>
      </c>
      <c r="K641" s="694">
        <f t="array" ref="K641">MIN(SUM(IFERROR(($H$174:$O$174=$C641) * ($G$176:$G$183=K$618) * ($H$176:$O$183),0)) * (1 + SUM(($C$46:$C$49=$E$9) * ($F$45:$N$45=$A641) * ($F$46:$N$49)) ), INDEX($E$46:$E$49,MATCH($E$9,$C$46:$C$49,0)) )</f>
        <v>0.72413901526905833</v>
      </c>
      <c r="L641" s="694">
        <f t="array" ref="L641">MIN(SUM(IFERROR(($H$174:$O$174=$C641) * ($G$176:$G$183=L$618) * ($H$176:$O$183),0)) * (1 + SUM(($C$46:$C$49=$E$9) * ($F$45:$N$45=$A641) * ($F$46:$N$49)) ), INDEX($E$46:$E$49,MATCH($E$9,$C$46:$C$49,0)) )</f>
        <v>0.76</v>
      </c>
      <c r="M641" s="694">
        <f t="array" ref="M641">MIN(SUM(IFERROR(($H$174:$O$174=$C641) * ($G$176:$G$183=M$618) * ($H$176:$O$183),0)) * (1 + SUM(($C$46:$C$49=$E$9) * ($F$45:$N$45=$A641) * ($F$46:$N$49)) ), INDEX($E$46:$E$49,MATCH($E$9,$C$46:$C$49,0)) )</f>
        <v>0</v>
      </c>
      <c r="N641" s="694">
        <f t="array" ref="N641">MIN(SUM(IFERROR(($H$174:$O$174=$C641) * ($G$176:$G$183=N$618) * ($H$176:$O$183),0)) * (1 + SUM(($C$46:$C$49=$E$9) * ($F$45:$N$45=$A641) * ($F$46:$N$49)) ), INDEX($E$46:$E$49,MATCH($E$9,$C$46:$C$49,0)) )</f>
        <v>0</v>
      </c>
      <c r="O641" s="694">
        <f t="array" ref="O641">MIN(SUM(IFERROR(($H$174:$O$174=$C641) * ($G$176:$G$183=O$618) * ($H$176:$O$183),0)) * (1 + SUM(($C$46:$C$49=$E$9) * ($F$45:$N$45=$A641) * ($F$46:$N$49)) ), INDEX($E$46:$E$49,MATCH($E$9,$C$46:$C$49,0)) )</f>
        <v>0.60344917939088194</v>
      </c>
      <c r="P641" s="691"/>
      <c r="Q641" s="36"/>
      <c r="R641" s="36"/>
      <c r="S641" s="36"/>
      <c r="T641" s="36"/>
      <c r="U641" s="36"/>
      <c r="V641" s="36"/>
      <c r="W641" s="36"/>
      <c r="X641" s="36"/>
      <c r="Y641" s="36"/>
      <c r="Z641" s="36"/>
    </row>
    <row r="642" spans="1:26">
      <c r="A642" s="452">
        <f>2030</f>
        <v>2030</v>
      </c>
      <c r="B642" s="341"/>
      <c r="C642" s="341" t="str">
        <f t="shared" si="131"/>
        <v>CP</v>
      </c>
      <c r="D642" s="341" t="str">
        <f t="shared" si="131"/>
        <v>Chemicals  -33</v>
      </c>
      <c r="E642" s="556"/>
      <c r="F642" s="981"/>
      <c r="G642" s="450" t="s">
        <v>993</v>
      </c>
      <c r="H642" s="694">
        <f t="array" ref="H642">MIN(SUM(IFERROR(($H$174:$O$174=$C642) * ($G$176:$G$183=H$618) * ($H$176:$O$183),0)) * (1 + SUM(($C$46:$C$49=$E$9) * ($F$45:$N$45=$A642) * ($F$46:$N$49)) ), INDEX($E$46:$E$49,MATCH($E$9,$C$46:$C$49,0)) )</f>
        <v>0.64367912468360744</v>
      </c>
      <c r="I642" s="694">
        <f t="array" ref="I642">MIN(SUM(IFERROR(($H$174:$O$174=$C642) * ($G$176:$G$183=I$618) * ($H$176:$O$183),0)) * (1 + SUM(($C$46:$C$49=$E$9) * ($F$45:$N$45=$A642) * ($F$46:$N$49)) ), INDEX($E$46:$E$49,MATCH($E$9,$C$46:$C$49,0)) )</f>
        <v>0.72413901526905833</v>
      </c>
      <c r="J642" s="694">
        <f t="array" ref="J642">MIN(SUM(IFERROR(($H$174:$O$174=$C642) * ($G$176:$G$183=J$618) * ($H$176:$O$183),0)) * (1 + SUM(($C$46:$C$49=$E$9) * ($F$45:$N$45=$A642) * ($F$46:$N$49)) ), INDEX($E$46:$E$49,MATCH($E$9,$C$46:$C$49,0)) )</f>
        <v>0.68390906997633294</v>
      </c>
      <c r="K642" s="694">
        <f t="array" ref="K642">MIN(SUM(IFERROR(($H$174:$O$174=$C642) * ($G$176:$G$183=K$618) * ($H$176:$O$183),0)) * (1 + SUM(($C$46:$C$49=$E$9) * ($F$45:$N$45=$A642) * ($F$46:$N$49)) ), INDEX($E$46:$E$49,MATCH($E$9,$C$46:$C$49,0)) )</f>
        <v>0.72413901526905833</v>
      </c>
      <c r="L642" s="694">
        <f t="array" ref="L642">MIN(SUM(IFERROR(($H$174:$O$174=$C642) * ($G$176:$G$183=L$618) * ($H$176:$O$183),0)) * (1 + SUM(($C$46:$C$49=$E$9) * ($F$45:$N$45=$A642) * ($F$46:$N$49)) ), INDEX($E$46:$E$49,MATCH($E$9,$C$46:$C$49,0)) )</f>
        <v>0.76</v>
      </c>
      <c r="M642" s="694">
        <f t="array" ref="M642">MIN(SUM(IFERROR(($H$174:$O$174=$C642) * ($G$176:$G$183=M$618) * ($H$176:$O$183),0)) * (1 + SUM(($C$46:$C$49=$E$9) * ($F$45:$N$45=$A642) * ($F$46:$N$49)) ), INDEX($E$46:$E$49,MATCH($E$9,$C$46:$C$49,0)) )</f>
        <v>0</v>
      </c>
      <c r="N642" s="694">
        <f t="array" ref="N642">MIN(SUM(IFERROR(($H$174:$O$174=$C642) * ($G$176:$G$183=N$618) * ($H$176:$O$183),0)) * (1 + SUM(($C$46:$C$49=$E$9) * ($F$45:$N$45=$A642) * ($F$46:$N$49)) ), INDEX($E$46:$E$49,MATCH($E$9,$C$46:$C$49,0)) )</f>
        <v>0</v>
      </c>
      <c r="O642" s="694">
        <f t="array" ref="O642">MIN(SUM(IFERROR(($H$174:$O$174=$C642) * ($G$176:$G$183=O$618) * ($H$176:$O$183),0)) * (1 + SUM(($C$46:$C$49=$E$9) * ($F$45:$N$45=$A642) * ($F$46:$N$49)) ), INDEX($E$46:$E$49,MATCH($E$9,$C$46:$C$49,0)) )</f>
        <v>0.60344917939088194</v>
      </c>
      <c r="P642" s="691"/>
      <c r="Q642" s="36"/>
      <c r="R642" s="36"/>
      <c r="S642" s="36"/>
      <c r="T642" s="36"/>
      <c r="U642" s="36"/>
      <c r="V642" s="36"/>
      <c r="W642" s="36"/>
      <c r="X642" s="36"/>
      <c r="Y642" s="36"/>
      <c r="Z642" s="36"/>
    </row>
    <row r="643" spans="1:26">
      <c r="A643" s="452">
        <f>2030</f>
        <v>2030</v>
      </c>
      <c r="B643" s="341"/>
      <c r="C643" s="341" t="str">
        <f t="shared" si="131"/>
        <v>NF</v>
      </c>
      <c r="D643" s="341" t="str">
        <f t="shared" si="131"/>
        <v>Non-Ferrous metals  - 352</v>
      </c>
      <c r="E643" s="556"/>
      <c r="F643" s="981"/>
      <c r="G643" s="450" t="s">
        <v>993</v>
      </c>
      <c r="H643" s="694">
        <f t="array" ref="H643">MIN(SUM(IFERROR(($H$174:$O$174=$C643) * ($G$176:$G$183=H$618) * ($H$176:$O$183),0)) * (1 + SUM(($C$46:$C$49=$E$9) * ($F$45:$N$45=$A643) * ($F$46:$N$49)) ), INDEX($E$46:$E$49,MATCH($E$9,$C$46:$C$49,0)) )</f>
        <v>0.64367912468360744</v>
      </c>
      <c r="I643" s="694">
        <f t="array" ref="I643">MIN(SUM(IFERROR(($H$174:$O$174=$C643) * ($G$176:$G$183=I$618) * ($H$176:$O$183),0)) * (1 + SUM(($C$46:$C$49=$E$9) * ($F$45:$N$45=$A643) * ($F$46:$N$49)) ), INDEX($E$46:$E$49,MATCH($E$9,$C$46:$C$49,0)) )</f>
        <v>0.72413901526905833</v>
      </c>
      <c r="J643" s="694">
        <f t="array" ref="J643">MIN(SUM(IFERROR(($H$174:$O$174=$C643) * ($G$176:$G$183=J$618) * ($H$176:$O$183),0)) * (1 + SUM(($C$46:$C$49=$E$9) * ($F$45:$N$45=$A643) * ($F$46:$N$49)) ), INDEX($E$46:$E$49,MATCH($E$9,$C$46:$C$49,0)) )</f>
        <v>0.68390906997633294</v>
      </c>
      <c r="K643" s="694">
        <f t="array" ref="K643">MIN(SUM(IFERROR(($H$174:$O$174=$C643) * ($G$176:$G$183=K$618) * ($H$176:$O$183),0)) * (1 + SUM(($C$46:$C$49=$E$9) * ($F$45:$N$45=$A643) * ($F$46:$N$49)) ), INDEX($E$46:$E$49,MATCH($E$9,$C$46:$C$49,0)) )</f>
        <v>0.72413901526905833</v>
      </c>
      <c r="L643" s="694">
        <f t="array" ref="L643">MIN(SUM(IFERROR(($H$174:$O$174=$C643) * ($G$176:$G$183=L$618) * ($H$176:$O$183),0)) * (1 + SUM(($C$46:$C$49=$E$9) * ($F$45:$N$45=$A643) * ($F$46:$N$49)) ), INDEX($E$46:$E$49,MATCH($E$9,$C$46:$C$49,0)) )</f>
        <v>0.76</v>
      </c>
      <c r="M643" s="694">
        <f t="array" ref="M643">MIN(SUM(IFERROR(($H$174:$O$174=$C643) * ($G$176:$G$183=M$618) * ($H$176:$O$183),0)) * (1 + SUM(($C$46:$C$49=$E$9) * ($F$45:$N$45=$A643) * ($F$46:$N$49)) ), INDEX($E$46:$E$49,MATCH($E$9,$C$46:$C$49,0)) )</f>
        <v>0</v>
      </c>
      <c r="N643" s="694">
        <f t="array" ref="N643">MIN(SUM(IFERROR(($H$174:$O$174=$C643) * ($G$176:$G$183=N$618) * ($H$176:$O$183),0)) * (1 + SUM(($C$46:$C$49=$E$9) * ($F$45:$N$45=$A643) * ($F$46:$N$49)) ), INDEX($E$46:$E$49,MATCH($E$9,$C$46:$C$49,0)) )</f>
        <v>0</v>
      </c>
      <c r="O643" s="694">
        <f t="array" ref="O643">MIN(SUM(IFERROR(($H$174:$O$174=$C643) * ($G$176:$G$183=O$618) * ($H$176:$O$183),0)) * (1 + SUM(($C$46:$C$49=$E$9) * ($F$45:$N$45=$A643) * ($F$46:$N$49)) ), INDEX($E$46:$E$49,MATCH($E$9,$C$46:$C$49,0)) )</f>
        <v>0.60344917939088194</v>
      </c>
      <c r="P643" s="691"/>
      <c r="Q643" s="36"/>
      <c r="R643" s="36"/>
      <c r="S643" s="36"/>
      <c r="T643" s="36"/>
      <c r="U643" s="36"/>
      <c r="V643" s="36"/>
      <c r="W643" s="36"/>
      <c r="X643" s="36"/>
      <c r="Y643" s="36"/>
      <c r="Z643" s="36"/>
    </row>
    <row r="644" spans="1:26">
      <c r="A644" s="452">
        <f>2030</f>
        <v>2030</v>
      </c>
      <c r="B644" s="341"/>
      <c r="C644" s="341" t="str">
        <f t="shared" si="131"/>
        <v>NM</v>
      </c>
      <c r="D644" s="341" t="str">
        <f t="shared" si="131"/>
        <v>N.M.M Products  -34</v>
      </c>
      <c r="E644" s="556"/>
      <c r="F644" s="981"/>
      <c r="G644" s="450" t="s">
        <v>993</v>
      </c>
      <c r="H644" s="694">
        <f t="array" ref="H644">MIN(SUM(IFERROR(($H$174:$O$174=$C644) * ($G$176:$G$183=H$618) * ($H$176:$O$183),0)) * (1 + SUM(($C$46:$C$49=$E$9) * ($F$45:$N$45=$A644) * ($F$46:$N$49)) ), INDEX($E$46:$E$49,MATCH($E$9,$C$46:$C$49,0)) )</f>
        <v>0.64367912468360744</v>
      </c>
      <c r="I644" s="694">
        <f t="array" ref="I644">MIN(SUM(IFERROR(($H$174:$O$174=$C644) * ($G$176:$G$183=I$618) * ($H$176:$O$183),0)) * (1 + SUM(($C$46:$C$49=$E$9) * ($F$45:$N$45=$A644) * ($F$46:$N$49)) ), INDEX($E$46:$E$49,MATCH($E$9,$C$46:$C$49,0)) )</f>
        <v>0.72413901526905833</v>
      </c>
      <c r="J644" s="694">
        <f t="array" ref="J644">MIN(SUM(IFERROR(($H$174:$O$174=$C644) * ($G$176:$G$183=J$618) * ($H$176:$O$183),0)) * (1 + SUM(($C$46:$C$49=$E$9) * ($F$45:$N$45=$A644) * ($F$46:$N$49)) ), INDEX($E$46:$E$49,MATCH($E$9,$C$46:$C$49,0)) )</f>
        <v>0.68390906997633294</v>
      </c>
      <c r="K644" s="694">
        <f t="array" ref="K644">MIN(SUM(IFERROR(($H$174:$O$174=$C644) * ($G$176:$G$183=K$618) * ($H$176:$O$183),0)) * (1 + SUM(($C$46:$C$49=$E$9) * ($F$45:$N$45=$A644) * ($F$46:$N$49)) ), INDEX($E$46:$E$49,MATCH($E$9,$C$46:$C$49,0)) )</f>
        <v>0.72413901526905833</v>
      </c>
      <c r="L644" s="694">
        <f t="array" ref="L644">MIN(SUM(IFERROR(($H$174:$O$174=$C644) * ($G$176:$G$183=L$618) * ($H$176:$O$183),0)) * (1 + SUM(($C$46:$C$49=$E$9) * ($F$45:$N$45=$A644) * ($F$46:$N$49)) ), INDEX($E$46:$E$49,MATCH($E$9,$C$46:$C$49,0)) )</f>
        <v>0.76</v>
      </c>
      <c r="M644" s="694">
        <f t="array" ref="M644">MIN(SUM(IFERROR(($H$174:$O$174=$C644) * ($G$176:$G$183=M$618) * ($H$176:$O$183),0)) * (1 + SUM(($C$46:$C$49=$E$9) * ($F$45:$N$45=$A644) * ($F$46:$N$49)) ), INDEX($E$46:$E$49,MATCH($E$9,$C$46:$C$49,0)) )</f>
        <v>0</v>
      </c>
      <c r="N644" s="694">
        <f t="array" ref="N644">MIN(SUM(IFERROR(($H$174:$O$174=$C644) * ($G$176:$G$183=N$618) * ($H$176:$O$183),0)) * (1 + SUM(($C$46:$C$49=$E$9) * ($F$45:$N$45=$A644) * ($F$46:$N$49)) ), INDEX($E$46:$E$49,MATCH($E$9,$C$46:$C$49,0)) )</f>
        <v>0</v>
      </c>
      <c r="O644" s="694">
        <f t="array" ref="O644">MIN(SUM(IFERROR(($H$174:$O$174=$C644) * ($G$176:$G$183=O$618) * ($H$176:$O$183),0)) * (1 + SUM(($C$46:$C$49=$E$9) * ($F$45:$N$45=$A644) * ($F$46:$N$49)) ), INDEX($E$46:$E$49,MATCH($E$9,$C$46:$C$49,0)) )</f>
        <v>0.60344917939088194</v>
      </c>
      <c r="P644" s="691"/>
      <c r="Q644" s="36"/>
      <c r="R644" s="36"/>
      <c r="S644" s="36"/>
      <c r="T644" s="36"/>
      <c r="U644" s="36"/>
      <c r="V644" s="36"/>
      <c r="W644" s="36"/>
      <c r="X644" s="36"/>
      <c r="Y644" s="36"/>
      <c r="Z644" s="36"/>
    </row>
    <row r="645" spans="1:26">
      <c r="A645" s="452">
        <f>2030</f>
        <v>2030</v>
      </c>
      <c r="B645" s="341"/>
      <c r="C645" s="341" t="str">
        <f t="shared" si="131"/>
        <v>FB</v>
      </c>
      <c r="D645" s="341" t="str">
        <f t="shared" si="131"/>
        <v>Food, Beverage &amp; Tabacco  - 30</v>
      </c>
      <c r="E645" s="556"/>
      <c r="F645" s="981"/>
      <c r="G645" s="450" t="s">
        <v>993</v>
      </c>
      <c r="H645" s="694">
        <f t="array" ref="H645">MIN(SUM(IFERROR(($H$174:$O$174=$C645) * ($G$176:$G$183=H$618) * ($H$176:$O$183),0)) * (1 + SUM(($C$46:$C$49=$E$9) * ($F$45:$N$45=$A645) * ($F$46:$N$49)) ), INDEX($E$46:$E$49,MATCH($E$9,$C$46:$C$49,0)) )</f>
        <v>0.64367912468360744</v>
      </c>
      <c r="I645" s="694">
        <f t="array" ref="I645">MIN(SUM(IFERROR(($H$174:$O$174=$C645) * ($G$176:$G$183=I$618) * ($H$176:$O$183),0)) * (1 + SUM(($C$46:$C$49=$E$9) * ($F$45:$N$45=$A645) * ($F$46:$N$49)) ), INDEX($E$46:$E$49,MATCH($E$9,$C$46:$C$49,0)) )</f>
        <v>0.72413901526905833</v>
      </c>
      <c r="J645" s="694">
        <f t="array" ref="J645">MIN(SUM(IFERROR(($H$174:$O$174=$C645) * ($G$176:$G$183=J$618) * ($H$176:$O$183),0)) * (1 + SUM(($C$46:$C$49=$E$9) * ($F$45:$N$45=$A645) * ($F$46:$N$49)) ), INDEX($E$46:$E$49,MATCH($E$9,$C$46:$C$49,0)) )</f>
        <v>0.68390906997633294</v>
      </c>
      <c r="K645" s="694">
        <f t="array" ref="K645">MIN(SUM(IFERROR(($H$174:$O$174=$C645) * ($G$176:$G$183=K$618) * ($H$176:$O$183),0)) * (1 + SUM(($C$46:$C$49=$E$9) * ($F$45:$N$45=$A645) * ($F$46:$N$49)) ), INDEX($E$46:$E$49,MATCH($E$9,$C$46:$C$49,0)) )</f>
        <v>0.72413901526905833</v>
      </c>
      <c r="L645" s="694">
        <f t="array" ref="L645">MIN(SUM(IFERROR(($H$174:$O$174=$C645) * ($G$176:$G$183=L$618) * ($H$176:$O$183),0)) * (1 + SUM(($C$46:$C$49=$E$9) * ($F$45:$N$45=$A645) * ($F$46:$N$49)) ), INDEX($E$46:$E$49,MATCH($E$9,$C$46:$C$49,0)) )</f>
        <v>0.76</v>
      </c>
      <c r="M645" s="694">
        <f t="array" ref="M645">MIN(SUM(IFERROR(($H$174:$O$174=$C645) * ($G$176:$G$183=M$618) * ($H$176:$O$183),0)) * (1 + SUM(($C$46:$C$49=$E$9) * ($F$45:$N$45=$A645) * ($F$46:$N$49)) ), INDEX($E$46:$E$49,MATCH($E$9,$C$46:$C$49,0)) )</f>
        <v>0</v>
      </c>
      <c r="N645" s="694">
        <f t="array" ref="N645">MIN(SUM(IFERROR(($H$174:$O$174=$C645) * ($G$176:$G$183=N$618) * ($H$176:$O$183),0)) * (1 + SUM(($C$46:$C$49=$E$9) * ($F$45:$N$45=$A645) * ($F$46:$N$49)) ), INDEX($E$46:$E$49,MATCH($E$9,$C$46:$C$49,0)) )</f>
        <v>0.60344917939088194</v>
      </c>
      <c r="O645" s="694">
        <f t="array" ref="O645">MIN(SUM(IFERROR(($H$174:$O$174=$C645) * ($G$176:$G$183=O$618) * ($H$176:$O$183),0)) * (1 + SUM(($C$46:$C$49=$E$9) * ($F$45:$N$45=$A645) * ($F$46:$N$49)) ), INDEX($E$46:$E$49,MATCH($E$9,$C$46:$C$49,0)) )</f>
        <v>0.60344917939088194</v>
      </c>
      <c r="P645" s="691"/>
      <c r="Q645" s="36"/>
      <c r="R645" s="36"/>
      <c r="S645" s="36"/>
      <c r="T645" s="36"/>
      <c r="U645" s="36"/>
      <c r="V645" s="36"/>
      <c r="W645" s="36"/>
      <c r="X645" s="36"/>
      <c r="Y645" s="36"/>
      <c r="Z645" s="36"/>
    </row>
    <row r="646" spans="1:26">
      <c r="A646" s="452">
        <f>2030</f>
        <v>2030</v>
      </c>
      <c r="B646" s="341"/>
      <c r="C646" s="341" t="str">
        <f t="shared" si="131"/>
        <v>PP</v>
      </c>
      <c r="D646" s="341" t="str">
        <f t="shared" si="131"/>
        <v>Pulp &amp; Paper Products  -323</v>
      </c>
      <c r="E646" s="336"/>
      <c r="F646" s="336"/>
      <c r="G646" s="450" t="s">
        <v>993</v>
      </c>
      <c r="H646" s="694">
        <f t="array" ref="H646">MIN(SUM(IFERROR(($H$174:$O$174=$C646) * ($G$176:$G$183=H$618) * ($H$176:$O$183),0)) * (1 + SUM(($C$46:$C$49=$E$9) * ($F$45:$N$45=$A646) * ($F$46:$N$49)) ), INDEX($E$46:$E$49,MATCH($E$9,$C$46:$C$49,0)) )</f>
        <v>0.64367912468360744</v>
      </c>
      <c r="I646" s="694">
        <f t="array" ref="I646">MIN(SUM(IFERROR(($H$174:$O$174=$C646) * ($G$176:$G$183=I$618) * ($H$176:$O$183),0)) * (1 + SUM(($C$46:$C$49=$E$9) * ($F$45:$N$45=$A646) * ($F$46:$N$49)) ), INDEX($E$46:$E$49,MATCH($E$9,$C$46:$C$49,0)) )</f>
        <v>0.72413901526905833</v>
      </c>
      <c r="J646" s="694">
        <f t="array" ref="J646">MIN(SUM(IFERROR(($H$174:$O$174=$C646) * ($G$176:$G$183=J$618) * ($H$176:$O$183),0)) * (1 + SUM(($C$46:$C$49=$E$9) * ($F$45:$N$45=$A646) * ($F$46:$N$49)) ), INDEX($E$46:$E$49,MATCH($E$9,$C$46:$C$49,0)) )</f>
        <v>0.68390906997633294</v>
      </c>
      <c r="K646" s="694">
        <f t="array" ref="K646">MIN(SUM(IFERROR(($H$174:$O$174=$C646) * ($G$176:$G$183=K$618) * ($H$176:$O$183),0)) * (1 + SUM(($C$46:$C$49=$E$9) * ($F$45:$N$45=$A646) * ($F$46:$N$49)) ), INDEX($E$46:$E$49,MATCH($E$9,$C$46:$C$49,0)) )</f>
        <v>0.72413901526905833</v>
      </c>
      <c r="L646" s="694">
        <f t="array" ref="L646">MIN(SUM(IFERROR(($H$174:$O$174=$C646) * ($G$176:$G$183=L$618) * ($H$176:$O$183),0)) * (1 + SUM(($C$46:$C$49=$E$9) * ($F$45:$N$45=$A646) * ($F$46:$N$49)) ), INDEX($E$46:$E$49,MATCH($E$9,$C$46:$C$49,0)) )</f>
        <v>0.76</v>
      </c>
      <c r="M646" s="694">
        <f t="array" ref="M646">MIN(SUM(IFERROR(($H$174:$O$174=$C646) * ($G$176:$G$183=M$618) * ($H$176:$O$183),0)) * (1 + SUM(($C$46:$C$49=$E$9) * ($F$45:$N$45=$A646) * ($F$46:$N$49)) ), INDEX($E$46:$E$49,MATCH($E$9,$C$46:$C$49,0)) )</f>
        <v>0.60344917939088194</v>
      </c>
      <c r="N646" s="694">
        <f t="array" ref="N646">MIN(SUM(IFERROR(($H$174:$O$174=$C646) * ($G$176:$G$183=N$618) * ($H$176:$O$183),0)) * (1 + SUM(($C$46:$C$49=$E$9) * ($F$45:$N$45=$A646) * ($F$46:$N$49)) ), INDEX($E$46:$E$49,MATCH($E$9,$C$46:$C$49,0)) )</f>
        <v>0</v>
      </c>
      <c r="O646" s="694">
        <f t="array" ref="O646">MIN(SUM(IFERROR(($H$174:$O$174=$C646) * ($G$176:$G$183=O$618) * ($H$176:$O$183),0)) * (1 + SUM(($C$46:$C$49=$E$9) * ($F$45:$N$45=$A646) * ($F$46:$N$49)) ), INDEX($E$46:$E$49,MATCH($E$9,$C$46:$C$49,0)) )</f>
        <v>0.60344917939088194</v>
      </c>
      <c r="P646" s="691"/>
      <c r="Q646" s="36"/>
      <c r="R646" s="36"/>
      <c r="S646" s="36"/>
      <c r="T646" s="36"/>
      <c r="U646" s="36"/>
      <c r="V646" s="36"/>
      <c r="W646" s="36"/>
      <c r="X646" s="36"/>
      <c r="Y646" s="36"/>
      <c r="Z646" s="36"/>
    </row>
    <row r="647" spans="1:26">
      <c r="A647" s="452">
        <f>2030</f>
        <v>2030</v>
      </c>
      <c r="B647" s="341"/>
      <c r="C647" s="341" t="str">
        <f t="shared" si="131"/>
        <v>OT</v>
      </c>
      <c r="D647" s="341" t="str">
        <f t="shared" si="131"/>
        <v>Other</v>
      </c>
      <c r="E647" s="336"/>
      <c r="F647" s="336"/>
      <c r="G647" s="450" t="s">
        <v>993</v>
      </c>
      <c r="H647" s="694">
        <f t="array" ref="H647">MIN(SUM(IFERROR(($H$174:$O$174=$C647) * ($G$176:$G$183=H$618) * ($H$176:$O$183),0)) * (1 + SUM(($C$46:$C$49=$E$9) * ($F$45:$N$45=$A647) * ($F$46:$N$49)) ), INDEX($E$46:$E$49,MATCH($E$9,$C$46:$C$49,0)) )</f>
        <v>0.64367912468360744</v>
      </c>
      <c r="I647" s="694">
        <f t="array" ref="I647">MIN(SUM(IFERROR(($H$174:$O$174=$C647) * ($G$176:$G$183=I$618) * ($H$176:$O$183),0)) * (1 + SUM(($C$46:$C$49=$E$9) * ($F$45:$N$45=$A647) * ($F$46:$N$49)) ), INDEX($E$46:$E$49,MATCH($E$9,$C$46:$C$49,0)) )</f>
        <v>0.72413901526905833</v>
      </c>
      <c r="J647" s="694">
        <f t="array" ref="J647">MIN(SUM(IFERROR(($H$174:$O$174=$C647) * ($G$176:$G$183=J$618) * ($H$176:$O$183),0)) * (1 + SUM(($C$46:$C$49=$E$9) * ($F$45:$N$45=$A647) * ($F$46:$N$49)) ), INDEX($E$46:$E$49,MATCH($E$9,$C$46:$C$49,0)) )</f>
        <v>0.68390906997633294</v>
      </c>
      <c r="K647" s="694">
        <f t="array" ref="K647">MIN(SUM(IFERROR(($H$174:$O$174=$C647) * ($G$176:$G$183=K$618) * ($H$176:$O$183),0)) * (1 + SUM(($C$46:$C$49=$E$9) * ($F$45:$N$45=$A647) * ($F$46:$N$49)) ), INDEX($E$46:$E$49,MATCH($E$9,$C$46:$C$49,0)) )</f>
        <v>0.72413901526905833</v>
      </c>
      <c r="L647" s="694">
        <f t="array" ref="L647">MIN(SUM(IFERROR(($H$174:$O$174=$C647) * ($G$176:$G$183=L$618) * ($H$176:$O$183),0)) * (1 + SUM(($C$46:$C$49=$E$9) * ($F$45:$N$45=$A647) * ($F$46:$N$49)) ), INDEX($E$46:$E$49,MATCH($E$9,$C$46:$C$49,0)) )</f>
        <v>0.76</v>
      </c>
      <c r="M647" s="694">
        <f t="array" ref="M647">MIN(SUM(IFERROR(($H$174:$O$174=$C647) * ($G$176:$G$183=M$618) * ($H$176:$O$183),0)) * (1 + SUM(($C$46:$C$49=$E$9) * ($F$45:$N$45=$A647) * ($F$46:$N$49)) ), INDEX($E$46:$E$49,MATCH($E$9,$C$46:$C$49,0)) )</f>
        <v>0</v>
      </c>
      <c r="N647" s="694">
        <f t="array" ref="N647">MIN(SUM(IFERROR(($H$174:$O$174=$C647) * ($G$176:$G$183=N$618) * ($H$176:$O$183),0)) * (1 + SUM(($C$46:$C$49=$E$9) * ($F$45:$N$45=$A647) * ($F$46:$N$49)) ), INDEX($E$46:$E$49,MATCH($E$9,$C$46:$C$49,0)) )</f>
        <v>0</v>
      </c>
      <c r="O647" s="694">
        <f t="array" ref="O647">MIN(SUM(IFERROR(($H$174:$O$174=$C647) * ($G$176:$G$183=O$618) * ($H$176:$O$183),0)) * (1 + SUM(($C$46:$C$49=$E$9) * ($F$45:$N$45=$A647) * ($F$46:$N$49)) ), INDEX($E$46:$E$49,MATCH($E$9,$C$46:$C$49,0)) )</f>
        <v>0.60344917939088194</v>
      </c>
      <c r="P647" s="691"/>
      <c r="Q647" s="36"/>
      <c r="R647" s="36"/>
      <c r="S647" s="36"/>
      <c r="T647" s="36"/>
      <c r="U647" s="36"/>
      <c r="V647" s="36"/>
      <c r="W647" s="36"/>
      <c r="X647" s="36"/>
      <c r="Y647" s="36"/>
      <c r="Z647" s="36"/>
    </row>
    <row r="648" spans="1:26">
      <c r="A648" s="452"/>
      <c r="B648" s="341"/>
      <c r="C648" s="336"/>
      <c r="D648" s="336"/>
      <c r="E648" s="336"/>
      <c r="F648" s="336"/>
      <c r="G648" s="450" t="s">
        <v>993</v>
      </c>
      <c r="H648" s="694">
        <f t="array" ref="H648">MIN(SUM(IFERROR(($H$174:$O$174=$C648) * ($G$176:$G$183=H$618) * ($H$176:$O$183),0)) * (1 + SUM(($C$46:$C$49=$E$9) * ($F$45:$N$45=$A648) * ($F$46:$N$49)) ), INDEX($E$46:$E$49,MATCH($E$9,$C$46:$C$49,0)) )</f>
        <v>0</v>
      </c>
      <c r="I648" s="694">
        <f t="array" ref="I648">MIN(SUM(IFERROR(($H$174:$O$174=$C648) * ($G$176:$G$183=I$618) * ($H$176:$O$183),0)) * (1 + SUM(($C$46:$C$49=$E$9) * ($F$45:$N$45=$A648) * ($F$46:$N$49)) ), INDEX($E$46:$E$49,MATCH($E$9,$C$46:$C$49,0)) )</f>
        <v>0</v>
      </c>
      <c r="J648" s="694">
        <f t="array" ref="J648">MIN(SUM(IFERROR(($H$174:$O$174=$C648) * ($G$176:$G$183=J$618) * ($H$176:$O$183),0)) * (1 + SUM(($C$46:$C$49=$E$9) * ($F$45:$N$45=$A648) * ($F$46:$N$49)) ), INDEX($E$46:$E$49,MATCH($E$9,$C$46:$C$49,0)) )</f>
        <v>0</v>
      </c>
      <c r="K648" s="694">
        <f t="array" ref="K648">MIN(SUM(IFERROR(($H$174:$O$174=$C648) * ($G$176:$G$183=K$618) * ($H$176:$O$183),0)) * (1 + SUM(($C$46:$C$49=$E$9) * ($F$45:$N$45=$A648) * ($F$46:$N$49)) ), INDEX($E$46:$E$49,MATCH($E$9,$C$46:$C$49,0)) )</f>
        <v>0</v>
      </c>
      <c r="L648" s="694">
        <f t="array" ref="L648">MIN(SUM(IFERROR(($H$174:$O$174=$C648) * ($G$176:$G$183=L$618) * ($H$176:$O$183),0)) * (1 + SUM(($C$46:$C$49=$E$9) * ($F$45:$N$45=$A648) * ($F$46:$N$49)) ), INDEX($E$46:$E$49,MATCH($E$9,$C$46:$C$49,0)) )</f>
        <v>0</v>
      </c>
      <c r="M648" s="694">
        <f t="array" ref="M648">MIN(SUM(IFERROR(($H$174:$O$174=$C648) * ($G$176:$G$183=M$618) * ($H$176:$O$183),0)) * (1 + SUM(($C$46:$C$49=$E$9) * ($F$45:$N$45=$A648) * ($F$46:$N$49)) ), INDEX($E$46:$E$49,MATCH($E$9,$C$46:$C$49,0)) )</f>
        <v>0</v>
      </c>
      <c r="N648" s="694">
        <f t="array" ref="N648">MIN(SUM(IFERROR(($H$174:$O$174=$C648) * ($G$176:$G$183=N$618) * ($H$176:$O$183),0)) * (1 + SUM(($C$46:$C$49=$E$9) * ($F$45:$N$45=$A648) * ($F$46:$N$49)) ), INDEX($E$46:$E$49,MATCH($E$9,$C$46:$C$49,0)) )</f>
        <v>0</v>
      </c>
      <c r="O648" s="694">
        <f t="array" ref="O648">MIN(SUM(IFERROR(($H$174:$O$174=$C648) * ($G$176:$G$183=O$618) * ($H$176:$O$183),0)) * (1 + SUM(($C$46:$C$49=$E$9) * ($F$45:$N$45=$A648) * ($F$46:$N$49)) ), INDEX($E$46:$E$49,MATCH($E$9,$C$46:$C$49,0)) )</f>
        <v>0</v>
      </c>
      <c r="P648" s="691"/>
      <c r="Q648" s="36"/>
      <c r="R648" s="36"/>
      <c r="S648" s="36"/>
      <c r="T648" s="36"/>
      <c r="U648" s="36"/>
      <c r="V648" s="36"/>
      <c r="W648" s="36"/>
      <c r="X648" s="36"/>
      <c r="Y648" s="36"/>
      <c r="Z648" s="36"/>
    </row>
    <row r="649" spans="1:26">
      <c r="A649" s="452">
        <v>2040</v>
      </c>
      <c r="B649" s="341"/>
      <c r="C649" s="336" t="str">
        <f t="shared" ref="C649:D656" si="132">C621</f>
        <v>MI</v>
      </c>
      <c r="D649" s="336" t="str">
        <f t="shared" si="132"/>
        <v>Mining SIC2</v>
      </c>
      <c r="E649" s="336"/>
      <c r="F649" s="336"/>
      <c r="G649" s="450" t="s">
        <v>993</v>
      </c>
      <c r="H649" s="694">
        <f t="array" ref="H649">MIN(SUM(IFERROR(($H$174:$O$174=$C649) * ($G$176:$G$183=H$618) * ($H$176:$O$183),0)) * (1 + SUM(($C$46:$C$49=$E$9) * ($F$45:$N$45=$A649) * ($F$46:$N$49)) ), INDEX($E$46:$E$49,MATCH($E$9,$C$46:$C$49,0)) )</f>
        <v>0.64558309357480281</v>
      </c>
      <c r="I649" s="694">
        <f t="array" ref="I649">MIN(SUM(IFERROR(($H$174:$O$174=$C649) * ($G$176:$G$183=I$618) * ($H$176:$O$183),0)) * (1 + SUM(($C$46:$C$49=$E$9) * ($F$45:$N$45=$A649) * ($F$46:$N$49)) ), INDEX($E$46:$E$49,MATCH($E$9,$C$46:$C$49,0)) )</f>
        <v>0.72628098027165311</v>
      </c>
      <c r="J649" s="694">
        <f t="array" ref="J649">MIN(SUM(IFERROR(($H$174:$O$174=$C649) * ($G$176:$G$183=J$618) * ($H$176:$O$183),0)) * (1 + SUM(($C$46:$C$49=$E$9) * ($F$45:$N$45=$A649) * ($F$46:$N$49)) ), INDEX($E$46:$E$49,MATCH($E$9,$C$46:$C$49,0)) )</f>
        <v>0.68593203692322802</v>
      </c>
      <c r="K649" s="694">
        <f t="array" ref="K649">MIN(SUM(IFERROR(($H$174:$O$174=$C649) * ($G$176:$G$183=K$618) * ($H$176:$O$183),0)) * (1 + SUM(($C$46:$C$49=$E$9) * ($F$45:$N$45=$A649) * ($F$46:$N$49)) ), INDEX($E$46:$E$49,MATCH($E$9,$C$46:$C$49,0)) )</f>
        <v>0.72628098027165311</v>
      </c>
      <c r="L649" s="694">
        <f t="array" ref="L649">MIN(SUM(IFERROR(($H$174:$O$174=$C649) * ($G$176:$G$183=L$618) * ($H$176:$O$183),0)) * (1 + SUM(($C$46:$C$49=$E$9) * ($F$45:$N$45=$A649) * ($F$46:$N$49)) ), INDEX($E$46:$E$49,MATCH($E$9,$C$46:$C$49,0)) )</f>
        <v>0.76</v>
      </c>
      <c r="M649" s="694">
        <f t="array" ref="M649">MIN(SUM(IFERROR(($H$174:$O$174=$C649) * ($G$176:$G$183=M$618) * ($H$176:$O$183),0)) * (1 + SUM(($C$46:$C$49=$E$9) * ($F$45:$N$45=$A649) * ($F$46:$N$49)) ), INDEX($E$46:$E$49,MATCH($E$9,$C$46:$C$49,0)) )</f>
        <v>0</v>
      </c>
      <c r="N649" s="694">
        <f t="array" ref="N649">MIN(SUM(IFERROR(($H$174:$O$174=$C649) * ($G$176:$G$183=N$618) * ($H$176:$O$183),0)) * (1 + SUM(($C$46:$C$49=$E$9) * ($F$45:$N$45=$A649) * ($F$46:$N$49)) ), INDEX($E$46:$E$49,MATCH($E$9,$C$46:$C$49,0)) )</f>
        <v>0</v>
      </c>
      <c r="O649" s="694">
        <f t="array" ref="O649">MIN(SUM(IFERROR(($H$174:$O$174=$C649) * ($G$176:$G$183=O$618) * ($H$176:$O$183),0)) * (1 + SUM(($C$46:$C$49=$E$9) * ($F$45:$N$45=$A649) * ($F$46:$N$49)) ), INDEX($E$46:$E$49,MATCH($E$9,$C$46:$C$49,0)) )</f>
        <v>0.60523415022637761</v>
      </c>
      <c r="P649" s="691"/>
      <c r="Q649" s="36"/>
      <c r="R649" s="36"/>
      <c r="S649" s="36"/>
      <c r="T649" s="36"/>
      <c r="U649" s="36"/>
      <c r="V649" s="36"/>
      <c r="W649" s="36"/>
      <c r="X649" s="36"/>
      <c r="Y649" s="36"/>
      <c r="Z649" s="36"/>
    </row>
    <row r="650" spans="1:26">
      <c r="A650" s="452">
        <v>2040</v>
      </c>
      <c r="B650" s="341"/>
      <c r="C650" s="336" t="str">
        <f t="shared" si="132"/>
        <v>IS</v>
      </c>
      <c r="D650" s="336" t="str">
        <f t="shared" si="132"/>
        <v>Iron  &amp; Steel  - 351</v>
      </c>
      <c r="E650" s="336"/>
      <c r="F650" s="336"/>
      <c r="G650" s="450" t="s">
        <v>993</v>
      </c>
      <c r="H650" s="694">
        <f t="array" ref="H650">MIN(SUM(IFERROR(($H$174:$O$174=$C650) * ($G$176:$G$183=H$618) * ($H$176:$O$183),0)) * (1 + SUM(($C$46:$C$49=$E$9) * ($F$45:$N$45=$A650) * ($F$46:$N$49)) ), INDEX($E$46:$E$49,MATCH($E$9,$C$46:$C$49,0)) )</f>
        <v>0.64558309357480281</v>
      </c>
      <c r="I650" s="694">
        <f t="array" ref="I650">MIN(SUM(IFERROR(($H$174:$O$174=$C650) * ($G$176:$G$183=I$618) * ($H$176:$O$183),0)) * (1 + SUM(($C$46:$C$49=$E$9) * ($F$45:$N$45=$A650) * ($F$46:$N$49)) ), INDEX($E$46:$E$49,MATCH($E$9,$C$46:$C$49,0)) )</f>
        <v>0.72628098027165311</v>
      </c>
      <c r="J650" s="694">
        <f t="array" ref="J650">MIN(SUM(IFERROR(($H$174:$O$174=$C650) * ($G$176:$G$183=J$618) * ($H$176:$O$183),0)) * (1 + SUM(($C$46:$C$49=$E$9) * ($F$45:$N$45=$A650) * ($F$46:$N$49)) ), INDEX($E$46:$E$49,MATCH($E$9,$C$46:$C$49,0)) )</f>
        <v>0.68593203692322802</v>
      </c>
      <c r="K650" s="694">
        <f t="array" ref="K650">MIN(SUM(IFERROR(($H$174:$O$174=$C650) * ($G$176:$G$183=K$618) * ($H$176:$O$183),0)) * (1 + SUM(($C$46:$C$49=$E$9) * ($F$45:$N$45=$A650) * ($F$46:$N$49)) ), INDEX($E$46:$E$49,MATCH($E$9,$C$46:$C$49,0)) )</f>
        <v>0.72628098027165311</v>
      </c>
      <c r="L650" s="694">
        <f t="array" ref="L650">MIN(SUM(IFERROR(($H$174:$O$174=$C650) * ($G$176:$G$183=L$618) * ($H$176:$O$183),0)) * (1 + SUM(($C$46:$C$49=$E$9) * ($F$45:$N$45=$A650) * ($F$46:$N$49)) ), INDEX($E$46:$E$49,MATCH($E$9,$C$46:$C$49,0)) )</f>
        <v>0.76</v>
      </c>
      <c r="M650" s="694">
        <f t="array" ref="M650">MIN(SUM(IFERROR(($H$174:$O$174=$C650) * ($G$176:$G$183=M$618) * ($H$176:$O$183),0)) * (1 + SUM(($C$46:$C$49=$E$9) * ($F$45:$N$45=$A650) * ($F$46:$N$49)) ), INDEX($E$46:$E$49,MATCH($E$9,$C$46:$C$49,0)) )</f>
        <v>0</v>
      </c>
      <c r="N650" s="694">
        <f t="array" ref="N650">MIN(SUM(IFERROR(($H$174:$O$174=$C650) * ($G$176:$G$183=N$618) * ($H$176:$O$183),0)) * (1 + SUM(($C$46:$C$49=$E$9) * ($F$45:$N$45=$A650) * ($F$46:$N$49)) ), INDEX($E$46:$E$49,MATCH($E$9,$C$46:$C$49,0)) )</f>
        <v>0</v>
      </c>
      <c r="O650" s="694">
        <f t="array" ref="O650">MIN(SUM(IFERROR(($H$174:$O$174=$C650) * ($G$176:$G$183=O$618) * ($H$176:$O$183),0)) * (1 + SUM(($C$46:$C$49=$E$9) * ($F$45:$N$45=$A650) * ($F$46:$N$49)) ), INDEX($E$46:$E$49,MATCH($E$9,$C$46:$C$49,0)) )</f>
        <v>0.60523415022637761</v>
      </c>
      <c r="P650" s="691"/>
      <c r="Q650" s="36"/>
      <c r="R650" s="36"/>
      <c r="S650" s="36"/>
      <c r="T650" s="36"/>
      <c r="U650" s="36"/>
      <c r="V650" s="36"/>
      <c r="W650" s="36"/>
      <c r="X650" s="36"/>
      <c r="Y650" s="36"/>
      <c r="Z650" s="36"/>
    </row>
    <row r="651" spans="1:26">
      <c r="A651" s="452">
        <v>2040</v>
      </c>
      <c r="B651" s="341"/>
      <c r="C651" s="336" t="str">
        <f t="shared" si="132"/>
        <v>CP</v>
      </c>
      <c r="D651" s="336" t="str">
        <f t="shared" si="132"/>
        <v>Chemicals  -33</v>
      </c>
      <c r="E651" s="336"/>
      <c r="F651" s="336"/>
      <c r="G651" s="450" t="s">
        <v>993</v>
      </c>
      <c r="H651" s="694">
        <f t="array" ref="H651">MIN(SUM(IFERROR(($H$174:$O$174=$C651) * ($G$176:$G$183=H$618) * ($H$176:$O$183),0)) * (1 + SUM(($C$46:$C$49=$E$9) * ($F$45:$N$45=$A651) * ($F$46:$N$49)) ), INDEX($E$46:$E$49,MATCH($E$9,$C$46:$C$49,0)) )</f>
        <v>0.64558309357480281</v>
      </c>
      <c r="I651" s="694">
        <f t="array" ref="I651">MIN(SUM(IFERROR(($H$174:$O$174=$C651) * ($G$176:$G$183=I$618) * ($H$176:$O$183),0)) * (1 + SUM(($C$46:$C$49=$E$9) * ($F$45:$N$45=$A651) * ($F$46:$N$49)) ), INDEX($E$46:$E$49,MATCH($E$9,$C$46:$C$49,0)) )</f>
        <v>0.72628098027165311</v>
      </c>
      <c r="J651" s="694">
        <f t="array" ref="J651">MIN(SUM(IFERROR(($H$174:$O$174=$C651) * ($G$176:$G$183=J$618) * ($H$176:$O$183),0)) * (1 + SUM(($C$46:$C$49=$E$9) * ($F$45:$N$45=$A651) * ($F$46:$N$49)) ), INDEX($E$46:$E$49,MATCH($E$9,$C$46:$C$49,0)) )</f>
        <v>0.68593203692322802</v>
      </c>
      <c r="K651" s="694">
        <f t="array" ref="K651">MIN(SUM(IFERROR(($H$174:$O$174=$C651) * ($G$176:$G$183=K$618) * ($H$176:$O$183),0)) * (1 + SUM(($C$46:$C$49=$E$9) * ($F$45:$N$45=$A651) * ($F$46:$N$49)) ), INDEX($E$46:$E$49,MATCH($E$9,$C$46:$C$49,0)) )</f>
        <v>0.72628098027165311</v>
      </c>
      <c r="L651" s="694">
        <f t="array" ref="L651">MIN(SUM(IFERROR(($H$174:$O$174=$C651) * ($G$176:$G$183=L$618) * ($H$176:$O$183),0)) * (1 + SUM(($C$46:$C$49=$E$9) * ($F$45:$N$45=$A651) * ($F$46:$N$49)) ), INDEX($E$46:$E$49,MATCH($E$9,$C$46:$C$49,0)) )</f>
        <v>0.76</v>
      </c>
      <c r="M651" s="694">
        <f t="array" ref="M651">MIN(SUM(IFERROR(($H$174:$O$174=$C651) * ($G$176:$G$183=M$618) * ($H$176:$O$183),0)) * (1 + SUM(($C$46:$C$49=$E$9) * ($F$45:$N$45=$A651) * ($F$46:$N$49)) ), INDEX($E$46:$E$49,MATCH($E$9,$C$46:$C$49,0)) )</f>
        <v>0</v>
      </c>
      <c r="N651" s="694">
        <f t="array" ref="N651">MIN(SUM(IFERROR(($H$174:$O$174=$C651) * ($G$176:$G$183=N$618) * ($H$176:$O$183),0)) * (1 + SUM(($C$46:$C$49=$E$9) * ($F$45:$N$45=$A651) * ($F$46:$N$49)) ), INDEX($E$46:$E$49,MATCH($E$9,$C$46:$C$49,0)) )</f>
        <v>0</v>
      </c>
      <c r="O651" s="694">
        <f t="array" ref="O651">MIN(SUM(IFERROR(($H$174:$O$174=$C651) * ($G$176:$G$183=O$618) * ($H$176:$O$183),0)) * (1 + SUM(($C$46:$C$49=$E$9) * ($F$45:$N$45=$A651) * ($F$46:$N$49)) ), INDEX($E$46:$E$49,MATCH($E$9,$C$46:$C$49,0)) )</f>
        <v>0.60523415022637761</v>
      </c>
      <c r="P651" s="691"/>
      <c r="Q651" s="36"/>
      <c r="R651" s="36"/>
      <c r="S651" s="36"/>
      <c r="T651" s="36"/>
      <c r="U651" s="36"/>
      <c r="V651" s="36"/>
      <c r="W651" s="36"/>
      <c r="X651" s="36"/>
      <c r="Y651" s="36"/>
      <c r="Z651" s="36"/>
    </row>
    <row r="652" spans="1:26">
      <c r="A652" s="452">
        <v>2040</v>
      </c>
      <c r="B652" s="341"/>
      <c r="C652" s="336" t="str">
        <f t="shared" si="132"/>
        <v>NF</v>
      </c>
      <c r="D652" s="336" t="str">
        <f t="shared" si="132"/>
        <v>Non-Ferrous metals  - 352</v>
      </c>
      <c r="E652" s="336"/>
      <c r="F652" s="336"/>
      <c r="G652" s="450" t="s">
        <v>993</v>
      </c>
      <c r="H652" s="694">
        <f t="array" ref="H652">MIN(SUM(IFERROR(($H$174:$O$174=$C652) * ($G$176:$G$183=H$618) * ($H$176:$O$183),0)) * (1 + SUM(($C$46:$C$49=$E$9) * ($F$45:$N$45=$A652) * ($F$46:$N$49)) ), INDEX($E$46:$E$49,MATCH($E$9,$C$46:$C$49,0)) )</f>
        <v>0.64558309357480281</v>
      </c>
      <c r="I652" s="694">
        <f t="array" ref="I652">MIN(SUM(IFERROR(($H$174:$O$174=$C652) * ($G$176:$G$183=I$618) * ($H$176:$O$183),0)) * (1 + SUM(($C$46:$C$49=$E$9) * ($F$45:$N$45=$A652) * ($F$46:$N$49)) ), INDEX($E$46:$E$49,MATCH($E$9,$C$46:$C$49,0)) )</f>
        <v>0.72628098027165311</v>
      </c>
      <c r="J652" s="694">
        <f t="array" ref="J652">MIN(SUM(IFERROR(($H$174:$O$174=$C652) * ($G$176:$G$183=J$618) * ($H$176:$O$183),0)) * (1 + SUM(($C$46:$C$49=$E$9) * ($F$45:$N$45=$A652) * ($F$46:$N$49)) ), INDEX($E$46:$E$49,MATCH($E$9,$C$46:$C$49,0)) )</f>
        <v>0.68593203692322802</v>
      </c>
      <c r="K652" s="694">
        <f t="array" ref="K652">MIN(SUM(IFERROR(($H$174:$O$174=$C652) * ($G$176:$G$183=K$618) * ($H$176:$O$183),0)) * (1 + SUM(($C$46:$C$49=$E$9) * ($F$45:$N$45=$A652) * ($F$46:$N$49)) ), INDEX($E$46:$E$49,MATCH($E$9,$C$46:$C$49,0)) )</f>
        <v>0.72628098027165311</v>
      </c>
      <c r="L652" s="694">
        <f t="array" ref="L652">MIN(SUM(IFERROR(($H$174:$O$174=$C652) * ($G$176:$G$183=L$618) * ($H$176:$O$183),0)) * (1 + SUM(($C$46:$C$49=$E$9) * ($F$45:$N$45=$A652) * ($F$46:$N$49)) ), INDEX($E$46:$E$49,MATCH($E$9,$C$46:$C$49,0)) )</f>
        <v>0.76</v>
      </c>
      <c r="M652" s="694">
        <f t="array" ref="M652">MIN(SUM(IFERROR(($H$174:$O$174=$C652) * ($G$176:$G$183=M$618) * ($H$176:$O$183),0)) * (1 + SUM(($C$46:$C$49=$E$9) * ($F$45:$N$45=$A652) * ($F$46:$N$49)) ), INDEX($E$46:$E$49,MATCH($E$9,$C$46:$C$49,0)) )</f>
        <v>0</v>
      </c>
      <c r="N652" s="694">
        <f t="array" ref="N652">MIN(SUM(IFERROR(($H$174:$O$174=$C652) * ($G$176:$G$183=N$618) * ($H$176:$O$183),0)) * (1 + SUM(($C$46:$C$49=$E$9) * ($F$45:$N$45=$A652) * ($F$46:$N$49)) ), INDEX($E$46:$E$49,MATCH($E$9,$C$46:$C$49,0)) )</f>
        <v>0</v>
      </c>
      <c r="O652" s="694">
        <f t="array" ref="O652">MIN(SUM(IFERROR(($H$174:$O$174=$C652) * ($G$176:$G$183=O$618) * ($H$176:$O$183),0)) * (1 + SUM(($C$46:$C$49=$E$9) * ($F$45:$N$45=$A652) * ($F$46:$N$49)) ), INDEX($E$46:$E$49,MATCH($E$9,$C$46:$C$49,0)) )</f>
        <v>0.60523415022637761</v>
      </c>
      <c r="P652" s="691"/>
      <c r="Q652" s="36"/>
      <c r="R652" s="36"/>
      <c r="S652" s="36"/>
      <c r="T652" s="36"/>
      <c r="U652" s="36"/>
      <c r="V652" s="36"/>
      <c r="W652" s="36"/>
      <c r="X652" s="36"/>
      <c r="Y652" s="36"/>
      <c r="Z652" s="36"/>
    </row>
    <row r="653" spans="1:26">
      <c r="A653" s="452">
        <v>2040</v>
      </c>
      <c r="B653" s="341"/>
      <c r="C653" s="336" t="str">
        <f t="shared" si="132"/>
        <v>NM</v>
      </c>
      <c r="D653" s="336" t="str">
        <f t="shared" si="132"/>
        <v>N.M.M Products  -34</v>
      </c>
      <c r="E653" s="336"/>
      <c r="F653" s="336"/>
      <c r="G653" s="450" t="s">
        <v>993</v>
      </c>
      <c r="H653" s="694">
        <f t="array" ref="H653">MIN(SUM(IFERROR(($H$174:$O$174=$C653) * ($G$176:$G$183=H$618) * ($H$176:$O$183),0)) * (1 + SUM(($C$46:$C$49=$E$9) * ($F$45:$N$45=$A653) * ($F$46:$N$49)) ), INDEX($E$46:$E$49,MATCH($E$9,$C$46:$C$49,0)) )</f>
        <v>0.64558309357480281</v>
      </c>
      <c r="I653" s="694">
        <f t="array" ref="I653">MIN(SUM(IFERROR(($H$174:$O$174=$C653) * ($G$176:$G$183=I$618) * ($H$176:$O$183),0)) * (1 + SUM(($C$46:$C$49=$E$9) * ($F$45:$N$45=$A653) * ($F$46:$N$49)) ), INDEX($E$46:$E$49,MATCH($E$9,$C$46:$C$49,0)) )</f>
        <v>0.72628098027165311</v>
      </c>
      <c r="J653" s="694">
        <f t="array" ref="J653">MIN(SUM(IFERROR(($H$174:$O$174=$C653) * ($G$176:$G$183=J$618) * ($H$176:$O$183),0)) * (1 + SUM(($C$46:$C$49=$E$9) * ($F$45:$N$45=$A653) * ($F$46:$N$49)) ), INDEX($E$46:$E$49,MATCH($E$9,$C$46:$C$49,0)) )</f>
        <v>0.68593203692322802</v>
      </c>
      <c r="K653" s="694">
        <f t="array" ref="K653">MIN(SUM(IFERROR(($H$174:$O$174=$C653) * ($G$176:$G$183=K$618) * ($H$176:$O$183),0)) * (1 + SUM(($C$46:$C$49=$E$9) * ($F$45:$N$45=$A653) * ($F$46:$N$49)) ), INDEX($E$46:$E$49,MATCH($E$9,$C$46:$C$49,0)) )</f>
        <v>0.72628098027165311</v>
      </c>
      <c r="L653" s="694">
        <f t="array" ref="L653">MIN(SUM(IFERROR(($H$174:$O$174=$C653) * ($G$176:$G$183=L$618) * ($H$176:$O$183),0)) * (1 + SUM(($C$46:$C$49=$E$9) * ($F$45:$N$45=$A653) * ($F$46:$N$49)) ), INDEX($E$46:$E$49,MATCH($E$9,$C$46:$C$49,0)) )</f>
        <v>0.76</v>
      </c>
      <c r="M653" s="694">
        <f t="array" ref="M653">MIN(SUM(IFERROR(($H$174:$O$174=$C653) * ($G$176:$G$183=M$618) * ($H$176:$O$183),0)) * (1 + SUM(($C$46:$C$49=$E$9) * ($F$45:$N$45=$A653) * ($F$46:$N$49)) ), INDEX($E$46:$E$49,MATCH($E$9,$C$46:$C$49,0)) )</f>
        <v>0</v>
      </c>
      <c r="N653" s="694">
        <f t="array" ref="N653">MIN(SUM(IFERROR(($H$174:$O$174=$C653) * ($G$176:$G$183=N$618) * ($H$176:$O$183),0)) * (1 + SUM(($C$46:$C$49=$E$9) * ($F$45:$N$45=$A653) * ($F$46:$N$49)) ), INDEX($E$46:$E$49,MATCH($E$9,$C$46:$C$49,0)) )</f>
        <v>0</v>
      </c>
      <c r="O653" s="694">
        <f t="array" ref="O653">MIN(SUM(IFERROR(($H$174:$O$174=$C653) * ($G$176:$G$183=O$618) * ($H$176:$O$183),0)) * (1 + SUM(($C$46:$C$49=$E$9) * ($F$45:$N$45=$A653) * ($F$46:$N$49)) ), INDEX($E$46:$E$49,MATCH($E$9,$C$46:$C$49,0)) )</f>
        <v>0.60523415022637761</v>
      </c>
      <c r="P653" s="691"/>
      <c r="Q653" s="36"/>
      <c r="R653" s="36"/>
      <c r="S653" s="36"/>
      <c r="T653" s="36"/>
      <c r="U653" s="36"/>
      <c r="V653" s="36"/>
      <c r="W653" s="36"/>
      <c r="X653" s="36"/>
      <c r="Y653" s="36"/>
      <c r="Z653" s="36"/>
    </row>
    <row r="654" spans="1:26">
      <c r="A654" s="452">
        <v>2040</v>
      </c>
      <c r="B654" s="341"/>
      <c r="C654" s="336" t="str">
        <f t="shared" si="132"/>
        <v>FB</v>
      </c>
      <c r="D654" s="336" t="str">
        <f t="shared" si="132"/>
        <v>Food, Beverage &amp; Tabacco  - 30</v>
      </c>
      <c r="E654" s="336"/>
      <c r="F654" s="336"/>
      <c r="G654" s="450" t="s">
        <v>993</v>
      </c>
      <c r="H654" s="694">
        <f t="array" ref="H654">MIN(SUM(IFERROR(($H$174:$O$174=$C654) * ($G$176:$G$183=H$618) * ($H$176:$O$183),0)) * (1 + SUM(($C$46:$C$49=$E$9) * ($F$45:$N$45=$A654) * ($F$46:$N$49)) ), INDEX($E$46:$E$49,MATCH($E$9,$C$46:$C$49,0)) )</f>
        <v>0.64558309357480281</v>
      </c>
      <c r="I654" s="694">
        <f t="array" ref="I654">MIN(SUM(IFERROR(($H$174:$O$174=$C654) * ($G$176:$G$183=I$618) * ($H$176:$O$183),0)) * (1 + SUM(($C$46:$C$49=$E$9) * ($F$45:$N$45=$A654) * ($F$46:$N$49)) ), INDEX($E$46:$E$49,MATCH($E$9,$C$46:$C$49,0)) )</f>
        <v>0.72628098027165311</v>
      </c>
      <c r="J654" s="694">
        <f t="array" ref="J654">MIN(SUM(IFERROR(($H$174:$O$174=$C654) * ($G$176:$G$183=J$618) * ($H$176:$O$183),0)) * (1 + SUM(($C$46:$C$49=$E$9) * ($F$45:$N$45=$A654) * ($F$46:$N$49)) ), INDEX($E$46:$E$49,MATCH($E$9,$C$46:$C$49,0)) )</f>
        <v>0.68593203692322802</v>
      </c>
      <c r="K654" s="694">
        <f t="array" ref="K654">MIN(SUM(IFERROR(($H$174:$O$174=$C654) * ($G$176:$G$183=K$618) * ($H$176:$O$183),0)) * (1 + SUM(($C$46:$C$49=$E$9) * ($F$45:$N$45=$A654) * ($F$46:$N$49)) ), INDEX($E$46:$E$49,MATCH($E$9,$C$46:$C$49,0)) )</f>
        <v>0.72628098027165311</v>
      </c>
      <c r="L654" s="694">
        <f t="array" ref="L654">MIN(SUM(IFERROR(($H$174:$O$174=$C654) * ($G$176:$G$183=L$618) * ($H$176:$O$183),0)) * (1 + SUM(($C$46:$C$49=$E$9) * ($F$45:$N$45=$A654) * ($F$46:$N$49)) ), INDEX($E$46:$E$49,MATCH($E$9,$C$46:$C$49,0)) )</f>
        <v>0.76</v>
      </c>
      <c r="M654" s="694">
        <f t="array" ref="M654">MIN(SUM(IFERROR(($H$174:$O$174=$C654) * ($G$176:$G$183=M$618) * ($H$176:$O$183),0)) * (1 + SUM(($C$46:$C$49=$E$9) * ($F$45:$N$45=$A654) * ($F$46:$N$49)) ), INDEX($E$46:$E$49,MATCH($E$9,$C$46:$C$49,0)) )</f>
        <v>0</v>
      </c>
      <c r="N654" s="694">
        <f t="array" ref="N654">MIN(SUM(IFERROR(($H$174:$O$174=$C654) * ($G$176:$G$183=N$618) * ($H$176:$O$183),0)) * (1 + SUM(($C$46:$C$49=$E$9) * ($F$45:$N$45=$A654) * ($F$46:$N$49)) ), INDEX($E$46:$E$49,MATCH($E$9,$C$46:$C$49,0)) )</f>
        <v>0.60523415022637761</v>
      </c>
      <c r="O654" s="694">
        <f t="array" ref="O654">MIN(SUM(IFERROR(($H$174:$O$174=$C654) * ($G$176:$G$183=O$618) * ($H$176:$O$183),0)) * (1 + SUM(($C$46:$C$49=$E$9) * ($F$45:$N$45=$A654) * ($F$46:$N$49)) ), INDEX($E$46:$E$49,MATCH($E$9,$C$46:$C$49,0)) )</f>
        <v>0.60523415022637761</v>
      </c>
      <c r="P654" s="691"/>
      <c r="Q654" s="36"/>
      <c r="R654" s="36"/>
      <c r="S654" s="36"/>
      <c r="T654" s="36"/>
      <c r="U654" s="36"/>
      <c r="V654" s="36"/>
      <c r="W654" s="36"/>
      <c r="X654" s="36"/>
      <c r="Y654" s="36"/>
      <c r="Z654" s="36"/>
    </row>
    <row r="655" spans="1:26">
      <c r="A655" s="452">
        <v>2040</v>
      </c>
      <c r="B655" s="341"/>
      <c r="C655" s="336" t="str">
        <f t="shared" si="132"/>
        <v>PP</v>
      </c>
      <c r="D655" s="336" t="str">
        <f t="shared" si="132"/>
        <v>Pulp &amp; Paper Products  -323</v>
      </c>
      <c r="E655" s="336"/>
      <c r="F655" s="336"/>
      <c r="G655" s="450" t="s">
        <v>993</v>
      </c>
      <c r="H655" s="694">
        <f t="array" ref="H655">MIN(SUM(IFERROR(($H$174:$O$174=$C655) * ($G$176:$G$183=H$618) * ($H$176:$O$183),0)) * (1 + SUM(($C$46:$C$49=$E$9) * ($F$45:$N$45=$A655) * ($F$46:$N$49)) ), INDEX($E$46:$E$49,MATCH($E$9,$C$46:$C$49,0)) )</f>
        <v>0.64558309357480281</v>
      </c>
      <c r="I655" s="694">
        <f t="array" ref="I655">MIN(SUM(IFERROR(($H$174:$O$174=$C655) * ($G$176:$G$183=I$618) * ($H$176:$O$183),0)) * (1 + SUM(($C$46:$C$49=$E$9) * ($F$45:$N$45=$A655) * ($F$46:$N$49)) ), INDEX($E$46:$E$49,MATCH($E$9,$C$46:$C$49,0)) )</f>
        <v>0.72628098027165311</v>
      </c>
      <c r="J655" s="694">
        <f t="array" ref="J655">MIN(SUM(IFERROR(($H$174:$O$174=$C655) * ($G$176:$G$183=J$618) * ($H$176:$O$183),0)) * (1 + SUM(($C$46:$C$49=$E$9) * ($F$45:$N$45=$A655) * ($F$46:$N$49)) ), INDEX($E$46:$E$49,MATCH($E$9,$C$46:$C$49,0)) )</f>
        <v>0.68593203692322802</v>
      </c>
      <c r="K655" s="694">
        <f t="array" ref="K655">MIN(SUM(IFERROR(($H$174:$O$174=$C655) * ($G$176:$G$183=K$618) * ($H$176:$O$183),0)) * (1 + SUM(($C$46:$C$49=$E$9) * ($F$45:$N$45=$A655) * ($F$46:$N$49)) ), INDEX($E$46:$E$49,MATCH($E$9,$C$46:$C$49,0)) )</f>
        <v>0.72628098027165311</v>
      </c>
      <c r="L655" s="694">
        <f t="array" ref="L655">MIN(SUM(IFERROR(($H$174:$O$174=$C655) * ($G$176:$G$183=L$618) * ($H$176:$O$183),0)) * (1 + SUM(($C$46:$C$49=$E$9) * ($F$45:$N$45=$A655) * ($F$46:$N$49)) ), INDEX($E$46:$E$49,MATCH($E$9,$C$46:$C$49,0)) )</f>
        <v>0.76</v>
      </c>
      <c r="M655" s="694">
        <f t="array" ref="M655">MIN(SUM(IFERROR(($H$174:$O$174=$C655) * ($G$176:$G$183=M$618) * ($H$176:$O$183),0)) * (1 + SUM(($C$46:$C$49=$E$9) * ($F$45:$N$45=$A655) * ($F$46:$N$49)) ), INDEX($E$46:$E$49,MATCH($E$9,$C$46:$C$49,0)) )</f>
        <v>0.60523415022637761</v>
      </c>
      <c r="N655" s="694">
        <f t="array" ref="N655">MIN(SUM(IFERROR(($H$174:$O$174=$C655) * ($G$176:$G$183=N$618) * ($H$176:$O$183),0)) * (1 + SUM(($C$46:$C$49=$E$9) * ($F$45:$N$45=$A655) * ($F$46:$N$49)) ), INDEX($E$46:$E$49,MATCH($E$9,$C$46:$C$49,0)) )</f>
        <v>0</v>
      </c>
      <c r="O655" s="694">
        <f t="array" ref="O655">MIN(SUM(IFERROR(($H$174:$O$174=$C655) * ($G$176:$G$183=O$618) * ($H$176:$O$183),0)) * (1 + SUM(($C$46:$C$49=$E$9) * ($F$45:$N$45=$A655) * ($F$46:$N$49)) ), INDEX($E$46:$E$49,MATCH($E$9,$C$46:$C$49,0)) )</f>
        <v>0.60523415022637761</v>
      </c>
      <c r="P655" s="691"/>
      <c r="Q655" s="36"/>
      <c r="R655" s="36"/>
      <c r="S655" s="36"/>
      <c r="T655" s="36"/>
      <c r="U655" s="36"/>
      <c r="V655" s="36"/>
      <c r="W655" s="36"/>
      <c r="X655" s="36"/>
      <c r="Y655" s="36"/>
      <c r="Z655" s="36"/>
    </row>
    <row r="656" spans="1:26">
      <c r="A656" s="452">
        <v>2040</v>
      </c>
      <c r="B656" s="341"/>
      <c r="C656" s="336" t="str">
        <f t="shared" si="132"/>
        <v>OT</v>
      </c>
      <c r="D656" s="336" t="str">
        <f t="shared" si="132"/>
        <v>Other</v>
      </c>
      <c r="E656" s="336"/>
      <c r="F656" s="336"/>
      <c r="G656" s="450" t="s">
        <v>993</v>
      </c>
      <c r="H656" s="694">
        <f t="array" ref="H656">MIN(SUM(IFERROR(($H$174:$O$174=$C656) * ($G$176:$G$183=H$618) * ($H$176:$O$183),0)) * (1 + SUM(($C$46:$C$49=$E$9) * ($F$45:$N$45=$A656) * ($F$46:$N$49)) ), INDEX($E$46:$E$49,MATCH($E$9,$C$46:$C$49,0)) )</f>
        <v>0.64558309357480281</v>
      </c>
      <c r="I656" s="694">
        <f t="array" ref="I656">MIN(SUM(IFERROR(($H$174:$O$174=$C656) * ($G$176:$G$183=I$618) * ($H$176:$O$183),0)) * (1 + SUM(($C$46:$C$49=$E$9) * ($F$45:$N$45=$A656) * ($F$46:$N$49)) ), INDEX($E$46:$E$49,MATCH($E$9,$C$46:$C$49,0)) )</f>
        <v>0.72628098027165311</v>
      </c>
      <c r="J656" s="694">
        <f t="array" ref="J656">MIN(SUM(IFERROR(($H$174:$O$174=$C656) * ($G$176:$G$183=J$618) * ($H$176:$O$183),0)) * (1 + SUM(($C$46:$C$49=$E$9) * ($F$45:$N$45=$A656) * ($F$46:$N$49)) ), INDEX($E$46:$E$49,MATCH($E$9,$C$46:$C$49,0)) )</f>
        <v>0.68593203692322802</v>
      </c>
      <c r="K656" s="694">
        <f t="array" ref="K656">MIN(SUM(IFERROR(($H$174:$O$174=$C656) * ($G$176:$G$183=K$618) * ($H$176:$O$183),0)) * (1 + SUM(($C$46:$C$49=$E$9) * ($F$45:$N$45=$A656) * ($F$46:$N$49)) ), INDEX($E$46:$E$49,MATCH($E$9,$C$46:$C$49,0)) )</f>
        <v>0.72628098027165311</v>
      </c>
      <c r="L656" s="694">
        <f t="array" ref="L656">MIN(SUM(IFERROR(($H$174:$O$174=$C656) * ($G$176:$G$183=L$618) * ($H$176:$O$183),0)) * (1 + SUM(($C$46:$C$49=$E$9) * ($F$45:$N$45=$A656) * ($F$46:$N$49)) ), INDEX($E$46:$E$49,MATCH($E$9,$C$46:$C$49,0)) )</f>
        <v>0.76</v>
      </c>
      <c r="M656" s="694">
        <f t="array" ref="M656">MIN(SUM(IFERROR(($H$174:$O$174=$C656) * ($G$176:$G$183=M$618) * ($H$176:$O$183),0)) * (1 + SUM(($C$46:$C$49=$E$9) * ($F$45:$N$45=$A656) * ($F$46:$N$49)) ), INDEX($E$46:$E$49,MATCH($E$9,$C$46:$C$49,0)) )</f>
        <v>0</v>
      </c>
      <c r="N656" s="694">
        <f t="array" ref="N656">MIN(SUM(IFERROR(($H$174:$O$174=$C656) * ($G$176:$G$183=N$618) * ($H$176:$O$183),0)) * (1 + SUM(($C$46:$C$49=$E$9) * ($F$45:$N$45=$A656) * ($F$46:$N$49)) ), INDEX($E$46:$E$49,MATCH($E$9,$C$46:$C$49,0)) )</f>
        <v>0</v>
      </c>
      <c r="O656" s="694">
        <f t="array" ref="O656">MIN(SUM(IFERROR(($H$174:$O$174=$C656) * ($G$176:$G$183=O$618) * ($H$176:$O$183),0)) * (1 + SUM(($C$46:$C$49=$E$9) * ($F$45:$N$45=$A656) * ($F$46:$N$49)) ), INDEX($E$46:$E$49,MATCH($E$9,$C$46:$C$49,0)) )</f>
        <v>0.60523415022637761</v>
      </c>
      <c r="P656" s="691"/>
      <c r="Q656" s="36"/>
      <c r="R656" s="36"/>
      <c r="S656" s="36"/>
      <c r="T656" s="36"/>
      <c r="U656" s="36"/>
      <c r="V656" s="36"/>
      <c r="W656" s="36"/>
      <c r="X656" s="36"/>
      <c r="Y656" s="36"/>
      <c r="Z656" s="36"/>
    </row>
    <row r="657" spans="1:26">
      <c r="A657" s="452"/>
      <c r="B657" s="341"/>
      <c r="C657" s="336"/>
      <c r="D657" s="336"/>
      <c r="E657" s="336"/>
      <c r="F657" s="336"/>
      <c r="G657" s="450" t="s">
        <v>993</v>
      </c>
      <c r="H657" s="694">
        <f t="array" ref="H657">MIN(SUM(IFERROR(($H$174:$O$174=$C657) * ($G$176:$G$183=H$618) * ($H$176:$O$183),0)) * (1 + SUM(($C$46:$C$49=$E$9) * ($F$45:$N$45=$A657) * ($F$46:$N$49)) ), INDEX($E$46:$E$49,MATCH($E$9,$C$46:$C$49,0)) )</f>
        <v>0</v>
      </c>
      <c r="I657" s="694">
        <f t="array" ref="I657">MIN(SUM(IFERROR(($H$174:$O$174=$C657) * ($G$176:$G$183=I$618) * ($H$176:$O$183),0)) * (1 + SUM(($C$46:$C$49=$E$9) * ($F$45:$N$45=$A657) * ($F$46:$N$49)) ), INDEX($E$46:$E$49,MATCH($E$9,$C$46:$C$49,0)) )</f>
        <v>0</v>
      </c>
      <c r="J657" s="694">
        <f t="array" ref="J657">MIN(SUM(IFERROR(($H$174:$O$174=$C657) * ($G$176:$G$183=J$618) * ($H$176:$O$183),0)) * (1 + SUM(($C$46:$C$49=$E$9) * ($F$45:$N$45=$A657) * ($F$46:$N$49)) ), INDEX($E$46:$E$49,MATCH($E$9,$C$46:$C$49,0)) )</f>
        <v>0</v>
      </c>
      <c r="K657" s="694">
        <f t="array" ref="K657">MIN(SUM(IFERROR(($H$174:$O$174=$C657) * ($G$176:$G$183=K$618) * ($H$176:$O$183),0)) * (1 + SUM(($C$46:$C$49=$E$9) * ($F$45:$N$45=$A657) * ($F$46:$N$49)) ), INDEX($E$46:$E$49,MATCH($E$9,$C$46:$C$49,0)) )</f>
        <v>0</v>
      </c>
      <c r="L657" s="694">
        <f t="array" ref="L657">MIN(SUM(IFERROR(($H$174:$O$174=$C657) * ($G$176:$G$183=L$618) * ($H$176:$O$183),0)) * (1 + SUM(($C$46:$C$49=$E$9) * ($F$45:$N$45=$A657) * ($F$46:$N$49)) ), INDEX($E$46:$E$49,MATCH($E$9,$C$46:$C$49,0)) )</f>
        <v>0</v>
      </c>
      <c r="M657" s="694">
        <f t="array" ref="M657">MIN(SUM(IFERROR(($H$174:$O$174=$C657) * ($G$176:$G$183=M$618) * ($H$176:$O$183),0)) * (1 + SUM(($C$46:$C$49=$E$9) * ($F$45:$N$45=$A657) * ($F$46:$N$49)) ), INDEX($E$46:$E$49,MATCH($E$9,$C$46:$C$49,0)) )</f>
        <v>0</v>
      </c>
      <c r="N657" s="694">
        <f t="array" ref="N657">MIN(SUM(IFERROR(($H$174:$O$174=$C657) * ($G$176:$G$183=N$618) * ($H$176:$O$183),0)) * (1 + SUM(($C$46:$C$49=$E$9) * ($F$45:$N$45=$A657) * ($F$46:$N$49)) ), INDEX($E$46:$E$49,MATCH($E$9,$C$46:$C$49,0)) )</f>
        <v>0</v>
      </c>
      <c r="O657" s="694">
        <f t="array" ref="O657">MIN(SUM(IFERROR(($H$174:$O$174=$C657) * ($G$176:$G$183=O$618) * ($H$176:$O$183),0)) * (1 + SUM(($C$46:$C$49=$E$9) * ($F$45:$N$45=$A657) * ($F$46:$N$49)) ), INDEX($E$46:$E$49,MATCH($E$9,$C$46:$C$49,0)) )</f>
        <v>0</v>
      </c>
      <c r="P657" s="691"/>
      <c r="Q657" s="36"/>
      <c r="R657" s="36"/>
      <c r="S657" s="36"/>
      <c r="T657" s="36"/>
      <c r="U657" s="36"/>
      <c r="V657" s="36"/>
      <c r="W657" s="36"/>
      <c r="X657" s="36"/>
      <c r="Y657" s="36"/>
      <c r="Z657" s="36"/>
    </row>
    <row r="658" spans="1:26">
      <c r="A658" s="452">
        <v>2050</v>
      </c>
      <c r="B658" s="341"/>
      <c r="C658" s="336" t="str">
        <f t="shared" ref="C658:D665" si="133">C621</f>
        <v>MI</v>
      </c>
      <c r="D658" s="336" t="str">
        <f t="shared" si="133"/>
        <v>Mining SIC2</v>
      </c>
      <c r="E658" s="336"/>
      <c r="F658" s="336"/>
      <c r="G658" s="450" t="s">
        <v>993</v>
      </c>
      <c r="H658" s="694">
        <f t="array" ref="H658">MIN(SUM(IFERROR(($H$174:$O$174=$C658) * ($G$176:$G$183=H$618) * ($H$176:$O$183),0)) * (1 + SUM(($C$46:$C$49=$E$9) * ($F$45:$N$45=$A658) * ($F$46:$N$49)) ), INDEX($E$46:$E$49,MATCH($E$9,$C$46:$C$49,0)) )</f>
        <v>0.64639999999999997</v>
      </c>
      <c r="I658" s="694">
        <f t="array" ref="I658">MIN(SUM(IFERROR(($H$174:$O$174=$C658) * ($G$176:$G$183=I$618) * ($H$176:$O$183),0)) * (1 + SUM(($C$46:$C$49=$E$9) * ($F$45:$N$45=$A658) * ($F$46:$N$49)) ), INDEX($E$46:$E$49,MATCH($E$9,$C$46:$C$49,0)) )</f>
        <v>0.72719999999999996</v>
      </c>
      <c r="J658" s="694">
        <f t="array" ref="J658">MIN(SUM(IFERROR(($H$174:$O$174=$C658) * ($G$176:$G$183=J$618) * ($H$176:$O$183),0)) * (1 + SUM(($C$46:$C$49=$E$9) * ($F$45:$N$45=$A658) * ($F$46:$N$49)) ), INDEX($E$46:$E$49,MATCH($E$9,$C$46:$C$49,0)) )</f>
        <v>0.68680000000000008</v>
      </c>
      <c r="K658" s="694">
        <f t="array" ref="K658">MIN(SUM(IFERROR(($H$174:$O$174=$C658) * ($G$176:$G$183=K$618) * ($H$176:$O$183),0)) * (1 + SUM(($C$46:$C$49=$E$9) * ($F$45:$N$45=$A658) * ($F$46:$N$49)) ), INDEX($E$46:$E$49,MATCH($E$9,$C$46:$C$49,0)) )</f>
        <v>0.72719999999999996</v>
      </c>
      <c r="L658" s="694">
        <f t="array" ref="L658">MIN(SUM(IFERROR(($H$174:$O$174=$C658) * ($G$176:$G$183=L$618) * ($H$176:$O$183),0)) * (1 + SUM(($C$46:$C$49=$E$9) * ($F$45:$N$45=$A658) * ($F$46:$N$49)) ), INDEX($E$46:$E$49,MATCH($E$9,$C$46:$C$49,0)) )</f>
        <v>0.76</v>
      </c>
      <c r="M658" s="694">
        <f t="array" ref="M658">MIN(SUM(IFERROR(($H$174:$O$174=$C658) * ($G$176:$G$183=M$618) * ($H$176:$O$183),0)) * (1 + SUM(($C$46:$C$49=$E$9) * ($F$45:$N$45=$A658) * ($F$46:$N$49)) ), INDEX($E$46:$E$49,MATCH($E$9,$C$46:$C$49,0)) )</f>
        <v>0</v>
      </c>
      <c r="N658" s="694">
        <f t="array" ref="N658">MIN(SUM(IFERROR(($H$174:$O$174=$C658) * ($G$176:$G$183=N$618) * ($H$176:$O$183),0)) * (1 + SUM(($C$46:$C$49=$E$9) * ($F$45:$N$45=$A658) * ($F$46:$N$49)) ), INDEX($E$46:$E$49,MATCH($E$9,$C$46:$C$49,0)) )</f>
        <v>0</v>
      </c>
      <c r="O658" s="694">
        <f t="array" ref="O658">MIN(SUM(IFERROR(($H$174:$O$174=$C658) * ($G$176:$G$183=O$618) * ($H$176:$O$183),0)) * (1 + SUM(($C$46:$C$49=$E$9) * ($F$45:$N$45=$A658) * ($F$46:$N$49)) ), INDEX($E$46:$E$49,MATCH($E$9,$C$46:$C$49,0)) )</f>
        <v>0.60599999999999998</v>
      </c>
      <c r="P658" s="691"/>
      <c r="Q658" s="693"/>
      <c r="R658" s="693"/>
      <c r="S658" s="693"/>
      <c r="T658" s="693"/>
      <c r="U658" s="693"/>
      <c r="V658" s="693"/>
      <c r="W658" s="36"/>
      <c r="X658" s="36"/>
      <c r="Y658" s="36"/>
      <c r="Z658" s="36"/>
    </row>
    <row r="659" spans="1:26">
      <c r="A659" s="452">
        <v>2050</v>
      </c>
      <c r="B659" s="341"/>
      <c r="C659" s="336" t="str">
        <f t="shared" si="133"/>
        <v>IS</v>
      </c>
      <c r="D659" s="336" t="str">
        <f t="shared" si="133"/>
        <v>Iron  &amp; Steel  - 351</v>
      </c>
      <c r="E659" s="336"/>
      <c r="F659" s="336"/>
      <c r="G659" s="450" t="s">
        <v>993</v>
      </c>
      <c r="H659" s="694">
        <f t="array" ref="H659">MIN(SUM(IFERROR(($H$174:$O$174=$C659) * ($G$176:$G$183=H$618) * ($H$176:$O$183),0)) * (1 + SUM(($C$46:$C$49=$E$9) * ($F$45:$N$45=$A659) * ($F$46:$N$49)) ), INDEX($E$46:$E$49,MATCH($E$9,$C$46:$C$49,0)) )</f>
        <v>0.64639999999999997</v>
      </c>
      <c r="I659" s="694">
        <f t="array" ref="I659">MIN(SUM(IFERROR(($H$174:$O$174=$C659) * ($G$176:$G$183=I$618) * ($H$176:$O$183),0)) * (1 + SUM(($C$46:$C$49=$E$9) * ($F$45:$N$45=$A659) * ($F$46:$N$49)) ), INDEX($E$46:$E$49,MATCH($E$9,$C$46:$C$49,0)) )</f>
        <v>0.72719999999999996</v>
      </c>
      <c r="J659" s="694">
        <f t="array" ref="J659">MIN(SUM(IFERROR(($H$174:$O$174=$C659) * ($G$176:$G$183=J$618) * ($H$176:$O$183),0)) * (1 + SUM(($C$46:$C$49=$E$9) * ($F$45:$N$45=$A659) * ($F$46:$N$49)) ), INDEX($E$46:$E$49,MATCH($E$9,$C$46:$C$49,0)) )</f>
        <v>0.68680000000000008</v>
      </c>
      <c r="K659" s="694">
        <f t="array" ref="K659">MIN(SUM(IFERROR(($H$174:$O$174=$C659) * ($G$176:$G$183=K$618) * ($H$176:$O$183),0)) * (1 + SUM(($C$46:$C$49=$E$9) * ($F$45:$N$45=$A659) * ($F$46:$N$49)) ), INDEX($E$46:$E$49,MATCH($E$9,$C$46:$C$49,0)) )</f>
        <v>0.72719999999999996</v>
      </c>
      <c r="L659" s="694">
        <f t="array" ref="L659">MIN(SUM(IFERROR(($H$174:$O$174=$C659) * ($G$176:$G$183=L$618) * ($H$176:$O$183),0)) * (1 + SUM(($C$46:$C$49=$E$9) * ($F$45:$N$45=$A659) * ($F$46:$N$49)) ), INDEX($E$46:$E$49,MATCH($E$9,$C$46:$C$49,0)) )</f>
        <v>0.76</v>
      </c>
      <c r="M659" s="694">
        <f t="array" ref="M659">MIN(SUM(IFERROR(($H$174:$O$174=$C659) * ($G$176:$G$183=M$618) * ($H$176:$O$183),0)) * (1 + SUM(($C$46:$C$49=$E$9) * ($F$45:$N$45=$A659) * ($F$46:$N$49)) ), INDEX($E$46:$E$49,MATCH($E$9,$C$46:$C$49,0)) )</f>
        <v>0</v>
      </c>
      <c r="N659" s="694">
        <f t="array" ref="N659">MIN(SUM(IFERROR(($H$174:$O$174=$C659) * ($G$176:$G$183=N$618) * ($H$176:$O$183),0)) * (1 + SUM(($C$46:$C$49=$E$9) * ($F$45:$N$45=$A659) * ($F$46:$N$49)) ), INDEX($E$46:$E$49,MATCH($E$9,$C$46:$C$49,0)) )</f>
        <v>0</v>
      </c>
      <c r="O659" s="694">
        <f t="array" ref="O659">MIN(SUM(IFERROR(($H$174:$O$174=$C659) * ($G$176:$G$183=O$618) * ($H$176:$O$183),0)) * (1 + SUM(($C$46:$C$49=$E$9) * ($F$45:$N$45=$A659) * ($F$46:$N$49)) ), INDEX($E$46:$E$49,MATCH($E$9,$C$46:$C$49,0)) )</f>
        <v>0.60599999999999998</v>
      </c>
      <c r="P659" s="691"/>
      <c r="Q659" s="693"/>
      <c r="R659" s="693"/>
      <c r="S659" s="693"/>
      <c r="T659" s="693"/>
      <c r="U659" s="693"/>
      <c r="V659" s="693"/>
      <c r="W659" s="36"/>
      <c r="X659" s="36"/>
      <c r="Y659" s="36"/>
      <c r="Z659" s="36"/>
    </row>
    <row r="660" spans="1:26">
      <c r="A660" s="452">
        <v>2050</v>
      </c>
      <c r="B660" s="341"/>
      <c r="C660" s="336" t="str">
        <f t="shared" si="133"/>
        <v>CP</v>
      </c>
      <c r="D660" s="336" t="str">
        <f t="shared" si="133"/>
        <v>Chemicals  -33</v>
      </c>
      <c r="E660" s="336"/>
      <c r="F660" s="336"/>
      <c r="G660" s="450" t="s">
        <v>993</v>
      </c>
      <c r="H660" s="694">
        <f t="array" ref="H660">MIN(SUM(IFERROR(($H$174:$O$174=$C660) * ($G$176:$G$183=H$618) * ($H$176:$O$183),0)) * (1 + SUM(($C$46:$C$49=$E$9) * ($F$45:$N$45=$A660) * ($F$46:$N$49)) ), INDEX($E$46:$E$49,MATCH($E$9,$C$46:$C$49,0)) )</f>
        <v>0.64639999999999997</v>
      </c>
      <c r="I660" s="694">
        <f t="array" ref="I660">MIN(SUM(IFERROR(($H$174:$O$174=$C660) * ($G$176:$G$183=I$618) * ($H$176:$O$183),0)) * (1 + SUM(($C$46:$C$49=$E$9) * ($F$45:$N$45=$A660) * ($F$46:$N$49)) ), INDEX($E$46:$E$49,MATCH($E$9,$C$46:$C$49,0)) )</f>
        <v>0.72719999999999996</v>
      </c>
      <c r="J660" s="694">
        <f t="array" ref="J660">MIN(SUM(IFERROR(($H$174:$O$174=$C660) * ($G$176:$G$183=J$618) * ($H$176:$O$183),0)) * (1 + SUM(($C$46:$C$49=$E$9) * ($F$45:$N$45=$A660) * ($F$46:$N$49)) ), INDEX($E$46:$E$49,MATCH($E$9,$C$46:$C$49,0)) )</f>
        <v>0.68680000000000008</v>
      </c>
      <c r="K660" s="694">
        <f t="array" ref="K660">MIN(SUM(IFERROR(($H$174:$O$174=$C660) * ($G$176:$G$183=K$618) * ($H$176:$O$183),0)) * (1 + SUM(($C$46:$C$49=$E$9) * ($F$45:$N$45=$A660) * ($F$46:$N$49)) ), INDEX($E$46:$E$49,MATCH($E$9,$C$46:$C$49,0)) )</f>
        <v>0.72719999999999996</v>
      </c>
      <c r="L660" s="694">
        <f t="array" ref="L660">MIN(SUM(IFERROR(($H$174:$O$174=$C660) * ($G$176:$G$183=L$618) * ($H$176:$O$183),0)) * (1 + SUM(($C$46:$C$49=$E$9) * ($F$45:$N$45=$A660) * ($F$46:$N$49)) ), INDEX($E$46:$E$49,MATCH($E$9,$C$46:$C$49,0)) )</f>
        <v>0.76</v>
      </c>
      <c r="M660" s="694">
        <f t="array" ref="M660">MIN(SUM(IFERROR(($H$174:$O$174=$C660) * ($G$176:$G$183=M$618) * ($H$176:$O$183),0)) * (1 + SUM(($C$46:$C$49=$E$9) * ($F$45:$N$45=$A660) * ($F$46:$N$49)) ), INDEX($E$46:$E$49,MATCH($E$9,$C$46:$C$49,0)) )</f>
        <v>0</v>
      </c>
      <c r="N660" s="694">
        <f t="array" ref="N660">MIN(SUM(IFERROR(($H$174:$O$174=$C660) * ($G$176:$G$183=N$618) * ($H$176:$O$183),0)) * (1 + SUM(($C$46:$C$49=$E$9) * ($F$45:$N$45=$A660) * ($F$46:$N$49)) ), INDEX($E$46:$E$49,MATCH($E$9,$C$46:$C$49,0)) )</f>
        <v>0</v>
      </c>
      <c r="O660" s="694">
        <f t="array" ref="O660">MIN(SUM(IFERROR(($H$174:$O$174=$C660) * ($G$176:$G$183=O$618) * ($H$176:$O$183),0)) * (1 + SUM(($C$46:$C$49=$E$9) * ($F$45:$N$45=$A660) * ($F$46:$N$49)) ), INDEX($E$46:$E$49,MATCH($E$9,$C$46:$C$49,0)) )</f>
        <v>0.60599999999999998</v>
      </c>
      <c r="P660" s="691"/>
      <c r="Q660" s="693"/>
      <c r="R660" s="693"/>
      <c r="S660" s="693"/>
      <c r="T660" s="693"/>
      <c r="U660" s="693"/>
      <c r="V660" s="693"/>
      <c r="W660" s="36"/>
      <c r="X660" s="36"/>
      <c r="Y660" s="36"/>
      <c r="Z660" s="36"/>
    </row>
    <row r="661" spans="1:26">
      <c r="A661" s="452">
        <v>2050</v>
      </c>
      <c r="B661" s="341"/>
      <c r="C661" s="336" t="str">
        <f t="shared" si="133"/>
        <v>NF</v>
      </c>
      <c r="D661" s="336" t="str">
        <f t="shared" si="133"/>
        <v>Non-Ferrous metals  - 352</v>
      </c>
      <c r="E661" s="336"/>
      <c r="F661" s="336"/>
      <c r="G661" s="450" t="s">
        <v>993</v>
      </c>
      <c r="H661" s="694">
        <f t="array" ref="H661">MIN(SUM(IFERROR(($H$174:$O$174=$C661) * ($G$176:$G$183=H$618) * ($H$176:$O$183),0)) * (1 + SUM(($C$46:$C$49=$E$9) * ($F$45:$N$45=$A661) * ($F$46:$N$49)) ), INDEX($E$46:$E$49,MATCH($E$9,$C$46:$C$49,0)) )</f>
        <v>0.64639999999999997</v>
      </c>
      <c r="I661" s="694">
        <f t="array" ref="I661">MIN(SUM(IFERROR(($H$174:$O$174=$C661) * ($G$176:$G$183=I$618) * ($H$176:$O$183),0)) * (1 + SUM(($C$46:$C$49=$E$9) * ($F$45:$N$45=$A661) * ($F$46:$N$49)) ), INDEX($E$46:$E$49,MATCH($E$9,$C$46:$C$49,0)) )</f>
        <v>0.72719999999999996</v>
      </c>
      <c r="J661" s="694">
        <f t="array" ref="J661">MIN(SUM(IFERROR(($H$174:$O$174=$C661) * ($G$176:$G$183=J$618) * ($H$176:$O$183),0)) * (1 + SUM(($C$46:$C$49=$E$9) * ($F$45:$N$45=$A661) * ($F$46:$N$49)) ), INDEX($E$46:$E$49,MATCH($E$9,$C$46:$C$49,0)) )</f>
        <v>0.68680000000000008</v>
      </c>
      <c r="K661" s="694">
        <f t="array" ref="K661">MIN(SUM(IFERROR(($H$174:$O$174=$C661) * ($G$176:$G$183=K$618) * ($H$176:$O$183),0)) * (1 + SUM(($C$46:$C$49=$E$9) * ($F$45:$N$45=$A661) * ($F$46:$N$49)) ), INDEX($E$46:$E$49,MATCH($E$9,$C$46:$C$49,0)) )</f>
        <v>0.72719999999999996</v>
      </c>
      <c r="L661" s="694">
        <f t="array" ref="L661">MIN(SUM(IFERROR(($H$174:$O$174=$C661) * ($G$176:$G$183=L$618) * ($H$176:$O$183),0)) * (1 + SUM(($C$46:$C$49=$E$9) * ($F$45:$N$45=$A661) * ($F$46:$N$49)) ), INDEX($E$46:$E$49,MATCH($E$9,$C$46:$C$49,0)) )</f>
        <v>0.76</v>
      </c>
      <c r="M661" s="694">
        <f t="array" ref="M661">MIN(SUM(IFERROR(($H$174:$O$174=$C661) * ($G$176:$G$183=M$618) * ($H$176:$O$183),0)) * (1 + SUM(($C$46:$C$49=$E$9) * ($F$45:$N$45=$A661) * ($F$46:$N$49)) ), INDEX($E$46:$E$49,MATCH($E$9,$C$46:$C$49,0)) )</f>
        <v>0</v>
      </c>
      <c r="N661" s="694">
        <f t="array" ref="N661">MIN(SUM(IFERROR(($H$174:$O$174=$C661) * ($G$176:$G$183=N$618) * ($H$176:$O$183),0)) * (1 + SUM(($C$46:$C$49=$E$9) * ($F$45:$N$45=$A661) * ($F$46:$N$49)) ), INDEX($E$46:$E$49,MATCH($E$9,$C$46:$C$49,0)) )</f>
        <v>0</v>
      </c>
      <c r="O661" s="694">
        <f t="array" ref="O661">MIN(SUM(IFERROR(($H$174:$O$174=$C661) * ($G$176:$G$183=O$618) * ($H$176:$O$183),0)) * (1 + SUM(($C$46:$C$49=$E$9) * ($F$45:$N$45=$A661) * ($F$46:$N$49)) ), INDEX($E$46:$E$49,MATCH($E$9,$C$46:$C$49,0)) )</f>
        <v>0.60599999999999998</v>
      </c>
      <c r="P661" s="691"/>
      <c r="Q661" s="693"/>
      <c r="R661" s="693"/>
      <c r="S661" s="693"/>
      <c r="T661" s="693"/>
      <c r="U661" s="693"/>
      <c r="V661" s="693"/>
      <c r="W661" s="36"/>
      <c r="X661" s="36"/>
      <c r="Y661" s="36"/>
      <c r="Z661" s="36"/>
    </row>
    <row r="662" spans="1:26">
      <c r="A662" s="452">
        <v>2050</v>
      </c>
      <c r="B662" s="341"/>
      <c r="C662" s="336" t="str">
        <f t="shared" si="133"/>
        <v>NM</v>
      </c>
      <c r="D662" s="336" t="str">
        <f t="shared" si="133"/>
        <v>N.M.M Products  -34</v>
      </c>
      <c r="E662" s="336"/>
      <c r="F662" s="336"/>
      <c r="G662" s="450" t="s">
        <v>993</v>
      </c>
      <c r="H662" s="694">
        <f t="array" ref="H662">MIN(SUM(IFERROR(($H$174:$O$174=$C662) * ($G$176:$G$183=H$618) * ($H$176:$O$183),0)) * (1 + SUM(($C$46:$C$49=$E$9) * ($F$45:$N$45=$A662) * ($F$46:$N$49)) ), INDEX($E$46:$E$49,MATCH($E$9,$C$46:$C$49,0)) )</f>
        <v>0.64639999999999997</v>
      </c>
      <c r="I662" s="694">
        <f t="array" ref="I662">MIN(SUM(IFERROR(($H$174:$O$174=$C662) * ($G$176:$G$183=I$618) * ($H$176:$O$183),0)) * (1 + SUM(($C$46:$C$49=$E$9) * ($F$45:$N$45=$A662) * ($F$46:$N$49)) ), INDEX($E$46:$E$49,MATCH($E$9,$C$46:$C$49,0)) )</f>
        <v>0.72719999999999996</v>
      </c>
      <c r="J662" s="694">
        <f t="array" ref="J662">MIN(SUM(IFERROR(($H$174:$O$174=$C662) * ($G$176:$G$183=J$618) * ($H$176:$O$183),0)) * (1 + SUM(($C$46:$C$49=$E$9) * ($F$45:$N$45=$A662) * ($F$46:$N$49)) ), INDEX($E$46:$E$49,MATCH($E$9,$C$46:$C$49,0)) )</f>
        <v>0.68680000000000008</v>
      </c>
      <c r="K662" s="694">
        <f t="array" ref="K662">MIN(SUM(IFERROR(($H$174:$O$174=$C662) * ($G$176:$G$183=K$618) * ($H$176:$O$183),0)) * (1 + SUM(($C$46:$C$49=$E$9) * ($F$45:$N$45=$A662) * ($F$46:$N$49)) ), INDEX($E$46:$E$49,MATCH($E$9,$C$46:$C$49,0)) )</f>
        <v>0.72719999999999996</v>
      </c>
      <c r="L662" s="694">
        <f t="array" ref="L662">MIN(SUM(IFERROR(($H$174:$O$174=$C662) * ($G$176:$G$183=L$618) * ($H$176:$O$183),0)) * (1 + SUM(($C$46:$C$49=$E$9) * ($F$45:$N$45=$A662) * ($F$46:$N$49)) ), INDEX($E$46:$E$49,MATCH($E$9,$C$46:$C$49,0)) )</f>
        <v>0.76</v>
      </c>
      <c r="M662" s="694">
        <f t="array" ref="M662">MIN(SUM(IFERROR(($H$174:$O$174=$C662) * ($G$176:$G$183=M$618) * ($H$176:$O$183),0)) * (1 + SUM(($C$46:$C$49=$E$9) * ($F$45:$N$45=$A662) * ($F$46:$N$49)) ), INDEX($E$46:$E$49,MATCH($E$9,$C$46:$C$49,0)) )</f>
        <v>0</v>
      </c>
      <c r="N662" s="694">
        <f t="array" ref="N662">MIN(SUM(IFERROR(($H$174:$O$174=$C662) * ($G$176:$G$183=N$618) * ($H$176:$O$183),0)) * (1 + SUM(($C$46:$C$49=$E$9) * ($F$45:$N$45=$A662) * ($F$46:$N$49)) ), INDEX($E$46:$E$49,MATCH($E$9,$C$46:$C$49,0)) )</f>
        <v>0</v>
      </c>
      <c r="O662" s="694">
        <f t="array" ref="O662">MIN(SUM(IFERROR(($H$174:$O$174=$C662) * ($G$176:$G$183=O$618) * ($H$176:$O$183),0)) * (1 + SUM(($C$46:$C$49=$E$9) * ($F$45:$N$45=$A662) * ($F$46:$N$49)) ), INDEX($E$46:$E$49,MATCH($E$9,$C$46:$C$49,0)) )</f>
        <v>0.60599999999999998</v>
      </c>
      <c r="P662" s="691"/>
      <c r="Q662" s="693"/>
      <c r="R662" s="693"/>
      <c r="S662" s="693"/>
      <c r="T662" s="693"/>
      <c r="U662" s="693"/>
      <c r="V662" s="693"/>
      <c r="W662" s="36"/>
      <c r="X662" s="36"/>
      <c r="Y662" s="36"/>
      <c r="Z662" s="36"/>
    </row>
    <row r="663" spans="1:26">
      <c r="A663" s="452">
        <v>2050</v>
      </c>
      <c r="B663" s="341"/>
      <c r="C663" s="336" t="str">
        <f t="shared" si="133"/>
        <v>FB</v>
      </c>
      <c r="D663" s="336" t="str">
        <f t="shared" si="133"/>
        <v>Food, Beverage &amp; Tabacco  - 30</v>
      </c>
      <c r="E663" s="336"/>
      <c r="F663" s="336"/>
      <c r="G663" s="450" t="s">
        <v>993</v>
      </c>
      <c r="H663" s="694">
        <f t="array" ref="H663">MIN(SUM(IFERROR(($H$174:$O$174=$C663) * ($G$176:$G$183=H$618) * ($H$176:$O$183),0)) * (1 + SUM(($C$46:$C$49=$E$9) * ($F$45:$N$45=$A663) * ($F$46:$N$49)) ), INDEX($E$46:$E$49,MATCH($E$9,$C$46:$C$49,0)) )</f>
        <v>0.64639999999999997</v>
      </c>
      <c r="I663" s="694">
        <f t="array" ref="I663">MIN(SUM(IFERROR(($H$174:$O$174=$C663) * ($G$176:$G$183=I$618) * ($H$176:$O$183),0)) * (1 + SUM(($C$46:$C$49=$E$9) * ($F$45:$N$45=$A663) * ($F$46:$N$49)) ), INDEX($E$46:$E$49,MATCH($E$9,$C$46:$C$49,0)) )</f>
        <v>0.72719999999999996</v>
      </c>
      <c r="J663" s="694">
        <f t="array" ref="J663">MIN(SUM(IFERROR(($H$174:$O$174=$C663) * ($G$176:$G$183=J$618) * ($H$176:$O$183),0)) * (1 + SUM(($C$46:$C$49=$E$9) * ($F$45:$N$45=$A663) * ($F$46:$N$49)) ), INDEX($E$46:$E$49,MATCH($E$9,$C$46:$C$49,0)) )</f>
        <v>0.68680000000000008</v>
      </c>
      <c r="K663" s="694">
        <f t="array" ref="K663">MIN(SUM(IFERROR(($H$174:$O$174=$C663) * ($G$176:$G$183=K$618) * ($H$176:$O$183),0)) * (1 + SUM(($C$46:$C$49=$E$9) * ($F$45:$N$45=$A663) * ($F$46:$N$49)) ), INDEX($E$46:$E$49,MATCH($E$9,$C$46:$C$49,0)) )</f>
        <v>0.72719999999999996</v>
      </c>
      <c r="L663" s="694">
        <f t="array" ref="L663">MIN(SUM(IFERROR(($H$174:$O$174=$C663) * ($G$176:$G$183=L$618) * ($H$176:$O$183),0)) * (1 + SUM(($C$46:$C$49=$E$9) * ($F$45:$N$45=$A663) * ($F$46:$N$49)) ), INDEX($E$46:$E$49,MATCH($E$9,$C$46:$C$49,0)) )</f>
        <v>0.76</v>
      </c>
      <c r="M663" s="694">
        <f t="array" ref="M663">MIN(SUM(IFERROR(($H$174:$O$174=$C663) * ($G$176:$G$183=M$618) * ($H$176:$O$183),0)) * (1 + SUM(($C$46:$C$49=$E$9) * ($F$45:$N$45=$A663) * ($F$46:$N$49)) ), INDEX($E$46:$E$49,MATCH($E$9,$C$46:$C$49,0)) )</f>
        <v>0</v>
      </c>
      <c r="N663" s="694">
        <f t="array" ref="N663">MIN(SUM(IFERROR(($H$174:$O$174=$C663) * ($G$176:$G$183=N$618) * ($H$176:$O$183),0)) * (1 + SUM(($C$46:$C$49=$E$9) * ($F$45:$N$45=$A663) * ($F$46:$N$49)) ), INDEX($E$46:$E$49,MATCH($E$9,$C$46:$C$49,0)) )</f>
        <v>0.60599999999999998</v>
      </c>
      <c r="O663" s="694">
        <f t="array" ref="O663">MIN(SUM(IFERROR(($H$174:$O$174=$C663) * ($G$176:$G$183=O$618) * ($H$176:$O$183),0)) * (1 + SUM(($C$46:$C$49=$E$9) * ($F$45:$N$45=$A663) * ($F$46:$N$49)) ), INDEX($E$46:$E$49,MATCH($E$9,$C$46:$C$49,0)) )</f>
        <v>0.60599999999999998</v>
      </c>
      <c r="P663" s="691"/>
      <c r="Q663" s="693"/>
      <c r="R663" s="693"/>
      <c r="S663" s="693"/>
      <c r="T663" s="693"/>
      <c r="U663" s="693"/>
      <c r="V663" s="693"/>
      <c r="W663" s="36"/>
      <c r="X663" s="36"/>
      <c r="Y663" s="36"/>
      <c r="Z663" s="36"/>
    </row>
    <row r="664" spans="1:26">
      <c r="A664" s="452">
        <v>2050</v>
      </c>
      <c r="B664" s="341"/>
      <c r="C664" s="336" t="str">
        <f t="shared" si="133"/>
        <v>PP</v>
      </c>
      <c r="D664" s="336" t="str">
        <f t="shared" si="133"/>
        <v>Pulp &amp; Paper Products  -323</v>
      </c>
      <c r="E664" s="336"/>
      <c r="F664" s="336"/>
      <c r="G664" s="450" t="s">
        <v>993</v>
      </c>
      <c r="H664" s="694">
        <f t="array" ref="H664">MIN(SUM(IFERROR(($H$174:$O$174=$C664) * ($G$176:$G$183=H$618) * ($H$176:$O$183),0)) * (1 + SUM(($C$46:$C$49=$E$9) * ($F$45:$N$45=$A664) * ($F$46:$N$49)) ), INDEX($E$46:$E$49,MATCH($E$9,$C$46:$C$49,0)) )</f>
        <v>0.64639999999999997</v>
      </c>
      <c r="I664" s="694">
        <f t="array" ref="I664">MIN(SUM(IFERROR(($H$174:$O$174=$C664) * ($G$176:$G$183=I$618) * ($H$176:$O$183),0)) * (1 + SUM(($C$46:$C$49=$E$9) * ($F$45:$N$45=$A664) * ($F$46:$N$49)) ), INDEX($E$46:$E$49,MATCH($E$9,$C$46:$C$49,0)) )</f>
        <v>0.72719999999999996</v>
      </c>
      <c r="J664" s="694">
        <f t="array" ref="J664">MIN(SUM(IFERROR(($H$174:$O$174=$C664) * ($G$176:$G$183=J$618) * ($H$176:$O$183),0)) * (1 + SUM(($C$46:$C$49=$E$9) * ($F$45:$N$45=$A664) * ($F$46:$N$49)) ), INDEX($E$46:$E$49,MATCH($E$9,$C$46:$C$49,0)) )</f>
        <v>0.68680000000000008</v>
      </c>
      <c r="K664" s="694">
        <f t="array" ref="K664">MIN(SUM(IFERROR(($H$174:$O$174=$C664) * ($G$176:$G$183=K$618) * ($H$176:$O$183),0)) * (1 + SUM(($C$46:$C$49=$E$9) * ($F$45:$N$45=$A664) * ($F$46:$N$49)) ), INDEX($E$46:$E$49,MATCH($E$9,$C$46:$C$49,0)) )</f>
        <v>0.72719999999999996</v>
      </c>
      <c r="L664" s="694">
        <f t="array" ref="L664">MIN(SUM(IFERROR(($H$174:$O$174=$C664) * ($G$176:$G$183=L$618) * ($H$176:$O$183),0)) * (1 + SUM(($C$46:$C$49=$E$9) * ($F$45:$N$45=$A664) * ($F$46:$N$49)) ), INDEX($E$46:$E$49,MATCH($E$9,$C$46:$C$49,0)) )</f>
        <v>0.76</v>
      </c>
      <c r="M664" s="694">
        <f t="array" ref="M664">MIN(SUM(IFERROR(($H$174:$O$174=$C664) * ($G$176:$G$183=M$618) * ($H$176:$O$183),0)) * (1 + SUM(($C$46:$C$49=$E$9) * ($F$45:$N$45=$A664) * ($F$46:$N$49)) ), INDEX($E$46:$E$49,MATCH($E$9,$C$46:$C$49,0)) )</f>
        <v>0.60599999999999998</v>
      </c>
      <c r="N664" s="694">
        <f t="array" ref="N664">MIN(SUM(IFERROR(($H$174:$O$174=$C664) * ($G$176:$G$183=N$618) * ($H$176:$O$183),0)) * (1 + SUM(($C$46:$C$49=$E$9) * ($F$45:$N$45=$A664) * ($F$46:$N$49)) ), INDEX($E$46:$E$49,MATCH($E$9,$C$46:$C$49,0)) )</f>
        <v>0</v>
      </c>
      <c r="O664" s="694">
        <f t="array" ref="O664">MIN(SUM(IFERROR(($H$174:$O$174=$C664) * ($G$176:$G$183=O$618) * ($H$176:$O$183),0)) * (1 + SUM(($C$46:$C$49=$E$9) * ($F$45:$N$45=$A664) * ($F$46:$N$49)) ), INDEX($E$46:$E$49,MATCH($E$9,$C$46:$C$49,0)) )</f>
        <v>0.60599999999999998</v>
      </c>
      <c r="P664" s="691"/>
      <c r="Q664" s="693"/>
      <c r="R664" s="693"/>
      <c r="S664" s="693"/>
      <c r="T664" s="693"/>
      <c r="U664" s="693"/>
      <c r="V664" s="693"/>
      <c r="W664" s="36"/>
      <c r="X664" s="36"/>
      <c r="Y664" s="36"/>
      <c r="Z664" s="36"/>
    </row>
    <row r="665" spans="1:26">
      <c r="A665" s="452">
        <v>2050</v>
      </c>
      <c r="B665" s="341"/>
      <c r="C665" s="336" t="str">
        <f t="shared" si="133"/>
        <v>OT</v>
      </c>
      <c r="D665" s="336" t="str">
        <f t="shared" si="133"/>
        <v>Other</v>
      </c>
      <c r="E665" s="336"/>
      <c r="F665" s="336"/>
      <c r="G665" s="450" t="s">
        <v>993</v>
      </c>
      <c r="H665" s="694">
        <f t="array" ref="H665">MIN(SUM(IFERROR(($H$174:$O$174=$C665) * ($G$176:$G$183=H$618) * ($H$176:$O$183),0)) * (1 + SUM(($C$46:$C$49=$E$9) * ($F$45:$N$45=$A665) * ($F$46:$N$49)) ), INDEX($E$46:$E$49,MATCH($E$9,$C$46:$C$49,0)) )</f>
        <v>0.64639999999999997</v>
      </c>
      <c r="I665" s="694">
        <f t="array" ref="I665">MIN(SUM(IFERROR(($H$174:$O$174=$C665) * ($G$176:$G$183=I$618) * ($H$176:$O$183),0)) * (1 + SUM(($C$46:$C$49=$E$9) * ($F$45:$N$45=$A665) * ($F$46:$N$49)) ), INDEX($E$46:$E$49,MATCH($E$9,$C$46:$C$49,0)) )</f>
        <v>0.72719999999999996</v>
      </c>
      <c r="J665" s="694">
        <f t="array" ref="J665">MIN(SUM(IFERROR(($H$174:$O$174=$C665) * ($G$176:$G$183=J$618) * ($H$176:$O$183),0)) * (1 + SUM(($C$46:$C$49=$E$9) * ($F$45:$N$45=$A665) * ($F$46:$N$49)) ), INDEX($E$46:$E$49,MATCH($E$9,$C$46:$C$49,0)) )</f>
        <v>0.68680000000000008</v>
      </c>
      <c r="K665" s="694">
        <f t="array" ref="K665">MIN(SUM(IFERROR(($H$174:$O$174=$C665) * ($G$176:$G$183=K$618) * ($H$176:$O$183),0)) * (1 + SUM(($C$46:$C$49=$E$9) * ($F$45:$N$45=$A665) * ($F$46:$N$49)) ), INDEX($E$46:$E$49,MATCH($E$9,$C$46:$C$49,0)) )</f>
        <v>0.72719999999999996</v>
      </c>
      <c r="L665" s="694">
        <f t="array" ref="L665">MIN(SUM(IFERROR(($H$174:$O$174=$C665) * ($G$176:$G$183=L$618) * ($H$176:$O$183),0)) * (1 + SUM(($C$46:$C$49=$E$9) * ($F$45:$N$45=$A665) * ($F$46:$N$49)) ), INDEX($E$46:$E$49,MATCH($E$9,$C$46:$C$49,0)) )</f>
        <v>0.76</v>
      </c>
      <c r="M665" s="694">
        <f t="array" ref="M665">MIN(SUM(IFERROR(($H$174:$O$174=$C665) * ($G$176:$G$183=M$618) * ($H$176:$O$183),0)) * (1 + SUM(($C$46:$C$49=$E$9) * ($F$45:$N$45=$A665) * ($F$46:$N$49)) ), INDEX($E$46:$E$49,MATCH($E$9,$C$46:$C$49,0)) )</f>
        <v>0</v>
      </c>
      <c r="N665" s="694">
        <f t="array" ref="N665">MIN(SUM(IFERROR(($H$174:$O$174=$C665) * ($G$176:$G$183=N$618) * ($H$176:$O$183),0)) * (1 + SUM(($C$46:$C$49=$E$9) * ($F$45:$N$45=$A665) * ($F$46:$N$49)) ), INDEX($E$46:$E$49,MATCH($E$9,$C$46:$C$49,0)) )</f>
        <v>0</v>
      </c>
      <c r="O665" s="694">
        <f t="array" ref="O665">MIN(SUM(IFERROR(($H$174:$O$174=$C665) * ($G$176:$G$183=O$618) * ($H$176:$O$183),0)) * (1 + SUM(($C$46:$C$49=$E$9) * ($F$45:$N$45=$A665) * ($F$46:$N$49)) ), INDEX($E$46:$E$49,MATCH($E$9,$C$46:$C$49,0)) )</f>
        <v>0.60599999999999998</v>
      </c>
      <c r="P665" s="691"/>
      <c r="Q665" s="693"/>
      <c r="R665" s="693"/>
      <c r="S665" s="693"/>
      <c r="T665" s="693"/>
      <c r="U665" s="693"/>
      <c r="V665" s="693"/>
      <c r="W665" s="36"/>
      <c r="X665" s="36"/>
      <c r="Y665" s="36"/>
      <c r="Z665" s="36"/>
    </row>
    <row r="666" spans="1:26" collapsed="1">
      <c r="A666" s="452"/>
      <c r="B666" s="338"/>
      <c r="C666" s="84"/>
      <c r="D666" s="84"/>
      <c r="E666" s="84"/>
      <c r="F666" s="84"/>
      <c r="G666" s="470"/>
      <c r="H666" s="84"/>
      <c r="I666" s="84"/>
      <c r="J666" s="84"/>
      <c r="K666" s="84"/>
      <c r="L666" s="84"/>
      <c r="M666" s="84"/>
      <c r="N666" s="84"/>
      <c r="O666" s="84"/>
      <c r="P666" s="691"/>
      <c r="Q666" s="36"/>
      <c r="R666" s="36"/>
      <c r="S666" s="36"/>
      <c r="T666" s="36"/>
      <c r="U666" s="36"/>
      <c r="V666" s="36"/>
      <c r="W666" s="36"/>
      <c r="X666" s="36"/>
      <c r="Y666" s="36"/>
      <c r="Z666" s="36"/>
    </row>
    <row r="667" spans="1:26" hidden="1" outlineLevel="1">
      <c r="A667" s="452"/>
      <c r="B667" s="338"/>
      <c r="C667" s="1452"/>
      <c r="D667" s="1452"/>
      <c r="E667" s="1452"/>
      <c r="F667" s="1452"/>
      <c r="G667" s="1449"/>
      <c r="H667" s="1452"/>
      <c r="I667" s="1452"/>
      <c r="J667" s="1452"/>
      <c r="K667" s="1452"/>
      <c r="L667" s="1452"/>
      <c r="M667" s="1452"/>
      <c r="N667" s="1452"/>
      <c r="O667" s="1452"/>
      <c r="P667" s="691"/>
      <c r="Q667" s="36"/>
      <c r="R667" s="36"/>
      <c r="S667" s="36"/>
      <c r="T667" s="36"/>
      <c r="U667" s="36"/>
      <c r="V667" s="36"/>
      <c r="W667" s="36"/>
      <c r="X667" s="36"/>
      <c r="Y667" s="36"/>
      <c r="Z667" s="36"/>
    </row>
    <row r="668" spans="1:26" hidden="1" outlineLevel="1">
      <c r="A668" s="452"/>
      <c r="B668" s="338"/>
      <c r="C668" s="1436" t="s">
        <v>1832</v>
      </c>
      <c r="D668" s="1452"/>
      <c r="E668" s="1452"/>
      <c r="F668" s="1452"/>
      <c r="G668" s="1449"/>
      <c r="H668" s="1452"/>
      <c r="I668" s="1452"/>
      <c r="J668" s="1452"/>
      <c r="K668" s="1452"/>
      <c r="L668" s="1452"/>
      <c r="M668" s="1452"/>
      <c r="N668" s="1452"/>
      <c r="O668" s="1452"/>
      <c r="P668" s="691"/>
      <c r="Q668" s="36"/>
      <c r="R668" s="36"/>
      <c r="S668" s="36"/>
      <c r="T668" s="36"/>
      <c r="U668" s="36"/>
      <c r="V668" s="36"/>
      <c r="W668" s="36"/>
      <c r="X668" s="36"/>
      <c r="Y668" s="36"/>
      <c r="Z668" s="36"/>
    </row>
    <row r="669" spans="1:26" hidden="1" outlineLevel="1">
      <c r="A669" s="452">
        <v>2006</v>
      </c>
      <c r="B669" s="338"/>
      <c r="C669" s="1435" t="str">
        <f t="shared" ref="C669:D676" si="134">C20</f>
        <v>MI</v>
      </c>
      <c r="D669" s="1435" t="str">
        <f t="shared" si="134"/>
        <v>Mining SIC2</v>
      </c>
      <c r="E669" s="1434"/>
      <c r="F669" s="1433"/>
      <c r="G669" s="1432" t="s">
        <v>993</v>
      </c>
      <c r="H669" s="1431">
        <f t="array" ref="H669">INDEX($H$176:$O$183,MATCH(H$618,$G$176:$G$183,0),MATCH($C669,$H$174:$O$174,0))</f>
        <v>0.64</v>
      </c>
      <c r="I669" s="1431">
        <f t="array" ref="I669">INDEX($H$176:$O$183,MATCH(I$618,$G$176:$G$183,0),MATCH($C669,$H$174:$O$174,0))</f>
        <v>0.72</v>
      </c>
      <c r="J669" s="1431">
        <f t="array" ref="J669">INDEX($H$176:$O$183,MATCH(J$618,$G$176:$G$183,0),MATCH($C669,$H$174:$O$174,0))</f>
        <v>0.68</v>
      </c>
      <c r="K669" s="1431">
        <f t="array" ref="K669">INDEX($H$176:$O$183,MATCH(K$618,$G$176:$G$183,0),MATCH($C669,$H$174:$O$174,0))</f>
        <v>0.72</v>
      </c>
      <c r="L669" s="1431">
        <f t="array" ref="L669">INDEX($H$176:$O$183,MATCH(L$618,$G$176:$G$183,0),MATCH($C669,$H$174:$O$174,0))</f>
        <v>0.76</v>
      </c>
      <c r="M669" s="1431">
        <f t="array" ref="M669">INDEX($H$176:$O$183,MATCH(M$618,$G$176:$G$183,0),MATCH($C669,$H$174:$O$174,0))</f>
        <v>0</v>
      </c>
      <c r="N669" s="1431">
        <f t="array" ref="N669">INDEX($H$176:$O$183,MATCH(N$618,$G$176:$G$183,0),MATCH($C669,$H$174:$O$174,0))</f>
        <v>0</v>
      </c>
      <c r="O669" s="1431">
        <f t="array" ref="O669">INDEX($H$176:$O$183,MATCH(O$618,$G$176:$G$183,0),MATCH($C669,$H$174:$O$174,0))</f>
        <v>0.6</v>
      </c>
      <c r="P669" s="691"/>
      <c r="Q669" s="36"/>
      <c r="R669" s="36"/>
      <c r="S669" s="36"/>
      <c r="T669" s="36"/>
      <c r="U669" s="36"/>
      <c r="V669" s="36"/>
      <c r="W669" s="36"/>
      <c r="X669" s="36"/>
      <c r="Y669" s="36"/>
      <c r="Z669" s="36"/>
    </row>
    <row r="670" spans="1:26" hidden="1" outlineLevel="1">
      <c r="A670" s="452">
        <v>2006</v>
      </c>
      <c r="B670" s="338"/>
      <c r="C670" s="1435" t="str">
        <f t="shared" si="134"/>
        <v>IS</v>
      </c>
      <c r="D670" s="1435" t="str">
        <f t="shared" si="134"/>
        <v>Iron  &amp; Steel  - 351</v>
      </c>
      <c r="E670" s="1434"/>
      <c r="F670" s="1433"/>
      <c r="G670" s="1432" t="s">
        <v>993</v>
      </c>
      <c r="H670" s="1431">
        <f t="array" ref="H670">INDEX($H$176:$O$183,MATCH(H$618,$G$176:$G$183,0),MATCH($C670,$H$174:$O$174,0))</f>
        <v>0.64</v>
      </c>
      <c r="I670" s="1431">
        <f t="array" ref="I670">INDEX($H$176:$O$183,MATCH(I$618,$G$176:$G$183,0),MATCH($C670,$H$174:$O$174,0))</f>
        <v>0.72</v>
      </c>
      <c r="J670" s="1431">
        <f t="array" ref="J670">INDEX($H$176:$O$183,MATCH(J$618,$G$176:$G$183,0),MATCH($C670,$H$174:$O$174,0))</f>
        <v>0.68</v>
      </c>
      <c r="K670" s="1431">
        <f t="array" ref="K670">INDEX($H$176:$O$183,MATCH(K$618,$G$176:$G$183,0),MATCH($C670,$H$174:$O$174,0))</f>
        <v>0.72</v>
      </c>
      <c r="L670" s="1431">
        <f t="array" ref="L670">INDEX($H$176:$O$183,MATCH(L$618,$G$176:$G$183,0),MATCH($C670,$H$174:$O$174,0))</f>
        <v>0.76</v>
      </c>
      <c r="M670" s="1431">
        <f t="array" ref="M670">INDEX($H$176:$O$183,MATCH(M$618,$G$176:$G$183,0),MATCH($C670,$H$174:$O$174,0))</f>
        <v>0</v>
      </c>
      <c r="N670" s="1431">
        <f t="array" ref="N670">INDEX($H$176:$O$183,MATCH(N$618,$G$176:$G$183,0),MATCH($C670,$H$174:$O$174,0))</f>
        <v>0</v>
      </c>
      <c r="O670" s="1431">
        <f t="array" ref="O670">INDEX($H$176:$O$183,MATCH(O$618,$G$176:$G$183,0),MATCH($C670,$H$174:$O$174,0))</f>
        <v>0.6</v>
      </c>
      <c r="P670" s="691"/>
      <c r="Q670" s="36"/>
      <c r="R670" s="36"/>
      <c r="S670" s="36"/>
      <c r="T670" s="36"/>
      <c r="U670" s="36"/>
      <c r="V670" s="36"/>
      <c r="W670" s="36"/>
      <c r="X670" s="36"/>
      <c r="Y670" s="36"/>
      <c r="Z670" s="36"/>
    </row>
    <row r="671" spans="1:26" hidden="1" outlineLevel="1">
      <c r="A671" s="452">
        <v>2006</v>
      </c>
      <c r="B671" s="338"/>
      <c r="C671" s="1435" t="str">
        <f t="shared" si="134"/>
        <v>CP</v>
      </c>
      <c r="D671" s="1435" t="str">
        <f t="shared" si="134"/>
        <v>Chemicals  -33</v>
      </c>
      <c r="E671" s="1434"/>
      <c r="F671" s="1433"/>
      <c r="G671" s="1432" t="s">
        <v>993</v>
      </c>
      <c r="H671" s="1431">
        <f t="array" ref="H671">INDEX($H$176:$O$183,MATCH(H$618,$G$176:$G$183,0),MATCH($C671,$H$174:$O$174,0))</f>
        <v>0.64</v>
      </c>
      <c r="I671" s="1431">
        <f t="array" ref="I671">INDEX($H$176:$O$183,MATCH(I$618,$G$176:$G$183,0),MATCH($C671,$H$174:$O$174,0))</f>
        <v>0.72</v>
      </c>
      <c r="J671" s="1431">
        <f t="array" ref="J671">INDEX($H$176:$O$183,MATCH(J$618,$G$176:$G$183,0),MATCH($C671,$H$174:$O$174,0))</f>
        <v>0.68</v>
      </c>
      <c r="K671" s="1431">
        <f t="array" ref="K671">INDEX($H$176:$O$183,MATCH(K$618,$G$176:$G$183,0),MATCH($C671,$H$174:$O$174,0))</f>
        <v>0.72</v>
      </c>
      <c r="L671" s="1431">
        <f t="array" ref="L671">INDEX($H$176:$O$183,MATCH(L$618,$G$176:$G$183,0),MATCH($C671,$H$174:$O$174,0))</f>
        <v>0.76</v>
      </c>
      <c r="M671" s="1431">
        <f t="array" ref="M671">INDEX($H$176:$O$183,MATCH(M$618,$G$176:$G$183,0),MATCH($C671,$H$174:$O$174,0))</f>
        <v>0</v>
      </c>
      <c r="N671" s="1431">
        <f t="array" ref="N671">INDEX($H$176:$O$183,MATCH(N$618,$G$176:$G$183,0),MATCH($C671,$H$174:$O$174,0))</f>
        <v>0</v>
      </c>
      <c r="O671" s="1431">
        <f t="array" ref="O671">INDEX($H$176:$O$183,MATCH(O$618,$G$176:$G$183,0),MATCH($C671,$H$174:$O$174,0))</f>
        <v>0.6</v>
      </c>
      <c r="P671" s="691"/>
      <c r="Q671" s="36"/>
      <c r="R671" s="36"/>
      <c r="S671" s="36"/>
      <c r="T671" s="36"/>
      <c r="U671" s="36"/>
      <c r="V671" s="36"/>
      <c r="W671" s="36"/>
      <c r="X671" s="36"/>
      <c r="Y671" s="36"/>
      <c r="Z671" s="36"/>
    </row>
    <row r="672" spans="1:26" hidden="1" outlineLevel="1">
      <c r="A672" s="452">
        <v>2006</v>
      </c>
      <c r="B672" s="338"/>
      <c r="C672" s="1435" t="str">
        <f t="shared" si="134"/>
        <v>NF</v>
      </c>
      <c r="D672" s="1435" t="str">
        <f t="shared" si="134"/>
        <v>Non-Ferrous metals  - 352</v>
      </c>
      <c r="E672" s="1434"/>
      <c r="F672" s="1433"/>
      <c r="G672" s="1432" t="s">
        <v>993</v>
      </c>
      <c r="H672" s="1431">
        <f t="array" ref="H672">INDEX($H$176:$O$183,MATCH(H$618,$G$176:$G$183,0),MATCH($C672,$H$174:$O$174,0))</f>
        <v>0.64</v>
      </c>
      <c r="I672" s="1431">
        <f t="array" ref="I672">INDEX($H$176:$O$183,MATCH(I$618,$G$176:$G$183,0),MATCH($C672,$H$174:$O$174,0))</f>
        <v>0.72</v>
      </c>
      <c r="J672" s="1431">
        <f t="array" ref="J672">INDEX($H$176:$O$183,MATCH(J$618,$G$176:$G$183,0),MATCH($C672,$H$174:$O$174,0))</f>
        <v>0.68</v>
      </c>
      <c r="K672" s="1431">
        <f t="array" ref="K672">INDEX($H$176:$O$183,MATCH(K$618,$G$176:$G$183,0),MATCH($C672,$H$174:$O$174,0))</f>
        <v>0.72</v>
      </c>
      <c r="L672" s="1431">
        <f t="array" ref="L672">INDEX($H$176:$O$183,MATCH(L$618,$G$176:$G$183,0),MATCH($C672,$H$174:$O$174,0))</f>
        <v>0.76</v>
      </c>
      <c r="M672" s="1431">
        <f t="array" ref="M672">INDEX($H$176:$O$183,MATCH(M$618,$G$176:$G$183,0),MATCH($C672,$H$174:$O$174,0))</f>
        <v>0</v>
      </c>
      <c r="N672" s="1431">
        <f t="array" ref="N672">INDEX($H$176:$O$183,MATCH(N$618,$G$176:$G$183,0),MATCH($C672,$H$174:$O$174,0))</f>
        <v>0</v>
      </c>
      <c r="O672" s="1431">
        <f t="array" ref="O672">INDEX($H$176:$O$183,MATCH(O$618,$G$176:$G$183,0),MATCH($C672,$H$174:$O$174,0))</f>
        <v>0.6</v>
      </c>
      <c r="P672" s="691"/>
      <c r="Q672" s="36"/>
      <c r="R672" s="36"/>
      <c r="S672" s="36"/>
      <c r="T672" s="36"/>
      <c r="U672" s="36"/>
      <c r="V672" s="36"/>
      <c r="W672" s="36"/>
      <c r="X672" s="36"/>
      <c r="Y672" s="36"/>
      <c r="Z672" s="36"/>
    </row>
    <row r="673" spans="1:26" hidden="1" outlineLevel="1">
      <c r="A673" s="452">
        <v>2006</v>
      </c>
      <c r="B673" s="338"/>
      <c r="C673" s="1435" t="str">
        <f t="shared" si="134"/>
        <v>NM</v>
      </c>
      <c r="D673" s="1435" t="str">
        <f t="shared" si="134"/>
        <v>N.M.M Products  -34</v>
      </c>
      <c r="E673" s="1434"/>
      <c r="F673" s="1433"/>
      <c r="G673" s="1432" t="s">
        <v>993</v>
      </c>
      <c r="H673" s="1431">
        <f t="array" ref="H673">INDEX($H$176:$O$183,MATCH(H$618,$G$176:$G$183,0),MATCH($C673,$H$174:$O$174,0))</f>
        <v>0.64</v>
      </c>
      <c r="I673" s="1431">
        <f t="array" ref="I673">INDEX($H$176:$O$183,MATCH(I$618,$G$176:$G$183,0),MATCH($C673,$H$174:$O$174,0))</f>
        <v>0.72</v>
      </c>
      <c r="J673" s="1431">
        <f t="array" ref="J673">INDEX($H$176:$O$183,MATCH(J$618,$G$176:$G$183,0),MATCH($C673,$H$174:$O$174,0))</f>
        <v>0.68</v>
      </c>
      <c r="K673" s="1431">
        <f t="array" ref="K673">INDEX($H$176:$O$183,MATCH(K$618,$G$176:$G$183,0),MATCH($C673,$H$174:$O$174,0))</f>
        <v>0.72</v>
      </c>
      <c r="L673" s="1431">
        <f t="array" ref="L673">INDEX($H$176:$O$183,MATCH(L$618,$G$176:$G$183,0),MATCH($C673,$H$174:$O$174,0))</f>
        <v>0.76</v>
      </c>
      <c r="M673" s="1431">
        <f t="array" ref="M673">INDEX($H$176:$O$183,MATCH(M$618,$G$176:$G$183,0),MATCH($C673,$H$174:$O$174,0))</f>
        <v>0</v>
      </c>
      <c r="N673" s="1431">
        <f t="array" ref="N673">INDEX($H$176:$O$183,MATCH(N$618,$G$176:$G$183,0),MATCH($C673,$H$174:$O$174,0))</f>
        <v>0</v>
      </c>
      <c r="O673" s="1431">
        <f t="array" ref="O673">INDEX($H$176:$O$183,MATCH(O$618,$G$176:$G$183,0),MATCH($C673,$H$174:$O$174,0))</f>
        <v>0.6</v>
      </c>
      <c r="P673" s="691"/>
      <c r="Q673" s="36"/>
      <c r="R673" s="36"/>
      <c r="S673" s="36"/>
      <c r="T673" s="36"/>
      <c r="U673" s="36"/>
      <c r="V673" s="36"/>
      <c r="W673" s="36"/>
      <c r="X673" s="36"/>
      <c r="Y673" s="36"/>
      <c r="Z673" s="36"/>
    </row>
    <row r="674" spans="1:26" hidden="1" outlineLevel="1">
      <c r="A674" s="452">
        <v>2006</v>
      </c>
      <c r="B674" s="338"/>
      <c r="C674" s="1435" t="str">
        <f t="shared" si="134"/>
        <v>FB</v>
      </c>
      <c r="D674" s="1435" t="str">
        <f t="shared" si="134"/>
        <v>Food, Beverage &amp; Tabacco  - 30</v>
      </c>
      <c r="E674" s="1434"/>
      <c r="F674" s="1433"/>
      <c r="G674" s="1432" t="s">
        <v>993</v>
      </c>
      <c r="H674" s="1431">
        <f t="array" ref="H674">INDEX($H$176:$O$183,MATCH(H$618,$G$176:$G$183,0),MATCH($C674,$H$174:$O$174,0))</f>
        <v>0.64</v>
      </c>
      <c r="I674" s="1431">
        <f t="array" ref="I674">INDEX($H$176:$O$183,MATCH(I$618,$G$176:$G$183,0),MATCH($C674,$H$174:$O$174,0))</f>
        <v>0.72</v>
      </c>
      <c r="J674" s="1431">
        <f t="array" ref="J674">INDEX($H$176:$O$183,MATCH(J$618,$G$176:$G$183,0),MATCH($C674,$H$174:$O$174,0))</f>
        <v>0.68</v>
      </c>
      <c r="K674" s="1431">
        <f t="array" ref="K674">INDEX($H$176:$O$183,MATCH(K$618,$G$176:$G$183,0),MATCH($C674,$H$174:$O$174,0))</f>
        <v>0.72</v>
      </c>
      <c r="L674" s="1431">
        <f t="array" ref="L674">INDEX($H$176:$O$183,MATCH(L$618,$G$176:$G$183,0),MATCH($C674,$H$174:$O$174,0))</f>
        <v>0.76</v>
      </c>
      <c r="M674" s="1431">
        <f t="array" ref="M674">INDEX($H$176:$O$183,MATCH(M$618,$G$176:$G$183,0),MATCH($C674,$H$174:$O$174,0))</f>
        <v>0</v>
      </c>
      <c r="N674" s="1431">
        <f t="array" ref="N674">INDEX($H$176:$O$183,MATCH(N$618,$G$176:$G$183,0),MATCH($C674,$H$174:$O$174,0))</f>
        <v>0.6</v>
      </c>
      <c r="O674" s="1431">
        <f t="array" ref="O674">INDEX($H$176:$O$183,MATCH(O$618,$G$176:$G$183,0),MATCH($C674,$H$174:$O$174,0))</f>
        <v>0.6</v>
      </c>
      <c r="P674" s="691"/>
      <c r="Q674" s="36"/>
      <c r="R674" s="36"/>
      <c r="S674" s="36"/>
      <c r="T674" s="36"/>
      <c r="U674" s="36"/>
      <c r="V674" s="36"/>
      <c r="W674" s="36"/>
      <c r="X674" s="36"/>
      <c r="Y674" s="36"/>
      <c r="Z674" s="36"/>
    </row>
    <row r="675" spans="1:26" hidden="1" outlineLevel="1">
      <c r="A675" s="452">
        <v>2006</v>
      </c>
      <c r="B675" s="338"/>
      <c r="C675" s="1435" t="str">
        <f t="shared" si="134"/>
        <v>PP</v>
      </c>
      <c r="D675" s="1435" t="str">
        <f t="shared" si="134"/>
        <v>Pulp &amp; Paper Products  -323</v>
      </c>
      <c r="E675" s="1434"/>
      <c r="F675" s="1433"/>
      <c r="G675" s="1432" t="s">
        <v>993</v>
      </c>
      <c r="H675" s="1431">
        <f t="array" ref="H675">INDEX($H$176:$O$183,MATCH(H$618,$G$176:$G$183,0),MATCH($C675,$H$174:$O$174,0))</f>
        <v>0.64</v>
      </c>
      <c r="I675" s="1431">
        <f t="array" ref="I675">INDEX($H$176:$O$183,MATCH(I$618,$G$176:$G$183,0),MATCH($C675,$H$174:$O$174,0))</f>
        <v>0.72</v>
      </c>
      <c r="J675" s="1431">
        <f t="array" ref="J675">INDEX($H$176:$O$183,MATCH(J$618,$G$176:$G$183,0),MATCH($C675,$H$174:$O$174,0))</f>
        <v>0.68</v>
      </c>
      <c r="K675" s="1431">
        <f t="array" ref="K675">INDEX($H$176:$O$183,MATCH(K$618,$G$176:$G$183,0),MATCH($C675,$H$174:$O$174,0))</f>
        <v>0.72</v>
      </c>
      <c r="L675" s="1431">
        <f t="array" ref="L675">INDEX($H$176:$O$183,MATCH(L$618,$G$176:$G$183,0),MATCH($C675,$H$174:$O$174,0))</f>
        <v>0.76</v>
      </c>
      <c r="M675" s="1431">
        <f t="array" ref="M675">INDEX($H$176:$O$183,MATCH(M$618,$G$176:$G$183,0),MATCH($C675,$H$174:$O$174,0))</f>
        <v>0.6</v>
      </c>
      <c r="N675" s="1431">
        <f t="array" ref="N675">INDEX($H$176:$O$183,MATCH(N$618,$G$176:$G$183,0),MATCH($C675,$H$174:$O$174,0))</f>
        <v>0</v>
      </c>
      <c r="O675" s="1431">
        <f t="array" ref="O675">INDEX($H$176:$O$183,MATCH(O$618,$G$176:$G$183,0),MATCH($C675,$H$174:$O$174,0))</f>
        <v>0.6</v>
      </c>
      <c r="P675" s="691"/>
      <c r="Q675" s="36"/>
      <c r="R675" s="36"/>
      <c r="S675" s="36"/>
      <c r="T675" s="36"/>
      <c r="U675" s="36"/>
      <c r="V675" s="36"/>
      <c r="W675" s="36"/>
      <c r="X675" s="36"/>
      <c r="Y675" s="36"/>
      <c r="Z675" s="36"/>
    </row>
    <row r="676" spans="1:26" hidden="1" outlineLevel="1">
      <c r="A676" s="452">
        <v>2006</v>
      </c>
      <c r="B676" s="338"/>
      <c r="C676" s="1435" t="str">
        <f t="shared" si="134"/>
        <v>OT</v>
      </c>
      <c r="D676" s="1435" t="str">
        <f t="shared" si="134"/>
        <v>Other</v>
      </c>
      <c r="E676" s="1434"/>
      <c r="F676" s="1433"/>
      <c r="G676" s="1432" t="s">
        <v>993</v>
      </c>
      <c r="H676" s="1431">
        <f t="array" ref="H676">INDEX($H$176:$O$183,MATCH(H$618,$G$176:$G$183,0),MATCH($C676,$H$174:$O$174,0))</f>
        <v>0.64</v>
      </c>
      <c r="I676" s="1431">
        <f t="array" ref="I676">INDEX($H$176:$O$183,MATCH(I$618,$G$176:$G$183,0),MATCH($C676,$H$174:$O$174,0))</f>
        <v>0.72</v>
      </c>
      <c r="J676" s="1431">
        <f t="array" ref="J676">INDEX($H$176:$O$183,MATCH(J$618,$G$176:$G$183,0),MATCH($C676,$H$174:$O$174,0))</f>
        <v>0.68</v>
      </c>
      <c r="K676" s="1431">
        <f t="array" ref="K676">INDEX($H$176:$O$183,MATCH(K$618,$G$176:$G$183,0),MATCH($C676,$H$174:$O$174,0))</f>
        <v>0.72</v>
      </c>
      <c r="L676" s="1431">
        <f t="array" ref="L676">INDEX($H$176:$O$183,MATCH(L$618,$G$176:$G$183,0),MATCH($C676,$H$174:$O$174,0))</f>
        <v>0.76</v>
      </c>
      <c r="M676" s="1431">
        <f t="array" ref="M676">INDEX($H$176:$O$183,MATCH(M$618,$G$176:$G$183,0),MATCH($C676,$H$174:$O$174,0))</f>
        <v>0</v>
      </c>
      <c r="N676" s="1431">
        <f t="array" ref="N676">INDEX($H$176:$O$183,MATCH(N$618,$G$176:$G$183,0),MATCH($C676,$H$174:$O$174,0))</f>
        <v>0</v>
      </c>
      <c r="O676" s="1431">
        <f t="array" ref="O676">INDEX($H$176:$O$183,MATCH(O$618,$G$176:$G$183,0),MATCH($C676,$H$174:$O$174,0))</f>
        <v>0.6</v>
      </c>
      <c r="P676" s="691"/>
      <c r="Q676" s="36"/>
      <c r="R676" s="36"/>
      <c r="S676" s="36"/>
      <c r="T676" s="36"/>
      <c r="U676" s="36"/>
      <c r="V676" s="36"/>
      <c r="W676" s="36"/>
      <c r="X676" s="36"/>
      <c r="Y676" s="36"/>
      <c r="Z676" s="36"/>
    </row>
    <row r="677" spans="1:26" hidden="1" outlineLevel="1">
      <c r="B677" s="341"/>
      <c r="C677" s="1430"/>
      <c r="D677" s="1429"/>
      <c r="E677" s="1428"/>
      <c r="F677" s="1427"/>
      <c r="G677" s="1427"/>
      <c r="H677" s="1427"/>
      <c r="I677" s="1427"/>
      <c r="J677" s="1426"/>
      <c r="K677" s="1426"/>
      <c r="L677" s="1426"/>
      <c r="M677" s="1426"/>
      <c r="N677" s="1426"/>
      <c r="O677" s="1426"/>
      <c r="P677" s="691"/>
      <c r="Q677" s="15"/>
    </row>
    <row r="678" spans="1:26">
      <c r="B678" s="341"/>
      <c r="C678" s="79"/>
      <c r="D678" s="692"/>
      <c r="E678" s="340"/>
      <c r="F678" s="187"/>
      <c r="G678" s="187"/>
      <c r="H678" s="187"/>
      <c r="I678" s="187"/>
      <c r="J678" s="338"/>
      <c r="K678" s="338"/>
      <c r="L678" s="387"/>
      <c r="M678" s="338"/>
      <c r="N678" s="338"/>
      <c r="O678" s="338"/>
      <c r="P678" s="691"/>
      <c r="Q678" s="15"/>
    </row>
    <row r="679" spans="1:26">
      <c r="B679" s="845">
        <v>7</v>
      </c>
      <c r="C679" s="748" t="s">
        <v>422</v>
      </c>
      <c r="D679" s="687"/>
      <c r="E679" s="338"/>
      <c r="F679" s="338"/>
      <c r="G679" s="338"/>
      <c r="H679" s="338"/>
      <c r="I679" s="338"/>
      <c r="J679" s="338"/>
      <c r="K679" s="338"/>
      <c r="L679" s="338"/>
      <c r="M679" s="338"/>
      <c r="N679" s="338"/>
      <c r="O679" s="78" t="s">
        <v>423</v>
      </c>
      <c r="P679" s="691"/>
      <c r="Q679" s="15"/>
    </row>
    <row r="680" spans="1:26">
      <c r="B680" s="341"/>
      <c r="C680" s="338"/>
      <c r="D680" s="687"/>
      <c r="E680" s="338"/>
      <c r="F680" s="338"/>
      <c r="G680" s="338"/>
      <c r="H680" s="338"/>
      <c r="I680" s="338"/>
      <c r="J680" s="338"/>
      <c r="K680" s="338"/>
      <c r="L680" s="338"/>
      <c r="M680" s="338"/>
      <c r="N680" s="338"/>
      <c r="O680" s="338"/>
      <c r="P680" s="691"/>
      <c r="Q680" s="15"/>
    </row>
    <row r="681" spans="1:26" ht="15">
      <c r="B681" s="106"/>
      <c r="C681" s="61" t="s">
        <v>32</v>
      </c>
      <c r="D681" s="690" t="s">
        <v>59</v>
      </c>
      <c r="E681" s="61" t="s">
        <v>418</v>
      </c>
      <c r="F681" s="162">
        <f>Base_Year</f>
        <v>2006</v>
      </c>
      <c r="G681" s="94">
        <v>2010</v>
      </c>
      <c r="H681" s="93">
        <v>2015</v>
      </c>
      <c r="I681" s="93">
        <v>2020</v>
      </c>
      <c r="J681" s="93">
        <v>2025</v>
      </c>
      <c r="K681" s="93">
        <v>2030</v>
      </c>
      <c r="L681" s="93">
        <v>2035</v>
      </c>
      <c r="M681" s="93">
        <v>2040</v>
      </c>
      <c r="N681" s="93">
        <v>2045</v>
      </c>
      <c r="O681" s="93">
        <v>2050</v>
      </c>
      <c r="P681" s="342"/>
    </row>
    <row r="682" spans="1:26" ht="15">
      <c r="B682" s="106"/>
      <c r="C682" s="336" t="str">
        <f t="shared" ref="C682:C689" si="135">C20</f>
        <v>MI</v>
      </c>
      <c r="D682" s="1039"/>
      <c r="E682" s="335"/>
      <c r="F682" s="149">
        <v>1</v>
      </c>
      <c r="G682" s="86">
        <f>$F682*(1+$E682)^(G$681-$F$681)</f>
        <v>1</v>
      </c>
      <c r="H682" s="149">
        <f t="shared" ref="H682:O682" si="136">$F682*(1+$E682)^(H$681-$F$681)</f>
        <v>1</v>
      </c>
      <c r="I682" s="149">
        <f t="shared" si="136"/>
        <v>1</v>
      </c>
      <c r="J682" s="149">
        <f t="shared" si="136"/>
        <v>1</v>
      </c>
      <c r="K682" s="149">
        <f t="shared" si="136"/>
        <v>1</v>
      </c>
      <c r="L682" s="149">
        <f t="shared" si="136"/>
        <v>1</v>
      </c>
      <c r="M682" s="149">
        <f t="shared" si="136"/>
        <v>1</v>
      </c>
      <c r="N682" s="149">
        <f t="shared" si="136"/>
        <v>1</v>
      </c>
      <c r="O682" s="149">
        <f t="shared" si="136"/>
        <v>1</v>
      </c>
      <c r="P682" s="342"/>
    </row>
    <row r="683" spans="1:26" ht="15">
      <c r="B683" s="106"/>
      <c r="C683" s="336" t="str">
        <f t="shared" si="135"/>
        <v>IS</v>
      </c>
      <c r="D683" s="1039"/>
      <c r="E683" s="335"/>
      <c r="F683" s="149">
        <v>1</v>
      </c>
      <c r="G683" s="86">
        <f t="shared" ref="G683:O689" si="137">$F683*(1+$E683)^(G$681-$F$681)</f>
        <v>1</v>
      </c>
      <c r="H683" s="149">
        <f t="shared" si="137"/>
        <v>1</v>
      </c>
      <c r="I683" s="149">
        <f t="shared" si="137"/>
        <v>1</v>
      </c>
      <c r="J683" s="149">
        <f t="shared" si="137"/>
        <v>1</v>
      </c>
      <c r="K683" s="149">
        <f t="shared" si="137"/>
        <v>1</v>
      </c>
      <c r="L683" s="149">
        <f t="shared" si="137"/>
        <v>1</v>
      </c>
      <c r="M683" s="149">
        <f t="shared" si="137"/>
        <v>1</v>
      </c>
      <c r="N683" s="149">
        <f t="shared" si="137"/>
        <v>1</v>
      </c>
      <c r="O683" s="149">
        <f t="shared" si="137"/>
        <v>1</v>
      </c>
      <c r="P683" s="342"/>
    </row>
    <row r="684" spans="1:26" ht="15">
      <c r="B684" s="106"/>
      <c r="C684" s="336" t="str">
        <f t="shared" si="135"/>
        <v>CP</v>
      </c>
      <c r="D684" s="1039"/>
      <c r="E684" s="335"/>
      <c r="F684" s="149">
        <v>1</v>
      </c>
      <c r="G684" s="86">
        <f t="shared" si="137"/>
        <v>1</v>
      </c>
      <c r="H684" s="149">
        <f t="shared" si="137"/>
        <v>1</v>
      </c>
      <c r="I684" s="149">
        <f t="shared" si="137"/>
        <v>1</v>
      </c>
      <c r="J684" s="149">
        <f t="shared" si="137"/>
        <v>1</v>
      </c>
      <c r="K684" s="149">
        <f t="shared" si="137"/>
        <v>1</v>
      </c>
      <c r="L684" s="149">
        <f t="shared" si="137"/>
        <v>1</v>
      </c>
      <c r="M684" s="149">
        <f t="shared" si="137"/>
        <v>1</v>
      </c>
      <c r="N684" s="149">
        <f t="shared" si="137"/>
        <v>1</v>
      </c>
      <c r="O684" s="149">
        <f t="shared" si="137"/>
        <v>1</v>
      </c>
      <c r="P684" s="342"/>
    </row>
    <row r="685" spans="1:26" ht="15">
      <c r="B685" s="106"/>
      <c r="C685" s="336" t="str">
        <f t="shared" si="135"/>
        <v>NF</v>
      </c>
      <c r="D685" s="1039"/>
      <c r="E685" s="335"/>
      <c r="F685" s="149">
        <v>1</v>
      </c>
      <c r="G685" s="86">
        <f t="shared" si="137"/>
        <v>1</v>
      </c>
      <c r="H685" s="149">
        <f t="shared" si="137"/>
        <v>1</v>
      </c>
      <c r="I685" s="149">
        <f t="shared" si="137"/>
        <v>1</v>
      </c>
      <c r="J685" s="149">
        <f t="shared" si="137"/>
        <v>1</v>
      </c>
      <c r="K685" s="149">
        <f t="shared" si="137"/>
        <v>1</v>
      </c>
      <c r="L685" s="149">
        <f t="shared" si="137"/>
        <v>1</v>
      </c>
      <c r="M685" s="149">
        <f t="shared" si="137"/>
        <v>1</v>
      </c>
      <c r="N685" s="149">
        <f t="shared" si="137"/>
        <v>1</v>
      </c>
      <c r="O685" s="149">
        <f t="shared" si="137"/>
        <v>1</v>
      </c>
      <c r="P685" s="342"/>
    </row>
    <row r="686" spans="1:26" ht="15">
      <c r="B686" s="106"/>
      <c r="C686" s="336" t="str">
        <f t="shared" si="135"/>
        <v>NM</v>
      </c>
      <c r="D686" s="1039"/>
      <c r="E686" s="335"/>
      <c r="F686" s="149">
        <v>1</v>
      </c>
      <c r="G686" s="86">
        <f t="shared" si="137"/>
        <v>1</v>
      </c>
      <c r="H686" s="149">
        <f t="shared" si="137"/>
        <v>1</v>
      </c>
      <c r="I686" s="149">
        <f t="shared" si="137"/>
        <v>1</v>
      </c>
      <c r="J686" s="149">
        <f t="shared" si="137"/>
        <v>1</v>
      </c>
      <c r="K686" s="149">
        <f t="shared" si="137"/>
        <v>1</v>
      </c>
      <c r="L686" s="149">
        <f t="shared" si="137"/>
        <v>1</v>
      </c>
      <c r="M686" s="149">
        <f t="shared" si="137"/>
        <v>1</v>
      </c>
      <c r="N686" s="149">
        <f t="shared" si="137"/>
        <v>1</v>
      </c>
      <c r="O686" s="149">
        <f t="shared" si="137"/>
        <v>1</v>
      </c>
      <c r="P686" s="342"/>
    </row>
    <row r="687" spans="1:26" ht="15">
      <c r="B687" s="106"/>
      <c r="C687" s="336" t="str">
        <f t="shared" si="135"/>
        <v>FB</v>
      </c>
      <c r="D687" s="689"/>
      <c r="E687" s="185"/>
      <c r="F687" s="149">
        <v>1</v>
      </c>
      <c r="G687" s="86">
        <f t="shared" si="137"/>
        <v>1</v>
      </c>
      <c r="H687" s="149">
        <f t="shared" si="137"/>
        <v>1</v>
      </c>
      <c r="I687" s="149">
        <f t="shared" si="137"/>
        <v>1</v>
      </c>
      <c r="J687" s="149">
        <f t="shared" si="137"/>
        <v>1</v>
      </c>
      <c r="K687" s="149">
        <f t="shared" si="137"/>
        <v>1</v>
      </c>
      <c r="L687" s="149">
        <f t="shared" si="137"/>
        <v>1</v>
      </c>
      <c r="M687" s="149">
        <f t="shared" si="137"/>
        <v>1</v>
      </c>
      <c r="N687" s="149">
        <f t="shared" si="137"/>
        <v>1</v>
      </c>
      <c r="O687" s="149">
        <f t="shared" si="137"/>
        <v>1</v>
      </c>
      <c r="P687" s="342"/>
    </row>
    <row r="688" spans="1:26" ht="15">
      <c r="B688" s="106"/>
      <c r="C688" s="336" t="str">
        <f t="shared" si="135"/>
        <v>PP</v>
      </c>
      <c r="D688" s="689"/>
      <c r="E688" s="185"/>
      <c r="F688" s="189">
        <v>1</v>
      </c>
      <c r="G688" s="86">
        <f t="shared" si="137"/>
        <v>1</v>
      </c>
      <c r="H688" s="189">
        <f t="shared" si="137"/>
        <v>1</v>
      </c>
      <c r="I688" s="189">
        <f t="shared" si="137"/>
        <v>1</v>
      </c>
      <c r="J688" s="189">
        <f t="shared" si="137"/>
        <v>1</v>
      </c>
      <c r="K688" s="189">
        <f t="shared" si="137"/>
        <v>1</v>
      </c>
      <c r="L688" s="189">
        <f t="shared" si="137"/>
        <v>1</v>
      </c>
      <c r="M688" s="189">
        <f t="shared" si="137"/>
        <v>1</v>
      </c>
      <c r="N688" s="189">
        <f t="shared" si="137"/>
        <v>1</v>
      </c>
      <c r="O688" s="189">
        <f t="shared" si="137"/>
        <v>1</v>
      </c>
      <c r="P688" s="342"/>
    </row>
    <row r="689" spans="2:16" ht="15">
      <c r="B689" s="106"/>
      <c r="C689" s="336" t="str">
        <f t="shared" si="135"/>
        <v>OT</v>
      </c>
      <c r="D689" s="689"/>
      <c r="E689" s="185"/>
      <c r="F689" s="189">
        <v>1</v>
      </c>
      <c r="G689" s="86">
        <f t="shared" si="137"/>
        <v>1</v>
      </c>
      <c r="H689" s="189">
        <f t="shared" si="137"/>
        <v>1</v>
      </c>
      <c r="I689" s="189">
        <f t="shared" si="137"/>
        <v>1</v>
      </c>
      <c r="J689" s="189">
        <f t="shared" si="137"/>
        <v>1</v>
      </c>
      <c r="K689" s="189">
        <f t="shared" si="137"/>
        <v>1</v>
      </c>
      <c r="L689" s="189">
        <f t="shared" si="137"/>
        <v>1</v>
      </c>
      <c r="M689" s="189">
        <f t="shared" si="137"/>
        <v>1</v>
      </c>
      <c r="N689" s="189">
        <f t="shared" si="137"/>
        <v>1</v>
      </c>
      <c r="O689" s="189">
        <f t="shared" si="137"/>
        <v>1</v>
      </c>
      <c r="P689" s="342"/>
    </row>
    <row r="690" spans="2:16" ht="15">
      <c r="B690" s="106"/>
      <c r="C690" s="334"/>
      <c r="D690" s="688"/>
      <c r="E690" s="186"/>
      <c r="F690" s="190"/>
      <c r="G690" s="191"/>
      <c r="H690" s="190"/>
      <c r="I690" s="190"/>
      <c r="J690" s="190"/>
      <c r="K690" s="190"/>
      <c r="L690" s="190"/>
      <c r="M690" s="190"/>
      <c r="N690" s="190"/>
      <c r="O690" s="190"/>
      <c r="P690" s="342"/>
    </row>
    <row r="691" spans="2:16">
      <c r="B691" s="341"/>
      <c r="C691" s="338"/>
      <c r="D691" s="687"/>
      <c r="E691" s="338"/>
      <c r="F691" s="188"/>
      <c r="G691" s="188"/>
      <c r="H691" s="188"/>
      <c r="I691" s="188"/>
      <c r="J691" s="188"/>
      <c r="K691" s="188"/>
      <c r="L691" s="188"/>
      <c r="M691" s="188"/>
      <c r="N691" s="188"/>
      <c r="O691" s="188"/>
      <c r="P691" s="342"/>
    </row>
    <row r="692" spans="2:16">
      <c r="B692" s="845" t="s">
        <v>2483</v>
      </c>
      <c r="C692" s="748" t="s">
        <v>739</v>
      </c>
      <c r="D692" s="687"/>
      <c r="E692" s="338"/>
      <c r="F692" s="338"/>
      <c r="G692" s="338"/>
      <c r="H692" s="338"/>
      <c r="I692" s="338"/>
      <c r="J692" s="338"/>
      <c r="K692" s="338"/>
      <c r="L692" s="338"/>
      <c r="M692" s="338"/>
      <c r="N692" s="338"/>
      <c r="O692" s="78" t="s">
        <v>740</v>
      </c>
      <c r="P692" s="342"/>
    </row>
    <row r="693" spans="2:16">
      <c r="B693" s="845"/>
      <c r="C693" s="338"/>
      <c r="D693" s="687"/>
      <c r="E693" s="338"/>
      <c r="F693" s="338"/>
      <c r="G693" s="338"/>
      <c r="H693" s="338"/>
      <c r="I693" s="338"/>
      <c r="J693" s="338"/>
      <c r="K693" s="338"/>
      <c r="L693" s="338"/>
      <c r="M693" s="338"/>
      <c r="N693" s="338"/>
      <c r="O693" s="338"/>
      <c r="P693" s="342"/>
    </row>
    <row r="694" spans="2:16" ht="15">
      <c r="B694" s="106"/>
      <c r="C694" s="61" t="s">
        <v>32</v>
      </c>
      <c r="D694" s="690" t="s">
        <v>59</v>
      </c>
      <c r="E694" s="61"/>
      <c r="F694" s="162">
        <f>Base_Year</f>
        <v>2006</v>
      </c>
      <c r="G694" s="94">
        <v>2010</v>
      </c>
      <c r="H694" s="93">
        <v>2015</v>
      </c>
      <c r="I694" s="93">
        <v>2020</v>
      </c>
      <c r="J694" s="93">
        <v>2025</v>
      </c>
      <c r="K694" s="93">
        <v>2030</v>
      </c>
      <c r="L694" s="93">
        <v>2035</v>
      </c>
      <c r="M694" s="93">
        <v>2040</v>
      </c>
      <c r="N694" s="93">
        <v>2045</v>
      </c>
      <c r="O694" s="93">
        <v>2050</v>
      </c>
      <c r="P694" s="342"/>
    </row>
    <row r="695" spans="2:16" ht="15">
      <c r="B695" s="106"/>
      <c r="C695" s="336" t="str">
        <f t="shared" ref="C695:C702" si="138">C20</f>
        <v>MI</v>
      </c>
      <c r="D695" s="1039"/>
      <c r="E695" s="335"/>
      <c r="F695" s="149">
        <v>1</v>
      </c>
      <c r="G695" s="86">
        <v>1</v>
      </c>
      <c r="H695" s="149">
        <v>1</v>
      </c>
      <c r="I695" s="149">
        <v>1</v>
      </c>
      <c r="J695" s="149">
        <v>1</v>
      </c>
      <c r="K695" s="149">
        <v>1</v>
      </c>
      <c r="L695" s="149">
        <v>1</v>
      </c>
      <c r="M695" s="149">
        <v>1</v>
      </c>
      <c r="N695" s="149">
        <v>1</v>
      </c>
      <c r="O695" s="149">
        <v>1</v>
      </c>
      <c r="P695" s="342"/>
    </row>
    <row r="696" spans="2:16" ht="15">
      <c r="B696" s="106"/>
      <c r="C696" s="336" t="str">
        <f t="shared" si="138"/>
        <v>IS</v>
      </c>
      <c r="D696" s="1039"/>
      <c r="E696" s="335"/>
      <c r="F696" s="149">
        <v>1</v>
      </c>
      <c r="G696" s="86">
        <v>1</v>
      </c>
      <c r="H696" s="149">
        <v>1</v>
      </c>
      <c r="I696" s="149">
        <v>1</v>
      </c>
      <c r="J696" s="149">
        <v>1</v>
      </c>
      <c r="K696" s="149">
        <v>1</v>
      </c>
      <c r="L696" s="149">
        <v>1</v>
      </c>
      <c r="M696" s="149">
        <v>1</v>
      </c>
      <c r="N696" s="149">
        <v>1</v>
      </c>
      <c r="O696" s="149">
        <v>1</v>
      </c>
      <c r="P696" s="342"/>
    </row>
    <row r="697" spans="2:16" ht="15">
      <c r="B697" s="106"/>
      <c r="C697" s="336" t="str">
        <f t="shared" si="138"/>
        <v>CP</v>
      </c>
      <c r="D697" s="1039"/>
      <c r="E697" s="335"/>
      <c r="F697" s="149">
        <v>1</v>
      </c>
      <c r="G697" s="86">
        <v>1</v>
      </c>
      <c r="H697" s="149">
        <v>1</v>
      </c>
      <c r="I697" s="149">
        <v>1</v>
      </c>
      <c r="J697" s="149">
        <v>1</v>
      </c>
      <c r="K697" s="149">
        <v>1</v>
      </c>
      <c r="L697" s="149">
        <v>1</v>
      </c>
      <c r="M697" s="149">
        <v>1</v>
      </c>
      <c r="N697" s="149">
        <v>1</v>
      </c>
      <c r="O697" s="149">
        <v>1</v>
      </c>
      <c r="P697" s="342"/>
    </row>
    <row r="698" spans="2:16" ht="15">
      <c r="B698" s="106"/>
      <c r="C698" s="336" t="str">
        <f t="shared" si="138"/>
        <v>NF</v>
      </c>
      <c r="D698" s="1039"/>
      <c r="E698" s="335"/>
      <c r="F698" s="149">
        <v>1</v>
      </c>
      <c r="G698" s="86">
        <v>1</v>
      </c>
      <c r="H698" s="149">
        <v>1</v>
      </c>
      <c r="I698" s="149">
        <v>1</v>
      </c>
      <c r="J698" s="149">
        <v>1</v>
      </c>
      <c r="K698" s="149">
        <v>1</v>
      </c>
      <c r="L698" s="149">
        <v>1</v>
      </c>
      <c r="M698" s="149">
        <v>1</v>
      </c>
      <c r="N698" s="149">
        <v>1</v>
      </c>
      <c r="O698" s="149">
        <v>1</v>
      </c>
      <c r="P698" s="342"/>
    </row>
    <row r="699" spans="2:16" ht="15">
      <c r="B699" s="106"/>
      <c r="C699" s="336" t="str">
        <f t="shared" si="138"/>
        <v>NM</v>
      </c>
      <c r="D699" s="1039"/>
      <c r="E699" s="335"/>
      <c r="F699" s="149">
        <v>1</v>
      </c>
      <c r="G699" s="86">
        <v>1</v>
      </c>
      <c r="H699" s="149">
        <v>1</v>
      </c>
      <c r="I699" s="149">
        <v>1</v>
      </c>
      <c r="J699" s="149">
        <v>1</v>
      </c>
      <c r="K699" s="149">
        <v>1</v>
      </c>
      <c r="L699" s="149">
        <v>1</v>
      </c>
      <c r="M699" s="149">
        <v>1</v>
      </c>
      <c r="N699" s="149">
        <v>1</v>
      </c>
      <c r="O699" s="149">
        <v>1</v>
      </c>
      <c r="P699" s="342"/>
    </row>
    <row r="700" spans="2:16" ht="15">
      <c r="B700" s="106"/>
      <c r="C700" s="336" t="str">
        <f t="shared" si="138"/>
        <v>FB</v>
      </c>
      <c r="D700" s="1039"/>
      <c r="E700" s="335"/>
      <c r="F700" s="149">
        <v>1</v>
      </c>
      <c r="G700" s="86">
        <v>1</v>
      </c>
      <c r="H700" s="149">
        <v>1</v>
      </c>
      <c r="I700" s="149">
        <v>1</v>
      </c>
      <c r="J700" s="149">
        <v>1</v>
      </c>
      <c r="K700" s="149">
        <v>1</v>
      </c>
      <c r="L700" s="149">
        <v>1</v>
      </c>
      <c r="M700" s="149">
        <v>1</v>
      </c>
      <c r="N700" s="149">
        <v>1</v>
      </c>
      <c r="O700" s="149">
        <v>1</v>
      </c>
      <c r="P700" s="342"/>
    </row>
    <row r="701" spans="2:16" ht="15">
      <c r="B701" s="106"/>
      <c r="C701" s="336" t="str">
        <f t="shared" si="138"/>
        <v>PP</v>
      </c>
      <c r="D701" s="1039"/>
      <c r="E701" s="335"/>
      <c r="F701" s="149">
        <v>1</v>
      </c>
      <c r="G701" s="86">
        <v>1</v>
      </c>
      <c r="H701" s="149">
        <v>1</v>
      </c>
      <c r="I701" s="149">
        <v>1</v>
      </c>
      <c r="J701" s="149">
        <v>1</v>
      </c>
      <c r="K701" s="149">
        <v>1</v>
      </c>
      <c r="L701" s="149">
        <v>1</v>
      </c>
      <c r="M701" s="149">
        <v>1</v>
      </c>
      <c r="N701" s="149">
        <v>1</v>
      </c>
      <c r="O701" s="149">
        <v>1</v>
      </c>
      <c r="P701" s="342"/>
    </row>
    <row r="702" spans="2:16" ht="15">
      <c r="B702" s="106"/>
      <c r="C702" s="336" t="str">
        <f t="shared" si="138"/>
        <v>OT</v>
      </c>
      <c r="D702" s="689"/>
      <c r="E702" s="185"/>
      <c r="F702" s="149">
        <v>1</v>
      </c>
      <c r="G702" s="86">
        <v>1</v>
      </c>
      <c r="H702" s="149">
        <v>1</v>
      </c>
      <c r="I702" s="149">
        <v>1</v>
      </c>
      <c r="J702" s="149">
        <v>1</v>
      </c>
      <c r="K702" s="149">
        <v>1</v>
      </c>
      <c r="L702" s="149">
        <v>1</v>
      </c>
      <c r="M702" s="149">
        <v>1</v>
      </c>
      <c r="N702" s="149">
        <v>1</v>
      </c>
      <c r="O702" s="149">
        <v>1</v>
      </c>
      <c r="P702" s="342"/>
    </row>
    <row r="703" spans="2:16" ht="15">
      <c r="B703" s="106"/>
      <c r="C703" s="334"/>
      <c r="D703" s="688"/>
      <c r="E703" s="186"/>
      <c r="F703" s="190"/>
      <c r="G703" s="191"/>
      <c r="H703" s="190"/>
      <c r="I703" s="190"/>
      <c r="J703" s="190"/>
      <c r="K703" s="190"/>
      <c r="L703" s="190"/>
      <c r="M703" s="190"/>
      <c r="N703" s="190"/>
      <c r="O703" s="190"/>
      <c r="P703" s="342"/>
    </row>
    <row r="704" spans="2:16">
      <c r="B704" s="341"/>
      <c r="C704" s="338"/>
      <c r="D704" s="687"/>
      <c r="E704" s="338"/>
      <c r="F704" s="188"/>
      <c r="G704" s="188"/>
      <c r="H704" s="188"/>
      <c r="I704" s="188"/>
      <c r="J704" s="188"/>
      <c r="K704" s="188"/>
      <c r="L704" s="188"/>
      <c r="M704" s="188"/>
      <c r="N704" s="188"/>
      <c r="O704" s="188"/>
      <c r="P704" s="342"/>
    </row>
    <row r="705" spans="1:23">
      <c r="B705" s="845" t="s">
        <v>2484</v>
      </c>
      <c r="C705" s="748" t="s">
        <v>689</v>
      </c>
      <c r="D705" s="687"/>
      <c r="E705" s="145"/>
      <c r="F705" s="338"/>
      <c r="G705" s="338"/>
      <c r="H705" s="338"/>
      <c r="I705" s="78" t="str">
        <f>Preferences.moneyunits&amp;" per % of base year production"</f>
        <v>$2010 per % of base year production</v>
      </c>
      <c r="J705" s="338"/>
      <c r="K705" s="338"/>
      <c r="L705" s="338"/>
      <c r="M705" s="338"/>
      <c r="N705" s="338"/>
      <c r="O705" s="338"/>
      <c r="P705" s="342"/>
    </row>
    <row r="706" spans="1:23">
      <c r="B706" s="341"/>
      <c r="C706" s="338"/>
      <c r="D706" s="687"/>
      <c r="E706" s="338"/>
      <c r="F706" s="338"/>
      <c r="G706" s="338"/>
      <c r="H706" s="338" t="s">
        <v>450</v>
      </c>
      <c r="I706" s="338"/>
      <c r="J706" s="338"/>
      <c r="K706" s="338"/>
      <c r="L706" s="338"/>
      <c r="M706" s="338"/>
      <c r="N706" s="338"/>
      <c r="O706" s="338"/>
      <c r="P706" s="342"/>
    </row>
    <row r="707" spans="1:23" ht="15">
      <c r="B707" s="106"/>
      <c r="C707" s="61" t="s">
        <v>32</v>
      </c>
      <c r="D707" s="690" t="s">
        <v>59</v>
      </c>
      <c r="E707" s="61"/>
      <c r="F707" s="61" t="s">
        <v>683</v>
      </c>
      <c r="G707" s="61" t="s">
        <v>684</v>
      </c>
      <c r="H707" s="61" t="s">
        <v>683</v>
      </c>
      <c r="I707" s="61" t="s">
        <v>684</v>
      </c>
      <c r="J707" s="338"/>
      <c r="K707" s="338"/>
      <c r="L707" s="338"/>
      <c r="M707" s="338"/>
      <c r="N707" s="338"/>
      <c r="O707" s="338"/>
      <c r="P707" s="342"/>
    </row>
    <row r="708" spans="1:23" ht="15">
      <c r="B708" s="106"/>
      <c r="C708" s="336" t="str">
        <f t="shared" ref="C708:C715" si="139">C20</f>
        <v>MI</v>
      </c>
      <c r="D708" s="1039"/>
      <c r="E708" s="335"/>
      <c r="F708" s="1040"/>
      <c r="G708" s="184"/>
      <c r="H708" s="1040"/>
      <c r="I708" s="184"/>
      <c r="J708" s="338"/>
      <c r="K708" s="338"/>
      <c r="L708" s="338"/>
      <c r="M708" s="338"/>
      <c r="N708" s="338"/>
      <c r="O708" s="338"/>
      <c r="P708" s="342"/>
    </row>
    <row r="709" spans="1:23" ht="15">
      <c r="B709" s="106"/>
      <c r="C709" s="336" t="str">
        <f t="shared" si="139"/>
        <v>IS</v>
      </c>
      <c r="D709" s="1039"/>
      <c r="E709" s="335"/>
      <c r="F709" s="1040"/>
      <c r="G709" s="184"/>
      <c r="H709" s="1040"/>
      <c r="I709" s="184"/>
      <c r="J709" s="338"/>
      <c r="K709" s="338"/>
      <c r="L709" s="338"/>
      <c r="M709" s="338"/>
      <c r="N709" s="338"/>
      <c r="O709" s="338"/>
      <c r="P709" s="342"/>
    </row>
    <row r="710" spans="1:23" ht="15">
      <c r="B710" s="106"/>
      <c r="C710" s="336" t="str">
        <f t="shared" si="139"/>
        <v>CP</v>
      </c>
      <c r="D710" s="1039"/>
      <c r="E710" s="335"/>
      <c r="F710" s="1040"/>
      <c r="G710" s="184"/>
      <c r="H710" s="1040"/>
      <c r="I710" s="184"/>
      <c r="J710" s="338"/>
      <c r="K710" s="338"/>
      <c r="L710" s="338"/>
      <c r="M710" s="338"/>
      <c r="N710" s="338"/>
      <c r="O710" s="338"/>
      <c r="P710" s="342"/>
    </row>
    <row r="711" spans="1:23" ht="15">
      <c r="B711" s="106"/>
      <c r="C711" s="336" t="str">
        <f t="shared" si="139"/>
        <v>NF</v>
      </c>
      <c r="D711" s="1039"/>
      <c r="E711" s="335"/>
      <c r="F711" s="1040"/>
      <c r="G711" s="184"/>
      <c r="H711" s="1040"/>
      <c r="I711" s="184"/>
      <c r="J711" s="338"/>
      <c r="K711" s="338"/>
      <c r="L711" s="338"/>
      <c r="M711" s="338"/>
      <c r="N711" s="338"/>
      <c r="O711" s="338"/>
      <c r="P711" s="342"/>
    </row>
    <row r="712" spans="1:23" ht="15">
      <c r="B712" s="106"/>
      <c r="C712" s="336" t="str">
        <f t="shared" si="139"/>
        <v>NM</v>
      </c>
      <c r="D712" s="1039"/>
      <c r="E712" s="335"/>
      <c r="F712" s="1040"/>
      <c r="G712" s="184"/>
      <c r="H712" s="1040"/>
      <c r="I712" s="184"/>
      <c r="J712" s="338"/>
      <c r="K712" s="338"/>
      <c r="L712" s="338"/>
      <c r="M712" s="338"/>
      <c r="N712" s="338"/>
      <c r="O712" s="338"/>
      <c r="P712" s="342"/>
    </row>
    <row r="713" spans="1:23" ht="15">
      <c r="B713" s="106"/>
      <c r="C713" s="336" t="str">
        <f t="shared" si="139"/>
        <v>FB</v>
      </c>
      <c r="D713" s="1039"/>
      <c r="E713" s="335"/>
      <c r="F713" s="1040"/>
      <c r="G713" s="184"/>
      <c r="H713" s="1040"/>
      <c r="I713" s="184"/>
      <c r="J713" s="338"/>
      <c r="K713" s="338"/>
      <c r="L713" s="338"/>
      <c r="M713" s="338"/>
      <c r="N713" s="338"/>
      <c r="O713" s="338"/>
      <c r="P713" s="342"/>
    </row>
    <row r="714" spans="1:23" ht="15">
      <c r="B714" s="106"/>
      <c r="C714" s="336" t="str">
        <f t="shared" si="139"/>
        <v>PP</v>
      </c>
      <c r="D714" s="689"/>
      <c r="E714" s="185"/>
      <c r="F714" s="384"/>
      <c r="G714" s="88"/>
      <c r="H714" s="384"/>
      <c r="I714" s="88"/>
      <c r="J714" s="338"/>
      <c r="K714" s="338"/>
      <c r="L714" s="338"/>
      <c r="M714" s="338"/>
      <c r="N714" s="338"/>
      <c r="O714" s="338"/>
      <c r="P714" s="342"/>
    </row>
    <row r="715" spans="1:23" ht="15">
      <c r="B715" s="106"/>
      <c r="C715" s="336" t="str">
        <f t="shared" si="139"/>
        <v>OT</v>
      </c>
      <c r="D715" s="689"/>
      <c r="E715" s="185"/>
      <c r="F715" s="384"/>
      <c r="G715" s="89"/>
      <c r="H715" s="384"/>
      <c r="I715" s="89"/>
      <c r="J715" s="338"/>
      <c r="K715" s="338"/>
      <c r="L715" s="338"/>
      <c r="M715" s="338"/>
      <c r="N715" s="338"/>
      <c r="O715" s="338"/>
      <c r="P715" s="342"/>
    </row>
    <row r="716" spans="1:23" ht="15">
      <c r="B716" s="106"/>
      <c r="C716" s="334"/>
      <c r="D716" s="688"/>
      <c r="E716" s="186"/>
      <c r="F716" s="385"/>
      <c r="G716" s="295"/>
      <c r="H716" s="385"/>
      <c r="I716" s="295"/>
      <c r="J716" s="338"/>
      <c r="K716" s="338"/>
      <c r="L716" s="338"/>
      <c r="M716" s="338"/>
      <c r="N716" s="338"/>
      <c r="O716" s="338"/>
      <c r="P716" s="292"/>
    </row>
    <row r="717" spans="1:23">
      <c r="B717" s="341"/>
      <c r="C717" s="338"/>
      <c r="D717" s="687"/>
      <c r="E717" s="338"/>
      <c r="F717" s="338"/>
      <c r="G717" s="338"/>
      <c r="H717" s="338"/>
      <c r="I717" s="338"/>
      <c r="J717" s="338"/>
      <c r="K717" s="338"/>
      <c r="L717" s="338"/>
      <c r="M717" s="338"/>
      <c r="N717" s="338"/>
      <c r="O717" s="338"/>
      <c r="P717" s="342"/>
    </row>
    <row r="718" spans="1:23">
      <c r="B718" s="108"/>
      <c r="C718" s="109"/>
      <c r="D718" s="686"/>
      <c r="E718" s="109"/>
      <c r="F718" s="109"/>
      <c r="G718" s="109"/>
      <c r="H718" s="109"/>
      <c r="I718" s="109"/>
      <c r="J718" s="109"/>
      <c r="K718" s="109"/>
      <c r="L718" s="109"/>
      <c r="M718" s="109"/>
      <c r="N718" s="109"/>
      <c r="O718" s="109"/>
      <c r="P718" s="110"/>
    </row>
    <row r="719" spans="1:23">
      <c r="R719" s="19"/>
      <c r="S719" s="19"/>
      <c r="T719" s="19"/>
      <c r="U719" s="19"/>
      <c r="V719" s="19"/>
      <c r="W719" s="19"/>
    </row>
    <row r="720" spans="1:23" ht="17" collapsed="1">
      <c r="A720" s="62"/>
      <c r="B720" s="1296" t="s">
        <v>237</v>
      </c>
      <c r="C720" s="165"/>
      <c r="D720" s="1297"/>
      <c r="R720" s="19"/>
      <c r="S720" s="19"/>
      <c r="T720" s="19"/>
      <c r="U720" s="19"/>
      <c r="V720" s="19"/>
      <c r="W720" s="19"/>
    </row>
    <row r="721" spans="1:19" s="19" customFormat="1">
      <c r="B721" s="1298">
        <v>1</v>
      </c>
      <c r="C721" s="165" t="s">
        <v>419</v>
      </c>
      <c r="D721" s="1299"/>
    </row>
    <row r="722" spans="1:19" s="19" customFormat="1">
      <c r="B722" s="525" t="s">
        <v>1841</v>
      </c>
      <c r="C722" s="165" t="s">
        <v>1342</v>
      </c>
      <c r="D722" s="1299"/>
    </row>
    <row r="723" spans="1:19" s="19" customFormat="1">
      <c r="B723" s="525" t="s">
        <v>1842</v>
      </c>
      <c r="C723" s="165" t="s">
        <v>1341</v>
      </c>
      <c r="D723" s="1299"/>
    </row>
    <row r="724" spans="1:19" s="19" customFormat="1">
      <c r="B724" s="525" t="s">
        <v>1313</v>
      </c>
      <c r="C724" s="165" t="s">
        <v>1340</v>
      </c>
      <c r="D724" s="1299"/>
    </row>
    <row r="725" spans="1:19" s="19" customFormat="1">
      <c r="B725" s="525" t="s">
        <v>474</v>
      </c>
      <c r="C725" s="165" t="s">
        <v>1339</v>
      </c>
      <c r="D725" s="1299"/>
    </row>
    <row r="726" spans="1:19" s="19" customFormat="1">
      <c r="B726" s="1298">
        <v>2</v>
      </c>
      <c r="C726" s="165" t="s">
        <v>370</v>
      </c>
      <c r="D726" s="1299"/>
    </row>
    <row r="727" spans="1:19" s="19" customFormat="1">
      <c r="B727" s="1298">
        <v>3</v>
      </c>
      <c r="C727" s="165" t="s">
        <v>375</v>
      </c>
      <c r="D727" s="1299"/>
    </row>
    <row r="728" spans="1:19" s="19" customFormat="1">
      <c r="B728" s="1298">
        <v>4</v>
      </c>
      <c r="C728" s="165" t="s">
        <v>2270</v>
      </c>
      <c r="D728" s="644"/>
    </row>
    <row r="729" spans="1:19" s="1438" customFormat="1">
      <c r="B729" s="1298"/>
      <c r="C729" s="165"/>
      <c r="D729" s="644"/>
    </row>
    <row r="730" spans="1:19" s="19" customFormat="1" ht="14">
      <c r="B730" s="1298" t="s">
        <v>1869</v>
      </c>
      <c r="C730" s="1086"/>
      <c r="D730" s="644"/>
      <c r="E730" s="76" t="str">
        <f>Preferences.EnergyUnits</f>
        <v>PJ</v>
      </c>
      <c r="F730" s="685">
        <f>Base_Year</f>
        <v>2006</v>
      </c>
      <c r="G730" s="685">
        <v>2010</v>
      </c>
      <c r="H730" s="685">
        <v>2015</v>
      </c>
      <c r="I730" s="685">
        <v>2020</v>
      </c>
      <c r="J730" s="685">
        <v>2025</v>
      </c>
      <c r="K730" s="685">
        <v>2030</v>
      </c>
      <c r="L730" s="685">
        <v>2035</v>
      </c>
      <c r="M730" s="685">
        <v>2040</v>
      </c>
      <c r="N730" s="685">
        <v>2045</v>
      </c>
      <c r="O730" s="685">
        <v>2050</v>
      </c>
    </row>
    <row r="731" spans="1:19" s="19" customFormat="1">
      <c r="A731" s="683" t="s">
        <v>2227</v>
      </c>
      <c r="C731" s="348" t="s">
        <v>1338</v>
      </c>
      <c r="D731" s="1086"/>
      <c r="E731" s="1086"/>
      <c r="F731" s="100" t="s">
        <v>2229</v>
      </c>
      <c r="G731" s="22"/>
      <c r="H731" s="22"/>
      <c r="I731" s="22"/>
      <c r="J731" s="22"/>
      <c r="K731" s="22"/>
      <c r="L731" s="22"/>
      <c r="M731" s="22"/>
      <c r="N731" s="22"/>
      <c r="O731" s="22"/>
    </row>
    <row r="732" spans="1:19" s="19" customFormat="1">
      <c r="A732" s="683" t="s">
        <v>2228</v>
      </c>
      <c r="B732" s="348"/>
      <c r="D732" s="1086"/>
      <c r="G732" s="22"/>
      <c r="H732" s="22"/>
      <c r="I732" s="22"/>
      <c r="J732" s="22"/>
      <c r="K732" s="22"/>
      <c r="L732" s="22"/>
      <c r="M732" s="22"/>
      <c r="N732" s="22"/>
      <c r="O732" s="22"/>
    </row>
    <row r="733" spans="1:19" s="19" customFormat="1">
      <c r="A733" s="1086" t="str">
        <f t="shared" ref="A733:A740" si="140">C20</f>
        <v>MI</v>
      </c>
      <c r="B733" s="347" t="str">
        <f>INDEX(EF[UK Vector],MATCH(D733,EF[SATIM Code],0))</f>
        <v>V.01</v>
      </c>
      <c r="C733" s="19" t="str">
        <f>INDEX(Vectors[Description], MATCH($B733, Vectors[Code], 0))</f>
        <v>Electricity (delivered to end user)</v>
      </c>
      <c r="D733" s="656" t="s">
        <v>879</v>
      </c>
      <c r="E733" s="19" t="str">
        <f t="shared" ref="E733:E740" si="141">D20</f>
        <v>Mining SIC2</v>
      </c>
      <c r="F733" s="22">
        <f>$F450*F421</f>
        <v>117.56357913599999</v>
      </c>
      <c r="G733" s="22">
        <f t="shared" ref="G733:O733" si="142">$F450*G421</f>
        <v>138.13532507363041</v>
      </c>
      <c r="H733" s="22">
        <f t="shared" si="142"/>
        <v>169.55617251880184</v>
      </c>
      <c r="I733" s="22">
        <f t="shared" si="142"/>
        <v>210.87558573374207</v>
      </c>
      <c r="J733" s="22">
        <f t="shared" si="142"/>
        <v>264.50584520274515</v>
      </c>
      <c r="K733" s="22">
        <f t="shared" si="142"/>
        <v>334.59333250522059</v>
      </c>
      <c r="L733" s="22">
        <f t="shared" si="142"/>
        <v>423.29815078513701</v>
      </c>
      <c r="M733" s="22">
        <f t="shared" si="142"/>
        <v>524.944629304675</v>
      </c>
      <c r="N733" s="22">
        <f t="shared" si="142"/>
        <v>633.60719439932757</v>
      </c>
      <c r="O733" s="22">
        <f t="shared" si="142"/>
        <v>753.9409160591207</v>
      </c>
    </row>
    <row r="734" spans="1:19" s="19" customFormat="1">
      <c r="A734" s="1456" t="str">
        <f t="shared" si="140"/>
        <v>IS</v>
      </c>
      <c r="B734" s="347" t="str">
        <f>INDEX(EF[UK Vector],MATCH(D734,EF[SATIM Code],0))</f>
        <v>V.01</v>
      </c>
      <c r="C734" s="19" t="str">
        <f>INDEX(Vectors[Description], MATCH($B734, Vectors[Code], 0))</f>
        <v>Electricity (delivered to end user)</v>
      </c>
      <c r="D734" s="656" t="s">
        <v>879</v>
      </c>
      <c r="E734" s="1438" t="str">
        <f t="shared" si="141"/>
        <v>Iron  &amp; Steel  - 351</v>
      </c>
      <c r="F734" s="22">
        <f t="shared" ref="F734:O734" si="143">$F451*F422</f>
        <v>99.525273120000023</v>
      </c>
      <c r="G734" s="22">
        <f t="shared" si="143"/>
        <v>115.2558662408609</v>
      </c>
      <c r="H734" s="22">
        <f t="shared" si="143"/>
        <v>144.83493169016469</v>
      </c>
      <c r="I734" s="22">
        <f t="shared" si="143"/>
        <v>183.04429672929251</v>
      </c>
      <c r="J734" s="22">
        <f t="shared" si="143"/>
        <v>230.02011906586677</v>
      </c>
      <c r="K734" s="22">
        <f t="shared" si="143"/>
        <v>289.04567395177418</v>
      </c>
      <c r="L734" s="22">
        <f t="shared" si="143"/>
        <v>355.38255853352081</v>
      </c>
      <c r="M734" s="22">
        <f t="shared" si="143"/>
        <v>429.33435446053994</v>
      </c>
      <c r="N734" s="22">
        <f t="shared" si="143"/>
        <v>506.45567277627094</v>
      </c>
      <c r="O734" s="22">
        <f t="shared" si="143"/>
        <v>593.32304897381698</v>
      </c>
      <c r="S734" s="1438"/>
    </row>
    <row r="735" spans="1:19" s="19" customFormat="1">
      <c r="A735" s="1456" t="str">
        <f t="shared" si="140"/>
        <v>CP</v>
      </c>
      <c r="B735" s="347" t="str">
        <f>INDEX(EF[UK Vector],MATCH(D735,EF[SATIM Code],0))</f>
        <v>V.01</v>
      </c>
      <c r="C735" s="19" t="str">
        <f>INDEX(Vectors[Description], MATCH($B735, Vectors[Code], 0))</f>
        <v>Electricity (delivered to end user)</v>
      </c>
      <c r="D735" s="656" t="s">
        <v>879</v>
      </c>
      <c r="E735" s="1438" t="str">
        <f t="shared" si="141"/>
        <v>Chemicals  -33</v>
      </c>
      <c r="F735" s="22">
        <f t="shared" ref="F735:O735" si="144">$F452*F423</f>
        <v>35.355234816000007</v>
      </c>
      <c r="G735" s="22">
        <f t="shared" si="144"/>
        <v>40.353331539562092</v>
      </c>
      <c r="H735" s="22">
        <f t="shared" si="144"/>
        <v>44.303425630378968</v>
      </c>
      <c r="I735" s="22">
        <f t="shared" si="144"/>
        <v>48.939377743403767</v>
      </c>
      <c r="J735" s="22">
        <f t="shared" si="144"/>
        <v>54.073566407463872</v>
      </c>
      <c r="K735" s="22">
        <f t="shared" si="144"/>
        <v>60.897273930364406</v>
      </c>
      <c r="L735" s="22">
        <f t="shared" si="144"/>
        <v>72.886559034641294</v>
      </c>
      <c r="M735" s="22">
        <f t="shared" si="144"/>
        <v>85.910032236383913</v>
      </c>
      <c r="N735" s="22">
        <f t="shared" si="144"/>
        <v>99.178388721841245</v>
      </c>
      <c r="O735" s="22">
        <f t="shared" si="144"/>
        <v>110.52800729875909</v>
      </c>
      <c r="S735" s="1438"/>
    </row>
    <row r="736" spans="1:19" s="19" customFormat="1">
      <c r="A736" s="1456" t="str">
        <f t="shared" si="140"/>
        <v>NF</v>
      </c>
      <c r="B736" s="347" t="str">
        <f>INDEX(EF[UK Vector],MATCH(D736,EF[SATIM Code],0))</f>
        <v>V.01</v>
      </c>
      <c r="C736" s="19" t="str">
        <f>INDEX(Vectors[Description], MATCH($B736, Vectors[Code], 0))</f>
        <v>Electricity (delivered to end user)</v>
      </c>
      <c r="D736" s="656" t="s">
        <v>879</v>
      </c>
      <c r="E736" s="1438" t="str">
        <f t="shared" si="141"/>
        <v>Non-Ferrous metals  - 352</v>
      </c>
      <c r="F736" s="22">
        <f t="shared" ref="F736:O736" si="145">$F453*F424</f>
        <v>74.683578527999998</v>
      </c>
      <c r="G736" s="22">
        <f t="shared" si="145"/>
        <v>86.560540271252037</v>
      </c>
      <c r="H736" s="22">
        <f t="shared" si="145"/>
        <v>104.47693160833681</v>
      </c>
      <c r="I736" s="22">
        <f t="shared" si="145"/>
        <v>128.93316216853773</v>
      </c>
      <c r="J736" s="22">
        <f t="shared" si="145"/>
        <v>155.30825003245346</v>
      </c>
      <c r="K736" s="22">
        <f t="shared" si="145"/>
        <v>189.05808116629748</v>
      </c>
      <c r="L736" s="22">
        <f t="shared" si="145"/>
        <v>230.66253522773121</v>
      </c>
      <c r="M736" s="22">
        <f t="shared" si="145"/>
        <v>276.6994517278967</v>
      </c>
      <c r="N736" s="22">
        <f t="shared" si="145"/>
        <v>324.38937825630046</v>
      </c>
      <c r="O736" s="22">
        <f t="shared" si="145"/>
        <v>374.20245311734794</v>
      </c>
      <c r="S736" s="1438"/>
    </row>
    <row r="737" spans="1:19" s="19" customFormat="1">
      <c r="A737" s="1456" t="str">
        <f t="shared" si="140"/>
        <v>NM</v>
      </c>
      <c r="B737" s="347" t="str">
        <f>INDEX(EF[UK Vector],MATCH(D737,EF[SATIM Code],0))</f>
        <v>V.01</v>
      </c>
      <c r="C737" s="19" t="str">
        <f>INDEX(Vectors[Description], MATCH($B737, Vectors[Code], 0))</f>
        <v>Electricity (delivered to end user)</v>
      </c>
      <c r="D737" s="656" t="s">
        <v>879</v>
      </c>
      <c r="E737" s="1438" t="str">
        <f t="shared" si="141"/>
        <v>N.M.M Products  -34</v>
      </c>
      <c r="F737" s="22">
        <f t="shared" ref="F737:O737" si="146">$F454*F425</f>
        <v>24.031958400000008</v>
      </c>
      <c r="G737" s="22">
        <f t="shared" si="146"/>
        <v>28.317831006958727</v>
      </c>
      <c r="H737" s="22">
        <f t="shared" si="146"/>
        <v>34.559137888717132</v>
      </c>
      <c r="I737" s="22">
        <f t="shared" si="146"/>
        <v>42.451890827804995</v>
      </c>
      <c r="J737" s="22">
        <f t="shared" si="146"/>
        <v>52.421949982693185</v>
      </c>
      <c r="K737" s="22">
        <f t="shared" si="146"/>
        <v>65.25631009958073</v>
      </c>
      <c r="L737" s="22">
        <f t="shared" si="146"/>
        <v>82.544884033994236</v>
      </c>
      <c r="M737" s="22">
        <f t="shared" si="146"/>
        <v>102.35308728073811</v>
      </c>
      <c r="N737" s="22">
        <f t="shared" si="146"/>
        <v>123.52593955718331</v>
      </c>
      <c r="O737" s="22">
        <f t="shared" si="146"/>
        <v>146.8339335327835</v>
      </c>
      <c r="S737" s="1438"/>
    </row>
    <row r="738" spans="1:19" s="19" customFormat="1">
      <c r="A738" s="1456" t="str">
        <f t="shared" si="140"/>
        <v>FB</v>
      </c>
      <c r="B738" s="347" t="str">
        <f>INDEX(EF[UK Vector],MATCH(D738,EF[SATIM Code],0))</f>
        <v>V.01</v>
      </c>
      <c r="C738" s="19" t="str">
        <f>INDEX(Vectors[Description], MATCH($B738, Vectors[Code], 0))</f>
        <v>Electricity (delivered to end user)</v>
      </c>
      <c r="D738" s="656" t="s">
        <v>879</v>
      </c>
      <c r="E738" s="1438" t="str">
        <f t="shared" si="141"/>
        <v>Food, Beverage &amp; Tabacco  - 30</v>
      </c>
      <c r="F738" s="22">
        <f t="shared" ref="F738:O738" si="147">$F455*F426</f>
        <v>14.731855488000001</v>
      </c>
      <c r="G738" s="22">
        <f t="shared" si="147"/>
        <v>16.947018617116179</v>
      </c>
      <c r="H738" s="22">
        <f t="shared" si="147"/>
        <v>20.607655278334377</v>
      </c>
      <c r="I738" s="22">
        <f t="shared" si="147"/>
        <v>25.195748501295849</v>
      </c>
      <c r="J738" s="22">
        <f t="shared" si="147"/>
        <v>30.600592024762953</v>
      </c>
      <c r="K738" s="22">
        <f t="shared" si="147"/>
        <v>37.418507097817667</v>
      </c>
      <c r="L738" s="22">
        <f t="shared" si="147"/>
        <v>45.943231409857205</v>
      </c>
      <c r="M738" s="22">
        <f t="shared" si="147"/>
        <v>55.433988683705124</v>
      </c>
      <c r="N738" s="22">
        <f t="shared" si="147"/>
        <v>65.319761139441567</v>
      </c>
      <c r="O738" s="22">
        <f t="shared" si="147"/>
        <v>76.270834406399572</v>
      </c>
      <c r="S738" s="1438"/>
    </row>
    <row r="739" spans="1:19" s="19" customFormat="1">
      <c r="A739" s="1456" t="str">
        <f t="shared" si="140"/>
        <v>PP</v>
      </c>
      <c r="B739" s="347" t="str">
        <f>INDEX(EF[UK Vector],MATCH(D739,EF[SATIM Code],0))</f>
        <v>V.01</v>
      </c>
      <c r="C739" s="19" t="str">
        <f>INDEX(Vectors[Description], MATCH($B739, Vectors[Code], 0))</f>
        <v>Electricity (delivered to end user)</v>
      </c>
      <c r="D739" s="656" t="s">
        <v>879</v>
      </c>
      <c r="E739" s="1438" t="str">
        <f t="shared" si="141"/>
        <v>Pulp &amp; Paper Products  -323</v>
      </c>
      <c r="F739" s="22">
        <f t="shared" ref="F739:O739" si="148">$F456*F427</f>
        <v>37.437264000000006</v>
      </c>
      <c r="G739" s="22">
        <f t="shared" si="148"/>
        <v>43.557747395808008</v>
      </c>
      <c r="H739" s="22">
        <f t="shared" si="148"/>
        <v>51.555664932936175</v>
      </c>
      <c r="I739" s="22">
        <f t="shared" si="148"/>
        <v>61.435660990620264</v>
      </c>
      <c r="J739" s="22">
        <f t="shared" si="148"/>
        <v>73.296626861027505</v>
      </c>
      <c r="K739" s="22">
        <f t="shared" si="148"/>
        <v>88.229925781308552</v>
      </c>
      <c r="L739" s="22">
        <f t="shared" si="148"/>
        <v>108.42309789885212</v>
      </c>
      <c r="M739" s="22">
        <f t="shared" si="148"/>
        <v>130.9230982879119</v>
      </c>
      <c r="N739" s="22">
        <f t="shared" si="148"/>
        <v>154.37694468360405</v>
      </c>
      <c r="O739" s="22">
        <f t="shared" si="148"/>
        <v>178.89846952697343</v>
      </c>
      <c r="S739" s="1438"/>
    </row>
    <row r="740" spans="1:19" s="19" customFormat="1">
      <c r="A740" s="1456" t="str">
        <f t="shared" si="140"/>
        <v>OT</v>
      </c>
      <c r="B740" s="72" t="str">
        <f>INDEX(EF[UK Vector],MATCH(D740,EF[SATIM Code],0))</f>
        <v>V.01</v>
      </c>
      <c r="C740" s="166" t="str">
        <f>INDEX(Vectors[Description], MATCH($B740, Vectors[Code], 0))</f>
        <v>Electricity (delivered to end user)</v>
      </c>
      <c r="D740" s="655" t="s">
        <v>879</v>
      </c>
      <c r="E740" s="1438" t="str">
        <f t="shared" si="141"/>
        <v>Other</v>
      </c>
      <c r="F740" s="22">
        <f t="shared" ref="F740:O740" si="149">$F457*F428</f>
        <v>24.885786816000007</v>
      </c>
      <c r="G740" s="22">
        <f t="shared" si="149"/>
        <v>29.099385296406808</v>
      </c>
      <c r="H740" s="22">
        <f t="shared" si="149"/>
        <v>34.606800171850104</v>
      </c>
      <c r="I740" s="22">
        <f t="shared" si="149"/>
        <v>41.448121644737888</v>
      </c>
      <c r="J740" s="22">
        <f t="shared" si="149"/>
        <v>50.063980856971916</v>
      </c>
      <c r="K740" s="22">
        <f t="shared" si="149"/>
        <v>61.159881892269063</v>
      </c>
      <c r="L740" s="22">
        <f t="shared" si="149"/>
        <v>76.851278157119722</v>
      </c>
      <c r="M740" s="22">
        <f t="shared" si="149"/>
        <v>94.714865381160308</v>
      </c>
      <c r="N740" s="22">
        <f t="shared" si="149"/>
        <v>113.69941682090804</v>
      </c>
      <c r="O740" s="22">
        <f t="shared" si="149"/>
        <v>134.0370990947271</v>
      </c>
      <c r="S740" s="1438"/>
    </row>
    <row r="741" spans="1:19" s="1438" customFormat="1">
      <c r="A741" s="1372"/>
      <c r="B741" s="72"/>
      <c r="C741" s="166"/>
      <c r="D741" s="655"/>
      <c r="E741" s="1457" t="s">
        <v>102</v>
      </c>
      <c r="F741" s="1458">
        <f>SUM(F733:F740)</f>
        <v>428.21453030400005</v>
      </c>
      <c r="G741" s="1461">
        <f t="shared" ref="G741:N741" si="150">SUM(G733:G740)</f>
        <v>498.22704544159512</v>
      </c>
      <c r="H741" s="1461">
        <f t="shared" si="150"/>
        <v>604.50071971952013</v>
      </c>
      <c r="I741" s="1461">
        <f t="shared" si="150"/>
        <v>742.32384433943503</v>
      </c>
      <c r="J741" s="1461">
        <f t="shared" si="150"/>
        <v>910.29093043398484</v>
      </c>
      <c r="K741" s="1461">
        <f t="shared" si="150"/>
        <v>1125.6589864246328</v>
      </c>
      <c r="L741" s="1461">
        <f t="shared" si="150"/>
        <v>1395.9922950808536</v>
      </c>
      <c r="M741" s="1461">
        <f t="shared" si="150"/>
        <v>1700.3135073630108</v>
      </c>
      <c r="N741" s="1461">
        <f t="shared" si="150"/>
        <v>2020.5526963548773</v>
      </c>
      <c r="O741" s="1461">
        <f>SUM(O733:O740)</f>
        <v>2368.0347620099283</v>
      </c>
    </row>
    <row r="742" spans="1:19" s="1438" customFormat="1">
      <c r="A742" s="683" t="s">
        <v>2230</v>
      </c>
      <c r="B742" s="72"/>
      <c r="C742" s="166"/>
      <c r="D742" s="655"/>
      <c r="E742" s="166"/>
      <c r="F742" s="22"/>
      <c r="G742" s="22"/>
      <c r="H742" s="22"/>
      <c r="I742" s="22"/>
      <c r="J742" s="22"/>
      <c r="K742" s="22"/>
      <c r="L742" s="22"/>
      <c r="M742" s="22"/>
      <c r="N742" s="22"/>
      <c r="O742" s="22"/>
    </row>
    <row r="743" spans="1:19" s="1438" customFormat="1">
      <c r="A743" s="1372" t="str">
        <f>A733</f>
        <v>MI</v>
      </c>
      <c r="B743" s="347" t="str">
        <f>INDEX(EF[UK Vector],MATCH(D743,EF[SATIM Code],0))</f>
        <v>V.01</v>
      </c>
      <c r="C743" s="166" t="s">
        <v>53</v>
      </c>
      <c r="D743" s="655" t="s">
        <v>879</v>
      </c>
      <c r="E743" s="166" t="str">
        <f>E733</f>
        <v>Mining SIC2</v>
      </c>
      <c r="F743" s="22">
        <f>F733*1 - MAX(F519,0)</f>
        <v>117.56357913599999</v>
      </c>
      <c r="G743" s="22">
        <f t="shared" ref="G743:O743" si="151">G733*G450 - MAX(G519,0)</f>
        <v>138.1014811481021</v>
      </c>
      <c r="H743" s="22">
        <f t="shared" si="151"/>
        <v>169.40163799947828</v>
      </c>
      <c r="I743" s="22">
        <f t="shared" si="151"/>
        <v>210.54286486508568</v>
      </c>
      <c r="J743" s="22">
        <f t="shared" si="151"/>
        <v>263.76498428505283</v>
      </c>
      <c r="K743" s="22">
        <f t="shared" si="151"/>
        <v>333.24691467394979</v>
      </c>
      <c r="L743" s="22">
        <f t="shared" si="151"/>
        <v>421.1540289861781</v>
      </c>
      <c r="M743" s="22">
        <f t="shared" si="151"/>
        <v>521.73905041264572</v>
      </c>
      <c r="N743" s="22">
        <f t="shared" si="151"/>
        <v>629.45500532893004</v>
      </c>
      <c r="O743" s="22">
        <f t="shared" si="151"/>
        <v>748.66332964670687</v>
      </c>
    </row>
    <row r="744" spans="1:19" s="1438" customFormat="1">
      <c r="A744" s="1372" t="str">
        <f t="shared" ref="A744:A750" si="152">A734</f>
        <v>IS</v>
      </c>
      <c r="B744" s="347" t="str">
        <f>INDEX(EF[UK Vector],MATCH(D744,EF[SATIM Code],0))</f>
        <v>V.01</v>
      </c>
      <c r="C744" s="166" t="s">
        <v>53</v>
      </c>
      <c r="D744" s="655" t="s">
        <v>879</v>
      </c>
      <c r="E744" s="166" t="str">
        <f t="shared" ref="E744:E750" si="153">E734</f>
        <v>Iron  &amp; Steel  - 351</v>
      </c>
      <c r="F744" s="22">
        <f t="shared" ref="F744:F750" si="154">F734*1 - MAX(F520,0)</f>
        <v>99.525273120000023</v>
      </c>
      <c r="G744" s="22">
        <f t="shared" ref="G744:O744" si="155">G734*G451 - MAX(G520,0)</f>
        <v>115.22762791042892</v>
      </c>
      <c r="H744" s="22">
        <f t="shared" si="155"/>
        <v>144.70292825898605</v>
      </c>
      <c r="I744" s="22">
        <f t="shared" si="155"/>
        <v>182.75548824917161</v>
      </c>
      <c r="J744" s="22">
        <f t="shared" si="155"/>
        <v>229.37585006542855</v>
      </c>
      <c r="K744" s="22">
        <f t="shared" si="155"/>
        <v>287.88254183988647</v>
      </c>
      <c r="L744" s="22">
        <f t="shared" si="155"/>
        <v>353.58244792753732</v>
      </c>
      <c r="M744" s="22">
        <f t="shared" si="155"/>
        <v>426.71262053385004</v>
      </c>
      <c r="N744" s="22">
        <f t="shared" si="155"/>
        <v>503.13673996153852</v>
      </c>
      <c r="O744" s="22">
        <f t="shared" si="155"/>
        <v>589.1697876310003</v>
      </c>
    </row>
    <row r="745" spans="1:19" s="1438" customFormat="1">
      <c r="A745" s="1372" t="str">
        <f t="shared" si="152"/>
        <v>CP</v>
      </c>
      <c r="B745" s="347" t="str">
        <f>INDEX(EF[UK Vector],MATCH(D745,EF[SATIM Code],0))</f>
        <v>V.01</v>
      </c>
      <c r="C745" s="166" t="s">
        <v>53</v>
      </c>
      <c r="D745" s="655" t="s">
        <v>879</v>
      </c>
      <c r="E745" s="166" t="str">
        <f t="shared" si="153"/>
        <v>Chemicals  -33</v>
      </c>
      <c r="F745" s="22">
        <f t="shared" si="154"/>
        <v>35.355234816000007</v>
      </c>
      <c r="G745" s="22">
        <f t="shared" ref="G745:O745" si="156">G735*G452 - MAX(G521,0)</f>
        <v>40.344857146911991</v>
      </c>
      <c r="H745" s="22">
        <f t="shared" si="156"/>
        <v>44.268815565007515</v>
      </c>
      <c r="I745" s="22">
        <f t="shared" si="156"/>
        <v>48.873191856521167</v>
      </c>
      <c r="J745" s="22">
        <f t="shared" si="156"/>
        <v>53.943746995936074</v>
      </c>
      <c r="K745" s="22">
        <f t="shared" si="156"/>
        <v>60.687228308162901</v>
      </c>
      <c r="L745" s="22">
        <f t="shared" si="156"/>
        <v>72.570110026258476</v>
      </c>
      <c r="M745" s="22">
        <f t="shared" si="156"/>
        <v>85.460366221705726</v>
      </c>
      <c r="N745" s="22">
        <f t="shared" si="156"/>
        <v>98.62129626278562</v>
      </c>
      <c r="O745" s="22">
        <f t="shared" si="156"/>
        <v>109.86483925496654</v>
      </c>
    </row>
    <row r="746" spans="1:19" s="1438" customFormat="1">
      <c r="A746" s="1372" t="str">
        <f t="shared" si="152"/>
        <v>NF</v>
      </c>
      <c r="B746" s="347" t="str">
        <f>INDEX(EF[UK Vector],MATCH(D746,EF[SATIM Code],0))</f>
        <v>V.01</v>
      </c>
      <c r="C746" s="166" t="s">
        <v>53</v>
      </c>
      <c r="D746" s="655" t="s">
        <v>879</v>
      </c>
      <c r="E746" s="166" t="str">
        <f t="shared" si="153"/>
        <v>Non-Ferrous metals  - 352</v>
      </c>
      <c r="F746" s="22">
        <f t="shared" si="154"/>
        <v>74.683578527999998</v>
      </c>
      <c r="G746" s="22">
        <f t="shared" ref="G746:O746" si="157">G736*G453 - MAX(G522,0)</f>
        <v>86.557510583333354</v>
      </c>
      <c r="H746" s="22">
        <f t="shared" si="157"/>
        <v>104.46332862173054</v>
      </c>
      <c r="I746" s="22">
        <f t="shared" si="157"/>
        <v>128.9041005141666</v>
      </c>
      <c r="J746" s="22">
        <f t="shared" si="157"/>
        <v>155.24610621936034</v>
      </c>
      <c r="K746" s="22">
        <f t="shared" si="157"/>
        <v>188.94939862675773</v>
      </c>
      <c r="L746" s="22">
        <f t="shared" si="157"/>
        <v>230.49562532575328</v>
      </c>
      <c r="M746" s="22">
        <f t="shared" si="157"/>
        <v>276.45807064491333</v>
      </c>
      <c r="N746" s="22">
        <f t="shared" si="157"/>
        <v>324.08569167236942</v>
      </c>
      <c r="O746" s="22">
        <f t="shared" si="157"/>
        <v>373.82825066423061</v>
      </c>
    </row>
    <row r="747" spans="1:19" s="1438" customFormat="1">
      <c r="A747" s="1372" t="str">
        <f t="shared" si="152"/>
        <v>NM</v>
      </c>
      <c r="B747" s="347" t="str">
        <f>INDEX(EF[UK Vector],MATCH(D747,EF[SATIM Code],0))</f>
        <v>V.01</v>
      </c>
      <c r="C747" s="166" t="s">
        <v>53</v>
      </c>
      <c r="D747" s="655" t="s">
        <v>879</v>
      </c>
      <c r="E747" s="166" t="str">
        <f t="shared" si="153"/>
        <v>N.M.M Products  -34</v>
      </c>
      <c r="F747" s="22">
        <f t="shared" si="154"/>
        <v>24.031958400000008</v>
      </c>
      <c r="G747" s="22">
        <f t="shared" ref="G747:O747" si="158">G737*G454 - MAX(G523,0)</f>
        <v>28.310892980330038</v>
      </c>
      <c r="H747" s="22">
        <f t="shared" si="158"/>
        <v>34.527640481795672</v>
      </c>
      <c r="I747" s="22">
        <f t="shared" si="158"/>
        <v>42.3849099587623</v>
      </c>
      <c r="J747" s="22">
        <f t="shared" si="158"/>
        <v>52.275120055582768</v>
      </c>
      <c r="K747" s="22">
        <f t="shared" si="158"/>
        <v>64.993715926340172</v>
      </c>
      <c r="L747" s="22">
        <f t="shared" si="158"/>
        <v>82.126771446160944</v>
      </c>
      <c r="M747" s="22">
        <f t="shared" si="158"/>
        <v>101.72806727328368</v>
      </c>
      <c r="N747" s="22">
        <f t="shared" si="158"/>
        <v>122.71644266277673</v>
      </c>
      <c r="O747" s="22">
        <f t="shared" si="158"/>
        <v>145.80609599805402</v>
      </c>
    </row>
    <row r="748" spans="1:19" s="1438" customFormat="1">
      <c r="A748" s="1372" t="str">
        <f t="shared" si="152"/>
        <v>FB</v>
      </c>
      <c r="B748" s="347" t="str">
        <f>INDEX(EF[UK Vector],MATCH(D748,EF[SATIM Code],0))</f>
        <v>V.01</v>
      </c>
      <c r="C748" s="166" t="s">
        <v>53</v>
      </c>
      <c r="D748" s="655" t="s">
        <v>879</v>
      </c>
      <c r="E748" s="166" t="str">
        <f t="shared" si="153"/>
        <v>Food, Beverage &amp; Tabacco  - 30</v>
      </c>
      <c r="F748" s="22">
        <f t="shared" si="154"/>
        <v>13.281774712555736</v>
      </c>
      <c r="G748" s="22">
        <f t="shared" ref="G748:O748" si="159">G738*G455 - MAX(G524,0)</f>
        <v>15.493378886697668</v>
      </c>
      <c r="H748" s="22">
        <f t="shared" si="159"/>
        <v>19.141475695942631</v>
      </c>
      <c r="I748" s="22">
        <f t="shared" si="159"/>
        <v>23.711592855325591</v>
      </c>
      <c r="J748" s="22">
        <f t="shared" si="159"/>
        <v>29.077045578141718</v>
      </c>
      <c r="K748" s="22">
        <f t="shared" si="159"/>
        <v>35.839363178854043</v>
      </c>
      <c r="L748" s="22">
        <f t="shared" si="159"/>
        <v>44.293680523406024</v>
      </c>
      <c r="M748" s="22">
        <f t="shared" si="159"/>
        <v>53.693758083843022</v>
      </c>
      <c r="N748" s="22">
        <f t="shared" si="159"/>
        <v>63.502774359301512</v>
      </c>
      <c r="O748" s="22">
        <f t="shared" si="159"/>
        <v>74.363128624516918</v>
      </c>
    </row>
    <row r="749" spans="1:19" s="1438" customFormat="1">
      <c r="A749" s="1372" t="str">
        <f t="shared" si="152"/>
        <v>PP</v>
      </c>
      <c r="B749" s="347" t="str">
        <f>INDEX(EF[UK Vector],MATCH(D749,EF[SATIM Code],0))</f>
        <v>V.01</v>
      </c>
      <c r="C749" s="166" t="s">
        <v>53</v>
      </c>
      <c r="D749" s="655" t="s">
        <v>879</v>
      </c>
      <c r="E749" s="166" t="str">
        <f t="shared" si="153"/>
        <v>Pulp &amp; Paper Products  -323</v>
      </c>
      <c r="F749" s="22">
        <f t="shared" si="154"/>
        <v>30.040354726979007</v>
      </c>
      <c r="G749" s="22">
        <f t="shared" ref="G749:O749" si="160">G739*G456 - MAX(G525,0)</f>
        <v>36.148641675709712</v>
      </c>
      <c r="H749" s="22">
        <f t="shared" si="160"/>
        <v>44.105054923588831</v>
      </c>
      <c r="I749" s="22">
        <f t="shared" si="160"/>
        <v>53.927970477723193</v>
      </c>
      <c r="J749" s="22">
        <f t="shared" si="160"/>
        <v>65.665090934029962</v>
      </c>
      <c r="K749" s="22">
        <f t="shared" si="160"/>
        <v>80.427255386068978</v>
      </c>
      <c r="L749" s="22">
        <f t="shared" si="160"/>
        <v>100.39853962771103</v>
      </c>
      <c r="M749" s="22">
        <f t="shared" si="160"/>
        <v>122.61249412883525</v>
      </c>
      <c r="N749" s="22">
        <f t="shared" si="160"/>
        <v>145.82383955187316</v>
      </c>
      <c r="O749" s="22">
        <f t="shared" si="160"/>
        <v>170.07037249773663</v>
      </c>
    </row>
    <row r="750" spans="1:19" s="1438" customFormat="1">
      <c r="A750" s="1372" t="str">
        <f t="shared" si="152"/>
        <v>OT</v>
      </c>
      <c r="B750" s="347" t="str">
        <f>INDEX(EF[UK Vector],MATCH(D750,EF[SATIM Code],0))</f>
        <v>V.01</v>
      </c>
      <c r="C750" s="166" t="s">
        <v>53</v>
      </c>
      <c r="D750" s="655" t="s">
        <v>879</v>
      </c>
      <c r="E750" s="166" t="str">
        <f t="shared" si="153"/>
        <v>Other</v>
      </c>
      <c r="F750" s="22">
        <f t="shared" si="154"/>
        <v>24.885786816000007</v>
      </c>
      <c r="G750" s="22">
        <f t="shared" ref="G750:O750" si="161">G740*G457 - MAX(G526,0)</f>
        <v>29.092255784615624</v>
      </c>
      <c r="H750" s="22">
        <f t="shared" si="161"/>
        <v>34.57525932523604</v>
      </c>
      <c r="I750" s="22">
        <f t="shared" si="161"/>
        <v>41.382724529230998</v>
      </c>
      <c r="J750" s="22">
        <f t="shared" si="161"/>
        <v>49.923755423493887</v>
      </c>
      <c r="K750" s="22">
        <f t="shared" si="161"/>
        <v>60.913771920735542</v>
      </c>
      <c r="L750" s="22">
        <f t="shared" si="161"/>
        <v>76.4620052522679</v>
      </c>
      <c r="M750" s="22">
        <f t="shared" si="161"/>
        <v>94.13648824140482</v>
      </c>
      <c r="N750" s="22">
        <f t="shared" si="161"/>
        <v>112.95431562886444</v>
      </c>
      <c r="O750" s="22">
        <f t="shared" si="161"/>
        <v>133.098839401064</v>
      </c>
    </row>
    <row r="751" spans="1:19" s="1438" customFormat="1">
      <c r="A751" s="1372"/>
      <c r="B751" s="72"/>
      <c r="C751" s="166"/>
      <c r="D751" s="655"/>
      <c r="E751" s="1459" t="s">
        <v>102</v>
      </c>
      <c r="F751" s="1461">
        <f>SUM(F743:F750)</f>
        <v>419.36754025553472</v>
      </c>
      <c r="G751" s="1461">
        <f t="shared" ref="G751:O751" si="162">SUM(G743:G750)</f>
        <v>489.27664611612937</v>
      </c>
      <c r="H751" s="1461">
        <f t="shared" si="162"/>
        <v>595.18614087176559</v>
      </c>
      <c r="I751" s="1461">
        <f t="shared" si="162"/>
        <v>732.4828433059871</v>
      </c>
      <c r="J751" s="1461">
        <f t="shared" si="162"/>
        <v>899.27169955702618</v>
      </c>
      <c r="K751" s="1461">
        <f t="shared" si="162"/>
        <v>1112.9401898607557</v>
      </c>
      <c r="L751" s="1461">
        <f t="shared" si="162"/>
        <v>1381.0832091152731</v>
      </c>
      <c r="M751" s="1461">
        <f t="shared" si="162"/>
        <v>1682.5409155404816</v>
      </c>
      <c r="N751" s="1461">
        <f t="shared" si="162"/>
        <v>2000.2961054284394</v>
      </c>
      <c r="O751" s="1461">
        <f t="shared" si="162"/>
        <v>2344.8646437182761</v>
      </c>
    </row>
    <row r="752" spans="1:19" s="19" customFormat="1" ht="14" thickBot="1">
      <c r="A752" s="648"/>
      <c r="B752" s="662"/>
      <c r="C752" s="650"/>
      <c r="D752" s="684"/>
      <c r="E752" s="1460"/>
      <c r="F752" s="1462">
        <f t="shared" ref="F752:N752" si="163">1-(F751/F741)</f>
        <v>2.0660181806966271E-2</v>
      </c>
      <c r="G752" s="1462">
        <f t="shared" si="163"/>
        <v>1.7964499132183231E-2</v>
      </c>
      <c r="H752" s="1462">
        <f t="shared" si="163"/>
        <v>1.5408714239540378E-2</v>
      </c>
      <c r="I752" s="1462">
        <f t="shared" si="163"/>
        <v>1.325701862938955E-2</v>
      </c>
      <c r="J752" s="1462">
        <f t="shared" si="163"/>
        <v>1.210517484965512E-2</v>
      </c>
      <c r="K752" s="1462">
        <f t="shared" si="163"/>
        <v>1.12989783915598E-2</v>
      </c>
      <c r="L752" s="1462">
        <f t="shared" si="163"/>
        <v>1.0679919952364059E-2</v>
      </c>
      <c r="M752" s="1462">
        <f t="shared" si="163"/>
        <v>1.045253816167846E-2</v>
      </c>
      <c r="N752" s="1462">
        <f t="shared" si="163"/>
        <v>1.002527227475003E-2</v>
      </c>
      <c r="O752" s="1462">
        <f>1-(O751/O741)</f>
        <v>9.7845346966046742E-3</v>
      </c>
      <c r="R752" s="1438"/>
      <c r="S752" s="1438"/>
    </row>
    <row r="753" spans="1:15" s="19" customFormat="1" ht="14" thickTop="1">
      <c r="A753" s="483"/>
      <c r="B753" s="72"/>
      <c r="C753" s="166"/>
      <c r="D753" s="655"/>
      <c r="E753" s="483"/>
      <c r="F753" s="253"/>
      <c r="G753" s="253"/>
      <c r="H753" s="253"/>
      <c r="I753" s="253"/>
      <c r="J753" s="253"/>
      <c r="K753" s="253"/>
      <c r="L753" s="253"/>
      <c r="M753" s="253"/>
      <c r="N753" s="253"/>
      <c r="O753" s="253"/>
    </row>
    <row r="754" spans="1:15" s="19" customFormat="1" ht="14">
      <c r="A754" s="19" t="str">
        <f>$F$113</f>
        <v>S</v>
      </c>
      <c r="B754" s="348" t="s">
        <v>1868</v>
      </c>
      <c r="D754" s="52"/>
      <c r="F754" s="75"/>
      <c r="G754" s="75"/>
      <c r="H754" s="75"/>
      <c r="I754" s="75"/>
      <c r="J754" s="75"/>
      <c r="K754" s="75"/>
      <c r="L754" s="75"/>
      <c r="M754" s="75"/>
      <c r="N754" s="75"/>
      <c r="O754" s="75"/>
    </row>
    <row r="755" spans="1:15" s="19" customFormat="1" ht="14">
      <c r="A755" s="683" t="s">
        <v>1337</v>
      </c>
      <c r="B755" s="348"/>
      <c r="D755" s="52"/>
      <c r="E755" s="654"/>
      <c r="F755" s="75"/>
      <c r="G755" s="75"/>
      <c r="H755" s="75"/>
      <c r="I755" s="75"/>
      <c r="J755" s="75"/>
      <c r="K755" s="75"/>
      <c r="L755" s="75"/>
      <c r="M755" s="75"/>
      <c r="N755" s="75"/>
      <c r="O755" s="75"/>
    </row>
    <row r="756" spans="1:15" s="19" customFormat="1">
      <c r="A756" s="1086" t="str">
        <f t="shared" ref="A756:A763" si="164">C20</f>
        <v>MI</v>
      </c>
      <c r="B756" s="1456"/>
      <c r="C756" s="348" t="str">
        <f t="shared" ref="C756:C763" si="165">D20</f>
        <v>Mining SIC2</v>
      </c>
      <c r="F756" s="22">
        <f t="shared" ref="F756:O756" si="166">MAX(F431-F510,0)</f>
        <v>36.241257519407995</v>
      </c>
      <c r="G756" s="22">
        <f t="shared" si="166"/>
        <v>42.582897912025132</v>
      </c>
      <c r="H756" s="22">
        <f t="shared" si="166"/>
        <v>52.268984641497568</v>
      </c>
      <c r="I756" s="22">
        <f t="shared" si="166"/>
        <v>65.006496597825276</v>
      </c>
      <c r="J756" s="22">
        <f t="shared" si="166"/>
        <v>81.539066110704596</v>
      </c>
      <c r="K756" s="22">
        <f t="shared" si="166"/>
        <v>103.14489586584381</v>
      </c>
      <c r="L756" s="22">
        <f t="shared" si="166"/>
        <v>130.48987962799876</v>
      </c>
      <c r="M756" s="22">
        <f t="shared" si="166"/>
        <v>161.82438161441803</v>
      </c>
      <c r="N756" s="22">
        <f t="shared" si="166"/>
        <v>195.3217286096052</v>
      </c>
      <c r="O756" s="22">
        <f t="shared" si="166"/>
        <v>232.41693638561532</v>
      </c>
    </row>
    <row r="757" spans="1:15" s="19" customFormat="1">
      <c r="A757" s="1456" t="str">
        <f t="shared" si="164"/>
        <v>IS</v>
      </c>
      <c r="B757" s="348"/>
      <c r="C757" s="1459" t="str">
        <f t="shared" si="165"/>
        <v>Iron  &amp; Steel  - 351</v>
      </c>
      <c r="E757" s="1438"/>
      <c r="F757" s="22">
        <f t="shared" ref="F757:O757" si="167">MAX(F432-F511,0)</f>
        <v>98.839252776094753</v>
      </c>
      <c r="G757" s="22">
        <f t="shared" si="167"/>
        <v>114.46141608245419</v>
      </c>
      <c r="H757" s="22">
        <f t="shared" si="167"/>
        <v>143.83659522212224</v>
      </c>
      <c r="I757" s="22">
        <f t="shared" si="167"/>
        <v>181.78258593508329</v>
      </c>
      <c r="J757" s="22">
        <f t="shared" si="167"/>
        <v>228.4346074039552</v>
      </c>
      <c r="K757" s="22">
        <f t="shared" si="167"/>
        <v>287.0533035072375</v>
      </c>
      <c r="L757" s="22">
        <f t="shared" si="167"/>
        <v>352.93293285171893</v>
      </c>
      <c r="M757" s="22">
        <f t="shared" si="167"/>
        <v>426.37498452098458</v>
      </c>
      <c r="N757" s="22">
        <f t="shared" si="167"/>
        <v>502.96471129564446</v>
      </c>
      <c r="O757" s="22">
        <f t="shared" si="167"/>
        <v>589.23331709623483</v>
      </c>
    </row>
    <row r="758" spans="1:15" s="19" customFormat="1">
      <c r="A758" s="1456" t="str">
        <f t="shared" si="164"/>
        <v>CP</v>
      </c>
      <c r="B758" s="348"/>
      <c r="C758" s="1459" t="str">
        <f t="shared" si="165"/>
        <v>Chemicals  -33</v>
      </c>
      <c r="E758" s="1438"/>
      <c r="F758" s="22">
        <f t="shared" ref="F758:O758" si="168">MAX(F433-F512,0)</f>
        <v>75.377999363840004</v>
      </c>
      <c r="G758" s="22">
        <f t="shared" si="168"/>
        <v>86.034031875285152</v>
      </c>
      <c r="H758" s="22">
        <f t="shared" si="168"/>
        <v>94.455703840251331</v>
      </c>
      <c r="I758" s="22">
        <f t="shared" si="168"/>
        <v>104.33963749943983</v>
      </c>
      <c r="J758" s="22">
        <f t="shared" si="168"/>
        <v>115.28582048669631</v>
      </c>
      <c r="K758" s="22">
        <f t="shared" si="168"/>
        <v>129.83408820425237</v>
      </c>
      <c r="L758" s="22">
        <f t="shared" si="168"/>
        <v>155.39546064786282</v>
      </c>
      <c r="M758" s="22">
        <f t="shared" si="168"/>
        <v>183.1617407991597</v>
      </c>
      <c r="N758" s="22">
        <f t="shared" si="168"/>
        <v>211.4501165354564</v>
      </c>
      <c r="O758" s="22">
        <f t="shared" si="168"/>
        <v>235.64770838636889</v>
      </c>
    </row>
    <row r="759" spans="1:15" s="19" customFormat="1">
      <c r="A759" s="1456" t="str">
        <f t="shared" si="164"/>
        <v>NF</v>
      </c>
      <c r="B759" s="348"/>
      <c r="C759" s="1459" t="str">
        <f t="shared" si="165"/>
        <v>Non-Ferrous metals  - 352</v>
      </c>
      <c r="E759" s="1438"/>
      <c r="F759" s="22">
        <f t="shared" ref="F759:O759" si="169">MAX(F434-F513,0)</f>
        <v>0.51839999999999986</v>
      </c>
      <c r="G759" s="22">
        <f t="shared" si="169"/>
        <v>0.60084137585605246</v>
      </c>
      <c r="H759" s="22">
        <f t="shared" si="169"/>
        <v>0.72520415348678124</v>
      </c>
      <c r="I759" s="22">
        <f t="shared" si="169"/>
        <v>0.89496181872312142</v>
      </c>
      <c r="J759" s="22">
        <f t="shared" si="169"/>
        <v>1.0780388192919648</v>
      </c>
      <c r="K759" s="22">
        <f t="shared" si="169"/>
        <v>1.3123060143651797</v>
      </c>
      <c r="L759" s="22">
        <f t="shared" si="169"/>
        <v>1.6010943853905606</v>
      </c>
      <c r="M759" s="22">
        <f t="shared" si="169"/>
        <v>1.9206497412542094</v>
      </c>
      <c r="N759" s="22">
        <f t="shared" si="169"/>
        <v>2.2516791107568466</v>
      </c>
      <c r="O759" s="22">
        <f t="shared" si="169"/>
        <v>2.5974458578374717</v>
      </c>
    </row>
    <row r="760" spans="1:15" s="19" customFormat="1">
      <c r="A760" s="1456" t="str">
        <f t="shared" si="164"/>
        <v>NM</v>
      </c>
      <c r="B760" s="348"/>
      <c r="C760" s="1459" t="str">
        <f t="shared" si="165"/>
        <v>N.M.M Products  -34</v>
      </c>
      <c r="E760" s="1438"/>
      <c r="F760" s="22">
        <f t="shared" ref="F760:O760" si="170">MAX(F435-F514,0)</f>
        <v>40.225319999999996</v>
      </c>
      <c r="G760" s="22">
        <f t="shared" si="170"/>
        <v>47.399125572755501</v>
      </c>
      <c r="H760" s="22">
        <f t="shared" si="170"/>
        <v>57.845988136271515</v>
      </c>
      <c r="I760" s="22">
        <f t="shared" si="170"/>
        <v>71.057084267985417</v>
      </c>
      <c r="J760" s="22">
        <f t="shared" si="170"/>
        <v>87.745229830200884</v>
      </c>
      <c r="K760" s="22">
        <f t="shared" si="170"/>
        <v>109.22771719573488</v>
      </c>
      <c r="L760" s="22">
        <f t="shared" si="170"/>
        <v>138.16578405155309</v>
      </c>
      <c r="M760" s="22">
        <f t="shared" si="170"/>
        <v>171.32127229612789</v>
      </c>
      <c r="N760" s="22">
        <f t="shared" si="170"/>
        <v>206.76094574915521</v>
      </c>
      <c r="O760" s="22">
        <f t="shared" si="170"/>
        <v>245.77447517614476</v>
      </c>
    </row>
    <row r="761" spans="1:15" s="19" customFormat="1">
      <c r="A761" s="1456" t="str">
        <f t="shared" si="164"/>
        <v>FB</v>
      </c>
      <c r="B761" s="348"/>
      <c r="C761" s="1459" t="str">
        <f t="shared" si="165"/>
        <v>Food, Beverage &amp; Tabacco  - 30</v>
      </c>
      <c r="E761" s="1438"/>
      <c r="F761" s="22">
        <f t="shared" ref="F761:O761" si="171">MAX(F436-F515,0)</f>
        <v>20.444198860564263</v>
      </c>
      <c r="G761" s="22">
        <f t="shared" si="171"/>
        <v>24.649940245256253</v>
      </c>
      <c r="H761" s="22">
        <f t="shared" si="171"/>
        <v>31.600078994879063</v>
      </c>
      <c r="I761" s="22">
        <f t="shared" si="171"/>
        <v>40.311100450139975</v>
      </c>
      <c r="J761" s="22">
        <f t="shared" si="171"/>
        <v>50.572816070830903</v>
      </c>
      <c r="K761" s="22">
        <f t="shared" si="171"/>
        <v>63.517410174607917</v>
      </c>
      <c r="L761" s="22">
        <f t="shared" si="171"/>
        <v>79.702577470408585</v>
      </c>
      <c r="M761" s="22">
        <f t="shared" si="171"/>
        <v>97.721869193910038</v>
      </c>
      <c r="N761" s="22">
        <f t="shared" si="171"/>
        <v>116.49114256716612</v>
      </c>
      <c r="O761" s="22">
        <f t="shared" si="171"/>
        <v>137.28301177095503</v>
      </c>
    </row>
    <row r="762" spans="1:15" s="19" customFormat="1">
      <c r="A762" s="1456" t="str">
        <f t="shared" si="164"/>
        <v>PP</v>
      </c>
      <c r="B762" s="348"/>
      <c r="C762" s="1459" t="str">
        <f t="shared" si="165"/>
        <v>Pulp &amp; Paper Products  -323</v>
      </c>
      <c r="E762" s="1438"/>
      <c r="F762" s="22">
        <f t="shared" ref="F762:O762" si="172">MAX(F437-F516,0)</f>
        <v>30.05637941847553</v>
      </c>
      <c r="G762" s="22">
        <f t="shared" si="172"/>
        <v>41.246424678495273</v>
      </c>
      <c r="H762" s="22">
        <f t="shared" si="172"/>
        <v>55.868972186371437</v>
      </c>
      <c r="I762" s="22">
        <f t="shared" si="172"/>
        <v>73.932513234456607</v>
      </c>
      <c r="J762" s="22">
        <f t="shared" si="172"/>
        <v>95.617850214263029</v>
      </c>
      <c r="K762" s="22">
        <f t="shared" si="172"/>
        <v>122.92031637466479</v>
      </c>
      <c r="L762" s="22">
        <f t="shared" si="172"/>
        <v>159.8393790247564</v>
      </c>
      <c r="M762" s="22">
        <f t="shared" si="172"/>
        <v>200.97600278824629</v>
      </c>
      <c r="N762" s="22">
        <f t="shared" si="172"/>
        <v>243.85653782394317</v>
      </c>
      <c r="O762" s="22">
        <f t="shared" si="172"/>
        <v>288.68910334155248</v>
      </c>
    </row>
    <row r="763" spans="1:15" s="19" customFormat="1">
      <c r="A763" s="1456" t="str">
        <f t="shared" si="164"/>
        <v>OT</v>
      </c>
      <c r="B763" s="348"/>
      <c r="C763" s="1459" t="str">
        <f t="shared" si="165"/>
        <v>Other</v>
      </c>
      <c r="F763" s="22">
        <f t="shared" ref="F763:O763" si="173">MAX(F438-F517,0)</f>
        <v>105.1836969633372</v>
      </c>
      <c r="G763" s="22">
        <f t="shared" si="173"/>
        <v>122.99313449349138</v>
      </c>
      <c r="H763" s="22">
        <f t="shared" si="173"/>
        <v>146.2710907660074</v>
      </c>
      <c r="I763" s="22">
        <f t="shared" si="173"/>
        <v>175.1870133347222</v>
      </c>
      <c r="J763" s="22">
        <f t="shared" si="173"/>
        <v>211.60329911097665</v>
      </c>
      <c r="K763" s="22">
        <f t="shared" si="173"/>
        <v>258.50187220658381</v>
      </c>
      <c r="L763" s="22">
        <f t="shared" si="173"/>
        <v>324.82402958328123</v>
      </c>
      <c r="M763" s="22">
        <f t="shared" si="173"/>
        <v>400.32729412316604</v>
      </c>
      <c r="N763" s="22">
        <f t="shared" si="173"/>
        <v>480.56849044891186</v>
      </c>
      <c r="O763" s="22">
        <f t="shared" si="173"/>
        <v>566.52890733437073</v>
      </c>
    </row>
    <row r="764" spans="1:15" s="19" customFormat="1" ht="14">
      <c r="A764" s="245"/>
      <c r="B764" s="682"/>
      <c r="C764" s="245"/>
      <c r="D764" s="163"/>
      <c r="E764" s="682"/>
      <c r="F764" s="247"/>
      <c r="G764" s="681"/>
      <c r="H764" s="681"/>
      <c r="I764" s="681"/>
      <c r="J764" s="681"/>
      <c r="K764" s="681"/>
      <c r="L764" s="681"/>
      <c r="M764" s="681"/>
      <c r="N764" s="681"/>
      <c r="O764" s="681"/>
    </row>
    <row r="765" spans="1:15" s="19" customFormat="1" ht="14">
      <c r="A765" s="166"/>
      <c r="B765" s="231"/>
      <c r="C765" s="166"/>
      <c r="D765" s="483"/>
      <c r="E765" s="231"/>
      <c r="F765" s="253"/>
      <c r="G765" s="679"/>
      <c r="H765" s="679"/>
      <c r="I765" s="679"/>
      <c r="J765" s="679"/>
      <c r="K765" s="679"/>
      <c r="L765" s="679"/>
      <c r="M765" s="679"/>
      <c r="N765" s="679"/>
      <c r="O765" s="679"/>
    </row>
    <row r="766" spans="1:15" s="19" customFormat="1" ht="14">
      <c r="A766" s="166"/>
      <c r="B766" s="348" t="s">
        <v>1867</v>
      </c>
      <c r="C766" s="348" t="s">
        <v>1336</v>
      </c>
      <c r="D766" s="483"/>
      <c r="F766" s="680" t="s">
        <v>1834</v>
      </c>
      <c r="G766" s="679"/>
      <c r="H766" s="679"/>
      <c r="I766" s="679"/>
      <c r="J766" s="679"/>
      <c r="K766" s="679"/>
      <c r="L766" s="679"/>
      <c r="M766" s="679"/>
      <c r="N766" s="679"/>
      <c r="O766" s="679"/>
    </row>
    <row r="767" spans="1:15" s="19" customFormat="1" ht="14">
      <c r="A767" s="1456"/>
      <c r="B767" s="347"/>
      <c r="C767" s="1459" t="str">
        <f>D20</f>
        <v>Mining SIC2</v>
      </c>
      <c r="D767" s="17"/>
      <c r="E767" s="448" t="s">
        <v>1866</v>
      </c>
      <c r="F767" s="1041" t="s">
        <v>1835</v>
      </c>
      <c r="G767" s="679"/>
      <c r="H767" s="679"/>
      <c r="I767" s="679"/>
      <c r="J767" s="679"/>
      <c r="K767" s="679"/>
      <c r="L767" s="679"/>
      <c r="M767" s="679"/>
      <c r="N767" s="679"/>
      <c r="O767" s="679"/>
    </row>
    <row r="768" spans="1:15" s="19" customFormat="1">
      <c r="A768" s="1456" t="str">
        <f>INDEX($C$20:$C$27,MATCH($C767,$D$20:$D$27,0))</f>
        <v>MI</v>
      </c>
      <c r="B768" s="347" t="str">
        <f>INDEX(EF[UK Vector],MATCH(D768,EF[SATIM Code],0))</f>
        <v>V.03</v>
      </c>
      <c r="C768" s="1438" t="str">
        <f>INDEX(Vectors[Description], MATCH($B768, Vectors[Code], 0))</f>
        <v>Solid hydrocarbons</v>
      </c>
      <c r="D768" s="17" t="s">
        <v>882</v>
      </c>
      <c r="E768" s="1228">
        <f t="shared" ref="E768:E775" si="174">INDEX($G$199:$N$199,MATCH($A768,$G$191:$N$191,0))</f>
        <v>1</v>
      </c>
      <c r="F768" s="678">
        <f t="array" ref="F768">1/INDEX($G$193:$N$193,MATCH($A768,$G$191:$N$191,0)) * SUM(($H$203:$O$203=$A768)*($G$205:$G$212=$D768)*($H$205:$O$212)) * (SUM(($C$519:$C$526=$A768)*(F$519:F$526)) + SUM(($C$510:$C$517=$A768)*(F$510:F$517))) * $E768</f>
        <v>0</v>
      </c>
      <c r="G768" s="678">
        <f t="array" ref="G768">1/INDEX($G$193:$N$193,MATCH($A768,$G$191:$N$191,0)) * SUM(($H$530:$O$530=$A768)*($G$532:$G$539=$D768)*($H$532:$O$539)) * (SUM(($C$519:$C$526=$A768)*(G$519:G$526)) + SUM(($C$510:$C$517=$A768)*(G$510:G$517))) * $E768</f>
        <v>0</v>
      </c>
      <c r="H768" s="678">
        <f>AVERAGE(G768,I768)</f>
        <v>0</v>
      </c>
      <c r="I768" s="678">
        <f t="array" ref="I768">1/INDEX($G$193:$N$193,MATCH($A768,$G$191:$N$191,0)) * SUM(($H$530:$O$530=$A768)*($G$532:$G$539=$D768)*($H$532:$O$539)) * (SUM(($C$519:$C$526=$A768)*(I$519:I$526)) + SUM(($C$510:$C$517=$A768)*(I$510:I$517))) * $E768</f>
        <v>0</v>
      </c>
      <c r="J768" s="678">
        <f>AVERAGE(I768,K768)</f>
        <v>0</v>
      </c>
      <c r="K768" s="678">
        <f t="array" ref="K768">1/INDEX($G$193:$N$193,MATCH($A768,$G$191:$N$191,0)) * SUM(($H$530:$O$530=$A768)*($G$532:$G$539=$D768)*($H$532:$O$539)) * (SUM(($C$519:$C$526=$A768)*(K$519:K$526)) + SUM(($C$510:$C$517=$A768)*(K$510:K$517))) * $E768</f>
        <v>0</v>
      </c>
      <c r="L768" s="678">
        <f t="shared" ref="L768:L775" si="175">AVERAGE(K768,M768)</f>
        <v>0</v>
      </c>
      <c r="M768" s="678">
        <f t="array" ref="M768">1/INDEX($G$193:$N$193,MATCH($A768,$G$191:$N$191,0)) * SUM(($H$530:$O$530=$A768)*($G$532:$G$539=$D768)*($H$532:$O$539)) * (SUM(($C$519:$C$526=$A768)*(M$519:M$526)) + SUM(($C$510:$C$517=$A768)*(M$510:M$517))) * $E768</f>
        <v>0</v>
      </c>
      <c r="N768" s="678">
        <f t="shared" ref="N768:N775" si="176">AVERAGE(M768,O768)</f>
        <v>0</v>
      </c>
      <c r="O768" s="678">
        <f t="array" ref="O768">1/INDEX($G$193:$N$193,MATCH($A768,$G$191:$N$191,0)) * SUM(($H$530:$O$530=$A768)*($G$532:$G$539=$D768)*($H$532:$O$539)) * (SUM(($C$519:$C$526=$A768)*(O$519:O$526)) + SUM(($C$510:$C$517=$A768)*(O$510:O$517))) * $E768</f>
        <v>0</v>
      </c>
    </row>
    <row r="769" spans="1:15" s="19" customFormat="1">
      <c r="A769" s="19" t="str">
        <f t="shared" ref="A769:A775" si="177">A768</f>
        <v>MI</v>
      </c>
      <c r="B769" s="347" t="str">
        <f>INDEX(EF[UK Vector],MATCH(D769,EF[SATIM Code],0))</f>
        <v>V.05</v>
      </c>
      <c r="C769" s="1438" t="str">
        <f>INDEX(Vectors[Description], MATCH($B769, Vectors[Code], 0))</f>
        <v>Gaseous hydrocarbons</v>
      </c>
      <c r="D769" s="656" t="s">
        <v>869</v>
      </c>
      <c r="E769" s="1228">
        <f t="shared" si="174"/>
        <v>1</v>
      </c>
      <c r="F769" s="678">
        <f t="array" ref="F769">1/INDEX($G$193:$N$193,MATCH($A769,$G$191:$N$191,0)) * SUM(($H$203:$O$203=$A769)*($G$205:$G$212=$D769)*($H$205:$O$212)) * (SUM(($C$519:$C$526=$A769)*(F$519:F$526)) + SUM(($C$510:$C$517=$A769)*(F$510:F$517))) * $E769</f>
        <v>0</v>
      </c>
      <c r="G769" s="678">
        <f t="array" ref="G769">1/INDEX($G$193:$N$193,MATCH($A769,$G$191:$N$191,0)) * SUM(($H$530:$O$530=$A769)*($G$532:$G$539=$D769)*($H$532:$O$539)) * (SUM(($C$519:$C$526=$A769)*(G$519:G$526)) + SUM(($C$510:$C$517=$A769)*(G$510:G$517))) * $E769</f>
        <v>0</v>
      </c>
      <c r="H769" s="678">
        <f t="shared" ref="H769:J832" si="178">AVERAGE(G769,I769)</f>
        <v>0</v>
      </c>
      <c r="I769" s="678">
        <f t="array" ref="I769">1/INDEX($G$193:$N$193,MATCH($A769,$G$191:$N$191,0)) * SUM(($H$530:$O$530=$A769)*($G$532:$G$539=$D769)*($H$532:$O$539)) * (SUM(($C$519:$C$526=$A769)*(I$519:I$526)) + SUM(($C$510:$C$517=$A769)*(I$510:I$517))) * $E769</f>
        <v>0</v>
      </c>
      <c r="J769" s="678">
        <f t="shared" si="178"/>
        <v>0</v>
      </c>
      <c r="K769" s="678">
        <f t="array" ref="K769">1/INDEX($G$193:$N$193,MATCH($A769,$G$191:$N$191,0)) * SUM(($H$530:$O$530=$A769)*($G$532:$G$539=$D769)*($H$532:$O$539)) * (SUM(($C$519:$C$526=$A769)*(K$519:K$526)) + SUM(($C$510:$C$517=$A769)*(K$510:K$517))) * $E769</f>
        <v>0</v>
      </c>
      <c r="L769" s="678">
        <f t="shared" si="175"/>
        <v>0</v>
      </c>
      <c r="M769" s="678">
        <f t="array" ref="M769">1/INDEX($G$193:$N$193,MATCH($A769,$G$191:$N$191,0)) * SUM(($H$530:$O$530=$A769)*($G$532:$G$539=$D769)*($H$532:$O$539)) * (SUM(($C$519:$C$526=$A769)*(M$519:M$526)) + SUM(($C$510:$C$517=$A769)*(M$510:M$517))) * $E769</f>
        <v>0</v>
      </c>
      <c r="N769" s="678">
        <f t="shared" si="176"/>
        <v>0</v>
      </c>
      <c r="O769" s="678">
        <f t="array" ref="O769">1/INDEX($G$193:$N$193,MATCH($A769,$G$191:$N$191,0)) * SUM(($H$530:$O$530=$A769)*($G$532:$G$539=$D769)*($H$532:$O$539)) * (SUM(($C$519:$C$526=$A769)*(O$519:O$526)) + SUM(($C$510:$C$517=$A769)*(O$510:O$517))) * $E769</f>
        <v>0</v>
      </c>
    </row>
    <row r="770" spans="1:15" s="19" customFormat="1">
      <c r="A770" s="19" t="str">
        <f t="shared" si="177"/>
        <v>MI</v>
      </c>
      <c r="B770" s="347" t="str">
        <f>INDEX(EF[UK Vector],MATCH(D770,EF[SATIM Code],0))</f>
        <v>V.04</v>
      </c>
      <c r="C770" s="1438" t="str">
        <f>INDEX(Vectors[Description], MATCH($B770, Vectors[Code], 0))</f>
        <v>Liquid hydrocarbons</v>
      </c>
      <c r="D770" s="656" t="s">
        <v>885</v>
      </c>
      <c r="E770" s="1228">
        <f t="shared" si="174"/>
        <v>1</v>
      </c>
      <c r="F770" s="678">
        <f t="array" ref="F770">1/INDEX($G$193:$N$193,MATCH($A770,$G$191:$N$191,0)) * SUM(($H$203:$O$203=$A770)*($G$205:$G$212=$D770)*($H$205:$O$212)) * (SUM(($C$519:$C$526=$A770)*(F$519:F$526)) + SUM(($C$510:$C$517=$A770)*(F$510:F$517))) * $E770</f>
        <v>0</v>
      </c>
      <c r="G770" s="678">
        <f t="array" ref="G770">1/INDEX($G$193:$N$193,MATCH($A770,$G$191:$N$191,0)) * SUM(($H$530:$O$530=$A770)*($G$532:$G$539=$D770)*($H$532:$O$539)) * (SUM(($C$519:$C$526=$A770)*(G$519:G$526)) + SUM(($C$510:$C$517=$A770)*(G$510:G$517))) * $E770</f>
        <v>0</v>
      </c>
      <c r="H770" s="678">
        <f t="shared" si="178"/>
        <v>0</v>
      </c>
      <c r="I770" s="678">
        <f t="array" ref="I770">1/INDEX($G$193:$N$193,MATCH($A770,$G$191:$N$191,0)) * SUM(($H$530:$O$530=$A770)*($G$532:$G$539=$D770)*($H$532:$O$539)) * (SUM(($C$519:$C$526=$A770)*(I$519:I$526)) + SUM(($C$510:$C$517=$A770)*(I$510:I$517))) * $E770</f>
        <v>0</v>
      </c>
      <c r="J770" s="678">
        <f t="shared" si="178"/>
        <v>0</v>
      </c>
      <c r="K770" s="678">
        <f t="array" ref="K770">1/INDEX($G$193:$N$193,MATCH($A770,$G$191:$N$191,0)) * SUM(($H$530:$O$530=$A770)*($G$532:$G$539=$D770)*($H$532:$O$539)) * (SUM(($C$519:$C$526=$A770)*(K$519:K$526)) + SUM(($C$510:$C$517=$A770)*(K$510:K$517))) * $E770</f>
        <v>0</v>
      </c>
      <c r="L770" s="678">
        <f t="shared" si="175"/>
        <v>0</v>
      </c>
      <c r="M770" s="678">
        <f t="array" ref="M770">1/INDEX($G$193:$N$193,MATCH($A770,$G$191:$N$191,0)) * SUM(($H$530:$O$530=$A770)*($G$532:$G$539=$D770)*($H$532:$O$539)) * (SUM(($C$519:$C$526=$A770)*(M$519:M$526)) + SUM(($C$510:$C$517=$A770)*(M$510:M$517))) * $E770</f>
        <v>0</v>
      </c>
      <c r="N770" s="678">
        <f t="shared" si="176"/>
        <v>0</v>
      </c>
      <c r="O770" s="678">
        <f t="array" ref="O770">1/INDEX($G$193:$N$193,MATCH($A770,$G$191:$N$191,0)) * SUM(($H$530:$O$530=$A770)*($G$532:$G$539=$D770)*($H$532:$O$539)) * (SUM(($C$519:$C$526=$A770)*(O$519:O$526)) + SUM(($C$510:$C$517=$A770)*(O$510:O$517))) * $E770</f>
        <v>0</v>
      </c>
    </row>
    <row r="771" spans="1:15" s="19" customFormat="1">
      <c r="A771" s="19" t="str">
        <f t="shared" si="177"/>
        <v>MI</v>
      </c>
      <c r="B771" s="347" t="str">
        <f>INDEX(EF[UK Vector],MATCH(D771,EF[SATIM Code],0))</f>
        <v>V.04</v>
      </c>
      <c r="C771" s="1438" t="str">
        <f>INDEX(Vectors[Description], MATCH($B771, Vectors[Code], 0))</f>
        <v>Liquid hydrocarbons</v>
      </c>
      <c r="D771" s="656" t="s">
        <v>887</v>
      </c>
      <c r="E771" s="1228">
        <f t="shared" si="174"/>
        <v>1</v>
      </c>
      <c r="F771" s="678">
        <f t="array" ref="F771">1/INDEX($G$193:$N$193,MATCH($A771,$G$191:$N$191,0)) * SUM(($H$203:$O$203=$A771)*($G$205:$G$212=$D771)*($H$205:$O$212)) * (SUM(($C$519:$C$526=$A771)*(F$519:F$526)) + SUM(($C$510:$C$517=$A771)*(F$510:F$517))) * $E771</f>
        <v>0</v>
      </c>
      <c r="G771" s="678">
        <f t="array" ref="G771">1/INDEX($G$193:$N$193,MATCH($A771,$G$191:$N$191,0)) * SUM(($H$530:$O$530=$A771)*($G$532:$G$539=$D771)*($H$532:$O$539)) * (SUM(($C$519:$C$526=$A771)*(G$519:G$526)) + SUM(($C$510:$C$517=$A771)*(G$510:G$517))) * $E771</f>
        <v>0</v>
      </c>
      <c r="H771" s="678">
        <f t="shared" si="178"/>
        <v>0</v>
      </c>
      <c r="I771" s="678">
        <f t="array" ref="I771">1/INDEX($G$193:$N$193,MATCH($A771,$G$191:$N$191,0)) * SUM(($H$530:$O$530=$A771)*($G$532:$G$539=$D771)*($H$532:$O$539)) * (SUM(($C$519:$C$526=$A771)*(I$519:I$526)) + SUM(($C$510:$C$517=$A771)*(I$510:I$517))) * $E771</f>
        <v>0</v>
      </c>
      <c r="J771" s="678">
        <f t="shared" si="178"/>
        <v>0</v>
      </c>
      <c r="K771" s="678">
        <f t="array" ref="K771">1/INDEX($G$193:$N$193,MATCH($A771,$G$191:$N$191,0)) * SUM(($H$530:$O$530=$A771)*($G$532:$G$539=$D771)*($H$532:$O$539)) * (SUM(($C$519:$C$526=$A771)*(K$519:K$526)) + SUM(($C$510:$C$517=$A771)*(K$510:K$517))) * $E771</f>
        <v>0</v>
      </c>
      <c r="L771" s="678">
        <f t="shared" si="175"/>
        <v>0</v>
      </c>
      <c r="M771" s="678">
        <f t="array" ref="M771">1/INDEX($G$193:$N$193,MATCH($A771,$G$191:$N$191,0)) * SUM(($H$530:$O$530=$A771)*($G$532:$G$539=$D771)*($H$532:$O$539)) * (SUM(($C$519:$C$526=$A771)*(M$519:M$526)) + SUM(($C$510:$C$517=$A771)*(M$510:M$517))) * $E771</f>
        <v>0</v>
      </c>
      <c r="N771" s="678">
        <f t="shared" si="176"/>
        <v>0</v>
      </c>
      <c r="O771" s="678">
        <f t="array" ref="O771">1/INDEX($G$193:$N$193,MATCH($A771,$G$191:$N$191,0)) * SUM(($H$530:$O$530=$A771)*($G$532:$G$539=$D771)*($H$532:$O$539)) * (SUM(($C$519:$C$526=$A771)*(O$519:O$526)) + SUM(($C$510:$C$517=$A771)*(O$510:O$517))) * $E771</f>
        <v>0</v>
      </c>
    </row>
    <row r="772" spans="1:15" s="19" customFormat="1">
      <c r="A772" s="19" t="str">
        <f t="shared" si="177"/>
        <v>MI</v>
      </c>
      <c r="B772" s="347" t="str">
        <f>INDEX(EF[UK Vector],MATCH(D772,EF[SATIM Code],0))</f>
        <v>V.01</v>
      </c>
      <c r="C772" s="1438" t="str">
        <f>INDEX(Vectors[Description], MATCH($B772, Vectors[Code], 0))</f>
        <v>Electricity (delivered to end user)</v>
      </c>
      <c r="D772" s="656" t="s">
        <v>879</v>
      </c>
      <c r="E772" s="1228">
        <f t="shared" si="174"/>
        <v>1</v>
      </c>
      <c r="F772" s="678">
        <f t="array" ref="F772">1/INDEX($G$193:$N$193,MATCH($A772,$G$191:$N$191,0)) * SUM(($H$203:$O$203=$A772)*($G$205:$G$212=$D772)*($H$205:$O$212)) * (SUM(($C$519:$C$526=$A772)*(F$519:F$526)) + SUM(($C$510:$C$517=$A772)*(F$510:F$517))) * $E772</f>
        <v>0</v>
      </c>
      <c r="G772" s="678">
        <f t="array" ref="G772">1/INDEX($G$193:$N$193,MATCH($A772,$G$191:$N$191,0)) * SUM(($H$530:$O$530=$A772)*($G$532:$G$539=$D772)*($H$532:$O$539)) * (SUM(($C$519:$C$526=$A772)*(G$519:G$526)) + SUM(($C$510:$C$517=$A772)*(G$510:G$517))) * $E772</f>
        <v>0</v>
      </c>
      <c r="H772" s="678">
        <f t="shared" si="178"/>
        <v>0</v>
      </c>
      <c r="I772" s="678">
        <f t="array" ref="I772">1/INDEX($G$193:$N$193,MATCH($A772,$G$191:$N$191,0)) * SUM(($H$530:$O$530=$A772)*($G$532:$G$539=$D772)*($H$532:$O$539)) * (SUM(($C$519:$C$526=$A772)*(I$519:I$526)) + SUM(($C$510:$C$517=$A772)*(I$510:I$517))) * $E772</f>
        <v>0</v>
      </c>
      <c r="J772" s="678">
        <f t="shared" si="178"/>
        <v>0</v>
      </c>
      <c r="K772" s="678">
        <f t="array" ref="K772">1/INDEX($G$193:$N$193,MATCH($A772,$G$191:$N$191,0)) * SUM(($H$530:$O$530=$A772)*($G$532:$G$539=$D772)*($H$532:$O$539)) * (SUM(($C$519:$C$526=$A772)*(K$519:K$526)) + SUM(($C$510:$C$517=$A772)*(K$510:K$517))) * $E772</f>
        <v>0</v>
      </c>
      <c r="L772" s="678">
        <f t="shared" si="175"/>
        <v>0</v>
      </c>
      <c r="M772" s="678">
        <f t="array" ref="M772">1/INDEX($G$193:$N$193,MATCH($A772,$G$191:$N$191,0)) * SUM(($H$530:$O$530=$A772)*($G$532:$G$539=$D772)*($H$532:$O$539)) * (SUM(($C$519:$C$526=$A772)*(M$519:M$526)) + SUM(($C$510:$C$517=$A772)*(M$510:M$517))) * $E772</f>
        <v>0</v>
      </c>
      <c r="N772" s="678">
        <f t="shared" si="176"/>
        <v>0</v>
      </c>
      <c r="O772" s="678">
        <f t="array" ref="O772">1/INDEX($G$193:$N$193,MATCH($A772,$G$191:$N$191,0)) * SUM(($H$530:$O$530=$A772)*($G$532:$G$539=$D772)*($H$532:$O$539)) * (SUM(($C$519:$C$526=$A772)*(O$519:O$526)) + SUM(($C$510:$C$517=$A772)*(O$510:O$517))) * $E772</f>
        <v>0</v>
      </c>
    </row>
    <row r="773" spans="1:15" s="19" customFormat="1">
      <c r="A773" s="19" t="str">
        <f t="shared" si="177"/>
        <v>MI</v>
      </c>
      <c r="B773" s="347" t="str">
        <f>INDEX(EF[UK Vector],MATCH(D773,EF[SATIM Code],0))</f>
        <v>V.09</v>
      </c>
      <c r="C773" s="1438" t="str">
        <f>INDEX(Vectors[Description], MATCH($B773, Vectors[Code], 0))</f>
        <v>Dry biomass and waste</v>
      </c>
      <c r="D773" s="656" t="s">
        <v>888</v>
      </c>
      <c r="E773" s="1228">
        <f t="shared" si="174"/>
        <v>1</v>
      </c>
      <c r="F773" s="678">
        <f t="array" ref="F773">1/INDEX($G$193:$N$193,MATCH($A773,$G$191:$N$191,0)) * SUM(($H$203:$O$203=$A773)*($G$205:$G$212=$D773)*($H$205:$O$212)) * (SUM(($C$519:$C$526=$A773)*(F$519:F$526)) + SUM(($C$510:$C$517=$A773)*(F$510:F$517))) * $E773</f>
        <v>0</v>
      </c>
      <c r="G773" s="678">
        <f t="array" ref="G773">1/INDEX($G$193:$N$193,MATCH($A773,$G$191:$N$191,0)) * SUM(($H$530:$O$530=$A773)*($G$532:$G$539=$D773)*($H$532:$O$539)) * (SUM(($C$519:$C$526=$A773)*(G$519:G$526)) + SUM(($C$510:$C$517=$A773)*(G$510:G$517))) * $E773</f>
        <v>0</v>
      </c>
      <c r="H773" s="678">
        <f t="shared" si="178"/>
        <v>0</v>
      </c>
      <c r="I773" s="678">
        <f t="array" ref="I773">1/INDEX($G$193:$N$193,MATCH($A773,$G$191:$N$191,0)) * SUM(($H$530:$O$530=$A773)*($G$532:$G$539=$D773)*($H$532:$O$539)) * (SUM(($C$519:$C$526=$A773)*(I$519:I$526)) + SUM(($C$510:$C$517=$A773)*(I$510:I$517))) * $E773</f>
        <v>0</v>
      </c>
      <c r="J773" s="678">
        <f t="shared" si="178"/>
        <v>0</v>
      </c>
      <c r="K773" s="678">
        <f t="array" ref="K773">1/INDEX($G$193:$N$193,MATCH($A773,$G$191:$N$191,0)) * SUM(($H$530:$O$530=$A773)*($G$532:$G$539=$D773)*($H$532:$O$539)) * (SUM(($C$519:$C$526=$A773)*(K$519:K$526)) + SUM(($C$510:$C$517=$A773)*(K$510:K$517))) * $E773</f>
        <v>0</v>
      </c>
      <c r="L773" s="678">
        <f t="shared" si="175"/>
        <v>0</v>
      </c>
      <c r="M773" s="678">
        <f t="array" ref="M773">1/INDEX($G$193:$N$193,MATCH($A773,$G$191:$N$191,0)) * SUM(($H$530:$O$530=$A773)*($G$532:$G$539=$D773)*($H$532:$O$539)) * (SUM(($C$519:$C$526=$A773)*(M$519:M$526)) + SUM(($C$510:$C$517=$A773)*(M$510:M$517))) * $E773</f>
        <v>0</v>
      </c>
      <c r="N773" s="678">
        <f t="shared" si="176"/>
        <v>0</v>
      </c>
      <c r="O773" s="678">
        <f t="array" ref="O773">1/INDEX($G$193:$N$193,MATCH($A773,$G$191:$N$191,0)) * SUM(($H$530:$O$530=$A773)*($G$532:$G$539=$D773)*($H$532:$O$539)) * (SUM(($C$519:$C$526=$A773)*(O$519:O$526)) + SUM(($C$510:$C$517=$A773)*(O$510:O$517))) * $E773</f>
        <v>0</v>
      </c>
    </row>
    <row r="774" spans="1:15" s="19" customFormat="1">
      <c r="A774" s="19" t="str">
        <f t="shared" si="177"/>
        <v>MI</v>
      </c>
      <c r="B774" s="347" t="str">
        <f>INDEX(EF[UK Vector],MATCH(D774,EF[SATIM Code],0))</f>
        <v>V.09</v>
      </c>
      <c r="C774" s="1438" t="str">
        <f>INDEX(Vectors[Description], MATCH($B774, Vectors[Code], 0))</f>
        <v>Dry biomass and waste</v>
      </c>
      <c r="D774" s="656" t="s">
        <v>889</v>
      </c>
      <c r="E774" s="1228">
        <f t="shared" si="174"/>
        <v>1</v>
      </c>
      <c r="F774" s="678">
        <f t="array" ref="F774">1/INDEX($G$193:$N$193,MATCH($A774,$G$191:$N$191,0)) * SUM(($H$203:$O$203=$A774)*($G$205:$G$212=$D774)*($H$205:$O$212)) * (SUM(($C$519:$C$526=$A774)*(F$519:F$526)) + SUM(($C$510:$C$517=$A774)*(F$510:F$517))) * $E774</f>
        <v>0</v>
      </c>
      <c r="G774" s="678">
        <f t="array" ref="G774">1/INDEX($G$193:$N$193,MATCH($A774,$G$191:$N$191,0)) * SUM(($H$530:$O$530=$A774)*($G$532:$G$539=$D774)*($H$532:$O$539)) * (SUM(($C$519:$C$526=$A774)*(G$519:G$526)) + SUM(($C$510:$C$517=$A774)*(G$510:G$517))) * $E774</f>
        <v>0</v>
      </c>
      <c r="H774" s="678">
        <f t="shared" si="178"/>
        <v>0</v>
      </c>
      <c r="I774" s="678">
        <f t="array" ref="I774">1/INDEX($G$193:$N$193,MATCH($A774,$G$191:$N$191,0)) * SUM(($H$530:$O$530=$A774)*($G$532:$G$539=$D774)*($H$532:$O$539)) * (SUM(($C$519:$C$526=$A774)*(I$519:I$526)) + SUM(($C$510:$C$517=$A774)*(I$510:I$517))) * $E774</f>
        <v>0</v>
      </c>
      <c r="J774" s="678">
        <f t="shared" si="178"/>
        <v>0</v>
      </c>
      <c r="K774" s="678">
        <f t="array" ref="K774">1/INDEX($G$193:$N$193,MATCH($A774,$G$191:$N$191,0)) * SUM(($H$530:$O$530=$A774)*($G$532:$G$539=$D774)*($H$532:$O$539)) * (SUM(($C$519:$C$526=$A774)*(K$519:K$526)) + SUM(($C$510:$C$517=$A774)*(K$510:K$517))) * $E774</f>
        <v>0</v>
      </c>
      <c r="L774" s="678">
        <f t="shared" si="175"/>
        <v>0</v>
      </c>
      <c r="M774" s="678">
        <f t="array" ref="M774">1/INDEX($G$193:$N$193,MATCH($A774,$G$191:$N$191,0)) * SUM(($H$530:$O$530=$A774)*($G$532:$G$539=$D774)*($H$532:$O$539)) * (SUM(($C$519:$C$526=$A774)*(M$519:M$526)) + SUM(($C$510:$C$517=$A774)*(M$510:M$517))) * $E774</f>
        <v>0</v>
      </c>
      <c r="N774" s="678">
        <f t="shared" si="176"/>
        <v>0</v>
      </c>
      <c r="O774" s="678">
        <f t="array" ref="O774">1/INDEX($G$193:$N$193,MATCH($A774,$G$191:$N$191,0)) * SUM(($H$530:$O$530=$A774)*($G$532:$G$539=$D774)*($H$532:$O$539)) * (SUM(($C$519:$C$526=$A774)*(O$519:O$526)) + SUM(($C$510:$C$517=$A774)*(O$510:O$517))) * $E774</f>
        <v>0</v>
      </c>
    </row>
    <row r="775" spans="1:15" s="19" customFormat="1">
      <c r="A775" s="19" t="str">
        <f t="shared" si="177"/>
        <v>MI</v>
      </c>
      <c r="B775" s="347" t="str">
        <f>INDEX(EF[UK Vector],MATCH(D775,EF[SATIM Code],0))</f>
        <v>V.16</v>
      </c>
      <c r="C775" s="1438" t="str">
        <f>INDEX(Vectors[Description], MATCH($B775, Vectors[Code], 0))</f>
        <v>Other Waste</v>
      </c>
      <c r="D775" s="17" t="s">
        <v>890</v>
      </c>
      <c r="E775" s="1228">
        <f t="shared" si="174"/>
        <v>1</v>
      </c>
      <c r="F775" s="678">
        <f t="array" ref="F775">1/INDEX($G$193:$N$193,MATCH($A775,$G$191:$N$191,0)) * SUM(($H$203:$O$203=$A775)*($G$205:$G$212=$D775)*($H$205:$O$212)) * (SUM(($C$519:$C$526=$A775)*(F$519:F$526)) + SUM(($C$510:$C$517=$A775)*(F$510:F$517))) * $E775</f>
        <v>0</v>
      </c>
      <c r="G775" s="678">
        <f t="array" ref="G775">1/INDEX($G$193:$N$193,MATCH($A775,$G$191:$N$191,0)) * SUM(($H$530:$O$530=$A775)*($G$532:$G$539=$D775)*($H$532:$O$539)) * (SUM(($C$519:$C$526=$A775)*(G$519:G$526)) + SUM(($C$510:$C$517=$A775)*(G$510:G$517))) * $E775</f>
        <v>0</v>
      </c>
      <c r="H775" s="678">
        <f t="shared" si="178"/>
        <v>0</v>
      </c>
      <c r="I775" s="678">
        <f t="array" ref="I775">1/INDEX($G$193:$N$193,MATCH($A775,$G$191:$N$191,0)) * SUM(($H$530:$O$530=$A775)*($G$532:$G$539=$D775)*($H$532:$O$539)) * (SUM(($C$519:$C$526=$A775)*(I$519:I$526)) + SUM(($C$510:$C$517=$A775)*(I$510:I$517))) * $E775</f>
        <v>0</v>
      </c>
      <c r="J775" s="678">
        <f t="shared" si="178"/>
        <v>0</v>
      </c>
      <c r="K775" s="678">
        <f t="array" ref="K775">1/INDEX($G$193:$N$193,MATCH($A775,$G$191:$N$191,0)) * SUM(($H$530:$O$530=$A775)*($G$532:$G$539=$D775)*($H$532:$O$539)) * (SUM(($C$519:$C$526=$A775)*(K$519:K$526)) + SUM(($C$510:$C$517=$A775)*(K$510:K$517))) * $E775</f>
        <v>0</v>
      </c>
      <c r="L775" s="678">
        <f t="shared" si="175"/>
        <v>0</v>
      </c>
      <c r="M775" s="678">
        <f t="array" ref="M775">1/INDEX($G$193:$N$193,MATCH($A775,$G$191:$N$191,0)) * SUM(($H$530:$O$530=$A775)*($G$532:$G$539=$D775)*($H$532:$O$539)) * (SUM(($C$519:$C$526=$A775)*(M$519:M$526)) + SUM(($C$510:$C$517=$A775)*(M$510:M$517))) * $E775</f>
        <v>0</v>
      </c>
      <c r="N775" s="678">
        <f t="shared" si="176"/>
        <v>0</v>
      </c>
      <c r="O775" s="678">
        <f t="array" ref="O775">1/INDEX($G$193:$N$193,MATCH($A775,$G$191:$N$191,0)) * SUM(($H$530:$O$530=$A775)*($G$532:$G$539=$D775)*($H$532:$O$539)) * (SUM(($C$519:$C$526=$A775)*(O$519:O$526)) + SUM(($C$510:$C$517=$A775)*(O$510:O$517))) * $E775</f>
        <v>0</v>
      </c>
    </row>
    <row r="776" spans="1:15" s="19" customFormat="1">
      <c r="A776" s="1086"/>
      <c r="B776" s="347"/>
      <c r="D776" s="17"/>
      <c r="E776" s="1228"/>
      <c r="F776" s="678"/>
      <c r="G776" s="678"/>
      <c r="H776" s="678"/>
      <c r="I776" s="678"/>
      <c r="J776" s="678"/>
      <c r="K776" s="678"/>
      <c r="L776" s="678"/>
      <c r="M776" s="678"/>
      <c r="N776" s="678"/>
      <c r="O776" s="678"/>
    </row>
    <row r="777" spans="1:15" s="19" customFormat="1">
      <c r="A777" s="1456"/>
      <c r="B777" s="347"/>
      <c r="C777" s="1459" t="str">
        <f>D21</f>
        <v>Iron  &amp; Steel  - 351</v>
      </c>
      <c r="D777" s="17"/>
      <c r="E777" s="1228"/>
      <c r="F777" s="678"/>
      <c r="G777" s="678"/>
      <c r="H777" s="678"/>
      <c r="I777" s="678"/>
      <c r="J777" s="678"/>
      <c r="K777" s="678"/>
      <c r="L777" s="678"/>
      <c r="M777" s="678"/>
      <c r="N777" s="678"/>
      <c r="O777" s="678"/>
    </row>
    <row r="778" spans="1:15" s="19" customFormat="1">
      <c r="A778" s="1456" t="str">
        <f>INDEX($C$20:$C$27,MATCH($C777,$D$20:$D$27,0))</f>
        <v>IS</v>
      </c>
      <c r="B778" s="347" t="str">
        <f>INDEX(EF[UK Vector],MATCH(D778,EF[SATIM Code],0))</f>
        <v>V.03</v>
      </c>
      <c r="C778" s="1438" t="str">
        <f>INDEX(Vectors[Description], MATCH($B778, Vectors[Code], 0))</f>
        <v>Solid hydrocarbons</v>
      </c>
      <c r="D778" s="17" t="s">
        <v>882</v>
      </c>
      <c r="E778" s="1228">
        <f t="shared" ref="E778:E785" si="179">INDEX($G$199:$N$199,MATCH($A778,$G$191:$N$191,0))</f>
        <v>0</v>
      </c>
      <c r="F778" s="678">
        <f t="array" ref="F778">1/INDEX($G$193:$N$193,MATCH($A778,$G$191:$N$191,0)) * SUM(($H$203:$O$203=$A778)*($G$205:$G$212=$D778)*($H$205:$O$212)) * (SUM(($C$519:$C$526=$A778)*(F$519:F$526)) + SUM(($C$510:$C$517=$A778)*(F$510:F$517))) * $E778</f>
        <v>0</v>
      </c>
      <c r="G778" s="678">
        <f t="array" ref="G778">1/INDEX($G$193:$N$193,MATCH($A778,$G$191:$N$191,0)) * SUM(($H$530:$O$530=$A778)*($G$532:$G$539=$D778)*($H$532:$O$539)) * (SUM(($C$519:$C$526=$A778)*(G$519:G$526)) + SUM(($C$510:$C$517=$A778)*(G$510:G$517))) * $E778</f>
        <v>0</v>
      </c>
      <c r="H778" s="678">
        <f t="shared" si="178"/>
        <v>0</v>
      </c>
      <c r="I778" s="678">
        <f t="array" ref="I778">1/INDEX($G$193:$N$193,MATCH($A778,$G$191:$N$191,0)) * SUM(($H$530:$O$530=$A778)*($G$532:$G$539=$D778)*($H$532:$O$539)) * (SUM(($C$519:$C$526=$A778)*(I$519:I$526)) + SUM(($C$510:$C$517=$A778)*(I$510:I$517))) * $E778</f>
        <v>0</v>
      </c>
      <c r="J778" s="678">
        <f t="shared" si="178"/>
        <v>0</v>
      </c>
      <c r="K778" s="678">
        <f t="array" ref="K778">1/INDEX($G$193:$N$193,MATCH($A778,$G$191:$N$191,0)) * SUM(($H$530:$O$530=$A778)*($G$532:$G$539=$D778)*($H$532:$O$539)) * (SUM(($C$519:$C$526=$A778)*(K$519:K$526)) + SUM(($C$510:$C$517=$A778)*(K$510:K$517))) * $E778</f>
        <v>0</v>
      </c>
      <c r="L778" s="678">
        <f t="shared" ref="L778:L785" si="180">AVERAGE(K778,M778)</f>
        <v>0</v>
      </c>
      <c r="M778" s="678">
        <f t="array" ref="M778">1/INDEX($G$193:$N$193,MATCH($A778,$G$191:$N$191,0)) * SUM(($H$530:$O$530=$A778)*($G$532:$G$539=$D778)*($H$532:$O$539)) * (SUM(($C$519:$C$526=$A778)*(M$519:M$526)) + SUM(($C$510:$C$517=$A778)*(M$510:M$517))) * $E778</f>
        <v>0</v>
      </c>
      <c r="N778" s="678">
        <f t="shared" ref="N778:N785" si="181">AVERAGE(M778,O778)</f>
        <v>0</v>
      </c>
      <c r="O778" s="678">
        <f t="array" ref="O778">1/INDEX($G$193:$N$193,MATCH($A778,$G$191:$N$191,0)) * SUM(($H$530:$O$530=$A778)*($G$532:$G$539=$D778)*($H$532:$O$539)) * (SUM(($C$519:$C$526=$A778)*(O$519:O$526)) + SUM(($C$510:$C$517=$A778)*(O$510:O$517))) * $E778</f>
        <v>0</v>
      </c>
    </row>
    <row r="779" spans="1:15" s="19" customFormat="1">
      <c r="A779" s="1438" t="str">
        <f t="shared" ref="A779:A785" si="182">A778</f>
        <v>IS</v>
      </c>
      <c r="B779" s="347" t="str">
        <f>INDEX(EF[UK Vector],MATCH(D779,EF[SATIM Code],0))</f>
        <v>V.05</v>
      </c>
      <c r="C779" s="1438" t="str">
        <f>INDEX(Vectors[Description], MATCH($B779, Vectors[Code], 0))</f>
        <v>Gaseous hydrocarbons</v>
      </c>
      <c r="D779" s="656" t="s">
        <v>869</v>
      </c>
      <c r="E779" s="1228">
        <f t="shared" si="179"/>
        <v>0</v>
      </c>
      <c r="F779" s="678">
        <f t="array" ref="F779">1/INDEX($G$193:$N$193,MATCH($A779,$G$191:$N$191,0)) * SUM(($H$203:$O$203=$A779)*($G$205:$G$212=$D779)*($H$205:$O$212)) * (SUM(($C$519:$C$526=$A779)*(F$519:F$526)) + SUM(($C$510:$C$517=$A779)*(F$510:F$517))) * $E779</f>
        <v>0</v>
      </c>
      <c r="G779" s="678">
        <f t="array" ref="G779">1/INDEX($G$193:$N$193,MATCH($A779,$G$191:$N$191,0)) * SUM(($H$530:$O$530=$A779)*($G$532:$G$539=$D779)*($H$532:$O$539)) * (SUM(($C$519:$C$526=$A779)*(G$519:G$526)) + SUM(($C$510:$C$517=$A779)*(G$510:G$517))) * $E779</f>
        <v>0</v>
      </c>
      <c r="H779" s="678">
        <f t="shared" si="178"/>
        <v>0</v>
      </c>
      <c r="I779" s="678">
        <f t="array" ref="I779">1/INDEX($G$193:$N$193,MATCH($A779,$G$191:$N$191,0)) * SUM(($H$530:$O$530=$A779)*($G$532:$G$539=$D779)*($H$532:$O$539)) * (SUM(($C$519:$C$526=$A779)*(I$519:I$526)) + SUM(($C$510:$C$517=$A779)*(I$510:I$517))) * $E779</f>
        <v>0</v>
      </c>
      <c r="J779" s="678">
        <f t="shared" si="178"/>
        <v>0</v>
      </c>
      <c r="K779" s="678">
        <f t="array" ref="K779">1/INDEX($G$193:$N$193,MATCH($A779,$G$191:$N$191,0)) * SUM(($H$530:$O$530=$A779)*($G$532:$G$539=$D779)*($H$532:$O$539)) * (SUM(($C$519:$C$526=$A779)*(K$519:K$526)) + SUM(($C$510:$C$517=$A779)*(K$510:K$517))) * $E779</f>
        <v>0</v>
      </c>
      <c r="L779" s="678">
        <f t="shared" si="180"/>
        <v>0</v>
      </c>
      <c r="M779" s="678">
        <f t="array" ref="M779">1/INDEX($G$193:$N$193,MATCH($A779,$G$191:$N$191,0)) * SUM(($H$530:$O$530=$A779)*($G$532:$G$539=$D779)*($H$532:$O$539)) * (SUM(($C$519:$C$526=$A779)*(M$519:M$526)) + SUM(($C$510:$C$517=$A779)*(M$510:M$517))) * $E779</f>
        <v>0</v>
      </c>
      <c r="N779" s="678">
        <f t="shared" si="181"/>
        <v>0</v>
      </c>
      <c r="O779" s="678">
        <f t="array" ref="O779">1/INDEX($G$193:$N$193,MATCH($A779,$G$191:$N$191,0)) * SUM(($H$530:$O$530=$A779)*($G$532:$G$539=$D779)*($H$532:$O$539)) * (SUM(($C$519:$C$526=$A779)*(O$519:O$526)) + SUM(($C$510:$C$517=$A779)*(O$510:O$517))) * $E779</f>
        <v>0</v>
      </c>
    </row>
    <row r="780" spans="1:15" s="19" customFormat="1">
      <c r="A780" s="1438" t="str">
        <f t="shared" si="182"/>
        <v>IS</v>
      </c>
      <c r="B780" s="347" t="str">
        <f>INDEX(EF[UK Vector],MATCH(D780,EF[SATIM Code],0))</f>
        <v>V.04</v>
      </c>
      <c r="C780" s="1438" t="str">
        <f>INDEX(Vectors[Description], MATCH($B780, Vectors[Code], 0))</f>
        <v>Liquid hydrocarbons</v>
      </c>
      <c r="D780" s="656" t="s">
        <v>885</v>
      </c>
      <c r="E780" s="1228">
        <f t="shared" si="179"/>
        <v>0</v>
      </c>
      <c r="F780" s="678">
        <f t="array" ref="F780">1/INDEX($G$193:$N$193,MATCH($A780,$G$191:$N$191,0)) * SUM(($H$203:$O$203=$A780)*($G$205:$G$212=$D780)*($H$205:$O$212)) * (SUM(($C$519:$C$526=$A780)*(F$519:F$526)) + SUM(($C$510:$C$517=$A780)*(F$510:F$517))) * $E780</f>
        <v>0</v>
      </c>
      <c r="G780" s="678">
        <f t="array" ref="G780">1/INDEX($G$193:$N$193,MATCH($A780,$G$191:$N$191,0)) * SUM(($H$530:$O$530=$A780)*($G$532:$G$539=$D780)*($H$532:$O$539)) * (SUM(($C$519:$C$526=$A780)*(G$519:G$526)) + SUM(($C$510:$C$517=$A780)*(G$510:G$517))) * $E780</f>
        <v>0</v>
      </c>
      <c r="H780" s="678">
        <f t="shared" si="178"/>
        <v>0</v>
      </c>
      <c r="I780" s="678">
        <f t="array" ref="I780">1/INDEX($G$193:$N$193,MATCH($A780,$G$191:$N$191,0)) * SUM(($H$530:$O$530=$A780)*($G$532:$G$539=$D780)*($H$532:$O$539)) * (SUM(($C$519:$C$526=$A780)*(I$519:I$526)) + SUM(($C$510:$C$517=$A780)*(I$510:I$517))) * $E780</f>
        <v>0</v>
      </c>
      <c r="J780" s="678">
        <f t="shared" si="178"/>
        <v>0</v>
      </c>
      <c r="K780" s="678">
        <f t="array" ref="K780">1/INDEX($G$193:$N$193,MATCH($A780,$G$191:$N$191,0)) * SUM(($H$530:$O$530=$A780)*($G$532:$G$539=$D780)*($H$532:$O$539)) * (SUM(($C$519:$C$526=$A780)*(K$519:K$526)) + SUM(($C$510:$C$517=$A780)*(K$510:K$517))) * $E780</f>
        <v>0</v>
      </c>
      <c r="L780" s="678">
        <f t="shared" si="180"/>
        <v>0</v>
      </c>
      <c r="M780" s="678">
        <f t="array" ref="M780">1/INDEX($G$193:$N$193,MATCH($A780,$G$191:$N$191,0)) * SUM(($H$530:$O$530=$A780)*($G$532:$G$539=$D780)*($H$532:$O$539)) * (SUM(($C$519:$C$526=$A780)*(M$519:M$526)) + SUM(($C$510:$C$517=$A780)*(M$510:M$517))) * $E780</f>
        <v>0</v>
      </c>
      <c r="N780" s="678">
        <f t="shared" si="181"/>
        <v>0</v>
      </c>
      <c r="O780" s="678">
        <f t="array" ref="O780">1/INDEX($G$193:$N$193,MATCH($A780,$G$191:$N$191,0)) * SUM(($H$530:$O$530=$A780)*($G$532:$G$539=$D780)*($H$532:$O$539)) * (SUM(($C$519:$C$526=$A780)*(O$519:O$526)) + SUM(($C$510:$C$517=$A780)*(O$510:O$517))) * $E780</f>
        <v>0</v>
      </c>
    </row>
    <row r="781" spans="1:15" s="19" customFormat="1">
      <c r="A781" s="1438" t="str">
        <f t="shared" si="182"/>
        <v>IS</v>
      </c>
      <c r="B781" s="347" t="str">
        <f>INDEX(EF[UK Vector],MATCH(D781,EF[SATIM Code],0))</f>
        <v>V.04</v>
      </c>
      <c r="C781" s="1438" t="str">
        <f>INDEX(Vectors[Description], MATCH($B781, Vectors[Code], 0))</f>
        <v>Liquid hydrocarbons</v>
      </c>
      <c r="D781" s="656" t="s">
        <v>887</v>
      </c>
      <c r="E781" s="1228">
        <f t="shared" si="179"/>
        <v>0</v>
      </c>
      <c r="F781" s="678">
        <f t="array" ref="F781">1/INDEX($G$193:$N$193,MATCH($A781,$G$191:$N$191,0)) * SUM(($H$203:$O$203=$A781)*($G$205:$G$212=$D781)*($H$205:$O$212)) * (SUM(($C$519:$C$526=$A781)*(F$519:F$526)) + SUM(($C$510:$C$517=$A781)*(F$510:F$517))) * $E781</f>
        <v>0</v>
      </c>
      <c r="G781" s="678">
        <f t="array" ref="G781">1/INDEX($G$193:$N$193,MATCH($A781,$G$191:$N$191,0)) * SUM(($H$530:$O$530=$A781)*($G$532:$G$539=$D781)*($H$532:$O$539)) * (SUM(($C$519:$C$526=$A781)*(G$519:G$526)) + SUM(($C$510:$C$517=$A781)*(G$510:G$517))) * $E781</f>
        <v>0</v>
      </c>
      <c r="H781" s="678">
        <f t="shared" si="178"/>
        <v>0</v>
      </c>
      <c r="I781" s="678">
        <f t="array" ref="I781">1/INDEX($G$193:$N$193,MATCH($A781,$G$191:$N$191,0)) * SUM(($H$530:$O$530=$A781)*($G$532:$G$539=$D781)*($H$532:$O$539)) * (SUM(($C$519:$C$526=$A781)*(I$519:I$526)) + SUM(($C$510:$C$517=$A781)*(I$510:I$517))) * $E781</f>
        <v>0</v>
      </c>
      <c r="J781" s="678">
        <f t="shared" si="178"/>
        <v>0</v>
      </c>
      <c r="K781" s="678">
        <f t="array" ref="K781">1/INDEX($G$193:$N$193,MATCH($A781,$G$191:$N$191,0)) * SUM(($H$530:$O$530=$A781)*($G$532:$G$539=$D781)*($H$532:$O$539)) * (SUM(($C$519:$C$526=$A781)*(K$519:K$526)) + SUM(($C$510:$C$517=$A781)*(K$510:K$517))) * $E781</f>
        <v>0</v>
      </c>
      <c r="L781" s="678">
        <f t="shared" si="180"/>
        <v>0</v>
      </c>
      <c r="M781" s="678">
        <f t="array" ref="M781">1/INDEX($G$193:$N$193,MATCH($A781,$G$191:$N$191,0)) * SUM(($H$530:$O$530=$A781)*($G$532:$G$539=$D781)*($H$532:$O$539)) * (SUM(($C$519:$C$526=$A781)*(M$519:M$526)) + SUM(($C$510:$C$517=$A781)*(M$510:M$517))) * $E781</f>
        <v>0</v>
      </c>
      <c r="N781" s="678">
        <f t="shared" si="181"/>
        <v>0</v>
      </c>
      <c r="O781" s="678">
        <f t="array" ref="O781">1/INDEX($G$193:$N$193,MATCH($A781,$G$191:$N$191,0)) * SUM(($H$530:$O$530=$A781)*($G$532:$G$539=$D781)*($H$532:$O$539)) * (SUM(($C$519:$C$526=$A781)*(O$519:O$526)) + SUM(($C$510:$C$517=$A781)*(O$510:O$517))) * $E781</f>
        <v>0</v>
      </c>
    </row>
    <row r="782" spans="1:15" s="19" customFormat="1">
      <c r="A782" s="1438" t="str">
        <f t="shared" si="182"/>
        <v>IS</v>
      </c>
      <c r="B782" s="347" t="str">
        <f>INDEX(EF[UK Vector],MATCH(D782,EF[SATIM Code],0))</f>
        <v>V.01</v>
      </c>
      <c r="C782" s="1438" t="str">
        <f>INDEX(Vectors[Description], MATCH($B782, Vectors[Code], 0))</f>
        <v>Electricity (delivered to end user)</v>
      </c>
      <c r="D782" s="656" t="s">
        <v>879</v>
      </c>
      <c r="E782" s="1228">
        <f t="shared" si="179"/>
        <v>0</v>
      </c>
      <c r="F782" s="678">
        <f t="array" ref="F782">1/INDEX($G$193:$N$193,MATCH($A782,$G$191:$N$191,0)) * SUM(($H$203:$O$203=$A782)*($G$205:$G$212=$D782)*($H$205:$O$212)) * (SUM(($C$519:$C$526=$A782)*(F$519:F$526)) + SUM(($C$510:$C$517=$A782)*(F$510:F$517))) * $E782</f>
        <v>0</v>
      </c>
      <c r="G782" s="678">
        <f t="array" ref="G782">1/INDEX($G$193:$N$193,MATCH($A782,$G$191:$N$191,0)) * SUM(($H$530:$O$530=$A782)*($G$532:$G$539=$D782)*($H$532:$O$539)) * (SUM(($C$519:$C$526=$A782)*(G$519:G$526)) + SUM(($C$510:$C$517=$A782)*(G$510:G$517))) * $E782</f>
        <v>0</v>
      </c>
      <c r="H782" s="678">
        <f t="shared" si="178"/>
        <v>0</v>
      </c>
      <c r="I782" s="678">
        <f t="array" ref="I782">1/INDEX($G$193:$N$193,MATCH($A782,$G$191:$N$191,0)) * SUM(($H$530:$O$530=$A782)*($G$532:$G$539=$D782)*($H$532:$O$539)) * (SUM(($C$519:$C$526=$A782)*(I$519:I$526)) + SUM(($C$510:$C$517=$A782)*(I$510:I$517))) * $E782</f>
        <v>0</v>
      </c>
      <c r="J782" s="678">
        <f t="shared" si="178"/>
        <v>0</v>
      </c>
      <c r="K782" s="678">
        <f t="array" ref="K782">1/INDEX($G$193:$N$193,MATCH($A782,$G$191:$N$191,0)) * SUM(($H$530:$O$530=$A782)*($G$532:$G$539=$D782)*($H$532:$O$539)) * (SUM(($C$519:$C$526=$A782)*(K$519:K$526)) + SUM(($C$510:$C$517=$A782)*(K$510:K$517))) * $E782</f>
        <v>0</v>
      </c>
      <c r="L782" s="678">
        <f t="shared" si="180"/>
        <v>0</v>
      </c>
      <c r="M782" s="678">
        <f t="array" ref="M782">1/INDEX($G$193:$N$193,MATCH($A782,$G$191:$N$191,0)) * SUM(($H$530:$O$530=$A782)*($G$532:$G$539=$D782)*($H$532:$O$539)) * (SUM(($C$519:$C$526=$A782)*(M$519:M$526)) + SUM(($C$510:$C$517=$A782)*(M$510:M$517))) * $E782</f>
        <v>0</v>
      </c>
      <c r="N782" s="678">
        <f t="shared" si="181"/>
        <v>0</v>
      </c>
      <c r="O782" s="678">
        <f t="array" ref="O782">1/INDEX($G$193:$N$193,MATCH($A782,$G$191:$N$191,0)) * SUM(($H$530:$O$530=$A782)*($G$532:$G$539=$D782)*($H$532:$O$539)) * (SUM(($C$519:$C$526=$A782)*(O$519:O$526)) + SUM(($C$510:$C$517=$A782)*(O$510:O$517))) * $E782</f>
        <v>0</v>
      </c>
    </row>
    <row r="783" spans="1:15" s="19" customFormat="1">
      <c r="A783" s="1438" t="str">
        <f t="shared" si="182"/>
        <v>IS</v>
      </c>
      <c r="B783" s="347" t="str">
        <f>INDEX(EF[UK Vector],MATCH(D783,EF[SATIM Code],0))</f>
        <v>V.09</v>
      </c>
      <c r="C783" s="1438" t="str">
        <f>INDEX(Vectors[Description], MATCH($B783, Vectors[Code], 0))</f>
        <v>Dry biomass and waste</v>
      </c>
      <c r="D783" s="656" t="s">
        <v>888</v>
      </c>
      <c r="E783" s="1228">
        <f t="shared" si="179"/>
        <v>0</v>
      </c>
      <c r="F783" s="678">
        <f t="array" ref="F783">1/INDEX($G$193:$N$193,MATCH($A783,$G$191:$N$191,0)) * SUM(($H$203:$O$203=$A783)*($G$205:$G$212=$D783)*($H$205:$O$212)) * (SUM(($C$519:$C$526=$A783)*(F$519:F$526)) + SUM(($C$510:$C$517=$A783)*(F$510:F$517))) * $E783</f>
        <v>0</v>
      </c>
      <c r="G783" s="678">
        <f t="array" ref="G783">1/INDEX($G$193:$N$193,MATCH($A783,$G$191:$N$191,0)) * SUM(($H$530:$O$530=$A783)*($G$532:$G$539=$D783)*($H$532:$O$539)) * (SUM(($C$519:$C$526=$A783)*(G$519:G$526)) + SUM(($C$510:$C$517=$A783)*(G$510:G$517))) * $E783</f>
        <v>0</v>
      </c>
      <c r="H783" s="678">
        <f t="shared" si="178"/>
        <v>0</v>
      </c>
      <c r="I783" s="678">
        <f t="array" ref="I783">1/INDEX($G$193:$N$193,MATCH($A783,$G$191:$N$191,0)) * SUM(($H$530:$O$530=$A783)*($G$532:$G$539=$D783)*($H$532:$O$539)) * (SUM(($C$519:$C$526=$A783)*(I$519:I$526)) + SUM(($C$510:$C$517=$A783)*(I$510:I$517))) * $E783</f>
        <v>0</v>
      </c>
      <c r="J783" s="678">
        <f t="shared" si="178"/>
        <v>0</v>
      </c>
      <c r="K783" s="678">
        <f t="array" ref="K783">1/INDEX($G$193:$N$193,MATCH($A783,$G$191:$N$191,0)) * SUM(($H$530:$O$530=$A783)*($G$532:$G$539=$D783)*($H$532:$O$539)) * (SUM(($C$519:$C$526=$A783)*(K$519:K$526)) + SUM(($C$510:$C$517=$A783)*(K$510:K$517))) * $E783</f>
        <v>0</v>
      </c>
      <c r="L783" s="678">
        <f t="shared" si="180"/>
        <v>0</v>
      </c>
      <c r="M783" s="678">
        <f t="array" ref="M783">1/INDEX($G$193:$N$193,MATCH($A783,$G$191:$N$191,0)) * SUM(($H$530:$O$530=$A783)*($G$532:$G$539=$D783)*($H$532:$O$539)) * (SUM(($C$519:$C$526=$A783)*(M$519:M$526)) + SUM(($C$510:$C$517=$A783)*(M$510:M$517))) * $E783</f>
        <v>0</v>
      </c>
      <c r="N783" s="678">
        <f t="shared" si="181"/>
        <v>0</v>
      </c>
      <c r="O783" s="678">
        <f t="array" ref="O783">1/INDEX($G$193:$N$193,MATCH($A783,$G$191:$N$191,0)) * SUM(($H$530:$O$530=$A783)*($G$532:$G$539=$D783)*($H$532:$O$539)) * (SUM(($C$519:$C$526=$A783)*(O$519:O$526)) + SUM(($C$510:$C$517=$A783)*(O$510:O$517))) * $E783</f>
        <v>0</v>
      </c>
    </row>
    <row r="784" spans="1:15" s="19" customFormat="1">
      <c r="A784" s="1438" t="str">
        <f t="shared" si="182"/>
        <v>IS</v>
      </c>
      <c r="B784" s="347" t="str">
        <f>INDEX(EF[UK Vector],MATCH(D784,EF[SATIM Code],0))</f>
        <v>V.09</v>
      </c>
      <c r="C784" s="1438" t="str">
        <f>INDEX(Vectors[Description], MATCH($B784, Vectors[Code], 0))</f>
        <v>Dry biomass and waste</v>
      </c>
      <c r="D784" s="656" t="s">
        <v>889</v>
      </c>
      <c r="E784" s="1228">
        <f t="shared" si="179"/>
        <v>0</v>
      </c>
      <c r="F784" s="678">
        <f t="array" ref="F784">1/INDEX($G$193:$N$193,MATCH($A784,$G$191:$N$191,0)) * SUM(($H$203:$O$203=$A784)*($G$205:$G$212=$D784)*($H$205:$O$212)) * (SUM(($C$519:$C$526=$A784)*(F$519:F$526)) + SUM(($C$510:$C$517=$A784)*(F$510:F$517))) * $E784</f>
        <v>0</v>
      </c>
      <c r="G784" s="678">
        <f t="array" ref="G784">1/INDEX($G$193:$N$193,MATCH($A784,$G$191:$N$191,0)) * SUM(($H$530:$O$530=$A784)*($G$532:$G$539=$D784)*($H$532:$O$539)) * (SUM(($C$519:$C$526=$A784)*(G$519:G$526)) + SUM(($C$510:$C$517=$A784)*(G$510:G$517))) * $E784</f>
        <v>0</v>
      </c>
      <c r="H784" s="678">
        <f t="shared" si="178"/>
        <v>0</v>
      </c>
      <c r="I784" s="678">
        <f t="array" ref="I784">1/INDEX($G$193:$N$193,MATCH($A784,$G$191:$N$191,0)) * SUM(($H$530:$O$530=$A784)*($G$532:$G$539=$D784)*($H$532:$O$539)) * (SUM(($C$519:$C$526=$A784)*(I$519:I$526)) + SUM(($C$510:$C$517=$A784)*(I$510:I$517))) * $E784</f>
        <v>0</v>
      </c>
      <c r="J784" s="678">
        <f t="shared" si="178"/>
        <v>0</v>
      </c>
      <c r="K784" s="678">
        <f t="array" ref="K784">1/INDEX($G$193:$N$193,MATCH($A784,$G$191:$N$191,0)) * SUM(($H$530:$O$530=$A784)*($G$532:$G$539=$D784)*($H$532:$O$539)) * (SUM(($C$519:$C$526=$A784)*(K$519:K$526)) + SUM(($C$510:$C$517=$A784)*(K$510:K$517))) * $E784</f>
        <v>0</v>
      </c>
      <c r="L784" s="678">
        <f t="shared" si="180"/>
        <v>0</v>
      </c>
      <c r="M784" s="678">
        <f t="array" ref="M784">1/INDEX($G$193:$N$193,MATCH($A784,$G$191:$N$191,0)) * SUM(($H$530:$O$530=$A784)*($G$532:$G$539=$D784)*($H$532:$O$539)) * (SUM(($C$519:$C$526=$A784)*(M$519:M$526)) + SUM(($C$510:$C$517=$A784)*(M$510:M$517))) * $E784</f>
        <v>0</v>
      </c>
      <c r="N784" s="678">
        <f t="shared" si="181"/>
        <v>0</v>
      </c>
      <c r="O784" s="678">
        <f t="array" ref="O784">1/INDEX($G$193:$N$193,MATCH($A784,$G$191:$N$191,0)) * SUM(($H$530:$O$530=$A784)*($G$532:$G$539=$D784)*($H$532:$O$539)) * (SUM(($C$519:$C$526=$A784)*(O$519:O$526)) + SUM(($C$510:$C$517=$A784)*(O$510:O$517))) * $E784</f>
        <v>0</v>
      </c>
    </row>
    <row r="785" spans="1:15" s="19" customFormat="1">
      <c r="A785" s="1438" t="str">
        <f t="shared" si="182"/>
        <v>IS</v>
      </c>
      <c r="B785" s="347" t="str">
        <f>INDEX(EF[UK Vector],MATCH(D785,EF[SATIM Code],0))</f>
        <v>V.16</v>
      </c>
      <c r="C785" s="1438" t="str">
        <f>INDEX(Vectors[Description], MATCH($B785, Vectors[Code], 0))</f>
        <v>Other Waste</v>
      </c>
      <c r="D785" s="17" t="s">
        <v>890</v>
      </c>
      <c r="E785" s="1228">
        <f t="shared" si="179"/>
        <v>0</v>
      </c>
      <c r="F785" s="678">
        <f t="array" ref="F785">1/INDEX($G$193:$N$193,MATCH($A785,$G$191:$N$191,0)) * SUM(($H$203:$O$203=$A785)*($G$205:$G$212=$D785)*($H$205:$O$212)) * (SUM(($C$519:$C$526=$A785)*(F$519:F$526)) + SUM(($C$510:$C$517=$A785)*(F$510:F$517))) * $E785</f>
        <v>0</v>
      </c>
      <c r="G785" s="678">
        <f t="array" ref="G785">1/INDEX($G$193:$N$193,MATCH($A785,$G$191:$N$191,0)) * SUM(($H$530:$O$530=$A785)*($G$532:$G$539=$D785)*($H$532:$O$539)) * (SUM(($C$519:$C$526=$A785)*(G$519:G$526)) + SUM(($C$510:$C$517=$A785)*(G$510:G$517))) * $E785</f>
        <v>0</v>
      </c>
      <c r="H785" s="678">
        <f t="shared" si="178"/>
        <v>0</v>
      </c>
      <c r="I785" s="678">
        <f t="array" ref="I785">1/INDEX($G$193:$N$193,MATCH($A785,$G$191:$N$191,0)) * SUM(($H$530:$O$530=$A785)*($G$532:$G$539=$D785)*($H$532:$O$539)) * (SUM(($C$519:$C$526=$A785)*(I$519:I$526)) + SUM(($C$510:$C$517=$A785)*(I$510:I$517))) * $E785</f>
        <v>0</v>
      </c>
      <c r="J785" s="678">
        <f t="shared" si="178"/>
        <v>0</v>
      </c>
      <c r="K785" s="678">
        <f t="array" ref="K785">1/INDEX($G$193:$N$193,MATCH($A785,$G$191:$N$191,0)) * SUM(($H$530:$O$530=$A785)*($G$532:$G$539=$D785)*($H$532:$O$539)) * (SUM(($C$519:$C$526=$A785)*(K$519:K$526)) + SUM(($C$510:$C$517=$A785)*(K$510:K$517))) * $E785</f>
        <v>0</v>
      </c>
      <c r="L785" s="678">
        <f t="shared" si="180"/>
        <v>0</v>
      </c>
      <c r="M785" s="678">
        <f t="array" ref="M785">1/INDEX($G$193:$N$193,MATCH($A785,$G$191:$N$191,0)) * SUM(($H$530:$O$530=$A785)*($G$532:$G$539=$D785)*($H$532:$O$539)) * (SUM(($C$519:$C$526=$A785)*(M$519:M$526)) + SUM(($C$510:$C$517=$A785)*(M$510:M$517))) * $E785</f>
        <v>0</v>
      </c>
      <c r="N785" s="678">
        <f t="shared" si="181"/>
        <v>0</v>
      </c>
      <c r="O785" s="678">
        <f t="array" ref="O785">1/INDEX($G$193:$N$193,MATCH($A785,$G$191:$N$191,0)) * SUM(($H$530:$O$530=$A785)*($G$532:$G$539=$D785)*($H$532:$O$539)) * (SUM(($C$519:$C$526=$A785)*(O$519:O$526)) + SUM(($C$510:$C$517=$A785)*(O$510:O$517))) * $E785</f>
        <v>0</v>
      </c>
    </row>
    <row r="786" spans="1:15" s="19" customFormat="1">
      <c r="A786" s="1086"/>
      <c r="B786" s="347"/>
      <c r="D786" s="17"/>
      <c r="E786" s="1228"/>
      <c r="F786" s="678"/>
      <c r="G786" s="678"/>
      <c r="H786" s="678"/>
      <c r="I786" s="678"/>
      <c r="J786" s="678"/>
      <c r="K786" s="678"/>
      <c r="L786" s="678"/>
      <c r="M786" s="678"/>
      <c r="N786" s="678"/>
      <c r="O786" s="678"/>
    </row>
    <row r="787" spans="1:15" s="19" customFormat="1">
      <c r="A787" s="1456"/>
      <c r="B787" s="347"/>
      <c r="C787" s="1459" t="str">
        <f>D22</f>
        <v>Chemicals  -33</v>
      </c>
      <c r="D787" s="17"/>
      <c r="E787" s="1228"/>
      <c r="F787" s="678"/>
      <c r="G787" s="678"/>
      <c r="H787" s="678"/>
      <c r="I787" s="678"/>
      <c r="J787" s="678"/>
      <c r="K787" s="678"/>
      <c r="L787" s="678"/>
      <c r="M787" s="678"/>
      <c r="N787" s="678"/>
      <c r="O787" s="678"/>
    </row>
    <row r="788" spans="1:15" s="19" customFormat="1">
      <c r="A788" s="1456" t="str">
        <f>INDEX($C$20:$C$27,MATCH($C787,$D$20:$D$27,0))</f>
        <v>CP</v>
      </c>
      <c r="B788" s="347" t="str">
        <f>INDEX(EF[UK Vector],MATCH(D788,EF[SATIM Code],0))</f>
        <v>V.03</v>
      </c>
      <c r="C788" s="1438" t="str">
        <f>INDEX(Vectors[Description], MATCH($B788, Vectors[Code], 0))</f>
        <v>Solid hydrocarbons</v>
      </c>
      <c r="D788" s="17" t="s">
        <v>882</v>
      </c>
      <c r="E788" s="1228">
        <f t="shared" ref="E788:E795" si="183">INDEX($G$199:$N$199,MATCH($A788,$G$191:$N$191,0))</f>
        <v>1</v>
      </c>
      <c r="F788" s="678">
        <f t="array" ref="F788">1/INDEX($G$193:$N$193,MATCH($A788,$G$191:$N$191,0)) * SUM(($H$203:$O$203=$A788)*($G$205:$G$212=$D788)*($H$205:$O$212)) * (SUM(($C$519:$C$526=$A788)*(F$519:F$526)) + SUM(($C$510:$C$517=$A788)*(F$510:F$517))) * $E788</f>
        <v>0</v>
      </c>
      <c r="G788" s="678">
        <f t="array" ref="G788">1/INDEX($G$193:$N$193,MATCH($A788,$G$191:$N$191,0)) * SUM(($H$530:$O$530=$A788)*($G$532:$G$539=$D788)*($H$532:$O$539)) * (SUM(($C$519:$C$526=$A788)*(G$519:G$526)) + SUM(($C$510:$C$517=$A788)*(G$510:G$517))) * $E788</f>
        <v>0</v>
      </c>
      <c r="H788" s="678">
        <f t="shared" si="178"/>
        <v>0</v>
      </c>
      <c r="I788" s="678">
        <f t="array" ref="I788">1/INDEX($G$193:$N$193,MATCH($A788,$G$191:$N$191,0)) * SUM(($H$530:$O$530=$A788)*($G$532:$G$539=$D788)*($H$532:$O$539)) * (SUM(($C$519:$C$526=$A788)*(I$519:I$526)) + SUM(($C$510:$C$517=$A788)*(I$510:I$517))) * $E788</f>
        <v>0</v>
      </c>
      <c r="J788" s="678">
        <f t="shared" si="178"/>
        <v>0</v>
      </c>
      <c r="K788" s="678">
        <f t="array" ref="K788">1/INDEX($G$193:$N$193,MATCH($A788,$G$191:$N$191,0)) * SUM(($H$530:$O$530=$A788)*($G$532:$G$539=$D788)*($H$532:$O$539)) * (SUM(($C$519:$C$526=$A788)*(K$519:K$526)) + SUM(($C$510:$C$517=$A788)*(K$510:K$517))) * $E788</f>
        <v>0</v>
      </c>
      <c r="L788" s="678">
        <f t="shared" ref="L788:L795" si="184">AVERAGE(K788,M788)</f>
        <v>0</v>
      </c>
      <c r="M788" s="678">
        <f t="array" ref="M788">1/INDEX($G$193:$N$193,MATCH($A788,$G$191:$N$191,0)) * SUM(($H$530:$O$530=$A788)*($G$532:$G$539=$D788)*($H$532:$O$539)) * (SUM(($C$519:$C$526=$A788)*(M$519:M$526)) + SUM(($C$510:$C$517=$A788)*(M$510:M$517))) * $E788</f>
        <v>0</v>
      </c>
      <c r="N788" s="678">
        <f t="shared" ref="N788:N795" si="185">AVERAGE(M788,O788)</f>
        <v>0</v>
      </c>
      <c r="O788" s="678">
        <f t="array" ref="O788">1/INDEX($G$193:$N$193,MATCH($A788,$G$191:$N$191,0)) * SUM(($H$530:$O$530=$A788)*($G$532:$G$539=$D788)*($H$532:$O$539)) * (SUM(($C$519:$C$526=$A788)*(O$519:O$526)) + SUM(($C$510:$C$517=$A788)*(O$510:O$517))) * $E788</f>
        <v>0</v>
      </c>
    </row>
    <row r="789" spans="1:15" s="19" customFormat="1">
      <c r="A789" s="1438" t="str">
        <f t="shared" ref="A789:A795" si="186">A788</f>
        <v>CP</v>
      </c>
      <c r="B789" s="347" t="str">
        <f>INDEX(EF[UK Vector],MATCH(D789,EF[SATIM Code],0))</f>
        <v>V.05</v>
      </c>
      <c r="C789" s="1438" t="str">
        <f>INDEX(Vectors[Description], MATCH($B789, Vectors[Code], 0))</f>
        <v>Gaseous hydrocarbons</v>
      </c>
      <c r="D789" s="656" t="s">
        <v>869</v>
      </c>
      <c r="E789" s="1228">
        <f t="shared" si="183"/>
        <v>1</v>
      </c>
      <c r="F789" s="678">
        <f t="array" ref="F789">1/INDEX($G$193:$N$193,MATCH($A789,$G$191:$N$191,0)) * SUM(($H$203:$O$203=$A789)*($G$205:$G$212=$D789)*($H$205:$O$212)) * (SUM(($C$519:$C$526=$A789)*(F$519:F$526)) + SUM(($C$510:$C$517=$A789)*(F$510:F$517))) * $E789</f>
        <v>0</v>
      </c>
      <c r="G789" s="678">
        <f t="array" ref="G789">1/INDEX($G$193:$N$193,MATCH($A789,$G$191:$N$191,0)) * SUM(($H$530:$O$530=$A789)*($G$532:$G$539=$D789)*($H$532:$O$539)) * (SUM(($C$519:$C$526=$A789)*(G$519:G$526)) + SUM(($C$510:$C$517=$A789)*(G$510:G$517))) * $E789</f>
        <v>0</v>
      </c>
      <c r="H789" s="678">
        <f t="shared" si="178"/>
        <v>0</v>
      </c>
      <c r="I789" s="678">
        <f t="array" ref="I789">1/INDEX($G$193:$N$193,MATCH($A789,$G$191:$N$191,0)) * SUM(($H$530:$O$530=$A789)*($G$532:$G$539=$D789)*($H$532:$O$539)) * (SUM(($C$519:$C$526=$A789)*(I$519:I$526)) + SUM(($C$510:$C$517=$A789)*(I$510:I$517))) * $E789</f>
        <v>0</v>
      </c>
      <c r="J789" s="678">
        <f t="shared" si="178"/>
        <v>0</v>
      </c>
      <c r="K789" s="678">
        <f t="array" ref="K789">1/INDEX($G$193:$N$193,MATCH($A789,$G$191:$N$191,0)) * SUM(($H$530:$O$530=$A789)*($G$532:$G$539=$D789)*($H$532:$O$539)) * (SUM(($C$519:$C$526=$A789)*(K$519:K$526)) + SUM(($C$510:$C$517=$A789)*(K$510:K$517))) * $E789</f>
        <v>0</v>
      </c>
      <c r="L789" s="678">
        <f t="shared" si="184"/>
        <v>0</v>
      </c>
      <c r="M789" s="678">
        <f t="array" ref="M789">1/INDEX($G$193:$N$193,MATCH($A789,$G$191:$N$191,0)) * SUM(($H$530:$O$530=$A789)*($G$532:$G$539=$D789)*($H$532:$O$539)) * (SUM(($C$519:$C$526=$A789)*(M$519:M$526)) + SUM(($C$510:$C$517=$A789)*(M$510:M$517))) * $E789</f>
        <v>0</v>
      </c>
      <c r="N789" s="678">
        <f t="shared" si="185"/>
        <v>0</v>
      </c>
      <c r="O789" s="678">
        <f t="array" ref="O789">1/INDEX($G$193:$N$193,MATCH($A789,$G$191:$N$191,0)) * SUM(($H$530:$O$530=$A789)*($G$532:$G$539=$D789)*($H$532:$O$539)) * (SUM(($C$519:$C$526=$A789)*(O$519:O$526)) + SUM(($C$510:$C$517=$A789)*(O$510:O$517))) * $E789</f>
        <v>0</v>
      </c>
    </row>
    <row r="790" spans="1:15" s="19" customFormat="1">
      <c r="A790" s="1438" t="str">
        <f t="shared" si="186"/>
        <v>CP</v>
      </c>
      <c r="B790" s="347" t="str">
        <f>INDEX(EF[UK Vector],MATCH(D790,EF[SATIM Code],0))</f>
        <v>V.04</v>
      </c>
      <c r="C790" s="1438" t="str">
        <f>INDEX(Vectors[Description], MATCH($B790, Vectors[Code], 0))</f>
        <v>Liquid hydrocarbons</v>
      </c>
      <c r="D790" s="656" t="s">
        <v>885</v>
      </c>
      <c r="E790" s="1228">
        <f t="shared" si="183"/>
        <v>1</v>
      </c>
      <c r="F790" s="678">
        <f t="array" ref="F790">1/INDEX($G$193:$N$193,MATCH($A790,$G$191:$N$191,0)) * SUM(($H$203:$O$203=$A790)*($G$205:$G$212=$D790)*($H$205:$O$212)) * (SUM(($C$519:$C$526=$A790)*(F$519:F$526)) + SUM(($C$510:$C$517=$A790)*(F$510:F$517))) * $E790</f>
        <v>0</v>
      </c>
      <c r="G790" s="678">
        <f t="array" ref="G790">1/INDEX($G$193:$N$193,MATCH($A790,$G$191:$N$191,0)) * SUM(($H$530:$O$530=$A790)*($G$532:$G$539=$D790)*($H$532:$O$539)) * (SUM(($C$519:$C$526=$A790)*(G$519:G$526)) + SUM(($C$510:$C$517=$A790)*(G$510:G$517))) * $E790</f>
        <v>0</v>
      </c>
      <c r="H790" s="678">
        <f t="shared" si="178"/>
        <v>0</v>
      </c>
      <c r="I790" s="678">
        <f t="array" ref="I790">1/INDEX($G$193:$N$193,MATCH($A790,$G$191:$N$191,0)) * SUM(($H$530:$O$530=$A790)*($G$532:$G$539=$D790)*($H$532:$O$539)) * (SUM(($C$519:$C$526=$A790)*(I$519:I$526)) + SUM(($C$510:$C$517=$A790)*(I$510:I$517))) * $E790</f>
        <v>0</v>
      </c>
      <c r="J790" s="678">
        <f t="shared" si="178"/>
        <v>0</v>
      </c>
      <c r="K790" s="678">
        <f t="array" ref="K790">1/INDEX($G$193:$N$193,MATCH($A790,$G$191:$N$191,0)) * SUM(($H$530:$O$530=$A790)*($G$532:$G$539=$D790)*($H$532:$O$539)) * (SUM(($C$519:$C$526=$A790)*(K$519:K$526)) + SUM(($C$510:$C$517=$A790)*(K$510:K$517))) * $E790</f>
        <v>0</v>
      </c>
      <c r="L790" s="678">
        <f t="shared" si="184"/>
        <v>0</v>
      </c>
      <c r="M790" s="678">
        <f t="array" ref="M790">1/INDEX($G$193:$N$193,MATCH($A790,$G$191:$N$191,0)) * SUM(($H$530:$O$530=$A790)*($G$532:$G$539=$D790)*($H$532:$O$539)) * (SUM(($C$519:$C$526=$A790)*(M$519:M$526)) + SUM(($C$510:$C$517=$A790)*(M$510:M$517))) * $E790</f>
        <v>0</v>
      </c>
      <c r="N790" s="678">
        <f t="shared" si="185"/>
        <v>0</v>
      </c>
      <c r="O790" s="678">
        <f t="array" ref="O790">1/INDEX($G$193:$N$193,MATCH($A790,$G$191:$N$191,0)) * SUM(($H$530:$O$530=$A790)*($G$532:$G$539=$D790)*($H$532:$O$539)) * (SUM(($C$519:$C$526=$A790)*(O$519:O$526)) + SUM(($C$510:$C$517=$A790)*(O$510:O$517))) * $E790</f>
        <v>0</v>
      </c>
    </row>
    <row r="791" spans="1:15" s="19" customFormat="1">
      <c r="A791" s="1438" t="str">
        <f t="shared" si="186"/>
        <v>CP</v>
      </c>
      <c r="B791" s="347" t="str">
        <f>INDEX(EF[UK Vector],MATCH(D791,EF[SATIM Code],0))</f>
        <v>V.04</v>
      </c>
      <c r="C791" s="1438" t="str">
        <f>INDEX(Vectors[Description], MATCH($B791, Vectors[Code], 0))</f>
        <v>Liquid hydrocarbons</v>
      </c>
      <c r="D791" s="656" t="s">
        <v>887</v>
      </c>
      <c r="E791" s="1228">
        <f t="shared" si="183"/>
        <v>1</v>
      </c>
      <c r="F791" s="678">
        <f t="array" ref="F791">1/INDEX($G$193:$N$193,MATCH($A791,$G$191:$N$191,0)) * SUM(($H$203:$O$203=$A791)*($G$205:$G$212=$D791)*($H$205:$O$212)) * (SUM(($C$519:$C$526=$A791)*(F$519:F$526)) + SUM(($C$510:$C$517=$A791)*(F$510:F$517))) * $E791</f>
        <v>0</v>
      </c>
      <c r="G791" s="678">
        <f t="array" ref="G791">1/INDEX($G$193:$N$193,MATCH($A791,$G$191:$N$191,0)) * SUM(($H$530:$O$530=$A791)*($G$532:$G$539=$D791)*($H$532:$O$539)) * (SUM(($C$519:$C$526=$A791)*(G$519:G$526)) + SUM(($C$510:$C$517=$A791)*(G$510:G$517))) * $E791</f>
        <v>0</v>
      </c>
      <c r="H791" s="678">
        <f t="shared" si="178"/>
        <v>0</v>
      </c>
      <c r="I791" s="678">
        <f t="array" ref="I791">1/INDEX($G$193:$N$193,MATCH($A791,$G$191:$N$191,0)) * SUM(($H$530:$O$530=$A791)*($G$532:$G$539=$D791)*($H$532:$O$539)) * (SUM(($C$519:$C$526=$A791)*(I$519:I$526)) + SUM(($C$510:$C$517=$A791)*(I$510:I$517))) * $E791</f>
        <v>0</v>
      </c>
      <c r="J791" s="678">
        <f t="shared" si="178"/>
        <v>0</v>
      </c>
      <c r="K791" s="678">
        <f t="array" ref="K791">1/INDEX($G$193:$N$193,MATCH($A791,$G$191:$N$191,0)) * SUM(($H$530:$O$530=$A791)*($G$532:$G$539=$D791)*($H$532:$O$539)) * (SUM(($C$519:$C$526=$A791)*(K$519:K$526)) + SUM(($C$510:$C$517=$A791)*(K$510:K$517))) * $E791</f>
        <v>0</v>
      </c>
      <c r="L791" s="678">
        <f t="shared" si="184"/>
        <v>0</v>
      </c>
      <c r="M791" s="678">
        <f t="array" ref="M791">1/INDEX($G$193:$N$193,MATCH($A791,$G$191:$N$191,0)) * SUM(($H$530:$O$530=$A791)*($G$532:$G$539=$D791)*($H$532:$O$539)) * (SUM(($C$519:$C$526=$A791)*(M$519:M$526)) + SUM(($C$510:$C$517=$A791)*(M$510:M$517))) * $E791</f>
        <v>0</v>
      </c>
      <c r="N791" s="678">
        <f t="shared" si="185"/>
        <v>0</v>
      </c>
      <c r="O791" s="678">
        <f t="array" ref="O791">1/INDEX($G$193:$N$193,MATCH($A791,$G$191:$N$191,0)) * SUM(($H$530:$O$530=$A791)*($G$532:$G$539=$D791)*($H$532:$O$539)) * (SUM(($C$519:$C$526=$A791)*(O$519:O$526)) + SUM(($C$510:$C$517=$A791)*(O$510:O$517))) * $E791</f>
        <v>0</v>
      </c>
    </row>
    <row r="792" spans="1:15" s="19" customFormat="1">
      <c r="A792" s="1438" t="str">
        <f t="shared" si="186"/>
        <v>CP</v>
      </c>
      <c r="B792" s="347" t="str">
        <f>INDEX(EF[UK Vector],MATCH(D792,EF[SATIM Code],0))</f>
        <v>V.01</v>
      </c>
      <c r="C792" s="1438" t="str">
        <f>INDEX(Vectors[Description], MATCH($B792, Vectors[Code], 0))</f>
        <v>Electricity (delivered to end user)</v>
      </c>
      <c r="D792" s="656" t="s">
        <v>879</v>
      </c>
      <c r="E792" s="1228">
        <f t="shared" si="183"/>
        <v>1</v>
      </c>
      <c r="F792" s="678">
        <f t="array" ref="F792">1/INDEX($G$193:$N$193,MATCH($A792,$G$191:$N$191,0)) * SUM(($H$203:$O$203=$A792)*($G$205:$G$212=$D792)*($H$205:$O$212)) * (SUM(($C$519:$C$526=$A792)*(F$519:F$526)) + SUM(($C$510:$C$517=$A792)*(F$510:F$517))) * $E792</f>
        <v>0</v>
      </c>
      <c r="G792" s="678">
        <f t="array" ref="G792">1/INDEX($G$193:$N$193,MATCH($A792,$G$191:$N$191,0)) * SUM(($H$530:$O$530=$A792)*($G$532:$G$539=$D792)*($H$532:$O$539)) * (SUM(($C$519:$C$526=$A792)*(G$519:G$526)) + SUM(($C$510:$C$517=$A792)*(G$510:G$517))) * $E792</f>
        <v>0</v>
      </c>
      <c r="H792" s="678">
        <f t="shared" si="178"/>
        <v>0</v>
      </c>
      <c r="I792" s="678">
        <f t="array" ref="I792">1/INDEX($G$193:$N$193,MATCH($A792,$G$191:$N$191,0)) * SUM(($H$530:$O$530=$A792)*($G$532:$G$539=$D792)*($H$532:$O$539)) * (SUM(($C$519:$C$526=$A792)*(I$519:I$526)) + SUM(($C$510:$C$517=$A792)*(I$510:I$517))) * $E792</f>
        <v>0</v>
      </c>
      <c r="J792" s="678">
        <f t="shared" si="178"/>
        <v>0</v>
      </c>
      <c r="K792" s="678">
        <f t="array" ref="K792">1/INDEX($G$193:$N$193,MATCH($A792,$G$191:$N$191,0)) * SUM(($H$530:$O$530=$A792)*($G$532:$G$539=$D792)*($H$532:$O$539)) * (SUM(($C$519:$C$526=$A792)*(K$519:K$526)) + SUM(($C$510:$C$517=$A792)*(K$510:K$517))) * $E792</f>
        <v>0</v>
      </c>
      <c r="L792" s="678">
        <f t="shared" si="184"/>
        <v>0</v>
      </c>
      <c r="M792" s="678">
        <f t="array" ref="M792">1/INDEX($G$193:$N$193,MATCH($A792,$G$191:$N$191,0)) * SUM(($H$530:$O$530=$A792)*($G$532:$G$539=$D792)*($H$532:$O$539)) * (SUM(($C$519:$C$526=$A792)*(M$519:M$526)) + SUM(($C$510:$C$517=$A792)*(M$510:M$517))) * $E792</f>
        <v>0</v>
      </c>
      <c r="N792" s="678">
        <f t="shared" si="185"/>
        <v>0</v>
      </c>
      <c r="O792" s="678">
        <f t="array" ref="O792">1/INDEX($G$193:$N$193,MATCH($A792,$G$191:$N$191,0)) * SUM(($H$530:$O$530=$A792)*($G$532:$G$539=$D792)*($H$532:$O$539)) * (SUM(($C$519:$C$526=$A792)*(O$519:O$526)) + SUM(($C$510:$C$517=$A792)*(O$510:O$517))) * $E792</f>
        <v>0</v>
      </c>
    </row>
    <row r="793" spans="1:15" s="19" customFormat="1">
      <c r="A793" s="1438" t="str">
        <f t="shared" si="186"/>
        <v>CP</v>
      </c>
      <c r="B793" s="347" t="str">
        <f>INDEX(EF[UK Vector],MATCH(D793,EF[SATIM Code],0))</f>
        <v>V.09</v>
      </c>
      <c r="C793" s="1438" t="str">
        <f>INDEX(Vectors[Description], MATCH($B793, Vectors[Code], 0))</f>
        <v>Dry biomass and waste</v>
      </c>
      <c r="D793" s="656" t="s">
        <v>888</v>
      </c>
      <c r="E793" s="1228">
        <f t="shared" si="183"/>
        <v>1</v>
      </c>
      <c r="F793" s="678">
        <f t="array" ref="F793">1/INDEX($G$193:$N$193,MATCH($A793,$G$191:$N$191,0)) * SUM(($H$203:$O$203=$A793)*($G$205:$G$212=$D793)*($H$205:$O$212)) * (SUM(($C$519:$C$526=$A793)*(F$519:F$526)) + SUM(($C$510:$C$517=$A793)*(F$510:F$517))) * $E793</f>
        <v>0</v>
      </c>
      <c r="G793" s="678">
        <f t="array" ref="G793">1/INDEX($G$193:$N$193,MATCH($A793,$G$191:$N$191,0)) * SUM(($H$530:$O$530=$A793)*($G$532:$G$539=$D793)*($H$532:$O$539)) * (SUM(($C$519:$C$526=$A793)*(G$519:G$526)) + SUM(($C$510:$C$517=$A793)*(G$510:G$517))) * $E793</f>
        <v>0</v>
      </c>
      <c r="H793" s="678">
        <f t="shared" si="178"/>
        <v>0</v>
      </c>
      <c r="I793" s="678">
        <f t="array" ref="I793">1/INDEX($G$193:$N$193,MATCH($A793,$G$191:$N$191,0)) * SUM(($H$530:$O$530=$A793)*($G$532:$G$539=$D793)*($H$532:$O$539)) * (SUM(($C$519:$C$526=$A793)*(I$519:I$526)) + SUM(($C$510:$C$517=$A793)*(I$510:I$517))) * $E793</f>
        <v>0</v>
      </c>
      <c r="J793" s="678">
        <f t="shared" si="178"/>
        <v>0</v>
      </c>
      <c r="K793" s="678">
        <f t="array" ref="K793">1/INDEX($G$193:$N$193,MATCH($A793,$G$191:$N$191,0)) * SUM(($H$530:$O$530=$A793)*($G$532:$G$539=$D793)*($H$532:$O$539)) * (SUM(($C$519:$C$526=$A793)*(K$519:K$526)) + SUM(($C$510:$C$517=$A793)*(K$510:K$517))) * $E793</f>
        <v>0</v>
      </c>
      <c r="L793" s="678">
        <f t="shared" si="184"/>
        <v>0</v>
      </c>
      <c r="M793" s="678">
        <f t="array" ref="M793">1/INDEX($G$193:$N$193,MATCH($A793,$G$191:$N$191,0)) * SUM(($H$530:$O$530=$A793)*($G$532:$G$539=$D793)*($H$532:$O$539)) * (SUM(($C$519:$C$526=$A793)*(M$519:M$526)) + SUM(($C$510:$C$517=$A793)*(M$510:M$517))) * $E793</f>
        <v>0</v>
      </c>
      <c r="N793" s="678">
        <f t="shared" si="185"/>
        <v>0</v>
      </c>
      <c r="O793" s="678">
        <f t="array" ref="O793">1/INDEX($G$193:$N$193,MATCH($A793,$G$191:$N$191,0)) * SUM(($H$530:$O$530=$A793)*($G$532:$G$539=$D793)*($H$532:$O$539)) * (SUM(($C$519:$C$526=$A793)*(O$519:O$526)) + SUM(($C$510:$C$517=$A793)*(O$510:O$517))) * $E793</f>
        <v>0</v>
      </c>
    </row>
    <row r="794" spans="1:15" s="19" customFormat="1">
      <c r="A794" s="1438" t="str">
        <f t="shared" si="186"/>
        <v>CP</v>
      </c>
      <c r="B794" s="347" t="str">
        <f>INDEX(EF[UK Vector],MATCH(D794,EF[SATIM Code],0))</f>
        <v>V.09</v>
      </c>
      <c r="C794" s="1438" t="str">
        <f>INDEX(Vectors[Description], MATCH($B794, Vectors[Code], 0))</f>
        <v>Dry biomass and waste</v>
      </c>
      <c r="D794" s="656" t="s">
        <v>889</v>
      </c>
      <c r="E794" s="1228">
        <f t="shared" si="183"/>
        <v>1</v>
      </c>
      <c r="F794" s="678">
        <f t="array" ref="F794">1/INDEX($G$193:$N$193,MATCH($A794,$G$191:$N$191,0)) * SUM(($H$203:$O$203=$A794)*($G$205:$G$212=$D794)*($H$205:$O$212)) * (SUM(($C$519:$C$526=$A794)*(F$519:F$526)) + SUM(($C$510:$C$517=$A794)*(F$510:F$517))) * $E794</f>
        <v>0</v>
      </c>
      <c r="G794" s="678">
        <f t="array" ref="G794">1/INDEX($G$193:$N$193,MATCH($A794,$G$191:$N$191,0)) * SUM(($H$530:$O$530=$A794)*($G$532:$G$539=$D794)*($H$532:$O$539)) * (SUM(($C$519:$C$526=$A794)*(G$519:G$526)) + SUM(($C$510:$C$517=$A794)*(G$510:G$517))) * $E794</f>
        <v>0</v>
      </c>
      <c r="H794" s="678">
        <f t="shared" si="178"/>
        <v>0</v>
      </c>
      <c r="I794" s="678">
        <f t="array" ref="I794">1/INDEX($G$193:$N$193,MATCH($A794,$G$191:$N$191,0)) * SUM(($H$530:$O$530=$A794)*($G$532:$G$539=$D794)*($H$532:$O$539)) * (SUM(($C$519:$C$526=$A794)*(I$519:I$526)) + SUM(($C$510:$C$517=$A794)*(I$510:I$517))) * $E794</f>
        <v>0</v>
      </c>
      <c r="J794" s="678">
        <f t="shared" si="178"/>
        <v>0</v>
      </c>
      <c r="K794" s="678">
        <f t="array" ref="K794">1/INDEX($G$193:$N$193,MATCH($A794,$G$191:$N$191,0)) * SUM(($H$530:$O$530=$A794)*($G$532:$G$539=$D794)*($H$532:$O$539)) * (SUM(($C$519:$C$526=$A794)*(K$519:K$526)) + SUM(($C$510:$C$517=$A794)*(K$510:K$517))) * $E794</f>
        <v>0</v>
      </c>
      <c r="L794" s="678">
        <f t="shared" si="184"/>
        <v>0</v>
      </c>
      <c r="M794" s="678">
        <f t="array" ref="M794">1/INDEX($G$193:$N$193,MATCH($A794,$G$191:$N$191,0)) * SUM(($H$530:$O$530=$A794)*($G$532:$G$539=$D794)*($H$532:$O$539)) * (SUM(($C$519:$C$526=$A794)*(M$519:M$526)) + SUM(($C$510:$C$517=$A794)*(M$510:M$517))) * $E794</f>
        <v>0</v>
      </c>
      <c r="N794" s="678">
        <f t="shared" si="185"/>
        <v>0</v>
      </c>
      <c r="O794" s="678">
        <f t="array" ref="O794">1/INDEX($G$193:$N$193,MATCH($A794,$G$191:$N$191,0)) * SUM(($H$530:$O$530=$A794)*($G$532:$G$539=$D794)*($H$532:$O$539)) * (SUM(($C$519:$C$526=$A794)*(O$519:O$526)) + SUM(($C$510:$C$517=$A794)*(O$510:O$517))) * $E794</f>
        <v>0</v>
      </c>
    </row>
    <row r="795" spans="1:15" s="19" customFormat="1">
      <c r="A795" s="1438" t="str">
        <f t="shared" si="186"/>
        <v>CP</v>
      </c>
      <c r="B795" s="347" t="str">
        <f>INDEX(EF[UK Vector],MATCH(D795,EF[SATIM Code],0))</f>
        <v>V.16</v>
      </c>
      <c r="C795" s="1438" t="str">
        <f>INDEX(Vectors[Description], MATCH($B795, Vectors[Code], 0))</f>
        <v>Other Waste</v>
      </c>
      <c r="D795" s="17" t="s">
        <v>890</v>
      </c>
      <c r="E795" s="1228">
        <f t="shared" si="183"/>
        <v>1</v>
      </c>
      <c r="F795" s="678">
        <f t="array" ref="F795">1/INDEX($G$193:$N$193,MATCH($A795,$G$191:$N$191,0)) * SUM(($H$203:$O$203=$A795)*($G$205:$G$212=$D795)*($H$205:$O$212)) * (SUM(($C$519:$C$526=$A795)*(F$519:F$526)) + SUM(($C$510:$C$517=$A795)*(F$510:F$517))) * $E795</f>
        <v>0</v>
      </c>
      <c r="G795" s="678">
        <f t="array" ref="G795">1/INDEX($G$193:$N$193,MATCH($A795,$G$191:$N$191,0)) * SUM(($H$530:$O$530=$A795)*($G$532:$G$539=$D795)*($H$532:$O$539)) * (SUM(($C$519:$C$526=$A795)*(G$519:G$526)) + SUM(($C$510:$C$517=$A795)*(G$510:G$517))) * $E795</f>
        <v>0</v>
      </c>
      <c r="H795" s="678">
        <f t="shared" si="178"/>
        <v>0</v>
      </c>
      <c r="I795" s="678">
        <f t="array" ref="I795">1/INDEX($G$193:$N$193,MATCH($A795,$G$191:$N$191,0)) * SUM(($H$530:$O$530=$A795)*($G$532:$G$539=$D795)*($H$532:$O$539)) * (SUM(($C$519:$C$526=$A795)*(I$519:I$526)) + SUM(($C$510:$C$517=$A795)*(I$510:I$517))) * $E795</f>
        <v>0</v>
      </c>
      <c r="J795" s="678">
        <f t="shared" si="178"/>
        <v>0</v>
      </c>
      <c r="K795" s="678">
        <f t="array" ref="K795">1/INDEX($G$193:$N$193,MATCH($A795,$G$191:$N$191,0)) * SUM(($H$530:$O$530=$A795)*($G$532:$G$539=$D795)*($H$532:$O$539)) * (SUM(($C$519:$C$526=$A795)*(K$519:K$526)) + SUM(($C$510:$C$517=$A795)*(K$510:K$517))) * $E795</f>
        <v>0</v>
      </c>
      <c r="L795" s="678">
        <f t="shared" si="184"/>
        <v>0</v>
      </c>
      <c r="M795" s="678">
        <f t="array" ref="M795">1/INDEX($G$193:$N$193,MATCH($A795,$G$191:$N$191,0)) * SUM(($H$530:$O$530=$A795)*($G$532:$G$539=$D795)*($H$532:$O$539)) * (SUM(($C$519:$C$526=$A795)*(M$519:M$526)) + SUM(($C$510:$C$517=$A795)*(M$510:M$517))) * $E795</f>
        <v>0</v>
      </c>
      <c r="N795" s="678">
        <f t="shared" si="185"/>
        <v>0</v>
      </c>
      <c r="O795" s="678">
        <f t="array" ref="O795">1/INDEX($G$193:$N$193,MATCH($A795,$G$191:$N$191,0)) * SUM(($H$530:$O$530=$A795)*($G$532:$G$539=$D795)*($H$532:$O$539)) * (SUM(($C$519:$C$526=$A795)*(O$519:O$526)) + SUM(($C$510:$C$517=$A795)*(O$510:O$517))) * $E795</f>
        <v>0</v>
      </c>
    </row>
    <row r="796" spans="1:15" s="19" customFormat="1">
      <c r="A796" s="1086"/>
      <c r="B796" s="347"/>
      <c r="D796" s="17"/>
      <c r="E796" s="1228"/>
      <c r="F796" s="678"/>
      <c r="G796" s="678"/>
      <c r="H796" s="678"/>
      <c r="I796" s="678"/>
      <c r="J796" s="678"/>
      <c r="K796" s="678"/>
      <c r="L796" s="678"/>
      <c r="M796" s="678"/>
      <c r="N796" s="678"/>
      <c r="O796" s="678"/>
    </row>
    <row r="797" spans="1:15" s="19" customFormat="1">
      <c r="A797" s="1456"/>
      <c r="B797" s="347"/>
      <c r="C797" s="1459" t="str">
        <f>D23</f>
        <v>Non-Ferrous metals  - 352</v>
      </c>
      <c r="D797" s="17"/>
      <c r="E797" s="1228"/>
      <c r="F797" s="678"/>
      <c r="G797" s="678"/>
      <c r="H797" s="678"/>
      <c r="I797" s="678"/>
      <c r="J797" s="678"/>
      <c r="K797" s="678"/>
      <c r="L797" s="678"/>
      <c r="M797" s="678"/>
      <c r="N797" s="678"/>
      <c r="O797" s="678"/>
    </row>
    <row r="798" spans="1:15" s="19" customFormat="1">
      <c r="A798" s="1456" t="str">
        <f>INDEX($C$20:$C$27,MATCH($C797,$D$20:$D$27,0))</f>
        <v>NF</v>
      </c>
      <c r="B798" s="347" t="str">
        <f>INDEX(EF[UK Vector],MATCH(D798,EF[SATIM Code],0))</f>
        <v>V.03</v>
      </c>
      <c r="C798" s="1438" t="str">
        <f>INDEX(Vectors[Description], MATCH($B798, Vectors[Code], 0))</f>
        <v>Solid hydrocarbons</v>
      </c>
      <c r="D798" s="17" t="s">
        <v>882</v>
      </c>
      <c r="E798" s="1228">
        <f t="shared" ref="E798:E805" si="187">INDEX($G$199:$N$199,MATCH($A798,$G$191:$N$191,0))</f>
        <v>1</v>
      </c>
      <c r="F798" s="678">
        <f t="array" ref="F798">1/INDEX($G$193:$N$193,MATCH($A798,$G$191:$N$191,0)) * SUM(($H$203:$O$203=$A798)*($G$205:$G$212=$D798)*($H$205:$O$212)) * (SUM(($C$519:$C$526=$A798)*(F$519:F$526)) + SUM(($C$510:$C$517=$A798)*(F$510:F$517))) * $E798</f>
        <v>0</v>
      </c>
      <c r="G798" s="678">
        <f t="array" ref="G798">1/INDEX($G$193:$N$193,MATCH($A798,$G$191:$N$191,0)) * SUM(($H$530:$O$530=$A798)*($G$532:$G$539=$D798)*($H$532:$O$539)) * (SUM(($C$519:$C$526=$A798)*(G$519:G$526)) + SUM(($C$510:$C$517=$A798)*(G$510:G$517))) * $E798</f>
        <v>0</v>
      </c>
      <c r="H798" s="678">
        <f t="shared" si="178"/>
        <v>0</v>
      </c>
      <c r="I798" s="678">
        <f t="array" ref="I798">1/INDEX($G$193:$N$193,MATCH($A798,$G$191:$N$191,0)) * SUM(($H$530:$O$530=$A798)*($G$532:$G$539=$D798)*($H$532:$O$539)) * (SUM(($C$519:$C$526=$A798)*(I$519:I$526)) + SUM(($C$510:$C$517=$A798)*(I$510:I$517))) * $E798</f>
        <v>0</v>
      </c>
      <c r="J798" s="678">
        <f t="shared" si="178"/>
        <v>0</v>
      </c>
      <c r="K798" s="678">
        <f t="array" ref="K798">1/INDEX($G$193:$N$193,MATCH($A798,$G$191:$N$191,0)) * SUM(($H$530:$O$530=$A798)*($G$532:$G$539=$D798)*($H$532:$O$539)) * (SUM(($C$519:$C$526=$A798)*(K$519:K$526)) + SUM(($C$510:$C$517=$A798)*(K$510:K$517))) * $E798</f>
        <v>0</v>
      </c>
      <c r="L798" s="678">
        <f t="shared" ref="L798:L805" si="188">AVERAGE(K798,M798)</f>
        <v>0</v>
      </c>
      <c r="M798" s="678">
        <f t="array" ref="M798">1/INDEX($G$193:$N$193,MATCH($A798,$G$191:$N$191,0)) * SUM(($H$530:$O$530=$A798)*($G$532:$G$539=$D798)*($H$532:$O$539)) * (SUM(($C$519:$C$526=$A798)*(M$519:M$526)) + SUM(($C$510:$C$517=$A798)*(M$510:M$517))) * $E798</f>
        <v>0</v>
      </c>
      <c r="N798" s="678">
        <f t="shared" ref="N798:N805" si="189">AVERAGE(M798,O798)</f>
        <v>0</v>
      </c>
      <c r="O798" s="678">
        <f t="array" ref="O798">1/INDEX($G$193:$N$193,MATCH($A798,$G$191:$N$191,0)) * SUM(($H$530:$O$530=$A798)*($G$532:$G$539=$D798)*($H$532:$O$539)) * (SUM(($C$519:$C$526=$A798)*(O$519:O$526)) + SUM(($C$510:$C$517=$A798)*(O$510:O$517))) * $E798</f>
        <v>0</v>
      </c>
    </row>
    <row r="799" spans="1:15" s="19" customFormat="1">
      <c r="A799" s="1438" t="str">
        <f t="shared" ref="A799:A805" si="190">A798</f>
        <v>NF</v>
      </c>
      <c r="B799" s="347" t="str">
        <f>INDEX(EF[UK Vector],MATCH(D799,EF[SATIM Code],0))</f>
        <v>V.05</v>
      </c>
      <c r="C799" s="1438" t="str">
        <f>INDEX(Vectors[Description], MATCH($B799, Vectors[Code], 0))</f>
        <v>Gaseous hydrocarbons</v>
      </c>
      <c r="D799" s="656" t="s">
        <v>869</v>
      </c>
      <c r="E799" s="1228">
        <f t="shared" si="187"/>
        <v>1</v>
      </c>
      <c r="F799" s="678">
        <f t="array" ref="F799">1/INDEX($G$193:$N$193,MATCH($A799,$G$191:$N$191,0)) * SUM(($H$203:$O$203=$A799)*($G$205:$G$212=$D799)*($H$205:$O$212)) * (SUM(($C$519:$C$526=$A799)*(F$519:F$526)) + SUM(($C$510:$C$517=$A799)*(F$510:F$517))) * $E799</f>
        <v>0</v>
      </c>
      <c r="G799" s="678">
        <f t="array" ref="G799">1/INDEX($G$193:$N$193,MATCH($A799,$G$191:$N$191,0)) * SUM(($H$530:$O$530=$A799)*($G$532:$G$539=$D799)*($H$532:$O$539)) * (SUM(($C$519:$C$526=$A799)*(G$519:G$526)) + SUM(($C$510:$C$517=$A799)*(G$510:G$517))) * $E799</f>
        <v>0</v>
      </c>
      <c r="H799" s="678">
        <f t="shared" si="178"/>
        <v>0</v>
      </c>
      <c r="I799" s="678">
        <f t="array" ref="I799">1/INDEX($G$193:$N$193,MATCH($A799,$G$191:$N$191,0)) * SUM(($H$530:$O$530=$A799)*($G$532:$G$539=$D799)*($H$532:$O$539)) * (SUM(($C$519:$C$526=$A799)*(I$519:I$526)) + SUM(($C$510:$C$517=$A799)*(I$510:I$517))) * $E799</f>
        <v>0</v>
      </c>
      <c r="J799" s="678">
        <f t="shared" si="178"/>
        <v>0</v>
      </c>
      <c r="K799" s="678">
        <f t="array" ref="K799">1/INDEX($G$193:$N$193,MATCH($A799,$G$191:$N$191,0)) * SUM(($H$530:$O$530=$A799)*($G$532:$G$539=$D799)*($H$532:$O$539)) * (SUM(($C$519:$C$526=$A799)*(K$519:K$526)) + SUM(($C$510:$C$517=$A799)*(K$510:K$517))) * $E799</f>
        <v>0</v>
      </c>
      <c r="L799" s="678">
        <f t="shared" si="188"/>
        <v>0</v>
      </c>
      <c r="M799" s="678">
        <f t="array" ref="M799">1/INDEX($G$193:$N$193,MATCH($A799,$G$191:$N$191,0)) * SUM(($H$530:$O$530=$A799)*($G$532:$G$539=$D799)*($H$532:$O$539)) * (SUM(($C$519:$C$526=$A799)*(M$519:M$526)) + SUM(($C$510:$C$517=$A799)*(M$510:M$517))) * $E799</f>
        <v>0</v>
      </c>
      <c r="N799" s="678">
        <f t="shared" si="189"/>
        <v>0</v>
      </c>
      <c r="O799" s="678">
        <f t="array" ref="O799">1/INDEX($G$193:$N$193,MATCH($A799,$G$191:$N$191,0)) * SUM(($H$530:$O$530=$A799)*($G$532:$G$539=$D799)*($H$532:$O$539)) * (SUM(($C$519:$C$526=$A799)*(O$519:O$526)) + SUM(($C$510:$C$517=$A799)*(O$510:O$517))) * $E799</f>
        <v>0</v>
      </c>
    </row>
    <row r="800" spans="1:15" s="19" customFormat="1">
      <c r="A800" s="1438" t="str">
        <f t="shared" si="190"/>
        <v>NF</v>
      </c>
      <c r="B800" s="347" t="str">
        <f>INDEX(EF[UK Vector],MATCH(D800,EF[SATIM Code],0))</f>
        <v>V.04</v>
      </c>
      <c r="C800" s="1438" t="str">
        <f>INDEX(Vectors[Description], MATCH($B800, Vectors[Code], 0))</f>
        <v>Liquid hydrocarbons</v>
      </c>
      <c r="D800" s="656" t="s">
        <v>885</v>
      </c>
      <c r="E800" s="1228">
        <f t="shared" si="187"/>
        <v>1</v>
      </c>
      <c r="F800" s="678">
        <f t="array" ref="F800">1/INDEX($G$193:$N$193,MATCH($A800,$G$191:$N$191,0)) * SUM(($H$203:$O$203=$A800)*($G$205:$G$212=$D800)*($H$205:$O$212)) * (SUM(($C$519:$C$526=$A800)*(F$519:F$526)) + SUM(($C$510:$C$517=$A800)*(F$510:F$517))) * $E800</f>
        <v>0</v>
      </c>
      <c r="G800" s="678">
        <f t="array" ref="G800">1/INDEX($G$193:$N$193,MATCH($A800,$G$191:$N$191,0)) * SUM(($H$530:$O$530=$A800)*($G$532:$G$539=$D800)*($H$532:$O$539)) * (SUM(($C$519:$C$526=$A800)*(G$519:G$526)) + SUM(($C$510:$C$517=$A800)*(G$510:G$517))) * $E800</f>
        <v>0</v>
      </c>
      <c r="H800" s="678">
        <f t="shared" si="178"/>
        <v>0</v>
      </c>
      <c r="I800" s="678">
        <f t="array" ref="I800">1/INDEX($G$193:$N$193,MATCH($A800,$G$191:$N$191,0)) * SUM(($H$530:$O$530=$A800)*($G$532:$G$539=$D800)*($H$532:$O$539)) * (SUM(($C$519:$C$526=$A800)*(I$519:I$526)) + SUM(($C$510:$C$517=$A800)*(I$510:I$517))) * $E800</f>
        <v>0</v>
      </c>
      <c r="J800" s="678">
        <f t="shared" si="178"/>
        <v>0</v>
      </c>
      <c r="K800" s="678">
        <f t="array" ref="K800">1/INDEX($G$193:$N$193,MATCH($A800,$G$191:$N$191,0)) * SUM(($H$530:$O$530=$A800)*($G$532:$G$539=$D800)*($H$532:$O$539)) * (SUM(($C$519:$C$526=$A800)*(K$519:K$526)) + SUM(($C$510:$C$517=$A800)*(K$510:K$517))) * $E800</f>
        <v>0</v>
      </c>
      <c r="L800" s="678">
        <f t="shared" si="188"/>
        <v>0</v>
      </c>
      <c r="M800" s="678">
        <f t="array" ref="M800">1/INDEX($G$193:$N$193,MATCH($A800,$G$191:$N$191,0)) * SUM(($H$530:$O$530=$A800)*($G$532:$G$539=$D800)*($H$532:$O$539)) * (SUM(($C$519:$C$526=$A800)*(M$519:M$526)) + SUM(($C$510:$C$517=$A800)*(M$510:M$517))) * $E800</f>
        <v>0</v>
      </c>
      <c r="N800" s="678">
        <f t="shared" si="189"/>
        <v>0</v>
      </c>
      <c r="O800" s="678">
        <f t="array" ref="O800">1/INDEX($G$193:$N$193,MATCH($A800,$G$191:$N$191,0)) * SUM(($H$530:$O$530=$A800)*($G$532:$G$539=$D800)*($H$532:$O$539)) * (SUM(($C$519:$C$526=$A800)*(O$519:O$526)) + SUM(($C$510:$C$517=$A800)*(O$510:O$517))) * $E800</f>
        <v>0</v>
      </c>
    </row>
    <row r="801" spans="1:15" s="19" customFormat="1">
      <c r="A801" s="1438" t="str">
        <f t="shared" si="190"/>
        <v>NF</v>
      </c>
      <c r="B801" s="347" t="str">
        <f>INDEX(EF[UK Vector],MATCH(D801,EF[SATIM Code],0))</f>
        <v>V.04</v>
      </c>
      <c r="C801" s="1438" t="str">
        <f>INDEX(Vectors[Description], MATCH($B801, Vectors[Code], 0))</f>
        <v>Liquid hydrocarbons</v>
      </c>
      <c r="D801" s="656" t="s">
        <v>887</v>
      </c>
      <c r="E801" s="1228">
        <f t="shared" si="187"/>
        <v>1</v>
      </c>
      <c r="F801" s="678">
        <f t="array" ref="F801">1/INDEX($G$193:$N$193,MATCH($A801,$G$191:$N$191,0)) * SUM(($H$203:$O$203=$A801)*($G$205:$G$212=$D801)*($H$205:$O$212)) * (SUM(($C$519:$C$526=$A801)*(F$519:F$526)) + SUM(($C$510:$C$517=$A801)*(F$510:F$517))) * $E801</f>
        <v>0</v>
      </c>
      <c r="G801" s="678">
        <f t="array" ref="G801">1/INDEX($G$193:$N$193,MATCH($A801,$G$191:$N$191,0)) * SUM(($H$530:$O$530=$A801)*($G$532:$G$539=$D801)*($H$532:$O$539)) * (SUM(($C$519:$C$526=$A801)*(G$519:G$526)) + SUM(($C$510:$C$517=$A801)*(G$510:G$517))) * $E801</f>
        <v>0</v>
      </c>
      <c r="H801" s="678">
        <f t="shared" si="178"/>
        <v>0</v>
      </c>
      <c r="I801" s="678">
        <f t="array" ref="I801">1/INDEX($G$193:$N$193,MATCH($A801,$G$191:$N$191,0)) * SUM(($H$530:$O$530=$A801)*($G$532:$G$539=$D801)*($H$532:$O$539)) * (SUM(($C$519:$C$526=$A801)*(I$519:I$526)) + SUM(($C$510:$C$517=$A801)*(I$510:I$517))) * $E801</f>
        <v>0</v>
      </c>
      <c r="J801" s="678">
        <f t="shared" si="178"/>
        <v>0</v>
      </c>
      <c r="K801" s="678">
        <f t="array" ref="K801">1/INDEX($G$193:$N$193,MATCH($A801,$G$191:$N$191,0)) * SUM(($H$530:$O$530=$A801)*($G$532:$G$539=$D801)*($H$532:$O$539)) * (SUM(($C$519:$C$526=$A801)*(K$519:K$526)) + SUM(($C$510:$C$517=$A801)*(K$510:K$517))) * $E801</f>
        <v>0</v>
      </c>
      <c r="L801" s="678">
        <f t="shared" si="188"/>
        <v>0</v>
      </c>
      <c r="M801" s="678">
        <f t="array" ref="M801">1/INDEX($G$193:$N$193,MATCH($A801,$G$191:$N$191,0)) * SUM(($H$530:$O$530=$A801)*($G$532:$G$539=$D801)*($H$532:$O$539)) * (SUM(($C$519:$C$526=$A801)*(M$519:M$526)) + SUM(($C$510:$C$517=$A801)*(M$510:M$517))) * $E801</f>
        <v>0</v>
      </c>
      <c r="N801" s="678">
        <f t="shared" si="189"/>
        <v>0</v>
      </c>
      <c r="O801" s="678">
        <f t="array" ref="O801">1/INDEX($G$193:$N$193,MATCH($A801,$G$191:$N$191,0)) * SUM(($H$530:$O$530=$A801)*($G$532:$G$539=$D801)*($H$532:$O$539)) * (SUM(($C$519:$C$526=$A801)*(O$519:O$526)) + SUM(($C$510:$C$517=$A801)*(O$510:O$517))) * $E801</f>
        <v>0</v>
      </c>
    </row>
    <row r="802" spans="1:15" s="19" customFormat="1">
      <c r="A802" s="1438" t="str">
        <f t="shared" si="190"/>
        <v>NF</v>
      </c>
      <c r="B802" s="347" t="str">
        <f>INDEX(EF[UK Vector],MATCH(D802,EF[SATIM Code],0))</f>
        <v>V.01</v>
      </c>
      <c r="C802" s="1438" t="str">
        <f>INDEX(Vectors[Description], MATCH($B802, Vectors[Code], 0))</f>
        <v>Electricity (delivered to end user)</v>
      </c>
      <c r="D802" s="656" t="s">
        <v>879</v>
      </c>
      <c r="E802" s="1228">
        <f t="shared" si="187"/>
        <v>1</v>
      </c>
      <c r="F802" s="678">
        <f t="array" ref="F802">1/INDEX($G$193:$N$193,MATCH($A802,$G$191:$N$191,0)) * SUM(($H$203:$O$203=$A802)*($G$205:$G$212=$D802)*($H$205:$O$212)) * (SUM(($C$519:$C$526=$A802)*(F$519:F$526)) + SUM(($C$510:$C$517=$A802)*(F$510:F$517))) * $E802</f>
        <v>0</v>
      </c>
      <c r="G802" s="678">
        <f t="array" ref="G802">1/INDEX($G$193:$N$193,MATCH($A802,$G$191:$N$191,0)) * SUM(($H$530:$O$530=$A802)*($G$532:$G$539=$D802)*($H$532:$O$539)) * (SUM(($C$519:$C$526=$A802)*(G$519:G$526)) + SUM(($C$510:$C$517=$A802)*(G$510:G$517))) * $E802</f>
        <v>0</v>
      </c>
      <c r="H802" s="678">
        <f t="shared" si="178"/>
        <v>0</v>
      </c>
      <c r="I802" s="678">
        <f t="array" ref="I802">1/INDEX($G$193:$N$193,MATCH($A802,$G$191:$N$191,0)) * SUM(($H$530:$O$530=$A802)*($G$532:$G$539=$D802)*($H$532:$O$539)) * (SUM(($C$519:$C$526=$A802)*(I$519:I$526)) + SUM(($C$510:$C$517=$A802)*(I$510:I$517))) * $E802</f>
        <v>0</v>
      </c>
      <c r="J802" s="678">
        <f t="shared" si="178"/>
        <v>0</v>
      </c>
      <c r="K802" s="678">
        <f t="array" ref="K802">1/INDEX($G$193:$N$193,MATCH($A802,$G$191:$N$191,0)) * SUM(($H$530:$O$530=$A802)*($G$532:$G$539=$D802)*($H$532:$O$539)) * (SUM(($C$519:$C$526=$A802)*(K$519:K$526)) + SUM(($C$510:$C$517=$A802)*(K$510:K$517))) * $E802</f>
        <v>0</v>
      </c>
      <c r="L802" s="678">
        <f t="shared" si="188"/>
        <v>0</v>
      </c>
      <c r="M802" s="678">
        <f t="array" ref="M802">1/INDEX($G$193:$N$193,MATCH($A802,$G$191:$N$191,0)) * SUM(($H$530:$O$530=$A802)*($G$532:$G$539=$D802)*($H$532:$O$539)) * (SUM(($C$519:$C$526=$A802)*(M$519:M$526)) + SUM(($C$510:$C$517=$A802)*(M$510:M$517))) * $E802</f>
        <v>0</v>
      </c>
      <c r="N802" s="678">
        <f t="shared" si="189"/>
        <v>0</v>
      </c>
      <c r="O802" s="678">
        <f t="array" ref="O802">1/INDEX($G$193:$N$193,MATCH($A802,$G$191:$N$191,0)) * SUM(($H$530:$O$530=$A802)*($G$532:$G$539=$D802)*($H$532:$O$539)) * (SUM(($C$519:$C$526=$A802)*(O$519:O$526)) + SUM(($C$510:$C$517=$A802)*(O$510:O$517))) * $E802</f>
        <v>0</v>
      </c>
    </row>
    <row r="803" spans="1:15" s="19" customFormat="1">
      <c r="A803" s="1438" t="str">
        <f t="shared" si="190"/>
        <v>NF</v>
      </c>
      <c r="B803" s="347" t="str">
        <f>INDEX(EF[UK Vector],MATCH(D803,EF[SATIM Code],0))</f>
        <v>V.09</v>
      </c>
      <c r="C803" s="1438" t="str">
        <f>INDEX(Vectors[Description], MATCH($B803, Vectors[Code], 0))</f>
        <v>Dry biomass and waste</v>
      </c>
      <c r="D803" s="656" t="s">
        <v>888</v>
      </c>
      <c r="E803" s="1228">
        <f t="shared" si="187"/>
        <v>1</v>
      </c>
      <c r="F803" s="678">
        <f t="array" ref="F803">1/INDEX($G$193:$N$193,MATCH($A803,$G$191:$N$191,0)) * SUM(($H$203:$O$203=$A803)*($G$205:$G$212=$D803)*($H$205:$O$212)) * (SUM(($C$519:$C$526=$A803)*(F$519:F$526)) + SUM(($C$510:$C$517=$A803)*(F$510:F$517))) * $E803</f>
        <v>0</v>
      </c>
      <c r="G803" s="678">
        <f t="array" ref="G803">1/INDEX($G$193:$N$193,MATCH($A803,$G$191:$N$191,0)) * SUM(($H$530:$O$530=$A803)*($G$532:$G$539=$D803)*($H$532:$O$539)) * (SUM(($C$519:$C$526=$A803)*(G$519:G$526)) + SUM(($C$510:$C$517=$A803)*(G$510:G$517))) * $E803</f>
        <v>0</v>
      </c>
      <c r="H803" s="678">
        <f t="shared" si="178"/>
        <v>0</v>
      </c>
      <c r="I803" s="678">
        <f t="array" ref="I803">1/INDEX($G$193:$N$193,MATCH($A803,$G$191:$N$191,0)) * SUM(($H$530:$O$530=$A803)*($G$532:$G$539=$D803)*($H$532:$O$539)) * (SUM(($C$519:$C$526=$A803)*(I$519:I$526)) + SUM(($C$510:$C$517=$A803)*(I$510:I$517))) * $E803</f>
        <v>0</v>
      </c>
      <c r="J803" s="678">
        <f t="shared" si="178"/>
        <v>0</v>
      </c>
      <c r="K803" s="678">
        <f t="array" ref="K803">1/INDEX($G$193:$N$193,MATCH($A803,$G$191:$N$191,0)) * SUM(($H$530:$O$530=$A803)*($G$532:$G$539=$D803)*($H$532:$O$539)) * (SUM(($C$519:$C$526=$A803)*(K$519:K$526)) + SUM(($C$510:$C$517=$A803)*(K$510:K$517))) * $E803</f>
        <v>0</v>
      </c>
      <c r="L803" s="678">
        <f t="shared" si="188"/>
        <v>0</v>
      </c>
      <c r="M803" s="678">
        <f t="array" ref="M803">1/INDEX($G$193:$N$193,MATCH($A803,$G$191:$N$191,0)) * SUM(($H$530:$O$530=$A803)*($G$532:$G$539=$D803)*($H$532:$O$539)) * (SUM(($C$519:$C$526=$A803)*(M$519:M$526)) + SUM(($C$510:$C$517=$A803)*(M$510:M$517))) * $E803</f>
        <v>0</v>
      </c>
      <c r="N803" s="678">
        <f t="shared" si="189"/>
        <v>0</v>
      </c>
      <c r="O803" s="678">
        <f t="array" ref="O803">1/INDEX($G$193:$N$193,MATCH($A803,$G$191:$N$191,0)) * SUM(($H$530:$O$530=$A803)*($G$532:$G$539=$D803)*($H$532:$O$539)) * (SUM(($C$519:$C$526=$A803)*(O$519:O$526)) + SUM(($C$510:$C$517=$A803)*(O$510:O$517))) * $E803</f>
        <v>0</v>
      </c>
    </row>
    <row r="804" spans="1:15" s="19" customFormat="1">
      <c r="A804" s="1438" t="str">
        <f t="shared" si="190"/>
        <v>NF</v>
      </c>
      <c r="B804" s="347" t="str">
        <f>INDEX(EF[UK Vector],MATCH(D804,EF[SATIM Code],0))</f>
        <v>V.09</v>
      </c>
      <c r="C804" s="1438" t="str">
        <f>INDEX(Vectors[Description], MATCH($B804, Vectors[Code], 0))</f>
        <v>Dry biomass and waste</v>
      </c>
      <c r="D804" s="656" t="s">
        <v>889</v>
      </c>
      <c r="E804" s="1228">
        <f t="shared" si="187"/>
        <v>1</v>
      </c>
      <c r="F804" s="678">
        <f t="array" ref="F804">1/INDEX($G$193:$N$193,MATCH($A804,$G$191:$N$191,0)) * SUM(($H$203:$O$203=$A804)*($G$205:$G$212=$D804)*($H$205:$O$212)) * (SUM(($C$519:$C$526=$A804)*(F$519:F$526)) + SUM(($C$510:$C$517=$A804)*(F$510:F$517))) * $E804</f>
        <v>0</v>
      </c>
      <c r="G804" s="678">
        <f t="array" ref="G804">1/INDEX($G$193:$N$193,MATCH($A804,$G$191:$N$191,0)) * SUM(($H$530:$O$530=$A804)*($G$532:$G$539=$D804)*($H$532:$O$539)) * (SUM(($C$519:$C$526=$A804)*(G$519:G$526)) + SUM(($C$510:$C$517=$A804)*(G$510:G$517))) * $E804</f>
        <v>0</v>
      </c>
      <c r="H804" s="678">
        <f t="shared" si="178"/>
        <v>0</v>
      </c>
      <c r="I804" s="678">
        <f t="array" ref="I804">1/INDEX($G$193:$N$193,MATCH($A804,$G$191:$N$191,0)) * SUM(($H$530:$O$530=$A804)*($G$532:$G$539=$D804)*($H$532:$O$539)) * (SUM(($C$519:$C$526=$A804)*(I$519:I$526)) + SUM(($C$510:$C$517=$A804)*(I$510:I$517))) * $E804</f>
        <v>0</v>
      </c>
      <c r="J804" s="678">
        <f t="shared" si="178"/>
        <v>0</v>
      </c>
      <c r="K804" s="678">
        <f t="array" ref="K804">1/INDEX($G$193:$N$193,MATCH($A804,$G$191:$N$191,0)) * SUM(($H$530:$O$530=$A804)*($G$532:$G$539=$D804)*($H$532:$O$539)) * (SUM(($C$519:$C$526=$A804)*(K$519:K$526)) + SUM(($C$510:$C$517=$A804)*(K$510:K$517))) * $E804</f>
        <v>0</v>
      </c>
      <c r="L804" s="678">
        <f t="shared" si="188"/>
        <v>0</v>
      </c>
      <c r="M804" s="678">
        <f t="array" ref="M804">1/INDEX($G$193:$N$193,MATCH($A804,$G$191:$N$191,0)) * SUM(($H$530:$O$530=$A804)*($G$532:$G$539=$D804)*($H$532:$O$539)) * (SUM(($C$519:$C$526=$A804)*(M$519:M$526)) + SUM(($C$510:$C$517=$A804)*(M$510:M$517))) * $E804</f>
        <v>0</v>
      </c>
      <c r="N804" s="678">
        <f t="shared" si="189"/>
        <v>0</v>
      </c>
      <c r="O804" s="678">
        <f t="array" ref="O804">1/INDEX($G$193:$N$193,MATCH($A804,$G$191:$N$191,0)) * SUM(($H$530:$O$530=$A804)*($G$532:$G$539=$D804)*($H$532:$O$539)) * (SUM(($C$519:$C$526=$A804)*(O$519:O$526)) + SUM(($C$510:$C$517=$A804)*(O$510:O$517))) * $E804</f>
        <v>0</v>
      </c>
    </row>
    <row r="805" spans="1:15" s="19" customFormat="1">
      <c r="A805" s="1438" t="str">
        <f t="shared" si="190"/>
        <v>NF</v>
      </c>
      <c r="B805" s="347" t="str">
        <f>INDEX(EF[UK Vector],MATCH(D805,EF[SATIM Code],0))</f>
        <v>V.16</v>
      </c>
      <c r="C805" s="1438" t="str">
        <f>INDEX(Vectors[Description], MATCH($B805, Vectors[Code], 0))</f>
        <v>Other Waste</v>
      </c>
      <c r="D805" s="17" t="s">
        <v>890</v>
      </c>
      <c r="E805" s="1228">
        <f t="shared" si="187"/>
        <v>1</v>
      </c>
      <c r="F805" s="678">
        <f t="array" ref="F805">1/INDEX($G$193:$N$193,MATCH($A805,$G$191:$N$191,0)) * SUM(($H$203:$O$203=$A805)*($G$205:$G$212=$D805)*($H$205:$O$212)) * (SUM(($C$519:$C$526=$A805)*(F$519:F$526)) + SUM(($C$510:$C$517=$A805)*(F$510:F$517))) * $E805</f>
        <v>0</v>
      </c>
      <c r="G805" s="678">
        <f t="array" ref="G805">1/INDEX($G$193:$N$193,MATCH($A805,$G$191:$N$191,0)) * SUM(($H$530:$O$530=$A805)*($G$532:$G$539=$D805)*($H$532:$O$539)) * (SUM(($C$519:$C$526=$A805)*(G$519:G$526)) + SUM(($C$510:$C$517=$A805)*(G$510:G$517))) * $E805</f>
        <v>0</v>
      </c>
      <c r="H805" s="678">
        <f t="shared" si="178"/>
        <v>0</v>
      </c>
      <c r="I805" s="678">
        <f t="array" ref="I805">1/INDEX($G$193:$N$193,MATCH($A805,$G$191:$N$191,0)) * SUM(($H$530:$O$530=$A805)*($G$532:$G$539=$D805)*($H$532:$O$539)) * (SUM(($C$519:$C$526=$A805)*(I$519:I$526)) + SUM(($C$510:$C$517=$A805)*(I$510:I$517))) * $E805</f>
        <v>0</v>
      </c>
      <c r="J805" s="678">
        <f t="shared" si="178"/>
        <v>0</v>
      </c>
      <c r="K805" s="678">
        <f t="array" ref="K805">1/INDEX($G$193:$N$193,MATCH($A805,$G$191:$N$191,0)) * SUM(($H$530:$O$530=$A805)*($G$532:$G$539=$D805)*($H$532:$O$539)) * (SUM(($C$519:$C$526=$A805)*(K$519:K$526)) + SUM(($C$510:$C$517=$A805)*(K$510:K$517))) * $E805</f>
        <v>0</v>
      </c>
      <c r="L805" s="678">
        <f t="shared" si="188"/>
        <v>0</v>
      </c>
      <c r="M805" s="678">
        <f t="array" ref="M805">1/INDEX($G$193:$N$193,MATCH($A805,$G$191:$N$191,0)) * SUM(($H$530:$O$530=$A805)*($G$532:$G$539=$D805)*($H$532:$O$539)) * (SUM(($C$519:$C$526=$A805)*(M$519:M$526)) + SUM(($C$510:$C$517=$A805)*(M$510:M$517))) * $E805</f>
        <v>0</v>
      </c>
      <c r="N805" s="678">
        <f t="shared" si="189"/>
        <v>0</v>
      </c>
      <c r="O805" s="678">
        <f t="array" ref="O805">1/INDEX($G$193:$N$193,MATCH($A805,$G$191:$N$191,0)) * SUM(($H$530:$O$530=$A805)*($G$532:$G$539=$D805)*($H$532:$O$539)) * (SUM(($C$519:$C$526=$A805)*(O$519:O$526)) + SUM(($C$510:$C$517=$A805)*(O$510:O$517))) * $E805</f>
        <v>0</v>
      </c>
    </row>
    <row r="806" spans="1:15" s="19" customFormat="1">
      <c r="A806" s="1086"/>
      <c r="B806" s="347"/>
      <c r="D806" s="17"/>
      <c r="E806" s="1228"/>
      <c r="F806" s="678"/>
      <c r="G806" s="678"/>
      <c r="H806" s="678"/>
      <c r="I806" s="678"/>
      <c r="J806" s="678"/>
      <c r="K806" s="678"/>
      <c r="L806" s="678"/>
      <c r="M806" s="678"/>
      <c r="N806" s="678"/>
      <c r="O806" s="678"/>
    </row>
    <row r="807" spans="1:15" s="19" customFormat="1">
      <c r="A807" s="1456"/>
      <c r="B807" s="347"/>
      <c r="C807" s="1459" t="str">
        <f>D24</f>
        <v>N.M.M Products  -34</v>
      </c>
      <c r="D807" s="17"/>
      <c r="E807" s="1228"/>
      <c r="F807" s="678"/>
      <c r="G807" s="678"/>
      <c r="H807" s="678"/>
      <c r="I807" s="678"/>
      <c r="J807" s="678"/>
      <c r="K807" s="678"/>
      <c r="L807" s="678"/>
      <c r="M807" s="678"/>
      <c r="N807" s="678"/>
      <c r="O807" s="678"/>
    </row>
    <row r="808" spans="1:15" s="19" customFormat="1">
      <c r="A808" s="1456" t="str">
        <f>INDEX($C$20:$C$27,MATCH($C807,$D$20:$D$27,0))</f>
        <v>NM</v>
      </c>
      <c r="B808" s="347" t="str">
        <f>INDEX(EF[UK Vector],MATCH(D808,EF[SATIM Code],0))</f>
        <v>V.03</v>
      </c>
      <c r="C808" s="1438" t="str">
        <f>INDEX(Vectors[Description], MATCH($B808, Vectors[Code], 0))</f>
        <v>Solid hydrocarbons</v>
      </c>
      <c r="D808" s="17" t="s">
        <v>882</v>
      </c>
      <c r="E808" s="1228">
        <f t="shared" ref="E808:E815" si="191">INDEX($G$199:$N$199,MATCH($A808,$G$191:$N$191,0))</f>
        <v>0</v>
      </c>
      <c r="F808" s="678">
        <f t="array" ref="F808">1/INDEX($G$193:$N$193,MATCH($A808,$G$191:$N$191,0)) * SUM(($H$203:$O$203=$A808)*($G$205:$G$212=$D808)*($H$205:$O$212)) * (SUM(($C$519:$C$526=$A808)*(F$519:F$526)) + SUM(($C$510:$C$517=$A808)*(F$510:F$517))) * $E808</f>
        <v>0</v>
      </c>
      <c r="G808" s="678">
        <f t="array" ref="G808">1/INDEX($G$193:$N$193,MATCH($A808,$G$191:$N$191,0)) * SUM(($H$530:$O$530=$A808)*($G$532:$G$539=$D808)*($H$532:$O$539)) * (SUM(($C$519:$C$526=$A808)*(G$519:G$526)) + SUM(($C$510:$C$517=$A808)*(G$510:G$517))) * $E808</f>
        <v>0</v>
      </c>
      <c r="H808" s="678">
        <f t="shared" si="178"/>
        <v>0</v>
      </c>
      <c r="I808" s="678">
        <f t="array" ref="I808">1/INDEX($G$193:$N$193,MATCH($A808,$G$191:$N$191,0)) * SUM(($H$530:$O$530=$A808)*($G$532:$G$539=$D808)*($H$532:$O$539)) * (SUM(($C$519:$C$526=$A808)*(I$519:I$526)) + SUM(($C$510:$C$517=$A808)*(I$510:I$517))) * $E808</f>
        <v>0</v>
      </c>
      <c r="J808" s="678">
        <f t="shared" si="178"/>
        <v>0</v>
      </c>
      <c r="K808" s="678">
        <f t="array" ref="K808">1/INDEX($G$193:$N$193,MATCH($A808,$G$191:$N$191,0)) * SUM(($H$530:$O$530=$A808)*($G$532:$G$539=$D808)*($H$532:$O$539)) * (SUM(($C$519:$C$526=$A808)*(K$519:K$526)) + SUM(($C$510:$C$517=$A808)*(K$510:K$517))) * $E808</f>
        <v>0</v>
      </c>
      <c r="L808" s="678">
        <f t="shared" ref="L808:L815" si="192">AVERAGE(K808,M808)</f>
        <v>0</v>
      </c>
      <c r="M808" s="678">
        <f t="array" ref="M808">1/INDEX($G$193:$N$193,MATCH($A808,$G$191:$N$191,0)) * SUM(($H$530:$O$530=$A808)*($G$532:$G$539=$D808)*($H$532:$O$539)) * (SUM(($C$519:$C$526=$A808)*(M$519:M$526)) + SUM(($C$510:$C$517=$A808)*(M$510:M$517))) * $E808</f>
        <v>0</v>
      </c>
      <c r="N808" s="678">
        <f t="shared" ref="N808:N815" si="193">AVERAGE(M808,O808)</f>
        <v>0</v>
      </c>
      <c r="O808" s="678">
        <f t="array" ref="O808">1/INDEX($G$193:$N$193,MATCH($A808,$G$191:$N$191,0)) * SUM(($H$530:$O$530=$A808)*($G$532:$G$539=$D808)*($H$532:$O$539)) * (SUM(($C$519:$C$526=$A808)*(O$519:O$526)) + SUM(($C$510:$C$517=$A808)*(O$510:O$517))) * $E808</f>
        <v>0</v>
      </c>
    </row>
    <row r="809" spans="1:15" s="19" customFormat="1">
      <c r="A809" s="1438" t="str">
        <f t="shared" ref="A809:A815" si="194">A808</f>
        <v>NM</v>
      </c>
      <c r="B809" s="347" t="str">
        <f>INDEX(EF[UK Vector],MATCH(D809,EF[SATIM Code],0))</f>
        <v>V.05</v>
      </c>
      <c r="C809" s="1438" t="str">
        <f>INDEX(Vectors[Description], MATCH($B809, Vectors[Code], 0))</f>
        <v>Gaseous hydrocarbons</v>
      </c>
      <c r="D809" s="656" t="s">
        <v>869</v>
      </c>
      <c r="E809" s="1228">
        <f t="shared" si="191"/>
        <v>0</v>
      </c>
      <c r="F809" s="678">
        <f t="array" ref="F809">1/INDEX($G$193:$N$193,MATCH($A809,$G$191:$N$191,0)) * SUM(($H$203:$O$203=$A809)*($G$205:$G$212=$D809)*($H$205:$O$212)) * (SUM(($C$519:$C$526=$A809)*(F$519:F$526)) + SUM(($C$510:$C$517=$A809)*(F$510:F$517))) * $E809</f>
        <v>0</v>
      </c>
      <c r="G809" s="678">
        <f t="array" ref="G809">1/INDEX($G$193:$N$193,MATCH($A809,$G$191:$N$191,0)) * SUM(($H$530:$O$530=$A809)*($G$532:$G$539=$D809)*($H$532:$O$539)) * (SUM(($C$519:$C$526=$A809)*(G$519:G$526)) + SUM(($C$510:$C$517=$A809)*(G$510:G$517))) * $E809</f>
        <v>0</v>
      </c>
      <c r="H809" s="678">
        <f t="shared" si="178"/>
        <v>0</v>
      </c>
      <c r="I809" s="678">
        <f t="array" ref="I809">1/INDEX($G$193:$N$193,MATCH($A809,$G$191:$N$191,0)) * SUM(($H$530:$O$530=$A809)*($G$532:$G$539=$D809)*($H$532:$O$539)) * (SUM(($C$519:$C$526=$A809)*(I$519:I$526)) + SUM(($C$510:$C$517=$A809)*(I$510:I$517))) * $E809</f>
        <v>0</v>
      </c>
      <c r="J809" s="678">
        <f t="shared" si="178"/>
        <v>0</v>
      </c>
      <c r="K809" s="678">
        <f t="array" ref="K809">1/INDEX($G$193:$N$193,MATCH($A809,$G$191:$N$191,0)) * SUM(($H$530:$O$530=$A809)*($G$532:$G$539=$D809)*($H$532:$O$539)) * (SUM(($C$519:$C$526=$A809)*(K$519:K$526)) + SUM(($C$510:$C$517=$A809)*(K$510:K$517))) * $E809</f>
        <v>0</v>
      </c>
      <c r="L809" s="678">
        <f t="shared" si="192"/>
        <v>0</v>
      </c>
      <c r="M809" s="678">
        <f t="array" ref="M809">1/INDEX($G$193:$N$193,MATCH($A809,$G$191:$N$191,0)) * SUM(($H$530:$O$530=$A809)*($G$532:$G$539=$D809)*($H$532:$O$539)) * (SUM(($C$519:$C$526=$A809)*(M$519:M$526)) + SUM(($C$510:$C$517=$A809)*(M$510:M$517))) * $E809</f>
        <v>0</v>
      </c>
      <c r="N809" s="678">
        <f t="shared" si="193"/>
        <v>0</v>
      </c>
      <c r="O809" s="678">
        <f t="array" ref="O809">1/INDEX($G$193:$N$193,MATCH($A809,$G$191:$N$191,0)) * SUM(($H$530:$O$530=$A809)*($G$532:$G$539=$D809)*($H$532:$O$539)) * (SUM(($C$519:$C$526=$A809)*(O$519:O$526)) + SUM(($C$510:$C$517=$A809)*(O$510:O$517))) * $E809</f>
        <v>0</v>
      </c>
    </row>
    <row r="810" spans="1:15" s="19" customFormat="1">
      <c r="A810" s="1438" t="str">
        <f t="shared" si="194"/>
        <v>NM</v>
      </c>
      <c r="B810" s="347" t="str">
        <f>INDEX(EF[UK Vector],MATCH(D810,EF[SATIM Code],0))</f>
        <v>V.04</v>
      </c>
      <c r="C810" s="1438" t="str">
        <f>INDEX(Vectors[Description], MATCH($B810, Vectors[Code], 0))</f>
        <v>Liquid hydrocarbons</v>
      </c>
      <c r="D810" s="656" t="s">
        <v>885</v>
      </c>
      <c r="E810" s="1228">
        <f t="shared" si="191"/>
        <v>0</v>
      </c>
      <c r="F810" s="678">
        <f t="array" ref="F810">1/INDEX($G$193:$N$193,MATCH($A810,$G$191:$N$191,0)) * SUM(($H$203:$O$203=$A810)*($G$205:$G$212=$D810)*($H$205:$O$212)) * (SUM(($C$519:$C$526=$A810)*(F$519:F$526)) + SUM(($C$510:$C$517=$A810)*(F$510:F$517))) * $E810</f>
        <v>0</v>
      </c>
      <c r="G810" s="678">
        <f t="array" ref="G810">1/INDEX($G$193:$N$193,MATCH($A810,$G$191:$N$191,0)) * SUM(($H$530:$O$530=$A810)*($G$532:$G$539=$D810)*($H$532:$O$539)) * (SUM(($C$519:$C$526=$A810)*(G$519:G$526)) + SUM(($C$510:$C$517=$A810)*(G$510:G$517))) * $E810</f>
        <v>0</v>
      </c>
      <c r="H810" s="678">
        <f t="shared" si="178"/>
        <v>0</v>
      </c>
      <c r="I810" s="678">
        <f t="array" ref="I810">1/INDEX($G$193:$N$193,MATCH($A810,$G$191:$N$191,0)) * SUM(($H$530:$O$530=$A810)*($G$532:$G$539=$D810)*($H$532:$O$539)) * (SUM(($C$519:$C$526=$A810)*(I$519:I$526)) + SUM(($C$510:$C$517=$A810)*(I$510:I$517))) * $E810</f>
        <v>0</v>
      </c>
      <c r="J810" s="678">
        <f t="shared" si="178"/>
        <v>0</v>
      </c>
      <c r="K810" s="678">
        <f t="array" ref="K810">1/INDEX($G$193:$N$193,MATCH($A810,$G$191:$N$191,0)) * SUM(($H$530:$O$530=$A810)*($G$532:$G$539=$D810)*($H$532:$O$539)) * (SUM(($C$519:$C$526=$A810)*(K$519:K$526)) + SUM(($C$510:$C$517=$A810)*(K$510:K$517))) * $E810</f>
        <v>0</v>
      </c>
      <c r="L810" s="678">
        <f t="shared" si="192"/>
        <v>0</v>
      </c>
      <c r="M810" s="678">
        <f t="array" ref="M810">1/INDEX($G$193:$N$193,MATCH($A810,$G$191:$N$191,0)) * SUM(($H$530:$O$530=$A810)*($G$532:$G$539=$D810)*($H$532:$O$539)) * (SUM(($C$519:$C$526=$A810)*(M$519:M$526)) + SUM(($C$510:$C$517=$A810)*(M$510:M$517))) * $E810</f>
        <v>0</v>
      </c>
      <c r="N810" s="678">
        <f t="shared" si="193"/>
        <v>0</v>
      </c>
      <c r="O810" s="678">
        <f t="array" ref="O810">1/INDEX($G$193:$N$193,MATCH($A810,$G$191:$N$191,0)) * SUM(($H$530:$O$530=$A810)*($G$532:$G$539=$D810)*($H$532:$O$539)) * (SUM(($C$519:$C$526=$A810)*(O$519:O$526)) + SUM(($C$510:$C$517=$A810)*(O$510:O$517))) * $E810</f>
        <v>0</v>
      </c>
    </row>
    <row r="811" spans="1:15" s="19" customFormat="1">
      <c r="A811" s="1438" t="str">
        <f t="shared" si="194"/>
        <v>NM</v>
      </c>
      <c r="B811" s="347" t="str">
        <f>INDEX(EF[UK Vector],MATCH(D811,EF[SATIM Code],0))</f>
        <v>V.04</v>
      </c>
      <c r="C811" s="1438" t="str">
        <f>INDEX(Vectors[Description], MATCH($B811, Vectors[Code], 0))</f>
        <v>Liquid hydrocarbons</v>
      </c>
      <c r="D811" s="656" t="s">
        <v>887</v>
      </c>
      <c r="E811" s="1228">
        <f t="shared" si="191"/>
        <v>0</v>
      </c>
      <c r="F811" s="678">
        <f t="array" ref="F811">1/INDEX($G$193:$N$193,MATCH($A811,$G$191:$N$191,0)) * SUM(($H$203:$O$203=$A811)*($G$205:$G$212=$D811)*($H$205:$O$212)) * (SUM(($C$519:$C$526=$A811)*(F$519:F$526)) + SUM(($C$510:$C$517=$A811)*(F$510:F$517))) * $E811</f>
        <v>0</v>
      </c>
      <c r="G811" s="678">
        <f t="array" ref="G811">1/INDEX($G$193:$N$193,MATCH($A811,$G$191:$N$191,0)) * SUM(($H$530:$O$530=$A811)*($G$532:$G$539=$D811)*($H$532:$O$539)) * (SUM(($C$519:$C$526=$A811)*(G$519:G$526)) + SUM(($C$510:$C$517=$A811)*(G$510:G$517))) * $E811</f>
        <v>0</v>
      </c>
      <c r="H811" s="678">
        <f t="shared" si="178"/>
        <v>0</v>
      </c>
      <c r="I811" s="678">
        <f t="array" ref="I811">1/INDEX($G$193:$N$193,MATCH($A811,$G$191:$N$191,0)) * SUM(($H$530:$O$530=$A811)*($G$532:$G$539=$D811)*($H$532:$O$539)) * (SUM(($C$519:$C$526=$A811)*(I$519:I$526)) + SUM(($C$510:$C$517=$A811)*(I$510:I$517))) * $E811</f>
        <v>0</v>
      </c>
      <c r="J811" s="678">
        <f t="shared" si="178"/>
        <v>0</v>
      </c>
      <c r="K811" s="678">
        <f t="array" ref="K811">1/INDEX($G$193:$N$193,MATCH($A811,$G$191:$N$191,0)) * SUM(($H$530:$O$530=$A811)*($G$532:$G$539=$D811)*($H$532:$O$539)) * (SUM(($C$519:$C$526=$A811)*(K$519:K$526)) + SUM(($C$510:$C$517=$A811)*(K$510:K$517))) * $E811</f>
        <v>0</v>
      </c>
      <c r="L811" s="678">
        <f t="shared" si="192"/>
        <v>0</v>
      </c>
      <c r="M811" s="678">
        <f t="array" ref="M811">1/INDEX($G$193:$N$193,MATCH($A811,$G$191:$N$191,0)) * SUM(($H$530:$O$530=$A811)*($G$532:$G$539=$D811)*($H$532:$O$539)) * (SUM(($C$519:$C$526=$A811)*(M$519:M$526)) + SUM(($C$510:$C$517=$A811)*(M$510:M$517))) * $E811</f>
        <v>0</v>
      </c>
      <c r="N811" s="678">
        <f t="shared" si="193"/>
        <v>0</v>
      </c>
      <c r="O811" s="678">
        <f t="array" ref="O811">1/INDEX($G$193:$N$193,MATCH($A811,$G$191:$N$191,0)) * SUM(($H$530:$O$530=$A811)*($G$532:$G$539=$D811)*($H$532:$O$539)) * (SUM(($C$519:$C$526=$A811)*(O$519:O$526)) + SUM(($C$510:$C$517=$A811)*(O$510:O$517))) * $E811</f>
        <v>0</v>
      </c>
    </row>
    <row r="812" spans="1:15" s="19" customFormat="1">
      <c r="A812" s="1438" t="str">
        <f t="shared" si="194"/>
        <v>NM</v>
      </c>
      <c r="B812" s="347" t="str">
        <f>INDEX(EF[UK Vector],MATCH(D812,EF[SATIM Code],0))</f>
        <v>V.01</v>
      </c>
      <c r="C812" s="1438" t="str">
        <f>INDEX(Vectors[Description], MATCH($B812, Vectors[Code], 0))</f>
        <v>Electricity (delivered to end user)</v>
      </c>
      <c r="D812" s="656" t="s">
        <v>879</v>
      </c>
      <c r="E812" s="1228">
        <f t="shared" si="191"/>
        <v>0</v>
      </c>
      <c r="F812" s="678">
        <f t="array" ref="F812">1/INDEX($G$193:$N$193,MATCH($A812,$G$191:$N$191,0)) * SUM(($H$203:$O$203=$A812)*($G$205:$G$212=$D812)*($H$205:$O$212)) * (SUM(($C$519:$C$526=$A812)*(F$519:F$526)) + SUM(($C$510:$C$517=$A812)*(F$510:F$517))) * $E812</f>
        <v>0</v>
      </c>
      <c r="G812" s="678">
        <f t="array" ref="G812">1/INDEX($G$193:$N$193,MATCH($A812,$G$191:$N$191,0)) * SUM(($H$530:$O$530=$A812)*($G$532:$G$539=$D812)*($H$532:$O$539)) * (SUM(($C$519:$C$526=$A812)*(G$519:G$526)) + SUM(($C$510:$C$517=$A812)*(G$510:G$517))) * $E812</f>
        <v>0</v>
      </c>
      <c r="H812" s="678">
        <f t="shared" si="178"/>
        <v>0</v>
      </c>
      <c r="I812" s="678">
        <f t="array" ref="I812">1/INDEX($G$193:$N$193,MATCH($A812,$G$191:$N$191,0)) * SUM(($H$530:$O$530=$A812)*($G$532:$G$539=$D812)*($H$532:$O$539)) * (SUM(($C$519:$C$526=$A812)*(I$519:I$526)) + SUM(($C$510:$C$517=$A812)*(I$510:I$517))) * $E812</f>
        <v>0</v>
      </c>
      <c r="J812" s="678">
        <f t="shared" si="178"/>
        <v>0</v>
      </c>
      <c r="K812" s="678">
        <f t="array" ref="K812">1/INDEX($G$193:$N$193,MATCH($A812,$G$191:$N$191,0)) * SUM(($H$530:$O$530=$A812)*($G$532:$G$539=$D812)*($H$532:$O$539)) * (SUM(($C$519:$C$526=$A812)*(K$519:K$526)) + SUM(($C$510:$C$517=$A812)*(K$510:K$517))) * $E812</f>
        <v>0</v>
      </c>
      <c r="L812" s="678">
        <f t="shared" si="192"/>
        <v>0</v>
      </c>
      <c r="M812" s="678">
        <f t="array" ref="M812">1/INDEX($G$193:$N$193,MATCH($A812,$G$191:$N$191,0)) * SUM(($H$530:$O$530=$A812)*($G$532:$G$539=$D812)*($H$532:$O$539)) * (SUM(($C$519:$C$526=$A812)*(M$519:M$526)) + SUM(($C$510:$C$517=$A812)*(M$510:M$517))) * $E812</f>
        <v>0</v>
      </c>
      <c r="N812" s="678">
        <f t="shared" si="193"/>
        <v>0</v>
      </c>
      <c r="O812" s="678">
        <f t="array" ref="O812">1/INDEX($G$193:$N$193,MATCH($A812,$G$191:$N$191,0)) * SUM(($H$530:$O$530=$A812)*($G$532:$G$539=$D812)*($H$532:$O$539)) * (SUM(($C$519:$C$526=$A812)*(O$519:O$526)) + SUM(($C$510:$C$517=$A812)*(O$510:O$517))) * $E812</f>
        <v>0</v>
      </c>
    </row>
    <row r="813" spans="1:15" s="19" customFormat="1">
      <c r="A813" s="1438" t="str">
        <f t="shared" si="194"/>
        <v>NM</v>
      </c>
      <c r="B813" s="347" t="str">
        <f>INDEX(EF[UK Vector],MATCH(D813,EF[SATIM Code],0))</f>
        <v>V.09</v>
      </c>
      <c r="C813" s="1438" t="str">
        <f>INDEX(Vectors[Description], MATCH($B813, Vectors[Code], 0))</f>
        <v>Dry biomass and waste</v>
      </c>
      <c r="D813" s="656" t="s">
        <v>888</v>
      </c>
      <c r="E813" s="1228">
        <f t="shared" si="191"/>
        <v>0</v>
      </c>
      <c r="F813" s="678">
        <f t="array" ref="F813">1/INDEX($G$193:$N$193,MATCH($A813,$G$191:$N$191,0)) * SUM(($H$203:$O$203=$A813)*($G$205:$G$212=$D813)*($H$205:$O$212)) * (SUM(($C$519:$C$526=$A813)*(F$519:F$526)) + SUM(($C$510:$C$517=$A813)*(F$510:F$517))) * $E813</f>
        <v>0</v>
      </c>
      <c r="G813" s="678">
        <f t="array" ref="G813">1/INDEX($G$193:$N$193,MATCH($A813,$G$191:$N$191,0)) * SUM(($H$530:$O$530=$A813)*($G$532:$G$539=$D813)*($H$532:$O$539)) * (SUM(($C$519:$C$526=$A813)*(G$519:G$526)) + SUM(($C$510:$C$517=$A813)*(G$510:G$517))) * $E813</f>
        <v>0</v>
      </c>
      <c r="H813" s="678">
        <f t="shared" si="178"/>
        <v>0</v>
      </c>
      <c r="I813" s="678">
        <f t="array" ref="I813">1/INDEX($G$193:$N$193,MATCH($A813,$G$191:$N$191,0)) * SUM(($H$530:$O$530=$A813)*($G$532:$G$539=$D813)*($H$532:$O$539)) * (SUM(($C$519:$C$526=$A813)*(I$519:I$526)) + SUM(($C$510:$C$517=$A813)*(I$510:I$517))) * $E813</f>
        <v>0</v>
      </c>
      <c r="J813" s="678">
        <f t="shared" si="178"/>
        <v>0</v>
      </c>
      <c r="K813" s="678">
        <f t="array" ref="K813">1/INDEX($G$193:$N$193,MATCH($A813,$G$191:$N$191,0)) * SUM(($H$530:$O$530=$A813)*($G$532:$G$539=$D813)*($H$532:$O$539)) * (SUM(($C$519:$C$526=$A813)*(K$519:K$526)) + SUM(($C$510:$C$517=$A813)*(K$510:K$517))) * $E813</f>
        <v>0</v>
      </c>
      <c r="L813" s="678">
        <f t="shared" si="192"/>
        <v>0</v>
      </c>
      <c r="M813" s="678">
        <f t="array" ref="M813">1/INDEX($G$193:$N$193,MATCH($A813,$G$191:$N$191,0)) * SUM(($H$530:$O$530=$A813)*($G$532:$G$539=$D813)*($H$532:$O$539)) * (SUM(($C$519:$C$526=$A813)*(M$519:M$526)) + SUM(($C$510:$C$517=$A813)*(M$510:M$517))) * $E813</f>
        <v>0</v>
      </c>
      <c r="N813" s="678">
        <f t="shared" si="193"/>
        <v>0</v>
      </c>
      <c r="O813" s="678">
        <f t="array" ref="O813">1/INDEX($G$193:$N$193,MATCH($A813,$G$191:$N$191,0)) * SUM(($H$530:$O$530=$A813)*($G$532:$G$539=$D813)*($H$532:$O$539)) * (SUM(($C$519:$C$526=$A813)*(O$519:O$526)) + SUM(($C$510:$C$517=$A813)*(O$510:O$517))) * $E813</f>
        <v>0</v>
      </c>
    </row>
    <row r="814" spans="1:15" s="19" customFormat="1">
      <c r="A814" s="1438" t="str">
        <f t="shared" si="194"/>
        <v>NM</v>
      </c>
      <c r="B814" s="347" t="str">
        <f>INDEX(EF[UK Vector],MATCH(D814,EF[SATIM Code],0))</f>
        <v>V.09</v>
      </c>
      <c r="C814" s="1438" t="str">
        <f>INDEX(Vectors[Description], MATCH($B814, Vectors[Code], 0))</f>
        <v>Dry biomass and waste</v>
      </c>
      <c r="D814" s="656" t="s">
        <v>889</v>
      </c>
      <c r="E814" s="1228">
        <f t="shared" si="191"/>
        <v>0</v>
      </c>
      <c r="F814" s="678">
        <f t="array" ref="F814">1/INDEX($G$193:$N$193,MATCH($A814,$G$191:$N$191,0)) * SUM(($H$203:$O$203=$A814)*($G$205:$G$212=$D814)*($H$205:$O$212)) * (SUM(($C$519:$C$526=$A814)*(F$519:F$526)) + SUM(($C$510:$C$517=$A814)*(F$510:F$517))) * $E814</f>
        <v>0</v>
      </c>
      <c r="G814" s="678">
        <f t="array" ref="G814">1/INDEX($G$193:$N$193,MATCH($A814,$G$191:$N$191,0)) * SUM(($H$530:$O$530=$A814)*($G$532:$G$539=$D814)*($H$532:$O$539)) * (SUM(($C$519:$C$526=$A814)*(G$519:G$526)) + SUM(($C$510:$C$517=$A814)*(G$510:G$517))) * $E814</f>
        <v>0</v>
      </c>
      <c r="H814" s="678">
        <f t="shared" si="178"/>
        <v>0</v>
      </c>
      <c r="I814" s="678">
        <f t="array" ref="I814">1/INDEX($G$193:$N$193,MATCH($A814,$G$191:$N$191,0)) * SUM(($H$530:$O$530=$A814)*($G$532:$G$539=$D814)*($H$532:$O$539)) * (SUM(($C$519:$C$526=$A814)*(I$519:I$526)) + SUM(($C$510:$C$517=$A814)*(I$510:I$517))) * $E814</f>
        <v>0</v>
      </c>
      <c r="J814" s="678">
        <f t="shared" si="178"/>
        <v>0</v>
      </c>
      <c r="K814" s="678">
        <f t="array" ref="K814">1/INDEX($G$193:$N$193,MATCH($A814,$G$191:$N$191,0)) * SUM(($H$530:$O$530=$A814)*($G$532:$G$539=$D814)*($H$532:$O$539)) * (SUM(($C$519:$C$526=$A814)*(K$519:K$526)) + SUM(($C$510:$C$517=$A814)*(K$510:K$517))) * $E814</f>
        <v>0</v>
      </c>
      <c r="L814" s="678">
        <f t="shared" si="192"/>
        <v>0</v>
      </c>
      <c r="M814" s="678">
        <f t="array" ref="M814">1/INDEX($G$193:$N$193,MATCH($A814,$G$191:$N$191,0)) * SUM(($H$530:$O$530=$A814)*($G$532:$G$539=$D814)*($H$532:$O$539)) * (SUM(($C$519:$C$526=$A814)*(M$519:M$526)) + SUM(($C$510:$C$517=$A814)*(M$510:M$517))) * $E814</f>
        <v>0</v>
      </c>
      <c r="N814" s="678">
        <f t="shared" si="193"/>
        <v>0</v>
      </c>
      <c r="O814" s="678">
        <f t="array" ref="O814">1/INDEX($G$193:$N$193,MATCH($A814,$G$191:$N$191,0)) * SUM(($H$530:$O$530=$A814)*($G$532:$G$539=$D814)*($H$532:$O$539)) * (SUM(($C$519:$C$526=$A814)*(O$519:O$526)) + SUM(($C$510:$C$517=$A814)*(O$510:O$517))) * $E814</f>
        <v>0</v>
      </c>
    </row>
    <row r="815" spans="1:15" s="19" customFormat="1">
      <c r="A815" s="1438" t="str">
        <f t="shared" si="194"/>
        <v>NM</v>
      </c>
      <c r="B815" s="347" t="str">
        <f>INDEX(EF[UK Vector],MATCH(D815,EF[SATIM Code],0))</f>
        <v>V.16</v>
      </c>
      <c r="C815" s="1438" t="str">
        <f>INDEX(Vectors[Description], MATCH($B815, Vectors[Code], 0))</f>
        <v>Other Waste</v>
      </c>
      <c r="D815" s="17" t="s">
        <v>890</v>
      </c>
      <c r="E815" s="1228">
        <f t="shared" si="191"/>
        <v>0</v>
      </c>
      <c r="F815" s="678">
        <f t="array" ref="F815">1/INDEX($G$193:$N$193,MATCH($A815,$G$191:$N$191,0)) * SUM(($H$203:$O$203=$A815)*($G$205:$G$212=$D815)*($H$205:$O$212)) * (SUM(($C$519:$C$526=$A815)*(F$519:F$526)) + SUM(($C$510:$C$517=$A815)*(F$510:F$517))) * $E815</f>
        <v>0</v>
      </c>
      <c r="G815" s="678">
        <f t="array" ref="G815">1/INDEX($G$193:$N$193,MATCH($A815,$G$191:$N$191,0)) * SUM(($H$530:$O$530=$A815)*($G$532:$G$539=$D815)*($H$532:$O$539)) * (SUM(($C$519:$C$526=$A815)*(G$519:G$526)) + SUM(($C$510:$C$517=$A815)*(G$510:G$517))) * $E815</f>
        <v>0</v>
      </c>
      <c r="H815" s="678">
        <f t="shared" si="178"/>
        <v>0</v>
      </c>
      <c r="I815" s="678">
        <f t="array" ref="I815">1/INDEX($G$193:$N$193,MATCH($A815,$G$191:$N$191,0)) * SUM(($H$530:$O$530=$A815)*($G$532:$G$539=$D815)*($H$532:$O$539)) * (SUM(($C$519:$C$526=$A815)*(I$519:I$526)) + SUM(($C$510:$C$517=$A815)*(I$510:I$517))) * $E815</f>
        <v>0</v>
      </c>
      <c r="J815" s="678">
        <f t="shared" si="178"/>
        <v>0</v>
      </c>
      <c r="K815" s="678">
        <f t="array" ref="K815">1/INDEX($G$193:$N$193,MATCH($A815,$G$191:$N$191,0)) * SUM(($H$530:$O$530=$A815)*($G$532:$G$539=$D815)*($H$532:$O$539)) * (SUM(($C$519:$C$526=$A815)*(K$519:K$526)) + SUM(($C$510:$C$517=$A815)*(K$510:K$517))) * $E815</f>
        <v>0</v>
      </c>
      <c r="L815" s="678">
        <f t="shared" si="192"/>
        <v>0</v>
      </c>
      <c r="M815" s="678">
        <f t="array" ref="M815">1/INDEX($G$193:$N$193,MATCH($A815,$G$191:$N$191,0)) * SUM(($H$530:$O$530=$A815)*($G$532:$G$539=$D815)*($H$532:$O$539)) * (SUM(($C$519:$C$526=$A815)*(M$519:M$526)) + SUM(($C$510:$C$517=$A815)*(M$510:M$517))) * $E815</f>
        <v>0</v>
      </c>
      <c r="N815" s="678">
        <f t="shared" si="193"/>
        <v>0</v>
      </c>
      <c r="O815" s="678">
        <f t="array" ref="O815">1/INDEX($G$193:$N$193,MATCH($A815,$G$191:$N$191,0)) * SUM(($H$530:$O$530=$A815)*($G$532:$G$539=$D815)*($H$532:$O$539)) * (SUM(($C$519:$C$526=$A815)*(O$519:O$526)) + SUM(($C$510:$C$517=$A815)*(O$510:O$517))) * $E815</f>
        <v>0</v>
      </c>
    </row>
    <row r="816" spans="1:15" s="19" customFormat="1">
      <c r="A816" s="1086"/>
      <c r="B816" s="347"/>
      <c r="D816" s="17"/>
      <c r="E816" s="1228"/>
      <c r="F816" s="678"/>
      <c r="G816" s="678"/>
      <c r="H816" s="678"/>
      <c r="I816" s="678"/>
      <c r="J816" s="678"/>
      <c r="K816" s="678"/>
      <c r="L816" s="678"/>
      <c r="M816" s="678"/>
      <c r="N816" s="678"/>
      <c r="O816" s="678"/>
    </row>
    <row r="817" spans="1:15" s="19" customFormat="1">
      <c r="A817" s="1456"/>
      <c r="B817" s="347"/>
      <c r="C817" s="1459" t="str">
        <f>D25</f>
        <v>Food, Beverage &amp; Tabacco  - 30</v>
      </c>
      <c r="D817" s="17"/>
      <c r="E817" s="1228"/>
      <c r="F817" s="678"/>
      <c r="G817" s="678"/>
      <c r="H817" s="678"/>
      <c r="I817" s="678"/>
      <c r="J817" s="678"/>
      <c r="K817" s="678"/>
      <c r="L817" s="678"/>
      <c r="M817" s="678"/>
      <c r="N817" s="678"/>
      <c r="O817" s="678"/>
    </row>
    <row r="818" spans="1:15" s="19" customFormat="1">
      <c r="A818" s="1456" t="str">
        <f>INDEX($C$20:$C$27,MATCH($C817,$D$20:$D$27,0))</f>
        <v>FB</v>
      </c>
      <c r="B818" s="347" t="str">
        <f>INDEX(EF[UK Vector],MATCH(D818,EF[SATIM Code],0))</f>
        <v>V.03</v>
      </c>
      <c r="C818" s="1438" t="str">
        <f>INDEX(Vectors[Description], MATCH($B818, Vectors[Code], 0))</f>
        <v>Solid hydrocarbons</v>
      </c>
      <c r="D818" s="17" t="s">
        <v>882</v>
      </c>
      <c r="E818" s="1228">
        <f t="shared" ref="E818:E825" si="195">INDEX($G$199:$N$199,MATCH($A818,$G$191:$N$191,0))</f>
        <v>1</v>
      </c>
      <c r="F818" s="678">
        <f t="array" ref="F818">1/INDEX($G$193:$N$193,MATCH($A818,$G$191:$N$191,0)) * SUM(($H$203:$O$203=$A818)*($G$205:$G$212=$D818)*($H$205:$O$212)) * (SUM(($C$519:$C$526=$A818)*(F$519:F$526)) + SUM(($C$510:$C$517=$A818)*(F$510:F$517))) * $E818</f>
        <v>1.9999999999999996</v>
      </c>
      <c r="G818" s="678">
        <f t="array" ref="G818">1/INDEX($G$193:$N$193,MATCH($A818,$G$191:$N$191,0)) * SUM(($H$530:$O$530=$A818)*($G$532:$G$539=$D818)*($H$532:$O$539)) * (SUM(($C$519:$C$526=$A818)*(G$519:G$526)) + SUM(($C$510:$C$517=$A818)*(G$510:G$517))) * $E818</f>
        <v>1.9999999999999996</v>
      </c>
      <c r="H818" s="678">
        <f t="shared" si="178"/>
        <v>1.9999999999999996</v>
      </c>
      <c r="I818" s="678">
        <f t="array" ref="I818">1/INDEX($G$193:$N$193,MATCH($A818,$G$191:$N$191,0)) * SUM(($H$530:$O$530=$A818)*($G$532:$G$539=$D818)*($H$532:$O$539)) * (SUM(($C$519:$C$526=$A818)*(I$519:I$526)) + SUM(($C$510:$C$517=$A818)*(I$510:I$517))) * $E818</f>
        <v>1.9999999999999996</v>
      </c>
      <c r="J818" s="678">
        <f t="shared" si="178"/>
        <v>1.9999999999999996</v>
      </c>
      <c r="K818" s="678">
        <f t="array" ref="K818">1/INDEX($G$193:$N$193,MATCH($A818,$G$191:$N$191,0)) * SUM(($H$530:$O$530=$A818)*($G$532:$G$539=$D818)*($H$532:$O$539)) * (SUM(($C$519:$C$526=$A818)*(K$519:K$526)) + SUM(($C$510:$C$517=$A818)*(K$510:K$517))) * $E818</f>
        <v>1.9999999999999996</v>
      </c>
      <c r="L818" s="678">
        <f t="shared" ref="L818:L825" si="196">AVERAGE(K818,M818)</f>
        <v>1.9999999999999996</v>
      </c>
      <c r="M818" s="678">
        <f t="array" ref="M818">1/INDEX($G$193:$N$193,MATCH($A818,$G$191:$N$191,0)) * SUM(($H$530:$O$530=$A818)*($G$532:$G$539=$D818)*($H$532:$O$539)) * (SUM(($C$519:$C$526=$A818)*(M$519:M$526)) + SUM(($C$510:$C$517=$A818)*(M$510:M$517))) * $E818</f>
        <v>1.9999999999999996</v>
      </c>
      <c r="N818" s="678">
        <f t="shared" ref="N818:N825" si="197">AVERAGE(M818,O818)</f>
        <v>1.9999999999999996</v>
      </c>
      <c r="O818" s="678">
        <f t="array" ref="O818">1/INDEX($G$193:$N$193,MATCH($A818,$G$191:$N$191,0)) * SUM(($H$530:$O$530=$A818)*($G$532:$G$539=$D818)*($H$532:$O$539)) * (SUM(($C$519:$C$526=$A818)*(O$519:O$526)) + SUM(($C$510:$C$517=$A818)*(O$510:O$517))) * $E818</f>
        <v>1.9999999999999996</v>
      </c>
    </row>
    <row r="819" spans="1:15" s="19" customFormat="1">
      <c r="A819" s="1438" t="str">
        <f t="shared" ref="A819:A825" si="198">A818</f>
        <v>FB</v>
      </c>
      <c r="B819" s="347" t="str">
        <f>INDEX(EF[UK Vector],MATCH(D819,EF[SATIM Code],0))</f>
        <v>V.05</v>
      </c>
      <c r="C819" s="1438" t="str">
        <f>INDEX(Vectors[Description], MATCH($B819, Vectors[Code], 0))</f>
        <v>Gaseous hydrocarbons</v>
      </c>
      <c r="D819" s="656" t="s">
        <v>869</v>
      </c>
      <c r="E819" s="1228">
        <f t="shared" si="195"/>
        <v>1</v>
      </c>
      <c r="F819" s="678">
        <f t="array" ref="F819">1/INDEX($G$193:$N$193,MATCH($A819,$G$191:$N$191,0)) * SUM(($H$203:$O$203=$A819)*($G$205:$G$212=$D819)*($H$205:$O$212)) * (SUM(($C$519:$C$526=$A819)*(F$519:F$526)) + SUM(($C$510:$C$517=$A819)*(F$510:F$517))) * $E819</f>
        <v>0</v>
      </c>
      <c r="G819" s="678">
        <f t="array" ref="G819">1/INDEX($G$193:$N$193,MATCH($A819,$G$191:$N$191,0)) * SUM(($H$530:$O$530=$A819)*($G$532:$G$539=$D819)*($H$532:$O$539)) * (SUM(($C$519:$C$526=$A819)*(G$519:G$526)) + SUM(($C$510:$C$517=$A819)*(G$510:G$517))) * $E819</f>
        <v>0</v>
      </c>
      <c r="H819" s="678">
        <f t="shared" si="178"/>
        <v>0</v>
      </c>
      <c r="I819" s="678">
        <f t="array" ref="I819">1/INDEX($G$193:$N$193,MATCH($A819,$G$191:$N$191,0)) * SUM(($H$530:$O$530=$A819)*($G$532:$G$539=$D819)*($H$532:$O$539)) * (SUM(($C$519:$C$526=$A819)*(I$519:I$526)) + SUM(($C$510:$C$517=$A819)*(I$510:I$517))) * $E819</f>
        <v>0</v>
      </c>
      <c r="J819" s="678">
        <f t="shared" si="178"/>
        <v>0</v>
      </c>
      <c r="K819" s="678">
        <f t="array" ref="K819">1/INDEX($G$193:$N$193,MATCH($A819,$G$191:$N$191,0)) * SUM(($H$530:$O$530=$A819)*($G$532:$G$539=$D819)*($H$532:$O$539)) * (SUM(($C$519:$C$526=$A819)*(K$519:K$526)) + SUM(($C$510:$C$517=$A819)*(K$510:K$517))) * $E819</f>
        <v>0</v>
      </c>
      <c r="L819" s="678">
        <f t="shared" si="196"/>
        <v>0</v>
      </c>
      <c r="M819" s="678">
        <f t="array" ref="M819">1/INDEX($G$193:$N$193,MATCH($A819,$G$191:$N$191,0)) * SUM(($H$530:$O$530=$A819)*($G$532:$G$539=$D819)*($H$532:$O$539)) * (SUM(($C$519:$C$526=$A819)*(M$519:M$526)) + SUM(($C$510:$C$517=$A819)*(M$510:M$517))) * $E819</f>
        <v>0</v>
      </c>
      <c r="N819" s="678">
        <f t="shared" si="197"/>
        <v>0</v>
      </c>
      <c r="O819" s="678">
        <f t="array" ref="O819">1/INDEX($G$193:$N$193,MATCH($A819,$G$191:$N$191,0)) * SUM(($H$530:$O$530=$A819)*($G$532:$G$539=$D819)*($H$532:$O$539)) * (SUM(($C$519:$C$526=$A819)*(O$519:O$526)) + SUM(($C$510:$C$517=$A819)*(O$510:O$517))) * $E819</f>
        <v>0</v>
      </c>
    </row>
    <row r="820" spans="1:15" s="19" customFormat="1">
      <c r="A820" s="1438" t="str">
        <f t="shared" si="198"/>
        <v>FB</v>
      </c>
      <c r="B820" s="347" t="str">
        <f>INDEX(EF[UK Vector],MATCH(D820,EF[SATIM Code],0))</f>
        <v>V.04</v>
      </c>
      <c r="C820" s="1438" t="str">
        <f>INDEX(Vectors[Description], MATCH($B820, Vectors[Code], 0))</f>
        <v>Liquid hydrocarbons</v>
      </c>
      <c r="D820" s="656" t="s">
        <v>885</v>
      </c>
      <c r="E820" s="1228">
        <f t="shared" si="195"/>
        <v>1</v>
      </c>
      <c r="F820" s="678">
        <f t="array" ref="F820">1/INDEX($G$193:$N$193,MATCH($A820,$G$191:$N$191,0)) * SUM(($H$203:$O$203=$A820)*($G$205:$G$212=$D820)*($H$205:$O$212)) * (SUM(($C$519:$C$526=$A820)*(F$519:F$526)) + SUM(($C$510:$C$517=$A820)*(F$510:F$517))) * $E820</f>
        <v>0</v>
      </c>
      <c r="G820" s="678">
        <f t="array" ref="G820">1/INDEX($G$193:$N$193,MATCH($A820,$G$191:$N$191,0)) * SUM(($H$530:$O$530=$A820)*($G$532:$G$539=$D820)*($H$532:$O$539)) * (SUM(($C$519:$C$526=$A820)*(G$519:G$526)) + SUM(($C$510:$C$517=$A820)*(G$510:G$517))) * $E820</f>
        <v>0</v>
      </c>
      <c r="H820" s="678">
        <f t="shared" si="178"/>
        <v>0</v>
      </c>
      <c r="I820" s="678">
        <f t="array" ref="I820">1/INDEX($G$193:$N$193,MATCH($A820,$G$191:$N$191,0)) * SUM(($H$530:$O$530=$A820)*($G$532:$G$539=$D820)*($H$532:$O$539)) * (SUM(($C$519:$C$526=$A820)*(I$519:I$526)) + SUM(($C$510:$C$517=$A820)*(I$510:I$517))) * $E820</f>
        <v>0</v>
      </c>
      <c r="J820" s="678">
        <f t="shared" si="178"/>
        <v>0</v>
      </c>
      <c r="K820" s="678">
        <f t="array" ref="K820">1/INDEX($G$193:$N$193,MATCH($A820,$G$191:$N$191,0)) * SUM(($H$530:$O$530=$A820)*($G$532:$G$539=$D820)*($H$532:$O$539)) * (SUM(($C$519:$C$526=$A820)*(K$519:K$526)) + SUM(($C$510:$C$517=$A820)*(K$510:K$517))) * $E820</f>
        <v>0</v>
      </c>
      <c r="L820" s="678">
        <f t="shared" si="196"/>
        <v>0</v>
      </c>
      <c r="M820" s="678">
        <f t="array" ref="M820">1/INDEX($G$193:$N$193,MATCH($A820,$G$191:$N$191,0)) * SUM(($H$530:$O$530=$A820)*($G$532:$G$539=$D820)*($H$532:$O$539)) * (SUM(($C$519:$C$526=$A820)*(M$519:M$526)) + SUM(($C$510:$C$517=$A820)*(M$510:M$517))) * $E820</f>
        <v>0</v>
      </c>
      <c r="N820" s="678">
        <f t="shared" si="197"/>
        <v>0</v>
      </c>
      <c r="O820" s="678">
        <f t="array" ref="O820">1/INDEX($G$193:$N$193,MATCH($A820,$G$191:$N$191,0)) * SUM(($H$530:$O$530=$A820)*($G$532:$G$539=$D820)*($H$532:$O$539)) * (SUM(($C$519:$C$526=$A820)*(O$519:O$526)) + SUM(($C$510:$C$517=$A820)*(O$510:O$517))) * $E820</f>
        <v>0</v>
      </c>
    </row>
    <row r="821" spans="1:15" s="19" customFormat="1">
      <c r="A821" s="1438" t="str">
        <f t="shared" si="198"/>
        <v>FB</v>
      </c>
      <c r="B821" s="347" t="str">
        <f>INDEX(EF[UK Vector],MATCH(D821,EF[SATIM Code],0))</f>
        <v>V.04</v>
      </c>
      <c r="C821" s="1438" t="str">
        <f>INDEX(Vectors[Description], MATCH($B821, Vectors[Code], 0))</f>
        <v>Liquid hydrocarbons</v>
      </c>
      <c r="D821" s="656" t="s">
        <v>887</v>
      </c>
      <c r="E821" s="1228">
        <f t="shared" si="195"/>
        <v>1</v>
      </c>
      <c r="F821" s="678">
        <f t="array" ref="F821">1/INDEX($G$193:$N$193,MATCH($A821,$G$191:$N$191,0)) * SUM(($H$203:$O$203=$A821)*($G$205:$G$212=$D821)*($H$205:$O$212)) * (SUM(($C$519:$C$526=$A821)*(F$519:F$526)) + SUM(($C$510:$C$517=$A821)*(F$510:F$517))) * $E821</f>
        <v>0</v>
      </c>
      <c r="G821" s="678">
        <f t="array" ref="G821">1/INDEX($G$193:$N$193,MATCH($A821,$G$191:$N$191,0)) * SUM(($H$530:$O$530=$A821)*($G$532:$G$539=$D821)*($H$532:$O$539)) * (SUM(($C$519:$C$526=$A821)*(G$519:G$526)) + SUM(($C$510:$C$517=$A821)*(G$510:G$517))) * $E821</f>
        <v>0</v>
      </c>
      <c r="H821" s="678">
        <f t="shared" si="178"/>
        <v>0</v>
      </c>
      <c r="I821" s="678">
        <f t="array" ref="I821">1/INDEX($G$193:$N$193,MATCH($A821,$G$191:$N$191,0)) * SUM(($H$530:$O$530=$A821)*($G$532:$G$539=$D821)*($H$532:$O$539)) * (SUM(($C$519:$C$526=$A821)*(I$519:I$526)) + SUM(($C$510:$C$517=$A821)*(I$510:I$517))) * $E821</f>
        <v>0</v>
      </c>
      <c r="J821" s="678">
        <f t="shared" si="178"/>
        <v>0</v>
      </c>
      <c r="K821" s="678">
        <f t="array" ref="K821">1/INDEX($G$193:$N$193,MATCH($A821,$G$191:$N$191,0)) * SUM(($H$530:$O$530=$A821)*($G$532:$G$539=$D821)*($H$532:$O$539)) * (SUM(($C$519:$C$526=$A821)*(K$519:K$526)) + SUM(($C$510:$C$517=$A821)*(K$510:K$517))) * $E821</f>
        <v>0</v>
      </c>
      <c r="L821" s="678">
        <f t="shared" si="196"/>
        <v>0</v>
      </c>
      <c r="M821" s="678">
        <f t="array" ref="M821">1/INDEX($G$193:$N$193,MATCH($A821,$G$191:$N$191,0)) * SUM(($H$530:$O$530=$A821)*($G$532:$G$539=$D821)*($H$532:$O$539)) * (SUM(($C$519:$C$526=$A821)*(M$519:M$526)) + SUM(($C$510:$C$517=$A821)*(M$510:M$517))) * $E821</f>
        <v>0</v>
      </c>
      <c r="N821" s="678">
        <f t="shared" si="197"/>
        <v>0</v>
      </c>
      <c r="O821" s="678">
        <f t="array" ref="O821">1/INDEX($G$193:$N$193,MATCH($A821,$G$191:$N$191,0)) * SUM(($H$530:$O$530=$A821)*($G$532:$G$539=$D821)*($H$532:$O$539)) * (SUM(($C$519:$C$526=$A821)*(O$519:O$526)) + SUM(($C$510:$C$517=$A821)*(O$510:O$517))) * $E821</f>
        <v>0</v>
      </c>
    </row>
    <row r="822" spans="1:15" s="19" customFormat="1">
      <c r="A822" s="1438" t="str">
        <f t="shared" si="198"/>
        <v>FB</v>
      </c>
      <c r="B822" s="347" t="str">
        <f>INDEX(EF[UK Vector],MATCH(D822,EF[SATIM Code],0))</f>
        <v>V.01</v>
      </c>
      <c r="C822" s="1438" t="str">
        <f>INDEX(Vectors[Description], MATCH($B822, Vectors[Code], 0))</f>
        <v>Electricity (delivered to end user)</v>
      </c>
      <c r="D822" s="656" t="s">
        <v>879</v>
      </c>
      <c r="E822" s="1228">
        <f t="shared" si="195"/>
        <v>1</v>
      </c>
      <c r="F822" s="678">
        <f t="array" ref="F822">1/INDEX($G$193:$N$193,MATCH($A822,$G$191:$N$191,0)) * SUM(($H$203:$O$203=$A822)*($G$205:$G$212=$D822)*($H$205:$O$212)) * (SUM(($C$519:$C$526=$A822)*(F$519:F$526)) + SUM(($C$510:$C$517=$A822)*(F$510:F$517))) * $E822</f>
        <v>0</v>
      </c>
      <c r="G822" s="678">
        <f t="array" ref="G822">1/INDEX($G$193:$N$193,MATCH($A822,$G$191:$N$191,0)) * SUM(($H$530:$O$530=$A822)*($G$532:$G$539=$D822)*($H$532:$O$539)) * (SUM(($C$519:$C$526=$A822)*(G$519:G$526)) + SUM(($C$510:$C$517=$A822)*(G$510:G$517))) * $E822</f>
        <v>0</v>
      </c>
      <c r="H822" s="678">
        <f t="shared" si="178"/>
        <v>0</v>
      </c>
      <c r="I822" s="678">
        <f t="array" ref="I822">1/INDEX($G$193:$N$193,MATCH($A822,$G$191:$N$191,0)) * SUM(($H$530:$O$530=$A822)*($G$532:$G$539=$D822)*($H$532:$O$539)) * (SUM(($C$519:$C$526=$A822)*(I$519:I$526)) + SUM(($C$510:$C$517=$A822)*(I$510:I$517))) * $E822</f>
        <v>0</v>
      </c>
      <c r="J822" s="678">
        <f t="shared" si="178"/>
        <v>0</v>
      </c>
      <c r="K822" s="678">
        <f t="array" ref="K822">1/INDEX($G$193:$N$193,MATCH($A822,$G$191:$N$191,0)) * SUM(($H$530:$O$530=$A822)*($G$532:$G$539=$D822)*($H$532:$O$539)) * (SUM(($C$519:$C$526=$A822)*(K$519:K$526)) + SUM(($C$510:$C$517=$A822)*(K$510:K$517))) * $E822</f>
        <v>0</v>
      </c>
      <c r="L822" s="678">
        <f t="shared" si="196"/>
        <v>0</v>
      </c>
      <c r="M822" s="678">
        <f t="array" ref="M822">1/INDEX($G$193:$N$193,MATCH($A822,$G$191:$N$191,0)) * SUM(($H$530:$O$530=$A822)*($G$532:$G$539=$D822)*($H$532:$O$539)) * (SUM(($C$519:$C$526=$A822)*(M$519:M$526)) + SUM(($C$510:$C$517=$A822)*(M$510:M$517))) * $E822</f>
        <v>0</v>
      </c>
      <c r="N822" s="678">
        <f t="shared" si="197"/>
        <v>0</v>
      </c>
      <c r="O822" s="678">
        <f t="array" ref="O822">1/INDEX($G$193:$N$193,MATCH($A822,$G$191:$N$191,0)) * SUM(($H$530:$O$530=$A822)*($G$532:$G$539=$D822)*($H$532:$O$539)) * (SUM(($C$519:$C$526=$A822)*(O$519:O$526)) + SUM(($C$510:$C$517=$A822)*(O$510:O$517))) * $E822</f>
        <v>0</v>
      </c>
    </row>
    <row r="823" spans="1:15" s="19" customFormat="1">
      <c r="A823" s="1438" t="str">
        <f t="shared" si="198"/>
        <v>FB</v>
      </c>
      <c r="B823" s="347" t="str">
        <f>INDEX(EF[UK Vector],MATCH(D823,EF[SATIM Code],0))</f>
        <v>V.09</v>
      </c>
      <c r="C823" s="1438" t="str">
        <f>INDEX(Vectors[Description], MATCH($B823, Vectors[Code], 0))</f>
        <v>Dry biomass and waste</v>
      </c>
      <c r="D823" s="656" t="s">
        <v>888</v>
      </c>
      <c r="E823" s="1228">
        <f t="shared" si="195"/>
        <v>1</v>
      </c>
      <c r="F823" s="678">
        <f t="array" ref="F823">1/INDEX($G$193:$N$193,MATCH($A823,$G$191:$N$191,0)) * SUM(($H$203:$O$203=$A823)*($G$205:$G$212=$D823)*($H$205:$O$212)) * (SUM(($C$519:$C$526=$A823)*(F$519:F$526)) + SUM(($C$510:$C$517=$A823)*(F$510:F$517))) * $E823</f>
        <v>0</v>
      </c>
      <c r="G823" s="678">
        <f t="array" ref="G823">1/INDEX($G$193:$N$193,MATCH($A823,$G$191:$N$191,0)) * SUM(($H$530:$O$530=$A823)*($G$532:$G$539=$D823)*($H$532:$O$539)) * (SUM(($C$519:$C$526=$A823)*(G$519:G$526)) + SUM(($C$510:$C$517=$A823)*(G$510:G$517))) * $E823</f>
        <v>0</v>
      </c>
      <c r="H823" s="678">
        <f t="shared" si="178"/>
        <v>0</v>
      </c>
      <c r="I823" s="678">
        <f t="array" ref="I823">1/INDEX($G$193:$N$193,MATCH($A823,$G$191:$N$191,0)) * SUM(($H$530:$O$530=$A823)*($G$532:$G$539=$D823)*($H$532:$O$539)) * (SUM(($C$519:$C$526=$A823)*(I$519:I$526)) + SUM(($C$510:$C$517=$A823)*(I$510:I$517))) * $E823</f>
        <v>0</v>
      </c>
      <c r="J823" s="678">
        <f t="shared" si="178"/>
        <v>0</v>
      </c>
      <c r="K823" s="678">
        <f t="array" ref="K823">1/INDEX($G$193:$N$193,MATCH($A823,$G$191:$N$191,0)) * SUM(($H$530:$O$530=$A823)*($G$532:$G$539=$D823)*($H$532:$O$539)) * (SUM(($C$519:$C$526=$A823)*(K$519:K$526)) + SUM(($C$510:$C$517=$A823)*(K$510:K$517))) * $E823</f>
        <v>0</v>
      </c>
      <c r="L823" s="678">
        <f t="shared" si="196"/>
        <v>0</v>
      </c>
      <c r="M823" s="678">
        <f t="array" ref="M823">1/INDEX($G$193:$N$193,MATCH($A823,$G$191:$N$191,0)) * SUM(($H$530:$O$530=$A823)*($G$532:$G$539=$D823)*($H$532:$O$539)) * (SUM(($C$519:$C$526=$A823)*(M$519:M$526)) + SUM(($C$510:$C$517=$A823)*(M$510:M$517))) * $E823</f>
        <v>0</v>
      </c>
      <c r="N823" s="678">
        <f t="shared" si="197"/>
        <v>0</v>
      </c>
      <c r="O823" s="678">
        <f t="array" ref="O823">1/INDEX($G$193:$N$193,MATCH($A823,$G$191:$N$191,0)) * SUM(($H$530:$O$530=$A823)*($G$532:$G$539=$D823)*($H$532:$O$539)) * (SUM(($C$519:$C$526=$A823)*(O$519:O$526)) + SUM(($C$510:$C$517=$A823)*(O$510:O$517))) * $E823</f>
        <v>0</v>
      </c>
    </row>
    <row r="824" spans="1:15" s="19" customFormat="1">
      <c r="A824" s="1438" t="str">
        <f t="shared" si="198"/>
        <v>FB</v>
      </c>
      <c r="B824" s="347" t="str">
        <f>INDEX(EF[UK Vector],MATCH(D824,EF[SATIM Code],0))</f>
        <v>V.09</v>
      </c>
      <c r="C824" s="1438" t="str">
        <f>INDEX(Vectors[Description], MATCH($B824, Vectors[Code], 0))</f>
        <v>Dry biomass and waste</v>
      </c>
      <c r="D824" s="656" t="s">
        <v>889</v>
      </c>
      <c r="E824" s="1228">
        <f t="shared" si="195"/>
        <v>1</v>
      </c>
      <c r="F824" s="678">
        <f t="array" ref="F824">1/INDEX($G$193:$N$193,MATCH($A824,$G$191:$N$191,0)) * SUM(($H$203:$O$203=$A824)*($G$205:$G$212=$D824)*($H$205:$O$212)) * (SUM(($C$519:$C$526=$A824)*(F$519:F$526)) + SUM(($C$510:$C$517=$A824)*(F$510:F$517))) * $E824</f>
        <v>10</v>
      </c>
      <c r="G824" s="678">
        <f t="array" ref="G824">1/INDEX($G$193:$N$193,MATCH($A824,$G$191:$N$191,0)) * SUM(($H$530:$O$530=$A824)*($G$532:$G$539=$D824)*($H$532:$O$539)) * (SUM(($C$519:$C$526=$A824)*(G$519:G$526)) + SUM(($C$510:$C$517=$A824)*(G$510:G$517))) * $E824</f>
        <v>10</v>
      </c>
      <c r="H824" s="678">
        <f t="shared" si="178"/>
        <v>10</v>
      </c>
      <c r="I824" s="678">
        <f t="array" ref="I824">1/INDEX($G$193:$N$193,MATCH($A824,$G$191:$N$191,0)) * SUM(($H$530:$O$530=$A824)*($G$532:$G$539=$D824)*($H$532:$O$539)) * (SUM(($C$519:$C$526=$A824)*(I$519:I$526)) + SUM(($C$510:$C$517=$A824)*(I$510:I$517))) * $E824</f>
        <v>10</v>
      </c>
      <c r="J824" s="678">
        <f t="shared" si="178"/>
        <v>10</v>
      </c>
      <c r="K824" s="678">
        <f t="array" ref="K824">1/INDEX($G$193:$N$193,MATCH($A824,$G$191:$N$191,0)) * SUM(($H$530:$O$530=$A824)*($G$532:$G$539=$D824)*($H$532:$O$539)) * (SUM(($C$519:$C$526=$A824)*(K$519:K$526)) + SUM(($C$510:$C$517=$A824)*(K$510:K$517))) * $E824</f>
        <v>10</v>
      </c>
      <c r="L824" s="678">
        <f t="shared" si="196"/>
        <v>10</v>
      </c>
      <c r="M824" s="678">
        <f t="array" ref="M824">1/INDEX($G$193:$N$193,MATCH($A824,$G$191:$N$191,0)) * SUM(($H$530:$O$530=$A824)*($G$532:$G$539=$D824)*($H$532:$O$539)) * (SUM(($C$519:$C$526=$A824)*(M$519:M$526)) + SUM(($C$510:$C$517=$A824)*(M$510:M$517))) * $E824</f>
        <v>10</v>
      </c>
      <c r="N824" s="678">
        <f t="shared" si="197"/>
        <v>10</v>
      </c>
      <c r="O824" s="678">
        <f t="array" ref="O824">1/INDEX($G$193:$N$193,MATCH($A824,$G$191:$N$191,0)) * SUM(($H$530:$O$530=$A824)*($G$532:$G$539=$D824)*($H$532:$O$539)) * (SUM(($C$519:$C$526=$A824)*(O$519:O$526)) + SUM(($C$510:$C$517=$A824)*(O$510:O$517))) * $E824</f>
        <v>10</v>
      </c>
    </row>
    <row r="825" spans="1:15" s="19" customFormat="1">
      <c r="A825" s="1438" t="str">
        <f t="shared" si="198"/>
        <v>FB</v>
      </c>
      <c r="B825" s="347" t="str">
        <f>INDEX(EF[UK Vector],MATCH(D825,EF[SATIM Code],0))</f>
        <v>V.16</v>
      </c>
      <c r="C825" s="1438" t="str">
        <f>INDEX(Vectors[Description], MATCH($B825, Vectors[Code], 0))</f>
        <v>Other Waste</v>
      </c>
      <c r="D825" s="17" t="s">
        <v>890</v>
      </c>
      <c r="E825" s="1228">
        <f t="shared" si="195"/>
        <v>1</v>
      </c>
      <c r="F825" s="678">
        <f t="array" ref="F825">1/INDEX($G$193:$N$193,MATCH($A825,$G$191:$N$191,0)) * SUM(($H$203:$O$203=$A825)*($G$205:$G$212=$D825)*($H$205:$O$212)) * (SUM(($C$519:$C$526=$A825)*(F$519:F$526)) + SUM(($C$510:$C$517=$A825)*(F$510:F$517))) * $E825</f>
        <v>0</v>
      </c>
      <c r="G825" s="678">
        <f t="array" ref="G825">1/INDEX($G$193:$N$193,MATCH($A825,$G$191:$N$191,0)) * SUM(($H$530:$O$530=$A825)*($G$532:$G$539=$D825)*($H$532:$O$539)) * (SUM(($C$519:$C$526=$A825)*(G$519:G$526)) + SUM(($C$510:$C$517=$A825)*(G$510:G$517))) * $E825</f>
        <v>0</v>
      </c>
      <c r="H825" s="678">
        <f t="shared" si="178"/>
        <v>0</v>
      </c>
      <c r="I825" s="678">
        <f t="array" ref="I825">1/INDEX($G$193:$N$193,MATCH($A825,$G$191:$N$191,0)) * SUM(($H$530:$O$530=$A825)*($G$532:$G$539=$D825)*($H$532:$O$539)) * (SUM(($C$519:$C$526=$A825)*(I$519:I$526)) + SUM(($C$510:$C$517=$A825)*(I$510:I$517))) * $E825</f>
        <v>0</v>
      </c>
      <c r="J825" s="678">
        <f t="shared" si="178"/>
        <v>0</v>
      </c>
      <c r="K825" s="678">
        <f t="array" ref="K825">1/INDEX($G$193:$N$193,MATCH($A825,$G$191:$N$191,0)) * SUM(($H$530:$O$530=$A825)*($G$532:$G$539=$D825)*($H$532:$O$539)) * (SUM(($C$519:$C$526=$A825)*(K$519:K$526)) + SUM(($C$510:$C$517=$A825)*(K$510:K$517))) * $E825</f>
        <v>0</v>
      </c>
      <c r="L825" s="678">
        <f t="shared" si="196"/>
        <v>0</v>
      </c>
      <c r="M825" s="678">
        <f t="array" ref="M825">1/INDEX($G$193:$N$193,MATCH($A825,$G$191:$N$191,0)) * SUM(($H$530:$O$530=$A825)*($G$532:$G$539=$D825)*($H$532:$O$539)) * (SUM(($C$519:$C$526=$A825)*(M$519:M$526)) + SUM(($C$510:$C$517=$A825)*(M$510:M$517))) * $E825</f>
        <v>0</v>
      </c>
      <c r="N825" s="678">
        <f t="shared" si="197"/>
        <v>0</v>
      </c>
      <c r="O825" s="678">
        <f t="array" ref="O825">1/INDEX($G$193:$N$193,MATCH($A825,$G$191:$N$191,0)) * SUM(($H$530:$O$530=$A825)*($G$532:$G$539=$D825)*($H$532:$O$539)) * (SUM(($C$519:$C$526=$A825)*(O$519:O$526)) + SUM(($C$510:$C$517=$A825)*(O$510:O$517))) * $E825</f>
        <v>0</v>
      </c>
    </row>
    <row r="826" spans="1:15" s="19" customFormat="1">
      <c r="A826" s="1086"/>
      <c r="B826" s="347"/>
      <c r="D826" s="17"/>
      <c r="E826" s="1228"/>
      <c r="F826" s="678"/>
      <c r="G826" s="678"/>
      <c r="H826" s="678"/>
      <c r="I826" s="678"/>
      <c r="J826" s="678"/>
      <c r="K826" s="678"/>
      <c r="L826" s="678"/>
      <c r="M826" s="678"/>
      <c r="N826" s="678"/>
      <c r="O826" s="678"/>
    </row>
    <row r="827" spans="1:15" s="19" customFormat="1">
      <c r="A827" s="1456"/>
      <c r="B827" s="347"/>
      <c r="C827" s="1459" t="str">
        <f>D26</f>
        <v>Pulp &amp; Paper Products  -323</v>
      </c>
      <c r="D827" s="17"/>
      <c r="E827" s="1228"/>
      <c r="F827" s="678"/>
      <c r="G827" s="678"/>
      <c r="H827" s="678"/>
      <c r="I827" s="678"/>
      <c r="J827" s="678"/>
      <c r="K827" s="678"/>
      <c r="L827" s="678"/>
      <c r="M827" s="678"/>
      <c r="N827" s="678"/>
      <c r="O827" s="678"/>
    </row>
    <row r="828" spans="1:15" s="19" customFormat="1">
      <c r="A828" s="1456" t="str">
        <f>INDEX($C$20:$C$27,MATCH($C827,$D$20:$D$27,0))</f>
        <v>PP</v>
      </c>
      <c r="B828" s="347" t="str">
        <f>INDEX(EF[UK Vector],MATCH(D828,EF[SATIM Code],0))</f>
        <v>V.03</v>
      </c>
      <c r="C828" s="1438" t="str">
        <f>INDEX(Vectors[Description], MATCH($B828, Vectors[Code], 0))</f>
        <v>Solid hydrocarbons</v>
      </c>
      <c r="D828" s="17" t="s">
        <v>882</v>
      </c>
      <c r="E828" s="1228">
        <f t="shared" ref="E828:E835" si="199">INDEX($G$199:$N$199,MATCH($A828,$G$191:$N$191,0))</f>
        <v>1</v>
      </c>
      <c r="F828" s="678">
        <f t="array" ref="F828">1/INDEX($G$193:$N$193,MATCH($A828,$G$191:$N$191,0)) * SUM(($H$203:$O$203=$A828)*($G$205:$G$212=$D828)*($H$205:$O$212)) * (SUM(($C$519:$C$526=$A828)*(F$519:F$526)) + SUM(($C$510:$C$517=$A828)*(F$510:F$517))) * $E828</f>
        <v>19.999999999999996</v>
      </c>
      <c r="G828" s="678">
        <f t="array" ref="G828">1/INDEX($G$193:$N$193,MATCH($A828,$G$191:$N$191,0)) * SUM(($H$530:$O$530=$A828)*($G$532:$G$539=$D828)*($H$532:$O$539)) * (SUM(($C$519:$C$526=$A828)*(G$519:G$526)) + SUM(($C$510:$C$517=$A828)*(G$510:G$517))) * $E828</f>
        <v>19.999999999999996</v>
      </c>
      <c r="H828" s="678">
        <f t="shared" si="178"/>
        <v>19.999999999999996</v>
      </c>
      <c r="I828" s="678">
        <f t="array" ref="I828">1/INDEX($G$193:$N$193,MATCH($A828,$G$191:$N$191,0)) * SUM(($H$530:$O$530=$A828)*($G$532:$G$539=$D828)*($H$532:$O$539)) * (SUM(($C$519:$C$526=$A828)*(I$519:I$526)) + SUM(($C$510:$C$517=$A828)*(I$510:I$517))) * $E828</f>
        <v>19.999999999999996</v>
      </c>
      <c r="J828" s="678">
        <f t="shared" si="178"/>
        <v>19.999999999999996</v>
      </c>
      <c r="K828" s="678">
        <f t="array" ref="K828">1/INDEX($G$193:$N$193,MATCH($A828,$G$191:$N$191,0)) * SUM(($H$530:$O$530=$A828)*($G$532:$G$539=$D828)*($H$532:$O$539)) * (SUM(($C$519:$C$526=$A828)*(K$519:K$526)) + SUM(($C$510:$C$517=$A828)*(K$510:K$517))) * $E828</f>
        <v>19.999999999999996</v>
      </c>
      <c r="L828" s="678">
        <f t="shared" ref="L828:L835" si="200">AVERAGE(K828,M828)</f>
        <v>19.999999999999996</v>
      </c>
      <c r="M828" s="678">
        <f t="array" ref="M828">1/INDEX($G$193:$N$193,MATCH($A828,$G$191:$N$191,0)) * SUM(($H$530:$O$530=$A828)*($G$532:$G$539=$D828)*($H$532:$O$539)) * (SUM(($C$519:$C$526=$A828)*(M$519:M$526)) + SUM(($C$510:$C$517=$A828)*(M$510:M$517))) * $E828</f>
        <v>19.999999999999996</v>
      </c>
      <c r="N828" s="678">
        <f t="shared" ref="N828:N835" si="201">AVERAGE(M828,O828)</f>
        <v>19.999999999999996</v>
      </c>
      <c r="O828" s="678">
        <f t="array" ref="O828">1/INDEX($G$193:$N$193,MATCH($A828,$G$191:$N$191,0)) * SUM(($H$530:$O$530=$A828)*($G$532:$G$539=$D828)*($H$532:$O$539)) * (SUM(($C$519:$C$526=$A828)*(O$519:O$526)) + SUM(($C$510:$C$517=$A828)*(O$510:O$517))) * $E828</f>
        <v>19.999999999999996</v>
      </c>
    </row>
    <row r="829" spans="1:15" s="19" customFormat="1">
      <c r="A829" s="1438" t="str">
        <f t="shared" ref="A829:A835" si="202">A828</f>
        <v>PP</v>
      </c>
      <c r="B829" s="347" t="str">
        <f>INDEX(EF[UK Vector],MATCH(D829,EF[SATIM Code],0))</f>
        <v>V.05</v>
      </c>
      <c r="C829" s="1438" t="str">
        <f>INDEX(Vectors[Description], MATCH($B829, Vectors[Code], 0))</f>
        <v>Gaseous hydrocarbons</v>
      </c>
      <c r="D829" s="656" t="s">
        <v>869</v>
      </c>
      <c r="E829" s="1228">
        <f t="shared" si="199"/>
        <v>1</v>
      </c>
      <c r="F829" s="678">
        <f t="array" ref="F829">1/INDEX($G$193:$N$193,MATCH($A829,$G$191:$N$191,0)) * SUM(($H$203:$O$203=$A829)*($G$205:$G$212=$D829)*($H$205:$O$212)) * (SUM(($C$519:$C$526=$A829)*(F$519:F$526)) + SUM(($C$510:$C$517=$A829)*(F$510:F$517))) * $E829</f>
        <v>0</v>
      </c>
      <c r="G829" s="678">
        <f t="array" ref="G829">1/INDEX($G$193:$N$193,MATCH($A829,$G$191:$N$191,0)) * SUM(($H$530:$O$530=$A829)*($G$532:$G$539=$D829)*($H$532:$O$539)) * (SUM(($C$519:$C$526=$A829)*(G$519:G$526)) + SUM(($C$510:$C$517=$A829)*(G$510:G$517))) * $E829</f>
        <v>0</v>
      </c>
      <c r="H829" s="678">
        <f t="shared" si="178"/>
        <v>0</v>
      </c>
      <c r="I829" s="678">
        <f t="array" ref="I829">1/INDEX($G$193:$N$193,MATCH($A829,$G$191:$N$191,0)) * SUM(($H$530:$O$530=$A829)*($G$532:$G$539=$D829)*($H$532:$O$539)) * (SUM(($C$519:$C$526=$A829)*(I$519:I$526)) + SUM(($C$510:$C$517=$A829)*(I$510:I$517))) * $E829</f>
        <v>0</v>
      </c>
      <c r="J829" s="678">
        <f t="shared" si="178"/>
        <v>0</v>
      </c>
      <c r="K829" s="678">
        <f t="array" ref="K829">1/INDEX($G$193:$N$193,MATCH($A829,$G$191:$N$191,0)) * SUM(($H$530:$O$530=$A829)*($G$532:$G$539=$D829)*($H$532:$O$539)) * (SUM(($C$519:$C$526=$A829)*(K$519:K$526)) + SUM(($C$510:$C$517=$A829)*(K$510:K$517))) * $E829</f>
        <v>0</v>
      </c>
      <c r="L829" s="678">
        <f t="shared" si="200"/>
        <v>0</v>
      </c>
      <c r="M829" s="678">
        <f t="array" ref="M829">1/INDEX($G$193:$N$193,MATCH($A829,$G$191:$N$191,0)) * SUM(($H$530:$O$530=$A829)*($G$532:$G$539=$D829)*($H$532:$O$539)) * (SUM(($C$519:$C$526=$A829)*(M$519:M$526)) + SUM(($C$510:$C$517=$A829)*(M$510:M$517))) * $E829</f>
        <v>0</v>
      </c>
      <c r="N829" s="678">
        <f t="shared" si="201"/>
        <v>0</v>
      </c>
      <c r="O829" s="678">
        <f t="array" ref="O829">1/INDEX($G$193:$N$193,MATCH($A829,$G$191:$N$191,0)) * SUM(($H$530:$O$530=$A829)*($G$532:$G$539=$D829)*($H$532:$O$539)) * (SUM(($C$519:$C$526=$A829)*(O$519:O$526)) + SUM(($C$510:$C$517=$A829)*(O$510:O$517))) * $E829</f>
        <v>0</v>
      </c>
    </row>
    <row r="830" spans="1:15" s="19" customFormat="1">
      <c r="A830" s="1438" t="str">
        <f t="shared" si="202"/>
        <v>PP</v>
      </c>
      <c r="B830" s="347" t="str">
        <f>INDEX(EF[UK Vector],MATCH(D830,EF[SATIM Code],0))</f>
        <v>V.04</v>
      </c>
      <c r="C830" s="1438" t="str">
        <f>INDEX(Vectors[Description], MATCH($B830, Vectors[Code], 0))</f>
        <v>Liquid hydrocarbons</v>
      </c>
      <c r="D830" s="656" t="s">
        <v>885</v>
      </c>
      <c r="E830" s="1228">
        <f t="shared" si="199"/>
        <v>1</v>
      </c>
      <c r="F830" s="678">
        <f t="array" ref="F830">1/INDEX($G$193:$N$193,MATCH($A830,$G$191:$N$191,0)) * SUM(($H$203:$O$203=$A830)*($G$205:$G$212=$D830)*($H$205:$O$212)) * (SUM(($C$519:$C$526=$A830)*(F$519:F$526)) + SUM(($C$510:$C$517=$A830)*(F$510:F$517))) * $E830</f>
        <v>0</v>
      </c>
      <c r="G830" s="678">
        <f t="array" ref="G830">1/INDEX($G$193:$N$193,MATCH($A830,$G$191:$N$191,0)) * SUM(($H$530:$O$530=$A830)*($G$532:$G$539=$D830)*($H$532:$O$539)) * (SUM(($C$519:$C$526=$A830)*(G$519:G$526)) + SUM(($C$510:$C$517=$A830)*(G$510:G$517))) * $E830</f>
        <v>0</v>
      </c>
      <c r="H830" s="678">
        <f t="shared" si="178"/>
        <v>0</v>
      </c>
      <c r="I830" s="678">
        <f t="array" ref="I830">1/INDEX($G$193:$N$193,MATCH($A830,$G$191:$N$191,0)) * SUM(($H$530:$O$530=$A830)*($G$532:$G$539=$D830)*($H$532:$O$539)) * (SUM(($C$519:$C$526=$A830)*(I$519:I$526)) + SUM(($C$510:$C$517=$A830)*(I$510:I$517))) * $E830</f>
        <v>0</v>
      </c>
      <c r="J830" s="678">
        <f t="shared" si="178"/>
        <v>0</v>
      </c>
      <c r="K830" s="678">
        <f t="array" ref="K830">1/INDEX($G$193:$N$193,MATCH($A830,$G$191:$N$191,0)) * SUM(($H$530:$O$530=$A830)*($G$532:$G$539=$D830)*($H$532:$O$539)) * (SUM(($C$519:$C$526=$A830)*(K$519:K$526)) + SUM(($C$510:$C$517=$A830)*(K$510:K$517))) * $E830</f>
        <v>0</v>
      </c>
      <c r="L830" s="678">
        <f t="shared" si="200"/>
        <v>0</v>
      </c>
      <c r="M830" s="678">
        <f t="array" ref="M830">1/INDEX($G$193:$N$193,MATCH($A830,$G$191:$N$191,0)) * SUM(($H$530:$O$530=$A830)*($G$532:$G$539=$D830)*($H$532:$O$539)) * (SUM(($C$519:$C$526=$A830)*(M$519:M$526)) + SUM(($C$510:$C$517=$A830)*(M$510:M$517))) * $E830</f>
        <v>0</v>
      </c>
      <c r="N830" s="678">
        <f t="shared" si="201"/>
        <v>0</v>
      </c>
      <c r="O830" s="678">
        <f t="array" ref="O830">1/INDEX($G$193:$N$193,MATCH($A830,$G$191:$N$191,0)) * SUM(($H$530:$O$530=$A830)*($G$532:$G$539=$D830)*($H$532:$O$539)) * (SUM(($C$519:$C$526=$A830)*(O$519:O$526)) + SUM(($C$510:$C$517=$A830)*(O$510:O$517))) * $E830</f>
        <v>0</v>
      </c>
    </row>
    <row r="831" spans="1:15" s="19" customFormat="1">
      <c r="A831" s="1438" t="str">
        <f t="shared" si="202"/>
        <v>PP</v>
      </c>
      <c r="B831" s="347" t="str">
        <f>INDEX(EF[UK Vector],MATCH(D831,EF[SATIM Code],0))</f>
        <v>V.04</v>
      </c>
      <c r="C831" s="1438" t="str">
        <f>INDEX(Vectors[Description], MATCH($B831, Vectors[Code], 0))</f>
        <v>Liquid hydrocarbons</v>
      </c>
      <c r="D831" s="656" t="s">
        <v>887</v>
      </c>
      <c r="E831" s="1228">
        <f t="shared" si="199"/>
        <v>1</v>
      </c>
      <c r="F831" s="678">
        <f t="array" ref="F831">1/INDEX($G$193:$N$193,MATCH($A831,$G$191:$N$191,0)) * SUM(($H$203:$O$203=$A831)*($G$205:$G$212=$D831)*($H$205:$O$212)) * (SUM(($C$519:$C$526=$A831)*(F$519:F$526)) + SUM(($C$510:$C$517=$A831)*(F$510:F$517))) * $E831</f>
        <v>0</v>
      </c>
      <c r="G831" s="678">
        <f t="array" ref="G831">1/INDEX($G$193:$N$193,MATCH($A831,$G$191:$N$191,0)) * SUM(($H$530:$O$530=$A831)*($G$532:$G$539=$D831)*($H$532:$O$539)) * (SUM(($C$519:$C$526=$A831)*(G$519:G$526)) + SUM(($C$510:$C$517=$A831)*(G$510:G$517))) * $E831</f>
        <v>0</v>
      </c>
      <c r="H831" s="678">
        <f t="shared" si="178"/>
        <v>0</v>
      </c>
      <c r="I831" s="678">
        <f t="array" ref="I831">1/INDEX($G$193:$N$193,MATCH($A831,$G$191:$N$191,0)) * SUM(($H$530:$O$530=$A831)*($G$532:$G$539=$D831)*($H$532:$O$539)) * (SUM(($C$519:$C$526=$A831)*(I$519:I$526)) + SUM(($C$510:$C$517=$A831)*(I$510:I$517))) * $E831</f>
        <v>0</v>
      </c>
      <c r="J831" s="678">
        <f t="shared" si="178"/>
        <v>0</v>
      </c>
      <c r="K831" s="678">
        <f t="array" ref="K831">1/INDEX($G$193:$N$193,MATCH($A831,$G$191:$N$191,0)) * SUM(($H$530:$O$530=$A831)*($G$532:$G$539=$D831)*($H$532:$O$539)) * (SUM(($C$519:$C$526=$A831)*(K$519:K$526)) + SUM(($C$510:$C$517=$A831)*(K$510:K$517))) * $E831</f>
        <v>0</v>
      </c>
      <c r="L831" s="678">
        <f t="shared" si="200"/>
        <v>0</v>
      </c>
      <c r="M831" s="678">
        <f t="array" ref="M831">1/INDEX($G$193:$N$193,MATCH($A831,$G$191:$N$191,0)) * SUM(($H$530:$O$530=$A831)*($G$532:$G$539=$D831)*($H$532:$O$539)) * (SUM(($C$519:$C$526=$A831)*(M$519:M$526)) + SUM(($C$510:$C$517=$A831)*(M$510:M$517))) * $E831</f>
        <v>0</v>
      </c>
      <c r="N831" s="678">
        <f t="shared" si="201"/>
        <v>0</v>
      </c>
      <c r="O831" s="678">
        <f t="array" ref="O831">1/INDEX($G$193:$N$193,MATCH($A831,$G$191:$N$191,0)) * SUM(($H$530:$O$530=$A831)*($G$532:$G$539=$D831)*($H$532:$O$539)) * (SUM(($C$519:$C$526=$A831)*(O$519:O$526)) + SUM(($C$510:$C$517=$A831)*(O$510:O$517))) * $E831</f>
        <v>0</v>
      </c>
    </row>
    <row r="832" spans="1:15" s="19" customFormat="1">
      <c r="A832" s="1438" t="str">
        <f t="shared" si="202"/>
        <v>PP</v>
      </c>
      <c r="B832" s="347" t="str">
        <f>INDEX(EF[UK Vector],MATCH(D832,EF[SATIM Code],0))</f>
        <v>V.01</v>
      </c>
      <c r="C832" s="1438" t="str">
        <f>INDEX(Vectors[Description], MATCH($B832, Vectors[Code], 0))</f>
        <v>Electricity (delivered to end user)</v>
      </c>
      <c r="D832" s="656" t="s">
        <v>879</v>
      </c>
      <c r="E832" s="1228">
        <f t="shared" si="199"/>
        <v>1</v>
      </c>
      <c r="F832" s="678">
        <f t="array" ref="F832">1/INDEX($G$193:$N$193,MATCH($A832,$G$191:$N$191,0)) * SUM(($H$203:$O$203=$A832)*($G$205:$G$212=$D832)*($H$205:$O$212)) * (SUM(($C$519:$C$526=$A832)*(F$519:F$526)) + SUM(($C$510:$C$517=$A832)*(F$510:F$517))) * $E832</f>
        <v>0</v>
      </c>
      <c r="G832" s="678">
        <f t="array" ref="G832">1/INDEX($G$193:$N$193,MATCH($A832,$G$191:$N$191,0)) * SUM(($H$530:$O$530=$A832)*($G$532:$G$539=$D832)*($H$532:$O$539)) * (SUM(($C$519:$C$526=$A832)*(G$519:G$526)) + SUM(($C$510:$C$517=$A832)*(G$510:G$517))) * $E832</f>
        <v>0</v>
      </c>
      <c r="H832" s="678">
        <f t="shared" si="178"/>
        <v>0</v>
      </c>
      <c r="I832" s="678">
        <f t="array" ref="I832">1/INDEX($G$193:$N$193,MATCH($A832,$G$191:$N$191,0)) * SUM(($H$530:$O$530=$A832)*($G$532:$G$539=$D832)*($H$532:$O$539)) * (SUM(($C$519:$C$526=$A832)*(I$519:I$526)) + SUM(($C$510:$C$517=$A832)*(I$510:I$517))) * $E832</f>
        <v>0</v>
      </c>
      <c r="J832" s="678">
        <f t="shared" si="178"/>
        <v>0</v>
      </c>
      <c r="K832" s="678">
        <f t="array" ref="K832">1/INDEX($G$193:$N$193,MATCH($A832,$G$191:$N$191,0)) * SUM(($H$530:$O$530=$A832)*($G$532:$G$539=$D832)*($H$532:$O$539)) * (SUM(($C$519:$C$526=$A832)*(K$519:K$526)) + SUM(($C$510:$C$517=$A832)*(K$510:K$517))) * $E832</f>
        <v>0</v>
      </c>
      <c r="L832" s="678">
        <f t="shared" si="200"/>
        <v>0</v>
      </c>
      <c r="M832" s="678">
        <f t="array" ref="M832">1/INDEX($G$193:$N$193,MATCH($A832,$G$191:$N$191,0)) * SUM(($H$530:$O$530=$A832)*($G$532:$G$539=$D832)*($H$532:$O$539)) * (SUM(($C$519:$C$526=$A832)*(M$519:M$526)) + SUM(($C$510:$C$517=$A832)*(M$510:M$517))) * $E832</f>
        <v>0</v>
      </c>
      <c r="N832" s="678">
        <f t="shared" si="201"/>
        <v>0</v>
      </c>
      <c r="O832" s="678">
        <f t="array" ref="O832">1/INDEX($G$193:$N$193,MATCH($A832,$G$191:$N$191,0)) * SUM(($H$530:$O$530=$A832)*($G$532:$G$539=$D832)*($H$532:$O$539)) * (SUM(($C$519:$C$526=$A832)*(O$519:O$526)) + SUM(($C$510:$C$517=$A832)*(O$510:O$517))) * $E832</f>
        <v>0</v>
      </c>
    </row>
    <row r="833" spans="1:25" s="19" customFormat="1">
      <c r="A833" s="1438" t="str">
        <f t="shared" si="202"/>
        <v>PP</v>
      </c>
      <c r="B833" s="347" t="str">
        <f>INDEX(EF[UK Vector],MATCH(D833,EF[SATIM Code],0))</f>
        <v>V.09</v>
      </c>
      <c r="C833" s="1438" t="str">
        <f>INDEX(Vectors[Description], MATCH($B833, Vectors[Code], 0))</f>
        <v>Dry biomass and waste</v>
      </c>
      <c r="D833" s="656" t="s">
        <v>888</v>
      </c>
      <c r="E833" s="1228">
        <f t="shared" si="199"/>
        <v>1</v>
      </c>
      <c r="F833" s="678">
        <f t="array" ref="F833">1/INDEX($G$193:$N$193,MATCH($A833,$G$191:$N$191,0)) * SUM(($H$203:$O$203=$A833)*($G$205:$G$212=$D833)*($H$205:$O$212)) * (SUM(($C$519:$C$526=$A833)*(F$519:F$526)) + SUM(($C$510:$C$517=$A833)*(F$510:F$517))) * $E833</f>
        <v>41.212390909090907</v>
      </c>
      <c r="G833" s="678">
        <f t="array" ref="G833">1/INDEX($G$193:$N$193,MATCH($A833,$G$191:$N$191,0)) * SUM(($H$530:$O$530=$A833)*($G$532:$G$539=$D833)*($H$532:$O$539)) * (SUM(($C$519:$C$526=$A833)*(G$519:G$526)) + SUM(($C$510:$C$517=$A833)*(G$510:G$517))) * $E833</f>
        <v>41.212390909090907</v>
      </c>
      <c r="H833" s="678">
        <f t="shared" ref="H833:J845" si="203">AVERAGE(G833,I833)</f>
        <v>41.212390909090907</v>
      </c>
      <c r="I833" s="678">
        <f t="array" ref="I833">1/INDEX($G$193:$N$193,MATCH($A833,$G$191:$N$191,0)) * SUM(($H$530:$O$530=$A833)*($G$532:$G$539=$D833)*($H$532:$O$539)) * (SUM(($C$519:$C$526=$A833)*(I$519:I$526)) + SUM(($C$510:$C$517=$A833)*(I$510:I$517))) * $E833</f>
        <v>41.212390909090907</v>
      </c>
      <c r="J833" s="678">
        <f t="shared" si="203"/>
        <v>41.212390909090907</v>
      </c>
      <c r="K833" s="678">
        <f t="array" ref="K833">1/INDEX($G$193:$N$193,MATCH($A833,$G$191:$N$191,0)) * SUM(($H$530:$O$530=$A833)*($G$532:$G$539=$D833)*($H$532:$O$539)) * (SUM(($C$519:$C$526=$A833)*(K$519:K$526)) + SUM(($C$510:$C$517=$A833)*(K$510:K$517))) * $E833</f>
        <v>41.212390909090907</v>
      </c>
      <c r="L833" s="678">
        <f t="shared" si="200"/>
        <v>41.212390909090907</v>
      </c>
      <c r="M833" s="678">
        <f t="array" ref="M833">1/INDEX($G$193:$N$193,MATCH($A833,$G$191:$N$191,0)) * SUM(($H$530:$O$530=$A833)*($G$532:$G$539=$D833)*($H$532:$O$539)) * (SUM(($C$519:$C$526=$A833)*(M$519:M$526)) + SUM(($C$510:$C$517=$A833)*(M$510:M$517))) * $E833</f>
        <v>41.212390909090907</v>
      </c>
      <c r="N833" s="678">
        <f t="shared" si="201"/>
        <v>41.212390909090907</v>
      </c>
      <c r="O833" s="678">
        <f t="array" ref="O833">1/INDEX($G$193:$N$193,MATCH($A833,$G$191:$N$191,0)) * SUM(($H$530:$O$530=$A833)*($G$532:$G$539=$D833)*($H$532:$O$539)) * (SUM(($C$519:$C$526=$A833)*(O$519:O$526)) + SUM(($C$510:$C$517=$A833)*(O$510:O$517))) * $E833</f>
        <v>41.212390909090907</v>
      </c>
    </row>
    <row r="834" spans="1:25" s="19" customFormat="1">
      <c r="A834" s="1438" t="str">
        <f t="shared" si="202"/>
        <v>PP</v>
      </c>
      <c r="B834" s="347" t="str">
        <f>INDEX(EF[UK Vector],MATCH(D834,EF[SATIM Code],0))</f>
        <v>V.09</v>
      </c>
      <c r="C834" s="1438" t="str">
        <f>INDEX(Vectors[Description], MATCH($B834, Vectors[Code], 0))</f>
        <v>Dry biomass and waste</v>
      </c>
      <c r="D834" s="656" t="s">
        <v>889</v>
      </c>
      <c r="E834" s="1228">
        <f t="shared" si="199"/>
        <v>1</v>
      </c>
      <c r="F834" s="678">
        <f t="array" ref="F834">1/INDEX($G$193:$N$193,MATCH($A834,$G$191:$N$191,0)) * SUM(($H$203:$O$203=$A834)*($G$205:$G$212=$D834)*($H$205:$O$212)) * (SUM(($C$519:$C$526=$A834)*(F$519:F$526)) + SUM(($C$510:$C$517=$A834)*(F$510:F$517))) * $E834</f>
        <v>0</v>
      </c>
      <c r="G834" s="678">
        <f t="array" ref="G834">1/INDEX($G$193:$N$193,MATCH($A834,$G$191:$N$191,0)) * SUM(($H$530:$O$530=$A834)*($G$532:$G$539=$D834)*($H$532:$O$539)) * (SUM(($C$519:$C$526=$A834)*(G$519:G$526)) + SUM(($C$510:$C$517=$A834)*(G$510:G$517))) * $E834</f>
        <v>0</v>
      </c>
      <c r="H834" s="678">
        <f t="shared" si="203"/>
        <v>0</v>
      </c>
      <c r="I834" s="678">
        <f t="array" ref="I834">1/INDEX($G$193:$N$193,MATCH($A834,$G$191:$N$191,0)) * SUM(($H$530:$O$530=$A834)*($G$532:$G$539=$D834)*($H$532:$O$539)) * (SUM(($C$519:$C$526=$A834)*(I$519:I$526)) + SUM(($C$510:$C$517=$A834)*(I$510:I$517))) * $E834</f>
        <v>0</v>
      </c>
      <c r="J834" s="678">
        <f t="shared" si="203"/>
        <v>0</v>
      </c>
      <c r="K834" s="678">
        <f t="array" ref="K834">1/INDEX($G$193:$N$193,MATCH($A834,$G$191:$N$191,0)) * SUM(($H$530:$O$530=$A834)*($G$532:$G$539=$D834)*($H$532:$O$539)) * (SUM(($C$519:$C$526=$A834)*(K$519:K$526)) + SUM(($C$510:$C$517=$A834)*(K$510:K$517))) * $E834</f>
        <v>0</v>
      </c>
      <c r="L834" s="678">
        <f t="shared" si="200"/>
        <v>0</v>
      </c>
      <c r="M834" s="678">
        <f t="array" ref="M834">1/INDEX($G$193:$N$193,MATCH($A834,$G$191:$N$191,0)) * SUM(($H$530:$O$530=$A834)*($G$532:$G$539=$D834)*($H$532:$O$539)) * (SUM(($C$519:$C$526=$A834)*(M$519:M$526)) + SUM(($C$510:$C$517=$A834)*(M$510:M$517))) * $E834</f>
        <v>0</v>
      </c>
      <c r="N834" s="678">
        <f t="shared" si="201"/>
        <v>0</v>
      </c>
      <c r="O834" s="678">
        <f t="array" ref="O834">1/INDEX($G$193:$N$193,MATCH($A834,$G$191:$N$191,0)) * SUM(($H$530:$O$530=$A834)*($G$532:$G$539=$D834)*($H$532:$O$539)) * (SUM(($C$519:$C$526=$A834)*(O$519:O$526)) + SUM(($C$510:$C$517=$A834)*(O$510:O$517))) * $E834</f>
        <v>0</v>
      </c>
    </row>
    <row r="835" spans="1:25" s="19" customFormat="1">
      <c r="A835" s="1438" t="str">
        <f t="shared" si="202"/>
        <v>PP</v>
      </c>
      <c r="B835" s="347" t="str">
        <f>INDEX(EF[UK Vector],MATCH(D835,EF[SATIM Code],0))</f>
        <v>V.16</v>
      </c>
      <c r="C835" s="1438" t="str">
        <f>INDEX(Vectors[Description], MATCH($B835, Vectors[Code], 0))</f>
        <v>Other Waste</v>
      </c>
      <c r="D835" s="17" t="s">
        <v>890</v>
      </c>
      <c r="E835" s="1228">
        <f t="shared" si="199"/>
        <v>1</v>
      </c>
      <c r="F835" s="678">
        <f t="array" ref="F835">1/INDEX($G$193:$N$193,MATCH($A835,$G$191:$N$191,0)) * SUM(($H$203:$O$203=$A835)*($G$205:$G$212=$D835)*($H$205:$O$212)) * (SUM(($C$519:$C$526=$A835)*(F$519:F$526)) + SUM(($C$510:$C$517=$A835)*(F$510:F$517))) * $E835</f>
        <v>0</v>
      </c>
      <c r="G835" s="678">
        <f t="array" ref="G835">1/INDEX($G$193:$N$193,MATCH($A835,$G$191:$N$191,0)) * SUM(($H$530:$O$530=$A835)*($G$532:$G$539=$D835)*($H$532:$O$539)) * (SUM(($C$519:$C$526=$A835)*(G$519:G$526)) + SUM(($C$510:$C$517=$A835)*(G$510:G$517))) * $E835</f>
        <v>0</v>
      </c>
      <c r="H835" s="678">
        <f t="shared" si="203"/>
        <v>0</v>
      </c>
      <c r="I835" s="678">
        <f t="array" ref="I835">1/INDEX($G$193:$N$193,MATCH($A835,$G$191:$N$191,0)) * SUM(($H$530:$O$530=$A835)*($G$532:$G$539=$D835)*($H$532:$O$539)) * (SUM(($C$519:$C$526=$A835)*(I$519:I$526)) + SUM(($C$510:$C$517=$A835)*(I$510:I$517))) * $E835</f>
        <v>0</v>
      </c>
      <c r="J835" s="678">
        <f t="shared" si="203"/>
        <v>0</v>
      </c>
      <c r="K835" s="678">
        <f t="array" ref="K835">1/INDEX($G$193:$N$193,MATCH($A835,$G$191:$N$191,0)) * SUM(($H$530:$O$530=$A835)*($G$532:$G$539=$D835)*($H$532:$O$539)) * (SUM(($C$519:$C$526=$A835)*(K$519:K$526)) + SUM(($C$510:$C$517=$A835)*(K$510:K$517))) * $E835</f>
        <v>0</v>
      </c>
      <c r="L835" s="678">
        <f t="shared" si="200"/>
        <v>0</v>
      </c>
      <c r="M835" s="678">
        <f t="array" ref="M835">1/INDEX($G$193:$N$193,MATCH($A835,$G$191:$N$191,0)) * SUM(($H$530:$O$530=$A835)*($G$532:$G$539=$D835)*($H$532:$O$539)) * (SUM(($C$519:$C$526=$A835)*(M$519:M$526)) + SUM(($C$510:$C$517=$A835)*(M$510:M$517))) * $E835</f>
        <v>0</v>
      </c>
      <c r="N835" s="678">
        <f t="shared" si="201"/>
        <v>0</v>
      </c>
      <c r="O835" s="678">
        <f t="array" ref="O835">1/INDEX($G$193:$N$193,MATCH($A835,$G$191:$N$191,0)) * SUM(($H$530:$O$530=$A835)*($G$532:$G$539=$D835)*($H$532:$O$539)) * (SUM(($C$519:$C$526=$A835)*(O$519:O$526)) + SUM(($C$510:$C$517=$A835)*(O$510:O$517))) * $E835</f>
        <v>0</v>
      </c>
    </row>
    <row r="836" spans="1:25" s="19" customFormat="1">
      <c r="A836" s="1086"/>
      <c r="B836" s="347"/>
      <c r="D836" s="17"/>
      <c r="E836" s="1228"/>
      <c r="F836" s="678"/>
      <c r="G836" s="678"/>
      <c r="H836" s="678"/>
      <c r="I836" s="678"/>
      <c r="J836" s="678"/>
      <c r="K836" s="678"/>
      <c r="L836" s="678"/>
      <c r="M836" s="678"/>
      <c r="N836" s="678"/>
      <c r="O836" s="678"/>
    </row>
    <row r="837" spans="1:25" s="19" customFormat="1">
      <c r="A837" s="1456"/>
      <c r="B837" s="347"/>
      <c r="C837" s="1459" t="str">
        <f>D27</f>
        <v>Other</v>
      </c>
      <c r="D837" s="17"/>
      <c r="E837" s="1228"/>
      <c r="F837" s="678"/>
      <c r="G837" s="678"/>
      <c r="H837" s="678"/>
      <c r="I837" s="678"/>
      <c r="J837" s="678"/>
      <c r="K837" s="678"/>
      <c r="L837" s="678"/>
      <c r="M837" s="678"/>
      <c r="N837" s="678"/>
      <c r="O837" s="678"/>
    </row>
    <row r="838" spans="1:25" s="19" customFormat="1">
      <c r="A838" s="1456" t="str">
        <f>INDEX($C$20:$C$27,MATCH($C837,$D$20:$D$27,0))</f>
        <v>OT</v>
      </c>
      <c r="B838" s="347" t="str">
        <f>INDEX(EF[UK Vector],MATCH(D838,EF[SATIM Code],0))</f>
        <v>V.03</v>
      </c>
      <c r="C838" s="1438" t="str">
        <f>INDEX(Vectors[Description], MATCH($B838, Vectors[Code], 0))</f>
        <v>Solid hydrocarbons</v>
      </c>
      <c r="D838" s="17" t="s">
        <v>882</v>
      </c>
      <c r="E838" s="1228">
        <f t="shared" ref="E838:E845" si="204">INDEX($G$199:$N$199,MATCH($A838,$G$191:$N$191,0))</f>
        <v>1</v>
      </c>
      <c r="F838" s="678">
        <f t="array" ref="F838">1/INDEX($G$193:$N$193,MATCH($A838,$G$191:$N$191,0)) * SUM(($H$203:$O$203=$A838)*($G$205:$G$212=$D838)*($H$205:$O$212)) * (SUM(($C$519:$C$526=$A838)*(F$519:F$526)) + SUM(($C$510:$C$517=$A838)*(F$510:F$517))) * $E838</f>
        <v>0</v>
      </c>
      <c r="G838" s="678">
        <f t="array" ref="G838">1/INDEX($G$193:$N$193,MATCH($A838,$G$191:$N$191,0)) * SUM(($H$530:$O$530=$A838)*($G$532:$G$539=$D838)*($H$532:$O$539)) * (SUM(($C$519:$C$526=$A838)*(G$519:G$526)) + SUM(($C$510:$C$517=$A838)*(G$510:G$517))) * $E838</f>
        <v>0</v>
      </c>
      <c r="H838" s="678">
        <f t="shared" si="203"/>
        <v>0</v>
      </c>
      <c r="I838" s="678">
        <f t="array" ref="I838">1/INDEX($G$193:$N$193,MATCH($A838,$G$191:$N$191,0)) * SUM(($H$530:$O$530=$A838)*($G$532:$G$539=$D838)*($H$532:$O$539)) * (SUM(($C$519:$C$526=$A838)*(I$519:I$526)) + SUM(($C$510:$C$517=$A838)*(I$510:I$517))) * $E838</f>
        <v>0</v>
      </c>
      <c r="J838" s="678">
        <f t="shared" si="203"/>
        <v>0</v>
      </c>
      <c r="K838" s="678">
        <f t="array" ref="K838">1/INDEX($G$193:$N$193,MATCH($A838,$G$191:$N$191,0)) * SUM(($H$530:$O$530=$A838)*($G$532:$G$539=$D838)*($H$532:$O$539)) * (SUM(($C$519:$C$526=$A838)*(K$519:K$526)) + SUM(($C$510:$C$517=$A838)*(K$510:K$517))) * $E838</f>
        <v>0</v>
      </c>
      <c r="L838" s="678">
        <f t="shared" ref="L838:L845" si="205">AVERAGE(K838,M838)</f>
        <v>0</v>
      </c>
      <c r="M838" s="678">
        <f t="array" ref="M838">1/INDEX($G$193:$N$193,MATCH($A838,$G$191:$N$191,0)) * SUM(($H$530:$O$530=$A838)*($G$532:$G$539=$D838)*($H$532:$O$539)) * (SUM(($C$519:$C$526=$A838)*(M$519:M$526)) + SUM(($C$510:$C$517=$A838)*(M$510:M$517))) * $E838</f>
        <v>0</v>
      </c>
      <c r="N838" s="678">
        <f t="shared" ref="N838:N845" si="206">AVERAGE(M838,O838)</f>
        <v>0</v>
      </c>
      <c r="O838" s="678">
        <f t="array" ref="O838">1/INDEX($G$193:$N$193,MATCH($A838,$G$191:$N$191,0)) * SUM(($H$530:$O$530=$A838)*($G$532:$G$539=$D838)*($H$532:$O$539)) * (SUM(($C$519:$C$526=$A838)*(O$519:O$526)) + SUM(($C$510:$C$517=$A838)*(O$510:O$517))) * $E838</f>
        <v>0</v>
      </c>
    </row>
    <row r="839" spans="1:25" s="19" customFormat="1">
      <c r="A839" s="1438" t="str">
        <f t="shared" ref="A839:A845" si="207">A838</f>
        <v>OT</v>
      </c>
      <c r="B839" s="347" t="str">
        <f>INDEX(EF[UK Vector],MATCH(D839,EF[SATIM Code],0))</f>
        <v>V.05</v>
      </c>
      <c r="C839" s="1438" t="str">
        <f>INDEX(Vectors[Description], MATCH($B839, Vectors[Code], 0))</f>
        <v>Gaseous hydrocarbons</v>
      </c>
      <c r="D839" s="656" t="s">
        <v>869</v>
      </c>
      <c r="E839" s="1228">
        <f t="shared" si="204"/>
        <v>1</v>
      </c>
      <c r="F839" s="678">
        <f t="array" ref="F839">1/INDEX($G$193:$N$193,MATCH($A839,$G$191:$N$191,0)) * SUM(($H$203:$O$203=$A839)*($G$205:$G$212=$D839)*($H$205:$O$212)) * (SUM(($C$519:$C$526=$A839)*(F$519:F$526)) + SUM(($C$510:$C$517=$A839)*(F$510:F$517))) * $E839</f>
        <v>0</v>
      </c>
      <c r="G839" s="678">
        <f t="array" ref="G839">1/INDEX($G$193:$N$193,MATCH($A839,$G$191:$N$191,0)) * SUM(($H$530:$O$530=$A839)*($G$532:$G$539=$D839)*($H$532:$O$539)) * (SUM(($C$519:$C$526=$A839)*(G$519:G$526)) + SUM(($C$510:$C$517=$A839)*(G$510:G$517))) * $E839</f>
        <v>0</v>
      </c>
      <c r="H839" s="678">
        <f t="shared" si="203"/>
        <v>0</v>
      </c>
      <c r="I839" s="678">
        <f t="array" ref="I839">1/INDEX($G$193:$N$193,MATCH($A839,$G$191:$N$191,0)) * SUM(($H$530:$O$530=$A839)*($G$532:$G$539=$D839)*($H$532:$O$539)) * (SUM(($C$519:$C$526=$A839)*(I$519:I$526)) + SUM(($C$510:$C$517=$A839)*(I$510:I$517))) * $E839</f>
        <v>0</v>
      </c>
      <c r="J839" s="678">
        <f t="shared" si="203"/>
        <v>0</v>
      </c>
      <c r="K839" s="678">
        <f t="array" ref="K839">1/INDEX($G$193:$N$193,MATCH($A839,$G$191:$N$191,0)) * SUM(($H$530:$O$530=$A839)*($G$532:$G$539=$D839)*($H$532:$O$539)) * (SUM(($C$519:$C$526=$A839)*(K$519:K$526)) + SUM(($C$510:$C$517=$A839)*(K$510:K$517))) * $E839</f>
        <v>0</v>
      </c>
      <c r="L839" s="678">
        <f t="shared" si="205"/>
        <v>0</v>
      </c>
      <c r="M839" s="678">
        <f t="array" ref="M839">1/INDEX($G$193:$N$193,MATCH($A839,$G$191:$N$191,0)) * SUM(($H$530:$O$530=$A839)*($G$532:$G$539=$D839)*($H$532:$O$539)) * (SUM(($C$519:$C$526=$A839)*(M$519:M$526)) + SUM(($C$510:$C$517=$A839)*(M$510:M$517))) * $E839</f>
        <v>0</v>
      </c>
      <c r="N839" s="678">
        <f t="shared" si="206"/>
        <v>0</v>
      </c>
      <c r="O839" s="678">
        <f t="array" ref="O839">1/INDEX($G$193:$N$193,MATCH($A839,$G$191:$N$191,0)) * SUM(($H$530:$O$530=$A839)*($G$532:$G$539=$D839)*($H$532:$O$539)) * (SUM(($C$519:$C$526=$A839)*(O$519:O$526)) + SUM(($C$510:$C$517=$A839)*(O$510:O$517))) * $E839</f>
        <v>0</v>
      </c>
    </row>
    <row r="840" spans="1:25" s="19" customFormat="1">
      <c r="A840" s="1438" t="str">
        <f t="shared" si="207"/>
        <v>OT</v>
      </c>
      <c r="B840" s="347" t="str">
        <f>INDEX(EF[UK Vector],MATCH(D840,EF[SATIM Code],0))</f>
        <v>V.04</v>
      </c>
      <c r="C840" s="1438" t="str">
        <f>INDEX(Vectors[Description], MATCH($B840, Vectors[Code], 0))</f>
        <v>Liquid hydrocarbons</v>
      </c>
      <c r="D840" s="656" t="s">
        <v>885</v>
      </c>
      <c r="E840" s="1228">
        <f t="shared" si="204"/>
        <v>1</v>
      </c>
      <c r="F840" s="678">
        <f t="array" ref="F840">1/INDEX($G$193:$N$193,MATCH($A840,$G$191:$N$191,0)) * SUM(($H$203:$O$203=$A840)*($G$205:$G$212=$D840)*($H$205:$O$212)) * (SUM(($C$519:$C$526=$A840)*(F$519:F$526)) + SUM(($C$510:$C$517=$A840)*(F$510:F$517))) * $E840</f>
        <v>0</v>
      </c>
      <c r="G840" s="678">
        <f t="array" ref="G840">1/INDEX($G$193:$N$193,MATCH($A840,$G$191:$N$191,0)) * SUM(($H$530:$O$530=$A840)*($G$532:$G$539=$D840)*($H$532:$O$539)) * (SUM(($C$519:$C$526=$A840)*(G$519:G$526)) + SUM(($C$510:$C$517=$A840)*(G$510:G$517))) * $E840</f>
        <v>0</v>
      </c>
      <c r="H840" s="678">
        <f t="shared" si="203"/>
        <v>0</v>
      </c>
      <c r="I840" s="678">
        <f t="array" ref="I840">1/INDEX($G$193:$N$193,MATCH($A840,$G$191:$N$191,0)) * SUM(($H$530:$O$530=$A840)*($G$532:$G$539=$D840)*($H$532:$O$539)) * (SUM(($C$519:$C$526=$A840)*(I$519:I$526)) + SUM(($C$510:$C$517=$A840)*(I$510:I$517))) * $E840</f>
        <v>0</v>
      </c>
      <c r="J840" s="678">
        <f t="shared" si="203"/>
        <v>0</v>
      </c>
      <c r="K840" s="678">
        <f t="array" ref="K840">1/INDEX($G$193:$N$193,MATCH($A840,$G$191:$N$191,0)) * SUM(($H$530:$O$530=$A840)*($G$532:$G$539=$D840)*($H$532:$O$539)) * (SUM(($C$519:$C$526=$A840)*(K$519:K$526)) + SUM(($C$510:$C$517=$A840)*(K$510:K$517))) * $E840</f>
        <v>0</v>
      </c>
      <c r="L840" s="678">
        <f t="shared" si="205"/>
        <v>0</v>
      </c>
      <c r="M840" s="678">
        <f t="array" ref="M840">1/INDEX($G$193:$N$193,MATCH($A840,$G$191:$N$191,0)) * SUM(($H$530:$O$530=$A840)*($G$532:$G$539=$D840)*($H$532:$O$539)) * (SUM(($C$519:$C$526=$A840)*(M$519:M$526)) + SUM(($C$510:$C$517=$A840)*(M$510:M$517))) * $E840</f>
        <v>0</v>
      </c>
      <c r="N840" s="678">
        <f t="shared" si="206"/>
        <v>0</v>
      </c>
      <c r="O840" s="678">
        <f t="array" ref="O840">1/INDEX($G$193:$N$193,MATCH($A840,$G$191:$N$191,0)) * SUM(($H$530:$O$530=$A840)*($G$532:$G$539=$D840)*($H$532:$O$539)) * (SUM(($C$519:$C$526=$A840)*(O$519:O$526)) + SUM(($C$510:$C$517=$A840)*(O$510:O$517))) * $E840</f>
        <v>0</v>
      </c>
    </row>
    <row r="841" spans="1:25" s="19" customFormat="1">
      <c r="A841" s="1438" t="str">
        <f t="shared" si="207"/>
        <v>OT</v>
      </c>
      <c r="B841" s="347" t="str">
        <f>INDEX(EF[UK Vector],MATCH(D841,EF[SATIM Code],0))</f>
        <v>V.04</v>
      </c>
      <c r="C841" s="1438" t="str">
        <f>INDEX(Vectors[Description], MATCH($B841, Vectors[Code], 0))</f>
        <v>Liquid hydrocarbons</v>
      </c>
      <c r="D841" s="656" t="s">
        <v>887</v>
      </c>
      <c r="E841" s="1228">
        <f t="shared" si="204"/>
        <v>1</v>
      </c>
      <c r="F841" s="678">
        <f t="array" ref="F841">1/INDEX($G$193:$N$193,MATCH($A841,$G$191:$N$191,0)) * SUM(($H$203:$O$203=$A841)*($G$205:$G$212=$D841)*($H$205:$O$212)) * (SUM(($C$519:$C$526=$A841)*(F$519:F$526)) + SUM(($C$510:$C$517=$A841)*(F$510:F$517))) * $E841</f>
        <v>0</v>
      </c>
      <c r="G841" s="678">
        <f t="array" ref="G841">1/INDEX($G$193:$N$193,MATCH($A841,$G$191:$N$191,0)) * SUM(($H$530:$O$530=$A841)*($G$532:$G$539=$D841)*($H$532:$O$539)) * (SUM(($C$519:$C$526=$A841)*(G$519:G$526)) + SUM(($C$510:$C$517=$A841)*(G$510:G$517))) * $E841</f>
        <v>0</v>
      </c>
      <c r="H841" s="678">
        <f t="shared" si="203"/>
        <v>0</v>
      </c>
      <c r="I841" s="678">
        <f t="array" ref="I841">1/INDEX($G$193:$N$193,MATCH($A841,$G$191:$N$191,0)) * SUM(($H$530:$O$530=$A841)*($G$532:$G$539=$D841)*($H$532:$O$539)) * (SUM(($C$519:$C$526=$A841)*(I$519:I$526)) + SUM(($C$510:$C$517=$A841)*(I$510:I$517))) * $E841</f>
        <v>0</v>
      </c>
      <c r="J841" s="678">
        <f t="shared" si="203"/>
        <v>0</v>
      </c>
      <c r="K841" s="678">
        <f t="array" ref="K841">1/INDEX($G$193:$N$193,MATCH($A841,$G$191:$N$191,0)) * SUM(($H$530:$O$530=$A841)*($G$532:$G$539=$D841)*($H$532:$O$539)) * (SUM(($C$519:$C$526=$A841)*(K$519:K$526)) + SUM(($C$510:$C$517=$A841)*(K$510:K$517))) * $E841</f>
        <v>0</v>
      </c>
      <c r="L841" s="678">
        <f t="shared" si="205"/>
        <v>0</v>
      </c>
      <c r="M841" s="678">
        <f t="array" ref="M841">1/INDEX($G$193:$N$193,MATCH($A841,$G$191:$N$191,0)) * SUM(($H$530:$O$530=$A841)*($G$532:$G$539=$D841)*($H$532:$O$539)) * (SUM(($C$519:$C$526=$A841)*(M$519:M$526)) + SUM(($C$510:$C$517=$A841)*(M$510:M$517))) * $E841</f>
        <v>0</v>
      </c>
      <c r="N841" s="678">
        <f t="shared" si="206"/>
        <v>0</v>
      </c>
      <c r="O841" s="678">
        <f t="array" ref="O841">1/INDEX($G$193:$N$193,MATCH($A841,$G$191:$N$191,0)) * SUM(($H$530:$O$530=$A841)*($G$532:$G$539=$D841)*($H$532:$O$539)) * (SUM(($C$519:$C$526=$A841)*(O$519:O$526)) + SUM(($C$510:$C$517=$A841)*(O$510:O$517))) * $E841</f>
        <v>0</v>
      </c>
    </row>
    <row r="842" spans="1:25" s="19" customFormat="1">
      <c r="A842" s="1438" t="str">
        <f t="shared" si="207"/>
        <v>OT</v>
      </c>
      <c r="B842" s="347" t="str">
        <f>INDEX(EF[UK Vector],MATCH(D842,EF[SATIM Code],0))</f>
        <v>V.01</v>
      </c>
      <c r="C842" s="1438" t="str">
        <f>INDEX(Vectors[Description], MATCH($B842, Vectors[Code], 0))</f>
        <v>Electricity (delivered to end user)</v>
      </c>
      <c r="D842" s="656" t="s">
        <v>879</v>
      </c>
      <c r="E842" s="1228">
        <f t="shared" si="204"/>
        <v>1</v>
      </c>
      <c r="F842" s="678">
        <f t="array" ref="F842">1/INDEX($G$193:$N$193,MATCH($A842,$G$191:$N$191,0)) * SUM(($H$203:$O$203=$A842)*($G$205:$G$212=$D842)*($H$205:$O$212)) * (SUM(($C$519:$C$526=$A842)*(F$519:F$526)) + SUM(($C$510:$C$517=$A842)*(F$510:F$517))) * $E842</f>
        <v>0</v>
      </c>
      <c r="G842" s="678">
        <f t="array" ref="G842">1/INDEX($G$193:$N$193,MATCH($A842,$G$191:$N$191,0)) * SUM(($H$530:$O$530=$A842)*($G$532:$G$539=$D842)*($H$532:$O$539)) * (SUM(($C$519:$C$526=$A842)*(G$519:G$526)) + SUM(($C$510:$C$517=$A842)*(G$510:G$517))) * $E842</f>
        <v>0</v>
      </c>
      <c r="H842" s="678">
        <f t="shared" si="203"/>
        <v>0</v>
      </c>
      <c r="I842" s="678">
        <f t="array" ref="I842">1/INDEX($G$193:$N$193,MATCH($A842,$G$191:$N$191,0)) * SUM(($H$530:$O$530=$A842)*($G$532:$G$539=$D842)*($H$532:$O$539)) * (SUM(($C$519:$C$526=$A842)*(I$519:I$526)) + SUM(($C$510:$C$517=$A842)*(I$510:I$517))) * $E842</f>
        <v>0</v>
      </c>
      <c r="J842" s="678">
        <f t="shared" si="203"/>
        <v>0</v>
      </c>
      <c r="K842" s="678">
        <f t="array" ref="K842">1/INDEX($G$193:$N$193,MATCH($A842,$G$191:$N$191,0)) * SUM(($H$530:$O$530=$A842)*($G$532:$G$539=$D842)*($H$532:$O$539)) * (SUM(($C$519:$C$526=$A842)*(K$519:K$526)) + SUM(($C$510:$C$517=$A842)*(K$510:K$517))) * $E842</f>
        <v>0</v>
      </c>
      <c r="L842" s="678">
        <f t="shared" si="205"/>
        <v>0</v>
      </c>
      <c r="M842" s="678">
        <f t="array" ref="M842">1/INDEX($G$193:$N$193,MATCH($A842,$G$191:$N$191,0)) * SUM(($H$530:$O$530=$A842)*($G$532:$G$539=$D842)*($H$532:$O$539)) * (SUM(($C$519:$C$526=$A842)*(M$519:M$526)) + SUM(($C$510:$C$517=$A842)*(M$510:M$517))) * $E842</f>
        <v>0</v>
      </c>
      <c r="N842" s="678">
        <f t="shared" si="206"/>
        <v>0</v>
      </c>
      <c r="O842" s="678">
        <f t="array" ref="O842">1/INDEX($G$193:$N$193,MATCH($A842,$G$191:$N$191,0)) * SUM(($H$530:$O$530=$A842)*($G$532:$G$539=$D842)*($H$532:$O$539)) * (SUM(($C$519:$C$526=$A842)*(O$519:O$526)) + SUM(($C$510:$C$517=$A842)*(O$510:O$517))) * $E842</f>
        <v>0</v>
      </c>
    </row>
    <row r="843" spans="1:25" s="19" customFormat="1">
      <c r="A843" s="1438" t="str">
        <f t="shared" si="207"/>
        <v>OT</v>
      </c>
      <c r="B843" s="347" t="str">
        <f>INDEX(EF[UK Vector],MATCH(D843,EF[SATIM Code],0))</f>
        <v>V.09</v>
      </c>
      <c r="C843" s="1438" t="str">
        <f>INDEX(Vectors[Description], MATCH($B843, Vectors[Code], 0))</f>
        <v>Dry biomass and waste</v>
      </c>
      <c r="D843" s="656" t="s">
        <v>888</v>
      </c>
      <c r="E843" s="1228">
        <f t="shared" si="204"/>
        <v>1</v>
      </c>
      <c r="F843" s="678">
        <f t="array" ref="F843">1/INDEX($G$193:$N$193,MATCH($A843,$G$191:$N$191,0)) * SUM(($H$203:$O$203=$A843)*($G$205:$G$212=$D843)*($H$205:$O$212)) * (SUM(($C$519:$C$526=$A843)*(F$519:F$526)) + SUM(($C$510:$C$517=$A843)*(F$510:F$517))) * $E843</f>
        <v>0</v>
      </c>
      <c r="G843" s="678">
        <f t="array" ref="G843">1/INDEX($G$193:$N$193,MATCH($A843,$G$191:$N$191,0)) * SUM(($H$530:$O$530=$A843)*($G$532:$G$539=$D843)*($H$532:$O$539)) * (SUM(($C$519:$C$526=$A843)*(G$519:G$526)) + SUM(($C$510:$C$517=$A843)*(G$510:G$517))) * $E843</f>
        <v>0</v>
      </c>
      <c r="H843" s="678">
        <f t="shared" si="203"/>
        <v>0</v>
      </c>
      <c r="I843" s="678">
        <f t="array" ref="I843">1/INDEX($G$193:$N$193,MATCH($A843,$G$191:$N$191,0)) * SUM(($H$530:$O$530=$A843)*($G$532:$G$539=$D843)*($H$532:$O$539)) * (SUM(($C$519:$C$526=$A843)*(I$519:I$526)) + SUM(($C$510:$C$517=$A843)*(I$510:I$517))) * $E843</f>
        <v>0</v>
      </c>
      <c r="J843" s="678">
        <f t="shared" si="203"/>
        <v>0</v>
      </c>
      <c r="K843" s="678">
        <f t="array" ref="K843">1/INDEX($G$193:$N$193,MATCH($A843,$G$191:$N$191,0)) * SUM(($H$530:$O$530=$A843)*($G$532:$G$539=$D843)*($H$532:$O$539)) * (SUM(($C$519:$C$526=$A843)*(K$519:K$526)) + SUM(($C$510:$C$517=$A843)*(K$510:K$517))) * $E843</f>
        <v>0</v>
      </c>
      <c r="L843" s="678">
        <f t="shared" si="205"/>
        <v>0</v>
      </c>
      <c r="M843" s="678">
        <f t="array" ref="M843">1/INDEX($G$193:$N$193,MATCH($A843,$G$191:$N$191,0)) * SUM(($H$530:$O$530=$A843)*($G$532:$G$539=$D843)*($H$532:$O$539)) * (SUM(($C$519:$C$526=$A843)*(M$519:M$526)) + SUM(($C$510:$C$517=$A843)*(M$510:M$517))) * $E843</f>
        <v>0</v>
      </c>
      <c r="N843" s="678">
        <f t="shared" si="206"/>
        <v>0</v>
      </c>
      <c r="O843" s="678">
        <f t="array" ref="O843">1/INDEX($G$193:$N$193,MATCH($A843,$G$191:$N$191,0)) * SUM(($H$530:$O$530=$A843)*($G$532:$G$539=$D843)*($H$532:$O$539)) * (SUM(($C$519:$C$526=$A843)*(O$519:O$526)) + SUM(($C$510:$C$517=$A843)*(O$510:O$517))) * $E843</f>
        <v>0</v>
      </c>
    </row>
    <row r="844" spans="1:25" s="19" customFormat="1">
      <c r="A844" s="1438" t="str">
        <f t="shared" si="207"/>
        <v>OT</v>
      </c>
      <c r="B844" s="347" t="str">
        <f>INDEX(EF[UK Vector],MATCH(D844,EF[SATIM Code],0))</f>
        <v>V.09</v>
      </c>
      <c r="C844" s="1438" t="str">
        <f>INDEX(Vectors[Description], MATCH($B844, Vectors[Code], 0))</f>
        <v>Dry biomass and waste</v>
      </c>
      <c r="D844" s="656" t="s">
        <v>889</v>
      </c>
      <c r="E844" s="1228">
        <f t="shared" si="204"/>
        <v>1</v>
      </c>
      <c r="F844" s="678">
        <f t="array" ref="F844">1/INDEX($G$193:$N$193,MATCH($A844,$G$191:$N$191,0)) * SUM(($H$203:$O$203=$A844)*($G$205:$G$212=$D844)*($H$205:$O$212)) * (SUM(($C$519:$C$526=$A844)*(F$519:F$526)) + SUM(($C$510:$C$517=$A844)*(F$510:F$517))) * $E844</f>
        <v>0</v>
      </c>
      <c r="G844" s="678">
        <f t="array" ref="G844">1/INDEX($G$193:$N$193,MATCH($A844,$G$191:$N$191,0)) * SUM(($H$530:$O$530=$A844)*($G$532:$G$539=$D844)*($H$532:$O$539)) * (SUM(($C$519:$C$526=$A844)*(G$519:G$526)) + SUM(($C$510:$C$517=$A844)*(G$510:G$517))) * $E844</f>
        <v>0</v>
      </c>
      <c r="H844" s="678">
        <f t="shared" si="203"/>
        <v>0</v>
      </c>
      <c r="I844" s="678">
        <f t="array" ref="I844">1/INDEX($G$193:$N$193,MATCH($A844,$G$191:$N$191,0)) * SUM(($H$530:$O$530=$A844)*($G$532:$G$539=$D844)*($H$532:$O$539)) * (SUM(($C$519:$C$526=$A844)*(I$519:I$526)) + SUM(($C$510:$C$517=$A844)*(I$510:I$517))) * $E844</f>
        <v>0</v>
      </c>
      <c r="J844" s="678">
        <f t="shared" si="203"/>
        <v>0</v>
      </c>
      <c r="K844" s="678">
        <f t="array" ref="K844">1/INDEX($G$193:$N$193,MATCH($A844,$G$191:$N$191,0)) * SUM(($H$530:$O$530=$A844)*($G$532:$G$539=$D844)*($H$532:$O$539)) * (SUM(($C$519:$C$526=$A844)*(K$519:K$526)) + SUM(($C$510:$C$517=$A844)*(K$510:K$517))) * $E844</f>
        <v>0</v>
      </c>
      <c r="L844" s="678">
        <f t="shared" si="205"/>
        <v>0</v>
      </c>
      <c r="M844" s="678">
        <f t="array" ref="M844">1/INDEX($G$193:$N$193,MATCH($A844,$G$191:$N$191,0)) * SUM(($H$530:$O$530=$A844)*($G$532:$G$539=$D844)*($H$532:$O$539)) * (SUM(($C$519:$C$526=$A844)*(M$519:M$526)) + SUM(($C$510:$C$517=$A844)*(M$510:M$517))) * $E844</f>
        <v>0</v>
      </c>
      <c r="N844" s="678">
        <f t="shared" si="206"/>
        <v>0</v>
      </c>
      <c r="O844" s="678">
        <f t="array" ref="O844">1/INDEX($G$193:$N$193,MATCH($A844,$G$191:$N$191,0)) * SUM(($H$530:$O$530=$A844)*($G$532:$G$539=$D844)*($H$532:$O$539)) * (SUM(($C$519:$C$526=$A844)*(O$519:O$526)) + SUM(($C$510:$C$517=$A844)*(O$510:O$517))) * $E844</f>
        <v>0</v>
      </c>
    </row>
    <row r="845" spans="1:25" s="19" customFormat="1">
      <c r="A845" s="1438" t="str">
        <f t="shared" si="207"/>
        <v>OT</v>
      </c>
      <c r="B845" s="347" t="str">
        <f>INDEX(EF[UK Vector],MATCH(D845,EF[SATIM Code],0))</f>
        <v>V.16</v>
      </c>
      <c r="C845" s="1438" t="str">
        <f>INDEX(Vectors[Description], MATCH($B845, Vectors[Code], 0))</f>
        <v>Other Waste</v>
      </c>
      <c r="D845" s="17" t="s">
        <v>890</v>
      </c>
      <c r="E845" s="1228">
        <f t="shared" si="204"/>
        <v>1</v>
      </c>
      <c r="F845" s="678">
        <f t="array" ref="F845">1/INDEX($G$193:$N$193,MATCH($A845,$G$191:$N$191,0)) * SUM(($H$203:$O$203=$A845)*($G$205:$G$212=$D845)*($H$205:$O$212)) * (SUM(($C$519:$C$526=$A845)*(F$519:F$526)) + SUM(($C$510:$C$517=$A845)*(F$510:F$517))) * $E845</f>
        <v>0</v>
      </c>
      <c r="G845" s="678">
        <f t="array" ref="G845">1/INDEX($G$193:$N$193,MATCH($A845,$G$191:$N$191,0)) * SUM(($H$530:$O$530=$A845)*($G$532:$G$539=$D845)*($H$532:$O$539)) * (SUM(($C$519:$C$526=$A845)*(G$519:G$526)) + SUM(($C$510:$C$517=$A845)*(G$510:G$517))) * $E845</f>
        <v>0</v>
      </c>
      <c r="H845" s="678">
        <f t="shared" si="203"/>
        <v>0</v>
      </c>
      <c r="I845" s="678">
        <f t="array" ref="I845">1/INDEX($G$193:$N$193,MATCH($A845,$G$191:$N$191,0)) * SUM(($H$530:$O$530=$A845)*($G$532:$G$539=$D845)*($H$532:$O$539)) * (SUM(($C$519:$C$526=$A845)*(I$519:I$526)) + SUM(($C$510:$C$517=$A845)*(I$510:I$517))) * $E845</f>
        <v>0</v>
      </c>
      <c r="J845" s="678">
        <f t="shared" si="203"/>
        <v>0</v>
      </c>
      <c r="K845" s="678">
        <f t="array" ref="K845">1/INDEX($G$193:$N$193,MATCH($A845,$G$191:$N$191,0)) * SUM(($H$530:$O$530=$A845)*($G$532:$G$539=$D845)*($H$532:$O$539)) * (SUM(($C$519:$C$526=$A845)*(K$519:K$526)) + SUM(($C$510:$C$517=$A845)*(K$510:K$517))) * $E845</f>
        <v>0</v>
      </c>
      <c r="L845" s="678">
        <f t="shared" si="205"/>
        <v>0</v>
      </c>
      <c r="M845" s="678">
        <f t="array" ref="M845">1/INDEX($G$193:$N$193,MATCH($A845,$G$191:$N$191,0)) * SUM(($H$530:$O$530=$A845)*($G$532:$G$539=$D845)*($H$532:$O$539)) * (SUM(($C$519:$C$526=$A845)*(M$519:M$526)) + SUM(($C$510:$C$517=$A845)*(M$510:M$517))) * $E845</f>
        <v>0</v>
      </c>
      <c r="N845" s="678">
        <f t="shared" si="206"/>
        <v>0</v>
      </c>
      <c r="O845" s="678">
        <f t="array" ref="O845">1/INDEX($G$193:$N$193,MATCH($A845,$G$191:$N$191,0)) * SUM(($H$530:$O$530=$A845)*($G$532:$G$539=$D845)*($H$532:$O$539)) * (SUM(($C$519:$C$526=$A845)*(O$519:O$526)) + SUM(($C$510:$C$517=$A845)*(O$510:O$517))) * $E845</f>
        <v>0</v>
      </c>
    </row>
    <row r="846" spans="1:25" s="19" customFormat="1" collapsed="1">
      <c r="A846" s="245"/>
      <c r="B846" s="246"/>
      <c r="C846" s="163"/>
      <c r="D846" s="677"/>
      <c r="E846" s="676"/>
      <c r="F846" s="247"/>
      <c r="G846" s="247"/>
      <c r="H846" s="247"/>
      <c r="I846" s="247"/>
      <c r="J846" s="247"/>
      <c r="K846" s="247"/>
      <c r="L846" s="247"/>
      <c r="M846" s="247"/>
      <c r="N846" s="247"/>
      <c r="O846" s="247"/>
      <c r="Q846" s="312"/>
      <c r="R846" s="312"/>
      <c r="S846" s="312"/>
      <c r="T846" s="312"/>
      <c r="U846" s="312"/>
      <c r="V846" s="312"/>
      <c r="W846" s="312"/>
      <c r="X846" s="312"/>
      <c r="Y846" s="312"/>
    </row>
    <row r="847" spans="1:25" s="19" customFormat="1" hidden="1" outlineLevel="1">
      <c r="A847" s="1412"/>
      <c r="B847" s="1442"/>
      <c r="C847" s="1441"/>
      <c r="D847" s="1411"/>
      <c r="E847" s="1410"/>
      <c r="F847" s="1409"/>
      <c r="G847" s="1409"/>
      <c r="H847" s="1409"/>
      <c r="I847" s="1409"/>
      <c r="J847" s="1409"/>
      <c r="K847" s="1409"/>
      <c r="L847" s="1409"/>
      <c r="M847" s="1409"/>
      <c r="N847" s="1409"/>
      <c r="O847" s="1409"/>
      <c r="Q847" s="312"/>
      <c r="R847" s="312"/>
      <c r="S847" s="312"/>
      <c r="T847" s="312"/>
      <c r="U847" s="312"/>
      <c r="V847" s="312"/>
      <c r="W847" s="312"/>
      <c r="X847" s="312"/>
      <c r="Y847" s="312"/>
    </row>
    <row r="848" spans="1:25" s="17" customFormat="1" hidden="1" outlineLevel="1">
      <c r="A848" s="1408"/>
      <c r="B848" s="1408"/>
      <c r="C848" s="1407" t="s">
        <v>1335</v>
      </c>
      <c r="D848" s="1406"/>
      <c r="E848" s="1408"/>
      <c r="F848" s="1405" t="s">
        <v>1334</v>
      </c>
      <c r="G848" s="1404"/>
      <c r="H848" s="1404"/>
      <c r="I848" s="1404"/>
      <c r="J848" s="1404"/>
      <c r="K848" s="1404"/>
      <c r="L848" s="1404"/>
      <c r="M848" s="1404"/>
      <c r="N848" s="1404"/>
      <c r="O848" s="1404"/>
      <c r="Q848" s="675"/>
      <c r="R848" s="485"/>
      <c r="S848" s="42"/>
      <c r="T848" s="42"/>
      <c r="U848" s="42"/>
      <c r="V848" s="42"/>
      <c r="W848" s="42"/>
      <c r="X848" s="42"/>
      <c r="Y848" s="42"/>
    </row>
    <row r="849" spans="1:25" s="17" customFormat="1" hidden="1" outlineLevel="1">
      <c r="A849" s="1403"/>
      <c r="B849" s="1407"/>
      <c r="C849" s="1407" t="str">
        <f>D20</f>
        <v>Mining SIC2</v>
      </c>
      <c r="D849" s="1406"/>
      <c r="E849" s="1408"/>
      <c r="F849" s="1402"/>
      <c r="G849" s="1408"/>
      <c r="H849" s="1402"/>
      <c r="I849" s="1402"/>
      <c r="J849" s="1402"/>
      <c r="K849" s="1402"/>
      <c r="L849" s="1402"/>
      <c r="M849" s="1402"/>
      <c r="N849" s="1402"/>
      <c r="O849" s="1402"/>
      <c r="Q849" s="49"/>
      <c r="R849" s="49"/>
      <c r="S849" s="42"/>
      <c r="T849" s="42"/>
      <c r="U849" s="42"/>
      <c r="V849" s="42"/>
      <c r="W849" s="42"/>
      <c r="X849" s="42"/>
      <c r="Y849" s="42"/>
    </row>
    <row r="850" spans="1:25" s="17" customFormat="1" hidden="1" outlineLevel="1">
      <c r="A850" s="1408" t="str">
        <f>INDEX($C$20:$C$27,MATCH($C849,$D$20:$D$27,0))</f>
        <v>MI</v>
      </c>
      <c r="B850" s="1400" t="str">
        <f>INDEX(EF[UK Vector],MATCH(D850,EF[SATIM Code],0))</f>
        <v>V.03</v>
      </c>
      <c r="C850" s="1401" t="str">
        <f>INDEX(Vectors[Description], MATCH($B850, Vectors[Code], 0))</f>
        <v>Solid hydrocarbons</v>
      </c>
      <c r="D850" s="1406" t="s">
        <v>882</v>
      </c>
      <c r="E850" s="1401"/>
      <c r="F850" s="1399">
        <f t="array" ref="F850" xml:space="preserve"> SUM(($A$756:$A$763=$A850)*($F$730:$O$730=F$730)*($F$756:$O$763)) * SUM(IFERROR(($C$548:$C$603=$A850)*($A$548:$A$603=F$730)*($H$544:$O$544=$D850)*($H$548:$O$603),0))</f>
        <v>34.100714879999991</v>
      </c>
      <c r="G850" s="1399">
        <f t="array" ref="G850" xml:space="preserve"> SUM(($A$756:$A$763=$A850)*($F$730:$O$730=G$730)*($F$756:$O$763)) * SUM(IFERROR(($C$548:$C$603=$A850)*($A$548:$A$603=G$730)*($H$544:$O$544=$D850)*($H$548:$O$603),0))</f>
        <v>40.067794548367438</v>
      </c>
      <c r="H850" s="1399">
        <f t="shared" ref="H850:H881" si="208">AVERAGE(G850,I850)</f>
        <v>50.617383576266377</v>
      </c>
      <c r="I850" s="1399">
        <f t="array" ref="I850" xml:space="preserve"> SUM(($A$756:$A$763=$A850)*($F$730:$O$730=I$730)*($F$756:$O$763)) * SUM(IFERROR(($C$548:$C$603=$A850)*($A$548:$A$603=I$730)*($H$544:$O$544=$D850)*($H$548:$O$603),0))</f>
        <v>61.166972604165323</v>
      </c>
      <c r="J850" s="1399">
        <f t="shared" ref="J850:J881" si="209">AVERAGE(I850,K850)</f>
        <v>79.109874816124005</v>
      </c>
      <c r="K850" s="1399">
        <f t="array" ref="K850" xml:space="preserve"> SUM(($A$756:$A$763=$A850)*($F$730:$O$730=K$730)*($F$756:$O$763)) * SUM(IFERROR(($C$548:$C$603=$A850)*($A$548:$A$603=K$730)*($H$544:$O$544=$D850)*($H$548:$O$603),0))</f>
        <v>97.052777028082701</v>
      </c>
      <c r="L850" s="1399">
        <f t="shared" ref="L850:L881" si="210">AVERAGE(K850,M850)</f>
        <v>124.65960623020914</v>
      </c>
      <c r="M850" s="1399">
        <f t="array" ref="M850" xml:space="preserve"> SUM(($A$756:$A$763=$A850)*($F$730:$O$730=M$730)*($F$756:$O$763)) * SUM(IFERROR(($C$548:$C$603=$A850)*($A$548:$A$603=M$730)*($H$544:$O$544=$D850)*($H$548:$O$603),0))</f>
        <v>152.26643543233556</v>
      </c>
      <c r="N850" s="1399">
        <f t="shared" ref="N850:N881" si="211">AVERAGE(M850,O850)</f>
        <v>185.47798419846546</v>
      </c>
      <c r="O850" s="1399">
        <f t="array" ref="O850" xml:space="preserve"> SUM(($A$756:$A$763=$A850)*($F$730:$O$730=O$730)*($F$756:$O$763)) * SUM(IFERROR(($C$548:$C$603=$A850)*($A$548:$A$603=O$730)*($H$544:$O$544=$D850)*($H$548:$O$603),0))</f>
        <v>218.68953296459537</v>
      </c>
      <c r="Q850" s="670"/>
      <c r="R850" s="670"/>
      <c r="S850" s="670"/>
      <c r="T850" s="670"/>
      <c r="U850" s="670"/>
      <c r="V850" s="670"/>
      <c r="W850" s="670"/>
      <c r="X850" s="670"/>
      <c r="Y850" s="670"/>
    </row>
    <row r="851" spans="1:25" s="17" customFormat="1" hidden="1" outlineLevel="1">
      <c r="A851" s="1401" t="str">
        <f t="shared" ref="A851:A857" si="212">A850</f>
        <v>MI</v>
      </c>
      <c r="B851" s="1400" t="str">
        <f>INDEX(EF[UK Vector],MATCH(D851,EF[SATIM Code],0))</f>
        <v>V.05</v>
      </c>
      <c r="C851" s="1401" t="str">
        <f>INDEX(Vectors[Description], MATCH($B851, Vectors[Code], 0))</f>
        <v>Gaseous hydrocarbons</v>
      </c>
      <c r="D851" s="1406" t="s">
        <v>869</v>
      </c>
      <c r="E851" s="1401"/>
      <c r="F851" s="1399">
        <f t="array" ref="F851" xml:space="preserve"> SUM(($A$756:$A$763=$A851)*($F$730:$O$730=F$730)*($F$756:$O$763)) * SUM(IFERROR(($C$548:$C$603=$A851)*($A$548:$A$603=F$730)*($H$544:$O$544=$D851)*($H$548:$O$603),0))</f>
        <v>2.0879567999999997</v>
      </c>
      <c r="G851" s="1399">
        <f t="array" ref="G851" xml:space="preserve"> SUM(($A$756:$A$763=$A851)*($F$730:$O$730=G$730)*($F$756:$O$763)) * SUM(IFERROR(($C$548:$C$603=$A851)*($A$548:$A$603=G$730)*($H$544:$O$544=$D851)*($H$548:$O$603),0))</f>
        <v>2.4533158434556173</v>
      </c>
      <c r="H851" s="1399">
        <f t="shared" si="208"/>
        <v>3.0992579072956286</v>
      </c>
      <c r="I851" s="1399">
        <f t="array" ref="I851" xml:space="preserve"> SUM(($A$756:$A$763=$A851)*($F$730:$O$730=I$730)*($F$756:$O$763)) * SUM(IFERROR(($C$548:$C$603=$A851)*($A$548:$A$603=I$730)*($H$544:$O$544=$D851)*($H$548:$O$603),0))</f>
        <v>3.7451999711356403</v>
      </c>
      <c r="J851" s="1399">
        <f t="shared" si="209"/>
        <v>4.8438281030393133</v>
      </c>
      <c r="K851" s="1399">
        <f t="array" ref="K851" xml:space="preserve"> SUM(($A$756:$A$763=$A851)*($F$730:$O$730=K$730)*($F$756:$O$763)) * SUM(IFERROR(($C$548:$C$603=$A851)*($A$548:$A$603=K$730)*($H$544:$O$544=$D851)*($H$548:$O$603),0))</f>
        <v>5.9424562349429859</v>
      </c>
      <c r="L851" s="1399">
        <f t="shared" si="210"/>
        <v>7.6327981225503123</v>
      </c>
      <c r="M851" s="1399">
        <f t="array" ref="M851" xml:space="preserve"> SUM(($A$756:$A$763=$A851)*($F$730:$O$730=M$730)*($F$756:$O$763)) * SUM(IFERROR(($C$548:$C$603=$A851)*($A$548:$A$603=M$730)*($H$544:$O$544=$D851)*($H$548:$O$603),0))</f>
        <v>9.3231400101576387</v>
      </c>
      <c r="N851" s="1399">
        <f t="shared" si="211"/>
        <v>11.356653950519132</v>
      </c>
      <c r="O851" s="1399">
        <f t="array" ref="O851" xml:space="preserve"> SUM(($A$756:$A$763=$A851)*($F$730:$O$730=O$730)*($F$756:$O$763)) * SUM(IFERROR(($C$548:$C$603=$A851)*($A$548:$A$603=O$730)*($H$544:$O$544=$D851)*($H$548:$O$603),0))</f>
        <v>13.390167890880623</v>
      </c>
      <c r="Q851" s="670"/>
      <c r="R851" s="670"/>
      <c r="S851" s="670"/>
      <c r="T851" s="670"/>
      <c r="U851" s="670"/>
      <c r="V851" s="670"/>
      <c r="W851" s="670"/>
      <c r="X851" s="670"/>
      <c r="Y851" s="670"/>
    </row>
    <row r="852" spans="1:25" s="17" customFormat="1" hidden="1" outlineLevel="1">
      <c r="A852" s="1401" t="str">
        <f t="shared" si="212"/>
        <v>MI</v>
      </c>
      <c r="B852" s="1400" t="str">
        <f>INDEX(EF[UK Vector],MATCH(D852,EF[SATIM Code],0))</f>
        <v>V.04</v>
      </c>
      <c r="C852" s="1401" t="str">
        <f>INDEX(Vectors[Description], MATCH($B852, Vectors[Code], 0))</f>
        <v>Liquid hydrocarbons</v>
      </c>
      <c r="D852" s="1406" t="s">
        <v>885</v>
      </c>
      <c r="E852" s="1401"/>
      <c r="F852" s="1399">
        <f t="array" ref="F852" xml:space="preserve"> SUM(($A$756:$A$763=$A852)*($F$730:$O$730=F$730)*($F$756:$O$763)) * SUM(IFERROR(($C$548:$C$603=$A852)*($A$548:$A$603=F$730)*($H$544:$O$544=$D852)*($H$548:$O$603),0))</f>
        <v>5.254150886399999E-2</v>
      </c>
      <c r="G852" s="1399">
        <f t="array" ref="G852" xml:space="preserve"> SUM(($A$756:$A$763=$A852)*($F$730:$O$730=G$730)*($F$756:$O$763)) * SUM(IFERROR(($C$548:$C$603=$A852)*($A$548:$A$603=G$730)*($H$544:$O$544=$D852)*($H$548:$O$603),0))</f>
        <v>6.1735432521934822E-2</v>
      </c>
      <c r="H852" s="1399">
        <f t="shared" si="208"/>
        <v>7.7989969336528117E-2</v>
      </c>
      <c r="I852" s="1399">
        <f t="array" ref="I852" xml:space="preserve"> SUM(($A$756:$A$763=$A852)*($F$730:$O$730=I$730)*($F$756:$O$763)) * SUM(IFERROR(($C$548:$C$603=$A852)*($A$548:$A$603=I$730)*($H$544:$O$544=$D852)*($H$548:$O$603),0))</f>
        <v>9.4244506151121413E-2</v>
      </c>
      <c r="J852" s="1399">
        <f t="shared" si="209"/>
        <v>0.12189047072790604</v>
      </c>
      <c r="K852" s="1399">
        <f t="array" ref="K852" xml:space="preserve"> SUM(($A$756:$A$763=$A852)*($F$730:$O$730=K$730)*($F$756:$O$763)) * SUM(IFERROR(($C$548:$C$603=$A852)*($A$548:$A$603=K$730)*($H$544:$O$544=$D852)*($H$548:$O$603),0))</f>
        <v>0.14953643530469068</v>
      </c>
      <c r="L852" s="1399">
        <f t="shared" si="210"/>
        <v>0.19207233129205536</v>
      </c>
      <c r="M852" s="1399">
        <f t="array" ref="M852" xml:space="preserve"> SUM(($A$756:$A$763=$A852)*($F$730:$O$730=M$730)*($F$756:$O$763)) * SUM(IFERROR(($C$548:$C$603=$A852)*($A$548:$A$603=M$730)*($H$544:$O$544=$D852)*($H$548:$O$603),0))</f>
        <v>0.23460822727942005</v>
      </c>
      <c r="N852" s="1399">
        <f t="shared" si="211"/>
        <v>0.28577973174855986</v>
      </c>
      <c r="O852" s="1399">
        <f t="array" ref="O852" xml:space="preserve"> SUM(($A$756:$A$763=$A852)*($F$730:$O$730=O$730)*($F$756:$O$763)) * SUM(IFERROR(($C$548:$C$603=$A852)*($A$548:$A$603=O$730)*($H$544:$O$544=$D852)*($H$548:$O$603),0))</f>
        <v>0.33695123621769968</v>
      </c>
      <c r="Q852" s="670"/>
      <c r="R852" s="670"/>
      <c r="S852" s="670"/>
      <c r="T852" s="670"/>
      <c r="U852" s="670"/>
      <c r="V852" s="670"/>
      <c r="W852" s="670"/>
      <c r="X852" s="670"/>
      <c r="Y852" s="670"/>
    </row>
    <row r="853" spans="1:25" s="17" customFormat="1" hidden="1" outlineLevel="1">
      <c r="A853" s="1401" t="str">
        <f t="shared" si="212"/>
        <v>MI</v>
      </c>
      <c r="B853" s="1400" t="str">
        <f>INDEX(EF[UK Vector],MATCH(D853,EF[SATIM Code],0))</f>
        <v>V.04</v>
      </c>
      <c r="C853" s="1401" t="str">
        <f>INDEX(Vectors[Description], MATCH($B853, Vectors[Code], 0))</f>
        <v>Liquid hydrocarbons</v>
      </c>
      <c r="D853" s="1406" t="s">
        <v>887</v>
      </c>
      <c r="E853" s="1401"/>
      <c r="F853" s="1399">
        <f t="array" ref="F853" xml:space="preserve"> SUM(($A$756:$A$763=$A853)*($F$730:$O$730=F$730)*($F$756:$O$763)) * SUM(IFERROR(($C$548:$C$603=$A853)*($A$548:$A$603=F$730)*($H$544:$O$544=$D853)*($H$548:$O$603),0))</f>
        <v>4.4330543999999985E-5</v>
      </c>
      <c r="G853" s="1399">
        <f t="array" ref="G853" xml:space="preserve"> SUM(($A$756:$A$763=$A853)*($F$730:$O$730=G$730)*($F$756:$O$763)) * SUM(IFERROR(($C$548:$C$603=$A853)*($A$548:$A$603=G$730)*($H$544:$O$544=$D853)*($H$548:$O$603),0))</f>
        <v>5.208768013984118E-5</v>
      </c>
      <c r="H853" s="1399">
        <f t="shared" si="208"/>
        <v>6.580202666392178E-5</v>
      </c>
      <c r="I853" s="1399">
        <f t="array" ref="I853" xml:space="preserve"> SUM(($A$756:$A$763=$A853)*($F$730:$O$730=I$730)*($F$756:$O$763)) * SUM(IFERROR(($C$548:$C$603=$A853)*($A$548:$A$603=I$730)*($H$544:$O$544=$D853)*($H$548:$O$603),0))</f>
        <v>7.9516373188002367E-5</v>
      </c>
      <c r="J853" s="1399">
        <f t="shared" si="209"/>
        <v>1.0284194330563773E-4</v>
      </c>
      <c r="K853" s="1399">
        <f t="array" ref="K853" xml:space="preserve"> SUM(($A$756:$A$763=$A853)*($F$730:$O$730=K$730)*($F$756:$O$763)) * SUM(IFERROR(($C$548:$C$603=$A853)*($A$548:$A$603=K$730)*($H$544:$O$544=$D853)*($H$548:$O$603),0))</f>
        <v>1.2616751342327311E-4</v>
      </c>
      <c r="L853" s="1399">
        <f t="shared" si="210"/>
        <v>1.6205607942407332E-4</v>
      </c>
      <c r="M853" s="1399">
        <f t="array" ref="M853" xml:space="preserve"> SUM(($A$756:$A$763=$A853)*($F$730:$O$730=M$730)*($F$756:$O$763)) * SUM(IFERROR(($C$548:$C$603=$A853)*($A$548:$A$603=M$730)*($H$544:$O$544=$D853)*($H$548:$O$603),0))</f>
        <v>1.9794464542487354E-4</v>
      </c>
      <c r="N853" s="1399">
        <f t="shared" si="211"/>
        <v>2.4111928352457392E-4</v>
      </c>
      <c r="O853" s="1399">
        <f t="array" ref="O853" xml:space="preserve"> SUM(($A$756:$A$763=$A853)*($F$730:$O$730=O$730)*($F$756:$O$763)) * SUM(IFERROR(($C$548:$C$603=$A853)*($A$548:$A$603=O$730)*($H$544:$O$544=$D853)*($H$548:$O$603),0))</f>
        <v>2.8429392162427432E-4</v>
      </c>
      <c r="Q853" s="670"/>
      <c r="R853" s="670"/>
      <c r="S853" s="670"/>
      <c r="T853" s="670"/>
      <c r="U853" s="670"/>
      <c r="V853" s="670"/>
      <c r="W853" s="670"/>
      <c r="X853" s="670"/>
      <c r="Y853" s="670"/>
    </row>
    <row r="854" spans="1:25" s="17" customFormat="1" hidden="1" outlineLevel="1">
      <c r="A854" s="1401" t="str">
        <f t="shared" si="212"/>
        <v>MI</v>
      </c>
      <c r="B854" s="1400" t="str">
        <f>INDEX(EF[UK Vector],MATCH(D854,EF[SATIM Code],0))</f>
        <v>V.01</v>
      </c>
      <c r="C854" s="1401" t="str">
        <f>INDEX(Vectors[Description], MATCH($B854, Vectors[Code], 0))</f>
        <v>Electricity (delivered to end user)</v>
      </c>
      <c r="D854" s="1406" t="s">
        <v>879</v>
      </c>
      <c r="E854" s="1401"/>
      <c r="F854" s="1399">
        <f t="array" ref="F854" xml:space="preserve"> SUM(($A$756:$A$763=$A854)*($F$730:$O$730=F$730)*($F$756:$O$763)) * SUM(IFERROR(($C$548:$C$603=$A854)*($A$548:$A$603=F$730)*($H$544:$O$544=$D854)*($H$548:$O$603),0))</f>
        <v>0</v>
      </c>
      <c r="G854" s="1399">
        <f t="array" ref="G854" xml:space="preserve"> SUM(($A$756:$A$763=$A854)*($F$730:$O$730=G$730)*($F$756:$O$763)) * SUM(IFERROR(($C$548:$C$603=$A854)*($A$548:$A$603=G$730)*($H$544:$O$544=$D854)*($H$548:$O$603),0))</f>
        <v>0</v>
      </c>
      <c r="H854" s="1399">
        <f t="shared" si="208"/>
        <v>0</v>
      </c>
      <c r="I854" s="1399">
        <f t="array" ref="I854" xml:space="preserve"> SUM(($A$756:$A$763=$A854)*($F$730:$O$730=I$730)*($F$756:$O$763)) * SUM(IFERROR(($C$548:$C$603=$A854)*($A$548:$A$603=I$730)*($H$544:$O$544=$D854)*($H$548:$O$603),0))</f>
        <v>0</v>
      </c>
      <c r="J854" s="1399">
        <f t="shared" si="209"/>
        <v>0</v>
      </c>
      <c r="K854" s="1399">
        <f t="array" ref="K854" xml:space="preserve"> SUM(($A$756:$A$763=$A854)*($F$730:$O$730=K$730)*($F$756:$O$763)) * SUM(IFERROR(($C$548:$C$603=$A854)*($A$548:$A$603=K$730)*($H$544:$O$544=$D854)*($H$548:$O$603),0))</f>
        <v>0</v>
      </c>
      <c r="L854" s="1399">
        <f t="shared" si="210"/>
        <v>0</v>
      </c>
      <c r="M854" s="1399">
        <f t="array" ref="M854" xml:space="preserve"> SUM(($A$756:$A$763=$A854)*($F$730:$O$730=M$730)*($F$756:$O$763)) * SUM(IFERROR(($C$548:$C$603=$A854)*($A$548:$A$603=M$730)*($H$544:$O$544=$D854)*($H$548:$O$603),0))</f>
        <v>0</v>
      </c>
      <c r="N854" s="1399">
        <f t="shared" si="211"/>
        <v>0</v>
      </c>
      <c r="O854" s="1399">
        <f t="array" ref="O854" xml:space="preserve"> SUM(($A$756:$A$763=$A854)*($F$730:$O$730=O$730)*($F$756:$O$763)) * SUM(IFERROR(($C$548:$C$603=$A854)*($A$548:$A$603=O$730)*($H$544:$O$544=$D854)*($H$548:$O$603),0))</f>
        <v>0</v>
      </c>
      <c r="Q854" s="670"/>
      <c r="R854" s="670"/>
      <c r="S854" s="670"/>
      <c r="T854" s="670"/>
      <c r="U854" s="670"/>
      <c r="V854" s="670"/>
      <c r="W854" s="670"/>
      <c r="X854" s="670"/>
      <c r="Y854" s="670"/>
    </row>
    <row r="855" spans="1:25" s="17" customFormat="1" hidden="1" outlineLevel="1">
      <c r="A855" s="1401" t="str">
        <f t="shared" si="212"/>
        <v>MI</v>
      </c>
      <c r="B855" s="1400" t="str">
        <f>INDEX(EF[UK Vector],MATCH(D855,EF[SATIM Code],0))</f>
        <v>V.09</v>
      </c>
      <c r="C855" s="1401" t="str">
        <f>INDEX(Vectors[Description], MATCH($B855, Vectors[Code], 0))</f>
        <v>Dry biomass and waste</v>
      </c>
      <c r="D855" s="1406" t="s">
        <v>888</v>
      </c>
      <c r="E855" s="1401"/>
      <c r="F855" s="1399">
        <f t="array" ref="F855" xml:space="preserve"> SUM(($A$756:$A$763=$A855)*($F$730:$O$730=F$730)*($F$756:$O$763)) * SUM(IFERROR(($C$548:$C$603=$A855)*($A$548:$A$603=F$730)*($H$544:$O$544=$D855)*($H$548:$O$603),0))</f>
        <v>0</v>
      </c>
      <c r="G855" s="1399">
        <f t="array" ref="G855" xml:space="preserve"> SUM(($A$756:$A$763=$A855)*($F$730:$O$730=G$730)*($F$756:$O$763)) * SUM(IFERROR(($C$548:$C$603=$A855)*($A$548:$A$603=G$730)*($H$544:$O$544=$D855)*($H$548:$O$603),0))</f>
        <v>0</v>
      </c>
      <c r="H855" s="1399">
        <f t="shared" si="208"/>
        <v>0</v>
      </c>
      <c r="I855" s="1399">
        <f t="array" ref="I855" xml:space="preserve"> SUM(($A$756:$A$763=$A855)*($F$730:$O$730=I$730)*($F$756:$O$763)) * SUM(IFERROR(($C$548:$C$603=$A855)*($A$548:$A$603=I$730)*($H$544:$O$544=$D855)*($H$548:$O$603),0))</f>
        <v>0</v>
      </c>
      <c r="J855" s="1399">
        <f t="shared" si="209"/>
        <v>0</v>
      </c>
      <c r="K855" s="1399">
        <f t="array" ref="K855" xml:space="preserve"> SUM(($A$756:$A$763=$A855)*($F$730:$O$730=K$730)*($F$756:$O$763)) * SUM(IFERROR(($C$548:$C$603=$A855)*($A$548:$A$603=K$730)*($H$544:$O$544=$D855)*($H$548:$O$603),0))</f>
        <v>0</v>
      </c>
      <c r="L855" s="1399">
        <f t="shared" si="210"/>
        <v>0</v>
      </c>
      <c r="M855" s="1399">
        <f t="array" ref="M855" xml:space="preserve"> SUM(($A$756:$A$763=$A855)*($F$730:$O$730=M$730)*($F$756:$O$763)) * SUM(IFERROR(($C$548:$C$603=$A855)*($A$548:$A$603=M$730)*($H$544:$O$544=$D855)*($H$548:$O$603),0))</f>
        <v>0</v>
      </c>
      <c r="N855" s="1399">
        <f t="shared" si="211"/>
        <v>0</v>
      </c>
      <c r="O855" s="1399">
        <f t="array" ref="O855" xml:space="preserve"> SUM(($A$756:$A$763=$A855)*($F$730:$O$730=O$730)*($F$756:$O$763)) * SUM(IFERROR(($C$548:$C$603=$A855)*($A$548:$A$603=O$730)*($H$544:$O$544=$D855)*($H$548:$O$603),0))</f>
        <v>0</v>
      </c>
      <c r="Q855" s="670"/>
      <c r="R855" s="670"/>
      <c r="S855" s="670"/>
      <c r="T855" s="670"/>
      <c r="U855" s="670"/>
      <c r="V855" s="670"/>
      <c r="W855" s="670"/>
      <c r="X855" s="670"/>
      <c r="Y855" s="670"/>
    </row>
    <row r="856" spans="1:25" s="17" customFormat="1" hidden="1" outlineLevel="1">
      <c r="A856" s="1401" t="str">
        <f t="shared" si="212"/>
        <v>MI</v>
      </c>
      <c r="B856" s="1400" t="str">
        <f>INDEX(EF[UK Vector],MATCH(D856,EF[SATIM Code],0))</f>
        <v>V.09</v>
      </c>
      <c r="C856" s="1401" t="str">
        <f>INDEX(Vectors[Description], MATCH($B856, Vectors[Code], 0))</f>
        <v>Dry biomass and waste</v>
      </c>
      <c r="D856" s="1406" t="s">
        <v>889</v>
      </c>
      <c r="E856" s="1401"/>
      <c r="F856" s="1399">
        <f t="array" ref="F856" xml:space="preserve"> SUM(($A$756:$A$763=$A856)*($F$730:$O$730=F$730)*($F$756:$O$763)) * SUM(IFERROR(($C$548:$C$603=$A856)*($A$548:$A$603=F$730)*($H$544:$O$544=$D856)*($H$548:$O$603),0))</f>
        <v>0</v>
      </c>
      <c r="G856" s="1399">
        <f t="array" ref="G856" xml:space="preserve"> SUM(($A$756:$A$763=$A856)*($F$730:$O$730=G$730)*($F$756:$O$763)) * SUM(IFERROR(($C$548:$C$603=$A856)*($A$548:$A$603=G$730)*($H$544:$O$544=$D856)*($H$548:$O$603),0))</f>
        <v>0</v>
      </c>
      <c r="H856" s="1399">
        <f t="shared" si="208"/>
        <v>0</v>
      </c>
      <c r="I856" s="1399">
        <f t="array" ref="I856" xml:space="preserve"> SUM(($A$756:$A$763=$A856)*($F$730:$O$730=I$730)*($F$756:$O$763)) * SUM(IFERROR(($C$548:$C$603=$A856)*($A$548:$A$603=I$730)*($H$544:$O$544=$D856)*($H$548:$O$603),0))</f>
        <v>0</v>
      </c>
      <c r="J856" s="1399">
        <f t="shared" si="209"/>
        <v>0</v>
      </c>
      <c r="K856" s="1399">
        <f t="array" ref="K856" xml:space="preserve"> SUM(($A$756:$A$763=$A856)*($F$730:$O$730=K$730)*($F$756:$O$763)) * SUM(IFERROR(($C$548:$C$603=$A856)*($A$548:$A$603=K$730)*($H$544:$O$544=$D856)*($H$548:$O$603),0))</f>
        <v>0</v>
      </c>
      <c r="L856" s="1399">
        <f t="shared" si="210"/>
        <v>0</v>
      </c>
      <c r="M856" s="1399">
        <f t="array" ref="M856" xml:space="preserve"> SUM(($A$756:$A$763=$A856)*($F$730:$O$730=M$730)*($F$756:$O$763)) * SUM(IFERROR(($C$548:$C$603=$A856)*($A$548:$A$603=M$730)*($H$544:$O$544=$D856)*($H$548:$O$603),0))</f>
        <v>0</v>
      </c>
      <c r="N856" s="1399">
        <f t="shared" si="211"/>
        <v>0</v>
      </c>
      <c r="O856" s="1399">
        <f t="array" ref="O856" xml:space="preserve"> SUM(($A$756:$A$763=$A856)*($F$730:$O$730=O$730)*($F$756:$O$763)) * SUM(IFERROR(($C$548:$C$603=$A856)*($A$548:$A$603=O$730)*($H$544:$O$544=$D856)*($H$548:$O$603),0))</f>
        <v>0</v>
      </c>
      <c r="Q856" s="670"/>
      <c r="R856" s="670"/>
      <c r="S856" s="670"/>
      <c r="T856" s="670"/>
      <c r="U856" s="670"/>
      <c r="V856" s="670"/>
      <c r="W856" s="670"/>
      <c r="X856" s="670"/>
      <c r="Y856" s="670"/>
    </row>
    <row r="857" spans="1:25" s="17" customFormat="1" hidden="1" outlineLevel="1">
      <c r="A857" s="1401" t="str">
        <f t="shared" si="212"/>
        <v>MI</v>
      </c>
      <c r="B857" s="1400" t="s">
        <v>897</v>
      </c>
      <c r="C857" s="1401" t="str">
        <f>INDEX(Vectors[Description], MATCH($B857, Vectors[Code], 0))</f>
        <v>Other Waste</v>
      </c>
      <c r="D857" s="1408" t="s">
        <v>890</v>
      </c>
      <c r="E857" s="1401"/>
      <c r="F857" s="1399">
        <f t="array" ref="F857" xml:space="preserve"> SUM(($A$756:$A$763=$A857)*($F$730:$O$730=F$730)*($F$756:$O$763)) * SUM(IFERROR(($C$548:$C$603=$A857)*($A$548:$A$603=F$730)*($H$544:$O$544=$D857)*($H$548:$O$603),0))</f>
        <v>0</v>
      </c>
      <c r="G857" s="1399">
        <f t="array" ref="G857" xml:space="preserve"> SUM(($A$756:$A$763=$A857)*($F$730:$O$730=G$730)*($F$756:$O$763)) * SUM(IFERROR(($C$548:$C$603=$A857)*($A$548:$A$603=G$730)*($H$544:$O$544=$D857)*($H$548:$O$603),0))</f>
        <v>0</v>
      </c>
      <c r="H857" s="1399">
        <f t="shared" si="208"/>
        <v>0</v>
      </c>
      <c r="I857" s="1399">
        <f t="array" ref="I857" xml:space="preserve"> SUM(($A$756:$A$763=$A857)*($F$730:$O$730=I$730)*($F$756:$O$763)) * SUM(IFERROR(($C$548:$C$603=$A857)*($A$548:$A$603=I$730)*($H$544:$O$544=$D857)*($H$548:$O$603),0))</f>
        <v>0</v>
      </c>
      <c r="J857" s="1399">
        <f t="shared" si="209"/>
        <v>0</v>
      </c>
      <c r="K857" s="1399">
        <f t="array" ref="K857" xml:space="preserve"> SUM(($A$756:$A$763=$A857)*($F$730:$O$730=K$730)*($F$756:$O$763)) * SUM(IFERROR(($C$548:$C$603=$A857)*($A$548:$A$603=K$730)*($H$544:$O$544=$D857)*($H$548:$O$603),0))</f>
        <v>0</v>
      </c>
      <c r="L857" s="1399">
        <f t="shared" si="210"/>
        <v>0</v>
      </c>
      <c r="M857" s="1399">
        <f t="array" ref="M857" xml:space="preserve"> SUM(($A$756:$A$763=$A857)*($F$730:$O$730=M$730)*($F$756:$O$763)) * SUM(IFERROR(($C$548:$C$603=$A857)*($A$548:$A$603=M$730)*($H$544:$O$544=$D857)*($H$548:$O$603),0))</f>
        <v>0</v>
      </c>
      <c r="N857" s="1399">
        <f t="shared" si="211"/>
        <v>0</v>
      </c>
      <c r="O857" s="1399">
        <f t="array" ref="O857" xml:space="preserve"> SUM(($A$756:$A$763=$A857)*($F$730:$O$730=O$730)*($F$756:$O$763)) * SUM(IFERROR(($C$548:$C$603=$A857)*($A$548:$A$603=O$730)*($H$544:$O$544=$D857)*($H$548:$O$603),0))</f>
        <v>0</v>
      </c>
      <c r="Q857" s="670"/>
      <c r="R857" s="670"/>
      <c r="S857" s="670"/>
      <c r="T857" s="670"/>
      <c r="U857" s="670"/>
      <c r="V857" s="670"/>
      <c r="W857" s="670"/>
      <c r="X857" s="670"/>
      <c r="Y857" s="670"/>
    </row>
    <row r="858" spans="1:25" s="17" customFormat="1" hidden="1" outlineLevel="1">
      <c r="A858" s="1401"/>
      <c r="B858" s="1400"/>
      <c r="C858" s="1401"/>
      <c r="D858" s="1406"/>
      <c r="E858" s="1401"/>
      <c r="F858" s="1399">
        <f t="array" ref="F858" xml:space="preserve"> SUM(($A$756:$A$763=$A858)*($F$730:$O$730=F$730)*($F$756:$O$763)) * SUM(IFERROR(($C$548:$C$603=$A858)*($A$548:$A$603=F$730)*($H$544:$O$544=$D858)*($H$548:$O$603),0))</f>
        <v>0</v>
      </c>
      <c r="G858" s="1399">
        <f t="array" ref="G858" xml:space="preserve"> SUM(($A$756:$A$763=$A858)*($F$730:$O$730=G$730)*($F$756:$O$763)) * SUM(IFERROR(($C$548:$C$603=$A858)*($A$548:$A$603=G$730)*($H$544:$O$544=$D858)*($H$548:$O$603),0))</f>
        <v>0</v>
      </c>
      <c r="H858" s="1399">
        <f t="shared" si="208"/>
        <v>0</v>
      </c>
      <c r="I858" s="1399">
        <f t="array" ref="I858" xml:space="preserve"> SUM(($A$756:$A$763=$A858)*($F$730:$O$730=I$730)*($F$756:$O$763)) * SUM(IFERROR(($C$548:$C$603=$A858)*($A$548:$A$603=I$730)*($H$544:$O$544=$D858)*($H$548:$O$603),0))</f>
        <v>0</v>
      </c>
      <c r="J858" s="1399">
        <f t="shared" si="209"/>
        <v>0</v>
      </c>
      <c r="K858" s="1399">
        <f t="array" ref="K858" xml:space="preserve"> SUM(($A$756:$A$763=$A858)*($F$730:$O$730=K$730)*($F$756:$O$763)) * SUM(IFERROR(($C$548:$C$603=$A858)*($A$548:$A$603=K$730)*($H$544:$O$544=$D858)*($H$548:$O$603),0))</f>
        <v>0</v>
      </c>
      <c r="L858" s="1399">
        <f t="shared" si="210"/>
        <v>0</v>
      </c>
      <c r="M858" s="1399">
        <f t="array" ref="M858" xml:space="preserve"> SUM(($A$756:$A$763=$A858)*($F$730:$O$730=M$730)*($F$756:$O$763)) * SUM(IFERROR(($C$548:$C$603=$A858)*($A$548:$A$603=M$730)*($H$544:$O$544=$D858)*($H$548:$O$603),0))</f>
        <v>0</v>
      </c>
      <c r="N858" s="1399">
        <f t="shared" si="211"/>
        <v>0</v>
      </c>
      <c r="O858" s="1399">
        <f t="array" ref="O858" xml:space="preserve"> SUM(($A$756:$A$763=$A858)*($F$730:$O$730=O$730)*($F$756:$O$763)) * SUM(IFERROR(($C$548:$C$603=$A858)*($A$548:$A$603=O$730)*($H$544:$O$544=$D858)*($H$548:$O$603),0))</f>
        <v>0</v>
      </c>
      <c r="Q858" s="670"/>
      <c r="R858" s="670"/>
      <c r="S858" s="670"/>
      <c r="T858" s="670"/>
      <c r="U858" s="670"/>
      <c r="V858" s="670"/>
      <c r="W858" s="670"/>
      <c r="X858" s="670"/>
      <c r="Y858" s="670"/>
    </row>
    <row r="859" spans="1:25" s="17" customFormat="1" hidden="1" outlineLevel="1">
      <c r="A859" s="1408"/>
      <c r="B859" s="1407"/>
      <c r="C859" s="1407" t="str">
        <f>D21</f>
        <v>Iron  &amp; Steel  - 351</v>
      </c>
      <c r="D859" s="1408"/>
      <c r="E859" s="1401"/>
      <c r="F859" s="1399">
        <f t="array" ref="F859" xml:space="preserve"> SUM(($A$756:$A$763=$A859)*($F$730:$O$730=F$730)*($F$756:$O$763)) * SUM(IFERROR(($C$548:$C$603=$A859)*($A$548:$A$603=F$730)*($H$544:$O$544=$D859)*($H$548:$O$603),0))</f>
        <v>0</v>
      </c>
      <c r="G859" s="1399">
        <f t="array" ref="G859" xml:space="preserve"> SUM(($A$756:$A$763=$A859)*($F$730:$O$730=G$730)*($F$756:$O$763)) * SUM(IFERROR(($C$548:$C$603=$A859)*($A$548:$A$603=G$730)*($H$544:$O$544=$D859)*($H$548:$O$603),0))</f>
        <v>0</v>
      </c>
      <c r="H859" s="1399">
        <f t="shared" si="208"/>
        <v>0</v>
      </c>
      <c r="I859" s="1399">
        <f t="array" ref="I859" xml:space="preserve"> SUM(($A$756:$A$763=$A859)*($F$730:$O$730=I$730)*($F$756:$O$763)) * SUM(IFERROR(($C$548:$C$603=$A859)*($A$548:$A$603=I$730)*($H$544:$O$544=$D859)*($H$548:$O$603),0))</f>
        <v>0</v>
      </c>
      <c r="J859" s="1399">
        <f t="shared" si="209"/>
        <v>0</v>
      </c>
      <c r="K859" s="1399">
        <f t="array" ref="K859" xml:space="preserve"> SUM(($A$756:$A$763=$A859)*($F$730:$O$730=K$730)*($F$756:$O$763)) * SUM(IFERROR(($C$548:$C$603=$A859)*($A$548:$A$603=K$730)*($H$544:$O$544=$D859)*($H$548:$O$603),0))</f>
        <v>0</v>
      </c>
      <c r="L859" s="1399">
        <f t="shared" si="210"/>
        <v>0</v>
      </c>
      <c r="M859" s="1399">
        <f t="array" ref="M859" xml:space="preserve"> SUM(($A$756:$A$763=$A859)*($F$730:$O$730=M$730)*($F$756:$O$763)) * SUM(IFERROR(($C$548:$C$603=$A859)*($A$548:$A$603=M$730)*($H$544:$O$544=$D859)*($H$548:$O$603),0))</f>
        <v>0</v>
      </c>
      <c r="N859" s="1399">
        <f t="shared" si="211"/>
        <v>0</v>
      </c>
      <c r="O859" s="1399">
        <f t="array" ref="O859" xml:space="preserve"> SUM(($A$756:$A$763=$A859)*($F$730:$O$730=O$730)*($F$756:$O$763)) * SUM(IFERROR(($C$548:$C$603=$A859)*($A$548:$A$603=O$730)*($H$544:$O$544=$D859)*($H$548:$O$603),0))</f>
        <v>0</v>
      </c>
      <c r="Q859" s="670"/>
      <c r="R859" s="670"/>
      <c r="S859" s="670"/>
      <c r="T859" s="670"/>
      <c r="U859" s="670"/>
      <c r="V859" s="670"/>
      <c r="W859" s="670"/>
      <c r="X859" s="670"/>
      <c r="Y859" s="670"/>
    </row>
    <row r="860" spans="1:25" s="17" customFormat="1" hidden="1" outlineLevel="1">
      <c r="A860" s="1408" t="str">
        <f>INDEX($C$20:$C$27,MATCH($C859,$D$20:$D$27,0))</f>
        <v>IS</v>
      </c>
      <c r="B860" s="1400" t="str">
        <f>INDEX(EF[UK Vector],MATCH(D860,EF[SATIM Code],0))</f>
        <v>V.03</v>
      </c>
      <c r="C860" s="1401" t="str">
        <f>INDEX(Vectors[Description], MATCH($B860, Vectors[Code], 0))</f>
        <v>Solid hydrocarbons</v>
      </c>
      <c r="D860" s="1406" t="s">
        <v>882</v>
      </c>
      <c r="E860" s="1403"/>
      <c r="F860" s="1399">
        <f t="array" ref="F860" xml:space="preserve"> SUM(($A$756:$A$763=$A860)*($F$730:$O$730=F$730)*($F$756:$O$763)) * SUM(IFERROR(($C$548:$C$603=$A860)*($A$548:$A$603=F$730)*($H$544:$O$544=$D860)*($H$548:$O$603),0))</f>
        <v>80.237260776094757</v>
      </c>
      <c r="G860" s="1399">
        <f t="array" ref="G860" xml:space="preserve"> SUM(($A$756:$A$763=$A860)*($F$730:$O$730=G$730)*($F$756:$O$763)) * SUM(IFERROR(($C$548:$C$603=$A860)*($A$548:$A$603=G$730)*($H$544:$O$544=$D860)*($H$548:$O$603),0))</f>
        <v>92.919262672028424</v>
      </c>
      <c r="H860" s="1399">
        <f t="shared" si="208"/>
        <v>120.24477409335523</v>
      </c>
      <c r="I860" s="1399">
        <f t="array" ref="I860" xml:space="preserve"> SUM(($A$756:$A$763=$A860)*($F$730:$O$730=I$730)*($F$756:$O$763)) * SUM(IFERROR(($C$548:$C$603=$A860)*($A$548:$A$603=I$730)*($H$544:$O$544=$D860)*($H$548:$O$603),0))</f>
        <v>147.57028551468204</v>
      </c>
      <c r="J860" s="1399">
        <f t="shared" si="209"/>
        <v>190.29943299750508</v>
      </c>
      <c r="K860" s="1399">
        <f t="array" ref="K860" xml:space="preserve"> SUM(($A$756:$A$763=$A860)*($F$730:$O$730=K$730)*($F$756:$O$763)) * SUM(IFERROR(($C$548:$C$603=$A860)*($A$548:$A$603=K$730)*($H$544:$O$544=$D860)*($H$548:$O$603),0))</f>
        <v>233.02858048032812</v>
      </c>
      <c r="L860" s="1399">
        <f t="shared" si="210"/>
        <v>289.57893743510886</v>
      </c>
      <c r="M860" s="1399">
        <f t="array" ref="M860" xml:space="preserve"> SUM(($A$756:$A$763=$A860)*($F$730:$O$730=M$730)*($F$756:$O$763)) * SUM(IFERROR(($C$548:$C$603=$A860)*($A$548:$A$603=M$730)*($H$544:$O$544=$D860)*($H$548:$O$603),0))</f>
        <v>346.12929438988954</v>
      </c>
      <c r="N860" s="1399">
        <f t="shared" si="211"/>
        <v>412.23312527377084</v>
      </c>
      <c r="O860" s="1399">
        <f t="array" ref="O860" xml:space="preserve"> SUM(($A$756:$A$763=$A860)*($F$730:$O$730=O$730)*($F$756:$O$763)) * SUM(IFERROR(($C$548:$C$603=$A860)*($A$548:$A$603=O$730)*($H$544:$O$544=$D860)*($H$548:$O$603),0))</f>
        <v>478.33695615765208</v>
      </c>
      <c r="Q860" s="670"/>
      <c r="R860" s="670"/>
      <c r="S860" s="670"/>
      <c r="T860" s="670"/>
      <c r="U860" s="670"/>
      <c r="V860" s="670"/>
      <c r="W860" s="670"/>
      <c r="X860" s="670"/>
      <c r="Y860" s="670"/>
    </row>
    <row r="861" spans="1:25" s="17" customFormat="1" hidden="1" outlineLevel="1">
      <c r="A861" s="1401" t="str">
        <f t="shared" ref="A861:A867" si="213">A860</f>
        <v>IS</v>
      </c>
      <c r="B861" s="1400" t="str">
        <f>INDEX(EF[UK Vector],MATCH(D861,EF[SATIM Code],0))</f>
        <v>V.05</v>
      </c>
      <c r="C861" s="1401" t="str">
        <f>INDEX(Vectors[Description], MATCH($B861, Vectors[Code], 0))</f>
        <v>Gaseous hydrocarbons</v>
      </c>
      <c r="D861" s="1406" t="s">
        <v>869</v>
      </c>
      <c r="E861" s="1403"/>
      <c r="F861" s="1399">
        <f t="array" ref="F861" xml:space="preserve"> SUM(($A$756:$A$763=$A861)*($F$730:$O$730=F$730)*($F$756:$O$763)) * SUM(IFERROR(($C$548:$C$603=$A861)*($A$548:$A$603=F$730)*($H$544:$O$544=$D861)*($H$548:$O$603),0))</f>
        <v>15.822791999999998</v>
      </c>
      <c r="G861" s="1399">
        <f t="array" ref="G861" xml:space="preserve"> SUM(($A$756:$A$763=$A861)*($F$730:$O$730=G$730)*($F$756:$O$763)) * SUM(IFERROR(($C$548:$C$603=$A861)*($A$548:$A$603=G$730)*($H$544:$O$544=$D861)*($H$548:$O$603),0))</f>
        <v>18.323683433755779</v>
      </c>
      <c r="H861" s="1399">
        <f t="shared" si="208"/>
        <v>23.712275707859106</v>
      </c>
      <c r="I861" s="1399">
        <f t="array" ref="I861" xml:space="preserve"> SUM(($A$756:$A$763=$A861)*($F$730:$O$730=I$730)*($F$756:$O$763)) * SUM(IFERROR(($C$548:$C$603=$A861)*($A$548:$A$603=I$730)*($H$544:$O$544=$D861)*($H$548:$O$603),0))</f>
        <v>29.100867981962438</v>
      </c>
      <c r="J861" s="1399">
        <f t="shared" si="209"/>
        <v>37.527058088884218</v>
      </c>
      <c r="K861" s="1399">
        <f t="array" ref="K861" xml:space="preserve"> SUM(($A$756:$A$763=$A861)*($F$730:$O$730=K$730)*($F$756:$O$763)) * SUM(IFERROR(($C$548:$C$603=$A861)*($A$548:$A$603=K$730)*($H$544:$O$544=$D861)*($H$548:$O$603),0))</f>
        <v>45.95324819580599</v>
      </c>
      <c r="L861" s="1399">
        <f t="shared" si="210"/>
        <v>57.104981529751427</v>
      </c>
      <c r="M861" s="1399">
        <f t="array" ref="M861" xml:space="preserve"> SUM(($A$756:$A$763=$A861)*($F$730:$O$730=M$730)*($F$756:$O$763)) * SUM(IFERROR(($C$548:$C$603=$A861)*($A$548:$A$603=M$730)*($H$544:$O$544=$D861)*($H$548:$O$603),0))</f>
        <v>68.256714863696857</v>
      </c>
      <c r="N861" s="1399">
        <f t="shared" si="211"/>
        <v>81.292393753553114</v>
      </c>
      <c r="O861" s="1399">
        <f t="array" ref="O861" xml:space="preserve"> SUM(($A$756:$A$763=$A861)*($F$730:$O$730=O$730)*($F$756:$O$763)) * SUM(IFERROR(($C$548:$C$603=$A861)*($A$548:$A$603=O$730)*($H$544:$O$544=$D861)*($H$548:$O$603),0))</f>
        <v>94.328072643409357</v>
      </c>
      <c r="Q861" s="670"/>
      <c r="R861" s="670"/>
      <c r="S861" s="670"/>
      <c r="T861" s="670"/>
      <c r="U861" s="670"/>
      <c r="V861" s="670"/>
      <c r="W861" s="670"/>
      <c r="X861" s="670"/>
      <c r="Y861" s="670"/>
    </row>
    <row r="862" spans="1:25" s="17" customFormat="1" hidden="1" outlineLevel="1">
      <c r="A862" s="1401" t="str">
        <f t="shared" si="213"/>
        <v>IS</v>
      </c>
      <c r="B862" s="1400" t="str">
        <f>INDEX(EF[UK Vector],MATCH(D862,EF[SATIM Code],0))</f>
        <v>V.04</v>
      </c>
      <c r="C862" s="1401" t="str">
        <f>INDEX(Vectors[Description], MATCH($B862, Vectors[Code], 0))</f>
        <v>Liquid hydrocarbons</v>
      </c>
      <c r="D862" s="1406" t="s">
        <v>885</v>
      </c>
      <c r="E862" s="1403"/>
      <c r="F862" s="1399">
        <f t="array" ref="F862" xml:space="preserve"> SUM(($A$756:$A$763=$A862)*($F$730:$O$730=F$730)*($F$756:$O$763)) * SUM(IFERROR(($C$548:$C$603=$A862)*($A$548:$A$603=F$730)*($H$544:$O$544=$D862)*($H$548:$O$603),0))</f>
        <v>0</v>
      </c>
      <c r="G862" s="1399">
        <f t="array" ref="G862" xml:space="preserve"> SUM(($A$756:$A$763=$A862)*($F$730:$O$730=G$730)*($F$756:$O$763)) * SUM(IFERROR(($C$548:$C$603=$A862)*($A$548:$A$603=G$730)*($H$544:$O$544=$D862)*($H$548:$O$603),0))</f>
        <v>0</v>
      </c>
      <c r="H862" s="1399">
        <f t="shared" si="208"/>
        <v>0</v>
      </c>
      <c r="I862" s="1399">
        <f t="array" ref="I862" xml:space="preserve"> SUM(($A$756:$A$763=$A862)*($F$730:$O$730=I$730)*($F$756:$O$763)) * SUM(IFERROR(($C$548:$C$603=$A862)*($A$548:$A$603=I$730)*($H$544:$O$544=$D862)*($H$548:$O$603),0))</f>
        <v>0</v>
      </c>
      <c r="J862" s="1399">
        <f t="shared" si="209"/>
        <v>0</v>
      </c>
      <c r="K862" s="1399">
        <f t="array" ref="K862" xml:space="preserve"> SUM(($A$756:$A$763=$A862)*($F$730:$O$730=K$730)*($F$756:$O$763)) * SUM(IFERROR(($C$548:$C$603=$A862)*($A$548:$A$603=K$730)*($H$544:$O$544=$D862)*($H$548:$O$603),0))</f>
        <v>0</v>
      </c>
      <c r="L862" s="1399">
        <f t="shared" si="210"/>
        <v>0</v>
      </c>
      <c r="M862" s="1399">
        <f t="array" ref="M862" xml:space="preserve"> SUM(($A$756:$A$763=$A862)*($F$730:$O$730=M$730)*($F$756:$O$763)) * SUM(IFERROR(($C$548:$C$603=$A862)*($A$548:$A$603=M$730)*($H$544:$O$544=$D862)*($H$548:$O$603),0))</f>
        <v>0</v>
      </c>
      <c r="N862" s="1399">
        <f t="shared" si="211"/>
        <v>0</v>
      </c>
      <c r="O862" s="1399">
        <f t="array" ref="O862" xml:space="preserve"> SUM(($A$756:$A$763=$A862)*($F$730:$O$730=O$730)*($F$756:$O$763)) * SUM(IFERROR(($C$548:$C$603=$A862)*($A$548:$A$603=O$730)*($H$544:$O$544=$D862)*($H$548:$O$603),0))</f>
        <v>0</v>
      </c>
      <c r="Q862" s="670"/>
      <c r="R862" s="670"/>
      <c r="S862" s="670"/>
      <c r="T862" s="670"/>
      <c r="U862" s="670"/>
      <c r="V862" s="670"/>
      <c r="W862" s="670"/>
      <c r="X862" s="670"/>
      <c r="Y862" s="670"/>
    </row>
    <row r="863" spans="1:25" s="17" customFormat="1" hidden="1" outlineLevel="1">
      <c r="A863" s="1401" t="str">
        <f t="shared" si="213"/>
        <v>IS</v>
      </c>
      <c r="B863" s="1400" t="str">
        <f>INDEX(EF[UK Vector],MATCH(D863,EF[SATIM Code],0))</f>
        <v>V.04</v>
      </c>
      <c r="C863" s="1401" t="str">
        <f>INDEX(Vectors[Description], MATCH($B863, Vectors[Code], 0))</f>
        <v>Liquid hydrocarbons</v>
      </c>
      <c r="D863" s="1406" t="s">
        <v>887</v>
      </c>
      <c r="E863" s="1403"/>
      <c r="F863" s="1399">
        <f t="array" ref="F863" xml:space="preserve"> SUM(($A$756:$A$763=$A863)*($F$730:$O$730=F$730)*($F$756:$O$763)) * SUM(IFERROR(($C$548:$C$603=$A863)*($A$548:$A$603=F$730)*($H$544:$O$544=$D863)*($H$548:$O$603),0))</f>
        <v>2.7791999999999999</v>
      </c>
      <c r="G863" s="1399">
        <f t="array" ref="G863" xml:space="preserve"> SUM(($A$756:$A$763=$A863)*($F$730:$O$730=G$730)*($F$756:$O$763)) * SUM(IFERROR(($C$548:$C$603=$A863)*($A$548:$A$603=G$730)*($H$544:$O$544=$D863)*($H$548:$O$603),0))</f>
        <v>3.2184699766699878</v>
      </c>
      <c r="H863" s="1399">
        <f t="shared" si="208"/>
        <v>4.1649512075543971</v>
      </c>
      <c r="I863" s="1399">
        <f t="array" ref="I863" xml:space="preserve"> SUM(($A$756:$A$763=$A863)*($F$730:$O$730=I$730)*($F$756:$O$763)) * SUM(IFERROR(($C$548:$C$603=$A863)*($A$548:$A$603=I$730)*($H$544:$O$544=$D863)*($H$548:$O$603),0))</f>
        <v>5.1114324384388059</v>
      </c>
      <c r="J863" s="1399">
        <f t="shared" si="209"/>
        <v>6.5914536347710966</v>
      </c>
      <c r="K863" s="1399">
        <f t="array" ref="K863" xml:space="preserve"> SUM(($A$756:$A$763=$A863)*($F$730:$O$730=K$730)*($F$756:$O$763)) * SUM(IFERROR(($C$548:$C$603=$A863)*($A$548:$A$603=K$730)*($H$544:$O$544=$D863)*($H$548:$O$603),0))</f>
        <v>8.0714748311033873</v>
      </c>
      <c r="L863" s="1399">
        <f t="shared" si="210"/>
        <v>10.030225049250802</v>
      </c>
      <c r="M863" s="1399">
        <f t="array" ref="M863" xml:space="preserve"> SUM(($A$756:$A$763=$A863)*($F$730:$O$730=M$730)*($F$756:$O$763)) * SUM(IFERROR(($C$548:$C$603=$A863)*($A$548:$A$603=M$730)*($H$544:$O$544=$D863)*($H$548:$O$603),0))</f>
        <v>11.988975267398216</v>
      </c>
      <c r="N863" s="1399">
        <f t="shared" si="211"/>
        <v>14.27863178128581</v>
      </c>
      <c r="O863" s="1399">
        <f t="array" ref="O863" xml:space="preserve"> SUM(($A$756:$A$763=$A863)*($F$730:$O$730=O$730)*($F$756:$O$763)) * SUM(IFERROR(($C$548:$C$603=$A863)*($A$548:$A$603=O$730)*($H$544:$O$544=$D863)*($H$548:$O$603),0))</f>
        <v>16.568288295173403</v>
      </c>
      <c r="Q863" s="670"/>
      <c r="R863" s="670"/>
      <c r="S863" s="670"/>
      <c r="T863" s="670"/>
      <c r="U863" s="670"/>
      <c r="V863" s="670"/>
      <c r="W863" s="670"/>
      <c r="X863" s="670"/>
      <c r="Y863" s="670"/>
    </row>
    <row r="864" spans="1:25" s="17" customFormat="1" hidden="1" outlineLevel="1">
      <c r="A864" s="1401" t="str">
        <f t="shared" si="213"/>
        <v>IS</v>
      </c>
      <c r="B864" s="1400" t="str">
        <f>INDEX(EF[UK Vector],MATCH(D864,EF[SATIM Code],0))</f>
        <v>V.01</v>
      </c>
      <c r="C864" s="1401" t="str">
        <f>INDEX(Vectors[Description], MATCH($B864, Vectors[Code], 0))</f>
        <v>Electricity (delivered to end user)</v>
      </c>
      <c r="D864" s="1406" t="s">
        <v>879</v>
      </c>
      <c r="E864" s="1403"/>
      <c r="F864" s="1399">
        <f t="array" ref="F864" xml:space="preserve"> SUM(($A$756:$A$763=$A864)*($F$730:$O$730=F$730)*($F$756:$O$763)) * SUM(IFERROR(($C$548:$C$603=$A864)*($A$548:$A$603=F$730)*($H$544:$O$544=$D864)*($H$548:$O$603),0))</f>
        <v>0</v>
      </c>
      <c r="G864" s="1399">
        <f t="array" ref="G864" xml:space="preserve"> SUM(($A$756:$A$763=$A864)*($F$730:$O$730=G$730)*($F$756:$O$763)) * SUM(IFERROR(($C$548:$C$603=$A864)*($A$548:$A$603=G$730)*($H$544:$O$544=$D864)*($H$548:$O$603),0))</f>
        <v>0</v>
      </c>
      <c r="H864" s="1399">
        <f t="shared" si="208"/>
        <v>0</v>
      </c>
      <c r="I864" s="1399">
        <f t="array" ref="I864" xml:space="preserve"> SUM(($A$756:$A$763=$A864)*($F$730:$O$730=I$730)*($F$756:$O$763)) * SUM(IFERROR(($C$548:$C$603=$A864)*($A$548:$A$603=I$730)*($H$544:$O$544=$D864)*($H$548:$O$603),0))</f>
        <v>0</v>
      </c>
      <c r="J864" s="1399">
        <f t="shared" si="209"/>
        <v>0</v>
      </c>
      <c r="K864" s="1399">
        <f t="array" ref="K864" xml:space="preserve"> SUM(($A$756:$A$763=$A864)*($F$730:$O$730=K$730)*($F$756:$O$763)) * SUM(IFERROR(($C$548:$C$603=$A864)*($A$548:$A$603=K$730)*($H$544:$O$544=$D864)*($H$548:$O$603),0))</f>
        <v>0</v>
      </c>
      <c r="L864" s="1399">
        <f t="shared" si="210"/>
        <v>0</v>
      </c>
      <c r="M864" s="1399">
        <f t="array" ref="M864" xml:space="preserve"> SUM(($A$756:$A$763=$A864)*($F$730:$O$730=M$730)*($F$756:$O$763)) * SUM(IFERROR(($C$548:$C$603=$A864)*($A$548:$A$603=M$730)*($H$544:$O$544=$D864)*($H$548:$O$603),0))</f>
        <v>0</v>
      </c>
      <c r="N864" s="1399">
        <f t="shared" si="211"/>
        <v>0</v>
      </c>
      <c r="O864" s="1399">
        <f t="array" ref="O864" xml:space="preserve"> SUM(($A$756:$A$763=$A864)*($F$730:$O$730=O$730)*($F$756:$O$763)) * SUM(IFERROR(($C$548:$C$603=$A864)*($A$548:$A$603=O$730)*($H$544:$O$544=$D864)*($H$548:$O$603),0))</f>
        <v>0</v>
      </c>
      <c r="Q864" s="670"/>
      <c r="R864" s="670"/>
      <c r="S864" s="670"/>
      <c r="T864" s="670"/>
      <c r="U864" s="670"/>
      <c r="V864" s="670"/>
      <c r="W864" s="670"/>
      <c r="X864" s="670"/>
      <c r="Y864" s="670"/>
    </row>
    <row r="865" spans="1:25" s="17" customFormat="1" hidden="1" outlineLevel="1">
      <c r="A865" s="1401" t="str">
        <f t="shared" si="213"/>
        <v>IS</v>
      </c>
      <c r="B865" s="1400" t="str">
        <f>INDEX(EF[UK Vector],MATCH(D865,EF[SATIM Code],0))</f>
        <v>V.09</v>
      </c>
      <c r="C865" s="1401" t="str">
        <f>INDEX(Vectors[Description], MATCH($B865, Vectors[Code], 0))</f>
        <v>Dry biomass and waste</v>
      </c>
      <c r="D865" s="1406" t="s">
        <v>888</v>
      </c>
      <c r="E865" s="1403"/>
      <c r="F865" s="1399">
        <f t="array" ref="F865" xml:space="preserve"> SUM(($A$756:$A$763=$A865)*($F$730:$O$730=F$730)*($F$756:$O$763)) * SUM(IFERROR(($C$548:$C$603=$A865)*($A$548:$A$603=F$730)*($H$544:$O$544=$D865)*($H$548:$O$603),0))</f>
        <v>0</v>
      </c>
      <c r="G865" s="1399">
        <f t="array" ref="G865" xml:space="preserve"> SUM(($A$756:$A$763=$A865)*($F$730:$O$730=G$730)*($F$756:$O$763)) * SUM(IFERROR(($C$548:$C$603=$A865)*($A$548:$A$603=G$730)*($H$544:$O$544=$D865)*($H$548:$O$603),0))</f>
        <v>0</v>
      </c>
      <c r="H865" s="1399">
        <f t="shared" si="208"/>
        <v>0</v>
      </c>
      <c r="I865" s="1399">
        <f t="array" ref="I865" xml:space="preserve"> SUM(($A$756:$A$763=$A865)*($F$730:$O$730=I$730)*($F$756:$O$763)) * SUM(IFERROR(($C$548:$C$603=$A865)*($A$548:$A$603=I$730)*($H$544:$O$544=$D865)*($H$548:$O$603),0))</f>
        <v>0</v>
      </c>
      <c r="J865" s="1399">
        <f t="shared" si="209"/>
        <v>0</v>
      </c>
      <c r="K865" s="1399">
        <f t="array" ref="K865" xml:space="preserve"> SUM(($A$756:$A$763=$A865)*($F$730:$O$730=K$730)*($F$756:$O$763)) * SUM(IFERROR(($C$548:$C$603=$A865)*($A$548:$A$603=K$730)*($H$544:$O$544=$D865)*($H$548:$O$603),0))</f>
        <v>0</v>
      </c>
      <c r="L865" s="1399">
        <f t="shared" si="210"/>
        <v>0</v>
      </c>
      <c r="M865" s="1399">
        <f t="array" ref="M865" xml:space="preserve"> SUM(($A$756:$A$763=$A865)*($F$730:$O$730=M$730)*($F$756:$O$763)) * SUM(IFERROR(($C$548:$C$603=$A865)*($A$548:$A$603=M$730)*($H$544:$O$544=$D865)*($H$548:$O$603),0))</f>
        <v>0</v>
      </c>
      <c r="N865" s="1399">
        <f t="shared" si="211"/>
        <v>0</v>
      </c>
      <c r="O865" s="1399">
        <f t="array" ref="O865" xml:space="preserve"> SUM(($A$756:$A$763=$A865)*($F$730:$O$730=O$730)*($F$756:$O$763)) * SUM(IFERROR(($C$548:$C$603=$A865)*($A$548:$A$603=O$730)*($H$544:$O$544=$D865)*($H$548:$O$603),0))</f>
        <v>0</v>
      </c>
      <c r="Q865" s="670"/>
      <c r="R865" s="670"/>
      <c r="S865" s="670"/>
      <c r="T865" s="670"/>
      <c r="U865" s="670"/>
      <c r="V865" s="670"/>
      <c r="W865" s="670"/>
      <c r="X865" s="670"/>
      <c r="Y865" s="670"/>
    </row>
    <row r="866" spans="1:25" s="17" customFormat="1" hidden="1" outlineLevel="1">
      <c r="A866" s="1401" t="str">
        <f t="shared" si="213"/>
        <v>IS</v>
      </c>
      <c r="B866" s="1400" t="str">
        <f>INDEX(EF[UK Vector],MATCH(D866,EF[SATIM Code],0))</f>
        <v>V.09</v>
      </c>
      <c r="C866" s="1401" t="str">
        <f>INDEX(Vectors[Description], MATCH($B866, Vectors[Code], 0))</f>
        <v>Dry biomass and waste</v>
      </c>
      <c r="D866" s="1406" t="s">
        <v>889</v>
      </c>
      <c r="E866" s="1403"/>
      <c r="F866" s="1399">
        <f t="array" ref="F866" xml:space="preserve"> SUM(($A$756:$A$763=$A866)*($F$730:$O$730=F$730)*($F$756:$O$763)) * SUM(IFERROR(($C$548:$C$603=$A866)*($A$548:$A$603=F$730)*($H$544:$O$544=$D866)*($H$548:$O$603),0))</f>
        <v>0</v>
      </c>
      <c r="G866" s="1399">
        <f t="array" ref="G866" xml:space="preserve"> SUM(($A$756:$A$763=$A866)*($F$730:$O$730=G$730)*($F$756:$O$763)) * SUM(IFERROR(($C$548:$C$603=$A866)*($A$548:$A$603=G$730)*($H$544:$O$544=$D866)*($H$548:$O$603),0))</f>
        <v>0</v>
      </c>
      <c r="H866" s="1399">
        <f t="shared" si="208"/>
        <v>0</v>
      </c>
      <c r="I866" s="1399">
        <f t="array" ref="I866" xml:space="preserve"> SUM(($A$756:$A$763=$A866)*($F$730:$O$730=I$730)*($F$756:$O$763)) * SUM(IFERROR(($C$548:$C$603=$A866)*($A$548:$A$603=I$730)*($H$544:$O$544=$D866)*($H$548:$O$603),0))</f>
        <v>0</v>
      </c>
      <c r="J866" s="1399">
        <f t="shared" si="209"/>
        <v>0</v>
      </c>
      <c r="K866" s="1399">
        <f t="array" ref="K866" xml:space="preserve"> SUM(($A$756:$A$763=$A866)*($F$730:$O$730=K$730)*($F$756:$O$763)) * SUM(IFERROR(($C$548:$C$603=$A866)*($A$548:$A$603=K$730)*($H$544:$O$544=$D866)*($H$548:$O$603),0))</f>
        <v>0</v>
      </c>
      <c r="L866" s="1399">
        <f t="shared" si="210"/>
        <v>0</v>
      </c>
      <c r="M866" s="1399">
        <f t="array" ref="M866" xml:space="preserve"> SUM(($A$756:$A$763=$A866)*($F$730:$O$730=M$730)*($F$756:$O$763)) * SUM(IFERROR(($C$548:$C$603=$A866)*($A$548:$A$603=M$730)*($H$544:$O$544=$D866)*($H$548:$O$603),0))</f>
        <v>0</v>
      </c>
      <c r="N866" s="1399">
        <f t="shared" si="211"/>
        <v>0</v>
      </c>
      <c r="O866" s="1399">
        <f t="array" ref="O866" xml:space="preserve"> SUM(($A$756:$A$763=$A866)*($F$730:$O$730=O$730)*($F$756:$O$763)) * SUM(IFERROR(($C$548:$C$603=$A866)*($A$548:$A$603=O$730)*($H$544:$O$544=$D866)*($H$548:$O$603),0))</f>
        <v>0</v>
      </c>
      <c r="Q866" s="670"/>
      <c r="R866" s="670"/>
      <c r="S866" s="670"/>
      <c r="T866" s="670"/>
      <c r="U866" s="670"/>
      <c r="V866" s="670"/>
      <c r="W866" s="670"/>
      <c r="X866" s="670"/>
      <c r="Y866" s="670"/>
    </row>
    <row r="867" spans="1:25" s="17" customFormat="1" hidden="1" outlineLevel="1">
      <c r="A867" s="1401" t="str">
        <f t="shared" si="213"/>
        <v>IS</v>
      </c>
      <c r="B867" s="1400" t="s">
        <v>897</v>
      </c>
      <c r="C867" s="1401" t="str">
        <f>INDEX(Vectors[Description], MATCH($B867, Vectors[Code], 0))</f>
        <v>Other Waste</v>
      </c>
      <c r="D867" s="1408" t="s">
        <v>890</v>
      </c>
      <c r="E867" s="1403"/>
      <c r="F867" s="1399">
        <f t="array" ref="F867" xml:space="preserve"> SUM(($A$756:$A$763=$A867)*($F$730:$O$730=F$730)*($F$756:$O$763)) * SUM(IFERROR(($C$548:$C$603=$A867)*($A$548:$A$603=F$730)*($H$544:$O$544=$D867)*($H$548:$O$603),0))</f>
        <v>0</v>
      </c>
      <c r="G867" s="1399">
        <f t="array" ref="G867" xml:space="preserve"> SUM(($A$756:$A$763=$A867)*($F$730:$O$730=G$730)*($F$756:$O$763)) * SUM(IFERROR(($C$548:$C$603=$A867)*($A$548:$A$603=G$730)*($H$544:$O$544=$D867)*($H$548:$O$603),0))</f>
        <v>0</v>
      </c>
      <c r="H867" s="1399">
        <f t="shared" si="208"/>
        <v>0</v>
      </c>
      <c r="I867" s="1399">
        <f t="array" ref="I867" xml:space="preserve"> SUM(($A$756:$A$763=$A867)*($F$730:$O$730=I$730)*($F$756:$O$763)) * SUM(IFERROR(($C$548:$C$603=$A867)*($A$548:$A$603=I$730)*($H$544:$O$544=$D867)*($H$548:$O$603),0))</f>
        <v>0</v>
      </c>
      <c r="J867" s="1399">
        <f t="shared" si="209"/>
        <v>0</v>
      </c>
      <c r="K867" s="1399">
        <f t="array" ref="K867" xml:space="preserve"> SUM(($A$756:$A$763=$A867)*($F$730:$O$730=K$730)*($F$756:$O$763)) * SUM(IFERROR(($C$548:$C$603=$A867)*($A$548:$A$603=K$730)*($H$544:$O$544=$D867)*($H$548:$O$603),0))</f>
        <v>0</v>
      </c>
      <c r="L867" s="1399">
        <f t="shared" si="210"/>
        <v>0</v>
      </c>
      <c r="M867" s="1399">
        <f t="array" ref="M867" xml:space="preserve"> SUM(($A$756:$A$763=$A867)*($F$730:$O$730=M$730)*($F$756:$O$763)) * SUM(IFERROR(($C$548:$C$603=$A867)*($A$548:$A$603=M$730)*($H$544:$O$544=$D867)*($H$548:$O$603),0))</f>
        <v>0</v>
      </c>
      <c r="N867" s="1399">
        <f t="shared" si="211"/>
        <v>0</v>
      </c>
      <c r="O867" s="1399">
        <f t="array" ref="O867" xml:space="preserve"> SUM(($A$756:$A$763=$A867)*($F$730:$O$730=O$730)*($F$756:$O$763)) * SUM(IFERROR(($C$548:$C$603=$A867)*($A$548:$A$603=O$730)*($H$544:$O$544=$D867)*($H$548:$O$603),0))</f>
        <v>0</v>
      </c>
      <c r="Q867" s="670"/>
      <c r="R867" s="670"/>
      <c r="S867" s="670"/>
      <c r="T867" s="670"/>
      <c r="U867" s="670"/>
      <c r="V867" s="670"/>
      <c r="W867" s="670"/>
      <c r="X867" s="670"/>
      <c r="Y867" s="670"/>
    </row>
    <row r="868" spans="1:25" s="17" customFormat="1" hidden="1" outlineLevel="1">
      <c r="A868" s="1401"/>
      <c r="B868" s="1400"/>
      <c r="C868" s="1401"/>
      <c r="D868" s="1406"/>
      <c r="E868" s="1403"/>
      <c r="F868" s="1399">
        <f t="array" ref="F868" xml:space="preserve"> SUM(($A$756:$A$763=$A868)*($F$730:$O$730=F$730)*($F$756:$O$763)) * SUM(IFERROR(($C$548:$C$603=$A868)*($A$548:$A$603=F$730)*($H$544:$O$544=$D868)*($H$548:$O$603),0))</f>
        <v>0</v>
      </c>
      <c r="G868" s="1399">
        <f t="array" ref="G868" xml:space="preserve"> SUM(($A$756:$A$763=$A868)*($F$730:$O$730=G$730)*($F$756:$O$763)) * SUM(IFERROR(($C$548:$C$603=$A868)*($A$548:$A$603=G$730)*($H$544:$O$544=$D868)*($H$548:$O$603),0))</f>
        <v>0</v>
      </c>
      <c r="H868" s="1399">
        <f t="shared" si="208"/>
        <v>0</v>
      </c>
      <c r="I868" s="1399">
        <f t="array" ref="I868" xml:space="preserve"> SUM(($A$756:$A$763=$A868)*($F$730:$O$730=I$730)*($F$756:$O$763)) * SUM(IFERROR(($C$548:$C$603=$A868)*($A$548:$A$603=I$730)*($H$544:$O$544=$D868)*($H$548:$O$603),0))</f>
        <v>0</v>
      </c>
      <c r="J868" s="1399">
        <f t="shared" si="209"/>
        <v>0</v>
      </c>
      <c r="K868" s="1399">
        <f t="array" ref="K868" xml:space="preserve"> SUM(($A$756:$A$763=$A868)*($F$730:$O$730=K$730)*($F$756:$O$763)) * SUM(IFERROR(($C$548:$C$603=$A868)*($A$548:$A$603=K$730)*($H$544:$O$544=$D868)*($H$548:$O$603),0))</f>
        <v>0</v>
      </c>
      <c r="L868" s="1399">
        <f t="shared" si="210"/>
        <v>0</v>
      </c>
      <c r="M868" s="1399">
        <f t="array" ref="M868" xml:space="preserve"> SUM(($A$756:$A$763=$A868)*($F$730:$O$730=M$730)*($F$756:$O$763)) * SUM(IFERROR(($C$548:$C$603=$A868)*($A$548:$A$603=M$730)*($H$544:$O$544=$D868)*($H$548:$O$603),0))</f>
        <v>0</v>
      </c>
      <c r="N868" s="1399">
        <f t="shared" si="211"/>
        <v>0</v>
      </c>
      <c r="O868" s="1399">
        <f t="array" ref="O868" xml:space="preserve"> SUM(($A$756:$A$763=$A868)*($F$730:$O$730=O$730)*($F$756:$O$763)) * SUM(IFERROR(($C$548:$C$603=$A868)*($A$548:$A$603=O$730)*($H$544:$O$544=$D868)*($H$548:$O$603),0))</f>
        <v>0</v>
      </c>
      <c r="Q868" s="670"/>
      <c r="R868" s="670"/>
      <c r="S868" s="670"/>
      <c r="T868" s="670"/>
      <c r="U868" s="670"/>
      <c r="V868" s="670"/>
      <c r="W868" s="670"/>
      <c r="X868" s="670"/>
      <c r="Y868" s="670"/>
    </row>
    <row r="869" spans="1:25" s="17" customFormat="1" hidden="1" outlineLevel="1">
      <c r="A869" s="1408"/>
      <c r="B869" s="1407"/>
      <c r="C869" s="1407" t="str">
        <f>D22</f>
        <v>Chemicals  -33</v>
      </c>
      <c r="D869" s="1408"/>
      <c r="E869" s="1403"/>
      <c r="F869" s="1399">
        <f t="array" ref="F869" xml:space="preserve"> SUM(($A$756:$A$763=$A869)*($F$730:$O$730=F$730)*($F$756:$O$763)) * SUM(IFERROR(($C$548:$C$603=$A869)*($A$548:$A$603=F$730)*($H$544:$O$544=$D869)*($H$548:$O$603),0))</f>
        <v>0</v>
      </c>
      <c r="G869" s="1399">
        <f t="array" ref="G869" xml:space="preserve"> SUM(($A$756:$A$763=$A869)*($F$730:$O$730=G$730)*($F$756:$O$763)) * SUM(IFERROR(($C$548:$C$603=$A869)*($A$548:$A$603=G$730)*($H$544:$O$544=$D869)*($H$548:$O$603),0))</f>
        <v>0</v>
      </c>
      <c r="H869" s="1399">
        <f t="shared" si="208"/>
        <v>0</v>
      </c>
      <c r="I869" s="1399">
        <f t="array" ref="I869" xml:space="preserve"> SUM(($A$756:$A$763=$A869)*($F$730:$O$730=I$730)*($F$756:$O$763)) * SUM(IFERROR(($C$548:$C$603=$A869)*($A$548:$A$603=I$730)*($H$544:$O$544=$D869)*($H$548:$O$603),0))</f>
        <v>0</v>
      </c>
      <c r="J869" s="1399">
        <f t="shared" si="209"/>
        <v>0</v>
      </c>
      <c r="K869" s="1399">
        <f t="array" ref="K869" xml:space="preserve"> SUM(($A$756:$A$763=$A869)*($F$730:$O$730=K$730)*($F$756:$O$763)) * SUM(IFERROR(($C$548:$C$603=$A869)*($A$548:$A$603=K$730)*($H$544:$O$544=$D869)*($H$548:$O$603),0))</f>
        <v>0</v>
      </c>
      <c r="L869" s="1399">
        <f t="shared" si="210"/>
        <v>0</v>
      </c>
      <c r="M869" s="1399">
        <f t="array" ref="M869" xml:space="preserve"> SUM(($A$756:$A$763=$A869)*($F$730:$O$730=M$730)*($F$756:$O$763)) * SUM(IFERROR(($C$548:$C$603=$A869)*($A$548:$A$603=M$730)*($H$544:$O$544=$D869)*($H$548:$O$603),0))</f>
        <v>0</v>
      </c>
      <c r="N869" s="1399">
        <f t="shared" si="211"/>
        <v>0</v>
      </c>
      <c r="O869" s="1399">
        <f t="array" ref="O869" xml:space="preserve"> SUM(($A$756:$A$763=$A869)*($F$730:$O$730=O$730)*($F$756:$O$763)) * SUM(IFERROR(($C$548:$C$603=$A869)*($A$548:$A$603=O$730)*($H$544:$O$544=$D869)*($H$548:$O$603),0))</f>
        <v>0</v>
      </c>
      <c r="Q869" s="670"/>
      <c r="R869" s="670"/>
      <c r="S869" s="670"/>
      <c r="T869" s="670"/>
      <c r="U869" s="670"/>
      <c r="V869" s="670"/>
      <c r="W869" s="670"/>
      <c r="X869" s="670"/>
      <c r="Y869" s="670"/>
    </row>
    <row r="870" spans="1:25" s="17" customFormat="1" hidden="1" outlineLevel="1">
      <c r="A870" s="1408" t="str">
        <f>INDEX($C$20:$C$27,MATCH($C869,$D$20:$D$27,0))</f>
        <v>CP</v>
      </c>
      <c r="B870" s="1400" t="str">
        <f>INDEX(EF[UK Vector],MATCH(D870,EF[SATIM Code],0))</f>
        <v>V.03</v>
      </c>
      <c r="C870" s="1401" t="str">
        <f>INDEX(Vectors[Description], MATCH($B870, Vectors[Code], 0))</f>
        <v>Solid hydrocarbons</v>
      </c>
      <c r="D870" s="1406" t="s">
        <v>882</v>
      </c>
      <c r="E870" s="1403"/>
      <c r="F870" s="1399">
        <f t="array" ref="F870" xml:space="preserve"> SUM(($A$756:$A$763=$A870)*($F$730:$O$730=F$730)*($F$756:$O$763)) * SUM(IFERROR(($C$548:$C$603=$A870)*($A$548:$A$603=F$730)*($H$544:$O$544=$D870)*($H$548:$O$603),0))</f>
        <v>32.538810239999997</v>
      </c>
      <c r="G870" s="1399">
        <f t="array" ref="G870" xml:space="preserve"> SUM(($A$756:$A$763=$A870)*($F$730:$O$730=G$730)*($F$756:$O$763)) * SUM(IFERROR(($C$548:$C$603=$A870)*($A$548:$A$603=G$730)*($H$544:$O$544=$D870)*($H$548:$O$603),0))</f>
        <v>37.138754822338157</v>
      </c>
      <c r="H870" s="1399">
        <f t="shared" si="208"/>
        <v>41.089792477619739</v>
      </c>
      <c r="I870" s="1399">
        <f t="array" ref="I870" xml:space="preserve"> SUM(($A$756:$A$763=$A870)*($F$730:$O$730=I$730)*($F$756:$O$763)) * SUM(IFERROR(($C$548:$C$603=$A870)*($A$548:$A$603=I$730)*($H$544:$O$544=$D870)*($H$548:$O$603),0))</f>
        <v>45.04083013290132</v>
      </c>
      <c r="J870" s="1399">
        <f t="shared" si="209"/>
        <v>50.543490727889747</v>
      </c>
      <c r="K870" s="1399">
        <f t="array" ref="K870" xml:space="preserve"> SUM(($A$756:$A$763=$A870)*($F$730:$O$730=K$730)*($F$756:$O$763)) * SUM(IFERROR(($C$548:$C$603=$A870)*($A$548:$A$603=K$730)*($H$544:$O$544=$D870)*($H$548:$O$603),0))</f>
        <v>56.046151322878167</v>
      </c>
      <c r="L870" s="1399">
        <f t="shared" si="210"/>
        <v>67.556262913626654</v>
      </c>
      <c r="M870" s="1399">
        <f t="array" ref="M870" xml:space="preserve"> SUM(($A$756:$A$763=$A870)*($F$730:$O$730=M$730)*($F$756:$O$763)) * SUM(IFERROR(($C$548:$C$603=$A870)*($A$548:$A$603=M$730)*($H$544:$O$544=$D870)*($H$548:$O$603),0))</f>
        <v>79.066374504375133</v>
      </c>
      <c r="N870" s="1399">
        <f t="shared" si="211"/>
        <v>90.394818838241761</v>
      </c>
      <c r="O870" s="1399">
        <f t="array" ref="O870" xml:space="preserve"> SUM(($A$756:$A$763=$A870)*($F$730:$O$730=O$730)*($F$756:$O$763)) * SUM(IFERROR(($C$548:$C$603=$A870)*($A$548:$A$603=O$730)*($H$544:$O$544=$D870)*($H$548:$O$603),0))</f>
        <v>101.72326317210839</v>
      </c>
      <c r="Q870" s="670"/>
      <c r="R870" s="670"/>
      <c r="S870" s="670"/>
      <c r="T870" s="670"/>
      <c r="U870" s="670"/>
      <c r="V870" s="670"/>
      <c r="W870" s="670"/>
      <c r="X870" s="670"/>
      <c r="Y870" s="670"/>
    </row>
    <row r="871" spans="1:25" s="17" customFormat="1" hidden="1" outlineLevel="1">
      <c r="A871" s="1401" t="str">
        <f t="shared" ref="A871:A877" si="214">A870</f>
        <v>CP</v>
      </c>
      <c r="B871" s="1400" t="str">
        <f>INDEX(EF[UK Vector],MATCH(D871,EF[SATIM Code],0))</f>
        <v>V.05</v>
      </c>
      <c r="C871" s="1401" t="str">
        <f>INDEX(Vectors[Description], MATCH($B871, Vectors[Code], 0))</f>
        <v>Gaseous hydrocarbons</v>
      </c>
      <c r="D871" s="1406" t="s">
        <v>869</v>
      </c>
      <c r="E871" s="1403"/>
      <c r="F871" s="1399">
        <f t="array" ref="F871" xml:space="preserve"> SUM(($A$756:$A$763=$A871)*($F$730:$O$730=F$730)*($F$756:$O$763)) * SUM(IFERROR(($C$548:$C$603=$A871)*($A$548:$A$603=F$730)*($H$544:$O$544=$D871)*($H$548:$O$603),0))</f>
        <v>42.5677752</v>
      </c>
      <c r="G871" s="1399">
        <f t="array" ref="G871" xml:space="preserve"> SUM(($A$756:$A$763=$A871)*($F$730:$O$730=G$730)*($F$756:$O$763)) * SUM(IFERROR(($C$548:$C$603=$A871)*($A$548:$A$603=G$730)*($H$544:$O$544=$D871)*($H$548:$O$603),0))</f>
        <v>48.585493901734196</v>
      </c>
      <c r="H871" s="1399">
        <f t="shared" si="208"/>
        <v>53.754302517545511</v>
      </c>
      <c r="I871" s="1399">
        <f t="array" ref="I871" xml:space="preserve"> SUM(($A$756:$A$763=$A871)*($F$730:$O$730=I$730)*($F$756:$O$763)) * SUM(IFERROR(($C$548:$C$603=$A871)*($A$548:$A$603=I$730)*($H$544:$O$544=$D871)*($H$548:$O$603),0))</f>
        <v>58.923111133356826</v>
      </c>
      <c r="J871" s="1399">
        <f t="shared" si="209"/>
        <v>66.12177689530958</v>
      </c>
      <c r="K871" s="1399">
        <f t="array" ref="K871" xml:space="preserve"> SUM(($A$756:$A$763=$A871)*($F$730:$O$730=K$730)*($F$756:$O$763)) * SUM(IFERROR(($C$548:$C$603=$A871)*($A$548:$A$603=K$730)*($H$544:$O$544=$D871)*($H$548:$O$603),0))</f>
        <v>73.320442657262319</v>
      </c>
      <c r="L871" s="1399">
        <f t="shared" si="210"/>
        <v>88.378148796732262</v>
      </c>
      <c r="M871" s="1399">
        <f t="array" ref="M871" xml:space="preserve"> SUM(($A$756:$A$763=$A871)*($F$730:$O$730=M$730)*($F$756:$O$763)) * SUM(IFERROR(($C$548:$C$603=$A871)*($A$548:$A$603=M$730)*($H$544:$O$544=$D871)*($H$548:$O$603),0))</f>
        <v>103.43585493620222</v>
      </c>
      <c r="N871" s="1399">
        <f t="shared" si="211"/>
        <v>118.25590115832703</v>
      </c>
      <c r="O871" s="1399">
        <f t="array" ref="O871" xml:space="preserve"> SUM(($A$756:$A$763=$A871)*($F$730:$O$730=O$730)*($F$756:$O$763)) * SUM(IFERROR(($C$548:$C$603=$A871)*($A$548:$A$603=O$730)*($H$544:$O$544=$D871)*($H$548:$O$603),0))</f>
        <v>133.07594738045185</v>
      </c>
      <c r="Q871" s="670"/>
      <c r="R871" s="670"/>
      <c r="S871" s="670"/>
      <c r="T871" s="670"/>
      <c r="U871" s="670"/>
      <c r="V871" s="670"/>
      <c r="W871" s="670"/>
      <c r="X871" s="670"/>
      <c r="Y871" s="670"/>
    </row>
    <row r="872" spans="1:25" s="17" customFormat="1" hidden="1" outlineLevel="1">
      <c r="A872" s="1401" t="str">
        <f t="shared" si="214"/>
        <v>CP</v>
      </c>
      <c r="B872" s="1400" t="str">
        <f>INDEX(EF[UK Vector],MATCH(D872,EF[SATIM Code],0))</f>
        <v>V.04</v>
      </c>
      <c r="C872" s="1401" t="str">
        <f>INDEX(Vectors[Description], MATCH($B872, Vectors[Code], 0))</f>
        <v>Liquid hydrocarbons</v>
      </c>
      <c r="D872" s="1406" t="s">
        <v>885</v>
      </c>
      <c r="E872" s="1403"/>
      <c r="F872" s="1399">
        <f t="array" ref="F872" xml:space="preserve"> SUM(($A$756:$A$763=$A872)*($F$730:$O$730=F$730)*($F$756:$O$763)) * SUM(IFERROR(($C$548:$C$603=$A872)*($A$548:$A$603=F$730)*($H$544:$O$544=$D872)*($H$548:$O$603),0))</f>
        <v>0</v>
      </c>
      <c r="G872" s="1399">
        <f t="array" ref="G872" xml:space="preserve"> SUM(($A$756:$A$763=$A872)*($F$730:$O$730=G$730)*($F$756:$O$763)) * SUM(IFERROR(($C$548:$C$603=$A872)*($A$548:$A$603=G$730)*($H$544:$O$544=$D872)*($H$548:$O$603),0))</f>
        <v>0</v>
      </c>
      <c r="H872" s="1399">
        <f t="shared" si="208"/>
        <v>0</v>
      </c>
      <c r="I872" s="1399">
        <f t="array" ref="I872" xml:space="preserve"> SUM(($A$756:$A$763=$A872)*($F$730:$O$730=I$730)*($F$756:$O$763)) * SUM(IFERROR(($C$548:$C$603=$A872)*($A$548:$A$603=I$730)*($H$544:$O$544=$D872)*($H$548:$O$603),0))</f>
        <v>0</v>
      </c>
      <c r="J872" s="1399">
        <f t="shared" si="209"/>
        <v>0</v>
      </c>
      <c r="K872" s="1399">
        <f t="array" ref="K872" xml:space="preserve"> SUM(($A$756:$A$763=$A872)*($F$730:$O$730=K$730)*($F$756:$O$763)) * SUM(IFERROR(($C$548:$C$603=$A872)*($A$548:$A$603=K$730)*($H$544:$O$544=$D872)*($H$548:$O$603),0))</f>
        <v>0</v>
      </c>
      <c r="L872" s="1399">
        <f t="shared" si="210"/>
        <v>0</v>
      </c>
      <c r="M872" s="1399">
        <f t="array" ref="M872" xml:space="preserve"> SUM(($A$756:$A$763=$A872)*($F$730:$O$730=M$730)*($F$756:$O$763)) * SUM(IFERROR(($C$548:$C$603=$A872)*($A$548:$A$603=M$730)*($H$544:$O$544=$D872)*($H$548:$O$603),0))</f>
        <v>0</v>
      </c>
      <c r="N872" s="1399">
        <f t="shared" si="211"/>
        <v>0</v>
      </c>
      <c r="O872" s="1399">
        <f t="array" ref="O872" xml:space="preserve"> SUM(($A$756:$A$763=$A872)*($F$730:$O$730=O$730)*($F$756:$O$763)) * SUM(IFERROR(($C$548:$C$603=$A872)*($A$548:$A$603=O$730)*($H$544:$O$544=$D872)*($H$548:$O$603),0))</f>
        <v>0</v>
      </c>
      <c r="Q872" s="670"/>
      <c r="R872" s="670"/>
      <c r="S872" s="670"/>
      <c r="T872" s="670"/>
      <c r="U872" s="670"/>
      <c r="V872" s="670"/>
      <c r="W872" s="670"/>
      <c r="X872" s="670"/>
      <c r="Y872" s="670"/>
    </row>
    <row r="873" spans="1:25" s="17" customFormat="1" hidden="1" outlineLevel="1">
      <c r="A873" s="1401" t="str">
        <f t="shared" si="214"/>
        <v>CP</v>
      </c>
      <c r="B873" s="1400" t="str">
        <f>INDEX(EF[UK Vector],MATCH(D873,EF[SATIM Code],0))</f>
        <v>V.04</v>
      </c>
      <c r="C873" s="1401" t="str">
        <f>INDEX(Vectors[Description], MATCH($B873, Vectors[Code], 0))</f>
        <v>Liquid hydrocarbons</v>
      </c>
      <c r="D873" s="1406" t="s">
        <v>887</v>
      </c>
      <c r="E873" s="1403"/>
      <c r="F873" s="1399">
        <f t="array" ref="F873" xml:space="preserve"> SUM(($A$756:$A$763=$A873)*($F$730:$O$730=F$730)*($F$756:$O$763)) * SUM(IFERROR(($C$548:$C$603=$A873)*($A$548:$A$603=F$730)*($H$544:$O$544=$D873)*($H$548:$O$603),0))</f>
        <v>0</v>
      </c>
      <c r="G873" s="1399">
        <f t="array" ref="G873" xml:space="preserve"> SUM(($A$756:$A$763=$A873)*($F$730:$O$730=G$730)*($F$756:$O$763)) * SUM(IFERROR(($C$548:$C$603=$A873)*($A$548:$A$603=G$730)*($H$544:$O$544=$D873)*($H$548:$O$603),0))</f>
        <v>0</v>
      </c>
      <c r="H873" s="1399">
        <f t="shared" si="208"/>
        <v>0</v>
      </c>
      <c r="I873" s="1399">
        <f t="array" ref="I873" xml:space="preserve"> SUM(($A$756:$A$763=$A873)*($F$730:$O$730=I$730)*($F$756:$O$763)) * SUM(IFERROR(($C$548:$C$603=$A873)*($A$548:$A$603=I$730)*($H$544:$O$544=$D873)*($H$548:$O$603),0))</f>
        <v>0</v>
      </c>
      <c r="J873" s="1399">
        <f t="shared" si="209"/>
        <v>0</v>
      </c>
      <c r="K873" s="1399">
        <f t="array" ref="K873" xml:space="preserve"> SUM(($A$756:$A$763=$A873)*($F$730:$O$730=K$730)*($F$756:$O$763)) * SUM(IFERROR(($C$548:$C$603=$A873)*($A$548:$A$603=K$730)*($H$544:$O$544=$D873)*($H$548:$O$603),0))</f>
        <v>0</v>
      </c>
      <c r="L873" s="1399">
        <f t="shared" si="210"/>
        <v>0</v>
      </c>
      <c r="M873" s="1399">
        <f t="array" ref="M873" xml:space="preserve"> SUM(($A$756:$A$763=$A873)*($F$730:$O$730=M$730)*($F$756:$O$763)) * SUM(IFERROR(($C$548:$C$603=$A873)*($A$548:$A$603=M$730)*($H$544:$O$544=$D873)*($H$548:$O$603),0))</f>
        <v>0</v>
      </c>
      <c r="N873" s="1399">
        <f t="shared" si="211"/>
        <v>0</v>
      </c>
      <c r="O873" s="1399">
        <f t="array" ref="O873" xml:space="preserve"> SUM(($A$756:$A$763=$A873)*($F$730:$O$730=O$730)*($F$756:$O$763)) * SUM(IFERROR(($C$548:$C$603=$A873)*($A$548:$A$603=O$730)*($H$544:$O$544=$D873)*($H$548:$O$603),0))</f>
        <v>0</v>
      </c>
      <c r="Q873" s="670"/>
      <c r="R873" s="670"/>
      <c r="S873" s="670"/>
      <c r="T873" s="670"/>
      <c r="U873" s="670"/>
      <c r="V873" s="670"/>
      <c r="W873" s="670"/>
      <c r="X873" s="670"/>
      <c r="Y873" s="670"/>
    </row>
    <row r="874" spans="1:25" s="17" customFormat="1" hidden="1" outlineLevel="1">
      <c r="A874" s="1401" t="str">
        <f t="shared" si="214"/>
        <v>CP</v>
      </c>
      <c r="B874" s="1400" t="str">
        <f>INDEX(EF[UK Vector],MATCH(D874,EF[SATIM Code],0))</f>
        <v>V.01</v>
      </c>
      <c r="C874" s="1401" t="str">
        <f>INDEX(Vectors[Description], MATCH($B874, Vectors[Code], 0))</f>
        <v>Electricity (delivered to end user)</v>
      </c>
      <c r="D874" s="1406" t="s">
        <v>879</v>
      </c>
      <c r="E874" s="1403"/>
      <c r="F874" s="1399">
        <f t="array" ref="F874" xml:space="preserve"> SUM(($A$756:$A$763=$A874)*($F$730:$O$730=F$730)*($F$756:$O$763)) * SUM(IFERROR(($C$548:$C$603=$A874)*($A$548:$A$603=F$730)*($H$544:$O$544=$D874)*($H$548:$O$603),0))</f>
        <v>0.27141392384000002</v>
      </c>
      <c r="G874" s="1399">
        <f t="array" ref="G874" xml:space="preserve"> SUM(($A$756:$A$763=$A874)*($F$730:$O$730=G$730)*($F$756:$O$763)) * SUM(IFERROR(($C$548:$C$603=$A874)*($A$548:$A$603=G$730)*($H$544:$O$544=$D874)*($H$548:$O$603),0))</f>
        <v>0.30978315121279981</v>
      </c>
      <c r="H874" s="1399">
        <f t="shared" si="208"/>
        <v>0.34273969219724265</v>
      </c>
      <c r="I874" s="1399">
        <f t="array" ref="I874" xml:space="preserve"> SUM(($A$756:$A$763=$A874)*($F$730:$O$730=I$730)*($F$756:$O$763)) * SUM(IFERROR(($C$548:$C$603=$A874)*($A$548:$A$603=I$730)*($H$544:$O$544=$D874)*($H$548:$O$603),0))</f>
        <v>0.37569623318168544</v>
      </c>
      <c r="J874" s="1399">
        <f t="shared" si="209"/>
        <v>0.42159522864678689</v>
      </c>
      <c r="K874" s="1399">
        <f t="array" ref="K874" xml:space="preserve"> SUM(($A$756:$A$763=$A874)*($F$730:$O$730=K$730)*($F$756:$O$763)) * SUM(IFERROR(($C$548:$C$603=$A874)*($A$548:$A$603=K$730)*($H$544:$O$544=$D874)*($H$548:$O$603),0))</f>
        <v>0.46749422411188835</v>
      </c>
      <c r="L874" s="1399">
        <f t="shared" si="210"/>
        <v>0.56350279134711467</v>
      </c>
      <c r="M874" s="1399">
        <f t="array" ref="M874" xml:space="preserve"> SUM(($A$756:$A$763=$A874)*($F$730:$O$730=M$730)*($F$756:$O$763)) * SUM(IFERROR(($C$548:$C$603=$A874)*($A$548:$A$603=M$730)*($H$544:$O$544=$D874)*($H$548:$O$603),0))</f>
        <v>0.65951135858234089</v>
      </c>
      <c r="N874" s="1399">
        <f t="shared" si="211"/>
        <v>0.7540045961954982</v>
      </c>
      <c r="O874" s="1399">
        <f t="array" ref="O874" xml:space="preserve"> SUM(($A$756:$A$763=$A874)*($F$730:$O$730=O$730)*($F$756:$O$763)) * SUM(IFERROR(($C$548:$C$603=$A874)*($A$548:$A$603=O$730)*($H$544:$O$544=$D874)*($H$548:$O$603),0))</f>
        <v>0.84849783380865551</v>
      </c>
      <c r="Q874" s="670"/>
      <c r="R874" s="670"/>
      <c r="S874" s="670"/>
      <c r="T874" s="670"/>
      <c r="U874" s="670"/>
      <c r="V874" s="670"/>
      <c r="W874" s="670"/>
      <c r="X874" s="670"/>
      <c r="Y874" s="670"/>
    </row>
    <row r="875" spans="1:25" s="17" customFormat="1" hidden="1" outlineLevel="1">
      <c r="A875" s="1401" t="str">
        <f t="shared" si="214"/>
        <v>CP</v>
      </c>
      <c r="B875" s="1400" t="str">
        <f>INDEX(EF[UK Vector],MATCH(D875,EF[SATIM Code],0))</f>
        <v>V.09</v>
      </c>
      <c r="C875" s="1401" t="str">
        <f>INDEX(Vectors[Description], MATCH($B875, Vectors[Code], 0))</f>
        <v>Dry biomass and waste</v>
      </c>
      <c r="D875" s="1406" t="s">
        <v>888</v>
      </c>
      <c r="E875" s="1403"/>
      <c r="F875" s="1399">
        <f t="array" ref="F875" xml:space="preserve"> SUM(($A$756:$A$763=$A875)*($F$730:$O$730=F$730)*($F$756:$O$763)) * SUM(IFERROR(($C$548:$C$603=$A875)*($A$548:$A$603=F$730)*($H$544:$O$544=$D875)*($H$548:$O$603),0))</f>
        <v>0</v>
      </c>
      <c r="G875" s="1399">
        <f t="array" ref="G875" xml:space="preserve"> SUM(($A$756:$A$763=$A875)*($F$730:$O$730=G$730)*($F$756:$O$763)) * SUM(IFERROR(($C$548:$C$603=$A875)*($A$548:$A$603=G$730)*($H$544:$O$544=$D875)*($H$548:$O$603),0))</f>
        <v>0</v>
      </c>
      <c r="H875" s="1399">
        <f t="shared" si="208"/>
        <v>0</v>
      </c>
      <c r="I875" s="1399">
        <f t="array" ref="I875" xml:space="preserve"> SUM(($A$756:$A$763=$A875)*($F$730:$O$730=I$730)*($F$756:$O$763)) * SUM(IFERROR(($C$548:$C$603=$A875)*($A$548:$A$603=I$730)*($H$544:$O$544=$D875)*($H$548:$O$603),0))</f>
        <v>0</v>
      </c>
      <c r="J875" s="1399">
        <f t="shared" si="209"/>
        <v>0</v>
      </c>
      <c r="K875" s="1399">
        <f t="array" ref="K875" xml:space="preserve"> SUM(($A$756:$A$763=$A875)*($F$730:$O$730=K$730)*($F$756:$O$763)) * SUM(IFERROR(($C$548:$C$603=$A875)*($A$548:$A$603=K$730)*($H$544:$O$544=$D875)*($H$548:$O$603),0))</f>
        <v>0</v>
      </c>
      <c r="L875" s="1399">
        <f t="shared" si="210"/>
        <v>0</v>
      </c>
      <c r="M875" s="1399">
        <f t="array" ref="M875" xml:space="preserve"> SUM(($A$756:$A$763=$A875)*($F$730:$O$730=M$730)*($F$756:$O$763)) * SUM(IFERROR(($C$548:$C$603=$A875)*($A$548:$A$603=M$730)*($H$544:$O$544=$D875)*($H$548:$O$603),0))</f>
        <v>0</v>
      </c>
      <c r="N875" s="1399">
        <f t="shared" si="211"/>
        <v>0</v>
      </c>
      <c r="O875" s="1399">
        <f t="array" ref="O875" xml:space="preserve"> SUM(($A$756:$A$763=$A875)*($F$730:$O$730=O$730)*($F$756:$O$763)) * SUM(IFERROR(($C$548:$C$603=$A875)*($A$548:$A$603=O$730)*($H$544:$O$544=$D875)*($H$548:$O$603),0))</f>
        <v>0</v>
      </c>
      <c r="Q875" s="670"/>
      <c r="R875" s="670"/>
      <c r="S875" s="670"/>
      <c r="T875" s="670"/>
      <c r="U875" s="670"/>
      <c r="V875" s="670"/>
      <c r="W875" s="670"/>
      <c r="X875" s="670"/>
      <c r="Y875" s="670"/>
    </row>
    <row r="876" spans="1:25" s="17" customFormat="1" hidden="1" outlineLevel="1">
      <c r="A876" s="1401" t="str">
        <f t="shared" si="214"/>
        <v>CP</v>
      </c>
      <c r="B876" s="1400" t="str">
        <f>INDEX(EF[UK Vector],MATCH(D876,EF[SATIM Code],0))</f>
        <v>V.09</v>
      </c>
      <c r="C876" s="1401" t="str">
        <f>INDEX(Vectors[Description], MATCH($B876, Vectors[Code], 0))</f>
        <v>Dry biomass and waste</v>
      </c>
      <c r="D876" s="1406" t="s">
        <v>889</v>
      </c>
      <c r="E876" s="1403"/>
      <c r="F876" s="1399">
        <f t="array" ref="F876" xml:space="preserve"> SUM(($A$756:$A$763=$A876)*($F$730:$O$730=F$730)*($F$756:$O$763)) * SUM(IFERROR(($C$548:$C$603=$A876)*($A$548:$A$603=F$730)*($H$544:$O$544=$D876)*($H$548:$O$603),0))</f>
        <v>0</v>
      </c>
      <c r="G876" s="1399">
        <f t="array" ref="G876" xml:space="preserve"> SUM(($A$756:$A$763=$A876)*($F$730:$O$730=G$730)*($F$756:$O$763)) * SUM(IFERROR(($C$548:$C$603=$A876)*($A$548:$A$603=G$730)*($H$544:$O$544=$D876)*($H$548:$O$603),0))</f>
        <v>0</v>
      </c>
      <c r="H876" s="1399">
        <f t="shared" si="208"/>
        <v>0</v>
      </c>
      <c r="I876" s="1399">
        <f t="array" ref="I876" xml:space="preserve"> SUM(($A$756:$A$763=$A876)*($F$730:$O$730=I$730)*($F$756:$O$763)) * SUM(IFERROR(($C$548:$C$603=$A876)*($A$548:$A$603=I$730)*($H$544:$O$544=$D876)*($H$548:$O$603),0))</f>
        <v>0</v>
      </c>
      <c r="J876" s="1399">
        <f t="shared" si="209"/>
        <v>0</v>
      </c>
      <c r="K876" s="1399">
        <f t="array" ref="K876" xml:space="preserve"> SUM(($A$756:$A$763=$A876)*($F$730:$O$730=K$730)*($F$756:$O$763)) * SUM(IFERROR(($C$548:$C$603=$A876)*($A$548:$A$603=K$730)*($H$544:$O$544=$D876)*($H$548:$O$603),0))</f>
        <v>0</v>
      </c>
      <c r="L876" s="1399">
        <f t="shared" si="210"/>
        <v>0</v>
      </c>
      <c r="M876" s="1399">
        <f t="array" ref="M876" xml:space="preserve"> SUM(($A$756:$A$763=$A876)*($F$730:$O$730=M$730)*($F$756:$O$763)) * SUM(IFERROR(($C$548:$C$603=$A876)*($A$548:$A$603=M$730)*($H$544:$O$544=$D876)*($H$548:$O$603),0))</f>
        <v>0</v>
      </c>
      <c r="N876" s="1399">
        <f t="shared" si="211"/>
        <v>0</v>
      </c>
      <c r="O876" s="1399">
        <f t="array" ref="O876" xml:space="preserve"> SUM(($A$756:$A$763=$A876)*($F$730:$O$730=O$730)*($F$756:$O$763)) * SUM(IFERROR(($C$548:$C$603=$A876)*($A$548:$A$603=O$730)*($H$544:$O$544=$D876)*($H$548:$O$603),0))</f>
        <v>0</v>
      </c>
      <c r="Q876" s="670"/>
      <c r="R876" s="670"/>
      <c r="S876" s="670"/>
      <c r="T876" s="670"/>
      <c r="U876" s="670"/>
      <c r="V876" s="670"/>
      <c r="W876" s="670"/>
      <c r="X876" s="670"/>
      <c r="Y876" s="670"/>
    </row>
    <row r="877" spans="1:25" s="17" customFormat="1" hidden="1" outlineLevel="1">
      <c r="A877" s="1401" t="str">
        <f t="shared" si="214"/>
        <v>CP</v>
      </c>
      <c r="B877" s="1400" t="s">
        <v>897</v>
      </c>
      <c r="C877" s="1401" t="str">
        <f>INDEX(Vectors[Description], MATCH($B877, Vectors[Code], 0))</f>
        <v>Other Waste</v>
      </c>
      <c r="D877" s="1408" t="s">
        <v>890</v>
      </c>
      <c r="E877" s="1403"/>
      <c r="F877" s="1399">
        <f t="array" ref="F877" xml:space="preserve"> SUM(($A$756:$A$763=$A877)*($F$730:$O$730=F$730)*($F$756:$O$763)) * SUM(IFERROR(($C$548:$C$603=$A877)*($A$548:$A$603=F$730)*($H$544:$O$544=$D877)*($H$548:$O$603),0))</f>
        <v>0</v>
      </c>
      <c r="G877" s="1399">
        <f t="array" ref="G877" xml:space="preserve"> SUM(($A$756:$A$763=$A877)*($F$730:$O$730=G$730)*($F$756:$O$763)) * SUM(IFERROR(($C$548:$C$603=$A877)*($A$548:$A$603=G$730)*($H$544:$O$544=$D877)*($H$548:$O$603),0))</f>
        <v>0</v>
      </c>
      <c r="H877" s="1399">
        <f t="shared" si="208"/>
        <v>0</v>
      </c>
      <c r="I877" s="1399">
        <f t="array" ref="I877" xml:space="preserve"> SUM(($A$756:$A$763=$A877)*($F$730:$O$730=I$730)*($F$756:$O$763)) * SUM(IFERROR(($C$548:$C$603=$A877)*($A$548:$A$603=I$730)*($H$544:$O$544=$D877)*($H$548:$O$603),0))</f>
        <v>0</v>
      </c>
      <c r="J877" s="1399">
        <f t="shared" si="209"/>
        <v>0</v>
      </c>
      <c r="K877" s="1399">
        <f t="array" ref="K877" xml:space="preserve"> SUM(($A$756:$A$763=$A877)*($F$730:$O$730=K$730)*($F$756:$O$763)) * SUM(IFERROR(($C$548:$C$603=$A877)*($A$548:$A$603=K$730)*($H$544:$O$544=$D877)*($H$548:$O$603),0))</f>
        <v>0</v>
      </c>
      <c r="L877" s="1399">
        <f t="shared" si="210"/>
        <v>0</v>
      </c>
      <c r="M877" s="1399">
        <f t="array" ref="M877" xml:space="preserve"> SUM(($A$756:$A$763=$A877)*($F$730:$O$730=M$730)*($F$756:$O$763)) * SUM(IFERROR(($C$548:$C$603=$A877)*($A$548:$A$603=M$730)*($H$544:$O$544=$D877)*($H$548:$O$603),0))</f>
        <v>0</v>
      </c>
      <c r="N877" s="1399">
        <f t="shared" si="211"/>
        <v>0</v>
      </c>
      <c r="O877" s="1399">
        <f t="array" ref="O877" xml:space="preserve"> SUM(($A$756:$A$763=$A877)*($F$730:$O$730=O$730)*($F$756:$O$763)) * SUM(IFERROR(($C$548:$C$603=$A877)*($A$548:$A$603=O$730)*($H$544:$O$544=$D877)*($H$548:$O$603),0))</f>
        <v>0</v>
      </c>
      <c r="Q877" s="670"/>
      <c r="R877" s="670"/>
      <c r="S877" s="670"/>
      <c r="T877" s="670"/>
      <c r="U877" s="670"/>
      <c r="V877" s="670"/>
      <c r="W877" s="670"/>
      <c r="X877" s="670"/>
      <c r="Y877" s="670"/>
    </row>
    <row r="878" spans="1:25" s="17" customFormat="1" hidden="1" outlineLevel="1">
      <c r="A878" s="1401"/>
      <c r="B878" s="1400"/>
      <c r="C878" s="1401"/>
      <c r="D878" s="1406"/>
      <c r="E878" s="1403"/>
      <c r="F878" s="1399">
        <f t="array" ref="F878" xml:space="preserve"> SUM(($A$756:$A$763=$A878)*($F$730:$O$730=F$730)*($F$756:$O$763)) * SUM(IFERROR(($C$548:$C$603=$A878)*($A$548:$A$603=F$730)*($H$544:$O$544=$D878)*($H$548:$O$603),0))</f>
        <v>0</v>
      </c>
      <c r="G878" s="1399">
        <f t="array" ref="G878" xml:space="preserve"> SUM(($A$756:$A$763=$A878)*($F$730:$O$730=G$730)*($F$756:$O$763)) * SUM(IFERROR(($C$548:$C$603=$A878)*($A$548:$A$603=G$730)*($H$544:$O$544=$D878)*($H$548:$O$603),0))</f>
        <v>0</v>
      </c>
      <c r="H878" s="1399">
        <f t="shared" si="208"/>
        <v>0</v>
      </c>
      <c r="I878" s="1399">
        <f t="array" ref="I878" xml:space="preserve"> SUM(($A$756:$A$763=$A878)*($F$730:$O$730=I$730)*($F$756:$O$763)) * SUM(IFERROR(($C$548:$C$603=$A878)*($A$548:$A$603=I$730)*($H$544:$O$544=$D878)*($H$548:$O$603),0))</f>
        <v>0</v>
      </c>
      <c r="J878" s="1399">
        <f t="shared" si="209"/>
        <v>0</v>
      </c>
      <c r="K878" s="1399">
        <f t="array" ref="K878" xml:space="preserve"> SUM(($A$756:$A$763=$A878)*($F$730:$O$730=K$730)*($F$756:$O$763)) * SUM(IFERROR(($C$548:$C$603=$A878)*($A$548:$A$603=K$730)*($H$544:$O$544=$D878)*($H$548:$O$603),0))</f>
        <v>0</v>
      </c>
      <c r="L878" s="1399">
        <f t="shared" si="210"/>
        <v>0</v>
      </c>
      <c r="M878" s="1399">
        <f t="array" ref="M878" xml:space="preserve"> SUM(($A$756:$A$763=$A878)*($F$730:$O$730=M$730)*($F$756:$O$763)) * SUM(IFERROR(($C$548:$C$603=$A878)*($A$548:$A$603=M$730)*($H$544:$O$544=$D878)*($H$548:$O$603),0))</f>
        <v>0</v>
      </c>
      <c r="N878" s="1399">
        <f t="shared" si="211"/>
        <v>0</v>
      </c>
      <c r="O878" s="1399">
        <f t="array" ref="O878" xml:space="preserve"> SUM(($A$756:$A$763=$A878)*($F$730:$O$730=O$730)*($F$756:$O$763)) * SUM(IFERROR(($C$548:$C$603=$A878)*($A$548:$A$603=O$730)*($H$544:$O$544=$D878)*($H$548:$O$603),0))</f>
        <v>0</v>
      </c>
      <c r="Q878" s="670"/>
      <c r="R878" s="670"/>
      <c r="S878" s="670"/>
      <c r="T878" s="670"/>
      <c r="U878" s="670"/>
      <c r="V878" s="670"/>
      <c r="W878" s="670"/>
      <c r="X878" s="670"/>
      <c r="Y878" s="670"/>
    </row>
    <row r="879" spans="1:25" s="17" customFormat="1" hidden="1" outlineLevel="1">
      <c r="A879" s="1408"/>
      <c r="B879" s="1407"/>
      <c r="C879" s="1407" t="str">
        <f>D23</f>
        <v>Non-Ferrous metals  - 352</v>
      </c>
      <c r="D879" s="1408"/>
      <c r="E879" s="1403"/>
      <c r="F879" s="1399">
        <f t="array" ref="F879" xml:space="preserve"> SUM(($A$756:$A$763=$A879)*($F$730:$O$730=F$730)*($F$756:$O$763)) * SUM(IFERROR(($C$548:$C$603=$A879)*($A$548:$A$603=F$730)*($H$544:$O$544=$D879)*($H$548:$O$603),0))</f>
        <v>0</v>
      </c>
      <c r="G879" s="1399">
        <f t="array" ref="G879" xml:space="preserve"> SUM(($A$756:$A$763=$A879)*($F$730:$O$730=G$730)*($F$756:$O$763)) * SUM(IFERROR(($C$548:$C$603=$A879)*($A$548:$A$603=G$730)*($H$544:$O$544=$D879)*($H$548:$O$603),0))</f>
        <v>0</v>
      </c>
      <c r="H879" s="1399">
        <f t="shared" si="208"/>
        <v>0</v>
      </c>
      <c r="I879" s="1399">
        <f t="array" ref="I879" xml:space="preserve"> SUM(($A$756:$A$763=$A879)*($F$730:$O$730=I$730)*($F$756:$O$763)) * SUM(IFERROR(($C$548:$C$603=$A879)*($A$548:$A$603=I$730)*($H$544:$O$544=$D879)*($H$548:$O$603),0))</f>
        <v>0</v>
      </c>
      <c r="J879" s="1399">
        <f t="shared" si="209"/>
        <v>0</v>
      </c>
      <c r="K879" s="1399">
        <f t="array" ref="K879" xml:space="preserve"> SUM(($A$756:$A$763=$A879)*($F$730:$O$730=K$730)*($F$756:$O$763)) * SUM(IFERROR(($C$548:$C$603=$A879)*($A$548:$A$603=K$730)*($H$544:$O$544=$D879)*($H$548:$O$603),0))</f>
        <v>0</v>
      </c>
      <c r="L879" s="1399">
        <f t="shared" si="210"/>
        <v>0</v>
      </c>
      <c r="M879" s="1399">
        <f t="array" ref="M879" xml:space="preserve"> SUM(($A$756:$A$763=$A879)*($F$730:$O$730=M$730)*($F$756:$O$763)) * SUM(IFERROR(($C$548:$C$603=$A879)*($A$548:$A$603=M$730)*($H$544:$O$544=$D879)*($H$548:$O$603),0))</f>
        <v>0</v>
      </c>
      <c r="N879" s="1399">
        <f t="shared" si="211"/>
        <v>0</v>
      </c>
      <c r="O879" s="1399">
        <f t="array" ref="O879" xml:space="preserve"> SUM(($A$756:$A$763=$A879)*($F$730:$O$730=O$730)*($F$756:$O$763)) * SUM(IFERROR(($C$548:$C$603=$A879)*($A$548:$A$603=O$730)*($H$544:$O$544=$D879)*($H$548:$O$603),0))</f>
        <v>0</v>
      </c>
      <c r="Q879" s="670"/>
      <c r="R879" s="670"/>
      <c r="S879" s="670"/>
      <c r="T879" s="670"/>
      <c r="U879" s="670"/>
      <c r="V879" s="670"/>
      <c r="W879" s="670"/>
      <c r="X879" s="670"/>
      <c r="Y879" s="670"/>
    </row>
    <row r="880" spans="1:25" s="17" customFormat="1" hidden="1" outlineLevel="1">
      <c r="A880" s="1408" t="str">
        <f>INDEX($C$20:$C$27,MATCH($C879,$D$20:$D$27,0))</f>
        <v>NF</v>
      </c>
      <c r="B880" s="1400" t="str">
        <f>INDEX(EF[UK Vector],MATCH(D880,EF[SATIM Code],0))</f>
        <v>V.03</v>
      </c>
      <c r="C880" s="1401" t="str">
        <f>INDEX(Vectors[Description], MATCH($B880, Vectors[Code], 0))</f>
        <v>Solid hydrocarbons</v>
      </c>
      <c r="D880" s="1406" t="s">
        <v>882</v>
      </c>
      <c r="E880" s="1403"/>
      <c r="F880" s="1399">
        <f t="array" ref="F880" xml:space="preserve"> SUM(($A$756:$A$763=$A880)*($F$730:$O$730=F$730)*($F$756:$O$763)) * SUM(IFERROR(($C$548:$C$603=$A880)*($A$548:$A$603=F$730)*($H$544:$O$544=$D880)*($H$548:$O$603),0))</f>
        <v>0.51839999999999986</v>
      </c>
      <c r="G880" s="1399">
        <f t="array" ref="G880" xml:space="preserve"> SUM(($A$756:$A$763=$A880)*($F$730:$O$730=G$730)*($F$756:$O$763)) * SUM(IFERROR(($C$548:$C$603=$A880)*($A$548:$A$603=G$730)*($H$544:$O$544=$D880)*($H$548:$O$603),0))</f>
        <v>0.60084137585605246</v>
      </c>
      <c r="H880" s="1399">
        <f t="shared" si="208"/>
        <v>0.74790159728958694</v>
      </c>
      <c r="I880" s="1399">
        <f t="array" ref="I880" xml:space="preserve"> SUM(($A$756:$A$763=$A880)*($F$730:$O$730=I$730)*($F$756:$O$763)) * SUM(IFERROR(($C$548:$C$603=$A880)*($A$548:$A$603=I$730)*($H$544:$O$544=$D880)*($H$548:$O$603),0))</f>
        <v>0.89496181872312142</v>
      </c>
      <c r="J880" s="1399">
        <f t="shared" si="209"/>
        <v>1.1036339165441507</v>
      </c>
      <c r="K880" s="1399">
        <f t="array" ref="K880" xml:space="preserve"> SUM(($A$756:$A$763=$A880)*($F$730:$O$730=K$730)*($F$756:$O$763)) * SUM(IFERROR(($C$548:$C$603=$A880)*($A$548:$A$603=K$730)*($H$544:$O$544=$D880)*($H$548:$O$603),0))</f>
        <v>1.3123060143651797</v>
      </c>
      <c r="L880" s="1399">
        <f t="shared" si="210"/>
        <v>1.6164778778096944</v>
      </c>
      <c r="M880" s="1399">
        <f t="array" ref="M880" xml:space="preserve"> SUM(($A$756:$A$763=$A880)*($F$730:$O$730=M$730)*($F$756:$O$763)) * SUM(IFERROR(($C$548:$C$603=$A880)*($A$548:$A$603=M$730)*($H$544:$O$544=$D880)*($H$548:$O$603),0))</f>
        <v>1.9206497412542094</v>
      </c>
      <c r="N880" s="1399">
        <f t="shared" si="211"/>
        <v>2.2590477995458405</v>
      </c>
      <c r="O880" s="1399">
        <f t="array" ref="O880" xml:space="preserve"> SUM(($A$756:$A$763=$A880)*($F$730:$O$730=O$730)*($F$756:$O$763)) * SUM(IFERROR(($C$548:$C$603=$A880)*($A$548:$A$603=O$730)*($H$544:$O$544=$D880)*($H$548:$O$603),0))</f>
        <v>2.5974458578374717</v>
      </c>
      <c r="Q880" s="670"/>
      <c r="R880" s="670"/>
      <c r="S880" s="670"/>
      <c r="T880" s="670"/>
      <c r="U880" s="670"/>
      <c r="V880" s="670"/>
      <c r="W880" s="670"/>
      <c r="X880" s="670"/>
      <c r="Y880" s="670"/>
    </row>
    <row r="881" spans="1:25" s="17" customFormat="1" hidden="1" outlineLevel="1">
      <c r="A881" s="1401" t="str">
        <f t="shared" ref="A881:A887" si="215">A880</f>
        <v>NF</v>
      </c>
      <c r="B881" s="1400" t="str">
        <f>INDEX(EF[UK Vector],MATCH(D881,EF[SATIM Code],0))</f>
        <v>V.05</v>
      </c>
      <c r="C881" s="1401" t="str">
        <f>INDEX(Vectors[Description], MATCH($B881, Vectors[Code], 0))</f>
        <v>Gaseous hydrocarbons</v>
      </c>
      <c r="D881" s="1406" t="s">
        <v>869</v>
      </c>
      <c r="E881" s="1403"/>
      <c r="F881" s="1399">
        <f t="array" ref="F881" xml:space="preserve"> SUM(($A$756:$A$763=$A881)*($F$730:$O$730=F$730)*($F$756:$O$763)) * SUM(IFERROR(($C$548:$C$603=$A881)*($A$548:$A$603=F$730)*($H$544:$O$544=$D881)*($H$548:$O$603),0))</f>
        <v>0</v>
      </c>
      <c r="G881" s="1399">
        <f t="array" ref="G881" xml:space="preserve"> SUM(($A$756:$A$763=$A881)*($F$730:$O$730=G$730)*($F$756:$O$763)) * SUM(IFERROR(($C$548:$C$603=$A881)*($A$548:$A$603=G$730)*($H$544:$O$544=$D881)*($H$548:$O$603),0))</f>
        <v>0</v>
      </c>
      <c r="H881" s="1399">
        <f t="shared" si="208"/>
        <v>0</v>
      </c>
      <c r="I881" s="1399">
        <f t="array" ref="I881" xml:space="preserve"> SUM(($A$756:$A$763=$A881)*($F$730:$O$730=I$730)*($F$756:$O$763)) * SUM(IFERROR(($C$548:$C$603=$A881)*($A$548:$A$603=I$730)*($H$544:$O$544=$D881)*($H$548:$O$603),0))</f>
        <v>0</v>
      </c>
      <c r="J881" s="1399">
        <f t="shared" si="209"/>
        <v>0</v>
      </c>
      <c r="K881" s="1399">
        <f t="array" ref="K881" xml:space="preserve"> SUM(($A$756:$A$763=$A881)*($F$730:$O$730=K$730)*($F$756:$O$763)) * SUM(IFERROR(($C$548:$C$603=$A881)*($A$548:$A$603=K$730)*($H$544:$O$544=$D881)*($H$548:$O$603),0))</f>
        <v>0</v>
      </c>
      <c r="L881" s="1399">
        <f t="shared" si="210"/>
        <v>0</v>
      </c>
      <c r="M881" s="1399">
        <f t="array" ref="M881" xml:space="preserve"> SUM(($A$756:$A$763=$A881)*($F$730:$O$730=M$730)*($F$756:$O$763)) * SUM(IFERROR(($C$548:$C$603=$A881)*($A$548:$A$603=M$730)*($H$544:$O$544=$D881)*($H$548:$O$603),0))</f>
        <v>0</v>
      </c>
      <c r="N881" s="1399">
        <f t="shared" si="211"/>
        <v>0</v>
      </c>
      <c r="O881" s="1399">
        <f t="array" ref="O881" xml:space="preserve"> SUM(($A$756:$A$763=$A881)*($F$730:$O$730=O$730)*($F$756:$O$763)) * SUM(IFERROR(($C$548:$C$603=$A881)*($A$548:$A$603=O$730)*($H$544:$O$544=$D881)*($H$548:$O$603),0))</f>
        <v>0</v>
      </c>
      <c r="Q881" s="670"/>
      <c r="R881" s="670"/>
      <c r="S881" s="670"/>
      <c r="T881" s="670"/>
      <c r="U881" s="670"/>
      <c r="V881" s="670"/>
      <c r="W881" s="670"/>
      <c r="X881" s="670"/>
      <c r="Y881" s="670"/>
    </row>
    <row r="882" spans="1:25" s="17" customFormat="1" hidden="1" outlineLevel="1">
      <c r="A882" s="1401" t="str">
        <f t="shared" si="215"/>
        <v>NF</v>
      </c>
      <c r="B882" s="1400" t="str">
        <f>INDEX(EF[UK Vector],MATCH(D882,EF[SATIM Code],0))</f>
        <v>V.04</v>
      </c>
      <c r="C882" s="1401" t="str">
        <f>INDEX(Vectors[Description], MATCH($B882, Vectors[Code], 0))</f>
        <v>Liquid hydrocarbons</v>
      </c>
      <c r="D882" s="1406" t="s">
        <v>885</v>
      </c>
      <c r="E882" s="1403"/>
      <c r="F882" s="1399">
        <f t="array" ref="F882" xml:space="preserve"> SUM(($A$756:$A$763=$A882)*($F$730:$O$730=F$730)*($F$756:$O$763)) * SUM(IFERROR(($C$548:$C$603=$A882)*($A$548:$A$603=F$730)*($H$544:$O$544=$D882)*($H$548:$O$603),0))</f>
        <v>0</v>
      </c>
      <c r="G882" s="1399">
        <f t="array" ref="G882" xml:space="preserve"> SUM(($A$756:$A$763=$A882)*($F$730:$O$730=G$730)*($F$756:$O$763)) * SUM(IFERROR(($C$548:$C$603=$A882)*($A$548:$A$603=G$730)*($H$544:$O$544=$D882)*($H$548:$O$603),0))</f>
        <v>0</v>
      </c>
      <c r="H882" s="1399">
        <f t="shared" ref="H882:H913" si="216">AVERAGE(G882,I882)</f>
        <v>0</v>
      </c>
      <c r="I882" s="1399">
        <f t="array" ref="I882" xml:space="preserve"> SUM(($A$756:$A$763=$A882)*($F$730:$O$730=I$730)*($F$756:$O$763)) * SUM(IFERROR(($C$548:$C$603=$A882)*($A$548:$A$603=I$730)*($H$544:$O$544=$D882)*($H$548:$O$603),0))</f>
        <v>0</v>
      </c>
      <c r="J882" s="1399">
        <f t="shared" ref="J882:J913" si="217">AVERAGE(I882,K882)</f>
        <v>0</v>
      </c>
      <c r="K882" s="1399">
        <f t="array" ref="K882" xml:space="preserve"> SUM(($A$756:$A$763=$A882)*($F$730:$O$730=K$730)*($F$756:$O$763)) * SUM(IFERROR(($C$548:$C$603=$A882)*($A$548:$A$603=K$730)*($H$544:$O$544=$D882)*($H$548:$O$603),0))</f>
        <v>0</v>
      </c>
      <c r="L882" s="1399">
        <f t="shared" ref="L882:L913" si="218">AVERAGE(K882,M882)</f>
        <v>0</v>
      </c>
      <c r="M882" s="1399">
        <f t="array" ref="M882" xml:space="preserve"> SUM(($A$756:$A$763=$A882)*($F$730:$O$730=M$730)*($F$756:$O$763)) * SUM(IFERROR(($C$548:$C$603=$A882)*($A$548:$A$603=M$730)*($H$544:$O$544=$D882)*($H$548:$O$603),0))</f>
        <v>0</v>
      </c>
      <c r="N882" s="1399">
        <f t="shared" ref="N882:N913" si="219">AVERAGE(M882,O882)</f>
        <v>0</v>
      </c>
      <c r="O882" s="1399">
        <f t="array" ref="O882" xml:space="preserve"> SUM(($A$756:$A$763=$A882)*($F$730:$O$730=O$730)*($F$756:$O$763)) * SUM(IFERROR(($C$548:$C$603=$A882)*($A$548:$A$603=O$730)*($H$544:$O$544=$D882)*($H$548:$O$603),0))</f>
        <v>0</v>
      </c>
      <c r="Q882" s="670"/>
      <c r="R882" s="670"/>
      <c r="S882" s="670"/>
      <c r="T882" s="670"/>
      <c r="U882" s="670"/>
      <c r="V882" s="670"/>
      <c r="W882" s="670"/>
      <c r="X882" s="670"/>
      <c r="Y882" s="670"/>
    </row>
    <row r="883" spans="1:25" s="17" customFormat="1" hidden="1" outlineLevel="1">
      <c r="A883" s="1401" t="str">
        <f t="shared" si="215"/>
        <v>NF</v>
      </c>
      <c r="B883" s="1400" t="str">
        <f>INDEX(EF[UK Vector],MATCH(D883,EF[SATIM Code],0))</f>
        <v>V.04</v>
      </c>
      <c r="C883" s="1401" t="str">
        <f>INDEX(Vectors[Description], MATCH($B883, Vectors[Code], 0))</f>
        <v>Liquid hydrocarbons</v>
      </c>
      <c r="D883" s="1406" t="s">
        <v>887</v>
      </c>
      <c r="E883" s="1403"/>
      <c r="F883" s="1399">
        <f t="array" ref="F883" xml:space="preserve"> SUM(($A$756:$A$763=$A883)*($F$730:$O$730=F$730)*($F$756:$O$763)) * SUM(IFERROR(($C$548:$C$603=$A883)*($A$548:$A$603=F$730)*($H$544:$O$544=$D883)*($H$548:$O$603),0))</f>
        <v>0</v>
      </c>
      <c r="G883" s="1399">
        <f t="array" ref="G883" xml:space="preserve"> SUM(($A$756:$A$763=$A883)*($F$730:$O$730=G$730)*($F$756:$O$763)) * SUM(IFERROR(($C$548:$C$603=$A883)*($A$548:$A$603=G$730)*($H$544:$O$544=$D883)*($H$548:$O$603),0))</f>
        <v>0</v>
      </c>
      <c r="H883" s="1399">
        <f t="shared" si="216"/>
        <v>0</v>
      </c>
      <c r="I883" s="1399">
        <f t="array" ref="I883" xml:space="preserve"> SUM(($A$756:$A$763=$A883)*($F$730:$O$730=I$730)*($F$756:$O$763)) * SUM(IFERROR(($C$548:$C$603=$A883)*($A$548:$A$603=I$730)*($H$544:$O$544=$D883)*($H$548:$O$603),0))</f>
        <v>0</v>
      </c>
      <c r="J883" s="1399">
        <f t="shared" si="217"/>
        <v>0</v>
      </c>
      <c r="K883" s="1399">
        <f t="array" ref="K883" xml:space="preserve"> SUM(($A$756:$A$763=$A883)*($F$730:$O$730=K$730)*($F$756:$O$763)) * SUM(IFERROR(($C$548:$C$603=$A883)*($A$548:$A$603=K$730)*($H$544:$O$544=$D883)*($H$548:$O$603),0))</f>
        <v>0</v>
      </c>
      <c r="L883" s="1399">
        <f t="shared" si="218"/>
        <v>0</v>
      </c>
      <c r="M883" s="1399">
        <f t="array" ref="M883" xml:space="preserve"> SUM(($A$756:$A$763=$A883)*($F$730:$O$730=M$730)*($F$756:$O$763)) * SUM(IFERROR(($C$548:$C$603=$A883)*($A$548:$A$603=M$730)*($H$544:$O$544=$D883)*($H$548:$O$603),0))</f>
        <v>0</v>
      </c>
      <c r="N883" s="1399">
        <f t="shared" si="219"/>
        <v>0</v>
      </c>
      <c r="O883" s="1399">
        <f t="array" ref="O883" xml:space="preserve"> SUM(($A$756:$A$763=$A883)*($F$730:$O$730=O$730)*($F$756:$O$763)) * SUM(IFERROR(($C$548:$C$603=$A883)*($A$548:$A$603=O$730)*($H$544:$O$544=$D883)*($H$548:$O$603),0))</f>
        <v>0</v>
      </c>
      <c r="Q883" s="670"/>
      <c r="R883" s="670"/>
      <c r="S883" s="670"/>
      <c r="T883" s="670"/>
      <c r="U883" s="670"/>
      <c r="V883" s="670"/>
      <c r="W883" s="670"/>
      <c r="X883" s="670"/>
      <c r="Y883" s="670"/>
    </row>
    <row r="884" spans="1:25" s="17" customFormat="1" hidden="1" outlineLevel="1">
      <c r="A884" s="1401" t="str">
        <f t="shared" si="215"/>
        <v>NF</v>
      </c>
      <c r="B884" s="1400" t="str">
        <f>INDEX(EF[UK Vector],MATCH(D884,EF[SATIM Code],0))</f>
        <v>V.01</v>
      </c>
      <c r="C884" s="1401" t="str">
        <f>INDEX(Vectors[Description], MATCH($B884, Vectors[Code], 0))</f>
        <v>Electricity (delivered to end user)</v>
      </c>
      <c r="D884" s="1406" t="s">
        <v>879</v>
      </c>
      <c r="E884" s="1403"/>
      <c r="F884" s="1399">
        <f t="array" ref="F884" xml:space="preserve"> SUM(($A$756:$A$763=$A884)*($F$730:$O$730=F$730)*($F$756:$O$763)) * SUM(IFERROR(($C$548:$C$603=$A884)*($A$548:$A$603=F$730)*($H$544:$O$544=$D884)*($H$548:$O$603),0))</f>
        <v>0</v>
      </c>
      <c r="G884" s="1399">
        <f t="array" ref="G884" xml:space="preserve"> SUM(($A$756:$A$763=$A884)*($F$730:$O$730=G$730)*($F$756:$O$763)) * SUM(IFERROR(($C$548:$C$603=$A884)*($A$548:$A$603=G$730)*($H$544:$O$544=$D884)*($H$548:$O$603),0))</f>
        <v>0</v>
      </c>
      <c r="H884" s="1399">
        <f t="shared" si="216"/>
        <v>0</v>
      </c>
      <c r="I884" s="1399">
        <f t="array" ref="I884" xml:space="preserve"> SUM(($A$756:$A$763=$A884)*($F$730:$O$730=I$730)*($F$756:$O$763)) * SUM(IFERROR(($C$548:$C$603=$A884)*($A$548:$A$603=I$730)*($H$544:$O$544=$D884)*($H$548:$O$603),0))</f>
        <v>0</v>
      </c>
      <c r="J884" s="1399">
        <f t="shared" si="217"/>
        <v>0</v>
      </c>
      <c r="K884" s="1399">
        <f t="array" ref="K884" xml:space="preserve"> SUM(($A$756:$A$763=$A884)*($F$730:$O$730=K$730)*($F$756:$O$763)) * SUM(IFERROR(($C$548:$C$603=$A884)*($A$548:$A$603=K$730)*($H$544:$O$544=$D884)*($H$548:$O$603),0))</f>
        <v>0</v>
      </c>
      <c r="L884" s="1399">
        <f t="shared" si="218"/>
        <v>0</v>
      </c>
      <c r="M884" s="1399">
        <f t="array" ref="M884" xml:space="preserve"> SUM(($A$756:$A$763=$A884)*($F$730:$O$730=M$730)*($F$756:$O$763)) * SUM(IFERROR(($C$548:$C$603=$A884)*($A$548:$A$603=M$730)*($H$544:$O$544=$D884)*($H$548:$O$603),0))</f>
        <v>0</v>
      </c>
      <c r="N884" s="1399">
        <f t="shared" si="219"/>
        <v>0</v>
      </c>
      <c r="O884" s="1399">
        <f t="array" ref="O884" xml:space="preserve"> SUM(($A$756:$A$763=$A884)*($F$730:$O$730=O$730)*($F$756:$O$763)) * SUM(IFERROR(($C$548:$C$603=$A884)*($A$548:$A$603=O$730)*($H$544:$O$544=$D884)*($H$548:$O$603),0))</f>
        <v>0</v>
      </c>
      <c r="Q884" s="670"/>
      <c r="R884" s="670"/>
      <c r="S884" s="670"/>
      <c r="T884" s="670"/>
      <c r="U884" s="670"/>
      <c r="V884" s="670"/>
      <c r="W884" s="670"/>
      <c r="X884" s="670"/>
      <c r="Y884" s="670"/>
    </row>
    <row r="885" spans="1:25" s="17" customFormat="1" hidden="1" outlineLevel="1">
      <c r="A885" s="1401" t="str">
        <f t="shared" si="215"/>
        <v>NF</v>
      </c>
      <c r="B885" s="1400" t="str">
        <f>INDEX(EF[UK Vector],MATCH(D885,EF[SATIM Code],0))</f>
        <v>V.09</v>
      </c>
      <c r="C885" s="1401" t="str">
        <f>INDEX(Vectors[Description], MATCH($B885, Vectors[Code], 0))</f>
        <v>Dry biomass and waste</v>
      </c>
      <c r="D885" s="1406" t="s">
        <v>888</v>
      </c>
      <c r="E885" s="1403"/>
      <c r="F885" s="1399">
        <f t="array" ref="F885" xml:space="preserve"> SUM(($A$756:$A$763=$A885)*($F$730:$O$730=F$730)*($F$756:$O$763)) * SUM(IFERROR(($C$548:$C$603=$A885)*($A$548:$A$603=F$730)*($H$544:$O$544=$D885)*($H$548:$O$603),0))</f>
        <v>0</v>
      </c>
      <c r="G885" s="1399">
        <f t="array" ref="G885" xml:space="preserve"> SUM(($A$756:$A$763=$A885)*($F$730:$O$730=G$730)*($F$756:$O$763)) * SUM(IFERROR(($C$548:$C$603=$A885)*($A$548:$A$603=G$730)*($H$544:$O$544=$D885)*($H$548:$O$603),0))</f>
        <v>0</v>
      </c>
      <c r="H885" s="1399">
        <f t="shared" si="216"/>
        <v>0</v>
      </c>
      <c r="I885" s="1399">
        <f t="array" ref="I885" xml:space="preserve"> SUM(($A$756:$A$763=$A885)*($F$730:$O$730=I$730)*($F$756:$O$763)) * SUM(IFERROR(($C$548:$C$603=$A885)*($A$548:$A$603=I$730)*($H$544:$O$544=$D885)*($H$548:$O$603),0))</f>
        <v>0</v>
      </c>
      <c r="J885" s="1399">
        <f t="shared" si="217"/>
        <v>0</v>
      </c>
      <c r="K885" s="1399">
        <f t="array" ref="K885" xml:space="preserve"> SUM(($A$756:$A$763=$A885)*($F$730:$O$730=K$730)*($F$756:$O$763)) * SUM(IFERROR(($C$548:$C$603=$A885)*($A$548:$A$603=K$730)*($H$544:$O$544=$D885)*($H$548:$O$603),0))</f>
        <v>0</v>
      </c>
      <c r="L885" s="1399">
        <f t="shared" si="218"/>
        <v>0</v>
      </c>
      <c r="M885" s="1399">
        <f t="array" ref="M885" xml:space="preserve"> SUM(($A$756:$A$763=$A885)*($F$730:$O$730=M$730)*($F$756:$O$763)) * SUM(IFERROR(($C$548:$C$603=$A885)*($A$548:$A$603=M$730)*($H$544:$O$544=$D885)*($H$548:$O$603),0))</f>
        <v>0</v>
      </c>
      <c r="N885" s="1399">
        <f t="shared" si="219"/>
        <v>0</v>
      </c>
      <c r="O885" s="1399">
        <f t="array" ref="O885" xml:space="preserve"> SUM(($A$756:$A$763=$A885)*($F$730:$O$730=O$730)*($F$756:$O$763)) * SUM(IFERROR(($C$548:$C$603=$A885)*($A$548:$A$603=O$730)*($H$544:$O$544=$D885)*($H$548:$O$603),0))</f>
        <v>0</v>
      </c>
      <c r="Q885" s="670"/>
      <c r="R885" s="670"/>
      <c r="S885" s="670"/>
      <c r="T885" s="670"/>
      <c r="U885" s="670"/>
      <c r="V885" s="670"/>
      <c r="W885" s="670"/>
      <c r="X885" s="670"/>
      <c r="Y885" s="670"/>
    </row>
    <row r="886" spans="1:25" s="17" customFormat="1" hidden="1" outlineLevel="1">
      <c r="A886" s="1401" t="str">
        <f t="shared" si="215"/>
        <v>NF</v>
      </c>
      <c r="B886" s="1400" t="str">
        <f>INDEX(EF[UK Vector],MATCH(D886,EF[SATIM Code],0))</f>
        <v>V.09</v>
      </c>
      <c r="C886" s="1401" t="str">
        <f>INDEX(Vectors[Description], MATCH($B886, Vectors[Code], 0))</f>
        <v>Dry biomass and waste</v>
      </c>
      <c r="D886" s="1406" t="s">
        <v>889</v>
      </c>
      <c r="E886" s="1403"/>
      <c r="F886" s="1399">
        <f t="array" ref="F886" xml:space="preserve"> SUM(($A$756:$A$763=$A886)*($F$730:$O$730=F$730)*($F$756:$O$763)) * SUM(IFERROR(($C$548:$C$603=$A886)*($A$548:$A$603=F$730)*($H$544:$O$544=$D886)*($H$548:$O$603),0))</f>
        <v>0</v>
      </c>
      <c r="G886" s="1399">
        <f t="array" ref="G886" xml:space="preserve"> SUM(($A$756:$A$763=$A886)*($F$730:$O$730=G$730)*($F$756:$O$763)) * SUM(IFERROR(($C$548:$C$603=$A886)*($A$548:$A$603=G$730)*($H$544:$O$544=$D886)*($H$548:$O$603),0))</f>
        <v>0</v>
      </c>
      <c r="H886" s="1399">
        <f t="shared" si="216"/>
        <v>0</v>
      </c>
      <c r="I886" s="1399">
        <f t="array" ref="I886" xml:space="preserve"> SUM(($A$756:$A$763=$A886)*($F$730:$O$730=I$730)*($F$756:$O$763)) * SUM(IFERROR(($C$548:$C$603=$A886)*($A$548:$A$603=I$730)*($H$544:$O$544=$D886)*($H$548:$O$603),0))</f>
        <v>0</v>
      </c>
      <c r="J886" s="1399">
        <f t="shared" si="217"/>
        <v>0</v>
      </c>
      <c r="K886" s="1399">
        <f t="array" ref="K886" xml:space="preserve"> SUM(($A$756:$A$763=$A886)*($F$730:$O$730=K$730)*($F$756:$O$763)) * SUM(IFERROR(($C$548:$C$603=$A886)*($A$548:$A$603=K$730)*($H$544:$O$544=$D886)*($H$548:$O$603),0))</f>
        <v>0</v>
      </c>
      <c r="L886" s="1399">
        <f t="shared" si="218"/>
        <v>0</v>
      </c>
      <c r="M886" s="1399">
        <f t="array" ref="M886" xml:space="preserve"> SUM(($A$756:$A$763=$A886)*($F$730:$O$730=M$730)*($F$756:$O$763)) * SUM(IFERROR(($C$548:$C$603=$A886)*($A$548:$A$603=M$730)*($H$544:$O$544=$D886)*($H$548:$O$603),0))</f>
        <v>0</v>
      </c>
      <c r="N886" s="1399">
        <f t="shared" si="219"/>
        <v>0</v>
      </c>
      <c r="O886" s="1399">
        <f t="array" ref="O886" xml:space="preserve"> SUM(($A$756:$A$763=$A886)*($F$730:$O$730=O$730)*($F$756:$O$763)) * SUM(IFERROR(($C$548:$C$603=$A886)*($A$548:$A$603=O$730)*($H$544:$O$544=$D886)*($H$548:$O$603),0))</f>
        <v>0</v>
      </c>
      <c r="Q886" s="670"/>
      <c r="R886" s="670"/>
      <c r="S886" s="670"/>
      <c r="T886" s="670"/>
      <c r="U886" s="670"/>
      <c r="V886" s="670"/>
      <c r="W886" s="670"/>
      <c r="X886" s="670"/>
      <c r="Y886" s="670"/>
    </row>
    <row r="887" spans="1:25" s="17" customFormat="1" hidden="1" outlineLevel="1">
      <c r="A887" s="1401" t="str">
        <f t="shared" si="215"/>
        <v>NF</v>
      </c>
      <c r="B887" s="1400" t="s">
        <v>897</v>
      </c>
      <c r="C887" s="1401" t="str">
        <f>INDEX(Vectors[Description], MATCH($B887, Vectors[Code], 0))</f>
        <v>Other Waste</v>
      </c>
      <c r="D887" s="1408" t="s">
        <v>890</v>
      </c>
      <c r="E887" s="1403"/>
      <c r="F887" s="1399">
        <f t="array" ref="F887" xml:space="preserve"> SUM(($A$756:$A$763=$A887)*($F$730:$O$730=F$730)*($F$756:$O$763)) * SUM(IFERROR(($C$548:$C$603=$A887)*($A$548:$A$603=F$730)*($H$544:$O$544=$D887)*($H$548:$O$603),0))</f>
        <v>0</v>
      </c>
      <c r="G887" s="1399">
        <f t="array" ref="G887" xml:space="preserve"> SUM(($A$756:$A$763=$A887)*($F$730:$O$730=G$730)*($F$756:$O$763)) * SUM(IFERROR(($C$548:$C$603=$A887)*($A$548:$A$603=G$730)*($H$544:$O$544=$D887)*($H$548:$O$603),0))</f>
        <v>0</v>
      </c>
      <c r="H887" s="1399">
        <f t="shared" si="216"/>
        <v>0</v>
      </c>
      <c r="I887" s="1399">
        <f t="array" ref="I887" xml:space="preserve"> SUM(($A$756:$A$763=$A887)*($F$730:$O$730=I$730)*($F$756:$O$763)) * SUM(IFERROR(($C$548:$C$603=$A887)*($A$548:$A$603=I$730)*($H$544:$O$544=$D887)*($H$548:$O$603),0))</f>
        <v>0</v>
      </c>
      <c r="J887" s="1399">
        <f t="shared" si="217"/>
        <v>0</v>
      </c>
      <c r="K887" s="1399">
        <f t="array" ref="K887" xml:space="preserve"> SUM(($A$756:$A$763=$A887)*($F$730:$O$730=K$730)*($F$756:$O$763)) * SUM(IFERROR(($C$548:$C$603=$A887)*($A$548:$A$603=K$730)*($H$544:$O$544=$D887)*($H$548:$O$603),0))</f>
        <v>0</v>
      </c>
      <c r="L887" s="1399">
        <f t="shared" si="218"/>
        <v>0</v>
      </c>
      <c r="M887" s="1399">
        <f t="array" ref="M887" xml:space="preserve"> SUM(($A$756:$A$763=$A887)*($F$730:$O$730=M$730)*($F$756:$O$763)) * SUM(IFERROR(($C$548:$C$603=$A887)*($A$548:$A$603=M$730)*($H$544:$O$544=$D887)*($H$548:$O$603),0))</f>
        <v>0</v>
      </c>
      <c r="N887" s="1399">
        <f t="shared" si="219"/>
        <v>0</v>
      </c>
      <c r="O887" s="1399">
        <f t="array" ref="O887" xml:space="preserve"> SUM(($A$756:$A$763=$A887)*($F$730:$O$730=O$730)*($F$756:$O$763)) * SUM(IFERROR(($C$548:$C$603=$A887)*($A$548:$A$603=O$730)*($H$544:$O$544=$D887)*($H$548:$O$603),0))</f>
        <v>0</v>
      </c>
      <c r="Q887" s="670"/>
      <c r="R887" s="670"/>
      <c r="S887" s="670"/>
      <c r="T887" s="670"/>
      <c r="U887" s="670"/>
      <c r="V887" s="670"/>
      <c r="W887" s="670"/>
      <c r="X887" s="670"/>
      <c r="Y887" s="670"/>
    </row>
    <row r="888" spans="1:25" s="17" customFormat="1" hidden="1" outlineLevel="1">
      <c r="A888" s="1401"/>
      <c r="B888" s="1400"/>
      <c r="C888" s="1401"/>
      <c r="D888" s="1406"/>
      <c r="E888" s="1403"/>
      <c r="F888" s="1399">
        <f t="array" ref="F888" xml:space="preserve"> SUM(($A$756:$A$763=$A888)*($F$730:$O$730=F$730)*($F$756:$O$763)) * SUM(IFERROR(($C$548:$C$603=$A888)*($A$548:$A$603=F$730)*($H$544:$O$544=$D888)*($H$548:$O$603),0))</f>
        <v>0</v>
      </c>
      <c r="G888" s="1399">
        <f t="array" ref="G888" xml:space="preserve"> SUM(($A$756:$A$763=$A888)*($F$730:$O$730=G$730)*($F$756:$O$763)) * SUM(IFERROR(($C$548:$C$603=$A888)*($A$548:$A$603=G$730)*($H$544:$O$544=$D888)*($H$548:$O$603),0))</f>
        <v>0</v>
      </c>
      <c r="H888" s="1399">
        <f t="shared" si="216"/>
        <v>0</v>
      </c>
      <c r="I888" s="1399">
        <f t="array" ref="I888" xml:space="preserve"> SUM(($A$756:$A$763=$A888)*($F$730:$O$730=I$730)*($F$756:$O$763)) * SUM(IFERROR(($C$548:$C$603=$A888)*($A$548:$A$603=I$730)*($H$544:$O$544=$D888)*($H$548:$O$603),0))</f>
        <v>0</v>
      </c>
      <c r="J888" s="1399">
        <f t="shared" si="217"/>
        <v>0</v>
      </c>
      <c r="K888" s="1399">
        <f t="array" ref="K888" xml:space="preserve"> SUM(($A$756:$A$763=$A888)*($F$730:$O$730=K$730)*($F$756:$O$763)) * SUM(IFERROR(($C$548:$C$603=$A888)*($A$548:$A$603=K$730)*($H$544:$O$544=$D888)*($H$548:$O$603),0))</f>
        <v>0</v>
      </c>
      <c r="L888" s="1399">
        <f t="shared" si="218"/>
        <v>0</v>
      </c>
      <c r="M888" s="1399">
        <f t="array" ref="M888" xml:space="preserve"> SUM(($A$756:$A$763=$A888)*($F$730:$O$730=M$730)*($F$756:$O$763)) * SUM(IFERROR(($C$548:$C$603=$A888)*($A$548:$A$603=M$730)*($H$544:$O$544=$D888)*($H$548:$O$603),0))</f>
        <v>0</v>
      </c>
      <c r="N888" s="1399">
        <f t="shared" si="219"/>
        <v>0</v>
      </c>
      <c r="O888" s="1399">
        <f t="array" ref="O888" xml:space="preserve"> SUM(($A$756:$A$763=$A888)*($F$730:$O$730=O$730)*($F$756:$O$763)) * SUM(IFERROR(($C$548:$C$603=$A888)*($A$548:$A$603=O$730)*($H$544:$O$544=$D888)*($H$548:$O$603),0))</f>
        <v>0</v>
      </c>
      <c r="Q888" s="670"/>
      <c r="R888" s="670"/>
      <c r="S888" s="670"/>
      <c r="T888" s="670"/>
      <c r="U888" s="670"/>
      <c r="V888" s="670"/>
      <c r="W888" s="670"/>
      <c r="X888" s="670"/>
      <c r="Y888" s="670"/>
    </row>
    <row r="889" spans="1:25" s="17" customFormat="1" hidden="1" outlineLevel="1">
      <c r="A889" s="1408"/>
      <c r="B889" s="1407"/>
      <c r="C889" s="1407" t="str">
        <f>D24</f>
        <v>N.M.M Products  -34</v>
      </c>
      <c r="D889" s="1408"/>
      <c r="E889" s="1403"/>
      <c r="F889" s="1399">
        <f t="array" ref="F889" xml:space="preserve"> SUM(($A$756:$A$763=$A889)*($F$730:$O$730=F$730)*($F$756:$O$763)) * SUM(IFERROR(($C$548:$C$603=$A889)*($A$548:$A$603=F$730)*($H$544:$O$544=$D889)*($H$548:$O$603),0))</f>
        <v>0</v>
      </c>
      <c r="G889" s="1399">
        <f t="array" ref="G889" xml:space="preserve"> SUM(($A$756:$A$763=$A889)*($F$730:$O$730=G$730)*($F$756:$O$763)) * SUM(IFERROR(($C$548:$C$603=$A889)*($A$548:$A$603=G$730)*($H$544:$O$544=$D889)*($H$548:$O$603),0))</f>
        <v>0</v>
      </c>
      <c r="H889" s="1399">
        <f t="shared" si="216"/>
        <v>0</v>
      </c>
      <c r="I889" s="1399">
        <f t="array" ref="I889" xml:space="preserve"> SUM(($A$756:$A$763=$A889)*($F$730:$O$730=I$730)*($F$756:$O$763)) * SUM(IFERROR(($C$548:$C$603=$A889)*($A$548:$A$603=I$730)*($H$544:$O$544=$D889)*($H$548:$O$603),0))</f>
        <v>0</v>
      </c>
      <c r="J889" s="1399">
        <f t="shared" si="217"/>
        <v>0</v>
      </c>
      <c r="K889" s="1399">
        <f t="array" ref="K889" xml:space="preserve"> SUM(($A$756:$A$763=$A889)*($F$730:$O$730=K$730)*($F$756:$O$763)) * SUM(IFERROR(($C$548:$C$603=$A889)*($A$548:$A$603=K$730)*($H$544:$O$544=$D889)*($H$548:$O$603),0))</f>
        <v>0</v>
      </c>
      <c r="L889" s="1399">
        <f t="shared" si="218"/>
        <v>0</v>
      </c>
      <c r="M889" s="1399">
        <f t="array" ref="M889" xml:space="preserve"> SUM(($A$756:$A$763=$A889)*($F$730:$O$730=M$730)*($F$756:$O$763)) * SUM(IFERROR(($C$548:$C$603=$A889)*($A$548:$A$603=M$730)*($H$544:$O$544=$D889)*($H$548:$O$603),0))</f>
        <v>0</v>
      </c>
      <c r="N889" s="1399">
        <f t="shared" si="219"/>
        <v>0</v>
      </c>
      <c r="O889" s="1399">
        <f t="array" ref="O889" xml:space="preserve"> SUM(($A$756:$A$763=$A889)*($F$730:$O$730=O$730)*($F$756:$O$763)) * SUM(IFERROR(($C$548:$C$603=$A889)*($A$548:$A$603=O$730)*($H$544:$O$544=$D889)*($H$548:$O$603),0))</f>
        <v>0</v>
      </c>
      <c r="Q889" s="670"/>
      <c r="R889" s="670"/>
      <c r="S889" s="670"/>
      <c r="T889" s="670"/>
      <c r="U889" s="670"/>
      <c r="V889" s="670"/>
      <c r="W889" s="670"/>
      <c r="X889" s="670"/>
      <c r="Y889" s="670"/>
    </row>
    <row r="890" spans="1:25" s="17" customFormat="1" hidden="1" outlineLevel="1">
      <c r="A890" s="1408" t="str">
        <f>INDEX($C$20:$C$27,MATCH($C889,$D$20:$D$27,0))</f>
        <v>NM</v>
      </c>
      <c r="B890" s="1400" t="str">
        <f>INDEX(EF[UK Vector],MATCH(D890,EF[SATIM Code],0))</f>
        <v>V.03</v>
      </c>
      <c r="C890" s="1401" t="str">
        <f>INDEX(Vectors[Description], MATCH($B890, Vectors[Code], 0))</f>
        <v>Solid hydrocarbons</v>
      </c>
      <c r="D890" s="1406" t="s">
        <v>882</v>
      </c>
      <c r="E890" s="1403"/>
      <c r="F890" s="1399">
        <f t="array" ref="F890" xml:space="preserve"> SUM(($A$756:$A$763=$A890)*($F$730:$O$730=F$730)*($F$756:$O$763)) * SUM(IFERROR(($C$548:$C$603=$A890)*($A$548:$A$603=F$730)*($H$544:$O$544=$D890)*($H$548:$O$603),0))</f>
        <v>34.559999999999995</v>
      </c>
      <c r="G890" s="1399">
        <f t="array" ref="G890" xml:space="preserve"> SUM(($A$756:$A$763=$A890)*($F$730:$O$730=G$730)*($F$756:$O$763)) * SUM(IFERROR(($C$548:$C$603=$A890)*($A$548:$A$603=G$730)*($H$544:$O$544=$D890)*($H$548:$O$603),0))</f>
        <v>40.723449304926099</v>
      </c>
      <c r="H890" s="1399">
        <f t="shared" si="216"/>
        <v>50.886439338406831</v>
      </c>
      <c r="I890" s="1399">
        <f t="array" ref="I890" xml:space="preserve"> SUM(($A$756:$A$763=$A890)*($F$730:$O$730=I$730)*($F$756:$O$763)) * SUM(IFERROR(($C$548:$C$603=$A890)*($A$548:$A$603=I$730)*($H$544:$O$544=$D890)*($H$548:$O$603),0))</f>
        <v>61.049429371887555</v>
      </c>
      <c r="J890" s="1399">
        <f t="shared" si="217"/>
        <v>77.446776540076911</v>
      </c>
      <c r="K890" s="1399">
        <f t="array" ref="K890" xml:space="preserve"> SUM(($A$756:$A$763=$A890)*($F$730:$O$730=K$730)*($F$756:$O$763)) * SUM(IFERROR(($C$548:$C$603=$A890)*($A$548:$A$603=K$730)*($H$544:$O$544=$D890)*($H$548:$O$603),0))</f>
        <v>93.844123708266267</v>
      </c>
      <c r="L890" s="1399">
        <f t="shared" si="218"/>
        <v>120.51828396689916</v>
      </c>
      <c r="M890" s="1399">
        <f t="array" ref="M890" xml:space="preserve"> SUM(($A$756:$A$763=$A890)*($F$730:$O$730=M$730)*($F$756:$O$763)) * SUM(IFERROR(($C$548:$C$603=$A890)*($A$548:$A$603=M$730)*($H$544:$O$544=$D890)*($H$548:$O$603),0))</f>
        <v>147.19244422553206</v>
      </c>
      <c r="N890" s="1399">
        <f t="shared" si="219"/>
        <v>179.17606413872829</v>
      </c>
      <c r="O890" s="1399">
        <f t="array" ref="O890" xml:space="preserve"> SUM(($A$756:$A$763=$A890)*($F$730:$O$730=O$730)*($F$756:$O$763)) * SUM(IFERROR(($C$548:$C$603=$A890)*($A$548:$A$603=O$730)*($H$544:$O$544=$D890)*($H$548:$O$603),0))</f>
        <v>211.15968405192456</v>
      </c>
      <c r="Q890" s="670"/>
      <c r="R890" s="670"/>
      <c r="S890" s="670"/>
      <c r="T890" s="670"/>
      <c r="U890" s="670"/>
      <c r="V890" s="670"/>
      <c r="W890" s="670"/>
      <c r="X890" s="670"/>
      <c r="Y890" s="670"/>
    </row>
    <row r="891" spans="1:25" s="17" customFormat="1" hidden="1" outlineLevel="1">
      <c r="A891" s="1401" t="str">
        <f t="shared" ref="A891:A897" si="220">A890</f>
        <v>NM</v>
      </c>
      <c r="B891" s="1400" t="str">
        <f>INDEX(EF[UK Vector],MATCH(D891,EF[SATIM Code],0))</f>
        <v>V.05</v>
      </c>
      <c r="C891" s="1401" t="str">
        <f>INDEX(Vectors[Description], MATCH($B891, Vectors[Code], 0))</f>
        <v>Gaseous hydrocarbons</v>
      </c>
      <c r="D891" s="1406" t="s">
        <v>869</v>
      </c>
      <c r="E891" s="1403"/>
      <c r="F891" s="1399">
        <f t="array" ref="F891" xml:space="preserve"> SUM(($A$756:$A$763=$A891)*($F$730:$O$730=F$730)*($F$756:$O$763)) * SUM(IFERROR(($C$548:$C$603=$A891)*($A$548:$A$603=F$730)*($H$544:$O$544=$D891)*($H$548:$O$603),0))</f>
        <v>5.6653199999999995</v>
      </c>
      <c r="G891" s="1399">
        <f t="array" ref="G891" xml:space="preserve"> SUM(($A$756:$A$763=$A891)*($F$730:$O$730=G$730)*($F$756:$O$763)) * SUM(IFERROR(($C$548:$C$603=$A891)*($A$548:$A$603=G$730)*($H$544:$O$544=$D891)*($H$548:$O$603),0))</f>
        <v>6.6756762678293962</v>
      </c>
      <c r="H891" s="1399">
        <f t="shared" si="216"/>
        <v>8.3416655819636265</v>
      </c>
      <c r="I891" s="1399">
        <f t="array" ref="I891" xml:space="preserve"> SUM(($A$756:$A$763=$A891)*($F$730:$O$730=I$730)*($F$756:$O$763)) * SUM(IFERROR(($C$548:$C$603=$A891)*($A$548:$A$603=I$730)*($H$544:$O$544=$D891)*($H$548:$O$603),0))</f>
        <v>10.007654896097858</v>
      </c>
      <c r="J891" s="1399">
        <f t="shared" si="217"/>
        <v>12.695624191783232</v>
      </c>
      <c r="K891" s="1399">
        <f t="array" ref="K891" xml:space="preserve"> SUM(($A$756:$A$763=$A891)*($F$730:$O$730=K$730)*($F$756:$O$763)) * SUM(IFERROR(($C$548:$C$603=$A891)*($A$548:$A$603=K$730)*($H$544:$O$544=$D891)*($H$548:$O$603),0))</f>
        <v>15.383593487468607</v>
      </c>
      <c r="L891" s="1399">
        <f t="shared" si="218"/>
        <v>19.756210779032209</v>
      </c>
      <c r="M891" s="1399">
        <f t="array" ref="M891" xml:space="preserve"> SUM(($A$756:$A$763=$A891)*($F$730:$O$730=M$730)*($F$756:$O$763)) * SUM(IFERROR(($C$548:$C$603=$A891)*($A$548:$A$603=M$730)*($H$544:$O$544=$D891)*($H$548:$O$603),0))</f>
        <v>24.128828070595812</v>
      </c>
      <c r="N891" s="1399">
        <f t="shared" si="219"/>
        <v>29.371809597407996</v>
      </c>
      <c r="O891" s="1399">
        <f t="array" ref="O891" xml:space="preserve"> SUM(($A$756:$A$763=$A891)*($F$730:$O$730=O$730)*($F$756:$O$763)) * SUM(IFERROR(($C$548:$C$603=$A891)*($A$548:$A$603=O$730)*($H$544:$O$544=$D891)*($H$548:$O$603),0))</f>
        <v>34.614791124220176</v>
      </c>
      <c r="Q891" s="670"/>
      <c r="R891" s="670"/>
      <c r="S891" s="670"/>
      <c r="T891" s="670"/>
      <c r="U891" s="670"/>
      <c r="V891" s="670"/>
      <c r="W891" s="670"/>
      <c r="X891" s="670"/>
      <c r="Y891" s="670"/>
    </row>
    <row r="892" spans="1:25" s="17" customFormat="1" hidden="1" outlineLevel="1">
      <c r="A892" s="1401" t="str">
        <f t="shared" si="220"/>
        <v>NM</v>
      </c>
      <c r="B892" s="1400" t="str">
        <f>INDEX(EF[UK Vector],MATCH(D892,EF[SATIM Code],0))</f>
        <v>V.04</v>
      </c>
      <c r="C892" s="1401" t="str">
        <f>INDEX(Vectors[Description], MATCH($B892, Vectors[Code], 0))</f>
        <v>Liquid hydrocarbons</v>
      </c>
      <c r="D892" s="1406" t="s">
        <v>885</v>
      </c>
      <c r="E892" s="1403"/>
      <c r="F892" s="1399">
        <f t="array" ref="F892" xml:space="preserve"> SUM(($A$756:$A$763=$A892)*($F$730:$O$730=F$730)*($F$756:$O$763)) * SUM(IFERROR(($C$548:$C$603=$A892)*($A$548:$A$603=F$730)*($H$544:$O$544=$D892)*($H$548:$O$603),0))</f>
        <v>0</v>
      </c>
      <c r="G892" s="1399">
        <f t="array" ref="G892" xml:space="preserve"> SUM(($A$756:$A$763=$A892)*($F$730:$O$730=G$730)*($F$756:$O$763)) * SUM(IFERROR(($C$548:$C$603=$A892)*($A$548:$A$603=G$730)*($H$544:$O$544=$D892)*($H$548:$O$603),0))</f>
        <v>0</v>
      </c>
      <c r="H892" s="1399">
        <f t="shared" si="216"/>
        <v>0</v>
      </c>
      <c r="I892" s="1399">
        <f t="array" ref="I892" xml:space="preserve"> SUM(($A$756:$A$763=$A892)*($F$730:$O$730=I$730)*($F$756:$O$763)) * SUM(IFERROR(($C$548:$C$603=$A892)*($A$548:$A$603=I$730)*($H$544:$O$544=$D892)*($H$548:$O$603),0))</f>
        <v>0</v>
      </c>
      <c r="J892" s="1399">
        <f t="shared" si="217"/>
        <v>0</v>
      </c>
      <c r="K892" s="1399">
        <f t="array" ref="K892" xml:space="preserve"> SUM(($A$756:$A$763=$A892)*($F$730:$O$730=K$730)*($F$756:$O$763)) * SUM(IFERROR(($C$548:$C$603=$A892)*($A$548:$A$603=K$730)*($H$544:$O$544=$D892)*($H$548:$O$603),0))</f>
        <v>0</v>
      </c>
      <c r="L892" s="1399">
        <f t="shared" si="218"/>
        <v>0</v>
      </c>
      <c r="M892" s="1399">
        <f t="array" ref="M892" xml:space="preserve"> SUM(($A$756:$A$763=$A892)*($F$730:$O$730=M$730)*($F$756:$O$763)) * SUM(IFERROR(($C$548:$C$603=$A892)*($A$548:$A$603=M$730)*($H$544:$O$544=$D892)*($H$548:$O$603),0))</f>
        <v>0</v>
      </c>
      <c r="N892" s="1399">
        <f t="shared" si="219"/>
        <v>0</v>
      </c>
      <c r="O892" s="1399">
        <f t="array" ref="O892" xml:space="preserve"> SUM(($A$756:$A$763=$A892)*($F$730:$O$730=O$730)*($F$756:$O$763)) * SUM(IFERROR(($C$548:$C$603=$A892)*($A$548:$A$603=O$730)*($H$544:$O$544=$D892)*($H$548:$O$603),0))</f>
        <v>0</v>
      </c>
      <c r="Q892" s="670"/>
      <c r="R892" s="670"/>
      <c r="S892" s="670"/>
      <c r="T892" s="670"/>
      <c r="U892" s="670"/>
      <c r="V892" s="670"/>
      <c r="W892" s="670"/>
      <c r="X892" s="670"/>
      <c r="Y892" s="670"/>
    </row>
    <row r="893" spans="1:25" s="17" customFormat="1" hidden="1" outlineLevel="1">
      <c r="A893" s="1401" t="str">
        <f t="shared" si="220"/>
        <v>NM</v>
      </c>
      <c r="B893" s="1400" t="str">
        <f>INDEX(EF[UK Vector],MATCH(D893,EF[SATIM Code],0))</f>
        <v>V.04</v>
      </c>
      <c r="C893" s="1401" t="str">
        <f>INDEX(Vectors[Description], MATCH($B893, Vectors[Code], 0))</f>
        <v>Liquid hydrocarbons</v>
      </c>
      <c r="D893" s="1406" t="s">
        <v>887</v>
      </c>
      <c r="E893" s="1403"/>
      <c r="F893" s="1399">
        <f t="array" ref="F893" xml:space="preserve"> SUM(($A$756:$A$763=$A893)*($F$730:$O$730=F$730)*($F$756:$O$763)) * SUM(IFERROR(($C$548:$C$603=$A893)*($A$548:$A$603=F$730)*($H$544:$O$544=$D893)*($H$548:$O$603),0))</f>
        <v>0</v>
      </c>
      <c r="G893" s="1399">
        <f t="array" ref="G893" xml:space="preserve"> SUM(($A$756:$A$763=$A893)*($F$730:$O$730=G$730)*($F$756:$O$763)) * SUM(IFERROR(($C$548:$C$603=$A893)*($A$548:$A$603=G$730)*($H$544:$O$544=$D893)*($H$548:$O$603),0))</f>
        <v>0</v>
      </c>
      <c r="H893" s="1399">
        <f t="shared" si="216"/>
        <v>0</v>
      </c>
      <c r="I893" s="1399">
        <f t="array" ref="I893" xml:space="preserve"> SUM(($A$756:$A$763=$A893)*($F$730:$O$730=I$730)*($F$756:$O$763)) * SUM(IFERROR(($C$548:$C$603=$A893)*($A$548:$A$603=I$730)*($H$544:$O$544=$D893)*($H$548:$O$603),0))</f>
        <v>0</v>
      </c>
      <c r="J893" s="1399">
        <f t="shared" si="217"/>
        <v>0</v>
      </c>
      <c r="K893" s="1399">
        <f t="array" ref="K893" xml:space="preserve"> SUM(($A$756:$A$763=$A893)*($F$730:$O$730=K$730)*($F$756:$O$763)) * SUM(IFERROR(($C$548:$C$603=$A893)*($A$548:$A$603=K$730)*($H$544:$O$544=$D893)*($H$548:$O$603),0))</f>
        <v>0</v>
      </c>
      <c r="L893" s="1399">
        <f t="shared" si="218"/>
        <v>0</v>
      </c>
      <c r="M893" s="1399">
        <f t="array" ref="M893" xml:space="preserve"> SUM(($A$756:$A$763=$A893)*($F$730:$O$730=M$730)*($F$756:$O$763)) * SUM(IFERROR(($C$548:$C$603=$A893)*($A$548:$A$603=M$730)*($H$544:$O$544=$D893)*($H$548:$O$603),0))</f>
        <v>0</v>
      </c>
      <c r="N893" s="1399">
        <f t="shared" si="219"/>
        <v>0</v>
      </c>
      <c r="O893" s="1399">
        <f t="array" ref="O893" xml:space="preserve"> SUM(($A$756:$A$763=$A893)*($F$730:$O$730=O$730)*($F$756:$O$763)) * SUM(IFERROR(($C$548:$C$603=$A893)*($A$548:$A$603=O$730)*($H$544:$O$544=$D893)*($H$548:$O$603),0))</f>
        <v>0</v>
      </c>
      <c r="Q893" s="670"/>
      <c r="R893" s="670"/>
      <c r="S893" s="670"/>
      <c r="T893" s="670"/>
      <c r="U893" s="670"/>
      <c r="V893" s="670"/>
      <c r="W893" s="670"/>
      <c r="X893" s="670"/>
      <c r="Y893" s="670"/>
    </row>
    <row r="894" spans="1:25" s="17" customFormat="1" hidden="1" outlineLevel="1">
      <c r="A894" s="1401" t="str">
        <f t="shared" si="220"/>
        <v>NM</v>
      </c>
      <c r="B894" s="1400" t="str">
        <f>INDEX(EF[UK Vector],MATCH(D894,EF[SATIM Code],0))</f>
        <v>V.01</v>
      </c>
      <c r="C894" s="1401" t="str">
        <f>INDEX(Vectors[Description], MATCH($B894, Vectors[Code], 0))</f>
        <v>Electricity (delivered to end user)</v>
      </c>
      <c r="D894" s="1406" t="s">
        <v>879</v>
      </c>
      <c r="E894" s="1403"/>
      <c r="F894" s="1399">
        <f t="array" ref="F894" xml:space="preserve"> SUM(($A$756:$A$763=$A894)*($F$730:$O$730=F$730)*($F$756:$O$763)) * SUM(IFERROR(($C$548:$C$603=$A894)*($A$548:$A$603=F$730)*($H$544:$O$544=$D894)*($H$548:$O$603),0))</f>
        <v>0</v>
      </c>
      <c r="G894" s="1399">
        <f t="array" ref="G894" xml:space="preserve"> SUM(($A$756:$A$763=$A894)*($F$730:$O$730=G$730)*($F$756:$O$763)) * SUM(IFERROR(($C$548:$C$603=$A894)*($A$548:$A$603=G$730)*($H$544:$O$544=$D894)*($H$548:$O$603),0))</f>
        <v>0</v>
      </c>
      <c r="H894" s="1399">
        <f t="shared" si="216"/>
        <v>0</v>
      </c>
      <c r="I894" s="1399">
        <f t="array" ref="I894" xml:space="preserve"> SUM(($A$756:$A$763=$A894)*($F$730:$O$730=I$730)*($F$756:$O$763)) * SUM(IFERROR(($C$548:$C$603=$A894)*($A$548:$A$603=I$730)*($H$544:$O$544=$D894)*($H$548:$O$603),0))</f>
        <v>0</v>
      </c>
      <c r="J894" s="1399">
        <f t="shared" si="217"/>
        <v>0</v>
      </c>
      <c r="K894" s="1399">
        <f t="array" ref="K894" xml:space="preserve"> SUM(($A$756:$A$763=$A894)*($F$730:$O$730=K$730)*($F$756:$O$763)) * SUM(IFERROR(($C$548:$C$603=$A894)*($A$548:$A$603=K$730)*($H$544:$O$544=$D894)*($H$548:$O$603),0))</f>
        <v>0</v>
      </c>
      <c r="L894" s="1399">
        <f t="shared" si="218"/>
        <v>0</v>
      </c>
      <c r="M894" s="1399">
        <f t="array" ref="M894" xml:space="preserve"> SUM(($A$756:$A$763=$A894)*($F$730:$O$730=M$730)*($F$756:$O$763)) * SUM(IFERROR(($C$548:$C$603=$A894)*($A$548:$A$603=M$730)*($H$544:$O$544=$D894)*($H$548:$O$603),0))</f>
        <v>0</v>
      </c>
      <c r="N894" s="1399">
        <f t="shared" si="219"/>
        <v>0</v>
      </c>
      <c r="O894" s="1399">
        <f t="array" ref="O894" xml:space="preserve"> SUM(($A$756:$A$763=$A894)*($F$730:$O$730=O$730)*($F$756:$O$763)) * SUM(IFERROR(($C$548:$C$603=$A894)*($A$548:$A$603=O$730)*($H$544:$O$544=$D894)*($H$548:$O$603),0))</f>
        <v>0</v>
      </c>
      <c r="Q894" s="670"/>
      <c r="R894" s="670"/>
      <c r="S894" s="670"/>
      <c r="T894" s="670"/>
      <c r="U894" s="670"/>
      <c r="V894" s="670"/>
      <c r="W894" s="670"/>
      <c r="X894" s="670"/>
      <c r="Y894" s="670"/>
    </row>
    <row r="895" spans="1:25" s="17" customFormat="1" hidden="1" outlineLevel="1">
      <c r="A895" s="1401" t="str">
        <f t="shared" si="220"/>
        <v>NM</v>
      </c>
      <c r="B895" s="1400" t="str">
        <f>INDEX(EF[UK Vector],MATCH(D895,EF[SATIM Code],0))</f>
        <v>V.09</v>
      </c>
      <c r="C895" s="1401" t="str">
        <f>INDEX(Vectors[Description], MATCH($B895, Vectors[Code], 0))</f>
        <v>Dry biomass and waste</v>
      </c>
      <c r="D895" s="1406" t="s">
        <v>888</v>
      </c>
      <c r="E895" s="1403"/>
      <c r="F895" s="1399">
        <f t="array" ref="F895" xml:space="preserve"> SUM(($A$756:$A$763=$A895)*($F$730:$O$730=F$730)*($F$756:$O$763)) * SUM(IFERROR(($C$548:$C$603=$A895)*($A$548:$A$603=F$730)*($H$544:$O$544=$D895)*($H$548:$O$603),0))</f>
        <v>0</v>
      </c>
      <c r="G895" s="1399">
        <f t="array" ref="G895" xml:space="preserve"> SUM(($A$756:$A$763=$A895)*($F$730:$O$730=G$730)*($F$756:$O$763)) * SUM(IFERROR(($C$548:$C$603=$A895)*($A$548:$A$603=G$730)*($H$544:$O$544=$D895)*($H$548:$O$603),0))</f>
        <v>0</v>
      </c>
      <c r="H895" s="1399">
        <f t="shared" si="216"/>
        <v>0</v>
      </c>
      <c r="I895" s="1399">
        <f t="array" ref="I895" xml:space="preserve"> SUM(($A$756:$A$763=$A895)*($F$730:$O$730=I$730)*($F$756:$O$763)) * SUM(IFERROR(($C$548:$C$603=$A895)*($A$548:$A$603=I$730)*($H$544:$O$544=$D895)*($H$548:$O$603),0))</f>
        <v>0</v>
      </c>
      <c r="J895" s="1399">
        <f t="shared" si="217"/>
        <v>0</v>
      </c>
      <c r="K895" s="1399">
        <f t="array" ref="K895" xml:space="preserve"> SUM(($A$756:$A$763=$A895)*($F$730:$O$730=K$730)*($F$756:$O$763)) * SUM(IFERROR(($C$548:$C$603=$A895)*($A$548:$A$603=K$730)*($H$544:$O$544=$D895)*($H$548:$O$603),0))</f>
        <v>0</v>
      </c>
      <c r="L895" s="1399">
        <f t="shared" si="218"/>
        <v>0</v>
      </c>
      <c r="M895" s="1399">
        <f t="array" ref="M895" xml:space="preserve"> SUM(($A$756:$A$763=$A895)*($F$730:$O$730=M$730)*($F$756:$O$763)) * SUM(IFERROR(($C$548:$C$603=$A895)*($A$548:$A$603=M$730)*($H$544:$O$544=$D895)*($H$548:$O$603),0))</f>
        <v>0</v>
      </c>
      <c r="N895" s="1399">
        <f t="shared" si="219"/>
        <v>0</v>
      </c>
      <c r="O895" s="1399">
        <f t="array" ref="O895" xml:space="preserve"> SUM(($A$756:$A$763=$A895)*($F$730:$O$730=O$730)*($F$756:$O$763)) * SUM(IFERROR(($C$548:$C$603=$A895)*($A$548:$A$603=O$730)*($H$544:$O$544=$D895)*($H$548:$O$603),0))</f>
        <v>0</v>
      </c>
      <c r="Q895" s="670"/>
      <c r="R895" s="670"/>
      <c r="S895" s="670"/>
      <c r="T895" s="670"/>
      <c r="U895" s="670"/>
      <c r="V895" s="670"/>
      <c r="W895" s="670"/>
      <c r="X895" s="670"/>
      <c r="Y895" s="670"/>
    </row>
    <row r="896" spans="1:25" s="17" customFormat="1" hidden="1" outlineLevel="1">
      <c r="A896" s="1401" t="str">
        <f t="shared" si="220"/>
        <v>NM</v>
      </c>
      <c r="B896" s="1400" t="str">
        <f>INDEX(EF[UK Vector],MATCH(D896,EF[SATIM Code],0))</f>
        <v>V.09</v>
      </c>
      <c r="C896" s="1401" t="str">
        <f>INDEX(Vectors[Description], MATCH($B896, Vectors[Code], 0))</f>
        <v>Dry biomass and waste</v>
      </c>
      <c r="D896" s="1406" t="s">
        <v>889</v>
      </c>
      <c r="E896" s="1403"/>
      <c r="F896" s="1399">
        <f t="array" ref="F896" xml:space="preserve"> SUM(($A$756:$A$763=$A896)*($F$730:$O$730=F$730)*($F$756:$O$763)) * SUM(IFERROR(($C$548:$C$603=$A896)*($A$548:$A$603=F$730)*($H$544:$O$544=$D896)*($H$548:$O$603),0))</f>
        <v>0</v>
      </c>
      <c r="G896" s="1399">
        <f t="array" ref="G896" xml:space="preserve"> SUM(($A$756:$A$763=$A896)*($F$730:$O$730=G$730)*($F$756:$O$763)) * SUM(IFERROR(($C$548:$C$603=$A896)*($A$548:$A$603=G$730)*($H$544:$O$544=$D896)*($H$548:$O$603),0))</f>
        <v>0</v>
      </c>
      <c r="H896" s="1399">
        <f t="shared" si="216"/>
        <v>0</v>
      </c>
      <c r="I896" s="1399">
        <f t="array" ref="I896" xml:space="preserve"> SUM(($A$756:$A$763=$A896)*($F$730:$O$730=I$730)*($F$756:$O$763)) * SUM(IFERROR(($C$548:$C$603=$A896)*($A$548:$A$603=I$730)*($H$544:$O$544=$D896)*($H$548:$O$603),0))</f>
        <v>0</v>
      </c>
      <c r="J896" s="1399">
        <f t="shared" si="217"/>
        <v>0</v>
      </c>
      <c r="K896" s="1399">
        <f t="array" ref="K896" xml:space="preserve"> SUM(($A$756:$A$763=$A896)*($F$730:$O$730=K$730)*($F$756:$O$763)) * SUM(IFERROR(($C$548:$C$603=$A896)*($A$548:$A$603=K$730)*($H$544:$O$544=$D896)*($H$548:$O$603),0))</f>
        <v>0</v>
      </c>
      <c r="L896" s="1399">
        <f t="shared" si="218"/>
        <v>0</v>
      </c>
      <c r="M896" s="1399">
        <f t="array" ref="M896" xml:space="preserve"> SUM(($A$756:$A$763=$A896)*($F$730:$O$730=M$730)*($F$756:$O$763)) * SUM(IFERROR(($C$548:$C$603=$A896)*($A$548:$A$603=M$730)*($H$544:$O$544=$D896)*($H$548:$O$603),0))</f>
        <v>0</v>
      </c>
      <c r="N896" s="1399">
        <f t="shared" si="219"/>
        <v>0</v>
      </c>
      <c r="O896" s="1399">
        <f t="array" ref="O896" xml:space="preserve"> SUM(($A$756:$A$763=$A896)*($F$730:$O$730=O$730)*($F$756:$O$763)) * SUM(IFERROR(($C$548:$C$603=$A896)*($A$548:$A$603=O$730)*($H$544:$O$544=$D896)*($H$548:$O$603),0))</f>
        <v>0</v>
      </c>
      <c r="Q896" s="670"/>
      <c r="R896" s="670"/>
      <c r="S896" s="670"/>
      <c r="T896" s="670"/>
      <c r="U896" s="670"/>
      <c r="V896" s="670"/>
      <c r="W896" s="670"/>
      <c r="X896" s="670"/>
      <c r="Y896" s="670"/>
    </row>
    <row r="897" spans="1:25" s="17" customFormat="1" hidden="1" outlineLevel="1">
      <c r="A897" s="1401" t="str">
        <f t="shared" si="220"/>
        <v>NM</v>
      </c>
      <c r="B897" s="1400" t="s">
        <v>897</v>
      </c>
      <c r="C897" s="1401" t="str">
        <f>INDEX(Vectors[Description], MATCH($B897, Vectors[Code], 0))</f>
        <v>Other Waste</v>
      </c>
      <c r="D897" s="1408" t="s">
        <v>890</v>
      </c>
      <c r="E897" s="1403"/>
      <c r="F897" s="1399">
        <f t="array" ref="F897" xml:space="preserve"> SUM(($A$756:$A$763=$A897)*($F$730:$O$730=F$730)*($F$756:$O$763)) * SUM(IFERROR(($C$548:$C$603=$A897)*($A$548:$A$603=F$730)*($H$544:$O$544=$D897)*($H$548:$O$603),0))</f>
        <v>0</v>
      </c>
      <c r="G897" s="1399">
        <f t="array" ref="G897" xml:space="preserve"> SUM(($A$756:$A$763=$A897)*($F$730:$O$730=G$730)*($F$756:$O$763)) * SUM(IFERROR(($C$548:$C$603=$A897)*($A$548:$A$603=G$730)*($H$544:$O$544=$D897)*($H$548:$O$603),0))</f>
        <v>0</v>
      </c>
      <c r="H897" s="1399">
        <f t="shared" si="216"/>
        <v>0</v>
      </c>
      <c r="I897" s="1399">
        <f t="array" ref="I897" xml:space="preserve"> SUM(($A$756:$A$763=$A897)*($F$730:$O$730=I$730)*($F$756:$O$763)) * SUM(IFERROR(($C$548:$C$603=$A897)*($A$548:$A$603=I$730)*($H$544:$O$544=$D897)*($H$548:$O$603),0))</f>
        <v>0</v>
      </c>
      <c r="J897" s="1399">
        <f t="shared" si="217"/>
        <v>0</v>
      </c>
      <c r="K897" s="1399">
        <f t="array" ref="K897" xml:space="preserve"> SUM(($A$756:$A$763=$A897)*($F$730:$O$730=K$730)*($F$756:$O$763)) * SUM(IFERROR(($C$548:$C$603=$A897)*($A$548:$A$603=K$730)*($H$544:$O$544=$D897)*($H$548:$O$603),0))</f>
        <v>0</v>
      </c>
      <c r="L897" s="1399">
        <f t="shared" si="218"/>
        <v>0</v>
      </c>
      <c r="M897" s="1399">
        <f t="array" ref="M897" xml:space="preserve"> SUM(($A$756:$A$763=$A897)*($F$730:$O$730=M$730)*($F$756:$O$763)) * SUM(IFERROR(($C$548:$C$603=$A897)*($A$548:$A$603=M$730)*($H$544:$O$544=$D897)*($H$548:$O$603),0))</f>
        <v>0</v>
      </c>
      <c r="N897" s="1399">
        <f t="shared" si="219"/>
        <v>0</v>
      </c>
      <c r="O897" s="1399">
        <f t="array" ref="O897" xml:space="preserve"> SUM(($A$756:$A$763=$A897)*($F$730:$O$730=O$730)*($F$756:$O$763)) * SUM(IFERROR(($C$548:$C$603=$A897)*($A$548:$A$603=O$730)*($H$544:$O$544=$D897)*($H$548:$O$603),0))</f>
        <v>0</v>
      </c>
      <c r="Q897" s="670"/>
      <c r="R897" s="670"/>
      <c r="S897" s="670"/>
      <c r="T897" s="670"/>
      <c r="U897" s="670"/>
      <c r="V897" s="670"/>
      <c r="W897" s="670"/>
      <c r="X897" s="670"/>
      <c r="Y897" s="670"/>
    </row>
    <row r="898" spans="1:25" s="17" customFormat="1" hidden="1" outlineLevel="1">
      <c r="A898" s="1401"/>
      <c r="B898" s="1400"/>
      <c r="C898" s="1401"/>
      <c r="D898" s="1406"/>
      <c r="E898" s="1403"/>
      <c r="F898" s="1399">
        <f t="array" ref="F898" xml:space="preserve"> SUM(($A$756:$A$763=$A898)*($F$730:$O$730=F$730)*($F$756:$O$763)) * SUM(IFERROR(($C$548:$C$603=$A898)*($A$548:$A$603=F$730)*($H$544:$O$544=$D898)*($H$548:$O$603),0))</f>
        <v>0</v>
      </c>
      <c r="G898" s="1399">
        <f t="array" ref="G898" xml:space="preserve"> SUM(($A$756:$A$763=$A898)*($F$730:$O$730=G$730)*($F$756:$O$763)) * SUM(IFERROR(($C$548:$C$603=$A898)*($A$548:$A$603=G$730)*($H$544:$O$544=$D898)*($H$548:$O$603),0))</f>
        <v>0</v>
      </c>
      <c r="H898" s="1399">
        <f t="shared" si="216"/>
        <v>0</v>
      </c>
      <c r="I898" s="1399">
        <f t="array" ref="I898" xml:space="preserve"> SUM(($A$756:$A$763=$A898)*($F$730:$O$730=I$730)*($F$756:$O$763)) * SUM(IFERROR(($C$548:$C$603=$A898)*($A$548:$A$603=I$730)*($H$544:$O$544=$D898)*($H$548:$O$603),0))</f>
        <v>0</v>
      </c>
      <c r="J898" s="1399">
        <f t="shared" si="217"/>
        <v>0</v>
      </c>
      <c r="K898" s="1399">
        <f t="array" ref="K898" xml:space="preserve"> SUM(($A$756:$A$763=$A898)*($F$730:$O$730=K$730)*($F$756:$O$763)) * SUM(IFERROR(($C$548:$C$603=$A898)*($A$548:$A$603=K$730)*($H$544:$O$544=$D898)*($H$548:$O$603),0))</f>
        <v>0</v>
      </c>
      <c r="L898" s="1399">
        <f t="shared" si="218"/>
        <v>0</v>
      </c>
      <c r="M898" s="1399">
        <f t="array" ref="M898" xml:space="preserve"> SUM(($A$756:$A$763=$A898)*($F$730:$O$730=M$730)*($F$756:$O$763)) * SUM(IFERROR(($C$548:$C$603=$A898)*($A$548:$A$603=M$730)*($H$544:$O$544=$D898)*($H$548:$O$603),0))</f>
        <v>0</v>
      </c>
      <c r="N898" s="1399">
        <f t="shared" si="219"/>
        <v>0</v>
      </c>
      <c r="O898" s="1399">
        <f t="array" ref="O898" xml:space="preserve"> SUM(($A$756:$A$763=$A898)*($F$730:$O$730=O$730)*($F$756:$O$763)) * SUM(IFERROR(($C$548:$C$603=$A898)*($A$548:$A$603=O$730)*($H$544:$O$544=$D898)*($H$548:$O$603),0))</f>
        <v>0</v>
      </c>
      <c r="Q898" s="670"/>
      <c r="R898" s="670"/>
      <c r="S898" s="670"/>
      <c r="T898" s="670"/>
      <c r="U898" s="670"/>
      <c r="V898" s="670"/>
      <c r="W898" s="670"/>
      <c r="X898" s="670"/>
      <c r="Y898" s="670"/>
    </row>
    <row r="899" spans="1:25" s="17" customFormat="1" hidden="1" outlineLevel="1">
      <c r="A899" s="1408"/>
      <c r="B899" s="1407"/>
      <c r="C899" s="1407" t="str">
        <f>D25</f>
        <v>Food, Beverage &amp; Tabacco  - 30</v>
      </c>
      <c r="D899" s="1408"/>
      <c r="E899" s="1403"/>
      <c r="F899" s="1399">
        <f t="array" ref="F899" xml:space="preserve"> SUM(($A$756:$A$763=$A899)*($F$730:$O$730=F$730)*($F$756:$O$763)) * SUM(IFERROR(($C$548:$C$603=$A899)*($A$548:$A$603=F$730)*($H$544:$O$544=$D899)*($H$548:$O$603),0))</f>
        <v>0</v>
      </c>
      <c r="G899" s="1399">
        <f t="array" ref="G899" xml:space="preserve"> SUM(($A$756:$A$763=$A899)*($F$730:$O$730=G$730)*($F$756:$O$763)) * SUM(IFERROR(($C$548:$C$603=$A899)*($A$548:$A$603=G$730)*($H$544:$O$544=$D899)*($H$548:$O$603),0))</f>
        <v>0</v>
      </c>
      <c r="H899" s="1399">
        <f t="shared" si="216"/>
        <v>0</v>
      </c>
      <c r="I899" s="1399">
        <f t="array" ref="I899" xml:space="preserve"> SUM(($A$756:$A$763=$A899)*($F$730:$O$730=I$730)*($F$756:$O$763)) * SUM(IFERROR(($C$548:$C$603=$A899)*($A$548:$A$603=I$730)*($H$544:$O$544=$D899)*($H$548:$O$603),0))</f>
        <v>0</v>
      </c>
      <c r="J899" s="1399">
        <f t="shared" si="217"/>
        <v>0</v>
      </c>
      <c r="K899" s="1399">
        <f t="array" ref="K899" xml:space="preserve"> SUM(($A$756:$A$763=$A899)*($F$730:$O$730=K$730)*($F$756:$O$763)) * SUM(IFERROR(($C$548:$C$603=$A899)*($A$548:$A$603=K$730)*($H$544:$O$544=$D899)*($H$548:$O$603),0))</f>
        <v>0</v>
      </c>
      <c r="L899" s="1399">
        <f t="shared" si="218"/>
        <v>0</v>
      </c>
      <c r="M899" s="1399">
        <f t="array" ref="M899" xml:space="preserve"> SUM(($A$756:$A$763=$A899)*($F$730:$O$730=M$730)*($F$756:$O$763)) * SUM(IFERROR(($C$548:$C$603=$A899)*($A$548:$A$603=M$730)*($H$544:$O$544=$D899)*($H$548:$O$603),0))</f>
        <v>0</v>
      </c>
      <c r="N899" s="1399">
        <f t="shared" si="219"/>
        <v>0</v>
      </c>
      <c r="O899" s="1399">
        <f t="array" ref="O899" xml:space="preserve"> SUM(($A$756:$A$763=$A899)*($F$730:$O$730=O$730)*($F$756:$O$763)) * SUM(IFERROR(($C$548:$C$603=$A899)*($A$548:$A$603=O$730)*($H$544:$O$544=$D899)*($H$548:$O$603),0))</f>
        <v>0</v>
      </c>
      <c r="Q899" s="670"/>
      <c r="R899" s="670"/>
      <c r="S899" s="670"/>
      <c r="T899" s="670"/>
      <c r="U899" s="670"/>
      <c r="V899" s="670"/>
      <c r="W899" s="670"/>
      <c r="X899" s="670"/>
      <c r="Y899" s="670"/>
    </row>
    <row r="900" spans="1:25" s="17" customFormat="1" hidden="1" outlineLevel="1">
      <c r="A900" s="1408" t="str">
        <f>INDEX($C$20:$C$27,MATCH($C899,$D$20:$D$27,0))</f>
        <v>FB</v>
      </c>
      <c r="B900" s="1400" t="str">
        <f>INDEX(EF[UK Vector],MATCH(D900,EF[SATIM Code],0))</f>
        <v>V.03</v>
      </c>
      <c r="C900" s="1401" t="str">
        <f>INDEX(Vectors[Description], MATCH($B900, Vectors[Code], 0))</f>
        <v>Solid hydrocarbons</v>
      </c>
      <c r="D900" s="1406" t="s">
        <v>882</v>
      </c>
      <c r="E900" s="1403"/>
      <c r="F900" s="1399">
        <f t="array" ref="F900" xml:space="preserve"> SUM(($A$756:$A$763=$A900)*($F$730:$O$730=F$730)*($F$756:$O$763)) * SUM(IFERROR(($C$548:$C$603=$A900)*($A$548:$A$603=F$730)*($H$544:$O$544=$D900)*($H$548:$O$603),0))</f>
        <v>15.156564812580831</v>
      </c>
      <c r="G900" s="1399">
        <f t="array" ref="G900" xml:space="preserve"> SUM(($A$756:$A$763=$A900)*($F$730:$O$730=G$730)*($F$756:$O$763)) * SUM(IFERROR(($C$548:$C$603=$A900)*($A$548:$A$603=G$730)*($H$544:$O$544=$D900)*($H$548:$O$603),0))</f>
        <v>18.274544260775176</v>
      </c>
      <c r="H900" s="1399">
        <f t="shared" si="216"/>
        <v>24.079843634559992</v>
      </c>
      <c r="I900" s="1399">
        <f t="array" ref="I900" xml:space="preserve"> SUM(($A$756:$A$763=$A900)*($F$730:$O$730=I$730)*($F$756:$O$763)) * SUM(IFERROR(($C$548:$C$603=$A900)*($A$548:$A$603=I$730)*($H$544:$O$544=$D900)*($H$548:$O$603),0))</f>
        <v>29.885143008344805</v>
      </c>
      <c r="J900" s="1399">
        <f t="shared" si="217"/>
        <v>38.487288286783354</v>
      </c>
      <c r="K900" s="1399">
        <f t="array" ref="K900" xml:space="preserve"> SUM(($A$756:$A$763=$A900)*($F$730:$O$730=K$730)*($F$756:$O$763)) * SUM(IFERROR(($C$548:$C$603=$A900)*($A$548:$A$603=K$730)*($H$544:$O$544=$D900)*($H$548:$O$603),0))</f>
        <v>47.089433565221896</v>
      </c>
      <c r="L900" s="1399">
        <f t="shared" si="218"/>
        <v>59.768387226872228</v>
      </c>
      <c r="M900" s="1399">
        <f t="array" ref="M900" xml:space="preserve"> SUM(($A$756:$A$763=$A900)*($F$730:$O$730=M$730)*($F$756:$O$763)) * SUM(IFERROR(($C$548:$C$603=$A900)*($A$548:$A$603=M$730)*($H$544:$O$544=$D900)*($H$548:$O$603),0))</f>
        <v>72.447340888522561</v>
      </c>
      <c r="N900" s="1399">
        <f t="shared" si="219"/>
        <v>87.111917026190412</v>
      </c>
      <c r="O900" s="1399">
        <f t="array" ref="O900" xml:space="preserve"> SUM(($A$756:$A$763=$A900)*($F$730:$O$730=O$730)*($F$756:$O$763)) * SUM(IFERROR(($C$548:$C$603=$A900)*($A$548:$A$603=O$730)*($H$544:$O$544=$D900)*($H$548:$O$603),0))</f>
        <v>101.77649316385825</v>
      </c>
      <c r="Q900" s="670"/>
      <c r="R900" s="670"/>
      <c r="S900" s="670"/>
      <c r="T900" s="670"/>
      <c r="U900" s="670"/>
      <c r="V900" s="670"/>
      <c r="W900" s="670"/>
      <c r="X900" s="670"/>
      <c r="Y900" s="670"/>
    </row>
    <row r="901" spans="1:25" s="17" customFormat="1" hidden="1" outlineLevel="1">
      <c r="A901" s="1401" t="str">
        <f t="shared" ref="A901:A907" si="221">A900</f>
        <v>FB</v>
      </c>
      <c r="B901" s="1400" t="str">
        <f>INDEX(EF[UK Vector],MATCH(D901,EF[SATIM Code],0))</f>
        <v>V.05</v>
      </c>
      <c r="C901" s="1401" t="str">
        <f>INDEX(Vectors[Description], MATCH($B901, Vectors[Code], 0))</f>
        <v>Gaseous hydrocarbons</v>
      </c>
      <c r="D901" s="1406" t="s">
        <v>869</v>
      </c>
      <c r="E901" s="1403"/>
      <c r="F901" s="1399">
        <f t="array" ref="F901" xml:space="preserve"> SUM(($A$756:$A$763=$A901)*($F$730:$O$730=F$730)*($F$756:$O$763)) * SUM(IFERROR(($C$548:$C$603=$A901)*($A$548:$A$603=F$730)*($H$544:$O$544=$D901)*($H$548:$O$603),0))</f>
        <v>0.73504076644901573</v>
      </c>
      <c r="G901" s="1399">
        <f t="array" ref="G901" xml:space="preserve"> SUM(($A$756:$A$763=$A901)*($F$730:$O$730=G$730)*($F$756:$O$763)) * SUM(IFERROR(($C$548:$C$603=$A901)*($A$548:$A$603=G$730)*($H$544:$O$544=$D901)*($H$548:$O$603),0))</f>
        <v>0.88625194336891311</v>
      </c>
      <c r="H901" s="1399">
        <f t="shared" si="216"/>
        <v>1.1677888057079842</v>
      </c>
      <c r="I901" s="1399">
        <f t="array" ref="I901" xml:space="preserve"> SUM(($A$756:$A$763=$A901)*($F$730:$O$730=I$730)*($F$756:$O$763)) * SUM(IFERROR(($C$548:$C$603=$A901)*($A$548:$A$603=I$730)*($H$544:$O$544=$D901)*($H$548:$O$603),0))</f>
        <v>1.4493256680470554</v>
      </c>
      <c r="J901" s="1399">
        <f t="shared" si="217"/>
        <v>1.8664998454913306</v>
      </c>
      <c r="K901" s="1399">
        <f t="array" ref="K901" xml:space="preserve"> SUM(($A$756:$A$763=$A901)*($F$730:$O$730=K$730)*($F$756:$O$763)) * SUM(IFERROR(($C$548:$C$603=$A901)*($A$548:$A$603=K$730)*($H$544:$O$544=$D901)*($H$548:$O$603),0))</f>
        <v>2.2836740229356058</v>
      </c>
      <c r="L901" s="1399">
        <f t="shared" si="218"/>
        <v>2.8985592513809886</v>
      </c>
      <c r="M901" s="1399">
        <f t="array" ref="M901" xml:space="preserve"> SUM(($A$756:$A$763=$A901)*($F$730:$O$730=M$730)*($F$756:$O$763)) * SUM(IFERROR(($C$548:$C$603=$A901)*($A$548:$A$603=M$730)*($H$544:$O$544=$D901)*($H$548:$O$603),0))</f>
        <v>3.5134444798263713</v>
      </c>
      <c r="N901" s="1399">
        <f t="shared" si="219"/>
        <v>4.2246255038361173</v>
      </c>
      <c r="O901" s="1399">
        <f t="array" ref="O901" xml:space="preserve"> SUM(($A$756:$A$763=$A901)*($F$730:$O$730=O$730)*($F$756:$O$763)) * SUM(IFERROR(($C$548:$C$603=$A901)*($A$548:$A$603=O$730)*($H$544:$O$544=$D901)*($H$548:$O$603),0))</f>
        <v>4.9358065278458625</v>
      </c>
      <c r="Q901" s="670"/>
      <c r="R901" s="670"/>
      <c r="S901" s="670"/>
      <c r="T901" s="670"/>
      <c r="U901" s="670"/>
      <c r="V901" s="670"/>
      <c r="W901" s="670"/>
      <c r="X901" s="670"/>
      <c r="Y901" s="670"/>
    </row>
    <row r="902" spans="1:25" s="17" customFormat="1" hidden="1" outlineLevel="1">
      <c r="A902" s="1401" t="str">
        <f t="shared" si="221"/>
        <v>FB</v>
      </c>
      <c r="B902" s="1400" t="str">
        <f>INDEX(EF[UK Vector],MATCH(D902,EF[SATIM Code],0))</f>
        <v>V.04</v>
      </c>
      <c r="C902" s="1401" t="str">
        <f>INDEX(Vectors[Description], MATCH($B902, Vectors[Code], 0))</f>
        <v>Liquid hydrocarbons</v>
      </c>
      <c r="D902" s="1406" t="s">
        <v>885</v>
      </c>
      <c r="E902" s="1403"/>
      <c r="F902" s="1399">
        <f t="array" ref="F902" xml:space="preserve"> SUM(($A$756:$A$763=$A902)*($F$730:$O$730=F$730)*($F$756:$O$763)) * SUM(IFERROR(($C$548:$C$603=$A902)*($A$548:$A$603=F$730)*($H$544:$O$544=$D902)*($H$548:$O$603),0))</f>
        <v>0</v>
      </c>
      <c r="G902" s="1399">
        <f t="array" ref="G902" xml:space="preserve"> SUM(($A$756:$A$763=$A902)*($F$730:$O$730=G$730)*($F$756:$O$763)) * SUM(IFERROR(($C$548:$C$603=$A902)*($A$548:$A$603=G$730)*($H$544:$O$544=$D902)*($H$548:$O$603),0))</f>
        <v>0</v>
      </c>
      <c r="H902" s="1399">
        <f t="shared" si="216"/>
        <v>0</v>
      </c>
      <c r="I902" s="1399">
        <f t="array" ref="I902" xml:space="preserve"> SUM(($A$756:$A$763=$A902)*($F$730:$O$730=I$730)*($F$756:$O$763)) * SUM(IFERROR(($C$548:$C$603=$A902)*($A$548:$A$603=I$730)*($H$544:$O$544=$D902)*($H$548:$O$603),0))</f>
        <v>0</v>
      </c>
      <c r="J902" s="1399">
        <f t="shared" si="217"/>
        <v>0</v>
      </c>
      <c r="K902" s="1399">
        <f t="array" ref="K902" xml:space="preserve"> SUM(($A$756:$A$763=$A902)*($F$730:$O$730=K$730)*($F$756:$O$763)) * SUM(IFERROR(($C$548:$C$603=$A902)*($A$548:$A$603=K$730)*($H$544:$O$544=$D902)*($H$548:$O$603),0))</f>
        <v>0</v>
      </c>
      <c r="L902" s="1399">
        <f t="shared" si="218"/>
        <v>0</v>
      </c>
      <c r="M902" s="1399">
        <f t="array" ref="M902" xml:space="preserve"> SUM(($A$756:$A$763=$A902)*($F$730:$O$730=M$730)*($F$756:$O$763)) * SUM(IFERROR(($C$548:$C$603=$A902)*($A$548:$A$603=M$730)*($H$544:$O$544=$D902)*($H$548:$O$603),0))</f>
        <v>0</v>
      </c>
      <c r="N902" s="1399">
        <f t="shared" si="219"/>
        <v>0</v>
      </c>
      <c r="O902" s="1399">
        <f t="array" ref="O902" xml:space="preserve"> SUM(($A$756:$A$763=$A902)*($F$730:$O$730=O$730)*($F$756:$O$763)) * SUM(IFERROR(($C$548:$C$603=$A902)*($A$548:$A$603=O$730)*($H$544:$O$544=$D902)*($H$548:$O$603),0))</f>
        <v>0</v>
      </c>
      <c r="Q902" s="670"/>
      <c r="R902" s="670"/>
      <c r="S902" s="670"/>
      <c r="T902" s="670"/>
      <c r="U902" s="670"/>
      <c r="V902" s="670"/>
      <c r="W902" s="670"/>
      <c r="X902" s="670"/>
      <c r="Y902" s="670"/>
    </row>
    <row r="903" spans="1:25" s="17" customFormat="1" hidden="1" outlineLevel="1">
      <c r="A903" s="1401" t="str">
        <f t="shared" si="221"/>
        <v>FB</v>
      </c>
      <c r="B903" s="1400" t="str">
        <f>INDEX(EF[UK Vector],MATCH(D903,EF[SATIM Code],0))</f>
        <v>V.04</v>
      </c>
      <c r="C903" s="1401" t="str">
        <f>INDEX(Vectors[Description], MATCH($B903, Vectors[Code], 0))</f>
        <v>Liquid hydrocarbons</v>
      </c>
      <c r="D903" s="1406" t="s">
        <v>887</v>
      </c>
      <c r="E903" s="1403"/>
      <c r="F903" s="1399">
        <f t="array" ref="F903" xml:space="preserve"> SUM(($A$756:$A$763=$A903)*($F$730:$O$730=F$730)*($F$756:$O$763)) * SUM(IFERROR(($C$548:$C$603=$A903)*($A$548:$A$603=F$730)*($H$544:$O$544=$D903)*($H$548:$O$603),0))</f>
        <v>0</v>
      </c>
      <c r="G903" s="1399">
        <f t="array" ref="G903" xml:space="preserve"> SUM(($A$756:$A$763=$A903)*($F$730:$O$730=G$730)*($F$756:$O$763)) * SUM(IFERROR(($C$548:$C$603=$A903)*($A$548:$A$603=G$730)*($H$544:$O$544=$D903)*($H$548:$O$603),0))</f>
        <v>0</v>
      </c>
      <c r="H903" s="1399">
        <f t="shared" si="216"/>
        <v>0</v>
      </c>
      <c r="I903" s="1399">
        <f t="array" ref="I903" xml:space="preserve"> SUM(($A$756:$A$763=$A903)*($F$730:$O$730=I$730)*($F$756:$O$763)) * SUM(IFERROR(($C$548:$C$603=$A903)*($A$548:$A$603=I$730)*($H$544:$O$544=$D903)*($H$548:$O$603),0))</f>
        <v>0</v>
      </c>
      <c r="J903" s="1399">
        <f t="shared" si="217"/>
        <v>0</v>
      </c>
      <c r="K903" s="1399">
        <f t="array" ref="K903" xml:space="preserve"> SUM(($A$756:$A$763=$A903)*($F$730:$O$730=K$730)*($F$756:$O$763)) * SUM(IFERROR(($C$548:$C$603=$A903)*($A$548:$A$603=K$730)*($H$544:$O$544=$D903)*($H$548:$O$603),0))</f>
        <v>0</v>
      </c>
      <c r="L903" s="1399">
        <f t="shared" si="218"/>
        <v>0</v>
      </c>
      <c r="M903" s="1399">
        <f t="array" ref="M903" xml:space="preserve"> SUM(($A$756:$A$763=$A903)*($F$730:$O$730=M$730)*($F$756:$O$763)) * SUM(IFERROR(($C$548:$C$603=$A903)*($A$548:$A$603=M$730)*($H$544:$O$544=$D903)*($H$548:$O$603),0))</f>
        <v>0</v>
      </c>
      <c r="N903" s="1399">
        <f t="shared" si="219"/>
        <v>0</v>
      </c>
      <c r="O903" s="1399">
        <f t="array" ref="O903" xml:space="preserve"> SUM(($A$756:$A$763=$A903)*($F$730:$O$730=O$730)*($F$756:$O$763)) * SUM(IFERROR(($C$548:$C$603=$A903)*($A$548:$A$603=O$730)*($H$544:$O$544=$D903)*($H$548:$O$603),0))</f>
        <v>0</v>
      </c>
      <c r="Q903" s="670"/>
      <c r="R903" s="670"/>
      <c r="S903" s="670"/>
      <c r="T903" s="670"/>
      <c r="U903" s="670"/>
      <c r="V903" s="670"/>
      <c r="W903" s="670"/>
      <c r="X903" s="670"/>
      <c r="Y903" s="670"/>
    </row>
    <row r="904" spans="1:25" s="17" customFormat="1" hidden="1" outlineLevel="1">
      <c r="A904" s="1401" t="str">
        <f t="shared" si="221"/>
        <v>FB</v>
      </c>
      <c r="B904" s="1400" t="str">
        <f>INDEX(EF[UK Vector],MATCH(D904,EF[SATIM Code],0))</f>
        <v>V.01</v>
      </c>
      <c r="C904" s="1401" t="str">
        <f>INDEX(Vectors[Description], MATCH($B904, Vectors[Code], 0))</f>
        <v>Electricity (delivered to end user)</v>
      </c>
      <c r="D904" s="1406" t="s">
        <v>879</v>
      </c>
      <c r="E904" s="1403"/>
      <c r="F904" s="1399">
        <f t="array" ref="F904" xml:space="preserve"> SUM(($A$756:$A$763=$A904)*($F$730:$O$730=F$730)*($F$756:$O$763)) * SUM(IFERROR(($C$548:$C$603=$A904)*($A$548:$A$603=F$730)*($H$544:$O$544=$D904)*($H$548:$O$603),0))</f>
        <v>0.16701318530153561</v>
      </c>
      <c r="G904" s="1399">
        <f t="array" ref="G904" xml:space="preserve"> SUM(($A$756:$A$763=$A904)*($F$730:$O$730=G$730)*($F$756:$O$763)) * SUM(IFERROR(($C$548:$C$603=$A904)*($A$548:$A$603=G$730)*($H$544:$O$544=$D904)*($H$548:$O$603),0))</f>
        <v>0.20137081750823554</v>
      </c>
      <c r="H904" s="1399">
        <f t="shared" si="216"/>
        <v>0.26534055946717994</v>
      </c>
      <c r="I904" s="1399">
        <f t="array" ref="I904" xml:space="preserve"> SUM(($A$756:$A$763=$A904)*($F$730:$O$730=I$730)*($F$756:$O$763)) * SUM(IFERROR(($C$548:$C$603=$A904)*($A$548:$A$603=I$730)*($H$544:$O$544=$D904)*($H$548:$O$603),0))</f>
        <v>0.32931030142612427</v>
      </c>
      <c r="J904" s="1399">
        <f t="shared" si="217"/>
        <v>0.42409904156241596</v>
      </c>
      <c r="K904" s="1399">
        <f t="array" ref="K904" xml:space="preserve"> SUM(($A$756:$A$763=$A904)*($F$730:$O$730=K$730)*($F$756:$O$763)) * SUM(IFERROR(($C$548:$C$603=$A904)*($A$548:$A$603=K$730)*($H$544:$O$544=$D904)*($H$548:$O$603),0))</f>
        <v>0.51888778169870764</v>
      </c>
      <c r="L904" s="1399">
        <f t="shared" si="218"/>
        <v>0.6585996797117124</v>
      </c>
      <c r="M904" s="1399">
        <f t="array" ref="M904" xml:space="preserve"> SUM(($A$756:$A$763=$A904)*($F$730:$O$730=M$730)*($F$756:$O$763)) * SUM(IFERROR(($C$548:$C$603=$A904)*($A$548:$A$603=M$730)*($H$544:$O$544=$D904)*($H$548:$O$603),0))</f>
        <v>0.79831157772471717</v>
      </c>
      <c r="N904" s="1399">
        <f t="shared" si="219"/>
        <v>0.95990344251295978</v>
      </c>
      <c r="O904" s="1399">
        <f t="array" ref="O904" xml:space="preserve"> SUM(($A$756:$A$763=$A904)*($F$730:$O$730=O$730)*($F$756:$O$763)) * SUM(IFERROR(($C$548:$C$603=$A904)*($A$548:$A$603=O$730)*($H$544:$O$544=$D904)*($H$548:$O$603),0))</f>
        <v>1.1214953073012024</v>
      </c>
      <c r="Q904" s="670"/>
      <c r="R904" s="670"/>
      <c r="S904" s="670"/>
      <c r="T904" s="670"/>
      <c r="U904" s="670"/>
      <c r="V904" s="670"/>
      <c r="W904" s="670"/>
      <c r="X904" s="670"/>
      <c r="Y904" s="670"/>
    </row>
    <row r="905" spans="1:25" s="17" customFormat="1" hidden="1" outlineLevel="1">
      <c r="A905" s="1401" t="str">
        <f t="shared" si="221"/>
        <v>FB</v>
      </c>
      <c r="B905" s="1400" t="str">
        <f>INDEX(EF[UK Vector],MATCH(D905,EF[SATIM Code],0))</f>
        <v>V.09</v>
      </c>
      <c r="C905" s="1401" t="str">
        <f>INDEX(Vectors[Description], MATCH($B905, Vectors[Code], 0))</f>
        <v>Dry biomass and waste</v>
      </c>
      <c r="D905" s="1406" t="s">
        <v>888</v>
      </c>
      <c r="E905" s="1403"/>
      <c r="F905" s="1399">
        <f t="array" ref="F905" xml:space="preserve"> SUM(($A$756:$A$763=$A905)*($F$730:$O$730=F$730)*($F$756:$O$763)) * SUM(IFERROR(($C$548:$C$603=$A905)*($A$548:$A$603=F$730)*($H$544:$O$544=$D905)*($H$548:$O$603),0))</f>
        <v>0</v>
      </c>
      <c r="G905" s="1399">
        <f t="array" ref="G905" xml:space="preserve"> SUM(($A$756:$A$763=$A905)*($F$730:$O$730=G$730)*($F$756:$O$763)) * SUM(IFERROR(($C$548:$C$603=$A905)*($A$548:$A$603=G$730)*($H$544:$O$544=$D905)*($H$548:$O$603),0))</f>
        <v>0</v>
      </c>
      <c r="H905" s="1399">
        <f t="shared" si="216"/>
        <v>0</v>
      </c>
      <c r="I905" s="1399">
        <f t="array" ref="I905" xml:space="preserve"> SUM(($A$756:$A$763=$A905)*($F$730:$O$730=I$730)*($F$756:$O$763)) * SUM(IFERROR(($C$548:$C$603=$A905)*($A$548:$A$603=I$730)*($H$544:$O$544=$D905)*($H$548:$O$603),0))</f>
        <v>0</v>
      </c>
      <c r="J905" s="1399">
        <f t="shared" si="217"/>
        <v>0</v>
      </c>
      <c r="K905" s="1399">
        <f t="array" ref="K905" xml:space="preserve"> SUM(($A$756:$A$763=$A905)*($F$730:$O$730=K$730)*($F$756:$O$763)) * SUM(IFERROR(($C$548:$C$603=$A905)*($A$548:$A$603=K$730)*($H$544:$O$544=$D905)*($H$548:$O$603),0))</f>
        <v>0</v>
      </c>
      <c r="L905" s="1399">
        <f t="shared" si="218"/>
        <v>0</v>
      </c>
      <c r="M905" s="1399">
        <f t="array" ref="M905" xml:space="preserve"> SUM(($A$756:$A$763=$A905)*($F$730:$O$730=M$730)*($F$756:$O$763)) * SUM(IFERROR(($C$548:$C$603=$A905)*($A$548:$A$603=M$730)*($H$544:$O$544=$D905)*($H$548:$O$603),0))</f>
        <v>0</v>
      </c>
      <c r="N905" s="1399">
        <f t="shared" si="219"/>
        <v>0</v>
      </c>
      <c r="O905" s="1399">
        <f t="array" ref="O905" xml:space="preserve"> SUM(($A$756:$A$763=$A905)*($F$730:$O$730=O$730)*($F$756:$O$763)) * SUM(IFERROR(($C$548:$C$603=$A905)*($A$548:$A$603=O$730)*($H$544:$O$544=$D905)*($H$548:$O$603),0))</f>
        <v>0</v>
      </c>
      <c r="Q905" s="670"/>
      <c r="R905" s="670"/>
      <c r="S905" s="670"/>
      <c r="T905" s="670"/>
      <c r="U905" s="670"/>
      <c r="V905" s="670"/>
      <c r="W905" s="670"/>
      <c r="X905" s="670"/>
      <c r="Y905" s="670"/>
    </row>
    <row r="906" spans="1:25" s="17" customFormat="1" hidden="1" outlineLevel="1">
      <c r="A906" s="1401" t="str">
        <f t="shared" si="221"/>
        <v>FB</v>
      </c>
      <c r="B906" s="1400" t="str">
        <f>INDEX(EF[UK Vector],MATCH(D906,EF[SATIM Code],0))</f>
        <v>V.09</v>
      </c>
      <c r="C906" s="1401" t="str">
        <f>INDEX(Vectors[Description], MATCH($B906, Vectors[Code], 0))</f>
        <v>Dry biomass and waste</v>
      </c>
      <c r="D906" s="1406" t="s">
        <v>889</v>
      </c>
      <c r="E906" s="1403"/>
      <c r="F906" s="1399">
        <f t="array" ref="F906" xml:space="preserve"> SUM(($A$756:$A$763=$A906)*($F$730:$O$730=F$730)*($F$756:$O$763)) * SUM(IFERROR(($C$548:$C$603=$A906)*($A$548:$A$603=F$730)*($H$544:$O$544=$D906)*($H$548:$O$603),0))</f>
        <v>4.3855800962328804</v>
      </c>
      <c r="G906" s="1399">
        <f t="array" ref="G906" xml:space="preserve"> SUM(($A$756:$A$763=$A906)*($F$730:$O$730=G$730)*($F$756:$O$763)) * SUM(IFERROR(($C$548:$C$603=$A906)*($A$548:$A$603=G$730)*($H$544:$O$544=$D906)*($H$548:$O$603),0))</f>
        <v>5.2877732236039297</v>
      </c>
      <c r="H906" s="1399">
        <f t="shared" si="216"/>
        <v>6.9675473479629613</v>
      </c>
      <c r="I906" s="1399">
        <f t="array" ref="I906" xml:space="preserve"> SUM(($A$756:$A$763=$A906)*($F$730:$O$730=I$730)*($F$756:$O$763)) * SUM(IFERROR(($C$548:$C$603=$A906)*($A$548:$A$603=I$730)*($H$544:$O$544=$D906)*($H$548:$O$603),0))</f>
        <v>8.6473214723219929</v>
      </c>
      <c r="J906" s="1399">
        <f t="shared" si="217"/>
        <v>11.136368138536852</v>
      </c>
      <c r="K906" s="1399">
        <f t="array" ref="K906" xml:space="preserve"> SUM(($A$756:$A$763=$A906)*($F$730:$O$730=K$730)*($F$756:$O$763)) * SUM(IFERROR(($C$548:$C$603=$A906)*($A$548:$A$603=K$730)*($H$544:$O$544=$D906)*($H$548:$O$603),0))</f>
        <v>13.62541480475171</v>
      </c>
      <c r="L906" s="1399">
        <f t="shared" si="218"/>
        <v>17.294093526294052</v>
      </c>
      <c r="M906" s="1399">
        <f t="array" ref="M906" xml:space="preserve"> SUM(($A$756:$A$763=$A906)*($F$730:$O$730=M$730)*($F$756:$O$763)) * SUM(IFERROR(($C$548:$C$603=$A906)*($A$548:$A$603=M$730)*($H$544:$O$544=$D906)*($H$548:$O$603),0))</f>
        <v>20.962772247836394</v>
      </c>
      <c r="N906" s="1399">
        <f t="shared" si="219"/>
        <v>25.20599450989306</v>
      </c>
      <c r="O906" s="1399">
        <f t="array" ref="O906" xml:space="preserve"> SUM(($A$756:$A$763=$A906)*($F$730:$O$730=O$730)*($F$756:$O$763)) * SUM(IFERROR(($C$548:$C$603=$A906)*($A$548:$A$603=O$730)*($H$544:$O$544=$D906)*($H$548:$O$603),0))</f>
        <v>29.449216771949729</v>
      </c>
      <c r="Q906" s="670"/>
      <c r="R906" s="670"/>
      <c r="S906" s="670"/>
      <c r="T906" s="670"/>
      <c r="U906" s="670"/>
      <c r="V906" s="670"/>
      <c r="W906" s="670"/>
      <c r="X906" s="670"/>
      <c r="Y906" s="670"/>
    </row>
    <row r="907" spans="1:25" s="17" customFormat="1" hidden="1" outlineLevel="1">
      <c r="A907" s="1401" t="str">
        <f t="shared" si="221"/>
        <v>FB</v>
      </c>
      <c r="B907" s="1400" t="s">
        <v>897</v>
      </c>
      <c r="C907" s="1401" t="str">
        <f>INDEX(Vectors[Description], MATCH($B907, Vectors[Code], 0))</f>
        <v>Other Waste</v>
      </c>
      <c r="D907" s="1408" t="s">
        <v>890</v>
      </c>
      <c r="E907" s="1403"/>
      <c r="F907" s="1399">
        <f t="array" ref="F907" xml:space="preserve"> SUM(($A$756:$A$763=$A907)*($F$730:$O$730=F$730)*($F$756:$O$763)) * SUM(IFERROR(($C$548:$C$603=$A907)*($A$548:$A$603=F$730)*($H$544:$O$544=$D907)*($H$548:$O$603),0))</f>
        <v>0</v>
      </c>
      <c r="G907" s="1399">
        <f t="array" ref="G907" xml:space="preserve"> SUM(($A$756:$A$763=$A907)*($F$730:$O$730=G$730)*($F$756:$O$763)) * SUM(IFERROR(($C$548:$C$603=$A907)*($A$548:$A$603=G$730)*($H$544:$O$544=$D907)*($H$548:$O$603),0))</f>
        <v>0</v>
      </c>
      <c r="H907" s="1399">
        <f t="shared" si="216"/>
        <v>0</v>
      </c>
      <c r="I907" s="1399">
        <f t="array" ref="I907" xml:space="preserve"> SUM(($A$756:$A$763=$A907)*($F$730:$O$730=I$730)*($F$756:$O$763)) * SUM(IFERROR(($C$548:$C$603=$A907)*($A$548:$A$603=I$730)*($H$544:$O$544=$D907)*($H$548:$O$603),0))</f>
        <v>0</v>
      </c>
      <c r="J907" s="1399">
        <f t="shared" si="217"/>
        <v>0</v>
      </c>
      <c r="K907" s="1399">
        <f t="array" ref="K907" xml:space="preserve"> SUM(($A$756:$A$763=$A907)*($F$730:$O$730=K$730)*($F$756:$O$763)) * SUM(IFERROR(($C$548:$C$603=$A907)*($A$548:$A$603=K$730)*($H$544:$O$544=$D907)*($H$548:$O$603),0))</f>
        <v>0</v>
      </c>
      <c r="L907" s="1399">
        <f t="shared" si="218"/>
        <v>0</v>
      </c>
      <c r="M907" s="1399">
        <f t="array" ref="M907" xml:space="preserve"> SUM(($A$756:$A$763=$A907)*($F$730:$O$730=M$730)*($F$756:$O$763)) * SUM(IFERROR(($C$548:$C$603=$A907)*($A$548:$A$603=M$730)*($H$544:$O$544=$D907)*($H$548:$O$603),0))</f>
        <v>0</v>
      </c>
      <c r="N907" s="1399">
        <f t="shared" si="219"/>
        <v>0</v>
      </c>
      <c r="O907" s="1399">
        <f t="array" ref="O907" xml:space="preserve"> SUM(($A$756:$A$763=$A907)*($F$730:$O$730=O$730)*($F$756:$O$763)) * SUM(IFERROR(($C$548:$C$603=$A907)*($A$548:$A$603=O$730)*($H$544:$O$544=$D907)*($H$548:$O$603),0))</f>
        <v>0</v>
      </c>
      <c r="Q907" s="670"/>
      <c r="R907" s="670"/>
      <c r="S907" s="670"/>
      <c r="T907" s="670"/>
      <c r="U907" s="670"/>
      <c r="V907" s="670"/>
      <c r="W907" s="670"/>
      <c r="X907" s="670"/>
      <c r="Y907" s="670"/>
    </row>
    <row r="908" spans="1:25" s="17" customFormat="1" hidden="1" outlineLevel="1">
      <c r="A908" s="1401"/>
      <c r="B908" s="1400"/>
      <c r="C908" s="1401"/>
      <c r="D908" s="1406"/>
      <c r="E908" s="1403"/>
      <c r="F908" s="1399">
        <f t="array" ref="F908" xml:space="preserve"> SUM(($A$756:$A$763=$A908)*($F$730:$O$730=F$730)*($F$756:$O$763)) * SUM(IFERROR(($C$548:$C$603=$A908)*($A$548:$A$603=F$730)*($H$544:$O$544=$D908)*($H$548:$O$603),0))</f>
        <v>0</v>
      </c>
      <c r="G908" s="1399">
        <f t="array" ref="G908" xml:space="preserve"> SUM(($A$756:$A$763=$A908)*($F$730:$O$730=G$730)*($F$756:$O$763)) * SUM(IFERROR(($C$548:$C$603=$A908)*($A$548:$A$603=G$730)*($H$544:$O$544=$D908)*($H$548:$O$603),0))</f>
        <v>0</v>
      </c>
      <c r="H908" s="1399">
        <f t="shared" si="216"/>
        <v>0</v>
      </c>
      <c r="I908" s="1399">
        <f t="array" ref="I908" xml:space="preserve"> SUM(($A$756:$A$763=$A908)*($F$730:$O$730=I$730)*($F$756:$O$763)) * SUM(IFERROR(($C$548:$C$603=$A908)*($A$548:$A$603=I$730)*($H$544:$O$544=$D908)*($H$548:$O$603),0))</f>
        <v>0</v>
      </c>
      <c r="J908" s="1399">
        <f t="shared" si="217"/>
        <v>0</v>
      </c>
      <c r="K908" s="1399">
        <f t="array" ref="K908" xml:space="preserve"> SUM(($A$756:$A$763=$A908)*($F$730:$O$730=K$730)*($F$756:$O$763)) * SUM(IFERROR(($C$548:$C$603=$A908)*($A$548:$A$603=K$730)*($H$544:$O$544=$D908)*($H$548:$O$603),0))</f>
        <v>0</v>
      </c>
      <c r="L908" s="1399">
        <f t="shared" si="218"/>
        <v>0</v>
      </c>
      <c r="M908" s="1399">
        <f t="array" ref="M908" xml:space="preserve"> SUM(($A$756:$A$763=$A908)*($F$730:$O$730=M$730)*($F$756:$O$763)) * SUM(IFERROR(($C$548:$C$603=$A908)*($A$548:$A$603=M$730)*($H$544:$O$544=$D908)*($H$548:$O$603),0))</f>
        <v>0</v>
      </c>
      <c r="N908" s="1399">
        <f t="shared" si="219"/>
        <v>0</v>
      </c>
      <c r="O908" s="1399">
        <f t="array" ref="O908" xml:space="preserve"> SUM(($A$756:$A$763=$A908)*($F$730:$O$730=O$730)*($F$756:$O$763)) * SUM(IFERROR(($C$548:$C$603=$A908)*($A$548:$A$603=O$730)*($H$544:$O$544=$D908)*($H$548:$O$603),0))</f>
        <v>0</v>
      </c>
      <c r="Q908" s="670"/>
      <c r="R908" s="670"/>
      <c r="S908" s="670"/>
      <c r="T908" s="670"/>
      <c r="U908" s="670"/>
      <c r="V908" s="670"/>
      <c r="W908" s="670"/>
      <c r="X908" s="670"/>
      <c r="Y908" s="670"/>
    </row>
    <row r="909" spans="1:25" s="17" customFormat="1" hidden="1" outlineLevel="1">
      <c r="A909" s="1408"/>
      <c r="B909" s="1407"/>
      <c r="C909" s="1407" t="str">
        <f>D26</f>
        <v>Pulp &amp; Paper Products  -323</v>
      </c>
      <c r="D909" s="1408"/>
      <c r="E909" s="1403"/>
      <c r="F909" s="1399">
        <f t="array" ref="F909" xml:space="preserve"> SUM(($A$756:$A$763=$A909)*($F$730:$O$730=F$730)*($F$756:$O$763)) * SUM(IFERROR(($C$548:$C$603=$A909)*($A$548:$A$603=F$730)*($H$544:$O$544=$D909)*($H$548:$O$603),0))</f>
        <v>0</v>
      </c>
      <c r="G909" s="1399">
        <f t="array" ref="G909" xml:space="preserve"> SUM(($A$756:$A$763=$A909)*($F$730:$O$730=G$730)*($F$756:$O$763)) * SUM(IFERROR(($C$548:$C$603=$A909)*($A$548:$A$603=G$730)*($H$544:$O$544=$D909)*($H$548:$O$603),0))</f>
        <v>0</v>
      </c>
      <c r="H909" s="1399">
        <f t="shared" si="216"/>
        <v>0</v>
      </c>
      <c r="I909" s="1399">
        <f t="array" ref="I909" xml:space="preserve"> SUM(($A$756:$A$763=$A909)*($F$730:$O$730=I$730)*($F$756:$O$763)) * SUM(IFERROR(($C$548:$C$603=$A909)*($A$548:$A$603=I$730)*($H$544:$O$544=$D909)*($H$548:$O$603),0))</f>
        <v>0</v>
      </c>
      <c r="J909" s="1399">
        <f t="shared" si="217"/>
        <v>0</v>
      </c>
      <c r="K909" s="1399">
        <f t="array" ref="K909" xml:space="preserve"> SUM(($A$756:$A$763=$A909)*($F$730:$O$730=K$730)*($F$756:$O$763)) * SUM(IFERROR(($C$548:$C$603=$A909)*($A$548:$A$603=K$730)*($H$544:$O$544=$D909)*($H$548:$O$603),0))</f>
        <v>0</v>
      </c>
      <c r="L909" s="1399">
        <f t="shared" si="218"/>
        <v>0</v>
      </c>
      <c r="M909" s="1399">
        <f t="array" ref="M909" xml:space="preserve"> SUM(($A$756:$A$763=$A909)*($F$730:$O$730=M$730)*($F$756:$O$763)) * SUM(IFERROR(($C$548:$C$603=$A909)*($A$548:$A$603=M$730)*($H$544:$O$544=$D909)*($H$548:$O$603),0))</f>
        <v>0</v>
      </c>
      <c r="N909" s="1399">
        <f t="shared" si="219"/>
        <v>0</v>
      </c>
      <c r="O909" s="1399">
        <f t="array" ref="O909" xml:space="preserve"> SUM(($A$756:$A$763=$A909)*($F$730:$O$730=O$730)*($F$756:$O$763)) * SUM(IFERROR(($C$548:$C$603=$A909)*($A$548:$A$603=O$730)*($H$544:$O$544=$D909)*($H$548:$O$603),0))</f>
        <v>0</v>
      </c>
      <c r="Q909" s="670"/>
      <c r="R909" s="670"/>
      <c r="S909" s="670"/>
      <c r="T909" s="670"/>
      <c r="U909" s="670"/>
      <c r="V909" s="670"/>
      <c r="W909" s="670"/>
      <c r="X909" s="670"/>
      <c r="Y909" s="670"/>
    </row>
    <row r="910" spans="1:25" s="17" customFormat="1" hidden="1" outlineLevel="1">
      <c r="A910" s="1408" t="str">
        <f>INDEX($C$20:$C$27,MATCH($C909,$D$20:$D$27,0))</f>
        <v>PP</v>
      </c>
      <c r="B910" s="1400" t="str">
        <f>INDEX(EF[UK Vector],MATCH(D910,EF[SATIM Code],0))</f>
        <v>V.03</v>
      </c>
      <c r="C910" s="1401" t="str">
        <f>INDEX(Vectors[Description], MATCH($B910, Vectors[Code], 0))</f>
        <v>Solid hydrocarbons</v>
      </c>
      <c r="D910" s="1406" t="s">
        <v>882</v>
      </c>
      <c r="E910" s="1403"/>
      <c r="F910" s="1399">
        <f t="array" ref="F910" xml:space="preserve"> SUM(($A$756:$A$763=$A910)*($F$730:$O$730=F$730)*($F$756:$O$763)) * SUM(IFERROR(($C$548:$C$603=$A910)*($A$548:$A$603=F$730)*($H$544:$O$544=$D910)*($H$548:$O$603),0))</f>
        <v>18.21131990011752</v>
      </c>
      <c r="G910" s="1399">
        <f t="array" ref="G910" xml:space="preserve"> SUM(($A$756:$A$763=$A910)*($F$730:$O$730=G$730)*($F$756:$O$763)) * SUM(IFERROR(($C$548:$C$603=$A910)*($A$548:$A$603=G$730)*($H$544:$O$544=$D910)*($H$548:$O$603),0))</f>
        <v>24.99142774643207</v>
      </c>
      <c r="H910" s="1399">
        <f t="shared" si="216"/>
        <v>34.893765062054996</v>
      </c>
      <c r="I910" s="1399">
        <f t="array" ref="I910" xml:space="preserve"> SUM(($A$756:$A$763=$A910)*($F$730:$O$730=I$730)*($F$756:$O$763)) * SUM(IFERROR(($C$548:$C$603=$A910)*($A$548:$A$603=I$730)*($H$544:$O$544=$D910)*($H$548:$O$603),0))</f>
        <v>44.796102377677919</v>
      </c>
      <c r="J910" s="1399">
        <f t="shared" si="217"/>
        <v>59.637087410657685</v>
      </c>
      <c r="K910" s="1399">
        <f t="array" ref="K910" xml:space="preserve"> SUM(($A$756:$A$763=$A910)*($F$730:$O$730=K$730)*($F$756:$O$763)) * SUM(IFERROR(($C$548:$C$603=$A910)*($A$548:$A$603=K$730)*($H$544:$O$544=$D910)*($H$548:$O$603),0))</f>
        <v>74.478072443637444</v>
      </c>
      <c r="L910" s="1399">
        <f t="shared" si="218"/>
        <v>98.125249894877641</v>
      </c>
      <c r="M910" s="1399">
        <f t="array" ref="M910" xml:space="preserve"> SUM(($A$756:$A$763=$A910)*($F$730:$O$730=M$730)*($F$756:$O$763)) * SUM(IFERROR(($C$548:$C$603=$A910)*($A$548:$A$603=M$730)*($H$544:$O$544=$D910)*($H$548:$O$603),0))</f>
        <v>121.77242734611784</v>
      </c>
      <c r="N910" s="1399">
        <f t="shared" si="219"/>
        <v>148.34534405320358</v>
      </c>
      <c r="O910" s="1399">
        <f t="array" ref="O910" xml:space="preserve"> SUM(($A$756:$A$763=$A910)*($F$730:$O$730=O$730)*($F$756:$O$763)) * SUM(IFERROR(($C$548:$C$603=$A910)*($A$548:$A$603=O$730)*($H$544:$O$544=$D910)*($H$548:$O$603),0))</f>
        <v>174.91826076028934</v>
      </c>
      <c r="Q910" s="670"/>
      <c r="R910" s="670"/>
      <c r="S910" s="670"/>
      <c r="T910" s="670"/>
      <c r="U910" s="670"/>
      <c r="V910" s="670"/>
      <c r="W910" s="670"/>
      <c r="X910" s="670"/>
      <c r="Y910" s="670"/>
    </row>
    <row r="911" spans="1:25" s="17" customFormat="1" hidden="1" outlineLevel="1">
      <c r="A911" s="1401" t="str">
        <f t="shared" ref="A911:A917" si="222">A910</f>
        <v>PP</v>
      </c>
      <c r="B911" s="1400" t="str">
        <f>INDEX(EF[UK Vector],MATCH(D911,EF[SATIM Code],0))</f>
        <v>V.05</v>
      </c>
      <c r="C911" s="1401" t="str">
        <f>INDEX(Vectors[Description], MATCH($B911, Vectors[Code], 0))</f>
        <v>Gaseous hydrocarbons</v>
      </c>
      <c r="D911" s="1406" t="s">
        <v>869</v>
      </c>
      <c r="E911" s="1403"/>
      <c r="F911" s="1399">
        <f t="array" ref="F911" xml:space="preserve"> SUM(($A$756:$A$763=$A911)*($F$730:$O$730=F$730)*($F$756:$O$763)) * SUM(IFERROR(($C$548:$C$603=$A911)*($A$548:$A$603=F$730)*($H$544:$O$544=$D911)*($H$548:$O$603),0))</f>
        <v>0.98666781271348536</v>
      </c>
      <c r="G911" s="1399">
        <f t="array" ref="G911" xml:space="preserve"> SUM(($A$756:$A$763=$A911)*($F$730:$O$730=G$730)*($F$756:$O$763)) * SUM(IFERROR(($C$548:$C$603=$A911)*($A$548:$A$603=G$730)*($H$544:$O$544=$D911)*($H$548:$O$603),0))</f>
        <v>1.3540060515328229</v>
      </c>
      <c r="H911" s="1399">
        <f t="shared" si="216"/>
        <v>1.8905029970339422</v>
      </c>
      <c r="I911" s="1399">
        <f t="array" ref="I911" xml:space="preserve"> SUM(($A$756:$A$763=$A911)*($F$730:$O$730=I$730)*($F$756:$O$763)) * SUM(IFERROR(($C$548:$C$603=$A911)*($A$548:$A$603=I$730)*($H$544:$O$544=$D911)*($H$548:$O$603),0))</f>
        <v>2.4269999425350615</v>
      </c>
      <c r="J911" s="1399">
        <f t="shared" si="217"/>
        <v>3.2310669910145746</v>
      </c>
      <c r="K911" s="1399">
        <f t="array" ref="K911" xml:space="preserve"> SUM(($A$756:$A$763=$A911)*($F$730:$O$730=K$730)*($F$756:$O$763)) * SUM(IFERROR(($C$548:$C$603=$A911)*($A$548:$A$603=K$730)*($H$544:$O$544=$D911)*($H$548:$O$603),0))</f>
        <v>4.0351340394940882</v>
      </c>
      <c r="L911" s="1399">
        <f t="shared" si="218"/>
        <v>5.3163101969955697</v>
      </c>
      <c r="M911" s="1399">
        <f t="array" ref="M911" xml:space="preserve"> SUM(($A$756:$A$763=$A911)*($F$730:$O$730=M$730)*($F$756:$O$763)) * SUM(IFERROR(($C$548:$C$603=$A911)*($A$548:$A$603=M$730)*($H$544:$O$544=$D911)*($H$548:$O$603),0))</f>
        <v>6.5974863544970512</v>
      </c>
      <c r="N911" s="1399">
        <f t="shared" si="219"/>
        <v>8.0371756108825121</v>
      </c>
      <c r="O911" s="1399">
        <f t="array" ref="O911" xml:space="preserve"> SUM(($A$756:$A$763=$A911)*($F$730:$O$730=O$730)*($F$756:$O$763)) * SUM(IFERROR(($C$548:$C$603=$A911)*($A$548:$A$603=O$730)*($H$544:$O$544=$D911)*($H$548:$O$603),0))</f>
        <v>9.4768648672679738</v>
      </c>
      <c r="Q911" s="670"/>
      <c r="R911" s="670"/>
      <c r="S911" s="670"/>
      <c r="T911" s="670"/>
      <c r="U911" s="670"/>
      <c r="V911" s="670"/>
      <c r="W911" s="670"/>
      <c r="X911" s="670"/>
      <c r="Y911" s="670"/>
    </row>
    <row r="912" spans="1:25" s="17" customFormat="1" hidden="1" outlineLevel="1">
      <c r="A912" s="1401" t="str">
        <f t="shared" si="222"/>
        <v>PP</v>
      </c>
      <c r="B912" s="1400" t="str">
        <f>INDEX(EF[UK Vector],MATCH(D912,EF[SATIM Code],0))</f>
        <v>V.04</v>
      </c>
      <c r="C912" s="1401" t="str">
        <f>INDEX(Vectors[Description], MATCH($B912, Vectors[Code], 0))</f>
        <v>Liquid hydrocarbons</v>
      </c>
      <c r="D912" s="1406" t="s">
        <v>885</v>
      </c>
      <c r="E912" s="1403"/>
      <c r="F912" s="1399">
        <f t="array" ref="F912" xml:space="preserve"> SUM(($A$756:$A$763=$A912)*($F$730:$O$730=F$730)*($F$756:$O$763)) * SUM(IFERROR(($C$548:$C$603=$A912)*($A$548:$A$603=F$730)*($H$544:$O$544=$D912)*($H$548:$O$603),0))</f>
        <v>0</v>
      </c>
      <c r="G912" s="1399">
        <f t="array" ref="G912" xml:space="preserve"> SUM(($A$756:$A$763=$A912)*($F$730:$O$730=G$730)*($F$756:$O$763)) * SUM(IFERROR(($C$548:$C$603=$A912)*($A$548:$A$603=G$730)*($H$544:$O$544=$D912)*($H$548:$O$603),0))</f>
        <v>0</v>
      </c>
      <c r="H912" s="1399">
        <f t="shared" si="216"/>
        <v>0</v>
      </c>
      <c r="I912" s="1399">
        <f t="array" ref="I912" xml:space="preserve"> SUM(($A$756:$A$763=$A912)*($F$730:$O$730=I$730)*($F$756:$O$763)) * SUM(IFERROR(($C$548:$C$603=$A912)*($A$548:$A$603=I$730)*($H$544:$O$544=$D912)*($H$548:$O$603),0))</f>
        <v>0</v>
      </c>
      <c r="J912" s="1399">
        <f t="shared" si="217"/>
        <v>0</v>
      </c>
      <c r="K912" s="1399">
        <f t="array" ref="K912" xml:space="preserve"> SUM(($A$756:$A$763=$A912)*($F$730:$O$730=K$730)*($F$756:$O$763)) * SUM(IFERROR(($C$548:$C$603=$A912)*($A$548:$A$603=K$730)*($H$544:$O$544=$D912)*($H$548:$O$603),0))</f>
        <v>0</v>
      </c>
      <c r="L912" s="1399">
        <f t="shared" si="218"/>
        <v>0</v>
      </c>
      <c r="M912" s="1399">
        <f t="array" ref="M912" xml:space="preserve"> SUM(($A$756:$A$763=$A912)*($F$730:$O$730=M$730)*($F$756:$O$763)) * SUM(IFERROR(($C$548:$C$603=$A912)*($A$548:$A$603=M$730)*($H$544:$O$544=$D912)*($H$548:$O$603),0))</f>
        <v>0</v>
      </c>
      <c r="N912" s="1399">
        <f t="shared" si="219"/>
        <v>0</v>
      </c>
      <c r="O912" s="1399">
        <f t="array" ref="O912" xml:space="preserve"> SUM(($A$756:$A$763=$A912)*($F$730:$O$730=O$730)*($F$756:$O$763)) * SUM(IFERROR(($C$548:$C$603=$A912)*($A$548:$A$603=O$730)*($H$544:$O$544=$D912)*($H$548:$O$603),0))</f>
        <v>0</v>
      </c>
      <c r="Q912" s="670"/>
      <c r="R912" s="670"/>
      <c r="S912" s="670"/>
      <c r="T912" s="670"/>
      <c r="U912" s="670"/>
      <c r="V912" s="670"/>
      <c r="W912" s="670"/>
      <c r="X912" s="670"/>
      <c r="Y912" s="670"/>
    </row>
    <row r="913" spans="1:25" s="17" customFormat="1" hidden="1" outlineLevel="1">
      <c r="A913" s="1401" t="str">
        <f t="shared" si="222"/>
        <v>PP</v>
      </c>
      <c r="B913" s="1400" t="str">
        <f>INDEX(EF[UK Vector],MATCH(D913,EF[SATIM Code],0))</f>
        <v>V.04</v>
      </c>
      <c r="C913" s="1401" t="str">
        <f>INDEX(Vectors[Description], MATCH($B913, Vectors[Code], 0))</f>
        <v>Liquid hydrocarbons</v>
      </c>
      <c r="D913" s="1406" t="s">
        <v>887</v>
      </c>
      <c r="E913" s="1403"/>
      <c r="F913" s="1399">
        <f t="array" ref="F913" xml:space="preserve"> SUM(($A$756:$A$763=$A913)*($F$730:$O$730=F$730)*($F$756:$O$763)) * SUM(IFERROR(($C$548:$C$603=$A913)*($A$548:$A$603=F$730)*($H$544:$O$544=$D913)*($H$548:$O$603),0))</f>
        <v>0</v>
      </c>
      <c r="G913" s="1399">
        <f t="array" ref="G913" xml:space="preserve"> SUM(($A$756:$A$763=$A913)*($F$730:$O$730=G$730)*($F$756:$O$763)) * SUM(IFERROR(($C$548:$C$603=$A913)*($A$548:$A$603=G$730)*($H$544:$O$544=$D913)*($H$548:$O$603),0))</f>
        <v>0</v>
      </c>
      <c r="H913" s="1399">
        <f t="shared" si="216"/>
        <v>0</v>
      </c>
      <c r="I913" s="1399">
        <f t="array" ref="I913" xml:space="preserve"> SUM(($A$756:$A$763=$A913)*($F$730:$O$730=I$730)*($F$756:$O$763)) * SUM(IFERROR(($C$548:$C$603=$A913)*($A$548:$A$603=I$730)*($H$544:$O$544=$D913)*($H$548:$O$603),0))</f>
        <v>0</v>
      </c>
      <c r="J913" s="1399">
        <f t="shared" si="217"/>
        <v>0</v>
      </c>
      <c r="K913" s="1399">
        <f t="array" ref="K913" xml:space="preserve"> SUM(($A$756:$A$763=$A913)*($F$730:$O$730=K$730)*($F$756:$O$763)) * SUM(IFERROR(($C$548:$C$603=$A913)*($A$548:$A$603=K$730)*($H$544:$O$544=$D913)*($H$548:$O$603),0))</f>
        <v>0</v>
      </c>
      <c r="L913" s="1399">
        <f t="shared" si="218"/>
        <v>0</v>
      </c>
      <c r="M913" s="1399">
        <f t="array" ref="M913" xml:space="preserve"> SUM(($A$756:$A$763=$A913)*($F$730:$O$730=M$730)*($F$756:$O$763)) * SUM(IFERROR(($C$548:$C$603=$A913)*($A$548:$A$603=M$730)*($H$544:$O$544=$D913)*($H$548:$O$603),0))</f>
        <v>0</v>
      </c>
      <c r="N913" s="1399">
        <f t="shared" si="219"/>
        <v>0</v>
      </c>
      <c r="O913" s="1399">
        <f t="array" ref="O913" xml:space="preserve"> SUM(($A$756:$A$763=$A913)*($F$730:$O$730=O$730)*($F$756:$O$763)) * SUM(IFERROR(($C$548:$C$603=$A913)*($A$548:$A$603=O$730)*($H$544:$O$544=$D913)*($H$548:$O$603),0))</f>
        <v>0</v>
      </c>
      <c r="Q913" s="670"/>
      <c r="R913" s="670"/>
      <c r="S913" s="670"/>
      <c r="T913" s="670"/>
      <c r="U913" s="670"/>
      <c r="V913" s="670"/>
      <c r="W913" s="670"/>
      <c r="X913" s="670"/>
      <c r="Y913" s="670"/>
    </row>
    <row r="914" spans="1:25" s="17" customFormat="1" hidden="1" outlineLevel="1">
      <c r="A914" s="1401" t="str">
        <f t="shared" si="222"/>
        <v>PP</v>
      </c>
      <c r="B914" s="1400" t="str">
        <f>INDEX(EF[UK Vector],MATCH(D914,EF[SATIM Code],0))</f>
        <v>V.01</v>
      </c>
      <c r="C914" s="1401" t="str">
        <f>INDEX(Vectors[Description], MATCH($B914, Vectors[Code], 0))</f>
        <v>Electricity (delivered to end user)</v>
      </c>
      <c r="D914" s="1406" t="s">
        <v>879</v>
      </c>
      <c r="E914" s="1403"/>
      <c r="F914" s="1399">
        <f t="array" ref="F914" xml:space="preserve"> SUM(($A$756:$A$763=$A914)*($F$730:$O$730=F$730)*($F$756:$O$763)) * SUM(IFERROR(($C$548:$C$603=$A914)*($A$548:$A$603=F$730)*($H$544:$O$544=$D914)*($H$548:$O$603),0))</f>
        <v>0</v>
      </c>
      <c r="G914" s="1399">
        <f t="array" ref="G914" xml:space="preserve"> SUM(($A$756:$A$763=$A914)*($F$730:$O$730=G$730)*($F$756:$O$763)) * SUM(IFERROR(($C$548:$C$603=$A914)*($A$548:$A$603=G$730)*($H$544:$O$544=$D914)*($H$548:$O$603),0))</f>
        <v>0</v>
      </c>
      <c r="H914" s="1399">
        <f t="shared" ref="H914:H927" si="223">AVERAGE(G914,I914)</f>
        <v>0</v>
      </c>
      <c r="I914" s="1399">
        <f t="array" ref="I914" xml:space="preserve"> SUM(($A$756:$A$763=$A914)*($F$730:$O$730=I$730)*($F$756:$O$763)) * SUM(IFERROR(($C$548:$C$603=$A914)*($A$548:$A$603=I$730)*($H$544:$O$544=$D914)*($H$548:$O$603),0))</f>
        <v>0</v>
      </c>
      <c r="J914" s="1399">
        <f t="shared" ref="J914:J927" si="224">AVERAGE(I914,K914)</f>
        <v>0</v>
      </c>
      <c r="K914" s="1399">
        <f t="array" ref="K914" xml:space="preserve"> SUM(($A$756:$A$763=$A914)*($F$730:$O$730=K$730)*($F$756:$O$763)) * SUM(IFERROR(($C$548:$C$603=$A914)*($A$548:$A$603=K$730)*($H$544:$O$544=$D914)*($H$548:$O$603),0))</f>
        <v>0</v>
      </c>
      <c r="L914" s="1399">
        <f t="shared" ref="L914:L927" si="225">AVERAGE(K914,M914)</f>
        <v>0</v>
      </c>
      <c r="M914" s="1399">
        <f t="array" ref="M914" xml:space="preserve"> SUM(($A$756:$A$763=$A914)*($F$730:$O$730=M$730)*($F$756:$O$763)) * SUM(IFERROR(($C$548:$C$603=$A914)*($A$548:$A$603=M$730)*($H$544:$O$544=$D914)*($H$548:$O$603),0))</f>
        <v>0</v>
      </c>
      <c r="N914" s="1399">
        <f t="shared" ref="N914:N927" si="226">AVERAGE(M914,O914)</f>
        <v>0</v>
      </c>
      <c r="O914" s="1399">
        <f t="array" ref="O914" xml:space="preserve"> SUM(($A$756:$A$763=$A914)*($F$730:$O$730=O$730)*($F$756:$O$763)) * SUM(IFERROR(($C$548:$C$603=$A914)*($A$548:$A$603=O$730)*($H$544:$O$544=$D914)*($H$548:$O$603),0))</f>
        <v>0</v>
      </c>
      <c r="Q914" s="670"/>
      <c r="R914" s="670"/>
      <c r="S914" s="670"/>
      <c r="T914" s="670"/>
      <c r="U914" s="670"/>
      <c r="V914" s="670"/>
      <c r="W914" s="670"/>
      <c r="X914" s="670"/>
      <c r="Y914" s="670"/>
    </row>
    <row r="915" spans="1:25" s="17" customFormat="1" hidden="1" outlineLevel="1">
      <c r="A915" s="1401" t="str">
        <f t="shared" si="222"/>
        <v>PP</v>
      </c>
      <c r="B915" s="1400" t="str">
        <f>INDEX(EF[UK Vector],MATCH(D915,EF[SATIM Code],0))</f>
        <v>V.09</v>
      </c>
      <c r="C915" s="1401" t="str">
        <f>INDEX(Vectors[Description], MATCH($B915, Vectors[Code], 0))</f>
        <v>Dry biomass and waste</v>
      </c>
      <c r="D915" s="1406" t="s">
        <v>888</v>
      </c>
      <c r="E915" s="1403"/>
      <c r="F915" s="1399">
        <f t="array" ref="F915" xml:space="preserve"> SUM(($A$756:$A$763=$A915)*($F$730:$O$730=F$730)*($F$756:$O$763)) * SUM(IFERROR(($C$548:$C$603=$A915)*($A$548:$A$603=F$730)*($H$544:$O$544=$D915)*($H$548:$O$603),0))</f>
        <v>10.858391705644527</v>
      </c>
      <c r="G915" s="1399">
        <f t="array" ref="G915" xml:space="preserve"> SUM(($A$756:$A$763=$A915)*($F$730:$O$730=G$730)*($F$756:$O$763)) * SUM(IFERROR(($C$548:$C$603=$A915)*($A$548:$A$603=G$730)*($H$544:$O$544=$D915)*($H$548:$O$603),0))</f>
        <v>14.900990880530376</v>
      </c>
      <c r="H915" s="1399">
        <f t="shared" si="223"/>
        <v>20.805200897387003</v>
      </c>
      <c r="I915" s="1399">
        <f t="array" ref="I915" xml:space="preserve"> SUM(($A$756:$A$763=$A915)*($F$730:$O$730=I$730)*($F$756:$O$763)) * SUM(IFERROR(($C$548:$C$603=$A915)*($A$548:$A$603=I$730)*($H$544:$O$544=$D915)*($H$548:$O$603),0))</f>
        <v>26.709410914243627</v>
      </c>
      <c r="J915" s="1399">
        <f t="shared" si="224"/>
        <v>35.558260402888436</v>
      </c>
      <c r="K915" s="1399">
        <f t="array" ref="K915" xml:space="preserve"> SUM(($A$756:$A$763=$A915)*($F$730:$O$730=K$730)*($F$756:$O$763)) * SUM(IFERROR(($C$548:$C$603=$A915)*($A$548:$A$603=K$730)*($H$544:$O$544=$D915)*($H$548:$O$603),0))</f>
        <v>44.407109891533253</v>
      </c>
      <c r="L915" s="1399">
        <f t="shared" si="225"/>
        <v>58.506599489582321</v>
      </c>
      <c r="M915" s="1399">
        <f t="array" ref="M915" xml:space="preserve"> SUM(($A$756:$A$763=$A915)*($F$730:$O$730=M$730)*($F$756:$O$763)) * SUM(IFERROR(($C$548:$C$603=$A915)*($A$548:$A$603=M$730)*($H$544:$O$544=$D915)*($H$548:$O$603),0))</f>
        <v>72.606089087631389</v>
      </c>
      <c r="N915" s="1399">
        <f t="shared" si="226"/>
        <v>88.450033400813254</v>
      </c>
      <c r="O915" s="1399">
        <f t="array" ref="O915" xml:space="preserve"> SUM(($A$756:$A$763=$A915)*($F$730:$O$730=O$730)*($F$756:$O$763)) * SUM(IFERROR(($C$548:$C$603=$A915)*($A$548:$A$603=O$730)*($H$544:$O$544=$D915)*($H$548:$O$603),0))</f>
        <v>104.29397771399513</v>
      </c>
      <c r="Q915" s="670"/>
      <c r="R915" s="670"/>
      <c r="S915" s="670"/>
      <c r="T915" s="670"/>
      <c r="U915" s="670"/>
      <c r="V915" s="670"/>
      <c r="W915" s="670"/>
      <c r="X915" s="670"/>
      <c r="Y915" s="670"/>
    </row>
    <row r="916" spans="1:25" s="17" customFormat="1" hidden="1" outlineLevel="1">
      <c r="A916" s="1401" t="str">
        <f t="shared" si="222"/>
        <v>PP</v>
      </c>
      <c r="B916" s="1400" t="str">
        <f>INDEX(EF[UK Vector],MATCH(D916,EF[SATIM Code],0))</f>
        <v>V.09</v>
      </c>
      <c r="C916" s="1401" t="str">
        <f>INDEX(Vectors[Description], MATCH($B916, Vectors[Code], 0))</f>
        <v>Dry biomass and waste</v>
      </c>
      <c r="D916" s="1406" t="s">
        <v>889</v>
      </c>
      <c r="E916" s="1403"/>
      <c r="F916" s="1399">
        <f t="array" ref="F916" xml:space="preserve"> SUM(($A$756:$A$763=$A916)*($F$730:$O$730=F$730)*($F$756:$O$763)) * SUM(IFERROR(($C$548:$C$603=$A916)*($A$548:$A$603=F$730)*($H$544:$O$544=$D916)*($H$548:$O$603),0))</f>
        <v>0</v>
      </c>
      <c r="G916" s="1399">
        <f t="array" ref="G916" xml:space="preserve"> SUM(($A$756:$A$763=$A916)*($F$730:$O$730=G$730)*($F$756:$O$763)) * SUM(IFERROR(($C$548:$C$603=$A916)*($A$548:$A$603=G$730)*($H$544:$O$544=$D916)*($H$548:$O$603),0))</f>
        <v>0</v>
      </c>
      <c r="H916" s="1399">
        <f t="shared" si="223"/>
        <v>0</v>
      </c>
      <c r="I916" s="1399">
        <f t="array" ref="I916" xml:space="preserve"> SUM(($A$756:$A$763=$A916)*($F$730:$O$730=I$730)*($F$756:$O$763)) * SUM(IFERROR(($C$548:$C$603=$A916)*($A$548:$A$603=I$730)*($H$544:$O$544=$D916)*($H$548:$O$603),0))</f>
        <v>0</v>
      </c>
      <c r="J916" s="1399">
        <f t="shared" si="224"/>
        <v>0</v>
      </c>
      <c r="K916" s="1399">
        <f t="array" ref="K916" xml:space="preserve"> SUM(($A$756:$A$763=$A916)*($F$730:$O$730=K$730)*($F$756:$O$763)) * SUM(IFERROR(($C$548:$C$603=$A916)*($A$548:$A$603=K$730)*($H$544:$O$544=$D916)*($H$548:$O$603),0))</f>
        <v>0</v>
      </c>
      <c r="L916" s="1399">
        <f t="shared" si="225"/>
        <v>0</v>
      </c>
      <c r="M916" s="1399">
        <f t="array" ref="M916" xml:space="preserve"> SUM(($A$756:$A$763=$A916)*($F$730:$O$730=M$730)*($F$756:$O$763)) * SUM(IFERROR(($C$548:$C$603=$A916)*($A$548:$A$603=M$730)*($H$544:$O$544=$D916)*($H$548:$O$603),0))</f>
        <v>0</v>
      </c>
      <c r="N916" s="1399">
        <f t="shared" si="226"/>
        <v>0</v>
      </c>
      <c r="O916" s="1399">
        <f t="array" ref="O916" xml:space="preserve"> SUM(($A$756:$A$763=$A916)*($F$730:$O$730=O$730)*($F$756:$O$763)) * SUM(IFERROR(($C$548:$C$603=$A916)*($A$548:$A$603=O$730)*($H$544:$O$544=$D916)*($H$548:$O$603),0))</f>
        <v>0</v>
      </c>
      <c r="Q916" s="670"/>
      <c r="R916" s="670"/>
      <c r="S916" s="670"/>
      <c r="T916" s="670"/>
      <c r="U916" s="670"/>
      <c r="V916" s="670"/>
      <c r="W916" s="670"/>
      <c r="X916" s="670"/>
      <c r="Y916" s="670"/>
    </row>
    <row r="917" spans="1:25" s="17" customFormat="1" hidden="1" outlineLevel="1">
      <c r="A917" s="1401" t="str">
        <f t="shared" si="222"/>
        <v>PP</v>
      </c>
      <c r="B917" s="1400" t="s">
        <v>897</v>
      </c>
      <c r="C917" s="1401" t="str">
        <f>INDEX(Vectors[Description], MATCH($B917, Vectors[Code], 0))</f>
        <v>Other Waste</v>
      </c>
      <c r="D917" s="1408" t="s">
        <v>890</v>
      </c>
      <c r="E917" s="1403"/>
      <c r="F917" s="1399">
        <f t="array" ref="F917" xml:space="preserve"> SUM(($A$756:$A$763=$A917)*($F$730:$O$730=F$730)*($F$756:$O$763)) * SUM(IFERROR(($C$548:$C$603=$A917)*($A$548:$A$603=F$730)*($H$544:$O$544=$D917)*($H$548:$O$603),0))</f>
        <v>0</v>
      </c>
      <c r="G917" s="1399">
        <f t="array" ref="G917" xml:space="preserve"> SUM(($A$756:$A$763=$A917)*($F$730:$O$730=G$730)*($F$756:$O$763)) * SUM(IFERROR(($C$548:$C$603=$A917)*($A$548:$A$603=G$730)*($H$544:$O$544=$D917)*($H$548:$O$603),0))</f>
        <v>0</v>
      </c>
      <c r="H917" s="1399">
        <f t="shared" si="223"/>
        <v>0</v>
      </c>
      <c r="I917" s="1399">
        <f t="array" ref="I917" xml:space="preserve"> SUM(($A$756:$A$763=$A917)*($F$730:$O$730=I$730)*($F$756:$O$763)) * SUM(IFERROR(($C$548:$C$603=$A917)*($A$548:$A$603=I$730)*($H$544:$O$544=$D917)*($H$548:$O$603),0))</f>
        <v>0</v>
      </c>
      <c r="J917" s="1399">
        <f t="shared" si="224"/>
        <v>0</v>
      </c>
      <c r="K917" s="1399">
        <f t="array" ref="K917" xml:space="preserve"> SUM(($A$756:$A$763=$A917)*($F$730:$O$730=K$730)*($F$756:$O$763)) * SUM(IFERROR(($C$548:$C$603=$A917)*($A$548:$A$603=K$730)*($H$544:$O$544=$D917)*($H$548:$O$603),0))</f>
        <v>0</v>
      </c>
      <c r="L917" s="1399">
        <f t="shared" si="225"/>
        <v>0</v>
      </c>
      <c r="M917" s="1399">
        <f t="array" ref="M917" xml:space="preserve"> SUM(($A$756:$A$763=$A917)*($F$730:$O$730=M$730)*($F$756:$O$763)) * SUM(IFERROR(($C$548:$C$603=$A917)*($A$548:$A$603=M$730)*($H$544:$O$544=$D917)*($H$548:$O$603),0))</f>
        <v>0</v>
      </c>
      <c r="N917" s="1399">
        <f t="shared" si="226"/>
        <v>0</v>
      </c>
      <c r="O917" s="1399">
        <f t="array" ref="O917" xml:space="preserve"> SUM(($A$756:$A$763=$A917)*($F$730:$O$730=O$730)*($F$756:$O$763)) * SUM(IFERROR(($C$548:$C$603=$A917)*($A$548:$A$603=O$730)*($H$544:$O$544=$D917)*($H$548:$O$603),0))</f>
        <v>0</v>
      </c>
      <c r="Q917" s="670"/>
      <c r="R917" s="670"/>
      <c r="S917" s="670"/>
      <c r="T917" s="670"/>
      <c r="U917" s="670"/>
      <c r="V917" s="670"/>
      <c r="W917" s="670"/>
      <c r="X917" s="670"/>
      <c r="Y917" s="670"/>
    </row>
    <row r="918" spans="1:25" s="17" customFormat="1" hidden="1" outlineLevel="1">
      <c r="A918" s="1401"/>
      <c r="B918" s="1400"/>
      <c r="C918" s="1401"/>
      <c r="D918" s="1406"/>
      <c r="E918" s="1403"/>
      <c r="F918" s="1399">
        <f t="array" ref="F918" xml:space="preserve"> SUM(($A$756:$A$763=$A918)*($F$730:$O$730=F$730)*($F$756:$O$763)) * SUM(IFERROR(($C$548:$C$603=$A918)*($A$548:$A$603=F$730)*($H$544:$O$544=$D918)*($H$548:$O$603),0))</f>
        <v>0</v>
      </c>
      <c r="G918" s="1399">
        <f t="array" ref="G918" xml:space="preserve"> SUM(($A$756:$A$763=$A918)*($F$730:$O$730=G$730)*($F$756:$O$763)) * SUM(IFERROR(($C$548:$C$603=$A918)*($A$548:$A$603=G$730)*($H$544:$O$544=$D918)*($H$548:$O$603),0))</f>
        <v>0</v>
      </c>
      <c r="H918" s="1399">
        <f t="shared" si="223"/>
        <v>0</v>
      </c>
      <c r="I918" s="1399">
        <f t="array" ref="I918" xml:space="preserve"> SUM(($A$756:$A$763=$A918)*($F$730:$O$730=I$730)*($F$756:$O$763)) * SUM(IFERROR(($C$548:$C$603=$A918)*($A$548:$A$603=I$730)*($H$544:$O$544=$D918)*($H$548:$O$603),0))</f>
        <v>0</v>
      </c>
      <c r="J918" s="1399">
        <f t="shared" si="224"/>
        <v>0</v>
      </c>
      <c r="K918" s="1399">
        <f t="array" ref="K918" xml:space="preserve"> SUM(($A$756:$A$763=$A918)*($F$730:$O$730=K$730)*($F$756:$O$763)) * SUM(IFERROR(($C$548:$C$603=$A918)*($A$548:$A$603=K$730)*($H$544:$O$544=$D918)*($H$548:$O$603),0))</f>
        <v>0</v>
      </c>
      <c r="L918" s="1399">
        <f t="shared" si="225"/>
        <v>0</v>
      </c>
      <c r="M918" s="1399">
        <f t="array" ref="M918" xml:space="preserve"> SUM(($A$756:$A$763=$A918)*($F$730:$O$730=M$730)*($F$756:$O$763)) * SUM(IFERROR(($C$548:$C$603=$A918)*($A$548:$A$603=M$730)*($H$544:$O$544=$D918)*($H$548:$O$603),0))</f>
        <v>0</v>
      </c>
      <c r="N918" s="1399">
        <f t="shared" si="226"/>
        <v>0</v>
      </c>
      <c r="O918" s="1399">
        <f t="array" ref="O918" xml:space="preserve"> SUM(($A$756:$A$763=$A918)*($F$730:$O$730=O$730)*($F$756:$O$763)) * SUM(IFERROR(($C$548:$C$603=$A918)*($A$548:$A$603=O$730)*($H$544:$O$544=$D918)*($H$548:$O$603),0))</f>
        <v>0</v>
      </c>
      <c r="Q918" s="670"/>
      <c r="R918" s="670"/>
      <c r="S918" s="670"/>
      <c r="T918" s="670"/>
      <c r="U918" s="670"/>
      <c r="V918" s="670"/>
      <c r="W918" s="670"/>
      <c r="X918" s="670"/>
      <c r="Y918" s="670"/>
    </row>
    <row r="919" spans="1:25" s="17" customFormat="1" hidden="1" outlineLevel="1">
      <c r="A919" s="1408"/>
      <c r="B919" s="1407"/>
      <c r="C919" s="1407" t="str">
        <f>D27</f>
        <v>Other</v>
      </c>
      <c r="D919" s="1408"/>
      <c r="E919" s="1403"/>
      <c r="F919" s="1399">
        <f t="array" ref="F919" xml:space="preserve"> SUM(($A$756:$A$763=$A919)*($F$730:$O$730=F$730)*($F$756:$O$763)) * SUM(IFERROR(($C$548:$C$603=$A919)*($A$548:$A$603=F$730)*($H$544:$O$544=$D919)*($H$548:$O$603),0))</f>
        <v>0</v>
      </c>
      <c r="G919" s="1399">
        <f t="array" ref="G919" xml:space="preserve"> SUM(($A$756:$A$763=$A919)*($F$730:$O$730=G$730)*($F$756:$O$763)) * SUM(IFERROR(($C$548:$C$603=$A919)*($A$548:$A$603=G$730)*($H$544:$O$544=$D919)*($H$548:$O$603),0))</f>
        <v>0</v>
      </c>
      <c r="H919" s="1399">
        <f t="shared" si="223"/>
        <v>0</v>
      </c>
      <c r="I919" s="1399">
        <f t="array" ref="I919" xml:space="preserve"> SUM(($A$756:$A$763=$A919)*($F$730:$O$730=I$730)*($F$756:$O$763)) * SUM(IFERROR(($C$548:$C$603=$A919)*($A$548:$A$603=I$730)*($H$544:$O$544=$D919)*($H$548:$O$603),0))</f>
        <v>0</v>
      </c>
      <c r="J919" s="1399">
        <f t="shared" si="224"/>
        <v>0</v>
      </c>
      <c r="K919" s="1399">
        <f t="array" ref="K919" xml:space="preserve"> SUM(($A$756:$A$763=$A919)*($F$730:$O$730=K$730)*($F$756:$O$763)) * SUM(IFERROR(($C$548:$C$603=$A919)*($A$548:$A$603=K$730)*($H$544:$O$544=$D919)*($H$548:$O$603),0))</f>
        <v>0</v>
      </c>
      <c r="L919" s="1399">
        <f t="shared" si="225"/>
        <v>0</v>
      </c>
      <c r="M919" s="1399">
        <f t="array" ref="M919" xml:space="preserve"> SUM(($A$756:$A$763=$A919)*($F$730:$O$730=M$730)*($F$756:$O$763)) * SUM(IFERROR(($C$548:$C$603=$A919)*($A$548:$A$603=M$730)*($H$544:$O$544=$D919)*($H$548:$O$603),0))</f>
        <v>0</v>
      </c>
      <c r="N919" s="1399">
        <f t="shared" si="226"/>
        <v>0</v>
      </c>
      <c r="O919" s="1399">
        <f t="array" ref="O919" xml:space="preserve"> SUM(($A$756:$A$763=$A919)*($F$730:$O$730=O$730)*($F$756:$O$763)) * SUM(IFERROR(($C$548:$C$603=$A919)*($A$548:$A$603=O$730)*($H$544:$O$544=$D919)*($H$548:$O$603),0))</f>
        <v>0</v>
      </c>
      <c r="Q919" s="670"/>
      <c r="R919" s="670"/>
      <c r="S919" s="670"/>
      <c r="T919" s="670"/>
      <c r="U919" s="670"/>
      <c r="V919" s="670"/>
      <c r="W919" s="670"/>
      <c r="X919" s="670"/>
      <c r="Y919" s="670"/>
    </row>
    <row r="920" spans="1:25" s="17" customFormat="1" hidden="1" outlineLevel="1">
      <c r="A920" s="1408" t="str">
        <f>INDEX($C$20:$C$27,MATCH($C919,$D$20:$D$27,0))</f>
        <v>OT</v>
      </c>
      <c r="B920" s="1400" t="str">
        <f>INDEX(EF[UK Vector],MATCH(D920,EF[SATIM Code],0))</f>
        <v>V.03</v>
      </c>
      <c r="C920" s="1401" t="str">
        <f>INDEX(Vectors[Description], MATCH($B920, Vectors[Code], 0))</f>
        <v>Solid hydrocarbons</v>
      </c>
      <c r="D920" s="1406" t="s">
        <v>882</v>
      </c>
      <c r="E920" s="1403"/>
      <c r="F920" s="1399">
        <f t="array" ref="F920" xml:space="preserve"> SUM(($A$756:$A$763=$A920)*($F$730:$O$730=F$730)*($F$756:$O$763)) * SUM(IFERROR(($C$548:$C$603=$A920)*($A$548:$A$603=F$730)*($H$544:$O$544=$D920)*($H$548:$O$603),0))</f>
        <v>98.85460034390519</v>
      </c>
      <c r="G920" s="1399">
        <f t="array" ref="G920" xml:space="preserve"> SUM(($A$756:$A$763=$A920)*($F$730:$O$730=G$730)*($F$756:$O$763)) * SUM(IFERROR(($C$548:$C$603=$A920)*($A$548:$A$603=G$730)*($H$544:$O$544=$D920)*($H$548:$O$603),0))</f>
        <v>115.59241124255418</v>
      </c>
      <c r="H920" s="1399">
        <f t="shared" si="223"/>
        <v>140.11904979114271</v>
      </c>
      <c r="I920" s="1399">
        <f t="array" ref="I920" xml:space="preserve"> SUM(($A$756:$A$763=$A920)*($F$730:$O$730=I$730)*($F$756:$O$763)) * SUM(IFERROR(($C$548:$C$603=$A920)*($A$548:$A$603=I$730)*($H$544:$O$544=$D920)*($H$548:$O$603),0))</f>
        <v>164.64568833973124</v>
      </c>
      <c r="J920" s="1399">
        <f t="shared" si="224"/>
        <v>203.79651358291272</v>
      </c>
      <c r="K920" s="1399">
        <f t="array" ref="K920" xml:space="preserve"> SUM(($A$756:$A$763=$A920)*($F$730:$O$730=K$730)*($F$756:$O$763)) * SUM(IFERROR(($C$548:$C$603=$A920)*($A$548:$A$603=K$730)*($H$544:$O$544=$D920)*($H$548:$O$603),0))</f>
        <v>242.94733882609418</v>
      </c>
      <c r="L920" s="1399">
        <f t="shared" si="225"/>
        <v>309.59310146294234</v>
      </c>
      <c r="M920" s="1399">
        <f t="array" ref="M920" xml:space="preserve"> SUM(($A$756:$A$763=$A920)*($F$730:$O$730=M$730)*($F$756:$O$763)) * SUM(IFERROR(($C$548:$C$603=$A920)*($A$548:$A$603=M$730)*($H$544:$O$544=$D920)*($H$548:$O$603),0))</f>
        <v>376.23886409979048</v>
      </c>
      <c r="N920" s="1399">
        <f t="shared" si="226"/>
        <v>454.33934223868266</v>
      </c>
      <c r="O920" s="1399">
        <f t="array" ref="O920" xml:space="preserve"> SUM(($A$756:$A$763=$A920)*($F$730:$O$730=O$730)*($F$756:$O$763)) * SUM(IFERROR(($C$548:$C$603=$A920)*($A$548:$A$603=O$730)*($H$544:$O$544=$D920)*($H$548:$O$603),0))</f>
        <v>532.43982037757485</v>
      </c>
      <c r="Q920" s="670"/>
      <c r="R920" s="670"/>
      <c r="S920" s="670"/>
      <c r="T920" s="670"/>
      <c r="U920" s="670"/>
      <c r="V920" s="670"/>
      <c r="W920" s="670"/>
      <c r="X920" s="670"/>
      <c r="Y920" s="670"/>
    </row>
    <row r="921" spans="1:25" s="17" customFormat="1" hidden="1" outlineLevel="1">
      <c r="A921" s="1401" t="str">
        <f t="shared" ref="A921:A927" si="227">A920</f>
        <v>OT</v>
      </c>
      <c r="B921" s="1400" t="str">
        <f>INDEX(EF[UK Vector],MATCH(D921,EF[SATIM Code],0))</f>
        <v>V.05</v>
      </c>
      <c r="C921" s="1401" t="str">
        <f>INDEX(Vectors[Description], MATCH($B921, Vectors[Code], 0))</f>
        <v>Gaseous hydrocarbons</v>
      </c>
      <c r="D921" s="1406" t="s">
        <v>869</v>
      </c>
      <c r="E921" s="1403"/>
      <c r="F921" s="1399">
        <f t="array" ref="F921" xml:space="preserve"> SUM(($A$756:$A$763=$A921)*($F$730:$O$730=F$730)*($F$756:$O$763)) * SUM(IFERROR(($C$548:$C$603=$A921)*($A$548:$A$603=F$730)*($H$544:$O$544=$D921)*($H$548:$O$603),0))</f>
        <v>6.0742871999999988</v>
      </c>
      <c r="G921" s="1399">
        <f t="array" ref="G921" xml:space="preserve"> SUM(($A$756:$A$763=$A921)*($F$730:$O$730=G$730)*($F$756:$O$763)) * SUM(IFERROR(($C$548:$C$603=$A921)*($A$548:$A$603=G$730)*($H$544:$O$544=$D921)*($H$548:$O$603),0))</f>
        <v>7.1027701450929275</v>
      </c>
      <c r="H921" s="1399">
        <f t="shared" si="223"/>
        <v>8.6098507066087819</v>
      </c>
      <c r="I921" s="1399">
        <f t="array" ref="I921" xml:space="preserve"> SUM(($A$756:$A$763=$A921)*($F$730:$O$730=I$730)*($F$756:$O$763)) * SUM(IFERROR(($C$548:$C$603=$A921)*($A$548:$A$603=I$730)*($H$544:$O$544=$D921)*($H$548:$O$603),0))</f>
        <v>10.116931268124635</v>
      </c>
      <c r="J921" s="1399">
        <f t="shared" si="224"/>
        <v>12.522619580219017</v>
      </c>
      <c r="K921" s="1399">
        <f t="array" ref="K921" xml:space="preserve"> SUM(($A$756:$A$763=$A921)*($F$730:$O$730=K$730)*($F$756:$O$763)) * SUM(IFERROR(($C$548:$C$603=$A921)*($A$548:$A$603=K$730)*($H$544:$O$544=$D921)*($H$548:$O$603),0))</f>
        <v>14.928307892313398</v>
      </c>
      <c r="L921" s="1399">
        <f t="shared" si="225"/>
        <v>19.023468881391274</v>
      </c>
      <c r="M921" s="1399">
        <f t="array" ref="M921" xml:space="preserve"> SUM(($A$756:$A$763=$A921)*($F$730:$O$730=M$730)*($F$756:$O$763)) * SUM(IFERROR(($C$548:$C$603=$A921)*($A$548:$A$603=M$730)*($H$544:$O$544=$D921)*($H$548:$O$603),0))</f>
        <v>23.11862987046915</v>
      </c>
      <c r="N921" s="1399">
        <f t="shared" si="226"/>
        <v>27.917645121378527</v>
      </c>
      <c r="O921" s="1399">
        <f t="array" ref="O921" xml:space="preserve"> SUM(($A$756:$A$763=$A921)*($F$730:$O$730=O$730)*($F$756:$O$763)) * SUM(IFERROR(($C$548:$C$603=$A921)*($A$548:$A$603=O$730)*($H$544:$O$544=$D921)*($H$548:$O$603),0))</f>
        <v>32.716660372287905</v>
      </c>
      <c r="Q921" s="670"/>
      <c r="R921" s="670"/>
      <c r="S921" s="670"/>
      <c r="T921" s="670"/>
      <c r="U921" s="670"/>
      <c r="V921" s="670"/>
      <c r="W921" s="670"/>
      <c r="X921" s="670"/>
      <c r="Y921" s="670"/>
    </row>
    <row r="922" spans="1:25" s="17" customFormat="1" hidden="1" outlineLevel="1">
      <c r="A922" s="1401" t="str">
        <f t="shared" si="227"/>
        <v>OT</v>
      </c>
      <c r="B922" s="1400" t="str">
        <f>INDEX(EF[UK Vector],MATCH(D922,EF[SATIM Code],0))</f>
        <v>V.04</v>
      </c>
      <c r="C922" s="1401" t="str">
        <f>INDEX(Vectors[Description], MATCH($B922, Vectors[Code], 0))</f>
        <v>Liquid hydrocarbons</v>
      </c>
      <c r="D922" s="1406" t="s">
        <v>885</v>
      </c>
      <c r="E922" s="1403"/>
      <c r="F922" s="1399">
        <f t="array" ref="F922" xml:space="preserve"> SUM(($A$756:$A$763=$A922)*($F$730:$O$730=F$730)*($F$756:$O$763)) * SUM(IFERROR(($C$548:$C$603=$A922)*($A$548:$A$603=F$730)*($H$544:$O$544=$D922)*($H$548:$O$603),0))</f>
        <v>6.1029691008000007E-2</v>
      </c>
      <c r="G922" s="1399">
        <f t="array" ref="G922" xml:space="preserve"> SUM(($A$756:$A$763=$A922)*($F$730:$O$730=G$730)*($F$756:$O$763)) * SUM(IFERROR(($C$548:$C$603=$A922)*($A$548:$A$603=G$730)*($H$544:$O$544=$D922)*($H$548:$O$603),0))</f>
        <v>7.1363083927916474E-2</v>
      </c>
      <c r="H922" s="1399">
        <f t="shared" si="223"/>
        <v>8.6505051695505014E-2</v>
      </c>
      <c r="I922" s="1399">
        <f t="array" ref="I922" xml:space="preserve"> SUM(($A$756:$A$763=$A922)*($F$730:$O$730=I$730)*($F$756:$O$763)) * SUM(IFERROR(($C$548:$C$603=$A922)*($A$548:$A$603=I$730)*($H$544:$O$544=$D922)*($H$548:$O$603),0))</f>
        <v>0.10164701946309357</v>
      </c>
      <c r="J922" s="1399">
        <f t="shared" si="224"/>
        <v>0.12581749568764172</v>
      </c>
      <c r="K922" s="1399">
        <f t="array" ref="K922" xml:space="preserve"> SUM(($A$756:$A$763=$A922)*($F$730:$O$730=K$730)*($F$756:$O$763)) * SUM(IFERROR(($C$548:$C$603=$A922)*($A$548:$A$603=K$730)*($H$544:$O$544=$D922)*($H$548:$O$603),0))</f>
        <v>0.1499879719121899</v>
      </c>
      <c r="L922" s="1399">
        <f t="shared" si="225"/>
        <v>0.1911329493494501</v>
      </c>
      <c r="M922" s="1399">
        <f t="array" ref="M922" xml:space="preserve"> SUM(($A$756:$A$763=$A922)*($F$730:$O$730=M$730)*($F$756:$O$763)) * SUM(IFERROR(($C$548:$C$603=$A922)*($A$548:$A$603=M$730)*($H$544:$O$544=$D922)*($H$548:$O$603),0))</f>
        <v>0.2322779267867103</v>
      </c>
      <c r="N922" s="1399">
        <f t="shared" si="226"/>
        <v>0.28049468181694315</v>
      </c>
      <c r="O922" s="1399">
        <f t="array" ref="O922" xml:space="preserve"> SUM(($A$756:$A$763=$A922)*($F$730:$O$730=O$730)*($F$756:$O$763)) * SUM(IFERROR(($C$548:$C$603=$A922)*($A$548:$A$603=O$730)*($H$544:$O$544=$D922)*($H$548:$O$603),0))</f>
        <v>0.32871143684717602</v>
      </c>
      <c r="Q922" s="670"/>
      <c r="R922" s="670"/>
      <c r="S922" s="670"/>
      <c r="T922" s="670"/>
      <c r="U922" s="670"/>
      <c r="V922" s="670"/>
      <c r="W922" s="670"/>
      <c r="X922" s="670"/>
      <c r="Y922" s="670"/>
    </row>
    <row r="923" spans="1:25" s="17" customFormat="1" hidden="1" outlineLevel="1">
      <c r="A923" s="1401" t="str">
        <f t="shared" si="227"/>
        <v>OT</v>
      </c>
      <c r="B923" s="1400" t="str">
        <f>INDEX(EF[UK Vector],MATCH(D923,EF[SATIM Code],0))</f>
        <v>V.04</v>
      </c>
      <c r="C923" s="1401" t="str">
        <f>INDEX(Vectors[Description], MATCH($B923, Vectors[Code], 0))</f>
        <v>Liquid hydrocarbons</v>
      </c>
      <c r="D923" s="1406" t="s">
        <v>887</v>
      </c>
      <c r="E923" s="1403"/>
      <c r="F923" s="1399">
        <f t="array" ref="F923" xml:space="preserve"> SUM(($A$756:$A$763=$A923)*($F$730:$O$730=F$730)*($F$756:$O$763)) * SUM(IFERROR(($C$548:$C$603=$A923)*($A$548:$A$603=F$730)*($H$544:$O$544=$D923)*($H$548:$O$603),0))</f>
        <v>2.7373245839999996E-3</v>
      </c>
      <c r="G923" s="1399">
        <f t="array" ref="G923" xml:space="preserve"> SUM(($A$756:$A$763=$A923)*($F$730:$O$730=G$730)*($F$756:$O$763)) * SUM(IFERROR(($C$548:$C$603=$A923)*($A$548:$A$603=G$730)*($H$544:$O$544=$D923)*($H$548:$O$603),0))</f>
        <v>3.2008014590854572E-3</v>
      </c>
      <c r="H923" s="1399">
        <f t="shared" si="223"/>
        <v>3.8799541786186838E-3</v>
      </c>
      <c r="I923" s="1399">
        <f t="array" ref="I923" xml:space="preserve"> SUM(($A$756:$A$763=$A923)*($F$730:$O$730=I$730)*($F$756:$O$763)) * SUM(IFERROR(($C$548:$C$603=$A923)*($A$548:$A$603=I$730)*($H$544:$O$544=$D923)*($H$548:$O$603),0))</f>
        <v>4.5591068981519108E-3</v>
      </c>
      <c r="J923" s="1399">
        <f t="shared" si="224"/>
        <v>5.6432093683376171E-3</v>
      </c>
      <c r="K923" s="1399">
        <f t="array" ref="K923" xml:space="preserve"> SUM(($A$756:$A$763=$A923)*($F$730:$O$730=K$730)*($F$756:$O$763)) * SUM(IFERROR(($C$548:$C$603=$A923)*($A$548:$A$603=K$730)*($H$544:$O$544=$D923)*($H$548:$O$603),0))</f>
        <v>6.7273118385233234E-3</v>
      </c>
      <c r="L923" s="1399">
        <f t="shared" si="225"/>
        <v>8.5727604453723072E-3</v>
      </c>
      <c r="M923" s="1399">
        <f t="array" ref="M923" xml:space="preserve"> SUM(($A$756:$A$763=$A923)*($F$730:$O$730=M$730)*($F$756:$O$763)) * SUM(IFERROR(($C$548:$C$603=$A923)*($A$548:$A$603=M$730)*($H$544:$O$544=$D923)*($H$548:$O$603),0))</f>
        <v>1.0418209052221293E-2</v>
      </c>
      <c r="N923" s="1399">
        <f t="shared" si="226"/>
        <v>1.2580843447464437E-2</v>
      </c>
      <c r="O923" s="1399">
        <f t="array" ref="O923" xml:space="preserve"> SUM(($A$756:$A$763=$A923)*($F$730:$O$730=O$730)*($F$756:$O$763)) * SUM(IFERROR(($C$548:$C$603=$A923)*($A$548:$A$603=O$730)*($H$544:$O$544=$D923)*($H$548:$O$603),0))</f>
        <v>1.474347784270758E-2</v>
      </c>
      <c r="Q923" s="670"/>
      <c r="R923" s="670"/>
      <c r="S923" s="670"/>
      <c r="T923" s="670"/>
      <c r="U923" s="670"/>
      <c r="V923" s="670"/>
      <c r="W923" s="670"/>
      <c r="X923" s="670"/>
      <c r="Y923" s="670"/>
    </row>
    <row r="924" spans="1:25" s="17" customFormat="1" hidden="1" outlineLevel="1">
      <c r="A924" s="1401" t="str">
        <f t="shared" si="227"/>
        <v>OT</v>
      </c>
      <c r="B924" s="1400" t="str">
        <f>INDEX(EF[UK Vector],MATCH(D924,EF[SATIM Code],0))</f>
        <v>V.01</v>
      </c>
      <c r="C924" s="1401" t="str">
        <f>INDEX(Vectors[Description], MATCH($B924, Vectors[Code], 0))</f>
        <v>Electricity (delivered to end user)</v>
      </c>
      <c r="D924" s="1406" t="s">
        <v>879</v>
      </c>
      <c r="E924" s="1403"/>
      <c r="F924" s="1399">
        <f t="array" ref="F924" xml:space="preserve"> SUM(($A$756:$A$763=$A924)*($F$730:$O$730=F$730)*($F$756:$O$763)) * SUM(IFERROR(($C$548:$C$603=$A924)*($A$548:$A$603=F$730)*($H$544:$O$544=$D924)*($H$548:$O$603),0))</f>
        <v>0.19104240384000004</v>
      </c>
      <c r="G924" s="1399">
        <f t="array" ref="G924" xml:space="preserve"> SUM(($A$756:$A$763=$A924)*($F$730:$O$730=G$730)*($F$756:$O$763)) * SUM(IFERROR(($C$548:$C$603=$A924)*($A$548:$A$603=G$730)*($H$544:$O$544=$D924)*($H$548:$O$603),0))</f>
        <v>0.22338922045726434</v>
      </c>
      <c r="H924" s="1399">
        <f t="shared" si="223"/>
        <v>0.27078841048116142</v>
      </c>
      <c r="I924" s="1399">
        <f t="array" ref="I924" xml:space="preserve"> SUM(($A$756:$A$763=$A924)*($F$730:$O$730=I$730)*($F$756:$O$763)) * SUM(IFERROR(($C$548:$C$603=$A924)*($A$548:$A$603=I$730)*($H$544:$O$544=$D924)*($H$548:$O$603),0))</f>
        <v>0.31818760050505845</v>
      </c>
      <c r="J924" s="1399">
        <f t="shared" si="224"/>
        <v>0.39384890246527909</v>
      </c>
      <c r="K924" s="1399">
        <f t="array" ref="K924" xml:space="preserve"> SUM(($A$756:$A$763=$A924)*($F$730:$O$730=K$730)*($F$756:$O$763)) * SUM(IFERROR(($C$548:$C$603=$A924)*($A$548:$A$603=K$730)*($H$544:$O$544=$D924)*($H$548:$O$603),0))</f>
        <v>0.46951020442549973</v>
      </c>
      <c r="L924" s="1399">
        <f t="shared" si="225"/>
        <v>0.59830711074649645</v>
      </c>
      <c r="M924" s="1399">
        <f t="array" ref="M924" xml:space="preserve"> SUM(($A$756:$A$763=$A924)*($F$730:$O$730=M$730)*($F$756:$O$763)) * SUM(IFERROR(($C$548:$C$603=$A924)*($A$548:$A$603=M$730)*($H$544:$O$544=$D924)*($H$548:$O$603),0))</f>
        <v>0.72710401706749317</v>
      </c>
      <c r="N924" s="1399">
        <f t="shared" si="226"/>
        <v>0.8780378434428</v>
      </c>
      <c r="O924" s="1399">
        <f t="array" ref="O924" xml:space="preserve"> SUM(($A$756:$A$763=$A924)*($F$730:$O$730=O$730)*($F$756:$O$763)) * SUM(IFERROR(($C$548:$C$603=$A924)*($A$548:$A$603=O$730)*($H$544:$O$544=$D924)*($H$548:$O$603),0))</f>
        <v>1.0289716698181068</v>
      </c>
      <c r="Q924" s="670"/>
      <c r="R924" s="670"/>
      <c r="S924" s="670"/>
      <c r="T924" s="670"/>
      <c r="U924" s="670"/>
      <c r="V924" s="670"/>
      <c r="W924" s="670"/>
      <c r="X924" s="670"/>
      <c r="Y924" s="670"/>
    </row>
    <row r="925" spans="1:25" s="17" customFormat="1" hidden="1" outlineLevel="1">
      <c r="A925" s="1401" t="str">
        <f t="shared" si="227"/>
        <v>OT</v>
      </c>
      <c r="B925" s="1400" t="str">
        <f>INDEX(EF[UK Vector],MATCH(D925,EF[SATIM Code],0))</f>
        <v>V.09</v>
      </c>
      <c r="C925" s="1401" t="str">
        <f>INDEX(Vectors[Description], MATCH($B925, Vectors[Code], 0))</f>
        <v>Dry biomass and waste</v>
      </c>
      <c r="D925" s="1406" t="s">
        <v>888</v>
      </c>
      <c r="E925" s="1403"/>
      <c r="F925" s="1399">
        <f t="array" ref="F925" xml:space="preserve"> SUM(($A$756:$A$763=$A925)*($F$730:$O$730=F$730)*($F$756:$O$763)) * SUM(IFERROR(($C$548:$C$603=$A925)*($A$548:$A$603=F$730)*($H$544:$O$544=$D925)*($H$548:$O$603),0))</f>
        <v>0</v>
      </c>
      <c r="G925" s="1399">
        <f t="array" ref="G925" xml:space="preserve"> SUM(($A$756:$A$763=$A925)*($F$730:$O$730=G$730)*($F$756:$O$763)) * SUM(IFERROR(($C$548:$C$603=$A925)*($A$548:$A$603=G$730)*($H$544:$O$544=$D925)*($H$548:$O$603),0))</f>
        <v>0</v>
      </c>
      <c r="H925" s="1399">
        <f t="shared" si="223"/>
        <v>0</v>
      </c>
      <c r="I925" s="1399">
        <f t="array" ref="I925" xml:space="preserve"> SUM(($A$756:$A$763=$A925)*($F$730:$O$730=I$730)*($F$756:$O$763)) * SUM(IFERROR(($C$548:$C$603=$A925)*($A$548:$A$603=I$730)*($H$544:$O$544=$D925)*($H$548:$O$603),0))</f>
        <v>0</v>
      </c>
      <c r="J925" s="1399">
        <f t="shared" si="224"/>
        <v>0</v>
      </c>
      <c r="K925" s="1399">
        <f t="array" ref="K925" xml:space="preserve"> SUM(($A$756:$A$763=$A925)*($F$730:$O$730=K$730)*($F$756:$O$763)) * SUM(IFERROR(($C$548:$C$603=$A925)*($A$548:$A$603=K$730)*($H$544:$O$544=$D925)*($H$548:$O$603),0))</f>
        <v>0</v>
      </c>
      <c r="L925" s="1399">
        <f t="shared" si="225"/>
        <v>0</v>
      </c>
      <c r="M925" s="1399">
        <f t="array" ref="M925" xml:space="preserve"> SUM(($A$756:$A$763=$A925)*($F$730:$O$730=M$730)*($F$756:$O$763)) * SUM(IFERROR(($C$548:$C$603=$A925)*($A$548:$A$603=M$730)*($H$544:$O$544=$D925)*($H$548:$O$603),0))</f>
        <v>0</v>
      </c>
      <c r="N925" s="1399">
        <f t="shared" si="226"/>
        <v>0</v>
      </c>
      <c r="O925" s="1399">
        <f t="array" ref="O925" xml:space="preserve"> SUM(($A$756:$A$763=$A925)*($F$730:$O$730=O$730)*($F$756:$O$763)) * SUM(IFERROR(($C$548:$C$603=$A925)*($A$548:$A$603=O$730)*($H$544:$O$544=$D925)*($H$548:$O$603),0))</f>
        <v>0</v>
      </c>
      <c r="Q925" s="670"/>
      <c r="R925" s="670"/>
      <c r="S925" s="670"/>
      <c r="T925" s="670"/>
      <c r="U925" s="670"/>
      <c r="V925" s="670"/>
      <c r="W925" s="670"/>
      <c r="X925" s="670"/>
      <c r="Y925" s="670"/>
    </row>
    <row r="926" spans="1:25" s="17" customFormat="1" hidden="1" outlineLevel="1">
      <c r="A926" s="1401" t="str">
        <f t="shared" si="227"/>
        <v>OT</v>
      </c>
      <c r="B926" s="1400" t="str">
        <f>INDEX(EF[UK Vector],MATCH(D926,EF[SATIM Code],0))</f>
        <v>V.09</v>
      </c>
      <c r="C926" s="1401" t="str">
        <f>INDEX(Vectors[Description], MATCH($B926, Vectors[Code], 0))</f>
        <v>Dry biomass and waste</v>
      </c>
      <c r="D926" s="1406" t="s">
        <v>889</v>
      </c>
      <c r="E926" s="1403"/>
      <c r="F926" s="1399">
        <f t="array" ref="F926" xml:space="preserve"> SUM(($A$756:$A$763=$A926)*($F$730:$O$730=F$730)*($F$756:$O$763)) * SUM(IFERROR(($C$548:$C$603=$A926)*($A$548:$A$603=F$730)*($H$544:$O$544=$D926)*($H$548:$O$603),0))</f>
        <v>0</v>
      </c>
      <c r="G926" s="1399">
        <f t="array" ref="G926" xml:space="preserve"> SUM(($A$756:$A$763=$A926)*($F$730:$O$730=G$730)*($F$756:$O$763)) * SUM(IFERROR(($C$548:$C$603=$A926)*($A$548:$A$603=G$730)*($H$544:$O$544=$D926)*($H$548:$O$603),0))</f>
        <v>0</v>
      </c>
      <c r="H926" s="1399">
        <f t="shared" si="223"/>
        <v>0</v>
      </c>
      <c r="I926" s="1399">
        <f t="array" ref="I926" xml:space="preserve"> SUM(($A$756:$A$763=$A926)*($F$730:$O$730=I$730)*($F$756:$O$763)) * SUM(IFERROR(($C$548:$C$603=$A926)*($A$548:$A$603=I$730)*($H$544:$O$544=$D926)*($H$548:$O$603),0))</f>
        <v>0</v>
      </c>
      <c r="J926" s="1399">
        <f t="shared" si="224"/>
        <v>0</v>
      </c>
      <c r="K926" s="1399">
        <f t="array" ref="K926" xml:space="preserve"> SUM(($A$756:$A$763=$A926)*($F$730:$O$730=K$730)*($F$756:$O$763)) * SUM(IFERROR(($C$548:$C$603=$A926)*($A$548:$A$603=K$730)*($H$544:$O$544=$D926)*($H$548:$O$603),0))</f>
        <v>0</v>
      </c>
      <c r="L926" s="1399">
        <f t="shared" si="225"/>
        <v>0</v>
      </c>
      <c r="M926" s="1399">
        <f t="array" ref="M926" xml:space="preserve"> SUM(($A$756:$A$763=$A926)*($F$730:$O$730=M$730)*($F$756:$O$763)) * SUM(IFERROR(($C$548:$C$603=$A926)*($A$548:$A$603=M$730)*($H$544:$O$544=$D926)*($H$548:$O$603),0))</f>
        <v>0</v>
      </c>
      <c r="N926" s="1399">
        <f t="shared" si="226"/>
        <v>0</v>
      </c>
      <c r="O926" s="1399">
        <f t="array" ref="O926" xml:space="preserve"> SUM(($A$756:$A$763=$A926)*($F$730:$O$730=O$730)*($F$756:$O$763)) * SUM(IFERROR(($C$548:$C$603=$A926)*($A$548:$A$603=O$730)*($H$544:$O$544=$D926)*($H$548:$O$603),0))</f>
        <v>0</v>
      </c>
      <c r="Q926" s="670"/>
      <c r="R926" s="670"/>
      <c r="S926" s="670"/>
      <c r="T926" s="670"/>
      <c r="U926" s="670"/>
      <c r="V926" s="670"/>
      <c r="W926" s="670"/>
      <c r="X926" s="670"/>
      <c r="Y926" s="670"/>
    </row>
    <row r="927" spans="1:25" s="17" customFormat="1" hidden="1" outlineLevel="1">
      <c r="A927" s="1401" t="str">
        <f t="shared" si="227"/>
        <v>OT</v>
      </c>
      <c r="B927" s="1400" t="s">
        <v>897</v>
      </c>
      <c r="C927" s="1401" t="str">
        <f>INDEX(Vectors[Description], MATCH($B927, Vectors[Code], 0))</f>
        <v>Other Waste</v>
      </c>
      <c r="D927" s="1408" t="s">
        <v>890</v>
      </c>
      <c r="E927" s="1403"/>
      <c r="F927" s="1399">
        <f t="array" ref="F927" xml:space="preserve"> SUM(($A$756:$A$763=$A927)*($F$730:$O$730=F$730)*($F$756:$O$763)) * SUM(IFERROR(($C$548:$C$603=$A927)*($A$548:$A$603=F$730)*($H$544:$O$544=$D927)*($H$548:$O$603),0))</f>
        <v>0</v>
      </c>
      <c r="G927" s="1399">
        <f t="array" ref="G927" xml:space="preserve"> SUM(($A$756:$A$763=$A927)*($F$730:$O$730=G$730)*($F$756:$O$763)) * SUM(IFERROR(($C$548:$C$603=$A927)*($A$548:$A$603=G$730)*($H$544:$O$544=$D927)*($H$548:$O$603),0))</f>
        <v>0</v>
      </c>
      <c r="H927" s="1399">
        <f t="shared" si="223"/>
        <v>0</v>
      </c>
      <c r="I927" s="1399">
        <f t="array" ref="I927" xml:space="preserve"> SUM(($A$756:$A$763=$A927)*($F$730:$O$730=I$730)*($F$756:$O$763)) * SUM(IFERROR(($C$548:$C$603=$A927)*($A$548:$A$603=I$730)*($H$544:$O$544=$D927)*($H$548:$O$603),0))</f>
        <v>0</v>
      </c>
      <c r="J927" s="1399">
        <f t="shared" si="224"/>
        <v>0</v>
      </c>
      <c r="K927" s="1399">
        <f t="array" ref="K927" xml:space="preserve"> SUM(($A$756:$A$763=$A927)*($F$730:$O$730=K$730)*($F$756:$O$763)) * SUM(IFERROR(($C$548:$C$603=$A927)*($A$548:$A$603=K$730)*($H$544:$O$544=$D927)*($H$548:$O$603),0))</f>
        <v>0</v>
      </c>
      <c r="L927" s="1399">
        <f t="shared" si="225"/>
        <v>0</v>
      </c>
      <c r="M927" s="1399">
        <f t="array" ref="M927" xml:space="preserve"> SUM(($A$756:$A$763=$A927)*($F$730:$O$730=M$730)*($F$756:$O$763)) * SUM(IFERROR(($C$548:$C$603=$A927)*($A$548:$A$603=M$730)*($H$544:$O$544=$D927)*($H$548:$O$603),0))</f>
        <v>0</v>
      </c>
      <c r="N927" s="1399">
        <f t="shared" si="226"/>
        <v>0</v>
      </c>
      <c r="O927" s="1399">
        <f t="array" ref="O927" xml:space="preserve"> SUM(($A$756:$A$763=$A927)*($F$730:$O$730=O$730)*($F$756:$O$763)) * SUM(IFERROR(($C$548:$C$603=$A927)*($A$548:$A$603=O$730)*($H$544:$O$544=$D927)*($H$548:$O$603),0))</f>
        <v>0</v>
      </c>
      <c r="Q927" s="670"/>
      <c r="R927" s="670"/>
      <c r="S927" s="670"/>
      <c r="T927" s="670"/>
      <c r="U927" s="670"/>
      <c r="V927" s="670"/>
      <c r="W927" s="670"/>
      <c r="X927" s="670"/>
      <c r="Y927" s="670"/>
    </row>
    <row r="928" spans="1:25" s="17" customFormat="1" hidden="1" outlineLevel="1">
      <c r="A928" s="1401"/>
      <c r="B928" s="1400"/>
      <c r="C928" s="1401"/>
      <c r="D928" s="1406"/>
      <c r="E928" s="1403"/>
      <c r="F928" s="1398"/>
      <c r="G928" s="1397"/>
      <c r="H928" s="1397"/>
      <c r="I928" s="1397"/>
      <c r="J928" s="1397"/>
      <c r="K928" s="1397"/>
      <c r="L928" s="1397"/>
      <c r="M928" s="1397"/>
      <c r="N928" s="1397"/>
      <c r="O928" s="1397"/>
      <c r="Q928" s="670"/>
      <c r="R928" s="670"/>
      <c r="S928" s="670"/>
      <c r="T928" s="670"/>
      <c r="U928" s="670"/>
      <c r="V928" s="670"/>
      <c r="W928" s="670"/>
      <c r="X928" s="670"/>
      <c r="Y928" s="670"/>
    </row>
    <row r="929" spans="1:25" s="17" customFormat="1" hidden="1" outlineLevel="1">
      <c r="A929" s="1396"/>
      <c r="B929" s="1396"/>
      <c r="C929" s="1396"/>
      <c r="D929" s="1396"/>
      <c r="E929" s="1395"/>
      <c r="F929" s="1427"/>
      <c r="G929" s="1394"/>
      <c r="H929" s="1427"/>
      <c r="I929" s="1394"/>
      <c r="J929" s="1427"/>
      <c r="K929" s="1394"/>
      <c r="L929" s="1427"/>
      <c r="M929" s="1394"/>
      <c r="N929" s="1427"/>
      <c r="O929" s="1394"/>
      <c r="Q929" s="670"/>
      <c r="R929" s="485"/>
      <c r="S929" s="670"/>
      <c r="T929" s="485"/>
      <c r="U929" s="670"/>
      <c r="V929" s="485"/>
      <c r="W929" s="670"/>
      <c r="X929" s="485"/>
      <c r="Y929" s="670"/>
    </row>
    <row r="930" spans="1:25" s="17" customFormat="1" hidden="1" outlineLevel="1">
      <c r="A930" s="559"/>
      <c r="B930" s="559"/>
      <c r="C930" s="559"/>
      <c r="D930" s="559"/>
      <c r="E930" s="104"/>
      <c r="F930" s="46"/>
      <c r="G930" s="674"/>
      <c r="H930" s="46"/>
      <c r="I930" s="674"/>
      <c r="J930" s="46"/>
      <c r="K930" s="674"/>
      <c r="L930" s="46"/>
      <c r="M930" s="674"/>
      <c r="N930" s="46"/>
      <c r="O930" s="674"/>
      <c r="Q930" s="670"/>
      <c r="R930" s="485"/>
      <c r="S930" s="670"/>
      <c r="T930" s="485"/>
      <c r="U930" s="670"/>
      <c r="V930" s="485"/>
      <c r="W930" s="670"/>
      <c r="X930" s="485"/>
      <c r="Y930" s="670"/>
    </row>
    <row r="931" spans="1:25" s="17" customFormat="1">
      <c r="C931" s="348" t="s">
        <v>2241</v>
      </c>
      <c r="D931" s="656"/>
      <c r="F931" s="673" t="s">
        <v>1333</v>
      </c>
      <c r="H931" s="485"/>
      <c r="I931" s="672"/>
      <c r="J931" s="672"/>
      <c r="K931" s="672"/>
      <c r="L931" s="672"/>
      <c r="M931" s="672"/>
      <c r="N931" s="672"/>
      <c r="O931" s="672"/>
      <c r="Q931" s="670"/>
      <c r="R931" s="485"/>
      <c r="S931" s="670"/>
      <c r="T931" s="670"/>
      <c r="U931" s="670"/>
      <c r="V931" s="670"/>
      <c r="W931" s="670"/>
      <c r="X931" s="670"/>
      <c r="Y931" s="670"/>
    </row>
    <row r="932" spans="1:25" s="17" customFormat="1">
      <c r="B932" s="348"/>
      <c r="C932" s="348" t="str">
        <f>D20</f>
        <v>Mining SIC2</v>
      </c>
      <c r="D932" s="656"/>
      <c r="E932" s="303"/>
      <c r="F932" s="46"/>
      <c r="H932" s="671"/>
      <c r="Q932" s="42"/>
      <c r="R932" s="670"/>
      <c r="S932" s="42"/>
      <c r="T932" s="42"/>
      <c r="U932" s="42"/>
      <c r="V932" s="42"/>
      <c r="W932" s="42"/>
      <c r="X932" s="42"/>
      <c r="Y932" s="42"/>
    </row>
    <row r="933" spans="1:25" s="17" customFormat="1">
      <c r="A933" s="1438" t="str">
        <f>INDEX($C$20:$C$27,MATCH($C932,$D$20:$D$27,0))</f>
        <v>MI</v>
      </c>
      <c r="B933" s="347" t="str">
        <f>INDEX(EF[UK Vector],MATCH(D933,EF[SATIM Code],0))</f>
        <v>V.03</v>
      </c>
      <c r="C933" s="19" t="str">
        <f>INDEX(Vectors[Description], MATCH($B933, Vectors[Code], 0))</f>
        <v>Solid hydrocarbons</v>
      </c>
      <c r="D933" s="656" t="s">
        <v>882</v>
      </c>
      <c r="E933" s="303"/>
      <c r="F933" s="1062">
        <f t="array" ref="F933">IFERROR(SUM(($F$730:$O$730=F$730)*($A$850:$A$928=$A933)*($D$850:$D$928=$D933)*($F$850:$O$928)) / SUM(($A$621:$A$677=F$730)*($C$621:$C$677=$A933)*($H$618:$O$618=$D933)*($H$621:$O$677)),0)</f>
        <v>53.282366999999986</v>
      </c>
      <c r="G933" s="1062">
        <f t="array" ref="G933">IFERROR(SUM(($F$730:$O$730=G$730)*($A$850:$A$928=$A933)*($D$850:$D$928=$D933)*($F$850:$O$928)) / SUM(($A$621:$A$677=G$730)*($C$621:$C$677=$A933)*($H$618:$O$618=$D933)*($H$621:$O$677)),0)</f>
        <v>62.58402407445562</v>
      </c>
      <c r="H933" s="1062">
        <f t="shared" ref="H933:H964" si="228">AVERAGE(G933,I933)</f>
        <v>78.971239962142931</v>
      </c>
      <c r="I933" s="1062">
        <f t="array" ref="I933">IFERROR(SUM(($F$730:$O$730=I$730)*($A$850:$A$928=$A933)*($D$850:$D$928=$D933)*($F$850:$O$928)) / SUM(($A$621:$A$677=I$730)*($C$621:$C$677=$A933)*($H$618:$O$618=$D933)*($H$621:$O$677)),0)</f>
        <v>95.35845584983025</v>
      </c>
      <c r="J933" s="1062">
        <f t="shared" ref="J933:J964" si="229">AVERAGE(I933,K933)</f>
        <v>123.06832577377561</v>
      </c>
      <c r="K933" s="1062">
        <f t="array" ref="K933">IFERROR(SUM(($F$730:$O$730=K$730)*($A$850:$A$928=$A933)*($D$850:$D$928=$D933)*($F$850:$O$928)) / SUM(($A$621:$A$677=K$730)*($C$621:$C$677=$A933)*($H$618:$O$618=$D933)*($H$621:$O$677)),0)</f>
        <v>150.77819569772097</v>
      </c>
      <c r="L933" s="1062">
        <f t="shared" ref="L933:L964" si="230">AVERAGE(K933,M933)</f>
        <v>193.31848366129475</v>
      </c>
      <c r="M933" s="1062">
        <f t="array" ref="M933">IFERROR(SUM(($F$730:$O$730=M$730)*($A$850:$A$928=$A933)*($D$850:$D$928=$D933)*($F$850:$O$928)) / SUM(($A$621:$A$677=M$730)*($C$621:$C$677=$A933)*($H$618:$O$618=$D933)*($H$621:$O$677)),0)</f>
        <v>235.85877162486855</v>
      </c>
      <c r="N933" s="1062">
        <f t="shared" ref="N933:N964" si="231">AVERAGE(M933,O933)</f>
        <v>287.08898742489976</v>
      </c>
      <c r="O933" s="1062">
        <f t="array" ref="O933">IFERROR(SUM(($F$730:$O$730=O$730)*($A$850:$A$928=$A933)*($D$850:$D$928=$D933)*($F$850:$O$928)) / SUM(($A$621:$A$677=O$730)*($C$621:$C$677=$A933)*($H$618:$O$618=$D933)*($H$621:$O$677)),0)</f>
        <v>338.31920322493096</v>
      </c>
      <c r="Q933" s="240"/>
      <c r="R933" s="670"/>
      <c r="S933" s="670"/>
      <c r="T933" s="670"/>
      <c r="U933" s="670"/>
      <c r="V933" s="670"/>
      <c r="W933" s="670"/>
      <c r="X933" s="670"/>
      <c r="Y933" s="670"/>
    </row>
    <row r="934" spans="1:25" s="17" customFormat="1">
      <c r="A934" s="19" t="str">
        <f t="shared" ref="A934:A940" si="232">A933</f>
        <v>MI</v>
      </c>
      <c r="B934" s="347" t="str">
        <f>INDEX(EF[UK Vector],MATCH(D934,EF[SATIM Code],0))</f>
        <v>V.05</v>
      </c>
      <c r="C934" s="19" t="str">
        <f>INDEX(Vectors[Description], MATCH($B934, Vectors[Code], 0))</f>
        <v>Gaseous hydrocarbons</v>
      </c>
      <c r="D934" s="656" t="s">
        <v>869</v>
      </c>
      <c r="E934" s="303"/>
      <c r="F934" s="1062">
        <f t="array" ref="F934">IFERROR(SUM(($F$730:$O$730=F$730)*($A$850:$A$928=$A934)*($D$850:$D$928=$D934)*($F$850:$O$928)) / SUM(($A$621:$A$677=F$730)*($C$621:$C$677=$A934)*($H$618:$O$618=$D934)*($H$621:$O$677)),0)</f>
        <v>2.8999399999999995</v>
      </c>
      <c r="G934" s="1062">
        <f t="array" ref="G934">IFERROR(SUM(($F$730:$O$730=G$730)*($A$850:$A$928=$A934)*($D$850:$D$928=$D934)*($F$850:$O$928)) / SUM(($A$621:$A$677=G$730)*($C$621:$C$677=$A934)*($H$618:$O$618=$D934)*($H$621:$O$677)),0)</f>
        <v>3.4061909219325193</v>
      </c>
      <c r="H934" s="1062">
        <f t="shared" si="228"/>
        <v>4.2980796558046457</v>
      </c>
      <c r="I934" s="1062">
        <f t="array" ref="I934">IFERROR(SUM(($F$730:$O$730=I$730)*($A$850:$A$928=$A934)*($D$850:$D$928=$D934)*($F$850:$O$928)) / SUM(($A$621:$A$677=I$730)*($C$621:$C$677=$A934)*($H$618:$O$618=$D934)*($H$621:$O$677)),0)</f>
        <v>5.1899683896767712</v>
      </c>
      <c r="J934" s="1062">
        <f t="shared" si="229"/>
        <v>6.6981025945112922</v>
      </c>
      <c r="K934" s="1062">
        <f t="array" ref="K934">IFERROR(SUM(($F$730:$O$730=K$730)*($A$850:$A$928=$A934)*($D$850:$D$928=$D934)*($F$850:$O$928)) / SUM(($A$621:$A$677=K$730)*($C$621:$C$677=$A934)*($H$618:$O$618=$D934)*($H$621:$O$677)),0)</f>
        <v>8.2062367993458132</v>
      </c>
      <c r="L934" s="1062">
        <f t="shared" si="230"/>
        <v>10.521529636788379</v>
      </c>
      <c r="M934" s="1062">
        <f t="array" ref="M934">IFERROR(SUM(($F$730:$O$730=M$730)*($A$850:$A$928=$A934)*($D$850:$D$928=$D934)*($F$850:$O$928)) / SUM(($A$621:$A$677=M$730)*($C$621:$C$677=$A934)*($H$618:$O$618=$D934)*($H$621:$O$677)),0)</f>
        <v>12.836822474230946</v>
      </c>
      <c r="N934" s="1062">
        <f t="shared" si="231"/>
        <v>15.625072328205011</v>
      </c>
      <c r="O934" s="1062">
        <f t="array" ref="O934">IFERROR(SUM(($F$730:$O$730=O$730)*($A$850:$A$928=$A934)*($D$850:$D$928=$D934)*($F$850:$O$928)) / SUM(($A$621:$A$677=O$730)*($C$621:$C$677=$A934)*($H$618:$O$618=$D934)*($H$621:$O$677)),0)</f>
        <v>18.413322182179076</v>
      </c>
      <c r="Q934" s="240"/>
      <c r="R934" s="670"/>
      <c r="S934" s="670"/>
      <c r="T934" s="670"/>
      <c r="U934" s="670"/>
      <c r="V934" s="670"/>
      <c r="W934" s="670"/>
      <c r="X934" s="670"/>
      <c r="Y934" s="670"/>
    </row>
    <row r="935" spans="1:25" s="17" customFormat="1">
      <c r="A935" s="19" t="str">
        <f t="shared" si="232"/>
        <v>MI</v>
      </c>
      <c r="B935" s="347" t="str">
        <f>INDEX(EF[UK Vector],MATCH(D935,EF[SATIM Code],0))</f>
        <v>V.04</v>
      </c>
      <c r="C935" s="19" t="str">
        <f>INDEX(Vectors[Description], MATCH($B935, Vectors[Code], 0))</f>
        <v>Liquid hydrocarbons</v>
      </c>
      <c r="D935" s="656" t="s">
        <v>885</v>
      </c>
      <c r="E935" s="303"/>
      <c r="F935" s="1062">
        <f t="array" ref="F935">IFERROR(SUM(($F$730:$O$730=F$730)*($A$850:$A$928=$A935)*($D$850:$D$928=$D935)*($F$850:$O$928)) / SUM(($A$621:$A$677=F$730)*($C$621:$C$677=$A935)*($H$618:$O$618=$D935)*($H$621:$O$677)),0)</f>
        <v>7.7266924799999984E-2</v>
      </c>
      <c r="G935" s="1062">
        <f t="array" ref="G935">IFERROR(SUM(($F$730:$O$730=G$730)*($A$850:$A$928=$A935)*($D$850:$D$928=$D935)*($F$850:$O$928)) / SUM(($A$621:$A$677=G$730)*($C$621:$C$677=$A935)*($H$618:$O$618=$D935)*($H$621:$O$677)),0)</f>
        <v>9.075563557156445E-2</v>
      </c>
      <c r="H935" s="1062">
        <f t="shared" si="228"/>
        <v>0.11451940300470609</v>
      </c>
      <c r="I935" s="1062">
        <f t="array" ref="I935">IFERROR(SUM(($F$730:$O$730=I$730)*($A$850:$A$928=$A935)*($D$850:$D$928=$D935)*($F$850:$O$928)) / SUM(($A$621:$A$677=I$730)*($C$621:$C$677=$A935)*($H$618:$O$618=$D935)*($H$621:$O$677)),0)</f>
        <v>0.13828317043784774</v>
      </c>
      <c r="J935" s="1062">
        <f t="shared" si="229"/>
        <v>0.17846637843292926</v>
      </c>
      <c r="K935" s="1062">
        <f t="array" ref="K935">IFERROR(SUM(($F$730:$O$730=K$730)*($A$850:$A$928=$A935)*($D$850:$D$928=$D935)*($F$850:$O$928)) / SUM(($A$621:$A$677=K$730)*($C$621:$C$677=$A935)*($H$618:$O$618=$D935)*($H$621:$O$677)),0)</f>
        <v>0.21864958642801077</v>
      </c>
      <c r="L935" s="1062">
        <f t="shared" si="230"/>
        <v>0.28033898605719393</v>
      </c>
      <c r="M935" s="1062">
        <f t="array" ref="M935">IFERROR(SUM(($F$730:$O$730=M$730)*($A$850:$A$928=$A935)*($D$850:$D$928=$D935)*($F$850:$O$928)) / SUM(($A$621:$A$677=M$730)*($C$621:$C$677=$A935)*($H$618:$O$618=$D935)*($H$621:$O$677)),0)</f>
        <v>0.34202838568637706</v>
      </c>
      <c r="N935" s="1062">
        <f t="shared" si="231"/>
        <v>0.41631940266970258</v>
      </c>
      <c r="O935" s="1062">
        <f t="array" ref="O935">IFERROR(SUM(($F$730:$O$730=O$730)*($A$850:$A$928=$A935)*($D$850:$D$928=$D935)*($F$850:$O$928)) / SUM(($A$621:$A$677=O$730)*($C$621:$C$677=$A935)*($H$618:$O$618=$D935)*($H$621:$O$677)),0)</f>
        <v>0.49061041965302804</v>
      </c>
      <c r="Q935" s="240"/>
      <c r="R935" s="670"/>
      <c r="S935" s="670"/>
      <c r="T935" s="670"/>
      <c r="U935" s="670"/>
      <c r="V935" s="670"/>
      <c r="W935" s="670"/>
      <c r="X935" s="670"/>
      <c r="Y935" s="670"/>
    </row>
    <row r="936" spans="1:25" s="17" customFormat="1">
      <c r="A936" s="19" t="str">
        <f t="shared" si="232"/>
        <v>MI</v>
      </c>
      <c r="B936" s="347" t="str">
        <f>INDEX(EF[UK Vector],MATCH(D936,EF[SATIM Code],0))</f>
        <v>V.04</v>
      </c>
      <c r="C936" s="19" t="str">
        <f>INDEX(Vectors[Description], MATCH($B936, Vectors[Code], 0))</f>
        <v>Liquid hydrocarbons</v>
      </c>
      <c r="D936" s="656" t="s">
        <v>887</v>
      </c>
      <c r="E936" s="303"/>
      <c r="F936" s="1062">
        <f t="array" ref="F936">IFERROR(SUM(($F$730:$O$730=F$730)*($A$850:$A$928=$A936)*($D$850:$D$928=$D936)*($F$850:$O$928)) / SUM(($A$621:$A$677=F$730)*($C$621:$C$677=$A936)*($H$618:$O$618=$D936)*($H$621:$O$677)),0)</f>
        <v>6.1570199999999982E-5</v>
      </c>
      <c r="G936" s="1062">
        <f t="array" ref="G936">IFERROR(SUM(($F$730:$O$730=G$730)*($A$850:$A$928=$A936)*($D$850:$D$928=$D936)*($F$850:$O$928)) / SUM(($A$621:$A$677=G$730)*($C$621:$C$677=$A936)*($H$618:$O$618=$D936)*($H$621:$O$677)),0)</f>
        <v>7.2318688076846268E-5</v>
      </c>
      <c r="H936" s="1062">
        <f t="shared" si="228"/>
        <v>9.1254861832942459E-5</v>
      </c>
      <c r="I936" s="1062">
        <f t="array" ref="I936">IFERROR(SUM(($F$730:$O$730=I$730)*($A$850:$A$928=$A936)*($D$850:$D$928=$D936)*($F$850:$O$928)) / SUM(($A$621:$A$677=I$730)*($C$621:$C$677=$A936)*($H$618:$O$618=$D936)*($H$621:$O$677)),0)</f>
        <v>1.1019103558903865E-4</v>
      </c>
      <c r="J936" s="1062">
        <f t="shared" si="229"/>
        <v>1.4221105138884912E-4</v>
      </c>
      <c r="K936" s="1062">
        <f t="array" ref="K936">IFERROR(SUM(($F$730:$O$730=K$730)*($A$850:$A$928=$A936)*($D$850:$D$928=$D936)*($F$850:$O$928)) / SUM(($A$621:$A$677=K$730)*($C$621:$C$677=$A936)*($H$618:$O$618=$D936)*($H$621:$O$677)),0)</f>
        <v>1.7423106718865962E-4</v>
      </c>
      <c r="L936" s="1062">
        <f t="shared" si="230"/>
        <v>2.233883059797747E-4</v>
      </c>
      <c r="M936" s="1062">
        <f t="array" ref="M936">IFERROR(SUM(($F$730:$O$730=M$730)*($A$850:$A$928=$A936)*($D$850:$D$928=$D936)*($F$850:$O$928)) / SUM(($A$621:$A$677=M$730)*($C$621:$C$677=$A936)*($H$618:$O$618=$D936)*($H$621:$O$677)),0)</f>
        <v>2.7254554477088976E-4</v>
      </c>
      <c r="N936" s="1062">
        <f t="shared" si="231"/>
        <v>3.3174439066396133E-4</v>
      </c>
      <c r="O936" s="1062">
        <f t="array" ref="O936">IFERROR(SUM(($F$730:$O$730=O$730)*($A$850:$A$928=$A936)*($D$850:$D$928=$D936)*($F$850:$O$928)) / SUM(($A$621:$A$677=O$730)*($C$621:$C$677=$A936)*($H$618:$O$618=$D936)*($H$621:$O$677)),0)</f>
        <v>3.909432365570329E-4</v>
      </c>
      <c r="Q936" s="240"/>
      <c r="R936" s="670"/>
      <c r="S936" s="670"/>
      <c r="T936" s="670"/>
      <c r="U936" s="670"/>
      <c r="V936" s="670"/>
      <c r="W936" s="670"/>
      <c r="X936" s="670"/>
      <c r="Y936" s="670"/>
    </row>
    <row r="937" spans="1:25" s="17" customFormat="1">
      <c r="A937" s="19" t="str">
        <f t="shared" si="232"/>
        <v>MI</v>
      </c>
      <c r="B937" s="347" t="str">
        <f>INDEX(EF[UK Vector],MATCH(D937,EF[SATIM Code],0))</f>
        <v>V.01</v>
      </c>
      <c r="C937" s="19" t="str">
        <f>INDEX(Vectors[Description], MATCH($B937, Vectors[Code], 0))</f>
        <v>Electricity (delivered to end user)</v>
      </c>
      <c r="D937" s="656" t="s">
        <v>879</v>
      </c>
      <c r="E937" s="303"/>
      <c r="F937" s="1062">
        <f t="array" ref="F937">IFERROR(SUM(($F$730:$O$730=F$730)*($A$850:$A$928=$A937)*($D$850:$D$928=$D937)*($F$850:$O$928)) / SUM(($A$621:$A$677=F$730)*($C$621:$C$677=$A937)*($H$618:$O$618=$D937)*($H$621:$O$677)),0)</f>
        <v>0</v>
      </c>
      <c r="G937" s="1062">
        <f t="array" ref="G937">IFERROR(SUM(($F$730:$O$730=G$730)*($A$850:$A$928=$A937)*($D$850:$D$928=$D937)*($F$850:$O$928)) / SUM(($A$621:$A$677=G$730)*($C$621:$C$677=$A937)*($H$618:$O$618=$D937)*($H$621:$O$677)),0)</f>
        <v>0</v>
      </c>
      <c r="H937" s="1062">
        <f t="shared" si="228"/>
        <v>0</v>
      </c>
      <c r="I937" s="1062">
        <f t="array" ref="I937">IFERROR(SUM(($F$730:$O$730=I$730)*($A$850:$A$928=$A937)*($D$850:$D$928=$D937)*($F$850:$O$928)) / SUM(($A$621:$A$677=I$730)*($C$621:$C$677=$A937)*($H$618:$O$618=$D937)*($H$621:$O$677)),0)</f>
        <v>0</v>
      </c>
      <c r="J937" s="1062">
        <f t="shared" si="229"/>
        <v>0</v>
      </c>
      <c r="K937" s="1062">
        <f t="array" ref="K937">IFERROR(SUM(($F$730:$O$730=K$730)*($A$850:$A$928=$A937)*($D$850:$D$928=$D937)*($F$850:$O$928)) / SUM(($A$621:$A$677=K$730)*($C$621:$C$677=$A937)*($H$618:$O$618=$D937)*($H$621:$O$677)),0)</f>
        <v>0</v>
      </c>
      <c r="L937" s="1062">
        <f t="shared" si="230"/>
        <v>0</v>
      </c>
      <c r="M937" s="1062">
        <f t="array" ref="M937">IFERROR(SUM(($F$730:$O$730=M$730)*($A$850:$A$928=$A937)*($D$850:$D$928=$D937)*($F$850:$O$928)) / SUM(($A$621:$A$677=M$730)*($C$621:$C$677=$A937)*($H$618:$O$618=$D937)*($H$621:$O$677)),0)</f>
        <v>0</v>
      </c>
      <c r="N937" s="1062">
        <f t="shared" si="231"/>
        <v>0</v>
      </c>
      <c r="O937" s="1062">
        <f t="array" ref="O937">IFERROR(SUM(($F$730:$O$730=O$730)*($A$850:$A$928=$A937)*($D$850:$D$928=$D937)*($F$850:$O$928)) / SUM(($A$621:$A$677=O$730)*($C$621:$C$677=$A937)*($H$618:$O$618=$D937)*($H$621:$O$677)),0)</f>
        <v>0</v>
      </c>
      <c r="Q937" s="670"/>
      <c r="R937" s="670"/>
      <c r="S937" s="670"/>
      <c r="T937" s="670"/>
      <c r="U937" s="670"/>
      <c r="V937" s="670"/>
      <c r="W937" s="670"/>
      <c r="X937" s="670"/>
      <c r="Y937" s="670"/>
    </row>
    <row r="938" spans="1:25" s="17" customFormat="1">
      <c r="A938" s="19" t="str">
        <f t="shared" si="232"/>
        <v>MI</v>
      </c>
      <c r="B938" s="347" t="str">
        <f>INDEX(EF[UK Vector],MATCH(D938,EF[SATIM Code],0))</f>
        <v>V.09</v>
      </c>
      <c r="C938" s="19" t="str">
        <f>INDEX(Vectors[Description], MATCH($B938, Vectors[Code], 0))</f>
        <v>Dry biomass and waste</v>
      </c>
      <c r="D938" s="656" t="s">
        <v>888</v>
      </c>
      <c r="E938" s="303"/>
      <c r="F938" s="1062">
        <f t="array" ref="F938">IFERROR(SUM(($F$730:$O$730=F$730)*($A$850:$A$928=$A938)*($D$850:$D$928=$D938)*($F$850:$O$928)) / SUM(($A$621:$A$677=F$730)*($C$621:$C$677=$A938)*($H$618:$O$618=$D938)*($H$621:$O$677)),0)</f>
        <v>0</v>
      </c>
      <c r="G938" s="1062">
        <f t="array" ref="G938">IFERROR(SUM(($F$730:$O$730=G$730)*($A$850:$A$928=$A938)*($D$850:$D$928=$D938)*($F$850:$O$928)) / SUM(($A$621:$A$677=G$730)*($C$621:$C$677=$A938)*($H$618:$O$618=$D938)*($H$621:$O$677)),0)</f>
        <v>0</v>
      </c>
      <c r="H938" s="1062">
        <f t="shared" si="228"/>
        <v>0</v>
      </c>
      <c r="I938" s="1062">
        <f t="array" ref="I938">IFERROR(SUM(($F$730:$O$730=I$730)*($A$850:$A$928=$A938)*($D$850:$D$928=$D938)*($F$850:$O$928)) / SUM(($A$621:$A$677=I$730)*($C$621:$C$677=$A938)*($H$618:$O$618=$D938)*($H$621:$O$677)),0)</f>
        <v>0</v>
      </c>
      <c r="J938" s="1062">
        <f t="shared" si="229"/>
        <v>0</v>
      </c>
      <c r="K938" s="1062">
        <f t="array" ref="K938">IFERROR(SUM(($F$730:$O$730=K$730)*($A$850:$A$928=$A938)*($D$850:$D$928=$D938)*($F$850:$O$928)) / SUM(($A$621:$A$677=K$730)*($C$621:$C$677=$A938)*($H$618:$O$618=$D938)*($H$621:$O$677)),0)</f>
        <v>0</v>
      </c>
      <c r="L938" s="1062">
        <f t="shared" si="230"/>
        <v>0</v>
      </c>
      <c r="M938" s="1062">
        <f t="array" ref="M938">IFERROR(SUM(($F$730:$O$730=M$730)*($A$850:$A$928=$A938)*($D$850:$D$928=$D938)*($F$850:$O$928)) / SUM(($A$621:$A$677=M$730)*($C$621:$C$677=$A938)*($H$618:$O$618=$D938)*($H$621:$O$677)),0)</f>
        <v>0</v>
      </c>
      <c r="N938" s="1062">
        <f t="shared" si="231"/>
        <v>0</v>
      </c>
      <c r="O938" s="1062">
        <f t="array" ref="O938">IFERROR(SUM(($F$730:$O$730=O$730)*($A$850:$A$928=$A938)*($D$850:$D$928=$D938)*($F$850:$O$928)) / SUM(($A$621:$A$677=O$730)*($C$621:$C$677=$A938)*($H$618:$O$618=$D938)*($H$621:$O$677)),0)</f>
        <v>0</v>
      </c>
      <c r="Q938" s="670"/>
      <c r="R938" s="670"/>
      <c r="S938" s="670"/>
      <c r="T938" s="670"/>
      <c r="U938" s="670"/>
      <c r="V938" s="670"/>
      <c r="W938" s="670"/>
      <c r="X938" s="670"/>
      <c r="Y938" s="670"/>
    </row>
    <row r="939" spans="1:25" s="17" customFormat="1">
      <c r="A939" s="19" t="str">
        <f t="shared" si="232"/>
        <v>MI</v>
      </c>
      <c r="B939" s="347" t="str">
        <f>INDEX(EF[UK Vector],MATCH(D939,EF[SATIM Code],0))</f>
        <v>V.09</v>
      </c>
      <c r="C939" s="19" t="str">
        <f>INDEX(Vectors[Description], MATCH($B939, Vectors[Code], 0))</f>
        <v>Dry biomass and waste</v>
      </c>
      <c r="D939" s="656" t="s">
        <v>889</v>
      </c>
      <c r="E939" s="303"/>
      <c r="F939" s="1062">
        <f t="array" ref="F939">IFERROR(SUM(($F$730:$O$730=F$730)*($A$850:$A$928=$A939)*($D$850:$D$928=$D939)*($F$850:$O$928)) / SUM(($A$621:$A$677=F$730)*($C$621:$C$677=$A939)*($H$618:$O$618=$D939)*($H$621:$O$677)),0)</f>
        <v>0</v>
      </c>
      <c r="G939" s="1062">
        <f t="array" ref="G939">IFERROR(SUM(($F$730:$O$730=G$730)*($A$850:$A$928=$A939)*($D$850:$D$928=$D939)*($F$850:$O$928)) / SUM(($A$621:$A$677=G$730)*($C$621:$C$677=$A939)*($H$618:$O$618=$D939)*($H$621:$O$677)),0)</f>
        <v>0</v>
      </c>
      <c r="H939" s="1062">
        <f t="shared" si="228"/>
        <v>0</v>
      </c>
      <c r="I939" s="1062">
        <f t="array" ref="I939">IFERROR(SUM(($F$730:$O$730=I$730)*($A$850:$A$928=$A939)*($D$850:$D$928=$D939)*($F$850:$O$928)) / SUM(($A$621:$A$677=I$730)*($C$621:$C$677=$A939)*($H$618:$O$618=$D939)*($H$621:$O$677)),0)</f>
        <v>0</v>
      </c>
      <c r="J939" s="1062">
        <f t="shared" si="229"/>
        <v>0</v>
      </c>
      <c r="K939" s="1062">
        <f t="array" ref="K939">IFERROR(SUM(($F$730:$O$730=K$730)*($A$850:$A$928=$A939)*($D$850:$D$928=$D939)*($F$850:$O$928)) / SUM(($A$621:$A$677=K$730)*($C$621:$C$677=$A939)*($H$618:$O$618=$D939)*($H$621:$O$677)),0)</f>
        <v>0</v>
      </c>
      <c r="L939" s="1062">
        <f t="shared" si="230"/>
        <v>0</v>
      </c>
      <c r="M939" s="1062">
        <f t="array" ref="M939">IFERROR(SUM(($F$730:$O$730=M$730)*($A$850:$A$928=$A939)*($D$850:$D$928=$D939)*($F$850:$O$928)) / SUM(($A$621:$A$677=M$730)*($C$621:$C$677=$A939)*($H$618:$O$618=$D939)*($H$621:$O$677)),0)</f>
        <v>0</v>
      </c>
      <c r="N939" s="1062">
        <f t="shared" si="231"/>
        <v>0</v>
      </c>
      <c r="O939" s="1062">
        <f t="array" ref="O939">IFERROR(SUM(($F$730:$O$730=O$730)*($A$850:$A$928=$A939)*($D$850:$D$928=$D939)*($F$850:$O$928)) / SUM(($A$621:$A$677=O$730)*($C$621:$C$677=$A939)*($H$618:$O$618=$D939)*($H$621:$O$677)),0)</f>
        <v>0</v>
      </c>
      <c r="Q939" s="670"/>
      <c r="R939" s="670"/>
      <c r="S939" s="670"/>
      <c r="T939" s="670"/>
      <c r="U939" s="670"/>
      <c r="V939" s="670"/>
      <c r="W939" s="670"/>
      <c r="X939" s="670"/>
      <c r="Y939" s="670"/>
    </row>
    <row r="940" spans="1:25" s="17" customFormat="1">
      <c r="A940" s="19" t="str">
        <f t="shared" si="232"/>
        <v>MI</v>
      </c>
      <c r="B940" s="347" t="s">
        <v>897</v>
      </c>
      <c r="C940" s="19" t="str">
        <f>INDEX(Vectors[Description], MATCH($B940, Vectors[Code], 0))</f>
        <v>Other Waste</v>
      </c>
      <c r="D940" s="17" t="s">
        <v>890</v>
      </c>
      <c r="E940" s="303"/>
      <c r="F940" s="1062">
        <f t="array" ref="F940">IFERROR(SUM(($F$730:$O$730=F$730)*($A$850:$A$928=$A940)*($D$850:$D$928=$D940)*($F$850:$O$928)) / SUM(($A$621:$A$677=F$730)*($C$621:$C$677=$A940)*($H$618:$O$618=$D940)*($H$621:$O$677)),0)</f>
        <v>0</v>
      </c>
      <c r="G940" s="1062">
        <f t="array" ref="G940">IFERROR(SUM(($F$730:$O$730=G$730)*($A$850:$A$928=$A940)*($D$850:$D$928=$D940)*($F$850:$O$928)) / SUM(($A$621:$A$677=G$730)*($C$621:$C$677=$A940)*($H$618:$O$618=$D940)*($H$621:$O$677)),0)</f>
        <v>0</v>
      </c>
      <c r="H940" s="1062">
        <f t="shared" si="228"/>
        <v>0</v>
      </c>
      <c r="I940" s="1062">
        <f t="array" ref="I940">IFERROR(SUM(($F$730:$O$730=I$730)*($A$850:$A$928=$A940)*($D$850:$D$928=$D940)*($F$850:$O$928)) / SUM(($A$621:$A$677=I$730)*($C$621:$C$677=$A940)*($H$618:$O$618=$D940)*($H$621:$O$677)),0)</f>
        <v>0</v>
      </c>
      <c r="J940" s="1062">
        <f t="shared" si="229"/>
        <v>0</v>
      </c>
      <c r="K940" s="1062">
        <f t="array" ref="K940">IFERROR(SUM(($F$730:$O$730=K$730)*($A$850:$A$928=$A940)*($D$850:$D$928=$D940)*($F$850:$O$928)) / SUM(($A$621:$A$677=K$730)*($C$621:$C$677=$A940)*($H$618:$O$618=$D940)*($H$621:$O$677)),0)</f>
        <v>0</v>
      </c>
      <c r="L940" s="1062">
        <f t="shared" si="230"/>
        <v>0</v>
      </c>
      <c r="M940" s="1062">
        <f t="array" ref="M940">IFERROR(SUM(($F$730:$O$730=M$730)*($A$850:$A$928=$A940)*($D$850:$D$928=$D940)*($F$850:$O$928)) / SUM(($A$621:$A$677=M$730)*($C$621:$C$677=$A940)*($H$618:$O$618=$D940)*($H$621:$O$677)),0)</f>
        <v>0</v>
      </c>
      <c r="N940" s="1062">
        <f t="shared" si="231"/>
        <v>0</v>
      </c>
      <c r="O940" s="1062">
        <f t="array" ref="O940">IFERROR(SUM(($F$730:$O$730=O$730)*($A$850:$A$928=$A940)*($D$850:$D$928=$D940)*($F$850:$O$928)) / SUM(($A$621:$A$677=O$730)*($C$621:$C$677=$A940)*($H$618:$O$618=$D940)*($H$621:$O$677)),0)</f>
        <v>0</v>
      </c>
      <c r="Q940" s="670"/>
      <c r="R940" s="670"/>
      <c r="S940" s="670"/>
      <c r="T940" s="670"/>
      <c r="U940" s="670"/>
      <c r="V940" s="670"/>
      <c r="W940" s="670"/>
      <c r="X940" s="670"/>
      <c r="Y940" s="670"/>
    </row>
    <row r="941" spans="1:25" s="17" customFormat="1">
      <c r="A941" s="19"/>
      <c r="B941" s="347"/>
      <c r="C941" s="19"/>
      <c r="D941" s="656"/>
      <c r="E941" s="303"/>
      <c r="F941" s="1062">
        <f t="array" ref="F941">IFERROR(SUM(($F$730:$O$730=F$730)*($A$850:$A$928=$A941)*($D$850:$D$928=$D941)*($F$850:$O$928)) / SUM(($A$621:$A$677=F$730)*($C$621:$C$677=$A941)*($H$618:$O$618=$D941)*($H$621:$O$677)),0)</f>
        <v>0</v>
      </c>
      <c r="G941" s="1062">
        <f t="array" ref="G941">IFERROR(SUM(($F$730:$O$730=G$730)*($A$850:$A$928=$A941)*($D$850:$D$928=$D941)*($F$850:$O$928)) / SUM(($A$621:$A$677=G$730)*($C$621:$C$677=$A941)*($H$618:$O$618=$D941)*($H$621:$O$677)),0)</f>
        <v>0</v>
      </c>
      <c r="H941" s="1062">
        <f t="shared" si="228"/>
        <v>0</v>
      </c>
      <c r="I941" s="1062">
        <f t="array" ref="I941">IFERROR(SUM(($F$730:$O$730=I$730)*($A$850:$A$928=$A941)*($D$850:$D$928=$D941)*($F$850:$O$928)) / SUM(($A$621:$A$677=I$730)*($C$621:$C$677=$A941)*($H$618:$O$618=$D941)*($H$621:$O$677)),0)</f>
        <v>0</v>
      </c>
      <c r="J941" s="1062">
        <f t="shared" si="229"/>
        <v>0</v>
      </c>
      <c r="K941" s="1062">
        <f t="array" ref="K941">IFERROR(SUM(($F$730:$O$730=K$730)*($A$850:$A$928=$A941)*($D$850:$D$928=$D941)*($F$850:$O$928)) / SUM(($A$621:$A$677=K$730)*($C$621:$C$677=$A941)*($H$618:$O$618=$D941)*($H$621:$O$677)),0)</f>
        <v>0</v>
      </c>
      <c r="L941" s="1062">
        <f t="shared" si="230"/>
        <v>0</v>
      </c>
      <c r="M941" s="1062">
        <f t="array" ref="M941">IFERROR(SUM(($F$730:$O$730=M$730)*($A$850:$A$928=$A941)*($D$850:$D$928=$D941)*($F$850:$O$928)) / SUM(($A$621:$A$677=M$730)*($C$621:$C$677=$A941)*($H$618:$O$618=$D941)*($H$621:$O$677)),0)</f>
        <v>0</v>
      </c>
      <c r="N941" s="1062">
        <f t="shared" si="231"/>
        <v>0</v>
      </c>
      <c r="O941" s="1062">
        <f t="array" ref="O941">IFERROR(SUM(($F$730:$O$730=O$730)*($A$850:$A$928=$A941)*($D$850:$D$928=$D941)*($F$850:$O$928)) / SUM(($A$621:$A$677=O$730)*($C$621:$C$677=$A941)*($H$618:$O$618=$D941)*($H$621:$O$677)),0)</f>
        <v>0</v>
      </c>
      <c r="Q941" s="670"/>
      <c r="R941" s="670"/>
      <c r="S941" s="670"/>
      <c r="T941" s="670"/>
      <c r="U941" s="670"/>
      <c r="V941" s="670"/>
      <c r="W941" s="670"/>
      <c r="X941" s="670"/>
      <c r="Y941" s="670"/>
    </row>
    <row r="942" spans="1:25" s="17" customFormat="1">
      <c r="B942" s="348"/>
      <c r="C942" s="1459" t="str">
        <f>D21</f>
        <v>Iron  &amp; Steel  - 351</v>
      </c>
      <c r="D942" s="656"/>
      <c r="E942" s="303"/>
      <c r="F942" s="1062">
        <f t="array" ref="F942">IFERROR(SUM(($F$730:$O$730=F$730)*($A$850:$A$928=$A942)*($D$850:$D$928=$D942)*($F$850:$O$928)) / SUM(($A$621:$A$677=F$730)*($C$621:$C$677=$A942)*($H$618:$O$618=$D942)*($H$621:$O$677)),0)</f>
        <v>0</v>
      </c>
      <c r="G942" s="1062">
        <f t="array" ref="G942">IFERROR(SUM(($F$730:$O$730=G$730)*($A$850:$A$928=$A942)*($D$850:$D$928=$D942)*($F$850:$O$928)) / SUM(($A$621:$A$677=G$730)*($C$621:$C$677=$A942)*($H$618:$O$618=$D942)*($H$621:$O$677)),0)</f>
        <v>0</v>
      </c>
      <c r="H942" s="1062">
        <f t="shared" si="228"/>
        <v>0</v>
      </c>
      <c r="I942" s="1062">
        <f t="array" ref="I942">IFERROR(SUM(($F$730:$O$730=I$730)*($A$850:$A$928=$A942)*($D$850:$D$928=$D942)*($F$850:$O$928)) / SUM(($A$621:$A$677=I$730)*($C$621:$C$677=$A942)*($H$618:$O$618=$D942)*($H$621:$O$677)),0)</f>
        <v>0</v>
      </c>
      <c r="J942" s="1062">
        <f t="shared" si="229"/>
        <v>0</v>
      </c>
      <c r="K942" s="1062">
        <f t="array" ref="K942">IFERROR(SUM(($F$730:$O$730=K$730)*($A$850:$A$928=$A942)*($D$850:$D$928=$D942)*($F$850:$O$928)) / SUM(($A$621:$A$677=K$730)*($C$621:$C$677=$A942)*($H$618:$O$618=$D942)*($H$621:$O$677)),0)</f>
        <v>0</v>
      </c>
      <c r="L942" s="1062">
        <f t="shared" si="230"/>
        <v>0</v>
      </c>
      <c r="M942" s="1062">
        <f t="array" ref="M942">IFERROR(SUM(($F$730:$O$730=M$730)*($A$850:$A$928=$A942)*($D$850:$D$928=$D942)*($F$850:$O$928)) / SUM(($A$621:$A$677=M$730)*($C$621:$C$677=$A942)*($H$618:$O$618=$D942)*($H$621:$O$677)),0)</f>
        <v>0</v>
      </c>
      <c r="N942" s="1062">
        <f t="shared" si="231"/>
        <v>0</v>
      </c>
      <c r="O942" s="1062">
        <f t="array" ref="O942">IFERROR(SUM(($F$730:$O$730=O$730)*($A$850:$A$928=$A942)*($D$850:$D$928=$D942)*($F$850:$O$928)) / SUM(($A$621:$A$677=O$730)*($C$621:$C$677=$A942)*($H$618:$O$618=$D942)*($H$621:$O$677)),0)</f>
        <v>0</v>
      </c>
      <c r="Q942" s="670"/>
      <c r="R942" s="670"/>
      <c r="S942" s="670"/>
      <c r="T942" s="670"/>
      <c r="U942" s="670"/>
      <c r="V942" s="670"/>
      <c r="W942" s="670"/>
      <c r="X942" s="670"/>
      <c r="Y942" s="670"/>
    </row>
    <row r="943" spans="1:25" s="17" customFormat="1">
      <c r="A943" s="1438" t="str">
        <f>INDEX($C$20:$C$27,MATCH($C942,$D$20:$D$27,0))</f>
        <v>IS</v>
      </c>
      <c r="B943" s="347" t="str">
        <f>INDEX(EF[UK Vector],MATCH(D943,EF[SATIM Code],0))</f>
        <v>V.03</v>
      </c>
      <c r="C943" s="19" t="str">
        <f>INDEX(Vectors[Description], MATCH($B943, Vectors[Code], 0))</f>
        <v>Solid hydrocarbons</v>
      </c>
      <c r="D943" s="656" t="s">
        <v>882</v>
      </c>
      <c r="E943" s="303"/>
      <c r="F943" s="1062">
        <f t="array" ref="F943">IFERROR(SUM(($F$730:$O$730=F$730)*($A$850:$A$928=$A943)*($D$850:$D$928=$D943)*($F$850:$O$928)) / SUM(($A$621:$A$677=F$730)*($C$621:$C$677=$A943)*($H$618:$O$618=$D943)*($H$621:$O$677)),0)</f>
        <v>125.37071996264805</v>
      </c>
      <c r="G943" s="1062">
        <f t="array" ref="G943">IFERROR(SUM(($F$730:$O$730=G$730)*($A$850:$A$928=$A943)*($D$850:$D$928=$D943)*($F$850:$O$928)) / SUM(($A$621:$A$677=G$730)*($C$621:$C$677=$A943)*($H$618:$O$618=$D943)*($H$621:$O$677)),0)</f>
        <v>145.13554932570739</v>
      </c>
      <c r="H943" s="1062">
        <f t="shared" si="228"/>
        <v>187.59778151854999</v>
      </c>
      <c r="I943" s="1062">
        <f t="array" ref="I943">IFERROR(SUM(($F$730:$O$730=I$730)*($A$850:$A$928=$A943)*($D$850:$D$928=$D943)*($F$850:$O$928)) / SUM(($A$621:$A$677=I$730)*($C$621:$C$677=$A943)*($H$618:$O$618=$D943)*($H$621:$O$677)),0)</f>
        <v>230.06001371139263</v>
      </c>
      <c r="J943" s="1062">
        <f t="shared" si="229"/>
        <v>296.04300816661384</v>
      </c>
      <c r="K943" s="1062">
        <f t="array" ref="K943">IFERROR(SUM(($F$730:$O$730=K$730)*($A$850:$A$928=$A943)*($D$850:$D$928=$D943)*($F$850:$O$928)) / SUM(($A$621:$A$677=K$730)*($C$621:$C$677=$A943)*($H$618:$O$618=$D943)*($H$621:$O$677)),0)</f>
        <v>362.026002621835</v>
      </c>
      <c r="L943" s="1062">
        <f t="shared" si="230"/>
        <v>449.08793839861249</v>
      </c>
      <c r="M943" s="1062">
        <f t="array" ref="M943">IFERROR(SUM(($F$730:$O$730=M$730)*($A$850:$A$928=$A943)*($D$850:$D$928=$D943)*($F$850:$O$928)) / SUM(($A$621:$A$677=M$730)*($C$621:$C$677=$A943)*($H$618:$O$618=$D943)*($H$621:$O$677)),0)</f>
        <v>536.14987417538998</v>
      </c>
      <c r="N943" s="1062">
        <f t="shared" si="231"/>
        <v>638.07567668983927</v>
      </c>
      <c r="O943" s="1062">
        <f t="array" ref="O943">IFERROR(SUM(($F$730:$O$730=O$730)*($A$850:$A$928=$A943)*($D$850:$D$928=$D943)*($F$850:$O$928)) / SUM(($A$621:$A$677=O$730)*($C$621:$C$677=$A943)*($H$618:$O$618=$D943)*($H$621:$O$677)),0)</f>
        <v>740.00147920428856</v>
      </c>
      <c r="Q943" s="670"/>
      <c r="R943" s="670"/>
      <c r="S943" s="670"/>
      <c r="T943" s="670"/>
      <c r="U943" s="670"/>
      <c r="V943" s="670"/>
      <c r="W943" s="670"/>
      <c r="X943" s="670"/>
      <c r="Y943" s="670"/>
    </row>
    <row r="944" spans="1:25" s="17" customFormat="1">
      <c r="A944" s="19" t="str">
        <f t="shared" ref="A944:A950" si="233">A943</f>
        <v>IS</v>
      </c>
      <c r="B944" s="347" t="str">
        <f>INDEX(EF[UK Vector],MATCH(D944,EF[SATIM Code],0))</f>
        <v>V.05</v>
      </c>
      <c r="C944" s="19" t="str">
        <f>INDEX(Vectors[Description], MATCH($B944, Vectors[Code], 0))</f>
        <v>Gaseous hydrocarbons</v>
      </c>
      <c r="D944" s="656" t="s">
        <v>869</v>
      </c>
      <c r="E944" s="303"/>
      <c r="F944" s="1062">
        <f t="array" ref="F944">IFERROR(SUM(($F$730:$O$730=F$730)*($A$850:$A$928=$A944)*($D$850:$D$928=$D944)*($F$850:$O$928)) / SUM(($A$621:$A$677=F$730)*($C$621:$C$677=$A944)*($H$618:$O$618=$D944)*($H$621:$O$677)),0)</f>
        <v>21.976099999999999</v>
      </c>
      <c r="G944" s="1062">
        <f t="array" ref="G944">IFERROR(SUM(($F$730:$O$730=G$730)*($A$850:$A$928=$A944)*($D$850:$D$928=$D944)*($F$850:$O$928)) / SUM(($A$621:$A$677=G$730)*($C$621:$C$677=$A944)*($H$618:$O$618=$D944)*($H$621:$O$677)),0)</f>
        <v>25.440655892276414</v>
      </c>
      <c r="H944" s="1062">
        <f t="shared" si="228"/>
        <v>32.883815357031381</v>
      </c>
      <c r="I944" s="1062">
        <f t="array" ref="I944">IFERROR(SUM(($F$730:$O$730=I$730)*($A$850:$A$928=$A944)*($D$850:$D$928=$D944)*($F$850:$O$928)) / SUM(($A$621:$A$677=I$730)*($C$621:$C$677=$A944)*($H$618:$O$618=$D944)*($H$621:$O$677)),0)</f>
        <v>40.326974821786344</v>
      </c>
      <c r="J944" s="1062">
        <f t="shared" si="229"/>
        <v>51.893063657197047</v>
      </c>
      <c r="K944" s="1062">
        <f t="array" ref="K944">IFERROR(SUM(($F$730:$O$730=K$730)*($A$850:$A$928=$A944)*($D$850:$D$928=$D944)*($F$850:$O$928)) / SUM(($A$621:$A$677=K$730)*($C$621:$C$677=$A944)*($H$618:$O$618=$D944)*($H$621:$O$677)),0)</f>
        <v>63.459152492607757</v>
      </c>
      <c r="L944" s="1062">
        <f t="shared" si="230"/>
        <v>78.720146506154677</v>
      </c>
      <c r="M944" s="1062">
        <f t="array" ref="M944">IFERROR(SUM(($F$730:$O$730=M$730)*($A$850:$A$928=$A944)*($D$850:$D$928=$D944)*($F$850:$O$928)) / SUM(($A$621:$A$677=M$730)*($C$621:$C$677=$A944)*($H$618:$O$618=$D944)*($H$621:$O$677)),0)</f>
        <v>93.981140519701597</v>
      </c>
      <c r="N944" s="1062">
        <f t="shared" si="231"/>
        <v>111.84760590575932</v>
      </c>
      <c r="O944" s="1062">
        <f t="array" ref="O944">IFERROR(SUM(($F$730:$O$730=O$730)*($A$850:$A$928=$A944)*($D$850:$D$928=$D944)*($F$850:$O$928)) / SUM(($A$621:$A$677=O$730)*($C$621:$C$677=$A944)*($H$618:$O$618=$D944)*($H$621:$O$677)),0)</f>
        <v>129.71407129181705</v>
      </c>
      <c r="Q944" s="670"/>
      <c r="R944" s="670"/>
      <c r="S944" s="670"/>
      <c r="T944" s="670"/>
      <c r="U944" s="670"/>
      <c r="V944" s="670"/>
      <c r="W944" s="670"/>
      <c r="X944" s="670"/>
      <c r="Y944" s="670"/>
    </row>
    <row r="945" spans="1:25" s="17" customFormat="1">
      <c r="A945" s="19" t="str">
        <f t="shared" si="233"/>
        <v>IS</v>
      </c>
      <c r="B945" s="347" t="str">
        <f>INDEX(EF[UK Vector],MATCH(D945,EF[SATIM Code],0))</f>
        <v>V.04</v>
      </c>
      <c r="C945" s="19" t="str">
        <f>INDEX(Vectors[Description], MATCH($B945, Vectors[Code], 0))</f>
        <v>Liquid hydrocarbons</v>
      </c>
      <c r="D945" s="656" t="s">
        <v>885</v>
      </c>
      <c r="E945" s="303"/>
      <c r="F945" s="1062">
        <f t="array" ref="F945">IFERROR(SUM(($F$730:$O$730=F$730)*($A$850:$A$928=$A945)*($D$850:$D$928=$D945)*($F$850:$O$928)) / SUM(($A$621:$A$677=F$730)*($C$621:$C$677=$A945)*($H$618:$O$618=$D945)*($H$621:$O$677)),0)</f>
        <v>0</v>
      </c>
      <c r="G945" s="1062">
        <f t="array" ref="G945">IFERROR(SUM(($F$730:$O$730=G$730)*($A$850:$A$928=$A945)*($D$850:$D$928=$D945)*($F$850:$O$928)) / SUM(($A$621:$A$677=G$730)*($C$621:$C$677=$A945)*($H$618:$O$618=$D945)*($H$621:$O$677)),0)</f>
        <v>0</v>
      </c>
      <c r="H945" s="1062">
        <f t="shared" si="228"/>
        <v>0</v>
      </c>
      <c r="I945" s="1062">
        <f t="array" ref="I945">IFERROR(SUM(($F$730:$O$730=I$730)*($A$850:$A$928=$A945)*($D$850:$D$928=$D945)*($F$850:$O$928)) / SUM(($A$621:$A$677=I$730)*($C$621:$C$677=$A945)*($H$618:$O$618=$D945)*($H$621:$O$677)),0)</f>
        <v>0</v>
      </c>
      <c r="J945" s="1062">
        <f t="shared" si="229"/>
        <v>0</v>
      </c>
      <c r="K945" s="1062">
        <f t="array" ref="K945">IFERROR(SUM(($F$730:$O$730=K$730)*($A$850:$A$928=$A945)*($D$850:$D$928=$D945)*($F$850:$O$928)) / SUM(($A$621:$A$677=K$730)*($C$621:$C$677=$A945)*($H$618:$O$618=$D945)*($H$621:$O$677)),0)</f>
        <v>0</v>
      </c>
      <c r="L945" s="1062">
        <f t="shared" si="230"/>
        <v>0</v>
      </c>
      <c r="M945" s="1062">
        <f t="array" ref="M945">IFERROR(SUM(($F$730:$O$730=M$730)*($A$850:$A$928=$A945)*($D$850:$D$928=$D945)*($F$850:$O$928)) / SUM(($A$621:$A$677=M$730)*($C$621:$C$677=$A945)*($H$618:$O$618=$D945)*($H$621:$O$677)),0)</f>
        <v>0</v>
      </c>
      <c r="N945" s="1062">
        <f t="shared" si="231"/>
        <v>0</v>
      </c>
      <c r="O945" s="1062">
        <f t="array" ref="O945">IFERROR(SUM(($F$730:$O$730=O$730)*($A$850:$A$928=$A945)*($D$850:$D$928=$D945)*($F$850:$O$928)) / SUM(($A$621:$A$677=O$730)*($C$621:$C$677=$A945)*($H$618:$O$618=$D945)*($H$621:$O$677)),0)</f>
        <v>0</v>
      </c>
      <c r="Q945" s="670"/>
      <c r="R945" s="670"/>
      <c r="S945" s="670"/>
      <c r="T945" s="670"/>
      <c r="U945" s="670"/>
      <c r="V945" s="670"/>
      <c r="W945" s="670"/>
      <c r="X945" s="670"/>
      <c r="Y945" s="670"/>
    </row>
    <row r="946" spans="1:25" s="17" customFormat="1">
      <c r="A946" s="19" t="str">
        <f t="shared" si="233"/>
        <v>IS</v>
      </c>
      <c r="B946" s="347" t="str">
        <f>INDEX(EF[UK Vector],MATCH(D946,EF[SATIM Code],0))</f>
        <v>V.04</v>
      </c>
      <c r="C946" s="19" t="str">
        <f>INDEX(Vectors[Description], MATCH($B946, Vectors[Code], 0))</f>
        <v>Liquid hydrocarbons</v>
      </c>
      <c r="D946" s="656" t="s">
        <v>887</v>
      </c>
      <c r="E946" s="303"/>
      <c r="F946" s="1062">
        <f t="array" ref="F946">IFERROR(SUM(($F$730:$O$730=F$730)*($A$850:$A$928=$A946)*($D$850:$D$928=$D946)*($F$850:$O$928)) / SUM(($A$621:$A$677=F$730)*($C$621:$C$677=$A946)*($H$618:$O$618=$D946)*($H$621:$O$677)),0)</f>
        <v>3.86</v>
      </c>
      <c r="G946" s="1062">
        <f t="array" ref="G946">IFERROR(SUM(($F$730:$O$730=G$730)*($A$850:$A$928=$A946)*($D$850:$D$928=$D946)*($F$850:$O$928)) / SUM(($A$621:$A$677=G$730)*($C$621:$C$677=$A946)*($H$618:$O$618=$D946)*($H$621:$O$677)),0)</f>
        <v>4.4685331675860125</v>
      </c>
      <c r="H946" s="1062">
        <f t="shared" si="228"/>
        <v>5.7758895927003042</v>
      </c>
      <c r="I946" s="1062">
        <f t="array" ref="I946">IFERROR(SUM(($F$730:$O$730=I$730)*($A$850:$A$928=$A946)*($D$850:$D$928=$D946)*($F$850:$O$928)) / SUM(($A$621:$A$677=I$730)*($C$621:$C$677=$A946)*($H$618:$O$618=$D946)*($H$621:$O$677)),0)</f>
        <v>7.083246017814596</v>
      </c>
      <c r="J946" s="1062">
        <f t="shared" si="229"/>
        <v>9.1147758572622379</v>
      </c>
      <c r="K946" s="1062">
        <f t="array" ref="K946">IFERROR(SUM(($F$730:$O$730=K$730)*($A$850:$A$928=$A946)*($D$850:$D$928=$D946)*($F$850:$O$928)) / SUM(($A$621:$A$677=K$730)*($C$621:$C$677=$A946)*($H$618:$O$618=$D946)*($H$621:$O$677)),0)</f>
        <v>11.146305696709879</v>
      </c>
      <c r="L946" s="1062">
        <f t="shared" si="230"/>
        <v>13.826828487027139</v>
      </c>
      <c r="M946" s="1062">
        <f t="array" ref="M946">IFERROR(SUM(($F$730:$O$730=M$730)*($A$850:$A$928=$A946)*($D$850:$D$928=$D946)*($F$850:$O$928)) / SUM(($A$621:$A$677=M$730)*($C$621:$C$677=$A946)*($H$618:$O$618=$D946)*($H$621:$O$677)),0)</f>
        <v>16.507351277344398</v>
      </c>
      <c r="N946" s="1062">
        <f t="shared" si="231"/>
        <v>19.645513025342581</v>
      </c>
      <c r="O946" s="1062">
        <f t="array" ref="O946">IFERROR(SUM(($F$730:$O$730=O$730)*($A$850:$A$928=$A946)*($D$850:$D$928=$D946)*($F$850:$O$928)) / SUM(($A$621:$A$677=O$730)*($C$621:$C$677=$A946)*($H$618:$O$618=$D946)*($H$621:$O$677)),0)</f>
        <v>22.783674773340763</v>
      </c>
      <c r="Q946" s="670"/>
      <c r="R946" s="670"/>
      <c r="S946" s="670"/>
      <c r="T946" s="670"/>
      <c r="U946" s="670"/>
      <c r="V946" s="670"/>
      <c r="W946" s="670"/>
      <c r="X946" s="670"/>
      <c r="Y946" s="670"/>
    </row>
    <row r="947" spans="1:25" s="17" customFormat="1">
      <c r="A947" s="19" t="str">
        <f t="shared" si="233"/>
        <v>IS</v>
      </c>
      <c r="B947" s="347" t="str">
        <f>INDEX(EF[UK Vector],MATCH(D947,EF[SATIM Code],0))</f>
        <v>V.01</v>
      </c>
      <c r="C947" s="19" t="str">
        <f>INDEX(Vectors[Description], MATCH($B947, Vectors[Code], 0))</f>
        <v>Electricity (delivered to end user)</v>
      </c>
      <c r="D947" s="656" t="s">
        <v>879</v>
      </c>
      <c r="E947" s="303"/>
      <c r="F947" s="1062">
        <f t="array" ref="F947">IFERROR(SUM(($F$730:$O$730=F$730)*($A$850:$A$928=$A947)*($D$850:$D$928=$D947)*($F$850:$O$928)) / SUM(($A$621:$A$677=F$730)*($C$621:$C$677=$A947)*($H$618:$O$618=$D947)*($H$621:$O$677)),0)</f>
        <v>0</v>
      </c>
      <c r="G947" s="1062">
        <f t="array" ref="G947">IFERROR(SUM(($F$730:$O$730=G$730)*($A$850:$A$928=$A947)*($D$850:$D$928=$D947)*($F$850:$O$928)) / SUM(($A$621:$A$677=G$730)*($C$621:$C$677=$A947)*($H$618:$O$618=$D947)*($H$621:$O$677)),0)</f>
        <v>0</v>
      </c>
      <c r="H947" s="1062">
        <f t="shared" si="228"/>
        <v>0</v>
      </c>
      <c r="I947" s="1062">
        <f t="array" ref="I947">IFERROR(SUM(($F$730:$O$730=I$730)*($A$850:$A$928=$A947)*($D$850:$D$928=$D947)*($F$850:$O$928)) / SUM(($A$621:$A$677=I$730)*($C$621:$C$677=$A947)*($H$618:$O$618=$D947)*($H$621:$O$677)),0)</f>
        <v>0</v>
      </c>
      <c r="J947" s="1062">
        <f t="shared" si="229"/>
        <v>0</v>
      </c>
      <c r="K947" s="1062">
        <f t="array" ref="K947">IFERROR(SUM(($F$730:$O$730=K$730)*($A$850:$A$928=$A947)*($D$850:$D$928=$D947)*($F$850:$O$928)) / SUM(($A$621:$A$677=K$730)*($C$621:$C$677=$A947)*($H$618:$O$618=$D947)*($H$621:$O$677)),0)</f>
        <v>0</v>
      </c>
      <c r="L947" s="1062">
        <f t="shared" si="230"/>
        <v>0</v>
      </c>
      <c r="M947" s="1062">
        <f t="array" ref="M947">IFERROR(SUM(($F$730:$O$730=M$730)*($A$850:$A$928=$A947)*($D$850:$D$928=$D947)*($F$850:$O$928)) / SUM(($A$621:$A$677=M$730)*($C$621:$C$677=$A947)*($H$618:$O$618=$D947)*($H$621:$O$677)),0)</f>
        <v>0</v>
      </c>
      <c r="N947" s="1062">
        <f t="shared" si="231"/>
        <v>0</v>
      </c>
      <c r="O947" s="1062">
        <f t="array" ref="O947">IFERROR(SUM(($F$730:$O$730=O$730)*($A$850:$A$928=$A947)*($D$850:$D$928=$D947)*($F$850:$O$928)) / SUM(($A$621:$A$677=O$730)*($C$621:$C$677=$A947)*($H$618:$O$618=$D947)*($H$621:$O$677)),0)</f>
        <v>0</v>
      </c>
      <c r="Q947" s="670"/>
      <c r="R947" s="670"/>
      <c r="S947" s="670"/>
      <c r="T947" s="670"/>
      <c r="U947" s="670"/>
      <c r="V947" s="670"/>
      <c r="W947" s="670"/>
      <c r="X947" s="670"/>
      <c r="Y947" s="670"/>
    </row>
    <row r="948" spans="1:25" s="17" customFormat="1">
      <c r="A948" s="19" t="str">
        <f t="shared" si="233"/>
        <v>IS</v>
      </c>
      <c r="B948" s="347" t="str">
        <f>INDEX(EF[UK Vector],MATCH(D948,EF[SATIM Code],0))</f>
        <v>V.09</v>
      </c>
      <c r="C948" s="19" t="str">
        <f>INDEX(Vectors[Description], MATCH($B948, Vectors[Code], 0))</f>
        <v>Dry biomass and waste</v>
      </c>
      <c r="D948" s="656" t="s">
        <v>888</v>
      </c>
      <c r="E948" s="303"/>
      <c r="F948" s="1062">
        <f t="array" ref="F948">IFERROR(SUM(($F$730:$O$730=F$730)*($A$850:$A$928=$A948)*($D$850:$D$928=$D948)*($F$850:$O$928)) / SUM(($A$621:$A$677=F$730)*($C$621:$C$677=$A948)*($H$618:$O$618=$D948)*($H$621:$O$677)),0)</f>
        <v>0</v>
      </c>
      <c r="G948" s="1062">
        <f t="array" ref="G948">IFERROR(SUM(($F$730:$O$730=G$730)*($A$850:$A$928=$A948)*($D$850:$D$928=$D948)*($F$850:$O$928)) / SUM(($A$621:$A$677=G$730)*($C$621:$C$677=$A948)*($H$618:$O$618=$D948)*($H$621:$O$677)),0)</f>
        <v>0</v>
      </c>
      <c r="H948" s="1062">
        <f t="shared" si="228"/>
        <v>0</v>
      </c>
      <c r="I948" s="1062">
        <f t="array" ref="I948">IFERROR(SUM(($F$730:$O$730=I$730)*($A$850:$A$928=$A948)*($D$850:$D$928=$D948)*($F$850:$O$928)) / SUM(($A$621:$A$677=I$730)*($C$621:$C$677=$A948)*($H$618:$O$618=$D948)*($H$621:$O$677)),0)</f>
        <v>0</v>
      </c>
      <c r="J948" s="1062">
        <f t="shared" si="229"/>
        <v>0</v>
      </c>
      <c r="K948" s="1062">
        <f t="array" ref="K948">IFERROR(SUM(($F$730:$O$730=K$730)*($A$850:$A$928=$A948)*($D$850:$D$928=$D948)*($F$850:$O$928)) / SUM(($A$621:$A$677=K$730)*($C$621:$C$677=$A948)*($H$618:$O$618=$D948)*($H$621:$O$677)),0)</f>
        <v>0</v>
      </c>
      <c r="L948" s="1062">
        <f t="shared" si="230"/>
        <v>0</v>
      </c>
      <c r="M948" s="1062">
        <f t="array" ref="M948">IFERROR(SUM(($F$730:$O$730=M$730)*($A$850:$A$928=$A948)*($D$850:$D$928=$D948)*($F$850:$O$928)) / SUM(($A$621:$A$677=M$730)*($C$621:$C$677=$A948)*($H$618:$O$618=$D948)*($H$621:$O$677)),0)</f>
        <v>0</v>
      </c>
      <c r="N948" s="1062">
        <f t="shared" si="231"/>
        <v>0</v>
      </c>
      <c r="O948" s="1062">
        <f t="array" ref="O948">IFERROR(SUM(($F$730:$O$730=O$730)*($A$850:$A$928=$A948)*($D$850:$D$928=$D948)*($F$850:$O$928)) / SUM(($A$621:$A$677=O$730)*($C$621:$C$677=$A948)*($H$618:$O$618=$D948)*($H$621:$O$677)),0)</f>
        <v>0</v>
      </c>
      <c r="Q948" s="670"/>
      <c r="R948" s="670"/>
      <c r="S948" s="670"/>
      <c r="T948" s="670"/>
      <c r="U948" s="670"/>
      <c r="V948" s="670"/>
      <c r="W948" s="670"/>
      <c r="X948" s="670"/>
      <c r="Y948" s="670"/>
    </row>
    <row r="949" spans="1:25" s="17" customFormat="1">
      <c r="A949" s="19" t="str">
        <f t="shared" si="233"/>
        <v>IS</v>
      </c>
      <c r="B949" s="347" t="str">
        <f>INDEX(EF[UK Vector],MATCH(D949,EF[SATIM Code],0))</f>
        <v>V.09</v>
      </c>
      <c r="C949" s="19" t="str">
        <f>INDEX(Vectors[Description], MATCH($B949, Vectors[Code], 0))</f>
        <v>Dry biomass and waste</v>
      </c>
      <c r="D949" s="656" t="s">
        <v>889</v>
      </c>
      <c r="E949" s="303"/>
      <c r="F949" s="1062">
        <f t="array" ref="F949">IFERROR(SUM(($F$730:$O$730=F$730)*($A$850:$A$928=$A949)*($D$850:$D$928=$D949)*($F$850:$O$928)) / SUM(($A$621:$A$677=F$730)*($C$621:$C$677=$A949)*($H$618:$O$618=$D949)*($H$621:$O$677)),0)</f>
        <v>0</v>
      </c>
      <c r="G949" s="1062">
        <f t="array" ref="G949">IFERROR(SUM(($F$730:$O$730=G$730)*($A$850:$A$928=$A949)*($D$850:$D$928=$D949)*($F$850:$O$928)) / SUM(($A$621:$A$677=G$730)*($C$621:$C$677=$A949)*($H$618:$O$618=$D949)*($H$621:$O$677)),0)</f>
        <v>0</v>
      </c>
      <c r="H949" s="1062">
        <f t="shared" si="228"/>
        <v>0</v>
      </c>
      <c r="I949" s="1062">
        <f t="array" ref="I949">IFERROR(SUM(($F$730:$O$730=I$730)*($A$850:$A$928=$A949)*($D$850:$D$928=$D949)*($F$850:$O$928)) / SUM(($A$621:$A$677=I$730)*($C$621:$C$677=$A949)*($H$618:$O$618=$D949)*($H$621:$O$677)),0)</f>
        <v>0</v>
      </c>
      <c r="J949" s="1062">
        <f t="shared" si="229"/>
        <v>0</v>
      </c>
      <c r="K949" s="1062">
        <f t="array" ref="K949">IFERROR(SUM(($F$730:$O$730=K$730)*($A$850:$A$928=$A949)*($D$850:$D$928=$D949)*($F$850:$O$928)) / SUM(($A$621:$A$677=K$730)*($C$621:$C$677=$A949)*($H$618:$O$618=$D949)*($H$621:$O$677)),0)</f>
        <v>0</v>
      </c>
      <c r="L949" s="1062">
        <f t="shared" si="230"/>
        <v>0</v>
      </c>
      <c r="M949" s="1062">
        <f t="array" ref="M949">IFERROR(SUM(($F$730:$O$730=M$730)*($A$850:$A$928=$A949)*($D$850:$D$928=$D949)*($F$850:$O$928)) / SUM(($A$621:$A$677=M$730)*($C$621:$C$677=$A949)*($H$618:$O$618=$D949)*($H$621:$O$677)),0)</f>
        <v>0</v>
      </c>
      <c r="N949" s="1062">
        <f t="shared" si="231"/>
        <v>0</v>
      </c>
      <c r="O949" s="1062">
        <f t="array" ref="O949">IFERROR(SUM(($F$730:$O$730=O$730)*($A$850:$A$928=$A949)*($D$850:$D$928=$D949)*($F$850:$O$928)) / SUM(($A$621:$A$677=O$730)*($C$621:$C$677=$A949)*($H$618:$O$618=$D949)*($H$621:$O$677)),0)</f>
        <v>0</v>
      </c>
      <c r="Q949" s="670"/>
      <c r="R949" s="670"/>
      <c r="S949" s="670"/>
      <c r="T949" s="670"/>
      <c r="U949" s="670"/>
      <c r="V949" s="670"/>
      <c r="W949" s="670"/>
      <c r="X949" s="670"/>
      <c r="Y949" s="670"/>
    </row>
    <row r="950" spans="1:25" s="17" customFormat="1">
      <c r="A950" s="19" t="str">
        <f t="shared" si="233"/>
        <v>IS</v>
      </c>
      <c r="B950" s="347" t="s">
        <v>897</v>
      </c>
      <c r="C950" s="19" t="str">
        <f>INDEX(Vectors[Description], MATCH($B950, Vectors[Code], 0))</f>
        <v>Other Waste</v>
      </c>
      <c r="D950" s="17" t="s">
        <v>890</v>
      </c>
      <c r="E950" s="303"/>
      <c r="F950" s="1062">
        <f t="array" ref="F950">IFERROR(SUM(($F$730:$O$730=F$730)*($A$850:$A$928=$A950)*($D$850:$D$928=$D950)*($F$850:$O$928)) / SUM(($A$621:$A$677=F$730)*($C$621:$C$677=$A950)*($H$618:$O$618=$D950)*($H$621:$O$677)),0)</f>
        <v>0</v>
      </c>
      <c r="G950" s="1062">
        <f t="array" ref="G950">IFERROR(SUM(($F$730:$O$730=G$730)*($A$850:$A$928=$A950)*($D$850:$D$928=$D950)*($F$850:$O$928)) / SUM(($A$621:$A$677=G$730)*($C$621:$C$677=$A950)*($H$618:$O$618=$D950)*($H$621:$O$677)),0)</f>
        <v>0</v>
      </c>
      <c r="H950" s="1062">
        <f t="shared" si="228"/>
        <v>0</v>
      </c>
      <c r="I950" s="1062">
        <f t="array" ref="I950">IFERROR(SUM(($F$730:$O$730=I$730)*($A$850:$A$928=$A950)*($D$850:$D$928=$D950)*($F$850:$O$928)) / SUM(($A$621:$A$677=I$730)*($C$621:$C$677=$A950)*($H$618:$O$618=$D950)*($H$621:$O$677)),0)</f>
        <v>0</v>
      </c>
      <c r="J950" s="1062">
        <f t="shared" si="229"/>
        <v>0</v>
      </c>
      <c r="K950" s="1062">
        <f t="array" ref="K950">IFERROR(SUM(($F$730:$O$730=K$730)*($A$850:$A$928=$A950)*($D$850:$D$928=$D950)*($F$850:$O$928)) / SUM(($A$621:$A$677=K$730)*($C$621:$C$677=$A950)*($H$618:$O$618=$D950)*($H$621:$O$677)),0)</f>
        <v>0</v>
      </c>
      <c r="L950" s="1062">
        <f t="shared" si="230"/>
        <v>0</v>
      </c>
      <c r="M950" s="1062">
        <f t="array" ref="M950">IFERROR(SUM(($F$730:$O$730=M$730)*($A$850:$A$928=$A950)*($D$850:$D$928=$D950)*($F$850:$O$928)) / SUM(($A$621:$A$677=M$730)*($C$621:$C$677=$A950)*($H$618:$O$618=$D950)*($H$621:$O$677)),0)</f>
        <v>0</v>
      </c>
      <c r="N950" s="1062">
        <f t="shared" si="231"/>
        <v>0</v>
      </c>
      <c r="O950" s="1062">
        <f t="array" ref="O950">IFERROR(SUM(($F$730:$O$730=O$730)*($A$850:$A$928=$A950)*($D$850:$D$928=$D950)*($F$850:$O$928)) / SUM(($A$621:$A$677=O$730)*($C$621:$C$677=$A950)*($H$618:$O$618=$D950)*($H$621:$O$677)),0)</f>
        <v>0</v>
      </c>
      <c r="Q950" s="670"/>
      <c r="R950" s="670"/>
      <c r="S950" s="670"/>
      <c r="T950" s="670"/>
      <c r="U950" s="670"/>
      <c r="V950" s="670"/>
      <c r="W950" s="670"/>
      <c r="X950" s="670"/>
      <c r="Y950" s="670"/>
    </row>
    <row r="951" spans="1:25" s="17" customFormat="1">
      <c r="A951" s="19"/>
      <c r="B951" s="347"/>
      <c r="C951" s="19"/>
      <c r="D951" s="656"/>
      <c r="E951" s="303"/>
      <c r="F951" s="1062">
        <f t="array" ref="F951">IFERROR(SUM(($F$730:$O$730=F$730)*($A$850:$A$928=$A951)*($D$850:$D$928=$D951)*($F$850:$O$928)) / SUM(($A$621:$A$677=F$730)*($C$621:$C$677=$A951)*($H$618:$O$618=$D951)*($H$621:$O$677)),0)</f>
        <v>0</v>
      </c>
      <c r="G951" s="1062">
        <f t="array" ref="G951">IFERROR(SUM(($F$730:$O$730=G$730)*($A$850:$A$928=$A951)*($D$850:$D$928=$D951)*($F$850:$O$928)) / SUM(($A$621:$A$677=G$730)*($C$621:$C$677=$A951)*($H$618:$O$618=$D951)*($H$621:$O$677)),0)</f>
        <v>0</v>
      </c>
      <c r="H951" s="1062">
        <f t="shared" si="228"/>
        <v>0</v>
      </c>
      <c r="I951" s="1062">
        <f t="array" ref="I951">IFERROR(SUM(($F$730:$O$730=I$730)*($A$850:$A$928=$A951)*($D$850:$D$928=$D951)*($F$850:$O$928)) / SUM(($A$621:$A$677=I$730)*($C$621:$C$677=$A951)*($H$618:$O$618=$D951)*($H$621:$O$677)),0)</f>
        <v>0</v>
      </c>
      <c r="J951" s="1062">
        <f t="shared" si="229"/>
        <v>0</v>
      </c>
      <c r="K951" s="1062">
        <f t="array" ref="K951">IFERROR(SUM(($F$730:$O$730=K$730)*($A$850:$A$928=$A951)*($D$850:$D$928=$D951)*($F$850:$O$928)) / SUM(($A$621:$A$677=K$730)*($C$621:$C$677=$A951)*($H$618:$O$618=$D951)*($H$621:$O$677)),0)</f>
        <v>0</v>
      </c>
      <c r="L951" s="1062">
        <f t="shared" si="230"/>
        <v>0</v>
      </c>
      <c r="M951" s="1062">
        <f t="array" ref="M951">IFERROR(SUM(($F$730:$O$730=M$730)*($A$850:$A$928=$A951)*($D$850:$D$928=$D951)*($F$850:$O$928)) / SUM(($A$621:$A$677=M$730)*($C$621:$C$677=$A951)*($H$618:$O$618=$D951)*($H$621:$O$677)),0)</f>
        <v>0</v>
      </c>
      <c r="N951" s="1062">
        <f t="shared" si="231"/>
        <v>0</v>
      </c>
      <c r="O951" s="1062">
        <f t="array" ref="O951">IFERROR(SUM(($F$730:$O$730=O$730)*($A$850:$A$928=$A951)*($D$850:$D$928=$D951)*($F$850:$O$928)) / SUM(($A$621:$A$677=O$730)*($C$621:$C$677=$A951)*($H$618:$O$618=$D951)*($H$621:$O$677)),0)</f>
        <v>0</v>
      </c>
      <c r="Q951" s="670"/>
      <c r="R951" s="670"/>
      <c r="S951" s="670"/>
      <c r="T951" s="670"/>
      <c r="U951" s="670"/>
      <c r="V951" s="670"/>
      <c r="W951" s="670"/>
      <c r="X951" s="670"/>
      <c r="Y951" s="670"/>
    </row>
    <row r="952" spans="1:25" s="17" customFormat="1">
      <c r="B952" s="348"/>
      <c r="C952" s="348" t="str">
        <f>D22</f>
        <v>Chemicals  -33</v>
      </c>
      <c r="D952" s="656"/>
      <c r="E952" s="303"/>
      <c r="F952" s="1062">
        <f t="array" ref="F952">IFERROR(SUM(($F$730:$O$730=F$730)*($A$850:$A$928=$A952)*($D$850:$D$928=$D952)*($F$850:$O$928)) / SUM(($A$621:$A$677=F$730)*($C$621:$C$677=$A952)*($H$618:$O$618=$D952)*($H$621:$O$677)),0)</f>
        <v>0</v>
      </c>
      <c r="G952" s="1062">
        <f t="array" ref="G952">IFERROR(SUM(($F$730:$O$730=G$730)*($A$850:$A$928=$A952)*($D$850:$D$928=$D952)*($F$850:$O$928)) / SUM(($A$621:$A$677=G$730)*($C$621:$C$677=$A952)*($H$618:$O$618=$D952)*($H$621:$O$677)),0)</f>
        <v>0</v>
      </c>
      <c r="H952" s="1062">
        <f t="shared" si="228"/>
        <v>0</v>
      </c>
      <c r="I952" s="1062">
        <f t="array" ref="I952">IFERROR(SUM(($F$730:$O$730=I$730)*($A$850:$A$928=$A952)*($D$850:$D$928=$D952)*($F$850:$O$928)) / SUM(($A$621:$A$677=I$730)*($C$621:$C$677=$A952)*($H$618:$O$618=$D952)*($H$621:$O$677)),0)</f>
        <v>0</v>
      </c>
      <c r="J952" s="1062">
        <f t="shared" si="229"/>
        <v>0</v>
      </c>
      <c r="K952" s="1062">
        <f t="array" ref="K952">IFERROR(SUM(($F$730:$O$730=K$730)*($A$850:$A$928=$A952)*($D$850:$D$928=$D952)*($F$850:$O$928)) / SUM(($A$621:$A$677=K$730)*($C$621:$C$677=$A952)*($H$618:$O$618=$D952)*($H$621:$O$677)),0)</f>
        <v>0</v>
      </c>
      <c r="L952" s="1062">
        <f t="shared" si="230"/>
        <v>0</v>
      </c>
      <c r="M952" s="1062">
        <f t="array" ref="M952">IFERROR(SUM(($F$730:$O$730=M$730)*($A$850:$A$928=$A952)*($D$850:$D$928=$D952)*($F$850:$O$928)) / SUM(($A$621:$A$677=M$730)*($C$621:$C$677=$A952)*($H$618:$O$618=$D952)*($H$621:$O$677)),0)</f>
        <v>0</v>
      </c>
      <c r="N952" s="1062">
        <f t="shared" si="231"/>
        <v>0</v>
      </c>
      <c r="O952" s="1062">
        <f t="array" ref="O952">IFERROR(SUM(($F$730:$O$730=O$730)*($A$850:$A$928=$A952)*($D$850:$D$928=$D952)*($F$850:$O$928)) / SUM(($A$621:$A$677=O$730)*($C$621:$C$677=$A952)*($H$618:$O$618=$D952)*($H$621:$O$677)),0)</f>
        <v>0</v>
      </c>
      <c r="Q952" s="670"/>
      <c r="R952" s="670"/>
      <c r="S952" s="670"/>
      <c r="T952" s="670"/>
      <c r="U952" s="670"/>
      <c r="V952" s="670"/>
      <c r="W952" s="670"/>
      <c r="X952" s="670"/>
      <c r="Y952" s="670"/>
    </row>
    <row r="953" spans="1:25" s="17" customFormat="1">
      <c r="A953" s="1438" t="str">
        <f>INDEX($C$20:$C$27,MATCH($C952,$D$20:$D$27,0))</f>
        <v>CP</v>
      </c>
      <c r="B953" s="347" t="str">
        <f>INDEX(EF[UK Vector],MATCH(D953,EF[SATIM Code],0))</f>
        <v>V.03</v>
      </c>
      <c r="C953" s="19" t="str">
        <f>INDEX(Vectors[Description], MATCH($B953, Vectors[Code], 0))</f>
        <v>Solid hydrocarbons</v>
      </c>
      <c r="D953" s="656" t="s">
        <v>882</v>
      </c>
      <c r="E953" s="303"/>
      <c r="F953" s="1062">
        <f t="array" ref="F953">IFERROR(SUM(($F$730:$O$730=F$730)*($A$850:$A$928=$A953)*($D$850:$D$928=$D953)*($F$850:$O$928)) / SUM(($A$621:$A$677=F$730)*($C$621:$C$677=$A953)*($H$618:$O$618=$D953)*($H$621:$O$677)),0)</f>
        <v>50.841890999999997</v>
      </c>
      <c r="G953" s="1062">
        <f t="array" ref="G953">IFERROR(SUM(($F$730:$O$730=G$730)*($A$850:$A$928=$A953)*($D$850:$D$928=$D953)*($F$850:$O$928)) / SUM(($A$621:$A$677=G$730)*($C$621:$C$677=$A953)*($H$618:$O$618=$D953)*($H$621:$O$677)),0)</f>
        <v>58.009000797155664</v>
      </c>
      <c r="H953" s="1062">
        <f t="shared" si="228"/>
        <v>64.113512900003258</v>
      </c>
      <c r="I953" s="1062">
        <f t="array" ref="I953">IFERROR(SUM(($F$730:$O$730=I$730)*($A$850:$A$928=$A953)*($D$850:$D$928=$D953)*($F$850:$O$928)) / SUM(($A$621:$A$677=I$730)*($C$621:$C$677=$A953)*($H$618:$O$618=$D953)*($H$621:$O$677)),0)</f>
        <v>70.218025002850865</v>
      </c>
      <c r="J953" s="1062">
        <f t="shared" si="229"/>
        <v>78.644797004633432</v>
      </c>
      <c r="K953" s="1062">
        <f t="array" ref="K953">IFERROR(SUM(($F$730:$O$730=K$730)*($A$850:$A$928=$A953)*($D$850:$D$928=$D953)*($F$850:$O$928)) / SUM(($A$621:$A$677=K$730)*($C$621:$C$677=$A953)*($H$618:$O$618=$D953)*($H$621:$O$677)),0)</f>
        <v>87.071569006415984</v>
      </c>
      <c r="L953" s="1062">
        <f t="shared" si="230"/>
        <v>104.77218868671828</v>
      </c>
      <c r="M953" s="1062">
        <f t="array" ref="M953">IFERROR(SUM(($F$730:$O$730=M$730)*($A$850:$A$928=$A953)*($D$850:$D$928=$D953)*($F$850:$O$928)) / SUM(($A$621:$A$677=M$730)*($C$621:$C$677=$A953)*($H$618:$O$618=$D953)*($H$621:$O$677)),0)</f>
        <v>122.47280836702058</v>
      </c>
      <c r="N953" s="1062">
        <f t="shared" si="231"/>
        <v>139.92085898866839</v>
      </c>
      <c r="O953" s="1062">
        <f t="array" ref="O953">IFERROR(SUM(($F$730:$O$730=O$730)*($A$850:$A$928=$A953)*($D$850:$D$928=$D953)*($F$850:$O$928)) / SUM(($A$621:$A$677=O$730)*($C$621:$C$677=$A953)*($H$618:$O$618=$D953)*($H$621:$O$677)),0)</f>
        <v>157.36890961031619</v>
      </c>
      <c r="Q953" s="670"/>
      <c r="R953" s="670"/>
      <c r="S953" s="670"/>
      <c r="T953" s="670"/>
      <c r="U953" s="670"/>
      <c r="V953" s="670"/>
      <c r="W953" s="670"/>
      <c r="X953" s="670"/>
      <c r="Y953" s="670"/>
    </row>
    <row r="954" spans="1:25" s="17" customFormat="1">
      <c r="A954" s="19" t="str">
        <f t="shared" ref="A954:A960" si="234">A953</f>
        <v>CP</v>
      </c>
      <c r="B954" s="347" t="str">
        <f>INDEX(EF[UK Vector],MATCH(D954,EF[SATIM Code],0))</f>
        <v>V.05</v>
      </c>
      <c r="C954" s="19" t="str">
        <f>INDEX(Vectors[Description], MATCH($B954, Vectors[Code], 0))</f>
        <v>Gaseous hydrocarbons</v>
      </c>
      <c r="D954" s="656" t="s">
        <v>869</v>
      </c>
      <c r="E954" s="303"/>
      <c r="F954" s="1062">
        <f t="array" ref="F954">IFERROR(SUM(($F$730:$O$730=F$730)*($A$850:$A$928=$A954)*($D$850:$D$928=$D954)*($F$850:$O$928)) / SUM(($A$621:$A$677=F$730)*($C$621:$C$677=$A954)*($H$618:$O$618=$D954)*($H$621:$O$677)),0)</f>
        <v>59.12191</v>
      </c>
      <c r="G954" s="1062">
        <f t="array" ref="G954">IFERROR(SUM(($F$730:$O$730=G$730)*($A$850:$A$928=$A954)*($D$850:$D$928=$D954)*($F$850:$O$928)) / SUM(($A$621:$A$677=G$730)*($C$621:$C$677=$A954)*($H$618:$O$618=$D954)*($H$621:$O$677)),0)</f>
        <v>67.45624241866544</v>
      </c>
      <c r="H954" s="1062">
        <f t="shared" si="228"/>
        <v>74.554924392128356</v>
      </c>
      <c r="I954" s="1062">
        <f t="array" ref="I954">IFERROR(SUM(($F$730:$O$730=I$730)*($A$850:$A$928=$A954)*($D$850:$D$928=$D954)*($F$850:$O$928)) / SUM(($A$621:$A$677=I$730)*($C$621:$C$677=$A954)*($H$618:$O$618=$D954)*($H$621:$O$677)),0)</f>
        <v>81.653606365591273</v>
      </c>
      <c r="J954" s="1062">
        <f t="shared" si="229"/>
        <v>91.452747311782844</v>
      </c>
      <c r="K954" s="1062">
        <f t="array" ref="K954">IFERROR(SUM(($F$730:$O$730=K$730)*($A$850:$A$928=$A954)*($D$850:$D$928=$D954)*($F$850:$O$928)) / SUM(($A$621:$A$677=K$730)*($C$621:$C$677=$A954)*($H$618:$O$618=$D954)*($H$621:$O$677)),0)</f>
        <v>101.25188825797441</v>
      </c>
      <c r="L954" s="1062">
        <f t="shared" si="230"/>
        <v>121.83519904952345</v>
      </c>
      <c r="M954" s="1062">
        <f t="array" ref="M954">IFERROR(SUM(($F$730:$O$730=M$730)*($A$850:$A$928=$A954)*($D$850:$D$928=$D954)*($F$850:$O$928)) / SUM(($A$621:$A$677=M$730)*($C$621:$C$677=$A954)*($H$618:$O$618=$D954)*($H$621:$O$677)),0)</f>
        <v>142.41850984107251</v>
      </c>
      <c r="N954" s="1062">
        <f t="shared" si="231"/>
        <v>162.70811863096793</v>
      </c>
      <c r="O954" s="1062">
        <f t="array" ref="O954">IFERROR(SUM(($F$730:$O$730=O$730)*($A$850:$A$928=$A954)*($D$850:$D$928=$D954)*($F$850:$O$928)) / SUM(($A$621:$A$677=O$730)*($C$621:$C$677=$A954)*($H$618:$O$618=$D954)*($H$621:$O$677)),0)</f>
        <v>182.99772742086338</v>
      </c>
      <c r="Q954" s="670"/>
      <c r="R954" s="670"/>
      <c r="S954" s="670"/>
      <c r="T954" s="670"/>
      <c r="U954" s="670"/>
      <c r="V954" s="670"/>
      <c r="W954" s="670"/>
      <c r="X954" s="670"/>
      <c r="Y954" s="670"/>
    </row>
    <row r="955" spans="1:25" s="17" customFormat="1">
      <c r="A955" s="19" t="str">
        <f t="shared" si="234"/>
        <v>CP</v>
      </c>
      <c r="B955" s="347" t="str">
        <f>INDEX(EF[UK Vector],MATCH(D955,EF[SATIM Code],0))</f>
        <v>V.04</v>
      </c>
      <c r="C955" s="19" t="str">
        <f>INDEX(Vectors[Description], MATCH($B955, Vectors[Code], 0))</f>
        <v>Liquid hydrocarbons</v>
      </c>
      <c r="D955" s="656" t="s">
        <v>885</v>
      </c>
      <c r="E955" s="303"/>
      <c r="F955" s="1062">
        <f t="array" ref="F955">IFERROR(SUM(($F$730:$O$730=F$730)*($A$850:$A$928=$A955)*($D$850:$D$928=$D955)*($F$850:$O$928)) / SUM(($A$621:$A$677=F$730)*($C$621:$C$677=$A955)*($H$618:$O$618=$D955)*($H$621:$O$677)),0)</f>
        <v>0</v>
      </c>
      <c r="G955" s="1062">
        <f t="array" ref="G955">IFERROR(SUM(($F$730:$O$730=G$730)*($A$850:$A$928=$A955)*($D$850:$D$928=$D955)*($F$850:$O$928)) / SUM(($A$621:$A$677=G$730)*($C$621:$C$677=$A955)*($H$618:$O$618=$D955)*($H$621:$O$677)),0)</f>
        <v>0</v>
      </c>
      <c r="H955" s="1062">
        <f t="shared" si="228"/>
        <v>0</v>
      </c>
      <c r="I955" s="1062">
        <f t="array" ref="I955">IFERROR(SUM(($F$730:$O$730=I$730)*($A$850:$A$928=$A955)*($D$850:$D$928=$D955)*($F$850:$O$928)) / SUM(($A$621:$A$677=I$730)*($C$621:$C$677=$A955)*($H$618:$O$618=$D955)*($H$621:$O$677)),0)</f>
        <v>0</v>
      </c>
      <c r="J955" s="1062">
        <f t="shared" si="229"/>
        <v>0</v>
      </c>
      <c r="K955" s="1062">
        <f t="array" ref="K955">IFERROR(SUM(($F$730:$O$730=K$730)*($A$850:$A$928=$A955)*($D$850:$D$928=$D955)*($F$850:$O$928)) / SUM(($A$621:$A$677=K$730)*($C$621:$C$677=$A955)*($H$618:$O$618=$D955)*($H$621:$O$677)),0)</f>
        <v>0</v>
      </c>
      <c r="L955" s="1062">
        <f t="shared" si="230"/>
        <v>0</v>
      </c>
      <c r="M955" s="1062">
        <f t="array" ref="M955">IFERROR(SUM(($F$730:$O$730=M$730)*($A$850:$A$928=$A955)*($D$850:$D$928=$D955)*($F$850:$O$928)) / SUM(($A$621:$A$677=M$730)*($C$621:$C$677=$A955)*($H$618:$O$618=$D955)*($H$621:$O$677)),0)</f>
        <v>0</v>
      </c>
      <c r="N955" s="1062">
        <f t="shared" si="231"/>
        <v>0</v>
      </c>
      <c r="O955" s="1062">
        <f t="array" ref="O955">IFERROR(SUM(($F$730:$O$730=O$730)*($A$850:$A$928=$A955)*($D$850:$D$928=$D955)*($F$850:$O$928)) / SUM(($A$621:$A$677=O$730)*($C$621:$C$677=$A955)*($H$618:$O$618=$D955)*($H$621:$O$677)),0)</f>
        <v>0</v>
      </c>
      <c r="Q955" s="670"/>
      <c r="R955" s="670"/>
      <c r="S955" s="670"/>
      <c r="T955" s="670"/>
      <c r="U955" s="670"/>
      <c r="V955" s="670"/>
      <c r="W955" s="670"/>
      <c r="X955" s="670"/>
      <c r="Y955" s="670"/>
    </row>
    <row r="956" spans="1:25" s="17" customFormat="1">
      <c r="A956" s="19" t="str">
        <f t="shared" si="234"/>
        <v>CP</v>
      </c>
      <c r="B956" s="347" t="str">
        <f>INDEX(EF[UK Vector],MATCH(D956,EF[SATIM Code],0))</f>
        <v>V.04</v>
      </c>
      <c r="C956" s="19" t="str">
        <f>INDEX(Vectors[Description], MATCH($B956, Vectors[Code], 0))</f>
        <v>Liquid hydrocarbons</v>
      </c>
      <c r="D956" s="656" t="s">
        <v>887</v>
      </c>
      <c r="E956" s="303"/>
      <c r="F956" s="1062">
        <f t="array" ref="F956">IFERROR(SUM(($F$730:$O$730=F$730)*($A$850:$A$928=$A956)*($D$850:$D$928=$D956)*($F$850:$O$928)) / SUM(($A$621:$A$677=F$730)*($C$621:$C$677=$A956)*($H$618:$O$618=$D956)*($H$621:$O$677)),0)</f>
        <v>0</v>
      </c>
      <c r="G956" s="1062">
        <f t="array" ref="G956">IFERROR(SUM(($F$730:$O$730=G$730)*($A$850:$A$928=$A956)*($D$850:$D$928=$D956)*($F$850:$O$928)) / SUM(($A$621:$A$677=G$730)*($C$621:$C$677=$A956)*($H$618:$O$618=$D956)*($H$621:$O$677)),0)</f>
        <v>0</v>
      </c>
      <c r="H956" s="1062">
        <f t="shared" si="228"/>
        <v>0</v>
      </c>
      <c r="I956" s="1062">
        <f t="array" ref="I956">IFERROR(SUM(($F$730:$O$730=I$730)*($A$850:$A$928=$A956)*($D$850:$D$928=$D956)*($F$850:$O$928)) / SUM(($A$621:$A$677=I$730)*($C$621:$C$677=$A956)*($H$618:$O$618=$D956)*($H$621:$O$677)),0)</f>
        <v>0</v>
      </c>
      <c r="J956" s="1062">
        <f t="shared" si="229"/>
        <v>0</v>
      </c>
      <c r="K956" s="1062">
        <f t="array" ref="K956">IFERROR(SUM(($F$730:$O$730=K$730)*($A$850:$A$928=$A956)*($D$850:$D$928=$D956)*($F$850:$O$928)) / SUM(($A$621:$A$677=K$730)*($C$621:$C$677=$A956)*($H$618:$O$618=$D956)*($H$621:$O$677)),0)</f>
        <v>0</v>
      </c>
      <c r="L956" s="1062">
        <f t="shared" si="230"/>
        <v>0</v>
      </c>
      <c r="M956" s="1062">
        <f t="array" ref="M956">IFERROR(SUM(($F$730:$O$730=M$730)*($A$850:$A$928=$A956)*($D$850:$D$928=$D956)*($F$850:$O$928)) / SUM(($A$621:$A$677=M$730)*($C$621:$C$677=$A956)*($H$618:$O$618=$D956)*($H$621:$O$677)),0)</f>
        <v>0</v>
      </c>
      <c r="N956" s="1062">
        <f t="shared" si="231"/>
        <v>0</v>
      </c>
      <c r="O956" s="1062">
        <f t="array" ref="O956">IFERROR(SUM(($F$730:$O$730=O$730)*($A$850:$A$928=$A956)*($D$850:$D$928=$D956)*($F$850:$O$928)) / SUM(($A$621:$A$677=O$730)*($C$621:$C$677=$A956)*($H$618:$O$618=$D956)*($H$621:$O$677)),0)</f>
        <v>0</v>
      </c>
      <c r="Q956" s="670"/>
      <c r="R956" s="670"/>
      <c r="S956" s="670"/>
      <c r="T956" s="670"/>
      <c r="U956" s="670"/>
      <c r="V956" s="670"/>
      <c r="W956" s="670"/>
      <c r="X956" s="670"/>
      <c r="Y956" s="670"/>
    </row>
    <row r="957" spans="1:25" s="17" customFormat="1">
      <c r="A957" s="19" t="str">
        <f t="shared" si="234"/>
        <v>CP</v>
      </c>
      <c r="B957" s="347" t="str">
        <f>INDEX(EF[UK Vector],MATCH(D957,EF[SATIM Code],0))</f>
        <v>V.01</v>
      </c>
      <c r="C957" s="19" t="str">
        <f>INDEX(Vectors[Description], MATCH($B957, Vectors[Code], 0))</f>
        <v>Electricity (delivered to end user)</v>
      </c>
      <c r="D957" s="656" t="s">
        <v>879</v>
      </c>
      <c r="E957" s="303"/>
      <c r="F957" s="1062">
        <f t="array" ref="F957">IFERROR(SUM(($F$730:$O$730=F$730)*($A$850:$A$928=$A957)*($D$850:$D$928=$D957)*($F$850:$O$928)) / SUM(($A$621:$A$677=F$730)*($C$621:$C$677=$A957)*($H$618:$O$618=$D957)*($H$621:$O$677)),0)</f>
        <v>0.35712358399999999</v>
      </c>
      <c r="G957" s="1062">
        <f t="array" ref="G957">IFERROR(SUM(($F$730:$O$730=G$730)*($A$850:$A$928=$A957)*($D$850:$D$928=$D957)*($F$850:$O$928)) / SUM(($A$621:$A$677=G$730)*($C$621:$C$677=$A957)*($H$618:$O$618=$D957)*($H$621:$O$677)),0)</f>
        <v>0.40760940949052604</v>
      </c>
      <c r="H957" s="1062">
        <f t="shared" si="228"/>
        <v>0.45097327920689817</v>
      </c>
      <c r="I957" s="1062">
        <f t="array" ref="I957">IFERROR(SUM(($F$730:$O$730=I$730)*($A$850:$A$928=$A957)*($D$850:$D$928=$D957)*($F$850:$O$928)) / SUM(($A$621:$A$677=I$730)*($C$621:$C$677=$A957)*($H$618:$O$618=$D957)*($H$621:$O$677)),0)</f>
        <v>0.4943371489232703</v>
      </c>
      <c r="J957" s="1062">
        <f t="shared" si="229"/>
        <v>0.55473056400893017</v>
      </c>
      <c r="K957" s="1062">
        <f t="array" ref="K957">IFERROR(SUM(($F$730:$O$730=K$730)*($A$850:$A$928=$A957)*($D$850:$D$928=$D957)*($F$850:$O$928)) / SUM(($A$621:$A$677=K$730)*($C$621:$C$677=$A957)*($H$618:$O$618=$D957)*($H$621:$O$677)),0)</f>
        <v>0.61512397909458993</v>
      </c>
      <c r="L957" s="1062">
        <f t="shared" si="230"/>
        <v>0.74145104124620342</v>
      </c>
      <c r="M957" s="1062">
        <f t="array" ref="M957">IFERROR(SUM(($F$730:$O$730=M$730)*($A$850:$A$928=$A957)*($D$850:$D$928=$D957)*($F$850:$O$928)) / SUM(($A$621:$A$677=M$730)*($C$621:$C$677=$A957)*($H$618:$O$618=$D957)*($H$621:$O$677)),0)</f>
        <v>0.86777810339781691</v>
      </c>
      <c r="N957" s="1062">
        <f t="shared" si="231"/>
        <v>0.99211131078355019</v>
      </c>
      <c r="O957" s="1062">
        <f t="array" ref="O957">IFERROR(SUM(($F$730:$O$730=O$730)*($A$850:$A$928=$A957)*($D$850:$D$928=$D957)*($F$850:$O$928)) / SUM(($A$621:$A$677=O$730)*($C$621:$C$677=$A957)*($H$618:$O$618=$D957)*($H$621:$O$677)),0)</f>
        <v>1.1164445181692835</v>
      </c>
      <c r="Q957" s="670"/>
      <c r="R957" s="670"/>
      <c r="S957" s="670"/>
      <c r="T957" s="670"/>
      <c r="U957" s="670"/>
      <c r="V957" s="670"/>
      <c r="W957" s="670"/>
      <c r="X957" s="670"/>
      <c r="Y957" s="670"/>
    </row>
    <row r="958" spans="1:25" s="17" customFormat="1">
      <c r="A958" s="19" t="str">
        <f t="shared" si="234"/>
        <v>CP</v>
      </c>
      <c r="B958" s="347" t="str">
        <f>INDEX(EF[UK Vector],MATCH(D958,EF[SATIM Code],0))</f>
        <v>V.09</v>
      </c>
      <c r="C958" s="19" t="str">
        <f>INDEX(Vectors[Description], MATCH($B958, Vectors[Code], 0))</f>
        <v>Dry biomass and waste</v>
      </c>
      <c r="D958" s="656" t="s">
        <v>888</v>
      </c>
      <c r="E958" s="303"/>
      <c r="F958" s="1062">
        <f t="array" ref="F958">IFERROR(SUM(($F$730:$O$730=F$730)*($A$850:$A$928=$A958)*($D$850:$D$928=$D958)*($F$850:$O$928)) / SUM(($A$621:$A$677=F$730)*($C$621:$C$677=$A958)*($H$618:$O$618=$D958)*($H$621:$O$677)),0)</f>
        <v>0</v>
      </c>
      <c r="G958" s="1062">
        <f t="array" ref="G958">IFERROR(SUM(($F$730:$O$730=G$730)*($A$850:$A$928=$A958)*($D$850:$D$928=$D958)*($F$850:$O$928)) / SUM(($A$621:$A$677=G$730)*($C$621:$C$677=$A958)*($H$618:$O$618=$D958)*($H$621:$O$677)),0)</f>
        <v>0</v>
      </c>
      <c r="H958" s="1062">
        <f t="shared" si="228"/>
        <v>0</v>
      </c>
      <c r="I958" s="1062">
        <f t="array" ref="I958">IFERROR(SUM(($F$730:$O$730=I$730)*($A$850:$A$928=$A958)*($D$850:$D$928=$D958)*($F$850:$O$928)) / SUM(($A$621:$A$677=I$730)*($C$621:$C$677=$A958)*($H$618:$O$618=$D958)*($H$621:$O$677)),0)</f>
        <v>0</v>
      </c>
      <c r="J958" s="1062">
        <f t="shared" si="229"/>
        <v>0</v>
      </c>
      <c r="K958" s="1062">
        <f t="array" ref="K958">IFERROR(SUM(($F$730:$O$730=K$730)*($A$850:$A$928=$A958)*($D$850:$D$928=$D958)*($F$850:$O$928)) / SUM(($A$621:$A$677=K$730)*($C$621:$C$677=$A958)*($H$618:$O$618=$D958)*($H$621:$O$677)),0)</f>
        <v>0</v>
      </c>
      <c r="L958" s="1062">
        <f t="shared" si="230"/>
        <v>0</v>
      </c>
      <c r="M958" s="1062">
        <f t="array" ref="M958">IFERROR(SUM(($F$730:$O$730=M$730)*($A$850:$A$928=$A958)*($D$850:$D$928=$D958)*($F$850:$O$928)) / SUM(($A$621:$A$677=M$730)*($C$621:$C$677=$A958)*($H$618:$O$618=$D958)*($H$621:$O$677)),0)</f>
        <v>0</v>
      </c>
      <c r="N958" s="1062">
        <f t="shared" si="231"/>
        <v>0</v>
      </c>
      <c r="O958" s="1062">
        <f t="array" ref="O958">IFERROR(SUM(($F$730:$O$730=O$730)*($A$850:$A$928=$A958)*($D$850:$D$928=$D958)*($F$850:$O$928)) / SUM(($A$621:$A$677=O$730)*($C$621:$C$677=$A958)*($H$618:$O$618=$D958)*($H$621:$O$677)),0)</f>
        <v>0</v>
      </c>
      <c r="Q958" s="670"/>
      <c r="R958" s="670"/>
      <c r="S958" s="670"/>
      <c r="T958" s="670"/>
      <c r="U958" s="670"/>
      <c r="V958" s="670"/>
      <c r="W958" s="670"/>
      <c r="X958" s="670"/>
      <c r="Y958" s="670"/>
    </row>
    <row r="959" spans="1:25" s="17" customFormat="1">
      <c r="A959" s="19" t="str">
        <f t="shared" si="234"/>
        <v>CP</v>
      </c>
      <c r="B959" s="347" t="str">
        <f>INDEX(EF[UK Vector],MATCH(D959,EF[SATIM Code],0))</f>
        <v>V.09</v>
      </c>
      <c r="C959" s="19" t="str">
        <f>INDEX(Vectors[Description], MATCH($B959, Vectors[Code], 0))</f>
        <v>Dry biomass and waste</v>
      </c>
      <c r="D959" s="656" t="s">
        <v>889</v>
      </c>
      <c r="E959" s="303"/>
      <c r="F959" s="1062">
        <f t="array" ref="F959">IFERROR(SUM(($F$730:$O$730=F$730)*($A$850:$A$928=$A959)*($D$850:$D$928=$D959)*($F$850:$O$928)) / SUM(($A$621:$A$677=F$730)*($C$621:$C$677=$A959)*($H$618:$O$618=$D959)*($H$621:$O$677)),0)</f>
        <v>0</v>
      </c>
      <c r="G959" s="1062">
        <f t="array" ref="G959">IFERROR(SUM(($F$730:$O$730=G$730)*($A$850:$A$928=$A959)*($D$850:$D$928=$D959)*($F$850:$O$928)) / SUM(($A$621:$A$677=G$730)*($C$621:$C$677=$A959)*($H$618:$O$618=$D959)*($H$621:$O$677)),0)</f>
        <v>0</v>
      </c>
      <c r="H959" s="1062">
        <f t="shared" si="228"/>
        <v>0</v>
      </c>
      <c r="I959" s="1062">
        <f t="array" ref="I959">IFERROR(SUM(($F$730:$O$730=I$730)*($A$850:$A$928=$A959)*($D$850:$D$928=$D959)*($F$850:$O$928)) / SUM(($A$621:$A$677=I$730)*($C$621:$C$677=$A959)*($H$618:$O$618=$D959)*($H$621:$O$677)),0)</f>
        <v>0</v>
      </c>
      <c r="J959" s="1062">
        <f t="shared" si="229"/>
        <v>0</v>
      </c>
      <c r="K959" s="1062">
        <f t="array" ref="K959">IFERROR(SUM(($F$730:$O$730=K$730)*($A$850:$A$928=$A959)*($D$850:$D$928=$D959)*($F$850:$O$928)) / SUM(($A$621:$A$677=K$730)*($C$621:$C$677=$A959)*($H$618:$O$618=$D959)*($H$621:$O$677)),0)</f>
        <v>0</v>
      </c>
      <c r="L959" s="1062">
        <f t="shared" si="230"/>
        <v>0</v>
      </c>
      <c r="M959" s="1062">
        <f t="array" ref="M959">IFERROR(SUM(($F$730:$O$730=M$730)*($A$850:$A$928=$A959)*($D$850:$D$928=$D959)*($F$850:$O$928)) / SUM(($A$621:$A$677=M$730)*($C$621:$C$677=$A959)*($H$618:$O$618=$D959)*($H$621:$O$677)),0)</f>
        <v>0</v>
      </c>
      <c r="N959" s="1062">
        <f t="shared" si="231"/>
        <v>0</v>
      </c>
      <c r="O959" s="1062">
        <f t="array" ref="O959">IFERROR(SUM(($F$730:$O$730=O$730)*($A$850:$A$928=$A959)*($D$850:$D$928=$D959)*($F$850:$O$928)) / SUM(($A$621:$A$677=O$730)*($C$621:$C$677=$A959)*($H$618:$O$618=$D959)*($H$621:$O$677)),0)</f>
        <v>0</v>
      </c>
      <c r="Q959" s="670"/>
      <c r="R959" s="670"/>
      <c r="S959" s="670"/>
      <c r="T959" s="670"/>
      <c r="U959" s="670"/>
      <c r="V959" s="670"/>
      <c r="W959" s="670"/>
      <c r="X959" s="670"/>
      <c r="Y959" s="670"/>
    </row>
    <row r="960" spans="1:25" s="17" customFormat="1">
      <c r="A960" s="19" t="str">
        <f t="shared" si="234"/>
        <v>CP</v>
      </c>
      <c r="B960" s="347" t="s">
        <v>897</v>
      </c>
      <c r="C960" s="19" t="str">
        <f>INDEX(Vectors[Description], MATCH($B960, Vectors[Code], 0))</f>
        <v>Other Waste</v>
      </c>
      <c r="D960" s="17" t="s">
        <v>890</v>
      </c>
      <c r="E960" s="303"/>
      <c r="F960" s="1062">
        <f t="array" ref="F960">IFERROR(SUM(($F$730:$O$730=F$730)*($A$850:$A$928=$A960)*($D$850:$D$928=$D960)*($F$850:$O$928)) / SUM(($A$621:$A$677=F$730)*($C$621:$C$677=$A960)*($H$618:$O$618=$D960)*($H$621:$O$677)),0)</f>
        <v>0</v>
      </c>
      <c r="G960" s="1062">
        <f t="array" ref="G960">IFERROR(SUM(($F$730:$O$730=G$730)*($A$850:$A$928=$A960)*($D$850:$D$928=$D960)*($F$850:$O$928)) / SUM(($A$621:$A$677=G$730)*($C$621:$C$677=$A960)*($H$618:$O$618=$D960)*($H$621:$O$677)),0)</f>
        <v>0</v>
      </c>
      <c r="H960" s="1062">
        <f t="shared" si="228"/>
        <v>0</v>
      </c>
      <c r="I960" s="1062">
        <f t="array" ref="I960">IFERROR(SUM(($F$730:$O$730=I$730)*($A$850:$A$928=$A960)*($D$850:$D$928=$D960)*($F$850:$O$928)) / SUM(($A$621:$A$677=I$730)*($C$621:$C$677=$A960)*($H$618:$O$618=$D960)*($H$621:$O$677)),0)</f>
        <v>0</v>
      </c>
      <c r="J960" s="1062">
        <f t="shared" si="229"/>
        <v>0</v>
      </c>
      <c r="K960" s="1062">
        <f t="array" ref="K960">IFERROR(SUM(($F$730:$O$730=K$730)*($A$850:$A$928=$A960)*($D$850:$D$928=$D960)*($F$850:$O$928)) / SUM(($A$621:$A$677=K$730)*($C$621:$C$677=$A960)*($H$618:$O$618=$D960)*($H$621:$O$677)),0)</f>
        <v>0</v>
      </c>
      <c r="L960" s="1062">
        <f t="shared" si="230"/>
        <v>0</v>
      </c>
      <c r="M960" s="1062">
        <f t="array" ref="M960">IFERROR(SUM(($F$730:$O$730=M$730)*($A$850:$A$928=$A960)*($D$850:$D$928=$D960)*($F$850:$O$928)) / SUM(($A$621:$A$677=M$730)*($C$621:$C$677=$A960)*($H$618:$O$618=$D960)*($H$621:$O$677)),0)</f>
        <v>0</v>
      </c>
      <c r="N960" s="1062">
        <f t="shared" si="231"/>
        <v>0</v>
      </c>
      <c r="O960" s="1062">
        <f t="array" ref="O960">IFERROR(SUM(($F$730:$O$730=O$730)*($A$850:$A$928=$A960)*($D$850:$D$928=$D960)*($F$850:$O$928)) / SUM(($A$621:$A$677=O$730)*($C$621:$C$677=$A960)*($H$618:$O$618=$D960)*($H$621:$O$677)),0)</f>
        <v>0</v>
      </c>
      <c r="Q960" s="670"/>
      <c r="R960" s="670"/>
      <c r="S960" s="670"/>
      <c r="T960" s="670"/>
      <c r="U960" s="670"/>
      <c r="V960" s="670"/>
      <c r="W960" s="670"/>
      <c r="X960" s="670"/>
      <c r="Y960" s="670"/>
    </row>
    <row r="961" spans="1:25" s="17" customFormat="1">
      <c r="A961" s="19"/>
      <c r="B961" s="347"/>
      <c r="C961" s="19"/>
      <c r="D961" s="656"/>
      <c r="E961" s="303"/>
      <c r="F961" s="1062">
        <f t="array" ref="F961">IFERROR(SUM(($F$730:$O$730=F$730)*($A$850:$A$928=$A961)*($D$850:$D$928=$D961)*($F$850:$O$928)) / SUM(($A$621:$A$677=F$730)*($C$621:$C$677=$A961)*($H$618:$O$618=$D961)*($H$621:$O$677)),0)</f>
        <v>0</v>
      </c>
      <c r="G961" s="1062">
        <f t="array" ref="G961">IFERROR(SUM(($F$730:$O$730=G$730)*($A$850:$A$928=$A961)*($D$850:$D$928=$D961)*($F$850:$O$928)) / SUM(($A$621:$A$677=G$730)*($C$621:$C$677=$A961)*($H$618:$O$618=$D961)*($H$621:$O$677)),0)</f>
        <v>0</v>
      </c>
      <c r="H961" s="1062">
        <f t="shared" si="228"/>
        <v>0</v>
      </c>
      <c r="I961" s="1062">
        <f t="array" ref="I961">IFERROR(SUM(($F$730:$O$730=I$730)*($A$850:$A$928=$A961)*($D$850:$D$928=$D961)*($F$850:$O$928)) / SUM(($A$621:$A$677=I$730)*($C$621:$C$677=$A961)*($H$618:$O$618=$D961)*($H$621:$O$677)),0)</f>
        <v>0</v>
      </c>
      <c r="J961" s="1062">
        <f t="shared" si="229"/>
        <v>0</v>
      </c>
      <c r="K961" s="1062">
        <f t="array" ref="K961">IFERROR(SUM(($F$730:$O$730=K$730)*($A$850:$A$928=$A961)*($D$850:$D$928=$D961)*($F$850:$O$928)) / SUM(($A$621:$A$677=K$730)*($C$621:$C$677=$A961)*($H$618:$O$618=$D961)*($H$621:$O$677)),0)</f>
        <v>0</v>
      </c>
      <c r="L961" s="1062">
        <f t="shared" si="230"/>
        <v>0</v>
      </c>
      <c r="M961" s="1062">
        <f t="array" ref="M961">IFERROR(SUM(($F$730:$O$730=M$730)*($A$850:$A$928=$A961)*($D$850:$D$928=$D961)*($F$850:$O$928)) / SUM(($A$621:$A$677=M$730)*($C$621:$C$677=$A961)*($H$618:$O$618=$D961)*($H$621:$O$677)),0)</f>
        <v>0</v>
      </c>
      <c r="N961" s="1062">
        <f t="shared" si="231"/>
        <v>0</v>
      </c>
      <c r="O961" s="1062">
        <f t="array" ref="O961">IFERROR(SUM(($F$730:$O$730=O$730)*($A$850:$A$928=$A961)*($D$850:$D$928=$D961)*($F$850:$O$928)) / SUM(($A$621:$A$677=O$730)*($C$621:$C$677=$A961)*($H$618:$O$618=$D961)*($H$621:$O$677)),0)</f>
        <v>0</v>
      </c>
      <c r="Q961" s="670"/>
      <c r="R961" s="670"/>
      <c r="S961" s="670"/>
      <c r="T961" s="670"/>
      <c r="U961" s="670"/>
      <c r="V961" s="670"/>
      <c r="W961" s="670"/>
      <c r="X961" s="670"/>
      <c r="Y961" s="670"/>
    </row>
    <row r="962" spans="1:25" s="17" customFormat="1">
      <c r="B962" s="348"/>
      <c r="C962" s="348" t="str">
        <f>D23</f>
        <v>Non-Ferrous metals  - 352</v>
      </c>
      <c r="D962" s="656"/>
      <c r="E962" s="303"/>
      <c r="F962" s="1062">
        <f t="array" ref="F962">IFERROR(SUM(($F$730:$O$730=F$730)*($A$850:$A$928=$A962)*($D$850:$D$928=$D962)*($F$850:$O$928)) / SUM(($A$621:$A$677=F$730)*($C$621:$C$677=$A962)*($H$618:$O$618=$D962)*($H$621:$O$677)),0)</f>
        <v>0</v>
      </c>
      <c r="G962" s="1062">
        <f t="array" ref="G962">IFERROR(SUM(($F$730:$O$730=G$730)*($A$850:$A$928=$A962)*($D$850:$D$928=$D962)*($F$850:$O$928)) / SUM(($A$621:$A$677=G$730)*($C$621:$C$677=$A962)*($H$618:$O$618=$D962)*($H$621:$O$677)),0)</f>
        <v>0</v>
      </c>
      <c r="H962" s="1062">
        <f t="shared" si="228"/>
        <v>0</v>
      </c>
      <c r="I962" s="1062">
        <f t="array" ref="I962">IFERROR(SUM(($F$730:$O$730=I$730)*($A$850:$A$928=$A962)*($D$850:$D$928=$D962)*($F$850:$O$928)) / SUM(($A$621:$A$677=I$730)*($C$621:$C$677=$A962)*($H$618:$O$618=$D962)*($H$621:$O$677)),0)</f>
        <v>0</v>
      </c>
      <c r="J962" s="1062">
        <f t="shared" si="229"/>
        <v>0</v>
      </c>
      <c r="K962" s="1062">
        <f t="array" ref="K962">IFERROR(SUM(($F$730:$O$730=K$730)*($A$850:$A$928=$A962)*($D$850:$D$928=$D962)*($F$850:$O$928)) / SUM(($A$621:$A$677=K$730)*($C$621:$C$677=$A962)*($H$618:$O$618=$D962)*($H$621:$O$677)),0)</f>
        <v>0</v>
      </c>
      <c r="L962" s="1062">
        <f t="shared" si="230"/>
        <v>0</v>
      </c>
      <c r="M962" s="1062">
        <f t="array" ref="M962">IFERROR(SUM(($F$730:$O$730=M$730)*($A$850:$A$928=$A962)*($D$850:$D$928=$D962)*($F$850:$O$928)) / SUM(($A$621:$A$677=M$730)*($C$621:$C$677=$A962)*($H$618:$O$618=$D962)*($H$621:$O$677)),0)</f>
        <v>0</v>
      </c>
      <c r="N962" s="1062">
        <f t="shared" si="231"/>
        <v>0</v>
      </c>
      <c r="O962" s="1062">
        <f t="array" ref="O962">IFERROR(SUM(($F$730:$O$730=O$730)*($A$850:$A$928=$A962)*($D$850:$D$928=$D962)*($F$850:$O$928)) / SUM(($A$621:$A$677=O$730)*($C$621:$C$677=$A962)*($H$618:$O$618=$D962)*($H$621:$O$677)),0)</f>
        <v>0</v>
      </c>
      <c r="Q962" s="670"/>
      <c r="R962" s="670"/>
      <c r="S962" s="670"/>
      <c r="T962" s="670"/>
      <c r="U962" s="670"/>
      <c r="V962" s="670"/>
      <c r="W962" s="670"/>
      <c r="X962" s="670"/>
      <c r="Y962" s="670"/>
    </row>
    <row r="963" spans="1:25" s="17" customFormat="1">
      <c r="A963" s="1438" t="str">
        <f>INDEX($C$20:$C$27,MATCH($C962,$D$20:$D$27,0))</f>
        <v>NF</v>
      </c>
      <c r="B963" s="347" t="str">
        <f>INDEX(EF[UK Vector],MATCH(D963,EF[SATIM Code],0))</f>
        <v>V.03</v>
      </c>
      <c r="C963" s="19" t="str">
        <f>INDEX(Vectors[Description], MATCH($B963, Vectors[Code], 0))</f>
        <v>Solid hydrocarbons</v>
      </c>
      <c r="D963" s="656" t="s">
        <v>882</v>
      </c>
      <c r="E963" s="303"/>
      <c r="F963" s="1062">
        <f t="array" ref="F963">IFERROR(SUM(($F$730:$O$730=F$730)*($A$850:$A$928=$A963)*($D$850:$D$928=$D963)*($F$850:$O$928)) / SUM(($A$621:$A$677=F$730)*($C$621:$C$677=$A963)*($H$618:$O$618=$D963)*($H$621:$O$677)),0)</f>
        <v>0.80999999999999972</v>
      </c>
      <c r="G963" s="1062">
        <f t="array" ref="G963">IFERROR(SUM(($F$730:$O$730=G$730)*($A$850:$A$928=$A963)*($D$850:$D$928=$D963)*($F$850:$O$928)) / SUM(($A$621:$A$677=G$730)*($C$621:$C$677=$A963)*($H$618:$O$618=$D963)*($H$621:$O$677)),0)</f>
        <v>0.93848617213288477</v>
      </c>
      <c r="H963" s="1062">
        <f t="shared" si="228"/>
        <v>1.166859572910365</v>
      </c>
      <c r="I963" s="1062">
        <f t="array" ref="I963">IFERROR(SUM(($F$730:$O$730=I$730)*($A$850:$A$928=$A963)*($D$850:$D$928=$D963)*($F$850:$O$928)) / SUM(($A$621:$A$677=I$730)*($C$621:$C$677=$A963)*($H$618:$O$618=$D963)*($H$621:$O$677)),0)</f>
        <v>1.3952329736878455</v>
      </c>
      <c r="J963" s="1062">
        <f t="shared" si="229"/>
        <v>1.7169955252819236</v>
      </c>
      <c r="K963" s="1062">
        <f t="array" ref="K963">IFERROR(SUM(($F$730:$O$730=K$730)*($A$850:$A$928=$A963)*($D$850:$D$928=$D963)*($F$850:$O$928)) / SUM(($A$621:$A$677=K$730)*($C$621:$C$677=$A963)*($H$618:$O$618=$D963)*($H$621:$O$677)),0)</f>
        <v>2.0387580768760016</v>
      </c>
      <c r="L963" s="1062">
        <f t="shared" si="230"/>
        <v>2.5069100475130286</v>
      </c>
      <c r="M963" s="1062">
        <f t="array" ref="M963">IFERROR(SUM(($F$730:$O$730=M$730)*($A$850:$A$928=$A963)*($D$850:$D$928=$D963)*($F$850:$O$928)) / SUM(($A$621:$A$677=M$730)*($C$621:$C$677=$A963)*($H$618:$O$618=$D963)*($H$621:$O$677)),0)</f>
        <v>2.975062018150056</v>
      </c>
      <c r="N963" s="1062">
        <f t="shared" si="231"/>
        <v>3.4966939560408941</v>
      </c>
      <c r="O963" s="1062">
        <f t="array" ref="O963">IFERROR(SUM(($F$730:$O$730=O$730)*($A$850:$A$928=$A963)*($D$850:$D$928=$D963)*($F$850:$O$928)) / SUM(($A$621:$A$677=O$730)*($C$621:$C$677=$A963)*($H$618:$O$618=$D963)*($H$621:$O$677)),0)</f>
        <v>4.0183258939317321</v>
      </c>
      <c r="Q963" s="670"/>
      <c r="R963" s="670"/>
      <c r="S963" s="670"/>
      <c r="T963" s="670"/>
      <c r="U963" s="670"/>
      <c r="V963" s="670"/>
      <c r="W963" s="670"/>
      <c r="X963" s="670"/>
      <c r="Y963" s="670"/>
    </row>
    <row r="964" spans="1:25" s="17" customFormat="1">
      <c r="A964" s="19" t="str">
        <f t="shared" ref="A964:A970" si="235">A963</f>
        <v>NF</v>
      </c>
      <c r="B964" s="347" t="str">
        <f>INDEX(EF[UK Vector],MATCH(D964,EF[SATIM Code],0))</f>
        <v>V.05</v>
      </c>
      <c r="C964" s="19" t="str">
        <f>INDEX(Vectors[Description], MATCH($B964, Vectors[Code], 0))</f>
        <v>Gaseous hydrocarbons</v>
      </c>
      <c r="D964" s="656" t="s">
        <v>869</v>
      </c>
      <c r="E964" s="303"/>
      <c r="F964" s="1062">
        <f t="array" ref="F964">IFERROR(SUM(($F$730:$O$730=F$730)*($A$850:$A$928=$A964)*($D$850:$D$928=$D964)*($F$850:$O$928)) / SUM(($A$621:$A$677=F$730)*($C$621:$C$677=$A964)*($H$618:$O$618=$D964)*($H$621:$O$677)),0)</f>
        <v>0</v>
      </c>
      <c r="G964" s="1062">
        <f t="array" ref="G964">IFERROR(SUM(($F$730:$O$730=G$730)*($A$850:$A$928=$A964)*($D$850:$D$928=$D964)*($F$850:$O$928)) / SUM(($A$621:$A$677=G$730)*($C$621:$C$677=$A964)*($H$618:$O$618=$D964)*($H$621:$O$677)),0)</f>
        <v>0</v>
      </c>
      <c r="H964" s="1062">
        <f t="shared" si="228"/>
        <v>0</v>
      </c>
      <c r="I964" s="1062">
        <f t="array" ref="I964">IFERROR(SUM(($F$730:$O$730=I$730)*($A$850:$A$928=$A964)*($D$850:$D$928=$D964)*($F$850:$O$928)) / SUM(($A$621:$A$677=I$730)*($C$621:$C$677=$A964)*($H$618:$O$618=$D964)*($H$621:$O$677)),0)</f>
        <v>0</v>
      </c>
      <c r="J964" s="1062">
        <f t="shared" si="229"/>
        <v>0</v>
      </c>
      <c r="K964" s="1062">
        <f t="array" ref="K964">IFERROR(SUM(($F$730:$O$730=K$730)*($A$850:$A$928=$A964)*($D$850:$D$928=$D964)*($F$850:$O$928)) / SUM(($A$621:$A$677=K$730)*($C$621:$C$677=$A964)*($H$618:$O$618=$D964)*($H$621:$O$677)),0)</f>
        <v>0</v>
      </c>
      <c r="L964" s="1062">
        <f t="shared" si="230"/>
        <v>0</v>
      </c>
      <c r="M964" s="1062">
        <f t="array" ref="M964">IFERROR(SUM(($F$730:$O$730=M$730)*($A$850:$A$928=$A964)*($D$850:$D$928=$D964)*($F$850:$O$928)) / SUM(($A$621:$A$677=M$730)*($C$621:$C$677=$A964)*($H$618:$O$618=$D964)*($H$621:$O$677)),0)</f>
        <v>0</v>
      </c>
      <c r="N964" s="1062">
        <f t="shared" si="231"/>
        <v>0</v>
      </c>
      <c r="O964" s="1062">
        <f t="array" ref="O964">IFERROR(SUM(($F$730:$O$730=O$730)*($A$850:$A$928=$A964)*($D$850:$D$928=$D964)*($F$850:$O$928)) / SUM(($A$621:$A$677=O$730)*($C$621:$C$677=$A964)*($H$618:$O$618=$D964)*($H$621:$O$677)),0)</f>
        <v>0</v>
      </c>
      <c r="Q964" s="670"/>
      <c r="R964" s="670"/>
      <c r="S964" s="670"/>
      <c r="T964" s="670"/>
      <c r="U964" s="670"/>
      <c r="V964" s="670"/>
      <c r="W964" s="670"/>
      <c r="X964" s="670"/>
      <c r="Y964" s="670"/>
    </row>
    <row r="965" spans="1:25" s="17" customFormat="1">
      <c r="A965" s="19" t="str">
        <f t="shared" si="235"/>
        <v>NF</v>
      </c>
      <c r="B965" s="347" t="str">
        <f>INDEX(EF[UK Vector],MATCH(D965,EF[SATIM Code],0))</f>
        <v>V.04</v>
      </c>
      <c r="C965" s="19" t="str">
        <f>INDEX(Vectors[Description], MATCH($B965, Vectors[Code], 0))</f>
        <v>Liquid hydrocarbons</v>
      </c>
      <c r="D965" s="656" t="s">
        <v>885</v>
      </c>
      <c r="E965" s="303"/>
      <c r="F965" s="1062">
        <f t="array" ref="F965">IFERROR(SUM(($F$730:$O$730=F$730)*($A$850:$A$928=$A965)*($D$850:$D$928=$D965)*($F$850:$O$928)) / SUM(($A$621:$A$677=F$730)*($C$621:$C$677=$A965)*($H$618:$O$618=$D965)*($H$621:$O$677)),0)</f>
        <v>0</v>
      </c>
      <c r="G965" s="1062">
        <f t="array" ref="G965">IFERROR(SUM(($F$730:$O$730=G$730)*($A$850:$A$928=$A965)*($D$850:$D$928=$D965)*($F$850:$O$928)) / SUM(($A$621:$A$677=G$730)*($C$621:$C$677=$A965)*($H$618:$O$618=$D965)*($H$621:$O$677)),0)</f>
        <v>0</v>
      </c>
      <c r="H965" s="1062">
        <f t="shared" ref="H965:H996" si="236">AVERAGE(G965,I965)</f>
        <v>0</v>
      </c>
      <c r="I965" s="1062">
        <f t="array" ref="I965">IFERROR(SUM(($F$730:$O$730=I$730)*($A$850:$A$928=$A965)*($D$850:$D$928=$D965)*($F$850:$O$928)) / SUM(($A$621:$A$677=I$730)*($C$621:$C$677=$A965)*($H$618:$O$618=$D965)*($H$621:$O$677)),0)</f>
        <v>0</v>
      </c>
      <c r="J965" s="1062">
        <f t="shared" ref="J965:J996" si="237">AVERAGE(I965,K965)</f>
        <v>0</v>
      </c>
      <c r="K965" s="1062">
        <f t="array" ref="K965">IFERROR(SUM(($F$730:$O$730=K$730)*($A$850:$A$928=$A965)*($D$850:$D$928=$D965)*($F$850:$O$928)) / SUM(($A$621:$A$677=K$730)*($C$621:$C$677=$A965)*($H$618:$O$618=$D965)*($H$621:$O$677)),0)</f>
        <v>0</v>
      </c>
      <c r="L965" s="1062">
        <f t="shared" ref="L965:L996" si="238">AVERAGE(K965,M965)</f>
        <v>0</v>
      </c>
      <c r="M965" s="1062">
        <f t="array" ref="M965">IFERROR(SUM(($F$730:$O$730=M$730)*($A$850:$A$928=$A965)*($D$850:$D$928=$D965)*($F$850:$O$928)) / SUM(($A$621:$A$677=M$730)*($C$621:$C$677=$A965)*($H$618:$O$618=$D965)*($H$621:$O$677)),0)</f>
        <v>0</v>
      </c>
      <c r="N965" s="1062">
        <f t="shared" ref="N965:N996" si="239">AVERAGE(M965,O965)</f>
        <v>0</v>
      </c>
      <c r="O965" s="1062">
        <f t="array" ref="O965">IFERROR(SUM(($F$730:$O$730=O$730)*($A$850:$A$928=$A965)*($D$850:$D$928=$D965)*($F$850:$O$928)) / SUM(($A$621:$A$677=O$730)*($C$621:$C$677=$A965)*($H$618:$O$618=$D965)*($H$621:$O$677)),0)</f>
        <v>0</v>
      </c>
      <c r="Q965" s="670"/>
      <c r="R965" s="670"/>
      <c r="S965" s="670"/>
      <c r="T965" s="670"/>
      <c r="U965" s="670"/>
      <c r="V965" s="670"/>
      <c r="W965" s="670"/>
      <c r="X965" s="670"/>
      <c r="Y965" s="670"/>
    </row>
    <row r="966" spans="1:25" s="17" customFormat="1">
      <c r="A966" s="19" t="str">
        <f t="shared" si="235"/>
        <v>NF</v>
      </c>
      <c r="B966" s="347" t="str">
        <f>INDEX(EF[UK Vector],MATCH(D966,EF[SATIM Code],0))</f>
        <v>V.04</v>
      </c>
      <c r="C966" s="19" t="str">
        <f>INDEX(Vectors[Description], MATCH($B966, Vectors[Code], 0))</f>
        <v>Liquid hydrocarbons</v>
      </c>
      <c r="D966" s="656" t="s">
        <v>887</v>
      </c>
      <c r="E966" s="303"/>
      <c r="F966" s="1062">
        <f t="array" ref="F966">IFERROR(SUM(($F$730:$O$730=F$730)*($A$850:$A$928=$A966)*($D$850:$D$928=$D966)*($F$850:$O$928)) / SUM(($A$621:$A$677=F$730)*($C$621:$C$677=$A966)*($H$618:$O$618=$D966)*($H$621:$O$677)),0)</f>
        <v>0</v>
      </c>
      <c r="G966" s="1062">
        <f t="array" ref="G966">IFERROR(SUM(($F$730:$O$730=G$730)*($A$850:$A$928=$A966)*($D$850:$D$928=$D966)*($F$850:$O$928)) / SUM(($A$621:$A$677=G$730)*($C$621:$C$677=$A966)*($H$618:$O$618=$D966)*($H$621:$O$677)),0)</f>
        <v>0</v>
      </c>
      <c r="H966" s="1062">
        <f t="shared" si="236"/>
        <v>0</v>
      </c>
      <c r="I966" s="1062">
        <f t="array" ref="I966">IFERROR(SUM(($F$730:$O$730=I$730)*($A$850:$A$928=$A966)*($D$850:$D$928=$D966)*($F$850:$O$928)) / SUM(($A$621:$A$677=I$730)*($C$621:$C$677=$A966)*($H$618:$O$618=$D966)*($H$621:$O$677)),0)</f>
        <v>0</v>
      </c>
      <c r="J966" s="1062">
        <f t="shared" si="237"/>
        <v>0</v>
      </c>
      <c r="K966" s="1062">
        <f t="array" ref="K966">IFERROR(SUM(($F$730:$O$730=K$730)*($A$850:$A$928=$A966)*($D$850:$D$928=$D966)*($F$850:$O$928)) / SUM(($A$621:$A$677=K$730)*($C$621:$C$677=$A966)*($H$618:$O$618=$D966)*($H$621:$O$677)),0)</f>
        <v>0</v>
      </c>
      <c r="L966" s="1062">
        <f t="shared" si="238"/>
        <v>0</v>
      </c>
      <c r="M966" s="1062">
        <f t="array" ref="M966">IFERROR(SUM(($F$730:$O$730=M$730)*($A$850:$A$928=$A966)*($D$850:$D$928=$D966)*($F$850:$O$928)) / SUM(($A$621:$A$677=M$730)*($C$621:$C$677=$A966)*($H$618:$O$618=$D966)*($H$621:$O$677)),0)</f>
        <v>0</v>
      </c>
      <c r="N966" s="1062">
        <f t="shared" si="239"/>
        <v>0</v>
      </c>
      <c r="O966" s="1062">
        <f t="array" ref="O966">IFERROR(SUM(($F$730:$O$730=O$730)*($A$850:$A$928=$A966)*($D$850:$D$928=$D966)*($F$850:$O$928)) / SUM(($A$621:$A$677=O$730)*($C$621:$C$677=$A966)*($H$618:$O$618=$D966)*($H$621:$O$677)),0)</f>
        <v>0</v>
      </c>
      <c r="Q966" s="670"/>
      <c r="R966" s="670"/>
      <c r="S966" s="670"/>
      <c r="T966" s="670"/>
      <c r="U966" s="670"/>
      <c r="V966" s="670"/>
      <c r="W966" s="670"/>
      <c r="X966" s="670"/>
      <c r="Y966" s="670"/>
    </row>
    <row r="967" spans="1:25" s="17" customFormat="1">
      <c r="A967" s="19" t="str">
        <f t="shared" si="235"/>
        <v>NF</v>
      </c>
      <c r="B967" s="347" t="str">
        <f>INDEX(EF[UK Vector],MATCH(D967,EF[SATIM Code],0))</f>
        <v>V.01</v>
      </c>
      <c r="C967" s="19" t="str">
        <f>INDEX(Vectors[Description], MATCH($B967, Vectors[Code], 0))</f>
        <v>Electricity (delivered to end user)</v>
      </c>
      <c r="D967" s="656" t="s">
        <v>879</v>
      </c>
      <c r="E967" s="303"/>
      <c r="F967" s="1062">
        <f t="array" ref="F967">IFERROR(SUM(($F$730:$O$730=F$730)*($A$850:$A$928=$A967)*($D$850:$D$928=$D967)*($F$850:$O$928)) / SUM(($A$621:$A$677=F$730)*($C$621:$C$677=$A967)*($H$618:$O$618=$D967)*($H$621:$O$677)),0)</f>
        <v>0</v>
      </c>
      <c r="G967" s="1062">
        <f t="array" ref="G967">IFERROR(SUM(($F$730:$O$730=G$730)*($A$850:$A$928=$A967)*($D$850:$D$928=$D967)*($F$850:$O$928)) / SUM(($A$621:$A$677=G$730)*($C$621:$C$677=$A967)*($H$618:$O$618=$D967)*($H$621:$O$677)),0)</f>
        <v>0</v>
      </c>
      <c r="H967" s="1062">
        <f t="shared" si="236"/>
        <v>0</v>
      </c>
      <c r="I967" s="1062">
        <f t="array" ref="I967">IFERROR(SUM(($F$730:$O$730=I$730)*($A$850:$A$928=$A967)*($D$850:$D$928=$D967)*($F$850:$O$928)) / SUM(($A$621:$A$677=I$730)*($C$621:$C$677=$A967)*($H$618:$O$618=$D967)*($H$621:$O$677)),0)</f>
        <v>0</v>
      </c>
      <c r="J967" s="1062">
        <f t="shared" si="237"/>
        <v>0</v>
      </c>
      <c r="K967" s="1062">
        <f t="array" ref="K967">IFERROR(SUM(($F$730:$O$730=K$730)*($A$850:$A$928=$A967)*($D$850:$D$928=$D967)*($F$850:$O$928)) / SUM(($A$621:$A$677=K$730)*($C$621:$C$677=$A967)*($H$618:$O$618=$D967)*($H$621:$O$677)),0)</f>
        <v>0</v>
      </c>
      <c r="L967" s="1062">
        <f t="shared" si="238"/>
        <v>0</v>
      </c>
      <c r="M967" s="1062">
        <f t="array" ref="M967">IFERROR(SUM(($F$730:$O$730=M$730)*($A$850:$A$928=$A967)*($D$850:$D$928=$D967)*($F$850:$O$928)) / SUM(($A$621:$A$677=M$730)*($C$621:$C$677=$A967)*($H$618:$O$618=$D967)*($H$621:$O$677)),0)</f>
        <v>0</v>
      </c>
      <c r="N967" s="1062">
        <f t="shared" si="239"/>
        <v>0</v>
      </c>
      <c r="O967" s="1062">
        <f t="array" ref="O967">IFERROR(SUM(($F$730:$O$730=O$730)*($A$850:$A$928=$A967)*($D$850:$D$928=$D967)*($F$850:$O$928)) / SUM(($A$621:$A$677=O$730)*($C$621:$C$677=$A967)*($H$618:$O$618=$D967)*($H$621:$O$677)),0)</f>
        <v>0</v>
      </c>
      <c r="Q967" s="670"/>
      <c r="R967" s="670"/>
      <c r="S967" s="670"/>
      <c r="T967" s="670"/>
      <c r="U967" s="670"/>
      <c r="V967" s="670"/>
      <c r="W967" s="670"/>
      <c r="X967" s="670"/>
      <c r="Y967" s="670"/>
    </row>
    <row r="968" spans="1:25" s="17" customFormat="1">
      <c r="A968" s="19" t="str">
        <f t="shared" si="235"/>
        <v>NF</v>
      </c>
      <c r="B968" s="347" t="str">
        <f>INDEX(EF[UK Vector],MATCH(D968,EF[SATIM Code],0))</f>
        <v>V.09</v>
      </c>
      <c r="C968" s="19" t="str">
        <f>INDEX(Vectors[Description], MATCH($B968, Vectors[Code], 0))</f>
        <v>Dry biomass and waste</v>
      </c>
      <c r="D968" s="656" t="s">
        <v>888</v>
      </c>
      <c r="E968" s="303"/>
      <c r="F968" s="1062">
        <f t="array" ref="F968">IFERROR(SUM(($F$730:$O$730=F$730)*($A$850:$A$928=$A968)*($D$850:$D$928=$D968)*($F$850:$O$928)) / SUM(($A$621:$A$677=F$730)*($C$621:$C$677=$A968)*($H$618:$O$618=$D968)*($H$621:$O$677)),0)</f>
        <v>0</v>
      </c>
      <c r="G968" s="1062">
        <f t="array" ref="G968">IFERROR(SUM(($F$730:$O$730=G$730)*($A$850:$A$928=$A968)*($D$850:$D$928=$D968)*($F$850:$O$928)) / SUM(($A$621:$A$677=G$730)*($C$621:$C$677=$A968)*($H$618:$O$618=$D968)*($H$621:$O$677)),0)</f>
        <v>0</v>
      </c>
      <c r="H968" s="1062">
        <f t="shared" si="236"/>
        <v>0</v>
      </c>
      <c r="I968" s="1062">
        <f t="array" ref="I968">IFERROR(SUM(($F$730:$O$730=I$730)*($A$850:$A$928=$A968)*($D$850:$D$928=$D968)*($F$850:$O$928)) / SUM(($A$621:$A$677=I$730)*($C$621:$C$677=$A968)*($H$618:$O$618=$D968)*($H$621:$O$677)),0)</f>
        <v>0</v>
      </c>
      <c r="J968" s="1062">
        <f t="shared" si="237"/>
        <v>0</v>
      </c>
      <c r="K968" s="1062">
        <f t="array" ref="K968">IFERROR(SUM(($F$730:$O$730=K$730)*($A$850:$A$928=$A968)*($D$850:$D$928=$D968)*($F$850:$O$928)) / SUM(($A$621:$A$677=K$730)*($C$621:$C$677=$A968)*($H$618:$O$618=$D968)*($H$621:$O$677)),0)</f>
        <v>0</v>
      </c>
      <c r="L968" s="1062">
        <f t="shared" si="238"/>
        <v>0</v>
      </c>
      <c r="M968" s="1062">
        <f t="array" ref="M968">IFERROR(SUM(($F$730:$O$730=M$730)*($A$850:$A$928=$A968)*($D$850:$D$928=$D968)*($F$850:$O$928)) / SUM(($A$621:$A$677=M$730)*($C$621:$C$677=$A968)*($H$618:$O$618=$D968)*($H$621:$O$677)),0)</f>
        <v>0</v>
      </c>
      <c r="N968" s="1062">
        <f t="shared" si="239"/>
        <v>0</v>
      </c>
      <c r="O968" s="1062">
        <f t="array" ref="O968">IFERROR(SUM(($F$730:$O$730=O$730)*($A$850:$A$928=$A968)*($D$850:$D$928=$D968)*($F$850:$O$928)) / SUM(($A$621:$A$677=O$730)*($C$621:$C$677=$A968)*($H$618:$O$618=$D968)*($H$621:$O$677)),0)</f>
        <v>0</v>
      </c>
      <c r="Q968" s="670"/>
      <c r="R968" s="670"/>
      <c r="S968" s="670"/>
      <c r="T968" s="670"/>
      <c r="U968" s="670"/>
      <c r="V968" s="670"/>
      <c r="W968" s="670"/>
      <c r="X968" s="670"/>
      <c r="Y968" s="670"/>
    </row>
    <row r="969" spans="1:25" s="17" customFormat="1">
      <c r="A969" s="19" t="str">
        <f t="shared" si="235"/>
        <v>NF</v>
      </c>
      <c r="B969" s="347" t="str">
        <f>INDEX(EF[UK Vector],MATCH(D969,EF[SATIM Code],0))</f>
        <v>V.09</v>
      </c>
      <c r="C969" s="19" t="str">
        <f>INDEX(Vectors[Description], MATCH($B969, Vectors[Code], 0))</f>
        <v>Dry biomass and waste</v>
      </c>
      <c r="D969" s="656" t="s">
        <v>889</v>
      </c>
      <c r="E969" s="303"/>
      <c r="F969" s="1062">
        <f t="array" ref="F969">IFERROR(SUM(($F$730:$O$730=F$730)*($A$850:$A$928=$A969)*($D$850:$D$928=$D969)*($F$850:$O$928)) / SUM(($A$621:$A$677=F$730)*($C$621:$C$677=$A969)*($H$618:$O$618=$D969)*($H$621:$O$677)),0)</f>
        <v>0</v>
      </c>
      <c r="G969" s="1062">
        <f t="array" ref="G969">IFERROR(SUM(($F$730:$O$730=G$730)*($A$850:$A$928=$A969)*($D$850:$D$928=$D969)*($F$850:$O$928)) / SUM(($A$621:$A$677=G$730)*($C$621:$C$677=$A969)*($H$618:$O$618=$D969)*($H$621:$O$677)),0)</f>
        <v>0</v>
      </c>
      <c r="H969" s="1062">
        <f t="shared" si="236"/>
        <v>0</v>
      </c>
      <c r="I969" s="1062">
        <f t="array" ref="I969">IFERROR(SUM(($F$730:$O$730=I$730)*($A$850:$A$928=$A969)*($D$850:$D$928=$D969)*($F$850:$O$928)) / SUM(($A$621:$A$677=I$730)*($C$621:$C$677=$A969)*($H$618:$O$618=$D969)*($H$621:$O$677)),0)</f>
        <v>0</v>
      </c>
      <c r="J969" s="1062">
        <f t="shared" si="237"/>
        <v>0</v>
      </c>
      <c r="K969" s="1062">
        <f t="array" ref="K969">IFERROR(SUM(($F$730:$O$730=K$730)*($A$850:$A$928=$A969)*($D$850:$D$928=$D969)*($F$850:$O$928)) / SUM(($A$621:$A$677=K$730)*($C$621:$C$677=$A969)*($H$618:$O$618=$D969)*($H$621:$O$677)),0)</f>
        <v>0</v>
      </c>
      <c r="L969" s="1062">
        <f t="shared" si="238"/>
        <v>0</v>
      </c>
      <c r="M969" s="1062">
        <f t="array" ref="M969">IFERROR(SUM(($F$730:$O$730=M$730)*($A$850:$A$928=$A969)*($D$850:$D$928=$D969)*($F$850:$O$928)) / SUM(($A$621:$A$677=M$730)*($C$621:$C$677=$A969)*($H$618:$O$618=$D969)*($H$621:$O$677)),0)</f>
        <v>0</v>
      </c>
      <c r="N969" s="1062">
        <f t="shared" si="239"/>
        <v>0</v>
      </c>
      <c r="O969" s="1062">
        <f t="array" ref="O969">IFERROR(SUM(($F$730:$O$730=O$730)*($A$850:$A$928=$A969)*($D$850:$D$928=$D969)*($F$850:$O$928)) / SUM(($A$621:$A$677=O$730)*($C$621:$C$677=$A969)*($H$618:$O$618=$D969)*($H$621:$O$677)),0)</f>
        <v>0</v>
      </c>
      <c r="Q969" s="670"/>
      <c r="R969" s="670"/>
      <c r="S969" s="670"/>
      <c r="T969" s="670"/>
      <c r="U969" s="670"/>
      <c r="V969" s="670"/>
      <c r="W969" s="670"/>
      <c r="X969" s="670"/>
      <c r="Y969" s="670"/>
    </row>
    <row r="970" spans="1:25" s="17" customFormat="1">
      <c r="A970" s="19" t="str">
        <f t="shared" si="235"/>
        <v>NF</v>
      </c>
      <c r="B970" s="347" t="s">
        <v>897</v>
      </c>
      <c r="C970" s="19" t="str">
        <f>INDEX(Vectors[Description], MATCH($B970, Vectors[Code], 0))</f>
        <v>Other Waste</v>
      </c>
      <c r="D970" s="17" t="s">
        <v>890</v>
      </c>
      <c r="E970" s="303"/>
      <c r="F970" s="1062">
        <f t="array" ref="F970">IFERROR(SUM(($F$730:$O$730=F$730)*($A$850:$A$928=$A970)*($D$850:$D$928=$D970)*($F$850:$O$928)) / SUM(($A$621:$A$677=F$730)*($C$621:$C$677=$A970)*($H$618:$O$618=$D970)*($H$621:$O$677)),0)</f>
        <v>0</v>
      </c>
      <c r="G970" s="1062">
        <f t="array" ref="G970">IFERROR(SUM(($F$730:$O$730=G$730)*($A$850:$A$928=$A970)*($D$850:$D$928=$D970)*($F$850:$O$928)) / SUM(($A$621:$A$677=G$730)*($C$621:$C$677=$A970)*($H$618:$O$618=$D970)*($H$621:$O$677)),0)</f>
        <v>0</v>
      </c>
      <c r="H970" s="1062">
        <f t="shared" si="236"/>
        <v>0</v>
      </c>
      <c r="I970" s="1062">
        <f t="array" ref="I970">IFERROR(SUM(($F$730:$O$730=I$730)*($A$850:$A$928=$A970)*($D$850:$D$928=$D970)*($F$850:$O$928)) / SUM(($A$621:$A$677=I$730)*($C$621:$C$677=$A970)*($H$618:$O$618=$D970)*($H$621:$O$677)),0)</f>
        <v>0</v>
      </c>
      <c r="J970" s="1062">
        <f t="shared" si="237"/>
        <v>0</v>
      </c>
      <c r="K970" s="1062">
        <f t="array" ref="K970">IFERROR(SUM(($F$730:$O$730=K$730)*($A$850:$A$928=$A970)*($D$850:$D$928=$D970)*($F$850:$O$928)) / SUM(($A$621:$A$677=K$730)*($C$621:$C$677=$A970)*($H$618:$O$618=$D970)*($H$621:$O$677)),0)</f>
        <v>0</v>
      </c>
      <c r="L970" s="1062">
        <f t="shared" si="238"/>
        <v>0</v>
      </c>
      <c r="M970" s="1062">
        <f t="array" ref="M970">IFERROR(SUM(($F$730:$O$730=M$730)*($A$850:$A$928=$A970)*($D$850:$D$928=$D970)*($F$850:$O$928)) / SUM(($A$621:$A$677=M$730)*($C$621:$C$677=$A970)*($H$618:$O$618=$D970)*($H$621:$O$677)),0)</f>
        <v>0</v>
      </c>
      <c r="N970" s="1062">
        <f t="shared" si="239"/>
        <v>0</v>
      </c>
      <c r="O970" s="1062">
        <f t="array" ref="O970">IFERROR(SUM(($F$730:$O$730=O$730)*($A$850:$A$928=$A970)*($D$850:$D$928=$D970)*($F$850:$O$928)) / SUM(($A$621:$A$677=O$730)*($C$621:$C$677=$A970)*($H$618:$O$618=$D970)*($H$621:$O$677)),0)</f>
        <v>0</v>
      </c>
      <c r="Q970" s="670"/>
      <c r="R970" s="670"/>
      <c r="S970" s="670"/>
      <c r="T970" s="670"/>
      <c r="U970" s="670"/>
      <c r="V970" s="670"/>
      <c r="W970" s="670"/>
      <c r="X970" s="670"/>
      <c r="Y970" s="670"/>
    </row>
    <row r="971" spans="1:25" s="17" customFormat="1">
      <c r="A971" s="19"/>
      <c r="B971" s="347"/>
      <c r="C971" s="19"/>
      <c r="D971" s="656"/>
      <c r="E971" s="303"/>
      <c r="F971" s="1062">
        <f t="array" ref="F971">IFERROR(SUM(($F$730:$O$730=F$730)*($A$850:$A$928=$A971)*($D$850:$D$928=$D971)*($F$850:$O$928)) / SUM(($A$621:$A$677=F$730)*($C$621:$C$677=$A971)*($H$618:$O$618=$D971)*($H$621:$O$677)),0)</f>
        <v>0</v>
      </c>
      <c r="G971" s="1062">
        <f t="array" ref="G971">IFERROR(SUM(($F$730:$O$730=G$730)*($A$850:$A$928=$A971)*($D$850:$D$928=$D971)*($F$850:$O$928)) / SUM(($A$621:$A$677=G$730)*($C$621:$C$677=$A971)*($H$618:$O$618=$D971)*($H$621:$O$677)),0)</f>
        <v>0</v>
      </c>
      <c r="H971" s="1062">
        <f t="shared" si="236"/>
        <v>0</v>
      </c>
      <c r="I971" s="1062">
        <f t="array" ref="I971">IFERROR(SUM(($F$730:$O$730=I$730)*($A$850:$A$928=$A971)*($D$850:$D$928=$D971)*($F$850:$O$928)) / SUM(($A$621:$A$677=I$730)*($C$621:$C$677=$A971)*($H$618:$O$618=$D971)*($H$621:$O$677)),0)</f>
        <v>0</v>
      </c>
      <c r="J971" s="1062">
        <f t="shared" si="237"/>
        <v>0</v>
      </c>
      <c r="K971" s="1062">
        <f t="array" ref="K971">IFERROR(SUM(($F$730:$O$730=K$730)*($A$850:$A$928=$A971)*($D$850:$D$928=$D971)*($F$850:$O$928)) / SUM(($A$621:$A$677=K$730)*($C$621:$C$677=$A971)*($H$618:$O$618=$D971)*($H$621:$O$677)),0)</f>
        <v>0</v>
      </c>
      <c r="L971" s="1062">
        <f t="shared" si="238"/>
        <v>0</v>
      </c>
      <c r="M971" s="1062">
        <f t="array" ref="M971">IFERROR(SUM(($F$730:$O$730=M$730)*($A$850:$A$928=$A971)*($D$850:$D$928=$D971)*($F$850:$O$928)) / SUM(($A$621:$A$677=M$730)*($C$621:$C$677=$A971)*($H$618:$O$618=$D971)*($H$621:$O$677)),0)</f>
        <v>0</v>
      </c>
      <c r="N971" s="1062">
        <f t="shared" si="239"/>
        <v>0</v>
      </c>
      <c r="O971" s="1062">
        <f t="array" ref="O971">IFERROR(SUM(($F$730:$O$730=O$730)*($A$850:$A$928=$A971)*($D$850:$D$928=$D971)*($F$850:$O$928)) / SUM(($A$621:$A$677=O$730)*($C$621:$C$677=$A971)*($H$618:$O$618=$D971)*($H$621:$O$677)),0)</f>
        <v>0</v>
      </c>
      <c r="Q971" s="670"/>
      <c r="R971" s="670"/>
      <c r="S971" s="670"/>
      <c r="T971" s="670"/>
      <c r="U971" s="670"/>
      <c r="V971" s="670"/>
      <c r="W971" s="670"/>
      <c r="X971" s="670"/>
      <c r="Y971" s="670"/>
    </row>
    <row r="972" spans="1:25" s="17" customFormat="1">
      <c r="B972" s="348"/>
      <c r="C972" s="348" t="str">
        <f>D24</f>
        <v>N.M.M Products  -34</v>
      </c>
      <c r="D972" s="656"/>
      <c r="E972" s="303"/>
      <c r="F972" s="1062">
        <f t="array" ref="F972">IFERROR(SUM(($F$730:$O$730=F$730)*($A$850:$A$928=$A972)*($D$850:$D$928=$D972)*($F$850:$O$928)) / SUM(($A$621:$A$677=F$730)*($C$621:$C$677=$A972)*($H$618:$O$618=$D972)*($H$621:$O$677)),0)</f>
        <v>0</v>
      </c>
      <c r="G972" s="1062">
        <f t="array" ref="G972">IFERROR(SUM(($F$730:$O$730=G$730)*($A$850:$A$928=$A972)*($D$850:$D$928=$D972)*($F$850:$O$928)) / SUM(($A$621:$A$677=G$730)*($C$621:$C$677=$A972)*($H$618:$O$618=$D972)*($H$621:$O$677)),0)</f>
        <v>0</v>
      </c>
      <c r="H972" s="1062">
        <f t="shared" si="236"/>
        <v>0</v>
      </c>
      <c r="I972" s="1062">
        <f t="array" ref="I972">IFERROR(SUM(($F$730:$O$730=I$730)*($A$850:$A$928=$A972)*($D$850:$D$928=$D972)*($F$850:$O$928)) / SUM(($A$621:$A$677=I$730)*($C$621:$C$677=$A972)*($H$618:$O$618=$D972)*($H$621:$O$677)),0)</f>
        <v>0</v>
      </c>
      <c r="J972" s="1062">
        <f t="shared" si="237"/>
        <v>0</v>
      </c>
      <c r="K972" s="1062">
        <f t="array" ref="K972">IFERROR(SUM(($F$730:$O$730=K$730)*($A$850:$A$928=$A972)*($D$850:$D$928=$D972)*($F$850:$O$928)) / SUM(($A$621:$A$677=K$730)*($C$621:$C$677=$A972)*($H$618:$O$618=$D972)*($H$621:$O$677)),0)</f>
        <v>0</v>
      </c>
      <c r="L972" s="1062">
        <f t="shared" si="238"/>
        <v>0</v>
      </c>
      <c r="M972" s="1062">
        <f t="array" ref="M972">IFERROR(SUM(($F$730:$O$730=M$730)*($A$850:$A$928=$A972)*($D$850:$D$928=$D972)*($F$850:$O$928)) / SUM(($A$621:$A$677=M$730)*($C$621:$C$677=$A972)*($H$618:$O$618=$D972)*($H$621:$O$677)),0)</f>
        <v>0</v>
      </c>
      <c r="N972" s="1062">
        <f t="shared" si="239"/>
        <v>0</v>
      </c>
      <c r="O972" s="1062">
        <f t="array" ref="O972">IFERROR(SUM(($F$730:$O$730=O$730)*($A$850:$A$928=$A972)*($D$850:$D$928=$D972)*($F$850:$O$928)) / SUM(($A$621:$A$677=O$730)*($C$621:$C$677=$A972)*($H$618:$O$618=$D972)*($H$621:$O$677)),0)</f>
        <v>0</v>
      </c>
      <c r="Q972" s="670"/>
      <c r="R972" s="670"/>
      <c r="S972" s="670"/>
      <c r="T972" s="670"/>
      <c r="U972" s="670"/>
      <c r="V972" s="670"/>
      <c r="W972" s="670"/>
      <c r="X972" s="670"/>
      <c r="Y972" s="670"/>
    </row>
    <row r="973" spans="1:25" s="17" customFormat="1">
      <c r="A973" s="1438" t="str">
        <f>INDEX($C$20:$C$27,MATCH($C972,$D$20:$D$27,0))</f>
        <v>NM</v>
      </c>
      <c r="B973" s="347" t="str">
        <f>INDEX(EF[UK Vector],MATCH(D973,EF[SATIM Code],0))</f>
        <v>V.03</v>
      </c>
      <c r="C973" s="19" t="str">
        <f>INDEX(Vectors[Description], MATCH($B973, Vectors[Code], 0))</f>
        <v>Solid hydrocarbons</v>
      </c>
      <c r="D973" s="656" t="s">
        <v>882</v>
      </c>
      <c r="E973" s="303"/>
      <c r="F973" s="1062">
        <f t="array" ref="F973">IFERROR(SUM(($F$730:$O$730=F$730)*($A$850:$A$928=$A973)*($D$850:$D$928=$D973)*($F$850:$O$928)) / SUM(($A$621:$A$677=F$730)*($C$621:$C$677=$A973)*($H$618:$O$618=$D973)*($H$621:$O$677)),0)</f>
        <v>53.999999999999993</v>
      </c>
      <c r="G973" s="1062">
        <f t="array" ref="G973">IFERROR(SUM(($F$730:$O$730=G$730)*($A$850:$A$928=$A973)*($D$850:$D$928=$D973)*($F$850:$O$928)) / SUM(($A$621:$A$677=G$730)*($C$621:$C$677=$A973)*($H$618:$O$618=$D973)*($H$621:$O$677)),0)</f>
        <v>63.608126187674387</v>
      </c>
      <c r="H973" s="1062">
        <f t="shared" si="236"/>
        <v>79.39166689017118</v>
      </c>
      <c r="I973" s="1062">
        <f t="array" ref="I973">IFERROR(SUM(($F$730:$O$730=I$730)*($A$850:$A$928=$A973)*($D$850:$D$928=$D973)*($F$850:$O$928)) / SUM(($A$621:$A$677=I$730)*($C$621:$C$677=$A973)*($H$618:$O$618=$D973)*($H$621:$O$677)),0)</f>
        <v>95.175207592667974</v>
      </c>
      <c r="J973" s="1062">
        <f t="shared" si="237"/>
        <v>120.48426931612553</v>
      </c>
      <c r="K973" s="1062">
        <f t="array" ref="K973">IFERROR(SUM(($F$730:$O$730=K$730)*($A$850:$A$928=$A973)*($D$850:$D$928=$D973)*($F$850:$O$928)) / SUM(($A$621:$A$677=K$730)*($C$621:$C$677=$A973)*($H$618:$O$618=$D973)*($H$621:$O$677)),0)</f>
        <v>145.79333103958311</v>
      </c>
      <c r="L973" s="1062">
        <f t="shared" si="238"/>
        <v>186.89627741365311</v>
      </c>
      <c r="M973" s="1062">
        <f t="array" ref="M973">IFERROR(SUM(($F$730:$O$730=M$730)*($A$850:$A$928=$A973)*($D$850:$D$928=$D973)*($F$850:$O$928)) / SUM(($A$621:$A$677=M$730)*($C$621:$C$677=$A973)*($H$618:$O$618=$D973)*($H$621:$O$677)),0)</f>
        <v>227.99922378772311</v>
      </c>
      <c r="N973" s="1062">
        <f t="shared" si="239"/>
        <v>277.33476354293686</v>
      </c>
      <c r="O973" s="1062">
        <f t="array" ref="O973">IFERROR(SUM(($F$730:$O$730=O$730)*($A$850:$A$928=$A973)*($D$850:$D$928=$D973)*($F$850:$O$928)) / SUM(($A$621:$A$677=O$730)*($C$621:$C$677=$A973)*($H$618:$O$618=$D973)*($H$621:$O$677)),0)</f>
        <v>326.6703032981506</v>
      </c>
      <c r="Q973" s="670"/>
      <c r="R973" s="670"/>
      <c r="S973" s="670"/>
      <c r="T973" s="670"/>
      <c r="U973" s="670"/>
      <c r="V973" s="670"/>
      <c r="W973" s="670"/>
      <c r="X973" s="670"/>
      <c r="Y973" s="670"/>
    </row>
    <row r="974" spans="1:25" s="17" customFormat="1">
      <c r="A974" s="19" t="str">
        <f t="shared" ref="A974:A980" si="240">A973</f>
        <v>NM</v>
      </c>
      <c r="B974" s="347" t="str">
        <f>INDEX(EF[UK Vector],MATCH(D974,EF[SATIM Code],0))</f>
        <v>V.05</v>
      </c>
      <c r="C974" s="19" t="str">
        <f>INDEX(Vectors[Description], MATCH($B974, Vectors[Code], 0))</f>
        <v>Gaseous hydrocarbons</v>
      </c>
      <c r="D974" s="656" t="s">
        <v>869</v>
      </c>
      <c r="E974" s="303"/>
      <c r="F974" s="1062">
        <f t="array" ref="F974">IFERROR(SUM(($F$730:$O$730=F$730)*($A$850:$A$928=$A974)*($D$850:$D$928=$D974)*($F$850:$O$928)) / SUM(($A$621:$A$677=F$730)*($C$621:$C$677=$A974)*($H$618:$O$618=$D974)*($H$621:$O$677)),0)</f>
        <v>7.8684999999999992</v>
      </c>
      <c r="G974" s="1062">
        <f t="array" ref="G974">IFERROR(SUM(($F$730:$O$730=G$730)*($A$850:$A$928=$A974)*($D$850:$D$928=$D974)*($F$850:$O$928)) / SUM(($A$621:$A$677=G$730)*($C$621:$C$677=$A974)*($H$618:$O$618=$D974)*($H$621:$O$677)),0)</f>
        <v>9.2685285353280733</v>
      </c>
      <c r="H974" s="1062">
        <f t="shared" si="236"/>
        <v>11.568395017135407</v>
      </c>
      <c r="I974" s="1062">
        <f t="array" ref="I974">IFERROR(SUM(($F$730:$O$730=I$730)*($A$850:$A$928=$A974)*($D$850:$D$928=$D974)*($F$850:$O$928)) / SUM(($A$621:$A$677=I$730)*($C$621:$C$677=$A974)*($H$618:$O$618=$D974)*($H$621:$O$677)),0)</f>
        <v>13.86826149894274</v>
      </c>
      <c r="J974" s="1062">
        <f t="shared" si="237"/>
        <v>17.556119872480256</v>
      </c>
      <c r="K974" s="1062">
        <f t="array" ref="K974">IFERROR(SUM(($F$730:$O$730=K$730)*($A$850:$A$928=$A974)*($D$850:$D$928=$D974)*($F$850:$O$928)) / SUM(($A$621:$A$677=K$730)*($C$621:$C$677=$A974)*($H$618:$O$618=$D974)*($H$621:$O$677)),0)</f>
        <v>21.243978246017772</v>
      </c>
      <c r="L974" s="1062">
        <f t="shared" si="238"/>
        <v>27.233210348691287</v>
      </c>
      <c r="M974" s="1062">
        <f t="array" ref="M974">IFERROR(SUM(($F$730:$O$730=M$730)*($A$850:$A$928=$A974)*($D$850:$D$928=$D974)*($F$850:$O$928)) / SUM(($A$621:$A$677=M$730)*($C$621:$C$677=$A974)*($H$618:$O$618=$D974)*($H$621:$O$677)),0)</f>
        <v>33.222442451364806</v>
      </c>
      <c r="N974" s="1062">
        <f t="shared" si="239"/>
        <v>40.411270128474058</v>
      </c>
      <c r="O974" s="1062">
        <f t="array" ref="O974">IFERROR(SUM(($F$730:$O$730=O$730)*($A$850:$A$928=$A974)*($D$850:$D$928=$D974)*($F$850:$O$928)) / SUM(($A$621:$A$677=O$730)*($C$621:$C$677=$A974)*($H$618:$O$618=$D974)*($H$621:$O$677)),0)</f>
        <v>47.600097805583303</v>
      </c>
      <c r="Q974" s="670"/>
      <c r="R974" s="670"/>
      <c r="S974" s="670"/>
      <c r="T974" s="670"/>
      <c r="U974" s="670"/>
      <c r="V974" s="670"/>
      <c r="W974" s="670"/>
      <c r="X974" s="670"/>
      <c r="Y974" s="670"/>
    </row>
    <row r="975" spans="1:25" s="17" customFormat="1">
      <c r="A975" s="19" t="str">
        <f t="shared" si="240"/>
        <v>NM</v>
      </c>
      <c r="B975" s="347" t="str">
        <f>INDEX(EF[UK Vector],MATCH(D975,EF[SATIM Code],0))</f>
        <v>V.04</v>
      </c>
      <c r="C975" s="19" t="str">
        <f>INDEX(Vectors[Description], MATCH($B975, Vectors[Code], 0))</f>
        <v>Liquid hydrocarbons</v>
      </c>
      <c r="D975" s="656" t="s">
        <v>885</v>
      </c>
      <c r="E975" s="303"/>
      <c r="F975" s="1062">
        <f t="array" ref="F975">IFERROR(SUM(($F$730:$O$730=F$730)*($A$850:$A$928=$A975)*($D$850:$D$928=$D975)*($F$850:$O$928)) / SUM(($A$621:$A$677=F$730)*($C$621:$C$677=$A975)*($H$618:$O$618=$D975)*($H$621:$O$677)),0)</f>
        <v>0</v>
      </c>
      <c r="G975" s="1062">
        <f t="array" ref="G975">IFERROR(SUM(($F$730:$O$730=G$730)*($A$850:$A$928=$A975)*($D$850:$D$928=$D975)*($F$850:$O$928)) / SUM(($A$621:$A$677=G$730)*($C$621:$C$677=$A975)*($H$618:$O$618=$D975)*($H$621:$O$677)),0)</f>
        <v>0</v>
      </c>
      <c r="H975" s="1062">
        <f t="shared" si="236"/>
        <v>0</v>
      </c>
      <c r="I975" s="1062">
        <f t="array" ref="I975">IFERROR(SUM(($F$730:$O$730=I$730)*($A$850:$A$928=$A975)*($D$850:$D$928=$D975)*($F$850:$O$928)) / SUM(($A$621:$A$677=I$730)*($C$621:$C$677=$A975)*($H$618:$O$618=$D975)*($H$621:$O$677)),0)</f>
        <v>0</v>
      </c>
      <c r="J975" s="1062">
        <f t="shared" si="237"/>
        <v>0</v>
      </c>
      <c r="K975" s="1062">
        <f t="array" ref="K975">IFERROR(SUM(($F$730:$O$730=K$730)*($A$850:$A$928=$A975)*($D$850:$D$928=$D975)*($F$850:$O$928)) / SUM(($A$621:$A$677=K$730)*($C$621:$C$677=$A975)*($H$618:$O$618=$D975)*($H$621:$O$677)),0)</f>
        <v>0</v>
      </c>
      <c r="L975" s="1062">
        <f t="shared" si="238"/>
        <v>0</v>
      </c>
      <c r="M975" s="1062">
        <f t="array" ref="M975">IFERROR(SUM(($F$730:$O$730=M$730)*($A$850:$A$928=$A975)*($D$850:$D$928=$D975)*($F$850:$O$928)) / SUM(($A$621:$A$677=M$730)*($C$621:$C$677=$A975)*($H$618:$O$618=$D975)*($H$621:$O$677)),0)</f>
        <v>0</v>
      </c>
      <c r="N975" s="1062">
        <f t="shared" si="239"/>
        <v>0</v>
      </c>
      <c r="O975" s="1062">
        <f t="array" ref="O975">IFERROR(SUM(($F$730:$O$730=O$730)*($A$850:$A$928=$A975)*($D$850:$D$928=$D975)*($F$850:$O$928)) / SUM(($A$621:$A$677=O$730)*($C$621:$C$677=$A975)*($H$618:$O$618=$D975)*($H$621:$O$677)),0)</f>
        <v>0</v>
      </c>
      <c r="Q975" s="670"/>
      <c r="R975" s="670"/>
      <c r="S975" s="670"/>
      <c r="T975" s="670"/>
      <c r="U975" s="670"/>
      <c r="V975" s="670"/>
      <c r="W975" s="670"/>
      <c r="X975" s="670"/>
      <c r="Y975" s="670"/>
    </row>
    <row r="976" spans="1:25" s="17" customFormat="1">
      <c r="A976" s="19" t="str">
        <f t="shared" si="240"/>
        <v>NM</v>
      </c>
      <c r="B976" s="347" t="str">
        <f>INDEX(EF[UK Vector],MATCH(D976,EF[SATIM Code],0))</f>
        <v>V.04</v>
      </c>
      <c r="C976" s="19" t="str">
        <f>INDEX(Vectors[Description], MATCH($B976, Vectors[Code], 0))</f>
        <v>Liquid hydrocarbons</v>
      </c>
      <c r="D976" s="656" t="s">
        <v>887</v>
      </c>
      <c r="E976" s="303"/>
      <c r="F976" s="1062">
        <f t="array" ref="F976">IFERROR(SUM(($F$730:$O$730=F$730)*($A$850:$A$928=$A976)*($D$850:$D$928=$D976)*($F$850:$O$928)) / SUM(($A$621:$A$677=F$730)*($C$621:$C$677=$A976)*($H$618:$O$618=$D976)*($H$621:$O$677)),0)</f>
        <v>0</v>
      </c>
      <c r="G976" s="1062">
        <f t="array" ref="G976">IFERROR(SUM(($F$730:$O$730=G$730)*($A$850:$A$928=$A976)*($D$850:$D$928=$D976)*($F$850:$O$928)) / SUM(($A$621:$A$677=G$730)*($C$621:$C$677=$A976)*($H$618:$O$618=$D976)*($H$621:$O$677)),0)</f>
        <v>0</v>
      </c>
      <c r="H976" s="1062">
        <f t="shared" si="236"/>
        <v>0</v>
      </c>
      <c r="I976" s="1062">
        <f t="array" ref="I976">IFERROR(SUM(($F$730:$O$730=I$730)*($A$850:$A$928=$A976)*($D$850:$D$928=$D976)*($F$850:$O$928)) / SUM(($A$621:$A$677=I$730)*($C$621:$C$677=$A976)*($H$618:$O$618=$D976)*($H$621:$O$677)),0)</f>
        <v>0</v>
      </c>
      <c r="J976" s="1062">
        <f t="shared" si="237"/>
        <v>0</v>
      </c>
      <c r="K976" s="1062">
        <f t="array" ref="K976">IFERROR(SUM(($F$730:$O$730=K$730)*($A$850:$A$928=$A976)*($D$850:$D$928=$D976)*($F$850:$O$928)) / SUM(($A$621:$A$677=K$730)*($C$621:$C$677=$A976)*($H$618:$O$618=$D976)*($H$621:$O$677)),0)</f>
        <v>0</v>
      </c>
      <c r="L976" s="1062">
        <f t="shared" si="238"/>
        <v>0</v>
      </c>
      <c r="M976" s="1062">
        <f t="array" ref="M976">IFERROR(SUM(($F$730:$O$730=M$730)*($A$850:$A$928=$A976)*($D$850:$D$928=$D976)*($F$850:$O$928)) / SUM(($A$621:$A$677=M$730)*($C$621:$C$677=$A976)*($H$618:$O$618=$D976)*($H$621:$O$677)),0)</f>
        <v>0</v>
      </c>
      <c r="N976" s="1062">
        <f t="shared" si="239"/>
        <v>0</v>
      </c>
      <c r="O976" s="1062">
        <f t="array" ref="O976">IFERROR(SUM(($F$730:$O$730=O$730)*($A$850:$A$928=$A976)*($D$850:$D$928=$D976)*($F$850:$O$928)) / SUM(($A$621:$A$677=O$730)*($C$621:$C$677=$A976)*($H$618:$O$618=$D976)*($H$621:$O$677)),0)</f>
        <v>0</v>
      </c>
      <c r="Q976" s="670"/>
      <c r="R976" s="670"/>
      <c r="S976" s="670"/>
      <c r="T976" s="670"/>
      <c r="U976" s="670"/>
      <c r="V976" s="670"/>
      <c r="W976" s="670"/>
      <c r="X976" s="670"/>
      <c r="Y976" s="670"/>
    </row>
    <row r="977" spans="1:25" s="17" customFormat="1">
      <c r="A977" s="19" t="str">
        <f t="shared" si="240"/>
        <v>NM</v>
      </c>
      <c r="B977" s="347" t="str">
        <f>INDEX(EF[UK Vector],MATCH(D977,EF[SATIM Code],0))</f>
        <v>V.01</v>
      </c>
      <c r="C977" s="19" t="str">
        <f>INDEX(Vectors[Description], MATCH($B977, Vectors[Code], 0))</f>
        <v>Electricity (delivered to end user)</v>
      </c>
      <c r="D977" s="656" t="s">
        <v>879</v>
      </c>
      <c r="E977" s="303"/>
      <c r="F977" s="1062">
        <f t="array" ref="F977">IFERROR(SUM(($F$730:$O$730=F$730)*($A$850:$A$928=$A977)*($D$850:$D$928=$D977)*($F$850:$O$928)) / SUM(($A$621:$A$677=F$730)*($C$621:$C$677=$A977)*($H$618:$O$618=$D977)*($H$621:$O$677)),0)</f>
        <v>0</v>
      </c>
      <c r="G977" s="1062">
        <f t="array" ref="G977">IFERROR(SUM(($F$730:$O$730=G$730)*($A$850:$A$928=$A977)*($D$850:$D$928=$D977)*($F$850:$O$928)) / SUM(($A$621:$A$677=G$730)*($C$621:$C$677=$A977)*($H$618:$O$618=$D977)*($H$621:$O$677)),0)</f>
        <v>0</v>
      </c>
      <c r="H977" s="1062">
        <f t="shared" si="236"/>
        <v>0</v>
      </c>
      <c r="I977" s="1062">
        <f t="array" ref="I977">IFERROR(SUM(($F$730:$O$730=I$730)*($A$850:$A$928=$A977)*($D$850:$D$928=$D977)*($F$850:$O$928)) / SUM(($A$621:$A$677=I$730)*($C$621:$C$677=$A977)*($H$618:$O$618=$D977)*($H$621:$O$677)),0)</f>
        <v>0</v>
      </c>
      <c r="J977" s="1062">
        <f t="shared" si="237"/>
        <v>0</v>
      </c>
      <c r="K977" s="1062">
        <f t="array" ref="K977">IFERROR(SUM(($F$730:$O$730=K$730)*($A$850:$A$928=$A977)*($D$850:$D$928=$D977)*($F$850:$O$928)) / SUM(($A$621:$A$677=K$730)*($C$621:$C$677=$A977)*($H$618:$O$618=$D977)*($H$621:$O$677)),0)</f>
        <v>0</v>
      </c>
      <c r="L977" s="1062">
        <f t="shared" si="238"/>
        <v>0</v>
      </c>
      <c r="M977" s="1062">
        <f t="array" ref="M977">IFERROR(SUM(($F$730:$O$730=M$730)*($A$850:$A$928=$A977)*($D$850:$D$928=$D977)*($F$850:$O$928)) / SUM(($A$621:$A$677=M$730)*($C$621:$C$677=$A977)*($H$618:$O$618=$D977)*($H$621:$O$677)),0)</f>
        <v>0</v>
      </c>
      <c r="N977" s="1062">
        <f t="shared" si="239"/>
        <v>0</v>
      </c>
      <c r="O977" s="1062">
        <f t="array" ref="O977">IFERROR(SUM(($F$730:$O$730=O$730)*($A$850:$A$928=$A977)*($D$850:$D$928=$D977)*($F$850:$O$928)) / SUM(($A$621:$A$677=O$730)*($C$621:$C$677=$A977)*($H$618:$O$618=$D977)*($H$621:$O$677)),0)</f>
        <v>0</v>
      </c>
      <c r="Q977" s="670"/>
      <c r="R977" s="670"/>
      <c r="S977" s="670"/>
      <c r="T977" s="670"/>
      <c r="U977" s="670"/>
      <c r="V977" s="670"/>
      <c r="W977" s="670"/>
      <c r="X977" s="670"/>
      <c r="Y977" s="670"/>
    </row>
    <row r="978" spans="1:25" s="17" customFormat="1">
      <c r="A978" s="19" t="str">
        <f t="shared" si="240"/>
        <v>NM</v>
      </c>
      <c r="B978" s="347" t="str">
        <f>INDEX(EF[UK Vector],MATCH(D978,EF[SATIM Code],0))</f>
        <v>V.09</v>
      </c>
      <c r="C978" s="19" t="str">
        <f>INDEX(Vectors[Description], MATCH($B978, Vectors[Code], 0))</f>
        <v>Dry biomass and waste</v>
      </c>
      <c r="D978" s="656" t="s">
        <v>888</v>
      </c>
      <c r="E978" s="303"/>
      <c r="F978" s="1062">
        <f t="array" ref="F978">IFERROR(SUM(($F$730:$O$730=F$730)*($A$850:$A$928=$A978)*($D$850:$D$928=$D978)*($F$850:$O$928)) / SUM(($A$621:$A$677=F$730)*($C$621:$C$677=$A978)*($H$618:$O$618=$D978)*($H$621:$O$677)),0)</f>
        <v>0</v>
      </c>
      <c r="G978" s="1062">
        <f t="array" ref="G978">IFERROR(SUM(($F$730:$O$730=G$730)*($A$850:$A$928=$A978)*($D$850:$D$928=$D978)*($F$850:$O$928)) / SUM(($A$621:$A$677=G$730)*($C$621:$C$677=$A978)*($H$618:$O$618=$D978)*($H$621:$O$677)),0)</f>
        <v>0</v>
      </c>
      <c r="H978" s="1062">
        <f t="shared" si="236"/>
        <v>0</v>
      </c>
      <c r="I978" s="1062">
        <f t="array" ref="I978">IFERROR(SUM(($F$730:$O$730=I$730)*($A$850:$A$928=$A978)*($D$850:$D$928=$D978)*($F$850:$O$928)) / SUM(($A$621:$A$677=I$730)*($C$621:$C$677=$A978)*($H$618:$O$618=$D978)*($H$621:$O$677)),0)</f>
        <v>0</v>
      </c>
      <c r="J978" s="1062">
        <f t="shared" si="237"/>
        <v>0</v>
      </c>
      <c r="K978" s="1062">
        <f t="array" ref="K978">IFERROR(SUM(($F$730:$O$730=K$730)*($A$850:$A$928=$A978)*($D$850:$D$928=$D978)*($F$850:$O$928)) / SUM(($A$621:$A$677=K$730)*($C$621:$C$677=$A978)*($H$618:$O$618=$D978)*($H$621:$O$677)),0)</f>
        <v>0</v>
      </c>
      <c r="L978" s="1062">
        <f t="shared" si="238"/>
        <v>0</v>
      </c>
      <c r="M978" s="1062">
        <f t="array" ref="M978">IFERROR(SUM(($F$730:$O$730=M$730)*($A$850:$A$928=$A978)*($D$850:$D$928=$D978)*($F$850:$O$928)) / SUM(($A$621:$A$677=M$730)*($C$621:$C$677=$A978)*($H$618:$O$618=$D978)*($H$621:$O$677)),0)</f>
        <v>0</v>
      </c>
      <c r="N978" s="1062">
        <f t="shared" si="239"/>
        <v>0</v>
      </c>
      <c r="O978" s="1062">
        <f t="array" ref="O978">IFERROR(SUM(($F$730:$O$730=O$730)*($A$850:$A$928=$A978)*($D$850:$D$928=$D978)*($F$850:$O$928)) / SUM(($A$621:$A$677=O$730)*($C$621:$C$677=$A978)*($H$618:$O$618=$D978)*($H$621:$O$677)),0)</f>
        <v>0</v>
      </c>
      <c r="Q978" s="670"/>
      <c r="R978" s="670"/>
      <c r="S978" s="670"/>
      <c r="T978" s="670"/>
      <c r="U978" s="670"/>
      <c r="V978" s="670"/>
      <c r="W978" s="670"/>
      <c r="X978" s="670"/>
      <c r="Y978" s="670"/>
    </row>
    <row r="979" spans="1:25" s="17" customFormat="1">
      <c r="A979" s="19" t="str">
        <f t="shared" si="240"/>
        <v>NM</v>
      </c>
      <c r="B979" s="347" t="str">
        <f>INDEX(EF[UK Vector],MATCH(D979,EF[SATIM Code],0))</f>
        <v>V.09</v>
      </c>
      <c r="C979" s="19" t="str">
        <f>INDEX(Vectors[Description], MATCH($B979, Vectors[Code], 0))</f>
        <v>Dry biomass and waste</v>
      </c>
      <c r="D979" s="656" t="s">
        <v>889</v>
      </c>
      <c r="E979" s="303"/>
      <c r="F979" s="1062">
        <f t="array" ref="F979">IFERROR(SUM(($F$730:$O$730=F$730)*($A$850:$A$928=$A979)*($D$850:$D$928=$D979)*($F$850:$O$928)) / SUM(($A$621:$A$677=F$730)*($C$621:$C$677=$A979)*($H$618:$O$618=$D979)*($H$621:$O$677)),0)</f>
        <v>0</v>
      </c>
      <c r="G979" s="1062">
        <f t="array" ref="G979">IFERROR(SUM(($F$730:$O$730=G$730)*($A$850:$A$928=$A979)*($D$850:$D$928=$D979)*($F$850:$O$928)) / SUM(($A$621:$A$677=G$730)*($C$621:$C$677=$A979)*($H$618:$O$618=$D979)*($H$621:$O$677)),0)</f>
        <v>0</v>
      </c>
      <c r="H979" s="1062">
        <f t="shared" si="236"/>
        <v>0</v>
      </c>
      <c r="I979" s="1062">
        <f t="array" ref="I979">IFERROR(SUM(($F$730:$O$730=I$730)*($A$850:$A$928=$A979)*($D$850:$D$928=$D979)*($F$850:$O$928)) / SUM(($A$621:$A$677=I$730)*($C$621:$C$677=$A979)*($H$618:$O$618=$D979)*($H$621:$O$677)),0)</f>
        <v>0</v>
      </c>
      <c r="J979" s="1062">
        <f t="shared" si="237"/>
        <v>0</v>
      </c>
      <c r="K979" s="1062">
        <f t="array" ref="K979">IFERROR(SUM(($F$730:$O$730=K$730)*($A$850:$A$928=$A979)*($D$850:$D$928=$D979)*($F$850:$O$928)) / SUM(($A$621:$A$677=K$730)*($C$621:$C$677=$A979)*($H$618:$O$618=$D979)*($H$621:$O$677)),0)</f>
        <v>0</v>
      </c>
      <c r="L979" s="1062">
        <f t="shared" si="238"/>
        <v>0</v>
      </c>
      <c r="M979" s="1062">
        <f t="array" ref="M979">IFERROR(SUM(($F$730:$O$730=M$730)*($A$850:$A$928=$A979)*($D$850:$D$928=$D979)*($F$850:$O$928)) / SUM(($A$621:$A$677=M$730)*($C$621:$C$677=$A979)*($H$618:$O$618=$D979)*($H$621:$O$677)),0)</f>
        <v>0</v>
      </c>
      <c r="N979" s="1062">
        <f t="shared" si="239"/>
        <v>0</v>
      </c>
      <c r="O979" s="1062">
        <f t="array" ref="O979">IFERROR(SUM(($F$730:$O$730=O$730)*($A$850:$A$928=$A979)*($D$850:$D$928=$D979)*($F$850:$O$928)) / SUM(($A$621:$A$677=O$730)*($C$621:$C$677=$A979)*($H$618:$O$618=$D979)*($H$621:$O$677)),0)</f>
        <v>0</v>
      </c>
      <c r="Q979" s="670"/>
      <c r="R979" s="670"/>
      <c r="S979" s="670"/>
      <c r="T979" s="670"/>
      <c r="U979" s="670"/>
      <c r="V979" s="670"/>
      <c r="W979" s="670"/>
      <c r="X979" s="670"/>
      <c r="Y979" s="670"/>
    </row>
    <row r="980" spans="1:25" s="17" customFormat="1">
      <c r="A980" s="19" t="str">
        <f t="shared" si="240"/>
        <v>NM</v>
      </c>
      <c r="B980" s="347" t="s">
        <v>897</v>
      </c>
      <c r="C980" s="19" t="str">
        <f>INDEX(Vectors[Description], MATCH($B980, Vectors[Code], 0))</f>
        <v>Other Waste</v>
      </c>
      <c r="D980" s="17" t="s">
        <v>890</v>
      </c>
      <c r="E980" s="303"/>
      <c r="F980" s="1062">
        <f t="array" ref="F980">IFERROR(SUM(($F$730:$O$730=F$730)*($A$850:$A$928=$A980)*($D$850:$D$928=$D980)*($F$850:$O$928)) / SUM(($A$621:$A$677=F$730)*($C$621:$C$677=$A980)*($H$618:$O$618=$D980)*($H$621:$O$677)),0)</f>
        <v>0</v>
      </c>
      <c r="G980" s="1062">
        <f t="array" ref="G980">IFERROR(SUM(($F$730:$O$730=G$730)*($A$850:$A$928=$A980)*($D$850:$D$928=$D980)*($F$850:$O$928)) / SUM(($A$621:$A$677=G$730)*($C$621:$C$677=$A980)*($H$618:$O$618=$D980)*($H$621:$O$677)),0)</f>
        <v>0</v>
      </c>
      <c r="H980" s="1062">
        <f t="shared" si="236"/>
        <v>0</v>
      </c>
      <c r="I980" s="1062">
        <f t="array" ref="I980">IFERROR(SUM(($F$730:$O$730=I$730)*($A$850:$A$928=$A980)*($D$850:$D$928=$D980)*($F$850:$O$928)) / SUM(($A$621:$A$677=I$730)*($C$621:$C$677=$A980)*($H$618:$O$618=$D980)*($H$621:$O$677)),0)</f>
        <v>0</v>
      </c>
      <c r="J980" s="1062">
        <f t="shared" si="237"/>
        <v>0</v>
      </c>
      <c r="K980" s="1062">
        <f t="array" ref="K980">IFERROR(SUM(($F$730:$O$730=K$730)*($A$850:$A$928=$A980)*($D$850:$D$928=$D980)*($F$850:$O$928)) / SUM(($A$621:$A$677=K$730)*($C$621:$C$677=$A980)*($H$618:$O$618=$D980)*($H$621:$O$677)),0)</f>
        <v>0</v>
      </c>
      <c r="L980" s="1062">
        <f t="shared" si="238"/>
        <v>0</v>
      </c>
      <c r="M980" s="1062">
        <f t="array" ref="M980">IFERROR(SUM(($F$730:$O$730=M$730)*($A$850:$A$928=$A980)*($D$850:$D$928=$D980)*($F$850:$O$928)) / SUM(($A$621:$A$677=M$730)*($C$621:$C$677=$A980)*($H$618:$O$618=$D980)*($H$621:$O$677)),0)</f>
        <v>0</v>
      </c>
      <c r="N980" s="1062">
        <f t="shared" si="239"/>
        <v>0</v>
      </c>
      <c r="O980" s="1062">
        <f t="array" ref="O980">IFERROR(SUM(($F$730:$O$730=O$730)*($A$850:$A$928=$A980)*($D$850:$D$928=$D980)*($F$850:$O$928)) / SUM(($A$621:$A$677=O$730)*($C$621:$C$677=$A980)*($H$618:$O$618=$D980)*($H$621:$O$677)),0)</f>
        <v>0</v>
      </c>
      <c r="Q980" s="670"/>
      <c r="R980" s="670"/>
      <c r="S980" s="670"/>
      <c r="T980" s="670"/>
      <c r="U980" s="670"/>
      <c r="V980" s="670"/>
      <c r="W980" s="670"/>
      <c r="X980" s="670"/>
      <c r="Y980" s="670"/>
    </row>
    <row r="981" spans="1:25" s="17" customFormat="1">
      <c r="A981" s="19"/>
      <c r="B981" s="347"/>
      <c r="C981" s="19"/>
      <c r="D981" s="656"/>
      <c r="E981" s="303"/>
      <c r="F981" s="1062">
        <f t="array" ref="F981">IFERROR(SUM(($F$730:$O$730=F$730)*($A$850:$A$928=$A981)*($D$850:$D$928=$D981)*($F$850:$O$928)) / SUM(($A$621:$A$677=F$730)*($C$621:$C$677=$A981)*($H$618:$O$618=$D981)*($H$621:$O$677)),0)</f>
        <v>0</v>
      </c>
      <c r="G981" s="1062">
        <f t="array" ref="G981">IFERROR(SUM(($F$730:$O$730=G$730)*($A$850:$A$928=$A981)*($D$850:$D$928=$D981)*($F$850:$O$928)) / SUM(($A$621:$A$677=G$730)*($C$621:$C$677=$A981)*($H$618:$O$618=$D981)*($H$621:$O$677)),0)</f>
        <v>0</v>
      </c>
      <c r="H981" s="1062">
        <f t="shared" si="236"/>
        <v>0</v>
      </c>
      <c r="I981" s="1062">
        <f t="array" ref="I981">IFERROR(SUM(($F$730:$O$730=I$730)*($A$850:$A$928=$A981)*($D$850:$D$928=$D981)*($F$850:$O$928)) / SUM(($A$621:$A$677=I$730)*($C$621:$C$677=$A981)*($H$618:$O$618=$D981)*($H$621:$O$677)),0)</f>
        <v>0</v>
      </c>
      <c r="J981" s="1062">
        <f t="shared" si="237"/>
        <v>0</v>
      </c>
      <c r="K981" s="1062">
        <f t="array" ref="K981">IFERROR(SUM(($F$730:$O$730=K$730)*($A$850:$A$928=$A981)*($D$850:$D$928=$D981)*($F$850:$O$928)) / SUM(($A$621:$A$677=K$730)*($C$621:$C$677=$A981)*($H$618:$O$618=$D981)*($H$621:$O$677)),0)</f>
        <v>0</v>
      </c>
      <c r="L981" s="1062">
        <f t="shared" si="238"/>
        <v>0</v>
      </c>
      <c r="M981" s="1062">
        <f t="array" ref="M981">IFERROR(SUM(($F$730:$O$730=M$730)*($A$850:$A$928=$A981)*($D$850:$D$928=$D981)*($F$850:$O$928)) / SUM(($A$621:$A$677=M$730)*($C$621:$C$677=$A981)*($H$618:$O$618=$D981)*($H$621:$O$677)),0)</f>
        <v>0</v>
      </c>
      <c r="N981" s="1062">
        <f t="shared" si="239"/>
        <v>0</v>
      </c>
      <c r="O981" s="1062">
        <f t="array" ref="O981">IFERROR(SUM(($F$730:$O$730=O$730)*($A$850:$A$928=$A981)*($D$850:$D$928=$D981)*($F$850:$O$928)) / SUM(($A$621:$A$677=O$730)*($C$621:$C$677=$A981)*($H$618:$O$618=$D981)*($H$621:$O$677)),0)</f>
        <v>0</v>
      </c>
      <c r="Q981" s="670"/>
      <c r="R981" s="670"/>
      <c r="S981" s="670"/>
      <c r="T981" s="670"/>
      <c r="U981" s="670"/>
      <c r="V981" s="670"/>
      <c r="W981" s="670"/>
      <c r="X981" s="670"/>
      <c r="Y981" s="670"/>
    </row>
    <row r="982" spans="1:25" s="17" customFormat="1">
      <c r="B982" s="348"/>
      <c r="C982" s="348" t="str">
        <f>D25</f>
        <v>Food, Beverage &amp; Tabacco  - 30</v>
      </c>
      <c r="D982" s="656"/>
      <c r="E982" s="303"/>
      <c r="F982" s="1062">
        <f t="array" ref="F982">IFERROR(SUM(($F$730:$O$730=F$730)*($A$850:$A$928=$A982)*($D$850:$D$928=$D982)*($F$850:$O$928)) / SUM(($A$621:$A$677=F$730)*($C$621:$C$677=$A982)*($H$618:$O$618=$D982)*($H$621:$O$677)),0)</f>
        <v>0</v>
      </c>
      <c r="G982" s="1062">
        <f t="array" ref="G982">IFERROR(SUM(($F$730:$O$730=G$730)*($A$850:$A$928=$A982)*($D$850:$D$928=$D982)*($F$850:$O$928)) / SUM(($A$621:$A$677=G$730)*($C$621:$C$677=$A982)*($H$618:$O$618=$D982)*($H$621:$O$677)),0)</f>
        <v>0</v>
      </c>
      <c r="H982" s="1062">
        <f t="shared" si="236"/>
        <v>0</v>
      </c>
      <c r="I982" s="1062">
        <f t="array" ref="I982">IFERROR(SUM(($F$730:$O$730=I$730)*($A$850:$A$928=$A982)*($D$850:$D$928=$D982)*($F$850:$O$928)) / SUM(($A$621:$A$677=I$730)*($C$621:$C$677=$A982)*($H$618:$O$618=$D982)*($H$621:$O$677)),0)</f>
        <v>0</v>
      </c>
      <c r="J982" s="1062">
        <f t="shared" si="237"/>
        <v>0</v>
      </c>
      <c r="K982" s="1062">
        <f t="array" ref="K982">IFERROR(SUM(($F$730:$O$730=K$730)*($A$850:$A$928=$A982)*($D$850:$D$928=$D982)*($F$850:$O$928)) / SUM(($A$621:$A$677=K$730)*($C$621:$C$677=$A982)*($H$618:$O$618=$D982)*($H$621:$O$677)),0)</f>
        <v>0</v>
      </c>
      <c r="L982" s="1062">
        <f t="shared" si="238"/>
        <v>0</v>
      </c>
      <c r="M982" s="1062">
        <f t="array" ref="M982">IFERROR(SUM(($F$730:$O$730=M$730)*($A$850:$A$928=$A982)*($D$850:$D$928=$D982)*($F$850:$O$928)) / SUM(($A$621:$A$677=M$730)*($C$621:$C$677=$A982)*($H$618:$O$618=$D982)*($H$621:$O$677)),0)</f>
        <v>0</v>
      </c>
      <c r="N982" s="1062">
        <f t="shared" si="239"/>
        <v>0</v>
      </c>
      <c r="O982" s="1062">
        <f t="array" ref="O982">IFERROR(SUM(($F$730:$O$730=O$730)*($A$850:$A$928=$A982)*($D$850:$D$928=$D982)*($F$850:$O$928)) / SUM(($A$621:$A$677=O$730)*($C$621:$C$677=$A982)*($H$618:$O$618=$D982)*($H$621:$O$677)),0)</f>
        <v>0</v>
      </c>
      <c r="Q982" s="670"/>
      <c r="R982" s="670"/>
      <c r="S982" s="670"/>
      <c r="T982" s="670"/>
      <c r="U982" s="670"/>
      <c r="V982" s="670"/>
      <c r="W982" s="670"/>
      <c r="X982" s="670"/>
      <c r="Y982" s="670"/>
    </row>
    <row r="983" spans="1:25" s="17" customFormat="1">
      <c r="A983" s="1438" t="str">
        <f>INDEX($C$20:$C$27,MATCH($C982,$D$20:$D$27,0))</f>
        <v>FB</v>
      </c>
      <c r="B983" s="347" t="str">
        <f>INDEX(EF[UK Vector],MATCH(D983,EF[SATIM Code],0))</f>
        <v>V.03</v>
      </c>
      <c r="C983" s="19" t="str">
        <f>INDEX(Vectors[Description], MATCH($B983, Vectors[Code], 0))</f>
        <v>Solid hydrocarbons</v>
      </c>
      <c r="D983" s="656" t="s">
        <v>882</v>
      </c>
      <c r="E983" s="303"/>
      <c r="F983" s="1062">
        <f t="array" ref="F983">IFERROR(SUM(($F$730:$O$730=F$730)*($A$850:$A$928=$A983)*($D$850:$D$928=$D983)*($F$850:$O$928)) / SUM(($A$621:$A$677=F$730)*($C$621:$C$677=$A983)*($H$618:$O$618=$D983)*($H$621:$O$677)),0)</f>
        <v>23.682132519657547</v>
      </c>
      <c r="G983" s="1062">
        <f t="array" ref="G983">IFERROR(SUM(($F$730:$O$730=G$730)*($A$850:$A$928=$A983)*($D$850:$D$928=$D983)*($F$850:$O$928)) / SUM(($A$621:$A$677=G$730)*($C$621:$C$677=$A983)*($H$618:$O$618=$D983)*($H$621:$O$677)),0)</f>
        <v>28.543984785223429</v>
      </c>
      <c r="H983" s="1062">
        <f t="shared" si="236"/>
        <v>37.567252635171492</v>
      </c>
      <c r="I983" s="1062">
        <f t="array" ref="I983">IFERROR(SUM(($F$730:$O$730=I$730)*($A$850:$A$928=$A983)*($D$850:$D$928=$D983)*($F$850:$O$928)) / SUM(($A$621:$A$677=I$730)*($C$621:$C$677=$A983)*($H$618:$O$618=$D983)*($H$621:$O$677)),0)</f>
        <v>46.590520485119555</v>
      </c>
      <c r="J983" s="1062">
        <f t="shared" si="237"/>
        <v>59.87360476194133</v>
      </c>
      <c r="K983" s="1062">
        <f t="array" ref="K983">IFERROR(SUM(($F$730:$O$730=K$730)*($A$850:$A$928=$A983)*($D$850:$D$928=$D983)*($F$850:$O$928)) / SUM(($A$621:$A$677=K$730)*($C$621:$C$677=$A983)*($H$618:$O$618=$D983)*($H$621:$O$677)),0)</f>
        <v>73.156689038763105</v>
      </c>
      <c r="L983" s="1062">
        <f t="shared" si="238"/>
        <v>92.688349265136395</v>
      </c>
      <c r="M983" s="1062">
        <f t="array" ref="M983">IFERROR(SUM(($F$730:$O$730=M$730)*($A$850:$A$928=$A983)*($D$850:$D$928=$D983)*($F$850:$O$928)) / SUM(($A$621:$A$677=M$730)*($C$621:$C$677=$A983)*($H$618:$O$618=$D983)*($H$621:$O$677)),0)</f>
        <v>112.22000949150969</v>
      </c>
      <c r="N983" s="1062">
        <f t="shared" si="239"/>
        <v>134.83563374007591</v>
      </c>
      <c r="O983" s="1062">
        <f t="array" ref="O983">IFERROR(SUM(($F$730:$O$730=O$730)*($A$850:$A$928=$A983)*($D$850:$D$928=$D983)*($F$850:$O$928)) / SUM(($A$621:$A$677=O$730)*($C$621:$C$677=$A983)*($H$618:$O$618=$D983)*($H$621:$O$677)),0)</f>
        <v>157.45125798864211</v>
      </c>
      <c r="Q983" s="670"/>
      <c r="R983" s="670"/>
      <c r="S983" s="670"/>
      <c r="T983" s="670"/>
      <c r="U983" s="670"/>
      <c r="V983" s="670"/>
      <c r="W983" s="670"/>
      <c r="X983" s="670"/>
      <c r="Y983" s="670"/>
    </row>
    <row r="984" spans="1:25" s="17" customFormat="1">
      <c r="A984" s="19" t="str">
        <f t="shared" ref="A984:A990" si="241">A983</f>
        <v>FB</v>
      </c>
      <c r="B984" s="347" t="str">
        <f>INDEX(EF[UK Vector],MATCH(D984,EF[SATIM Code],0))</f>
        <v>V.05</v>
      </c>
      <c r="C984" s="19" t="str">
        <f>INDEX(Vectors[Description], MATCH($B984, Vectors[Code], 0))</f>
        <v>Gaseous hydrocarbons</v>
      </c>
      <c r="D984" s="656" t="s">
        <v>869</v>
      </c>
      <c r="E984" s="303"/>
      <c r="F984" s="1062">
        <f t="array" ref="F984">IFERROR(SUM(($F$730:$O$730=F$730)*($A$850:$A$928=$A984)*($D$850:$D$928=$D984)*($F$850:$O$928)) / SUM(($A$621:$A$677=F$730)*($C$621:$C$677=$A984)*($H$618:$O$618=$D984)*($H$621:$O$677)),0)</f>
        <v>1.0208899534014109</v>
      </c>
      <c r="G984" s="1062">
        <f t="array" ref="G984">IFERROR(SUM(($F$730:$O$730=G$730)*($A$850:$A$928=$A984)*($D$850:$D$928=$D984)*($F$850:$O$928)) / SUM(($A$621:$A$677=G$730)*($C$621:$C$677=$A984)*($H$618:$O$618=$D984)*($H$621:$O$677)),0)</f>
        <v>1.2304748009111599</v>
      </c>
      <c r="H984" s="1062">
        <f t="shared" si="236"/>
        <v>1.6194500541834582</v>
      </c>
      <c r="I984" s="1062">
        <f t="array" ref="I984">IFERROR(SUM(($F$730:$O$730=I$730)*($A$850:$A$928=$A984)*($D$850:$D$928=$D984)*($F$850:$O$928)) / SUM(($A$621:$A$677=I$730)*($C$621:$C$677=$A984)*($H$618:$O$618=$D984)*($H$621:$O$677)),0)</f>
        <v>2.0084253074557563</v>
      </c>
      <c r="J984" s="1062">
        <f t="shared" si="237"/>
        <v>2.5810328324383791</v>
      </c>
      <c r="K984" s="1062">
        <f t="array" ref="K984">IFERROR(SUM(($F$730:$O$730=K$730)*($A$850:$A$928=$A984)*($D$850:$D$928=$D984)*($F$850:$O$928)) / SUM(($A$621:$A$677=K$730)*($C$621:$C$677=$A984)*($H$618:$O$618=$D984)*($H$621:$O$677)),0)</f>
        <v>3.1536403574210023</v>
      </c>
      <c r="L984" s="1062">
        <f t="shared" si="238"/>
        <v>3.995611648722718</v>
      </c>
      <c r="M984" s="1062">
        <f t="array" ref="M984">IFERROR(SUM(($F$730:$O$730=M$730)*($A$850:$A$928=$A984)*($D$850:$D$928=$D984)*($F$850:$O$928)) / SUM(($A$621:$A$677=M$730)*($C$621:$C$677=$A984)*($H$618:$O$618=$D984)*($H$621:$O$677)),0)</f>
        <v>4.8375829400244337</v>
      </c>
      <c r="N984" s="1062">
        <f t="shared" si="239"/>
        <v>5.8124978285421003</v>
      </c>
      <c r="O984" s="1062">
        <f t="array" ref="O984">IFERROR(SUM(($F$730:$O$730=O$730)*($A$850:$A$928=$A984)*($D$850:$D$928=$D984)*($F$850:$O$928)) / SUM(($A$621:$A$677=O$730)*($C$621:$C$677=$A984)*($H$618:$O$618=$D984)*($H$621:$O$677)),0)</f>
        <v>6.7874127170597669</v>
      </c>
      <c r="Q984" s="670"/>
      <c r="R984" s="670"/>
      <c r="S984" s="670"/>
      <c r="T984" s="670"/>
      <c r="U984" s="670"/>
      <c r="V984" s="670"/>
      <c r="W984" s="670"/>
      <c r="X984" s="670"/>
      <c r="Y984" s="670"/>
    </row>
    <row r="985" spans="1:25" s="17" customFormat="1">
      <c r="A985" s="19" t="str">
        <f t="shared" si="241"/>
        <v>FB</v>
      </c>
      <c r="B985" s="347" t="str">
        <f>INDEX(EF[UK Vector],MATCH(D985,EF[SATIM Code],0))</f>
        <v>V.04</v>
      </c>
      <c r="C985" s="19" t="str">
        <f>INDEX(Vectors[Description], MATCH($B985, Vectors[Code], 0))</f>
        <v>Liquid hydrocarbons</v>
      </c>
      <c r="D985" s="656" t="s">
        <v>885</v>
      </c>
      <c r="E985" s="303"/>
      <c r="F985" s="1062">
        <f t="array" ref="F985">IFERROR(SUM(($F$730:$O$730=F$730)*($A$850:$A$928=$A985)*($D$850:$D$928=$D985)*($F$850:$O$928)) / SUM(($A$621:$A$677=F$730)*($C$621:$C$677=$A985)*($H$618:$O$618=$D985)*($H$621:$O$677)),0)</f>
        <v>0</v>
      </c>
      <c r="G985" s="1062">
        <f t="array" ref="G985">IFERROR(SUM(($F$730:$O$730=G$730)*($A$850:$A$928=$A985)*($D$850:$D$928=$D985)*($F$850:$O$928)) / SUM(($A$621:$A$677=G$730)*($C$621:$C$677=$A985)*($H$618:$O$618=$D985)*($H$621:$O$677)),0)</f>
        <v>0</v>
      </c>
      <c r="H985" s="1062">
        <f t="shared" si="236"/>
        <v>0</v>
      </c>
      <c r="I985" s="1062">
        <f t="array" ref="I985">IFERROR(SUM(($F$730:$O$730=I$730)*($A$850:$A$928=$A985)*($D$850:$D$928=$D985)*($F$850:$O$928)) / SUM(($A$621:$A$677=I$730)*($C$621:$C$677=$A985)*($H$618:$O$618=$D985)*($H$621:$O$677)),0)</f>
        <v>0</v>
      </c>
      <c r="J985" s="1062">
        <f t="shared" si="237"/>
        <v>0</v>
      </c>
      <c r="K985" s="1062">
        <f t="array" ref="K985">IFERROR(SUM(($F$730:$O$730=K$730)*($A$850:$A$928=$A985)*($D$850:$D$928=$D985)*($F$850:$O$928)) / SUM(($A$621:$A$677=K$730)*($C$621:$C$677=$A985)*($H$618:$O$618=$D985)*($H$621:$O$677)),0)</f>
        <v>0</v>
      </c>
      <c r="L985" s="1062">
        <f t="shared" si="238"/>
        <v>0</v>
      </c>
      <c r="M985" s="1062">
        <f t="array" ref="M985">IFERROR(SUM(($F$730:$O$730=M$730)*($A$850:$A$928=$A985)*($D$850:$D$928=$D985)*($F$850:$O$928)) / SUM(($A$621:$A$677=M$730)*($C$621:$C$677=$A985)*($H$618:$O$618=$D985)*($H$621:$O$677)),0)</f>
        <v>0</v>
      </c>
      <c r="N985" s="1062">
        <f t="shared" si="239"/>
        <v>0</v>
      </c>
      <c r="O985" s="1062">
        <f t="array" ref="O985">IFERROR(SUM(($F$730:$O$730=O$730)*($A$850:$A$928=$A985)*($D$850:$D$928=$D985)*($F$850:$O$928)) / SUM(($A$621:$A$677=O$730)*($C$621:$C$677=$A985)*($H$618:$O$618=$D985)*($H$621:$O$677)),0)</f>
        <v>0</v>
      </c>
      <c r="Q985" s="670"/>
      <c r="R985" s="670"/>
      <c r="S985" s="670"/>
      <c r="T985" s="670"/>
      <c r="U985" s="670"/>
      <c r="V985" s="670"/>
      <c r="W985" s="670"/>
      <c r="X985" s="670"/>
      <c r="Y985" s="670"/>
    </row>
    <row r="986" spans="1:25" s="17" customFormat="1">
      <c r="A986" s="19" t="str">
        <f t="shared" si="241"/>
        <v>FB</v>
      </c>
      <c r="B986" s="347" t="str">
        <f>INDEX(EF[UK Vector],MATCH(D986,EF[SATIM Code],0))</f>
        <v>V.04</v>
      </c>
      <c r="C986" s="19" t="str">
        <f>INDEX(Vectors[Description], MATCH($B986, Vectors[Code], 0))</f>
        <v>Liquid hydrocarbons</v>
      </c>
      <c r="D986" s="656" t="s">
        <v>887</v>
      </c>
      <c r="E986" s="303"/>
      <c r="F986" s="1062">
        <f t="array" ref="F986">IFERROR(SUM(($F$730:$O$730=F$730)*($A$850:$A$928=$A986)*($D$850:$D$928=$D986)*($F$850:$O$928)) / SUM(($A$621:$A$677=F$730)*($C$621:$C$677=$A986)*($H$618:$O$618=$D986)*($H$621:$O$677)),0)</f>
        <v>0</v>
      </c>
      <c r="G986" s="1062">
        <f t="array" ref="G986">IFERROR(SUM(($F$730:$O$730=G$730)*($A$850:$A$928=$A986)*($D$850:$D$928=$D986)*($F$850:$O$928)) / SUM(($A$621:$A$677=G$730)*($C$621:$C$677=$A986)*($H$618:$O$618=$D986)*($H$621:$O$677)),0)</f>
        <v>0</v>
      </c>
      <c r="H986" s="1062">
        <f t="shared" si="236"/>
        <v>0</v>
      </c>
      <c r="I986" s="1062">
        <f t="array" ref="I986">IFERROR(SUM(($F$730:$O$730=I$730)*($A$850:$A$928=$A986)*($D$850:$D$928=$D986)*($F$850:$O$928)) / SUM(($A$621:$A$677=I$730)*($C$621:$C$677=$A986)*($H$618:$O$618=$D986)*($H$621:$O$677)),0)</f>
        <v>0</v>
      </c>
      <c r="J986" s="1062">
        <f t="shared" si="237"/>
        <v>0</v>
      </c>
      <c r="K986" s="1062">
        <f t="array" ref="K986">IFERROR(SUM(($F$730:$O$730=K$730)*($A$850:$A$928=$A986)*($D$850:$D$928=$D986)*($F$850:$O$928)) / SUM(($A$621:$A$677=K$730)*($C$621:$C$677=$A986)*($H$618:$O$618=$D986)*($H$621:$O$677)),0)</f>
        <v>0</v>
      </c>
      <c r="L986" s="1062">
        <f t="shared" si="238"/>
        <v>0</v>
      </c>
      <c r="M986" s="1062">
        <f t="array" ref="M986">IFERROR(SUM(($F$730:$O$730=M$730)*($A$850:$A$928=$A986)*($D$850:$D$928=$D986)*($F$850:$O$928)) / SUM(($A$621:$A$677=M$730)*($C$621:$C$677=$A986)*($H$618:$O$618=$D986)*($H$621:$O$677)),0)</f>
        <v>0</v>
      </c>
      <c r="N986" s="1062">
        <f t="shared" si="239"/>
        <v>0</v>
      </c>
      <c r="O986" s="1062">
        <f t="array" ref="O986">IFERROR(SUM(($F$730:$O$730=O$730)*($A$850:$A$928=$A986)*($D$850:$D$928=$D986)*($F$850:$O$928)) / SUM(($A$621:$A$677=O$730)*($C$621:$C$677=$A986)*($H$618:$O$618=$D986)*($H$621:$O$677)),0)</f>
        <v>0</v>
      </c>
      <c r="Q986" s="670"/>
      <c r="R986" s="670"/>
      <c r="S986" s="670"/>
      <c r="T986" s="670"/>
      <c r="U986" s="670"/>
      <c r="V986" s="670"/>
      <c r="W986" s="670"/>
      <c r="X986" s="670"/>
      <c r="Y986" s="670"/>
    </row>
    <row r="987" spans="1:25" s="17" customFormat="1">
      <c r="A987" s="19" t="str">
        <f t="shared" si="241"/>
        <v>FB</v>
      </c>
      <c r="B987" s="347" t="str">
        <f>INDEX(EF[UK Vector],MATCH(D987,EF[SATIM Code],0))</f>
        <v>V.01</v>
      </c>
      <c r="C987" s="19" t="str">
        <f>INDEX(Vectors[Description], MATCH($B987, Vectors[Code], 0))</f>
        <v>Electricity (delivered to end user)</v>
      </c>
      <c r="D987" s="656" t="s">
        <v>879</v>
      </c>
      <c r="E987" s="303"/>
      <c r="F987" s="1062">
        <f t="array" ref="F987">IFERROR(SUM(($F$730:$O$730=F$730)*($A$850:$A$928=$A987)*($D$850:$D$928=$D987)*($F$850:$O$928)) / SUM(($A$621:$A$677=F$730)*($C$621:$C$677=$A987)*($H$618:$O$618=$D987)*($H$621:$O$677)),0)</f>
        <v>0.21975419118623107</v>
      </c>
      <c r="G987" s="1062">
        <f t="array" ref="G987">IFERROR(SUM(($F$730:$O$730=G$730)*($A$850:$A$928=$A987)*($D$850:$D$928=$D987)*($F$850:$O$928)) / SUM(($A$621:$A$677=G$730)*($C$621:$C$677=$A987)*($H$618:$O$618=$D987)*($H$621:$O$677)),0)</f>
        <v>0.26496160198452046</v>
      </c>
      <c r="H987" s="1062">
        <f t="shared" si="236"/>
        <v>0.3491323150883946</v>
      </c>
      <c r="I987" s="1062">
        <f t="array" ref="I987">IFERROR(SUM(($F$730:$O$730=I$730)*($A$850:$A$928=$A987)*($D$850:$D$928=$D987)*($F$850:$O$928)) / SUM(($A$621:$A$677=I$730)*($C$621:$C$677=$A987)*($H$618:$O$618=$D987)*($H$621:$O$677)),0)</f>
        <v>0.43330302819226879</v>
      </c>
      <c r="J987" s="1062">
        <f t="shared" si="237"/>
        <v>0.55802505468738939</v>
      </c>
      <c r="K987" s="1062">
        <f t="array" ref="K987">IFERROR(SUM(($F$730:$O$730=K$730)*($A$850:$A$928=$A987)*($D$850:$D$928=$D987)*($F$850:$O$928)) / SUM(($A$621:$A$677=K$730)*($C$621:$C$677=$A987)*($H$618:$O$618=$D987)*($H$621:$O$677)),0)</f>
        <v>0.68274708118251004</v>
      </c>
      <c r="L987" s="1062">
        <f t="shared" si="238"/>
        <v>0.86657852593646367</v>
      </c>
      <c r="M987" s="1062">
        <f t="array" ref="M987">IFERROR(SUM(($F$730:$O$730=M$730)*($A$850:$A$928=$A987)*($D$850:$D$928=$D987)*($F$850:$O$928)) / SUM(($A$621:$A$677=M$730)*($C$621:$C$677=$A987)*($H$618:$O$618=$D987)*($H$621:$O$677)),0)</f>
        <v>1.0504099706904173</v>
      </c>
      <c r="N987" s="1062">
        <f t="shared" si="239"/>
        <v>1.2630308454117891</v>
      </c>
      <c r="O987" s="1062">
        <f t="array" ref="O987">IFERROR(SUM(($F$730:$O$730=O$730)*($A$850:$A$928=$A987)*($D$850:$D$928=$D987)*($F$850:$O$928)) / SUM(($A$621:$A$677=O$730)*($C$621:$C$677=$A987)*($H$618:$O$618=$D987)*($H$621:$O$677)),0)</f>
        <v>1.4756517201331609</v>
      </c>
      <c r="Q987" s="670"/>
      <c r="R987" s="670"/>
      <c r="S987" s="670"/>
      <c r="T987" s="670"/>
      <c r="U987" s="670"/>
      <c r="V987" s="670"/>
      <c r="W987" s="670"/>
      <c r="X987" s="670"/>
      <c r="Y987" s="670"/>
    </row>
    <row r="988" spans="1:25" s="17" customFormat="1">
      <c r="A988" s="19" t="str">
        <f t="shared" si="241"/>
        <v>FB</v>
      </c>
      <c r="B988" s="347" t="str">
        <f>INDEX(EF[UK Vector],MATCH(D988,EF[SATIM Code],0))</f>
        <v>V.09</v>
      </c>
      <c r="C988" s="19" t="str">
        <f>INDEX(Vectors[Description], MATCH($B988, Vectors[Code], 0))</f>
        <v>Dry biomass and waste</v>
      </c>
      <c r="D988" s="656" t="s">
        <v>888</v>
      </c>
      <c r="E988" s="303"/>
      <c r="F988" s="1062">
        <f t="array" ref="F988">IFERROR(SUM(($F$730:$O$730=F$730)*($A$850:$A$928=$A988)*($D$850:$D$928=$D988)*($F$850:$O$928)) / SUM(($A$621:$A$677=F$730)*($C$621:$C$677=$A988)*($H$618:$O$618=$D988)*($H$621:$O$677)),0)</f>
        <v>0</v>
      </c>
      <c r="G988" s="1062">
        <f t="array" ref="G988">IFERROR(SUM(($F$730:$O$730=G$730)*($A$850:$A$928=$A988)*($D$850:$D$928=$D988)*($F$850:$O$928)) / SUM(($A$621:$A$677=G$730)*($C$621:$C$677=$A988)*($H$618:$O$618=$D988)*($H$621:$O$677)),0)</f>
        <v>0</v>
      </c>
      <c r="H988" s="1062">
        <f t="shared" si="236"/>
        <v>0</v>
      </c>
      <c r="I988" s="1062">
        <f t="array" ref="I988">IFERROR(SUM(($F$730:$O$730=I$730)*($A$850:$A$928=$A988)*($D$850:$D$928=$D988)*($F$850:$O$928)) / SUM(($A$621:$A$677=I$730)*($C$621:$C$677=$A988)*($H$618:$O$618=$D988)*($H$621:$O$677)),0)</f>
        <v>0</v>
      </c>
      <c r="J988" s="1062">
        <f t="shared" si="237"/>
        <v>0</v>
      </c>
      <c r="K988" s="1062">
        <f t="array" ref="K988">IFERROR(SUM(($F$730:$O$730=K$730)*($A$850:$A$928=$A988)*($D$850:$D$928=$D988)*($F$850:$O$928)) / SUM(($A$621:$A$677=K$730)*($C$621:$C$677=$A988)*($H$618:$O$618=$D988)*($H$621:$O$677)),0)</f>
        <v>0</v>
      </c>
      <c r="L988" s="1062">
        <f t="shared" si="238"/>
        <v>0</v>
      </c>
      <c r="M988" s="1062">
        <f t="array" ref="M988">IFERROR(SUM(($F$730:$O$730=M$730)*($A$850:$A$928=$A988)*($D$850:$D$928=$D988)*($F$850:$O$928)) / SUM(($A$621:$A$677=M$730)*($C$621:$C$677=$A988)*($H$618:$O$618=$D988)*($H$621:$O$677)),0)</f>
        <v>0</v>
      </c>
      <c r="N988" s="1062">
        <f t="shared" si="239"/>
        <v>0</v>
      </c>
      <c r="O988" s="1062">
        <f t="array" ref="O988">IFERROR(SUM(($F$730:$O$730=O$730)*($A$850:$A$928=$A988)*($D$850:$D$928=$D988)*($F$850:$O$928)) / SUM(($A$621:$A$677=O$730)*($C$621:$C$677=$A988)*($H$618:$O$618=$D988)*($H$621:$O$677)),0)</f>
        <v>0</v>
      </c>
      <c r="Q988" s="670"/>
      <c r="R988" s="670"/>
      <c r="S988" s="670"/>
      <c r="T988" s="670"/>
      <c r="U988" s="670"/>
      <c r="V988" s="670"/>
      <c r="W988" s="670"/>
      <c r="X988" s="670"/>
      <c r="Y988" s="670"/>
    </row>
    <row r="989" spans="1:25" s="17" customFormat="1">
      <c r="A989" s="19" t="str">
        <f t="shared" si="241"/>
        <v>FB</v>
      </c>
      <c r="B989" s="347" t="str">
        <f>INDEX(EF[UK Vector],MATCH(D989,EF[SATIM Code],0))</f>
        <v>V.09</v>
      </c>
      <c r="C989" s="19" t="str">
        <f>INDEX(Vectors[Description], MATCH($B989, Vectors[Code], 0))</f>
        <v>Dry biomass and waste</v>
      </c>
      <c r="D989" s="656" t="s">
        <v>889</v>
      </c>
      <c r="E989" s="303"/>
      <c r="F989" s="1062">
        <f t="array" ref="F989">IFERROR(SUM(($F$730:$O$730=F$730)*($A$850:$A$928=$A989)*($D$850:$D$928=$D989)*($F$850:$O$928)) / SUM(($A$621:$A$677=F$730)*($C$621:$C$677=$A989)*($H$618:$O$618=$D989)*($H$621:$O$677)),0)</f>
        <v>7.3093001603881342</v>
      </c>
      <c r="G989" s="1062">
        <f t="array" ref="G989">IFERROR(SUM(($F$730:$O$730=G$730)*($A$850:$A$928=$A989)*($D$850:$D$928=$D989)*($F$850:$O$928)) / SUM(($A$621:$A$677=G$730)*($C$621:$C$677=$A989)*($H$618:$O$618=$D989)*($H$621:$O$677)),0)</f>
        <v>8.8098718472911859</v>
      </c>
      <c r="H989" s="1062">
        <f t="shared" si="236"/>
        <v>11.594831060238118</v>
      </c>
      <c r="I989" s="1062">
        <f t="array" ref="I989">IFERROR(SUM(($F$730:$O$730=I$730)*($A$850:$A$928=$A989)*($D$850:$D$928=$D989)*($F$850:$O$928)) / SUM(($A$621:$A$677=I$730)*($C$621:$C$677=$A989)*($H$618:$O$618=$D989)*($H$621:$O$677)),0)</f>
        <v>14.379790273185051</v>
      </c>
      <c r="J989" s="1062">
        <f t="shared" si="237"/>
        <v>18.47950764257449</v>
      </c>
      <c r="K989" s="1062">
        <f t="array" ref="K989">IFERROR(SUM(($F$730:$O$730=K$730)*($A$850:$A$928=$A989)*($D$850:$D$928=$D989)*($F$850:$O$928)) / SUM(($A$621:$A$677=K$730)*($C$621:$C$677=$A989)*($H$618:$O$618=$D989)*($H$621:$O$677)),0)</f>
        <v>22.579225011963931</v>
      </c>
      <c r="L989" s="1062">
        <f t="shared" si="238"/>
        <v>28.607515205289019</v>
      </c>
      <c r="M989" s="1062">
        <f t="array" ref="M989">IFERROR(SUM(($F$730:$O$730=M$730)*($A$850:$A$928=$A989)*($D$850:$D$928=$D989)*($F$850:$O$928)) / SUM(($A$621:$A$677=M$730)*($C$621:$C$677=$A989)*($H$618:$O$618=$D989)*($H$621:$O$677)),0)</f>
        <v>34.63580539861411</v>
      </c>
      <c r="N989" s="1062">
        <f t="shared" si="239"/>
        <v>41.615936339529604</v>
      </c>
      <c r="O989" s="1062">
        <f t="array" ref="O989">IFERROR(SUM(($F$730:$O$730=O$730)*($A$850:$A$928=$A989)*($D$850:$D$928=$D989)*($F$850:$O$928)) / SUM(($A$621:$A$677=O$730)*($C$621:$C$677=$A989)*($H$618:$O$618=$D989)*($H$621:$O$677)),0)</f>
        <v>48.596067280445098</v>
      </c>
      <c r="Q989" s="670"/>
      <c r="R989" s="670"/>
      <c r="S989" s="670"/>
      <c r="T989" s="670"/>
      <c r="U989" s="670"/>
      <c r="V989" s="670"/>
      <c r="W989" s="670"/>
      <c r="X989" s="670"/>
      <c r="Y989" s="670"/>
    </row>
    <row r="990" spans="1:25" s="17" customFormat="1">
      <c r="A990" s="19" t="str">
        <f t="shared" si="241"/>
        <v>FB</v>
      </c>
      <c r="B990" s="347" t="s">
        <v>897</v>
      </c>
      <c r="C990" s="19" t="str">
        <f>INDEX(Vectors[Description], MATCH($B990, Vectors[Code], 0))</f>
        <v>Other Waste</v>
      </c>
      <c r="D990" s="17" t="s">
        <v>890</v>
      </c>
      <c r="E990" s="303"/>
      <c r="F990" s="1062">
        <f t="array" ref="F990">IFERROR(SUM(($F$730:$O$730=F$730)*($A$850:$A$928=$A990)*($D$850:$D$928=$D990)*($F$850:$O$928)) / SUM(($A$621:$A$677=F$730)*($C$621:$C$677=$A990)*($H$618:$O$618=$D990)*($H$621:$O$677)),0)</f>
        <v>0</v>
      </c>
      <c r="G990" s="1062">
        <f t="array" ref="G990">IFERROR(SUM(($F$730:$O$730=G$730)*($A$850:$A$928=$A990)*($D$850:$D$928=$D990)*($F$850:$O$928)) / SUM(($A$621:$A$677=G$730)*($C$621:$C$677=$A990)*($H$618:$O$618=$D990)*($H$621:$O$677)),0)</f>
        <v>0</v>
      </c>
      <c r="H990" s="1062">
        <f t="shared" si="236"/>
        <v>0</v>
      </c>
      <c r="I990" s="1062">
        <f t="array" ref="I990">IFERROR(SUM(($F$730:$O$730=I$730)*($A$850:$A$928=$A990)*($D$850:$D$928=$D990)*($F$850:$O$928)) / SUM(($A$621:$A$677=I$730)*($C$621:$C$677=$A990)*($H$618:$O$618=$D990)*($H$621:$O$677)),0)</f>
        <v>0</v>
      </c>
      <c r="J990" s="1062">
        <f t="shared" si="237"/>
        <v>0</v>
      </c>
      <c r="K990" s="1062">
        <f t="array" ref="K990">IFERROR(SUM(($F$730:$O$730=K$730)*($A$850:$A$928=$A990)*($D$850:$D$928=$D990)*($F$850:$O$928)) / SUM(($A$621:$A$677=K$730)*($C$621:$C$677=$A990)*($H$618:$O$618=$D990)*($H$621:$O$677)),0)</f>
        <v>0</v>
      </c>
      <c r="L990" s="1062">
        <f t="shared" si="238"/>
        <v>0</v>
      </c>
      <c r="M990" s="1062">
        <f t="array" ref="M990">IFERROR(SUM(($F$730:$O$730=M$730)*($A$850:$A$928=$A990)*($D$850:$D$928=$D990)*($F$850:$O$928)) / SUM(($A$621:$A$677=M$730)*($C$621:$C$677=$A990)*($H$618:$O$618=$D990)*($H$621:$O$677)),0)</f>
        <v>0</v>
      </c>
      <c r="N990" s="1062">
        <f t="shared" si="239"/>
        <v>0</v>
      </c>
      <c r="O990" s="1062">
        <f t="array" ref="O990">IFERROR(SUM(($F$730:$O$730=O$730)*($A$850:$A$928=$A990)*($D$850:$D$928=$D990)*($F$850:$O$928)) / SUM(($A$621:$A$677=O$730)*($C$621:$C$677=$A990)*($H$618:$O$618=$D990)*($H$621:$O$677)),0)</f>
        <v>0</v>
      </c>
      <c r="Q990" s="670"/>
      <c r="R990" s="670"/>
      <c r="S990" s="670"/>
      <c r="T990" s="670"/>
      <c r="U990" s="670"/>
      <c r="V990" s="670"/>
      <c r="W990" s="670"/>
      <c r="X990" s="670"/>
      <c r="Y990" s="670"/>
    </row>
    <row r="991" spans="1:25" s="17" customFormat="1">
      <c r="A991" s="19"/>
      <c r="B991" s="347"/>
      <c r="C991" s="19"/>
      <c r="D991" s="656"/>
      <c r="E991" s="303"/>
      <c r="F991" s="1062">
        <f t="array" ref="F991">IFERROR(SUM(($F$730:$O$730=F$730)*($A$850:$A$928=$A991)*($D$850:$D$928=$D991)*($F$850:$O$928)) / SUM(($A$621:$A$677=F$730)*($C$621:$C$677=$A991)*($H$618:$O$618=$D991)*($H$621:$O$677)),0)</f>
        <v>0</v>
      </c>
      <c r="G991" s="1062">
        <f t="array" ref="G991">IFERROR(SUM(($F$730:$O$730=G$730)*($A$850:$A$928=$A991)*($D$850:$D$928=$D991)*($F$850:$O$928)) / SUM(($A$621:$A$677=G$730)*($C$621:$C$677=$A991)*($H$618:$O$618=$D991)*($H$621:$O$677)),0)</f>
        <v>0</v>
      </c>
      <c r="H991" s="1062">
        <f t="shared" si="236"/>
        <v>0</v>
      </c>
      <c r="I991" s="1062">
        <f t="array" ref="I991">IFERROR(SUM(($F$730:$O$730=I$730)*($A$850:$A$928=$A991)*($D$850:$D$928=$D991)*($F$850:$O$928)) / SUM(($A$621:$A$677=I$730)*($C$621:$C$677=$A991)*($H$618:$O$618=$D991)*($H$621:$O$677)),0)</f>
        <v>0</v>
      </c>
      <c r="J991" s="1062">
        <f t="shared" si="237"/>
        <v>0</v>
      </c>
      <c r="K991" s="1062">
        <f t="array" ref="K991">IFERROR(SUM(($F$730:$O$730=K$730)*($A$850:$A$928=$A991)*($D$850:$D$928=$D991)*($F$850:$O$928)) / SUM(($A$621:$A$677=K$730)*($C$621:$C$677=$A991)*($H$618:$O$618=$D991)*($H$621:$O$677)),0)</f>
        <v>0</v>
      </c>
      <c r="L991" s="1062">
        <f t="shared" si="238"/>
        <v>0</v>
      </c>
      <c r="M991" s="1062">
        <f t="array" ref="M991">IFERROR(SUM(($F$730:$O$730=M$730)*($A$850:$A$928=$A991)*($D$850:$D$928=$D991)*($F$850:$O$928)) / SUM(($A$621:$A$677=M$730)*($C$621:$C$677=$A991)*($H$618:$O$618=$D991)*($H$621:$O$677)),0)</f>
        <v>0</v>
      </c>
      <c r="N991" s="1062">
        <f t="shared" si="239"/>
        <v>0</v>
      </c>
      <c r="O991" s="1062">
        <f t="array" ref="O991">IFERROR(SUM(($F$730:$O$730=O$730)*($A$850:$A$928=$A991)*($D$850:$D$928=$D991)*($F$850:$O$928)) / SUM(($A$621:$A$677=O$730)*($C$621:$C$677=$A991)*($H$618:$O$618=$D991)*($H$621:$O$677)),0)</f>
        <v>0</v>
      </c>
      <c r="Q991" s="670"/>
      <c r="R991" s="670"/>
      <c r="S991" s="670"/>
      <c r="T991" s="670"/>
      <c r="U991" s="670"/>
      <c r="V991" s="670"/>
      <c r="W991" s="670"/>
      <c r="X991" s="670"/>
      <c r="Y991" s="670"/>
    </row>
    <row r="992" spans="1:25" s="17" customFormat="1">
      <c r="B992" s="348"/>
      <c r="C992" s="348" t="str">
        <f>D26</f>
        <v>Pulp &amp; Paper Products  -323</v>
      </c>
      <c r="D992" s="656"/>
      <c r="E992" s="303"/>
      <c r="F992" s="1062">
        <f t="array" ref="F992">IFERROR(SUM(($F$730:$O$730=F$730)*($A$850:$A$928=$A992)*($D$850:$D$928=$D992)*($F$850:$O$928)) / SUM(($A$621:$A$677=F$730)*($C$621:$C$677=$A992)*($H$618:$O$618=$D992)*($H$621:$O$677)),0)</f>
        <v>0</v>
      </c>
      <c r="G992" s="1062">
        <f t="array" ref="G992">IFERROR(SUM(($F$730:$O$730=G$730)*($A$850:$A$928=$A992)*($D$850:$D$928=$D992)*($F$850:$O$928)) / SUM(($A$621:$A$677=G$730)*($C$621:$C$677=$A992)*($H$618:$O$618=$D992)*($H$621:$O$677)),0)</f>
        <v>0</v>
      </c>
      <c r="H992" s="1062">
        <f t="shared" si="236"/>
        <v>0</v>
      </c>
      <c r="I992" s="1062">
        <f t="array" ref="I992">IFERROR(SUM(($F$730:$O$730=I$730)*($A$850:$A$928=$A992)*($D$850:$D$928=$D992)*($F$850:$O$928)) / SUM(($A$621:$A$677=I$730)*($C$621:$C$677=$A992)*($H$618:$O$618=$D992)*($H$621:$O$677)),0)</f>
        <v>0</v>
      </c>
      <c r="J992" s="1062">
        <f t="shared" si="237"/>
        <v>0</v>
      </c>
      <c r="K992" s="1062">
        <f t="array" ref="K992">IFERROR(SUM(($F$730:$O$730=K$730)*($A$850:$A$928=$A992)*($D$850:$D$928=$D992)*($F$850:$O$928)) / SUM(($A$621:$A$677=K$730)*($C$621:$C$677=$A992)*($H$618:$O$618=$D992)*($H$621:$O$677)),0)</f>
        <v>0</v>
      </c>
      <c r="L992" s="1062">
        <f t="shared" si="238"/>
        <v>0</v>
      </c>
      <c r="M992" s="1062">
        <f t="array" ref="M992">IFERROR(SUM(($F$730:$O$730=M$730)*($A$850:$A$928=$A992)*($D$850:$D$928=$D992)*($F$850:$O$928)) / SUM(($A$621:$A$677=M$730)*($C$621:$C$677=$A992)*($H$618:$O$618=$D992)*($H$621:$O$677)),0)</f>
        <v>0</v>
      </c>
      <c r="N992" s="1062">
        <f t="shared" si="239"/>
        <v>0</v>
      </c>
      <c r="O992" s="1062">
        <f t="array" ref="O992">IFERROR(SUM(($F$730:$O$730=O$730)*($A$850:$A$928=$A992)*($D$850:$D$928=$D992)*($F$850:$O$928)) / SUM(($A$621:$A$677=O$730)*($C$621:$C$677=$A992)*($H$618:$O$618=$D992)*($H$621:$O$677)),0)</f>
        <v>0</v>
      </c>
      <c r="Q992" s="670"/>
      <c r="R992" s="670"/>
      <c r="S992" s="670"/>
      <c r="T992" s="670"/>
      <c r="U992" s="670"/>
      <c r="V992" s="670"/>
      <c r="W992" s="670"/>
      <c r="X992" s="670"/>
      <c r="Y992" s="670"/>
    </row>
    <row r="993" spans="1:25" s="17" customFormat="1">
      <c r="A993" s="1438" t="str">
        <f>INDEX($C$20:$C$27,MATCH($C992,$D$20:$D$27,0))</f>
        <v>PP</v>
      </c>
      <c r="B993" s="347" t="str">
        <f>INDEX(EF[UK Vector],MATCH(D993,EF[SATIM Code],0))</f>
        <v>V.03</v>
      </c>
      <c r="C993" s="19" t="str">
        <f>INDEX(Vectors[Description], MATCH($B993, Vectors[Code], 0))</f>
        <v>Solid hydrocarbons</v>
      </c>
      <c r="D993" s="656" t="s">
        <v>882</v>
      </c>
      <c r="E993" s="303"/>
      <c r="F993" s="1062">
        <f t="array" ref="F993">IFERROR(SUM(($F$730:$O$730=F$730)*($A$850:$A$928=$A993)*($D$850:$D$928=$D993)*($F$850:$O$928)) / SUM(($A$621:$A$677=F$730)*($C$621:$C$677=$A993)*($H$618:$O$618=$D993)*($H$621:$O$677)),0)</f>
        <v>28.455187343933623</v>
      </c>
      <c r="G993" s="1062">
        <f t="array" ref="G993">IFERROR(SUM(($F$730:$O$730=G$730)*($A$850:$A$928=$A993)*($D$850:$D$928=$D993)*($F$850:$O$928)) / SUM(($A$621:$A$677=G$730)*($C$621:$C$677=$A993)*($H$618:$O$618=$D993)*($H$621:$O$677)),0)</f>
        <v>39.035443137497332</v>
      </c>
      <c r="H993" s="1062">
        <f t="shared" si="236"/>
        <v>54.435970494275708</v>
      </c>
      <c r="I993" s="1062">
        <f t="array" ref="I993">IFERROR(SUM(($F$730:$O$730=I$730)*($A$850:$A$928=$A993)*($D$850:$D$928=$D993)*($F$850:$O$928)) / SUM(($A$621:$A$677=I$730)*($C$621:$C$677=$A993)*($H$618:$O$618=$D993)*($H$621:$O$677)),0)</f>
        <v>69.836497851054091</v>
      </c>
      <c r="J993" s="1062">
        <f t="shared" si="237"/>
        <v>92.77166500473129</v>
      </c>
      <c r="K993" s="1062">
        <f t="array" ref="K993">IFERROR(SUM(($F$730:$O$730=K$730)*($A$850:$A$928=$A993)*($D$850:$D$928=$D993)*($F$850:$O$928)) / SUM(($A$621:$A$677=K$730)*($C$621:$C$677=$A993)*($H$618:$O$618=$D993)*($H$621:$O$677)),0)</f>
        <v>115.70683215840847</v>
      </c>
      <c r="L993" s="1062">
        <f t="shared" si="238"/>
        <v>152.1653865738345</v>
      </c>
      <c r="M993" s="1062">
        <f t="array" ref="M993">IFERROR(SUM(($F$730:$O$730=M$730)*($A$850:$A$928=$A993)*($D$850:$D$928=$D993)*($F$850:$O$928)) / SUM(($A$621:$A$677=M$730)*($C$621:$C$677=$A993)*($H$618:$O$618=$D993)*($H$621:$O$677)),0)</f>
        <v>188.62394098926049</v>
      </c>
      <c r="N993" s="1062">
        <f t="shared" si="239"/>
        <v>229.61384298866597</v>
      </c>
      <c r="O993" s="1062">
        <f t="array" ref="O993">IFERROR(SUM(($F$730:$O$730=O$730)*($A$850:$A$928=$A993)*($D$850:$D$928=$D993)*($F$850:$O$928)) / SUM(($A$621:$A$677=O$730)*($C$621:$C$677=$A993)*($H$618:$O$618=$D993)*($H$621:$O$677)),0)</f>
        <v>270.60374498807141</v>
      </c>
      <c r="Q993" s="670"/>
      <c r="R993" s="670"/>
      <c r="S993" s="670"/>
      <c r="T993" s="670"/>
      <c r="U993" s="670"/>
      <c r="V993" s="670"/>
      <c r="W993" s="670"/>
      <c r="X993" s="670"/>
      <c r="Y993" s="670"/>
    </row>
    <row r="994" spans="1:25" s="17" customFormat="1">
      <c r="A994" s="19" t="str">
        <f t="shared" ref="A994:A1000" si="242">A993</f>
        <v>PP</v>
      </c>
      <c r="B994" s="347" t="str">
        <f>INDEX(EF[UK Vector],MATCH(D994,EF[SATIM Code],0))</f>
        <v>V.05</v>
      </c>
      <c r="C994" s="19" t="str">
        <f>INDEX(Vectors[Description], MATCH($B994, Vectors[Code], 0))</f>
        <v>Gaseous hydrocarbons</v>
      </c>
      <c r="D994" s="656" t="s">
        <v>869</v>
      </c>
      <c r="E994" s="303"/>
      <c r="F994" s="1062">
        <f t="array" ref="F994">IFERROR(SUM(($F$730:$O$730=F$730)*($A$850:$A$928=$A994)*($D$850:$D$928=$D994)*($F$850:$O$928)) / SUM(($A$621:$A$677=F$730)*($C$621:$C$677=$A994)*($H$618:$O$618=$D994)*($H$621:$O$677)),0)</f>
        <v>1.3703719621020631</v>
      </c>
      <c r="G994" s="1062">
        <f t="array" ref="G994">IFERROR(SUM(($F$730:$O$730=G$730)*($A$850:$A$928=$A994)*($D$850:$D$928=$D994)*($F$850:$O$928)) / SUM(($A$621:$A$677=G$730)*($C$621:$C$677=$A994)*($H$618:$O$618=$D994)*($H$621:$O$677)),0)</f>
        <v>1.8799059783825309</v>
      </c>
      <c r="H994" s="1062">
        <f t="shared" si="236"/>
        <v>2.6215792148377517</v>
      </c>
      <c r="I994" s="1062">
        <f t="array" ref="I994">IFERROR(SUM(($F$730:$O$730=I$730)*($A$850:$A$928=$A994)*($D$850:$D$928=$D994)*($F$850:$O$928)) / SUM(($A$621:$A$677=I$730)*($C$621:$C$677=$A994)*($H$618:$O$618=$D994)*($H$621:$O$677)),0)</f>
        <v>3.363252451292972</v>
      </c>
      <c r="J994" s="1062">
        <f t="shared" si="237"/>
        <v>4.4677860336460657</v>
      </c>
      <c r="K994" s="1062">
        <f t="array" ref="K994">IFERROR(SUM(($F$730:$O$730=K$730)*($A$850:$A$928=$A994)*($D$850:$D$928=$D994)*($F$850:$O$928)) / SUM(($A$621:$A$677=K$730)*($C$621:$C$677=$A994)*($H$618:$O$618=$D994)*($H$621:$O$677)),0)</f>
        <v>5.5723196159991586</v>
      </c>
      <c r="L994" s="1062">
        <f t="shared" si="238"/>
        <v>7.3281253376692206</v>
      </c>
      <c r="M994" s="1062">
        <f t="array" ref="M994">IFERROR(SUM(($F$730:$O$730=M$730)*($A$850:$A$928=$A994)*($D$850:$D$928=$D994)*($F$850:$O$928)) / SUM(($A$621:$A$677=M$730)*($C$621:$C$677=$A994)*($H$618:$O$618=$D994)*($H$621:$O$677)),0)</f>
        <v>9.0839310593392835</v>
      </c>
      <c r="N994" s="1062">
        <f t="shared" si="239"/>
        <v>11.057961725535961</v>
      </c>
      <c r="O994" s="1062">
        <f t="array" ref="O994">IFERROR(SUM(($F$730:$O$730=O$730)*($A$850:$A$928=$A994)*($D$850:$D$928=$D994)*($F$850:$O$928)) / SUM(($A$621:$A$677=O$730)*($C$621:$C$677=$A994)*($H$618:$O$618=$D994)*($H$621:$O$677)),0)</f>
        <v>13.031992391732638</v>
      </c>
      <c r="Q994" s="670"/>
      <c r="R994" s="670"/>
      <c r="S994" s="670"/>
      <c r="T994" s="670"/>
      <c r="U994" s="670"/>
      <c r="V994" s="670"/>
      <c r="W994" s="670"/>
      <c r="X994" s="670"/>
      <c r="Y994" s="670"/>
    </row>
    <row r="995" spans="1:25" s="17" customFormat="1">
      <c r="A995" s="19" t="str">
        <f t="shared" si="242"/>
        <v>PP</v>
      </c>
      <c r="B995" s="347" t="str">
        <f>INDEX(EF[UK Vector],MATCH(D995,EF[SATIM Code],0))</f>
        <v>V.04</v>
      </c>
      <c r="C995" s="19" t="str">
        <f>INDEX(Vectors[Description], MATCH($B995, Vectors[Code], 0))</f>
        <v>Liquid hydrocarbons</v>
      </c>
      <c r="D995" s="656" t="s">
        <v>885</v>
      </c>
      <c r="E995" s="303"/>
      <c r="F995" s="1062">
        <f t="array" ref="F995">IFERROR(SUM(($F$730:$O$730=F$730)*($A$850:$A$928=$A995)*($D$850:$D$928=$D995)*($F$850:$O$928)) / SUM(($A$621:$A$677=F$730)*($C$621:$C$677=$A995)*($H$618:$O$618=$D995)*($H$621:$O$677)),0)</f>
        <v>0</v>
      </c>
      <c r="G995" s="1062">
        <f t="array" ref="G995">IFERROR(SUM(($F$730:$O$730=G$730)*($A$850:$A$928=$A995)*($D$850:$D$928=$D995)*($F$850:$O$928)) / SUM(($A$621:$A$677=G$730)*($C$621:$C$677=$A995)*($H$618:$O$618=$D995)*($H$621:$O$677)),0)</f>
        <v>0</v>
      </c>
      <c r="H995" s="1062">
        <f t="shared" si="236"/>
        <v>0</v>
      </c>
      <c r="I995" s="1062">
        <f t="array" ref="I995">IFERROR(SUM(($F$730:$O$730=I$730)*($A$850:$A$928=$A995)*($D$850:$D$928=$D995)*($F$850:$O$928)) / SUM(($A$621:$A$677=I$730)*($C$621:$C$677=$A995)*($H$618:$O$618=$D995)*($H$621:$O$677)),0)</f>
        <v>0</v>
      </c>
      <c r="J995" s="1062">
        <f t="shared" si="237"/>
        <v>0</v>
      </c>
      <c r="K995" s="1062">
        <f t="array" ref="K995">IFERROR(SUM(($F$730:$O$730=K$730)*($A$850:$A$928=$A995)*($D$850:$D$928=$D995)*($F$850:$O$928)) / SUM(($A$621:$A$677=K$730)*($C$621:$C$677=$A995)*($H$618:$O$618=$D995)*($H$621:$O$677)),0)</f>
        <v>0</v>
      </c>
      <c r="L995" s="1062">
        <f t="shared" si="238"/>
        <v>0</v>
      </c>
      <c r="M995" s="1062">
        <f t="array" ref="M995">IFERROR(SUM(($F$730:$O$730=M$730)*($A$850:$A$928=$A995)*($D$850:$D$928=$D995)*($F$850:$O$928)) / SUM(($A$621:$A$677=M$730)*($C$621:$C$677=$A995)*($H$618:$O$618=$D995)*($H$621:$O$677)),0)</f>
        <v>0</v>
      </c>
      <c r="N995" s="1062">
        <f t="shared" si="239"/>
        <v>0</v>
      </c>
      <c r="O995" s="1062">
        <f t="array" ref="O995">IFERROR(SUM(($F$730:$O$730=O$730)*($A$850:$A$928=$A995)*($D$850:$D$928=$D995)*($F$850:$O$928)) / SUM(($A$621:$A$677=O$730)*($C$621:$C$677=$A995)*($H$618:$O$618=$D995)*($H$621:$O$677)),0)</f>
        <v>0</v>
      </c>
      <c r="Q995" s="670"/>
      <c r="R995" s="670"/>
      <c r="S995" s="670"/>
      <c r="T995" s="670"/>
      <c r="U995" s="670"/>
      <c r="V995" s="670"/>
      <c r="W995" s="670"/>
      <c r="X995" s="670"/>
      <c r="Y995" s="670"/>
    </row>
    <row r="996" spans="1:25" s="17" customFormat="1">
      <c r="A996" s="19" t="str">
        <f t="shared" si="242"/>
        <v>PP</v>
      </c>
      <c r="B996" s="347" t="str">
        <f>INDEX(EF[UK Vector],MATCH(D996,EF[SATIM Code],0))</f>
        <v>V.04</v>
      </c>
      <c r="C996" s="19" t="str">
        <f>INDEX(Vectors[Description], MATCH($B996, Vectors[Code], 0))</f>
        <v>Liquid hydrocarbons</v>
      </c>
      <c r="D996" s="656" t="s">
        <v>887</v>
      </c>
      <c r="E996" s="303"/>
      <c r="F996" s="1062">
        <f t="array" ref="F996">IFERROR(SUM(($F$730:$O$730=F$730)*($A$850:$A$928=$A996)*($D$850:$D$928=$D996)*($F$850:$O$928)) / SUM(($A$621:$A$677=F$730)*($C$621:$C$677=$A996)*($H$618:$O$618=$D996)*($H$621:$O$677)),0)</f>
        <v>0</v>
      </c>
      <c r="G996" s="1062">
        <f t="array" ref="G996">IFERROR(SUM(($F$730:$O$730=G$730)*($A$850:$A$928=$A996)*($D$850:$D$928=$D996)*($F$850:$O$928)) / SUM(($A$621:$A$677=G$730)*($C$621:$C$677=$A996)*($H$618:$O$618=$D996)*($H$621:$O$677)),0)</f>
        <v>0</v>
      </c>
      <c r="H996" s="1062">
        <f t="shared" si="236"/>
        <v>0</v>
      </c>
      <c r="I996" s="1062">
        <f t="array" ref="I996">IFERROR(SUM(($F$730:$O$730=I$730)*($A$850:$A$928=$A996)*($D$850:$D$928=$D996)*($F$850:$O$928)) / SUM(($A$621:$A$677=I$730)*($C$621:$C$677=$A996)*($H$618:$O$618=$D996)*($H$621:$O$677)),0)</f>
        <v>0</v>
      </c>
      <c r="J996" s="1062">
        <f t="shared" si="237"/>
        <v>0</v>
      </c>
      <c r="K996" s="1062">
        <f t="array" ref="K996">IFERROR(SUM(($F$730:$O$730=K$730)*($A$850:$A$928=$A996)*($D$850:$D$928=$D996)*($F$850:$O$928)) / SUM(($A$621:$A$677=K$730)*($C$621:$C$677=$A996)*($H$618:$O$618=$D996)*($H$621:$O$677)),0)</f>
        <v>0</v>
      </c>
      <c r="L996" s="1062">
        <f t="shared" si="238"/>
        <v>0</v>
      </c>
      <c r="M996" s="1062">
        <f t="array" ref="M996">IFERROR(SUM(($F$730:$O$730=M$730)*($A$850:$A$928=$A996)*($D$850:$D$928=$D996)*($F$850:$O$928)) / SUM(($A$621:$A$677=M$730)*($C$621:$C$677=$A996)*($H$618:$O$618=$D996)*($H$621:$O$677)),0)</f>
        <v>0</v>
      </c>
      <c r="N996" s="1062">
        <f t="shared" si="239"/>
        <v>0</v>
      </c>
      <c r="O996" s="1062">
        <f t="array" ref="O996">IFERROR(SUM(($F$730:$O$730=O$730)*($A$850:$A$928=$A996)*($D$850:$D$928=$D996)*($F$850:$O$928)) / SUM(($A$621:$A$677=O$730)*($C$621:$C$677=$A996)*($H$618:$O$618=$D996)*($H$621:$O$677)),0)</f>
        <v>0</v>
      </c>
      <c r="Q996" s="670"/>
      <c r="R996" s="670"/>
      <c r="S996" s="670"/>
      <c r="T996" s="670"/>
      <c r="U996" s="670"/>
      <c r="V996" s="670"/>
      <c r="W996" s="670"/>
      <c r="X996" s="670"/>
      <c r="Y996" s="670"/>
    </row>
    <row r="997" spans="1:25" s="17" customFormat="1">
      <c r="A997" s="19" t="str">
        <f t="shared" si="242"/>
        <v>PP</v>
      </c>
      <c r="B997" s="347" t="str">
        <f>INDEX(EF[UK Vector],MATCH(D997,EF[SATIM Code],0))</f>
        <v>V.01</v>
      </c>
      <c r="C997" s="19" t="str">
        <f>INDEX(Vectors[Description], MATCH($B997, Vectors[Code], 0))</f>
        <v>Electricity (delivered to end user)</v>
      </c>
      <c r="D997" s="656" t="s">
        <v>879</v>
      </c>
      <c r="E997" s="303"/>
      <c r="F997" s="1062">
        <f t="array" ref="F997">IFERROR(SUM(($F$730:$O$730=F$730)*($A$850:$A$928=$A997)*($D$850:$D$928=$D997)*($F$850:$O$928)) / SUM(($A$621:$A$677=F$730)*($C$621:$C$677=$A997)*($H$618:$O$618=$D997)*($H$621:$O$677)),0)</f>
        <v>0</v>
      </c>
      <c r="G997" s="1062">
        <f t="array" ref="G997">IFERROR(SUM(($F$730:$O$730=G$730)*($A$850:$A$928=$A997)*($D$850:$D$928=$D997)*($F$850:$O$928)) / SUM(($A$621:$A$677=G$730)*($C$621:$C$677=$A997)*($H$618:$O$618=$D997)*($H$621:$O$677)),0)</f>
        <v>0</v>
      </c>
      <c r="H997" s="1062">
        <f t="shared" ref="H997:H1010" si="243">AVERAGE(G997,I997)</f>
        <v>0</v>
      </c>
      <c r="I997" s="1062">
        <f t="array" ref="I997">IFERROR(SUM(($F$730:$O$730=I$730)*($A$850:$A$928=$A997)*($D$850:$D$928=$D997)*($F$850:$O$928)) / SUM(($A$621:$A$677=I$730)*($C$621:$C$677=$A997)*($H$618:$O$618=$D997)*($H$621:$O$677)),0)</f>
        <v>0</v>
      </c>
      <c r="J997" s="1062">
        <f t="shared" ref="J997:J1010" si="244">AVERAGE(I997,K997)</f>
        <v>0</v>
      </c>
      <c r="K997" s="1062">
        <f t="array" ref="K997">IFERROR(SUM(($F$730:$O$730=K$730)*($A$850:$A$928=$A997)*($D$850:$D$928=$D997)*($F$850:$O$928)) / SUM(($A$621:$A$677=K$730)*($C$621:$C$677=$A997)*($H$618:$O$618=$D997)*($H$621:$O$677)),0)</f>
        <v>0</v>
      </c>
      <c r="L997" s="1062">
        <f t="shared" ref="L997:L1010" si="245">AVERAGE(K997,M997)</f>
        <v>0</v>
      </c>
      <c r="M997" s="1062">
        <f t="array" ref="M997">IFERROR(SUM(($F$730:$O$730=M$730)*($A$850:$A$928=$A997)*($D$850:$D$928=$D997)*($F$850:$O$928)) / SUM(($A$621:$A$677=M$730)*($C$621:$C$677=$A997)*($H$618:$O$618=$D997)*($H$621:$O$677)),0)</f>
        <v>0</v>
      </c>
      <c r="N997" s="1062">
        <f t="shared" ref="N997:N1010" si="246">AVERAGE(M997,O997)</f>
        <v>0</v>
      </c>
      <c r="O997" s="1062">
        <f t="array" ref="O997">IFERROR(SUM(($F$730:$O$730=O$730)*($A$850:$A$928=$A997)*($D$850:$D$928=$D997)*($F$850:$O$928)) / SUM(($A$621:$A$677=O$730)*($C$621:$C$677=$A997)*($H$618:$O$618=$D997)*($H$621:$O$677)),0)</f>
        <v>0</v>
      </c>
      <c r="Q997" s="670"/>
      <c r="R997" s="670"/>
      <c r="S997" s="670"/>
      <c r="T997" s="670"/>
      <c r="U997" s="670"/>
      <c r="V997" s="670"/>
      <c r="W997" s="670"/>
      <c r="X997" s="670"/>
      <c r="Y997" s="670"/>
    </row>
    <row r="998" spans="1:25" s="17" customFormat="1">
      <c r="A998" s="19" t="str">
        <f t="shared" si="242"/>
        <v>PP</v>
      </c>
      <c r="B998" s="347" t="str">
        <f>INDEX(EF[UK Vector],MATCH(D998,EF[SATIM Code],0))</f>
        <v>V.09</v>
      </c>
      <c r="C998" s="19" t="str">
        <f>INDEX(Vectors[Description], MATCH($B998, Vectors[Code], 0))</f>
        <v>Dry biomass and waste</v>
      </c>
      <c r="D998" s="656" t="s">
        <v>888</v>
      </c>
      <c r="E998" s="303"/>
      <c r="F998" s="1062">
        <f t="array" ref="F998">IFERROR(SUM(($F$730:$O$730=F$730)*($A$850:$A$928=$A998)*($D$850:$D$928=$D998)*($F$850:$O$928)) / SUM(($A$621:$A$677=F$730)*($C$621:$C$677=$A998)*($H$618:$O$618=$D998)*($H$621:$O$677)),0)</f>
        <v>18.097319509407544</v>
      </c>
      <c r="G998" s="1062">
        <f t="array" ref="G998">IFERROR(SUM(($F$730:$O$730=G$730)*($A$850:$A$928=$A998)*($D$850:$D$928=$D998)*($F$850:$O$928)) / SUM(($A$621:$A$677=G$730)*($C$621:$C$677=$A998)*($H$618:$O$618=$D998)*($H$621:$O$677)),0)</f>
        <v>24.826295399569922</v>
      </c>
      <c r="H998" s="1062">
        <f t="shared" si="243"/>
        <v>34.620933572929474</v>
      </c>
      <c r="I998" s="1062">
        <f t="array" ref="I998">IFERROR(SUM(($F$730:$O$730=I$730)*($A$850:$A$928=$A998)*($D$850:$D$928=$D998)*($F$850:$O$928)) / SUM(($A$621:$A$677=I$730)*($C$621:$C$677=$A998)*($H$618:$O$618=$D998)*($H$621:$O$677)),0)</f>
        <v>44.415571746289025</v>
      </c>
      <c r="J998" s="1062">
        <f t="shared" si="244"/>
        <v>59.002193263305799</v>
      </c>
      <c r="K998" s="1062">
        <f t="array" ref="K998">IFERROR(SUM(($F$730:$O$730=K$730)*($A$850:$A$928=$A998)*($D$850:$D$928=$D998)*($F$850:$O$928)) / SUM(($A$621:$A$677=K$730)*($C$621:$C$677=$A998)*($H$618:$O$618=$D998)*($H$621:$O$677)),0)</f>
        <v>73.588814780322565</v>
      </c>
      <c r="L998" s="1062">
        <f t="shared" si="245"/>
        <v>96.776225220892002</v>
      </c>
      <c r="M998" s="1062">
        <f t="array" ref="M998">IFERROR(SUM(($F$730:$O$730=M$730)*($A$850:$A$928=$A998)*($D$850:$D$928=$D998)*($F$850:$O$928)) / SUM(($A$621:$A$677=M$730)*($C$621:$C$677=$A998)*($H$618:$O$618=$D998)*($H$621:$O$677)),0)</f>
        <v>119.96363566146145</v>
      </c>
      <c r="N998" s="1062">
        <f t="shared" si="246"/>
        <v>146.03295455844949</v>
      </c>
      <c r="O998" s="1062">
        <f t="array" ref="O998">IFERROR(SUM(($F$730:$O$730=O$730)*($A$850:$A$928=$A998)*($D$850:$D$928=$D998)*($F$850:$O$928)) / SUM(($A$621:$A$677=O$730)*($C$621:$C$677=$A998)*($H$618:$O$618=$D998)*($H$621:$O$677)),0)</f>
        <v>172.10227345543751</v>
      </c>
      <c r="Q998" s="670"/>
      <c r="R998" s="670"/>
      <c r="S998" s="670"/>
      <c r="T998" s="670"/>
      <c r="U998" s="670"/>
      <c r="V998" s="670"/>
      <c r="W998" s="670"/>
      <c r="X998" s="670"/>
      <c r="Y998" s="670"/>
    </row>
    <row r="999" spans="1:25" s="17" customFormat="1">
      <c r="A999" s="19" t="str">
        <f t="shared" si="242"/>
        <v>PP</v>
      </c>
      <c r="B999" s="347" t="str">
        <f>INDEX(EF[UK Vector],MATCH(D999,EF[SATIM Code],0))</f>
        <v>V.09</v>
      </c>
      <c r="C999" s="19" t="str">
        <f>INDEX(Vectors[Description], MATCH($B999, Vectors[Code], 0))</f>
        <v>Dry biomass and waste</v>
      </c>
      <c r="D999" s="656" t="s">
        <v>889</v>
      </c>
      <c r="E999" s="303"/>
      <c r="F999" s="1062">
        <f t="array" ref="F999">IFERROR(SUM(($F$730:$O$730=F$730)*($A$850:$A$928=$A999)*($D$850:$D$928=$D999)*($F$850:$O$928)) / SUM(($A$621:$A$677=F$730)*($C$621:$C$677=$A999)*($H$618:$O$618=$D999)*($H$621:$O$677)),0)</f>
        <v>0</v>
      </c>
      <c r="G999" s="1062">
        <f t="array" ref="G999">IFERROR(SUM(($F$730:$O$730=G$730)*($A$850:$A$928=$A999)*($D$850:$D$928=$D999)*($F$850:$O$928)) / SUM(($A$621:$A$677=G$730)*($C$621:$C$677=$A999)*($H$618:$O$618=$D999)*($H$621:$O$677)),0)</f>
        <v>0</v>
      </c>
      <c r="H999" s="1062">
        <f t="shared" si="243"/>
        <v>0</v>
      </c>
      <c r="I999" s="1062">
        <f t="array" ref="I999">IFERROR(SUM(($F$730:$O$730=I$730)*($A$850:$A$928=$A999)*($D$850:$D$928=$D999)*($F$850:$O$928)) / SUM(($A$621:$A$677=I$730)*($C$621:$C$677=$A999)*($H$618:$O$618=$D999)*($H$621:$O$677)),0)</f>
        <v>0</v>
      </c>
      <c r="J999" s="1062">
        <f t="shared" si="244"/>
        <v>0</v>
      </c>
      <c r="K999" s="1062">
        <f t="array" ref="K999">IFERROR(SUM(($F$730:$O$730=K$730)*($A$850:$A$928=$A999)*($D$850:$D$928=$D999)*($F$850:$O$928)) / SUM(($A$621:$A$677=K$730)*($C$621:$C$677=$A999)*($H$618:$O$618=$D999)*($H$621:$O$677)),0)</f>
        <v>0</v>
      </c>
      <c r="L999" s="1062">
        <f t="shared" si="245"/>
        <v>0</v>
      </c>
      <c r="M999" s="1062">
        <f t="array" ref="M999">IFERROR(SUM(($F$730:$O$730=M$730)*($A$850:$A$928=$A999)*($D$850:$D$928=$D999)*($F$850:$O$928)) / SUM(($A$621:$A$677=M$730)*($C$621:$C$677=$A999)*($H$618:$O$618=$D999)*($H$621:$O$677)),0)</f>
        <v>0</v>
      </c>
      <c r="N999" s="1062">
        <f t="shared" si="246"/>
        <v>0</v>
      </c>
      <c r="O999" s="1062">
        <f t="array" ref="O999">IFERROR(SUM(($F$730:$O$730=O$730)*($A$850:$A$928=$A999)*($D$850:$D$928=$D999)*($F$850:$O$928)) / SUM(($A$621:$A$677=O$730)*($C$621:$C$677=$A999)*($H$618:$O$618=$D999)*($H$621:$O$677)),0)</f>
        <v>0</v>
      </c>
      <c r="Q999" s="670"/>
      <c r="R999" s="670"/>
      <c r="S999" s="670"/>
      <c r="T999" s="670"/>
      <c r="U999" s="670"/>
      <c r="V999" s="670"/>
      <c r="W999" s="670"/>
      <c r="X999" s="670"/>
      <c r="Y999" s="670"/>
    </row>
    <row r="1000" spans="1:25" s="17" customFormat="1">
      <c r="A1000" s="19" t="str">
        <f t="shared" si="242"/>
        <v>PP</v>
      </c>
      <c r="B1000" s="347" t="s">
        <v>897</v>
      </c>
      <c r="C1000" s="19" t="str">
        <f>INDEX(Vectors[Description], MATCH($B1000, Vectors[Code], 0))</f>
        <v>Other Waste</v>
      </c>
      <c r="D1000" s="17" t="s">
        <v>890</v>
      </c>
      <c r="E1000" s="303"/>
      <c r="F1000" s="1062">
        <f t="array" ref="F1000">IFERROR(SUM(($F$730:$O$730=F$730)*($A$850:$A$928=$A1000)*($D$850:$D$928=$D1000)*($F$850:$O$928)) / SUM(($A$621:$A$677=F$730)*($C$621:$C$677=$A1000)*($H$618:$O$618=$D1000)*($H$621:$O$677)),0)</f>
        <v>0</v>
      </c>
      <c r="G1000" s="1062">
        <f t="array" ref="G1000">IFERROR(SUM(($F$730:$O$730=G$730)*($A$850:$A$928=$A1000)*($D$850:$D$928=$D1000)*($F$850:$O$928)) / SUM(($A$621:$A$677=G$730)*($C$621:$C$677=$A1000)*($H$618:$O$618=$D1000)*($H$621:$O$677)),0)</f>
        <v>0</v>
      </c>
      <c r="H1000" s="1062">
        <f t="shared" si="243"/>
        <v>0</v>
      </c>
      <c r="I1000" s="1062">
        <f t="array" ref="I1000">IFERROR(SUM(($F$730:$O$730=I$730)*($A$850:$A$928=$A1000)*($D$850:$D$928=$D1000)*($F$850:$O$928)) / SUM(($A$621:$A$677=I$730)*($C$621:$C$677=$A1000)*($H$618:$O$618=$D1000)*($H$621:$O$677)),0)</f>
        <v>0</v>
      </c>
      <c r="J1000" s="1062">
        <f t="shared" si="244"/>
        <v>0</v>
      </c>
      <c r="K1000" s="1062">
        <f t="array" ref="K1000">IFERROR(SUM(($F$730:$O$730=K$730)*($A$850:$A$928=$A1000)*($D$850:$D$928=$D1000)*($F$850:$O$928)) / SUM(($A$621:$A$677=K$730)*($C$621:$C$677=$A1000)*($H$618:$O$618=$D1000)*($H$621:$O$677)),0)</f>
        <v>0</v>
      </c>
      <c r="L1000" s="1062">
        <f t="shared" si="245"/>
        <v>0</v>
      </c>
      <c r="M1000" s="1062">
        <f t="array" ref="M1000">IFERROR(SUM(($F$730:$O$730=M$730)*($A$850:$A$928=$A1000)*($D$850:$D$928=$D1000)*($F$850:$O$928)) / SUM(($A$621:$A$677=M$730)*($C$621:$C$677=$A1000)*($H$618:$O$618=$D1000)*($H$621:$O$677)),0)</f>
        <v>0</v>
      </c>
      <c r="N1000" s="1062">
        <f t="shared" si="246"/>
        <v>0</v>
      </c>
      <c r="O1000" s="1062">
        <f t="array" ref="O1000">IFERROR(SUM(($F$730:$O$730=O$730)*($A$850:$A$928=$A1000)*($D$850:$D$928=$D1000)*($F$850:$O$928)) / SUM(($A$621:$A$677=O$730)*($C$621:$C$677=$A1000)*($H$618:$O$618=$D1000)*($H$621:$O$677)),0)</f>
        <v>0</v>
      </c>
      <c r="Q1000" s="670"/>
      <c r="R1000" s="670"/>
      <c r="S1000" s="670"/>
      <c r="T1000" s="670"/>
      <c r="U1000" s="670"/>
      <c r="V1000" s="670"/>
      <c r="W1000" s="670"/>
      <c r="X1000" s="670"/>
      <c r="Y1000" s="670"/>
    </row>
    <row r="1001" spans="1:25" s="17" customFormat="1">
      <c r="A1001" s="19"/>
      <c r="B1001" s="347"/>
      <c r="C1001" s="19"/>
      <c r="D1001" s="656"/>
      <c r="E1001" s="303"/>
      <c r="F1001" s="1062">
        <f t="array" ref="F1001">IFERROR(SUM(($F$730:$O$730=F$730)*($A$850:$A$928=$A1001)*($D$850:$D$928=$D1001)*($F$850:$O$928)) / SUM(($A$621:$A$677=F$730)*($C$621:$C$677=$A1001)*($H$618:$O$618=$D1001)*($H$621:$O$677)),0)</f>
        <v>0</v>
      </c>
      <c r="G1001" s="1062">
        <f t="array" ref="G1001">IFERROR(SUM(($F$730:$O$730=G$730)*($A$850:$A$928=$A1001)*($D$850:$D$928=$D1001)*($F$850:$O$928)) / SUM(($A$621:$A$677=G$730)*($C$621:$C$677=$A1001)*($H$618:$O$618=$D1001)*($H$621:$O$677)),0)</f>
        <v>0</v>
      </c>
      <c r="H1001" s="1062">
        <f t="shared" si="243"/>
        <v>0</v>
      </c>
      <c r="I1001" s="1062">
        <f t="array" ref="I1001">IFERROR(SUM(($F$730:$O$730=I$730)*($A$850:$A$928=$A1001)*($D$850:$D$928=$D1001)*($F$850:$O$928)) / SUM(($A$621:$A$677=I$730)*($C$621:$C$677=$A1001)*($H$618:$O$618=$D1001)*($H$621:$O$677)),0)</f>
        <v>0</v>
      </c>
      <c r="J1001" s="1062">
        <f t="shared" si="244"/>
        <v>0</v>
      </c>
      <c r="K1001" s="1062">
        <f t="array" ref="K1001">IFERROR(SUM(($F$730:$O$730=K$730)*($A$850:$A$928=$A1001)*($D$850:$D$928=$D1001)*($F$850:$O$928)) / SUM(($A$621:$A$677=K$730)*($C$621:$C$677=$A1001)*($H$618:$O$618=$D1001)*($H$621:$O$677)),0)</f>
        <v>0</v>
      </c>
      <c r="L1001" s="1062">
        <f t="shared" si="245"/>
        <v>0</v>
      </c>
      <c r="M1001" s="1062">
        <f t="array" ref="M1001">IFERROR(SUM(($F$730:$O$730=M$730)*($A$850:$A$928=$A1001)*($D$850:$D$928=$D1001)*($F$850:$O$928)) / SUM(($A$621:$A$677=M$730)*($C$621:$C$677=$A1001)*($H$618:$O$618=$D1001)*($H$621:$O$677)),0)</f>
        <v>0</v>
      </c>
      <c r="N1001" s="1062">
        <f t="shared" si="246"/>
        <v>0</v>
      </c>
      <c r="O1001" s="1062">
        <f t="array" ref="O1001">IFERROR(SUM(($F$730:$O$730=O$730)*($A$850:$A$928=$A1001)*($D$850:$D$928=$D1001)*($F$850:$O$928)) / SUM(($A$621:$A$677=O$730)*($C$621:$C$677=$A1001)*($H$618:$O$618=$D1001)*($H$621:$O$677)),0)</f>
        <v>0</v>
      </c>
      <c r="Q1001" s="670"/>
      <c r="R1001" s="670"/>
      <c r="S1001" s="670"/>
      <c r="T1001" s="670"/>
      <c r="U1001" s="670"/>
      <c r="V1001" s="670"/>
      <c r="W1001" s="670"/>
      <c r="X1001" s="670"/>
      <c r="Y1001" s="670"/>
    </row>
    <row r="1002" spans="1:25" s="17" customFormat="1">
      <c r="B1002" s="348"/>
      <c r="C1002" s="348" t="str">
        <f>D27</f>
        <v>Other</v>
      </c>
      <c r="D1002" s="656"/>
      <c r="E1002" s="303"/>
      <c r="F1002" s="1062">
        <f t="array" ref="F1002">IFERROR(SUM(($F$730:$O$730=F$730)*($A$850:$A$928=$A1002)*($D$850:$D$928=$D1002)*($F$850:$O$928)) / SUM(($A$621:$A$677=F$730)*($C$621:$C$677=$A1002)*($H$618:$O$618=$D1002)*($H$621:$O$677)),0)</f>
        <v>0</v>
      </c>
      <c r="G1002" s="1062">
        <f t="array" ref="G1002">IFERROR(SUM(($F$730:$O$730=G$730)*($A$850:$A$928=$A1002)*($D$850:$D$928=$D1002)*($F$850:$O$928)) / SUM(($A$621:$A$677=G$730)*($C$621:$C$677=$A1002)*($H$618:$O$618=$D1002)*($H$621:$O$677)),0)</f>
        <v>0</v>
      </c>
      <c r="H1002" s="1062">
        <f t="shared" si="243"/>
        <v>0</v>
      </c>
      <c r="I1002" s="1062">
        <f t="array" ref="I1002">IFERROR(SUM(($F$730:$O$730=I$730)*($A$850:$A$928=$A1002)*($D$850:$D$928=$D1002)*($F$850:$O$928)) / SUM(($A$621:$A$677=I$730)*($C$621:$C$677=$A1002)*($H$618:$O$618=$D1002)*($H$621:$O$677)),0)</f>
        <v>0</v>
      </c>
      <c r="J1002" s="1062">
        <f t="shared" si="244"/>
        <v>0</v>
      </c>
      <c r="K1002" s="1062">
        <f t="array" ref="K1002">IFERROR(SUM(($F$730:$O$730=K$730)*($A$850:$A$928=$A1002)*($D$850:$D$928=$D1002)*($F$850:$O$928)) / SUM(($A$621:$A$677=K$730)*($C$621:$C$677=$A1002)*($H$618:$O$618=$D1002)*($H$621:$O$677)),0)</f>
        <v>0</v>
      </c>
      <c r="L1002" s="1062">
        <f t="shared" si="245"/>
        <v>0</v>
      </c>
      <c r="M1002" s="1062">
        <f t="array" ref="M1002">IFERROR(SUM(($F$730:$O$730=M$730)*($A$850:$A$928=$A1002)*($D$850:$D$928=$D1002)*($F$850:$O$928)) / SUM(($A$621:$A$677=M$730)*($C$621:$C$677=$A1002)*($H$618:$O$618=$D1002)*($H$621:$O$677)),0)</f>
        <v>0</v>
      </c>
      <c r="N1002" s="1062">
        <f t="shared" si="246"/>
        <v>0</v>
      </c>
      <c r="O1002" s="1062">
        <f t="array" ref="O1002">IFERROR(SUM(($F$730:$O$730=O$730)*($A$850:$A$928=$A1002)*($D$850:$D$928=$D1002)*($F$850:$O$928)) / SUM(($A$621:$A$677=O$730)*($C$621:$C$677=$A1002)*($H$618:$O$618=$D1002)*($H$621:$O$677)),0)</f>
        <v>0</v>
      </c>
      <c r="Q1002" s="670"/>
      <c r="R1002" s="670"/>
      <c r="S1002" s="670"/>
      <c r="T1002" s="670"/>
      <c r="U1002" s="670"/>
      <c r="V1002" s="670"/>
      <c r="W1002" s="670"/>
      <c r="X1002" s="670"/>
      <c r="Y1002" s="670"/>
    </row>
    <row r="1003" spans="1:25" s="17" customFormat="1">
      <c r="A1003" s="1438" t="str">
        <f>INDEX($C$20:$C$27,MATCH($C1002,$D$20:$D$27,0))</f>
        <v>OT</v>
      </c>
      <c r="B1003" s="347" t="str">
        <f>INDEX(EF[UK Vector],MATCH(D1003,EF[SATIM Code],0))</f>
        <v>V.03</v>
      </c>
      <c r="C1003" s="19" t="str">
        <f>INDEX(Vectors[Description], MATCH($B1003, Vectors[Code], 0))</f>
        <v>Solid hydrocarbons</v>
      </c>
      <c r="D1003" s="656" t="s">
        <v>882</v>
      </c>
      <c r="E1003" s="303"/>
      <c r="F1003" s="1062">
        <f t="array" ref="F1003">IFERROR(SUM(($F$730:$O$730=F$730)*($A$850:$A$928=$A1003)*($D$850:$D$928=$D1003)*($F$850:$O$928)) / SUM(($A$621:$A$677=F$730)*($C$621:$C$677=$A1003)*($H$618:$O$618=$D1003)*($H$621:$O$677)),0)</f>
        <v>154.46031303735185</v>
      </c>
      <c r="G1003" s="1062">
        <f t="array" ref="G1003">IFERROR(SUM(($F$730:$O$730=G$730)*($A$850:$A$928=$A1003)*($D$850:$D$928=$D1003)*($F$850:$O$928)) / SUM(($A$621:$A$677=G$730)*($C$621:$C$677=$A1003)*($H$618:$O$618=$D1003)*($H$621:$O$677)),0)</f>
        <v>180.54994864505574</v>
      </c>
      <c r="H1003" s="1062">
        <f t="shared" si="243"/>
        <v>218.61513841739117</v>
      </c>
      <c r="I1003" s="1062">
        <f t="array" ref="I1003">IFERROR(SUM(($F$730:$O$730=I$730)*($A$850:$A$928=$A1003)*($D$850:$D$928=$D1003)*($F$850:$O$928)) / SUM(($A$621:$A$677=I$730)*($C$621:$C$677=$A1003)*($H$618:$O$618=$D1003)*($H$621:$O$677)),0)</f>
        <v>256.68032818972659</v>
      </c>
      <c r="J1003" s="1062">
        <f t="shared" si="244"/>
        <v>317.05790365610198</v>
      </c>
      <c r="K1003" s="1062">
        <f t="array" ref="K1003">IFERROR(SUM(($F$730:$O$730=K$730)*($A$850:$A$928=$A1003)*($D$850:$D$928=$D1003)*($F$850:$O$928)) / SUM(($A$621:$A$677=K$730)*($C$621:$C$677=$A1003)*($H$618:$O$618=$D1003)*($H$621:$O$677)),0)</f>
        <v>377.43547912247732</v>
      </c>
      <c r="L1003" s="1062">
        <f t="shared" si="245"/>
        <v>480.11234688934724</v>
      </c>
      <c r="M1003" s="1062">
        <f t="array" ref="M1003">IFERROR(SUM(($F$730:$O$730=M$730)*($A$850:$A$928=$A1003)*($D$850:$D$928=$D1003)*($F$850:$O$928)) / SUM(($A$621:$A$677=M$730)*($C$621:$C$677=$A1003)*($H$618:$O$618=$D1003)*($H$621:$O$677)),0)</f>
        <v>582.78921465621715</v>
      </c>
      <c r="N1003" s="1062">
        <f t="shared" si="246"/>
        <v>703.24471591224756</v>
      </c>
      <c r="O1003" s="1062">
        <f t="array" ref="O1003">IFERROR(SUM(($F$730:$O$730=O$730)*($A$850:$A$928=$A1003)*($D$850:$D$928=$D1003)*($F$850:$O$928)) / SUM(($A$621:$A$677=O$730)*($C$621:$C$677=$A1003)*($H$618:$O$618=$D1003)*($H$621:$O$677)),0)</f>
        <v>823.70021716827796</v>
      </c>
      <c r="Q1003" s="670"/>
      <c r="R1003" s="670"/>
      <c r="S1003" s="670"/>
      <c r="T1003" s="670"/>
      <c r="U1003" s="670"/>
      <c r="V1003" s="670"/>
      <c r="W1003" s="670"/>
      <c r="X1003" s="670"/>
      <c r="Y1003" s="670"/>
    </row>
    <row r="1004" spans="1:25" s="17" customFormat="1">
      <c r="A1004" s="19" t="str">
        <f t="shared" ref="A1004:A1010" si="247">A1003</f>
        <v>OT</v>
      </c>
      <c r="B1004" s="347" t="str">
        <f>INDEX(EF[UK Vector],MATCH(D1004,EF[SATIM Code],0))</f>
        <v>V.05</v>
      </c>
      <c r="C1004" s="19" t="str">
        <f>INDEX(Vectors[Description], MATCH($B1004, Vectors[Code], 0))</f>
        <v>Gaseous hydrocarbons</v>
      </c>
      <c r="D1004" s="656" t="s">
        <v>869</v>
      </c>
      <c r="E1004" s="303"/>
      <c r="F1004" s="1062">
        <f t="array" ref="F1004">IFERROR(SUM(($F$730:$O$730=F$730)*($A$850:$A$928=$A1004)*($D$850:$D$928=$D1004)*($F$850:$O$928)) / SUM(($A$621:$A$677=F$730)*($C$621:$C$677=$A1004)*($H$618:$O$618=$D1004)*($H$621:$O$677)),0)</f>
        <v>8.4365099999999984</v>
      </c>
      <c r="G1004" s="1062">
        <f t="array" ref="G1004">IFERROR(SUM(($F$730:$O$730=G$730)*($A$850:$A$928=$A1004)*($D$850:$D$928=$D1004)*($F$850:$O$928)) / SUM(($A$621:$A$677=G$730)*($C$621:$C$677=$A1004)*($H$618:$O$618=$D1004)*($H$621:$O$677)),0)</f>
        <v>9.8615069288067119</v>
      </c>
      <c r="H1004" s="1062">
        <f t="shared" si="243"/>
        <v>11.940599919434977</v>
      </c>
      <c r="I1004" s="1062">
        <f t="array" ref="I1004">IFERROR(SUM(($F$730:$O$730=I$730)*($A$850:$A$928=$A1004)*($D$850:$D$928=$D1004)*($F$850:$O$928)) / SUM(($A$621:$A$677=I$730)*($C$621:$C$677=$A1004)*($H$618:$O$618=$D1004)*($H$621:$O$677)),0)</f>
        <v>14.01969291006324</v>
      </c>
      <c r="J1004" s="1062">
        <f t="shared" si="244"/>
        <v>17.317472185407915</v>
      </c>
      <c r="K1004" s="1062">
        <f t="array" ref="K1004">IFERROR(SUM(($F$730:$O$730=K$730)*($A$850:$A$928=$A1004)*($D$850:$D$928=$D1004)*($F$850:$O$928)) / SUM(($A$621:$A$677=K$730)*($C$621:$C$677=$A1004)*($H$618:$O$618=$D1004)*($H$621:$O$677)),0)</f>
        <v>20.615251460752592</v>
      </c>
      <c r="L1004" s="1062">
        <f t="shared" si="245"/>
        <v>26.223387328471581</v>
      </c>
      <c r="M1004" s="1062">
        <f t="array" ref="M1004">IFERROR(SUM(($F$730:$O$730=M$730)*($A$850:$A$928=$A1004)*($D$850:$D$928=$D1004)*($F$850:$O$928)) / SUM(($A$621:$A$677=M$730)*($C$621:$C$677=$A1004)*($H$618:$O$618=$D1004)*($H$621:$O$677)),0)</f>
        <v>31.831523196190567</v>
      </c>
      <c r="N1004" s="1062">
        <f t="shared" si="246"/>
        <v>38.41071509939335</v>
      </c>
      <c r="O1004" s="1062">
        <f t="array" ref="O1004">IFERROR(SUM(($F$730:$O$730=O$730)*($A$850:$A$928=$A1004)*($D$850:$D$928=$D1004)*($F$850:$O$928)) / SUM(($A$621:$A$677=O$730)*($C$621:$C$677=$A1004)*($H$618:$O$618=$D1004)*($H$621:$O$677)),0)</f>
        <v>44.989907002596134</v>
      </c>
      <c r="Q1004" s="670"/>
      <c r="R1004" s="670"/>
      <c r="S1004" s="670"/>
      <c r="T1004" s="670"/>
      <c r="U1004" s="670"/>
      <c r="V1004" s="670"/>
      <c r="W1004" s="670"/>
      <c r="X1004" s="670"/>
      <c r="Y1004" s="670"/>
    </row>
    <row r="1005" spans="1:25" s="17" customFormat="1">
      <c r="A1005" s="19" t="str">
        <f t="shared" si="247"/>
        <v>OT</v>
      </c>
      <c r="B1005" s="347" t="str">
        <f>INDEX(EF[UK Vector],MATCH(D1005,EF[SATIM Code],0))</f>
        <v>V.04</v>
      </c>
      <c r="C1005" s="19" t="str">
        <f>INDEX(Vectors[Description], MATCH($B1005, Vectors[Code], 0))</f>
        <v>Liquid hydrocarbons</v>
      </c>
      <c r="D1005" s="656" t="s">
        <v>885</v>
      </c>
      <c r="E1005" s="303"/>
      <c r="F1005" s="1062">
        <f t="array" ref="F1005">IFERROR(SUM(($F$730:$O$730=F$730)*($A$850:$A$928=$A1005)*($D$850:$D$928=$D1005)*($F$850:$O$928)) / SUM(($A$621:$A$677=F$730)*($C$621:$C$677=$A1005)*($H$618:$O$618=$D1005)*($H$621:$O$677)),0)</f>
        <v>8.9749545600000008E-2</v>
      </c>
      <c r="G1005" s="1062">
        <f t="array" ref="G1005">IFERROR(SUM(($F$730:$O$730=G$730)*($A$850:$A$928=$A1005)*($D$850:$D$928=$D1005)*($F$850:$O$928)) / SUM(($A$621:$A$677=G$730)*($C$621:$C$677=$A1005)*($H$618:$O$618=$D1005)*($H$621:$O$677)),0)</f>
        <v>0.10490899267489211</v>
      </c>
      <c r="H1005" s="1062">
        <f t="shared" si="243"/>
        <v>0.12702686501416888</v>
      </c>
      <c r="I1005" s="1062">
        <f t="array" ref="I1005">IFERROR(SUM(($F$730:$O$730=I$730)*($A$850:$A$928=$A1005)*($D$850:$D$928=$D1005)*($F$850:$O$928)) / SUM(($A$621:$A$677=I$730)*($C$621:$C$677=$A1005)*($H$618:$O$618=$D1005)*($H$621:$O$677)),0)</f>
        <v>0.14914473735344563</v>
      </c>
      <c r="J1005" s="1062">
        <f t="shared" si="244"/>
        <v>0.18422727639521552</v>
      </c>
      <c r="K1005" s="1062">
        <f t="array" ref="K1005">IFERROR(SUM(($F$730:$O$730=K$730)*($A$850:$A$928=$A1005)*($D$850:$D$928=$D1005)*($F$850:$O$928)) / SUM(($A$621:$A$677=K$730)*($C$621:$C$677=$A1005)*($H$618:$O$618=$D1005)*($H$621:$O$677)),0)</f>
        <v>0.21930981543698538</v>
      </c>
      <c r="L1005" s="1062">
        <f t="shared" si="245"/>
        <v>0.27897046252812152</v>
      </c>
      <c r="M1005" s="1062">
        <f t="array" ref="M1005">IFERROR(SUM(($F$730:$O$730=M$730)*($A$850:$A$928=$A1005)*($D$850:$D$928=$D1005)*($F$850:$O$928)) / SUM(($A$621:$A$677=M$730)*($C$621:$C$677=$A1005)*($H$618:$O$618=$D1005)*($H$621:$O$677)),0)</f>
        <v>0.33863110961925763</v>
      </c>
      <c r="N1005" s="1062">
        <f t="shared" si="246"/>
        <v>0.40862207551957053</v>
      </c>
      <c r="O1005" s="1062">
        <f t="array" ref="O1005">IFERROR(SUM(($F$730:$O$730=O$730)*($A$850:$A$928=$A1005)*($D$850:$D$928=$D1005)*($F$850:$O$928)) / SUM(($A$621:$A$677=O$730)*($C$621:$C$677=$A1005)*($H$618:$O$618=$D1005)*($H$621:$O$677)),0)</f>
        <v>0.47861304141988348</v>
      </c>
      <c r="Q1005" s="670"/>
      <c r="R1005" s="670"/>
      <c r="S1005" s="670"/>
      <c r="T1005" s="670"/>
      <c r="U1005" s="670"/>
      <c r="V1005" s="670"/>
      <c r="W1005" s="670"/>
      <c r="X1005" s="670"/>
      <c r="Y1005" s="670"/>
    </row>
    <row r="1006" spans="1:25" s="17" customFormat="1">
      <c r="A1006" s="19" t="str">
        <f t="shared" si="247"/>
        <v>OT</v>
      </c>
      <c r="B1006" s="347" t="str">
        <f>INDEX(EF[UK Vector],MATCH(D1006,EF[SATIM Code],0))</f>
        <v>V.04</v>
      </c>
      <c r="C1006" s="19" t="str">
        <f>INDEX(Vectors[Description], MATCH($B1006, Vectors[Code], 0))</f>
        <v>Liquid hydrocarbons</v>
      </c>
      <c r="D1006" s="656" t="s">
        <v>887</v>
      </c>
      <c r="E1006" s="303"/>
      <c r="F1006" s="1062">
        <f t="array" ref="F1006">IFERROR(SUM(($F$730:$O$730=F$730)*($A$850:$A$928=$A1006)*($D$850:$D$928=$D1006)*($F$850:$O$928)) / SUM(($A$621:$A$677=F$730)*($C$621:$C$677=$A1006)*($H$618:$O$618=$D1006)*($H$621:$O$677)),0)</f>
        <v>3.8018396999999994E-3</v>
      </c>
      <c r="G1006" s="1062">
        <f t="array" ref="G1006">IFERROR(SUM(($F$730:$O$730=G$730)*($A$850:$A$928=$A1006)*($D$850:$D$928=$D1006)*($F$850:$O$928)) / SUM(($A$621:$A$677=G$730)*($C$621:$C$677=$A1006)*($H$618:$O$618=$D1006)*($H$621:$O$677)),0)</f>
        <v>4.4440021458828863E-3</v>
      </c>
      <c r="H1006" s="1062">
        <f t="shared" si="243"/>
        <v>5.3809272810113051E-3</v>
      </c>
      <c r="I1006" s="1062">
        <f t="array" ref="I1006">IFERROR(SUM(($F$730:$O$730=I$730)*($A$850:$A$928=$A1006)*($D$850:$D$928=$D1006)*($F$850:$O$928)) / SUM(($A$621:$A$677=I$730)*($C$621:$C$677=$A1006)*($H$618:$O$618=$D1006)*($H$621:$O$677)),0)</f>
        <v>6.3178524161397248E-3</v>
      </c>
      <c r="J1006" s="1062">
        <f t="shared" si="244"/>
        <v>7.8039679035678943E-3</v>
      </c>
      <c r="K1006" s="1062">
        <f t="array" ref="K1006">IFERROR(SUM(($F$730:$O$730=K$730)*($A$850:$A$928=$A1006)*($D$850:$D$928=$D1006)*($F$850:$O$928)) / SUM(($A$621:$A$677=K$730)*($C$621:$C$677=$A1006)*($H$618:$O$618=$D1006)*($H$621:$O$677)),0)</f>
        <v>9.290083390996063E-3</v>
      </c>
      <c r="L1006" s="1062">
        <f t="shared" si="245"/>
        <v>1.1817340940016689E-2</v>
      </c>
      <c r="M1006" s="1062">
        <f t="array" ref="M1006">IFERROR(SUM(($F$730:$O$730=M$730)*($A$850:$A$928=$A1006)*($D$850:$D$928=$D1006)*($F$850:$O$928)) / SUM(($A$621:$A$677=M$730)*($C$621:$C$677=$A1006)*($H$618:$O$618=$D1006)*($H$621:$O$677)),0)</f>
        <v>1.4344598489037312E-2</v>
      </c>
      <c r="N1006" s="1062">
        <f t="shared" si="246"/>
        <v>1.7309453976853351E-2</v>
      </c>
      <c r="O1006" s="1062">
        <f t="array" ref="O1006">IFERROR(SUM(($F$730:$O$730=O$730)*($A$850:$A$928=$A1006)*($D$850:$D$928=$D1006)*($F$850:$O$928)) / SUM(($A$621:$A$677=O$730)*($C$621:$C$677=$A1006)*($H$618:$O$618=$D1006)*($H$621:$O$677)),0)</f>
        <v>2.0274309464669391E-2</v>
      </c>
      <c r="Q1006" s="670"/>
      <c r="R1006" s="670"/>
      <c r="S1006" s="670"/>
      <c r="T1006" s="670"/>
      <c r="U1006" s="670"/>
      <c r="V1006" s="670"/>
      <c r="W1006" s="670"/>
      <c r="X1006" s="670"/>
      <c r="Y1006" s="670"/>
    </row>
    <row r="1007" spans="1:25" s="17" customFormat="1">
      <c r="A1007" s="19" t="str">
        <f t="shared" si="247"/>
        <v>OT</v>
      </c>
      <c r="B1007" s="347" t="str">
        <f>INDEX(EF[UK Vector],MATCH(D1007,EF[SATIM Code],0))</f>
        <v>V.01</v>
      </c>
      <c r="C1007" s="19" t="str">
        <f>INDEX(Vectors[Description], MATCH($B1007, Vectors[Code], 0))</f>
        <v>Electricity (delivered to end user)</v>
      </c>
      <c r="D1007" s="656" t="s">
        <v>879</v>
      </c>
      <c r="E1007" s="303"/>
      <c r="F1007" s="1062">
        <f t="array" ref="F1007">IFERROR(SUM(($F$730:$O$730=F$730)*($A$850:$A$928=$A1007)*($D$850:$D$928=$D1007)*($F$850:$O$928)) / SUM(($A$621:$A$677=F$730)*($C$621:$C$677=$A1007)*($H$618:$O$618=$D1007)*($H$621:$O$677)),0)</f>
        <v>0.25137158400000004</v>
      </c>
      <c r="G1007" s="1062">
        <f t="array" ref="G1007">IFERROR(SUM(($F$730:$O$730=G$730)*($A$850:$A$928=$A1007)*($D$850:$D$928=$D1007)*($F$850:$O$928)) / SUM(($A$621:$A$677=G$730)*($C$621:$C$677=$A1007)*($H$618:$O$618=$D1007)*($H$621:$O$677)),0)</f>
        <v>0.29393318481218994</v>
      </c>
      <c r="H1007" s="1062">
        <f t="shared" si="243"/>
        <v>0.35630054010679135</v>
      </c>
      <c r="I1007" s="1062">
        <f t="array" ref="I1007">IFERROR(SUM(($F$730:$O$730=I$730)*($A$850:$A$928=$A1007)*($D$850:$D$928=$D1007)*($F$850:$O$928)) / SUM(($A$621:$A$677=I$730)*($C$621:$C$677=$A1007)*($H$618:$O$618=$D1007)*($H$621:$O$677)),0)</f>
        <v>0.41866789540139271</v>
      </c>
      <c r="J1007" s="1062">
        <f t="shared" si="244"/>
        <v>0.51822224008589357</v>
      </c>
      <c r="K1007" s="1062">
        <f t="array" ref="K1007">IFERROR(SUM(($F$730:$O$730=K$730)*($A$850:$A$928=$A1007)*($D$850:$D$928=$D1007)*($F$850:$O$928)) / SUM(($A$621:$A$677=K$730)*($C$621:$C$677=$A1007)*($H$618:$O$618=$D1007)*($H$621:$O$677)),0)</f>
        <v>0.61777658477039443</v>
      </c>
      <c r="L1007" s="1062">
        <f t="shared" si="245"/>
        <v>0.78724619835065324</v>
      </c>
      <c r="M1007" s="1062">
        <f t="array" ref="M1007">IFERROR(SUM(($F$730:$O$730=M$730)*($A$850:$A$928=$A1007)*($D$850:$D$928=$D1007)*($F$850:$O$928)) / SUM(($A$621:$A$677=M$730)*($C$621:$C$677=$A1007)*($H$618:$O$618=$D1007)*($H$621:$O$677)),0)</f>
        <v>0.95671581193091204</v>
      </c>
      <c r="N1007" s="1062">
        <f t="shared" si="246"/>
        <v>1.1553129518984211</v>
      </c>
      <c r="O1007" s="1062">
        <f t="array" ref="O1007">IFERROR(SUM(($F$730:$O$730=O$730)*($A$850:$A$928=$A1007)*($D$850:$D$928=$D1007)*($F$850:$O$928)) / SUM(($A$621:$A$677=O$730)*($C$621:$C$677=$A1007)*($H$618:$O$618=$D1007)*($H$621:$O$677)),0)</f>
        <v>1.3539100918659301</v>
      </c>
      <c r="Q1007" s="670"/>
      <c r="R1007" s="670"/>
      <c r="S1007" s="670"/>
      <c r="T1007" s="670"/>
      <c r="U1007" s="670"/>
      <c r="V1007" s="670"/>
      <c r="W1007" s="670"/>
      <c r="X1007" s="670"/>
      <c r="Y1007" s="670"/>
    </row>
    <row r="1008" spans="1:25" s="17" customFormat="1">
      <c r="A1008" s="19" t="str">
        <f t="shared" si="247"/>
        <v>OT</v>
      </c>
      <c r="B1008" s="347" t="str">
        <f>INDEX(EF[UK Vector],MATCH(D1008,EF[SATIM Code],0))</f>
        <v>V.09</v>
      </c>
      <c r="C1008" s="19" t="str">
        <f>INDEX(Vectors[Description], MATCH($B1008, Vectors[Code], 0))</f>
        <v>Dry biomass and waste</v>
      </c>
      <c r="D1008" s="656" t="s">
        <v>888</v>
      </c>
      <c r="E1008" s="303"/>
      <c r="F1008" s="1062">
        <f t="array" ref="F1008">IFERROR(SUM(($F$730:$O$730=F$730)*($A$850:$A$928=$A1008)*($D$850:$D$928=$D1008)*($F$850:$O$928)) / SUM(($A$621:$A$677=F$730)*($C$621:$C$677=$A1008)*($H$618:$O$618=$D1008)*($H$621:$O$677)),0)</f>
        <v>0</v>
      </c>
      <c r="G1008" s="1062">
        <f t="array" ref="G1008">IFERROR(SUM(($F$730:$O$730=G$730)*($A$850:$A$928=$A1008)*($D$850:$D$928=$D1008)*($F$850:$O$928)) / SUM(($A$621:$A$677=G$730)*($C$621:$C$677=$A1008)*($H$618:$O$618=$D1008)*($H$621:$O$677)),0)</f>
        <v>0</v>
      </c>
      <c r="H1008" s="1062">
        <f t="shared" si="243"/>
        <v>0</v>
      </c>
      <c r="I1008" s="1062">
        <f t="array" ref="I1008">IFERROR(SUM(($F$730:$O$730=I$730)*($A$850:$A$928=$A1008)*($D$850:$D$928=$D1008)*($F$850:$O$928)) / SUM(($A$621:$A$677=I$730)*($C$621:$C$677=$A1008)*($H$618:$O$618=$D1008)*($H$621:$O$677)),0)</f>
        <v>0</v>
      </c>
      <c r="J1008" s="1062">
        <f t="shared" si="244"/>
        <v>0</v>
      </c>
      <c r="K1008" s="1062">
        <f t="array" ref="K1008">IFERROR(SUM(($F$730:$O$730=K$730)*($A$850:$A$928=$A1008)*($D$850:$D$928=$D1008)*($F$850:$O$928)) / SUM(($A$621:$A$677=K$730)*($C$621:$C$677=$A1008)*($H$618:$O$618=$D1008)*($H$621:$O$677)),0)</f>
        <v>0</v>
      </c>
      <c r="L1008" s="1062">
        <f t="shared" si="245"/>
        <v>0</v>
      </c>
      <c r="M1008" s="1062">
        <f t="array" ref="M1008">IFERROR(SUM(($F$730:$O$730=M$730)*($A$850:$A$928=$A1008)*($D$850:$D$928=$D1008)*($F$850:$O$928)) / SUM(($A$621:$A$677=M$730)*($C$621:$C$677=$A1008)*($H$618:$O$618=$D1008)*($H$621:$O$677)),0)</f>
        <v>0</v>
      </c>
      <c r="N1008" s="1062">
        <f t="shared" si="246"/>
        <v>0</v>
      </c>
      <c r="O1008" s="1062">
        <f t="array" ref="O1008">IFERROR(SUM(($F$730:$O$730=O$730)*($A$850:$A$928=$A1008)*($D$850:$D$928=$D1008)*($F$850:$O$928)) / SUM(($A$621:$A$677=O$730)*($C$621:$C$677=$A1008)*($H$618:$O$618=$D1008)*($H$621:$O$677)),0)</f>
        <v>0</v>
      </c>
      <c r="Q1008" s="670"/>
      <c r="R1008" s="670"/>
      <c r="S1008" s="670"/>
      <c r="T1008" s="670"/>
      <c r="U1008" s="670"/>
      <c r="V1008" s="670"/>
      <c r="W1008" s="670"/>
      <c r="X1008" s="670"/>
      <c r="Y1008" s="670"/>
    </row>
    <row r="1009" spans="1:25" s="17" customFormat="1">
      <c r="A1009" s="19" t="str">
        <f t="shared" si="247"/>
        <v>OT</v>
      </c>
      <c r="B1009" s="72" t="str">
        <f>INDEX(EF[UK Vector],MATCH(D1009,EF[SATIM Code],0))</f>
        <v>V.09</v>
      </c>
      <c r="C1009" s="166" t="str">
        <f>INDEX(Vectors[Description], MATCH($B1009, Vectors[Code], 0))</f>
        <v>Dry biomass and waste</v>
      </c>
      <c r="D1009" s="655" t="s">
        <v>889</v>
      </c>
      <c r="E1009" s="104"/>
      <c r="F1009" s="1062">
        <f t="array" ref="F1009">IFERROR(SUM(($F$730:$O$730=F$730)*($A$850:$A$928=$A1009)*($D$850:$D$928=$D1009)*($F$850:$O$928)) / SUM(($A$621:$A$677=F$730)*($C$621:$C$677=$A1009)*($H$618:$O$618=$D1009)*($H$621:$O$677)),0)</f>
        <v>0</v>
      </c>
      <c r="G1009" s="1062">
        <f t="array" ref="G1009">IFERROR(SUM(($F$730:$O$730=G$730)*($A$850:$A$928=$A1009)*($D$850:$D$928=$D1009)*($F$850:$O$928)) / SUM(($A$621:$A$677=G$730)*($C$621:$C$677=$A1009)*($H$618:$O$618=$D1009)*($H$621:$O$677)),0)</f>
        <v>0</v>
      </c>
      <c r="H1009" s="1062">
        <f t="shared" si="243"/>
        <v>0</v>
      </c>
      <c r="I1009" s="1062">
        <f t="array" ref="I1009">IFERROR(SUM(($F$730:$O$730=I$730)*($A$850:$A$928=$A1009)*($D$850:$D$928=$D1009)*($F$850:$O$928)) / SUM(($A$621:$A$677=I$730)*($C$621:$C$677=$A1009)*($H$618:$O$618=$D1009)*($H$621:$O$677)),0)</f>
        <v>0</v>
      </c>
      <c r="J1009" s="1062">
        <f t="shared" si="244"/>
        <v>0</v>
      </c>
      <c r="K1009" s="1062">
        <f t="array" ref="K1009">IFERROR(SUM(($F$730:$O$730=K$730)*($A$850:$A$928=$A1009)*($D$850:$D$928=$D1009)*($F$850:$O$928)) / SUM(($A$621:$A$677=K$730)*($C$621:$C$677=$A1009)*($H$618:$O$618=$D1009)*($H$621:$O$677)),0)</f>
        <v>0</v>
      </c>
      <c r="L1009" s="1062">
        <f t="shared" si="245"/>
        <v>0</v>
      </c>
      <c r="M1009" s="1062">
        <f t="array" ref="M1009">IFERROR(SUM(($F$730:$O$730=M$730)*($A$850:$A$928=$A1009)*($D$850:$D$928=$D1009)*($F$850:$O$928)) / SUM(($A$621:$A$677=M$730)*($C$621:$C$677=$A1009)*($H$618:$O$618=$D1009)*($H$621:$O$677)),0)</f>
        <v>0</v>
      </c>
      <c r="N1009" s="1062">
        <f t="shared" si="246"/>
        <v>0</v>
      </c>
      <c r="O1009" s="1062">
        <f t="array" ref="O1009">IFERROR(SUM(($F$730:$O$730=O$730)*($A$850:$A$928=$A1009)*($D$850:$D$928=$D1009)*($F$850:$O$928)) / SUM(($A$621:$A$677=O$730)*($C$621:$C$677=$A1009)*($H$618:$O$618=$D1009)*($H$621:$O$677)),0)</f>
        <v>0</v>
      </c>
      <c r="Q1009" s="670"/>
      <c r="R1009" s="670"/>
      <c r="S1009" s="670"/>
      <c r="T1009" s="670"/>
      <c r="U1009" s="670"/>
      <c r="V1009" s="670"/>
      <c r="W1009" s="670"/>
      <c r="X1009" s="670"/>
      <c r="Y1009" s="670"/>
    </row>
    <row r="1010" spans="1:25" s="17" customFormat="1">
      <c r="A1010" s="19" t="str">
        <f t="shared" si="247"/>
        <v>OT</v>
      </c>
      <c r="B1010" s="347" t="s">
        <v>897</v>
      </c>
      <c r="C1010" s="19" t="str">
        <f>INDEX(Vectors[Description], MATCH($B1010, Vectors[Code], 0))</f>
        <v>Other Waste</v>
      </c>
      <c r="D1010" s="17" t="s">
        <v>890</v>
      </c>
      <c r="E1010" s="104"/>
      <c r="F1010" s="1062">
        <f t="array" ref="F1010">IFERROR(SUM(($F$730:$O$730=F$730)*($A$850:$A$928=$A1010)*($D$850:$D$928=$D1010)*($F$850:$O$928)) / SUM(($A$621:$A$677=F$730)*($C$621:$C$677=$A1010)*($H$618:$O$618=$D1010)*($H$621:$O$677)),0)</f>
        <v>0</v>
      </c>
      <c r="G1010" s="1062">
        <f t="array" ref="G1010">IFERROR(SUM(($F$730:$O$730=G$730)*($A$850:$A$928=$A1010)*($D$850:$D$928=$D1010)*($F$850:$O$928)) / SUM(($A$621:$A$677=G$730)*($C$621:$C$677=$A1010)*($H$618:$O$618=$D1010)*($H$621:$O$677)),0)</f>
        <v>0</v>
      </c>
      <c r="H1010" s="1062">
        <f t="shared" si="243"/>
        <v>0</v>
      </c>
      <c r="I1010" s="1062">
        <f t="array" ref="I1010">IFERROR(SUM(($F$730:$O$730=I$730)*($A$850:$A$928=$A1010)*($D$850:$D$928=$D1010)*($F$850:$O$928)) / SUM(($A$621:$A$677=I$730)*($C$621:$C$677=$A1010)*($H$618:$O$618=$D1010)*($H$621:$O$677)),0)</f>
        <v>0</v>
      </c>
      <c r="J1010" s="1062">
        <f t="shared" si="244"/>
        <v>0</v>
      </c>
      <c r="K1010" s="1062">
        <f t="array" ref="K1010">IFERROR(SUM(($F$730:$O$730=K$730)*($A$850:$A$928=$A1010)*($D$850:$D$928=$D1010)*($F$850:$O$928)) / SUM(($A$621:$A$677=K$730)*($C$621:$C$677=$A1010)*($H$618:$O$618=$D1010)*($H$621:$O$677)),0)</f>
        <v>0</v>
      </c>
      <c r="L1010" s="1062">
        <f t="shared" si="245"/>
        <v>0</v>
      </c>
      <c r="M1010" s="1062">
        <f t="array" ref="M1010">IFERROR(SUM(($F$730:$O$730=M$730)*($A$850:$A$928=$A1010)*($D$850:$D$928=$D1010)*($F$850:$O$928)) / SUM(($A$621:$A$677=M$730)*($C$621:$C$677=$A1010)*($H$618:$O$618=$D1010)*($H$621:$O$677)),0)</f>
        <v>0</v>
      </c>
      <c r="N1010" s="1062">
        <f t="shared" si="246"/>
        <v>0</v>
      </c>
      <c r="O1010" s="1062">
        <f t="array" ref="O1010">IFERROR(SUM(($F$730:$O$730=O$730)*($A$850:$A$928=$A1010)*($D$850:$D$928=$D1010)*($F$850:$O$928)) / SUM(($A$621:$A$677=O$730)*($C$621:$C$677=$A1010)*($H$618:$O$618=$D1010)*($H$621:$O$677)),0)</f>
        <v>0</v>
      </c>
      <c r="Q1010" s="670"/>
      <c r="R1010" s="670"/>
      <c r="S1010" s="670"/>
      <c r="T1010" s="670"/>
      <c r="U1010" s="670"/>
      <c r="V1010" s="670"/>
      <c r="W1010" s="670"/>
      <c r="X1010" s="670"/>
      <c r="Y1010" s="670"/>
    </row>
    <row r="1011" spans="1:25" s="17" customFormat="1" ht="14" thickBot="1">
      <c r="A1011" s="666"/>
      <c r="B1011" s="666"/>
      <c r="C1011" s="666"/>
      <c r="D1011" s="666"/>
      <c r="E1011" s="669"/>
      <c r="F1011" s="668"/>
      <c r="G1011" s="668"/>
      <c r="H1011" s="668"/>
      <c r="I1011" s="668"/>
      <c r="J1011" s="668"/>
      <c r="K1011" s="668"/>
      <c r="L1011" s="668"/>
      <c r="M1011" s="668"/>
      <c r="N1011" s="668"/>
      <c r="O1011" s="668"/>
    </row>
    <row r="1012" spans="1:25" s="17" customFormat="1" ht="14" thickTop="1">
      <c r="A1012" s="559"/>
      <c r="B1012" s="559"/>
      <c r="C1012" s="559"/>
      <c r="D1012" s="559"/>
      <c r="E1012" s="667"/>
      <c r="F1012" s="46"/>
      <c r="G1012" s="46"/>
      <c r="H1012" s="46"/>
      <c r="I1012" s="46"/>
      <c r="J1012" s="46"/>
      <c r="K1012" s="46"/>
      <c r="L1012" s="46"/>
      <c r="M1012" s="46"/>
      <c r="N1012" s="46"/>
      <c r="O1012" s="46"/>
    </row>
    <row r="1013" spans="1:25" s="17" customFormat="1" ht="14">
      <c r="B1013" s="348" t="s">
        <v>1865</v>
      </c>
      <c r="C1013" s="19"/>
      <c r="D1013" s="1086"/>
      <c r="E1013" s="654" t="s">
        <v>1864</v>
      </c>
      <c r="F1013" s="22"/>
      <c r="G1013" s="75"/>
      <c r="H1013" s="75"/>
      <c r="I1013" s="75"/>
      <c r="J1013" s="75"/>
      <c r="K1013" s="75"/>
      <c r="L1013" s="75"/>
      <c r="M1013" s="75"/>
      <c r="N1013" s="75"/>
      <c r="O1013" s="75"/>
    </row>
    <row r="1014" spans="1:25" s="17" customFormat="1" ht="14">
      <c r="C1014" s="348" t="s">
        <v>1332</v>
      </c>
      <c r="E1014" s="654"/>
      <c r="F1014" s="22"/>
      <c r="G1014" s="75"/>
      <c r="H1014" s="75"/>
      <c r="I1014" s="75"/>
      <c r="J1014" s="75"/>
      <c r="K1014" s="75"/>
      <c r="L1014" s="75"/>
      <c r="M1014" s="75"/>
      <c r="N1014" s="75"/>
      <c r="O1014" s="75"/>
    </row>
    <row r="1015" spans="1:25" s="17" customFormat="1">
      <c r="A1015" s="19"/>
      <c r="B1015" s="348"/>
      <c r="C1015" s="348" t="str">
        <f>D20</f>
        <v>Mining SIC2</v>
      </c>
      <c r="D1015" s="654"/>
      <c r="E1015" s="348"/>
      <c r="F1015" s="22"/>
      <c r="G1015" s="22"/>
      <c r="H1015" s="22"/>
      <c r="I1015" s="22"/>
      <c r="J1015" s="22"/>
      <c r="K1015" s="22"/>
      <c r="L1015" s="22"/>
      <c r="M1015" s="22"/>
      <c r="N1015" s="22"/>
      <c r="O1015" s="22"/>
    </row>
    <row r="1016" spans="1:25" s="17" customFormat="1">
      <c r="A1016" s="1438" t="str">
        <f>INDEX($C$20:$C$27,MATCH($C1015,$D$20:$D$27,0))</f>
        <v>MI</v>
      </c>
      <c r="B1016" s="347" t="str">
        <f>INDEX(EF[UK Vector],MATCH(D1016,EF[SATIM Code],0))</f>
        <v>V.04</v>
      </c>
      <c r="C1016" s="19" t="str">
        <f>INDEX(Vectors[Description], MATCH($B1016, Vectors[Code], 0))</f>
        <v>Liquid hydrocarbons</v>
      </c>
      <c r="D1016" s="644" t="s">
        <v>886</v>
      </c>
      <c r="E1016" s="17" t="s">
        <v>1328</v>
      </c>
      <c r="F1016" s="22">
        <f t="array" ref="F1016">SUM(IFERROR(($C$441:$C$444=$A1016) * ($E$441:$E$444=$D1016) * (F$441:F$444),0))</f>
        <v>28.149155919000002</v>
      </c>
      <c r="G1016" s="22">
        <f t="array" ref="G1016">SUM(IFERROR(($C$441:$C$444=$A1016) * ($E$441:$E$444=$D1016) * (G$441:G$444),0))</f>
        <v>33.074807963452685</v>
      </c>
      <c r="H1016" s="22">
        <f t="array" ref="H1016">SUM(IFERROR(($C$441:$C$444=$A1016) * ($E$441:$E$444=$D1016) * (H$441:H$444),0))</f>
        <v>40.598144190040948</v>
      </c>
      <c r="I1016" s="22">
        <f t="array" ref="I1016">SUM(IFERROR(($C$441:$C$444=$A1016) * ($E$441:$E$444=$D1016) * (I$441:I$444),0))</f>
        <v>50.491570484279876</v>
      </c>
      <c r="J1016" s="22">
        <f t="array" ref="J1016">SUM(IFERROR(($C$441:$C$444=$A1016) * ($E$441:$E$444=$D1016) * (J$441:J$444),0))</f>
        <v>63.332677797140803</v>
      </c>
      <c r="K1016" s="22">
        <f t="array" ref="K1016">SUM(IFERROR(($C$441:$C$444=$A1016) * ($E$441:$E$444=$D1016) * (K$441:K$444),0))</f>
        <v>80.114266300549829</v>
      </c>
      <c r="L1016" s="22">
        <f t="array" ref="L1016">SUM(IFERROR(($C$441:$C$444=$A1016) * ($E$441:$E$444=$D1016) * (L$441:L$444),0))</f>
        <v>101.35354617684031</v>
      </c>
      <c r="M1016" s="22">
        <f t="array" ref="M1016">SUM(IFERROR(($C$441:$C$444=$A1016) * ($E$441:$E$444=$D1016) * (M$441:M$444),0))</f>
        <v>125.69154773728779</v>
      </c>
      <c r="N1016" s="22">
        <f t="array" ref="N1016">SUM(IFERROR(($C$441:$C$444=$A1016) * ($E$441:$E$444=$D1016) * (N$441:N$444),0))</f>
        <v>151.70946510495679</v>
      </c>
      <c r="O1016" s="22">
        <f t="array" ref="O1016">SUM(IFERROR(($C$441:$C$444=$A1016) * ($E$441:$E$444=$D1016) * (O$441:O$444),0))</f>
        <v>180.52189764749255</v>
      </c>
    </row>
    <row r="1017" spans="1:25" s="17" customFormat="1">
      <c r="A1017" s="1086"/>
      <c r="B1017" s="347"/>
      <c r="D1017" s="19"/>
      <c r="F1017" s="22">
        <f t="array" ref="F1017">SUM(IFERROR(($C$441:$C$444=$A1017) * ($E$441:$E$444=$D1017) * (F$441:F$444),0))</f>
        <v>0</v>
      </c>
      <c r="G1017" s="22">
        <f t="array" ref="G1017">SUM(IFERROR(($C$441:$C$444=$A1017) * ($E$441:$E$444=$D1017) * (G$441:G$444),0))</f>
        <v>0</v>
      </c>
      <c r="H1017" s="22">
        <f t="array" ref="H1017">SUM(IFERROR(($C$441:$C$444=$A1017) * ($E$441:$E$444=$D1017) * (H$441:H$444),0))</f>
        <v>0</v>
      </c>
      <c r="I1017" s="22">
        <f t="array" ref="I1017">SUM(IFERROR(($C$441:$C$444=$A1017) * ($E$441:$E$444=$D1017) * (I$441:I$444),0))</f>
        <v>0</v>
      </c>
      <c r="J1017" s="22">
        <f t="array" ref="J1017">SUM(IFERROR(($C$441:$C$444=$A1017) * ($E$441:$E$444=$D1017) * (J$441:J$444),0))</f>
        <v>0</v>
      </c>
      <c r="K1017" s="22">
        <f t="array" ref="K1017">SUM(IFERROR(($C$441:$C$444=$A1017) * ($E$441:$E$444=$D1017) * (K$441:K$444),0))</f>
        <v>0</v>
      </c>
      <c r="L1017" s="22">
        <f t="array" ref="L1017">SUM(IFERROR(($C$441:$C$444=$A1017) * ($E$441:$E$444=$D1017) * (L$441:L$444),0))</f>
        <v>0</v>
      </c>
      <c r="M1017" s="22">
        <f t="array" ref="M1017">SUM(IFERROR(($C$441:$C$444=$A1017) * ($E$441:$E$444=$D1017) * (M$441:M$444),0))</f>
        <v>0</v>
      </c>
      <c r="N1017" s="22">
        <f t="array" ref="N1017">SUM(IFERROR(($C$441:$C$444=$A1017) * ($E$441:$E$444=$D1017) * (N$441:N$444),0))</f>
        <v>0</v>
      </c>
      <c r="O1017" s="22">
        <f t="array" ref="O1017">SUM(IFERROR(($C$441:$C$444=$A1017) * ($E$441:$E$444=$D1017) * (O$441:O$444),0))</f>
        <v>0</v>
      </c>
    </row>
    <row r="1018" spans="1:25" s="17" customFormat="1">
      <c r="A1018" s="1086"/>
      <c r="B1018" s="347"/>
      <c r="C1018" s="348" t="str">
        <f>D21</f>
        <v>Iron  &amp; Steel  - 351</v>
      </c>
      <c r="D1018" s="19"/>
      <c r="F1018" s="22">
        <f t="array" ref="F1018">SUM(IFERROR(($C$441:$C$444=$A1018) * ($E$441:$E$444=$D1018) * (F$441:F$444),0))</f>
        <v>0</v>
      </c>
      <c r="G1018" s="22">
        <f t="array" ref="G1018">SUM(IFERROR(($C$441:$C$444=$A1018) * ($E$441:$E$444=$D1018) * (G$441:G$444),0))</f>
        <v>0</v>
      </c>
      <c r="H1018" s="22">
        <f t="array" ref="H1018">SUM(IFERROR(($C$441:$C$444=$A1018) * ($E$441:$E$444=$D1018) * (H$441:H$444),0))</f>
        <v>0</v>
      </c>
      <c r="I1018" s="22">
        <f t="array" ref="I1018">SUM(IFERROR(($C$441:$C$444=$A1018) * ($E$441:$E$444=$D1018) * (I$441:I$444),0))</f>
        <v>0</v>
      </c>
      <c r="J1018" s="22">
        <f t="array" ref="J1018">SUM(IFERROR(($C$441:$C$444=$A1018) * ($E$441:$E$444=$D1018) * (J$441:J$444),0))</f>
        <v>0</v>
      </c>
      <c r="K1018" s="22">
        <f t="array" ref="K1018">SUM(IFERROR(($C$441:$C$444=$A1018) * ($E$441:$E$444=$D1018) * (K$441:K$444),0))</f>
        <v>0</v>
      </c>
      <c r="L1018" s="22">
        <f t="array" ref="L1018">SUM(IFERROR(($C$441:$C$444=$A1018) * ($E$441:$E$444=$D1018) * (L$441:L$444),0))</f>
        <v>0</v>
      </c>
      <c r="M1018" s="22">
        <f t="array" ref="M1018">SUM(IFERROR(($C$441:$C$444=$A1018) * ($E$441:$E$444=$D1018) * (M$441:M$444),0))</f>
        <v>0</v>
      </c>
      <c r="N1018" s="22">
        <f t="array" ref="N1018">SUM(IFERROR(($C$441:$C$444=$A1018) * ($E$441:$E$444=$D1018) * (N$441:N$444),0))</f>
        <v>0</v>
      </c>
      <c r="O1018" s="22">
        <f t="array" ref="O1018">SUM(IFERROR(($C$441:$C$444=$A1018) * ($E$441:$E$444=$D1018) * (O$441:O$444),0))</f>
        <v>0</v>
      </c>
    </row>
    <row r="1019" spans="1:25" s="17" customFormat="1">
      <c r="A1019" s="1438" t="str">
        <f>INDEX($C$20:$C$27,MATCH($C1018,$D$20:$D$27,0))</f>
        <v>IS</v>
      </c>
      <c r="B1019" s="347" t="str">
        <f>INDEX(EF[UK Vector],MATCH(D1019,EF[SATIM Code],0))</f>
        <v>V.03</v>
      </c>
      <c r="C1019" s="19" t="str">
        <f>INDEX(Vectors[Description], MATCH($B1019, Vectors[Code], 0))</f>
        <v>Solid hydrocarbons</v>
      </c>
      <c r="D1019" s="644" t="s">
        <v>883</v>
      </c>
      <c r="E1019" s="19" t="s">
        <v>1329</v>
      </c>
      <c r="F1019" s="22">
        <f t="array" ref="F1019">SUM(IFERROR(($C$441:$C$444=$A1019) * ($E$441:$E$444=$D1019) * (F$441:F$444),0))</f>
        <v>50.250383099999993</v>
      </c>
      <c r="G1019" s="22">
        <f t="array" ref="G1019">SUM(IFERROR(($C$441:$C$444=$A1019) * ($E$441:$E$444=$D1019) * (G$441:G$444),0))</f>
        <v>58.192771057683835</v>
      </c>
      <c r="H1019" s="22">
        <f t="array" ref="H1019">SUM(IFERROR(($C$441:$C$444=$A1019) * ($E$441:$E$444=$D1019) * (H$441:H$444),0))</f>
        <v>73.127262810098827</v>
      </c>
      <c r="I1019" s="22">
        <f t="array" ref="I1019">SUM(IFERROR(($C$441:$C$444=$A1019) * ($E$441:$E$444=$D1019) * (I$441:I$444),0))</f>
        <v>92.419199129719743</v>
      </c>
      <c r="J1019" s="22">
        <f t="array" ref="J1019">SUM(IFERROR(($C$441:$C$444=$A1019) * ($E$441:$E$444=$D1019) * (J$441:J$444),0))</f>
        <v>116.13732614258629</v>
      </c>
      <c r="K1019" s="22">
        <f t="array" ref="K1019">SUM(IFERROR(($C$441:$C$444=$A1019) * ($E$441:$E$444=$D1019) * (K$441:K$444),0))</f>
        <v>145.93937192175915</v>
      </c>
      <c r="L1019" s="22">
        <f t="array" ref="L1019">SUM(IFERROR(($C$441:$C$444=$A1019) * ($E$441:$E$444=$D1019) * (L$441:L$444),0))</f>
        <v>179.4329134051774</v>
      </c>
      <c r="M1019" s="22">
        <f t="array" ref="M1019">SUM(IFERROR(($C$441:$C$444=$A1019) * ($E$441:$E$444=$D1019) * (M$441:M$444),0))</f>
        <v>216.77122918940168</v>
      </c>
      <c r="N1019" s="22">
        <f t="array" ref="N1019">SUM(IFERROR(($C$441:$C$444=$A1019) * ($E$441:$E$444=$D1019) * (N$441:N$444),0))</f>
        <v>255.70983914297494</v>
      </c>
      <c r="O1019" s="22">
        <f t="array" ref="O1019">SUM(IFERROR(($C$441:$C$444=$A1019) * ($E$441:$E$444=$D1019) * (O$441:O$444),0))</f>
        <v>299.56924084042498</v>
      </c>
    </row>
    <row r="1020" spans="1:25" s="17" customFormat="1">
      <c r="A1020" s="19" t="str">
        <f>A1019</f>
        <v>IS</v>
      </c>
      <c r="B1020" s="347" t="str">
        <f>INDEX(EF[UK Vector],MATCH(D1020,EF[SATIM Code],0))</f>
        <v>V.05</v>
      </c>
      <c r="C1020" s="19" t="str">
        <f>INDEX(Vectors[Description], MATCH($B1020, Vectors[Code], 0))</f>
        <v>Gaseous hydrocarbons</v>
      </c>
      <c r="D1020" s="644" t="s">
        <v>869</v>
      </c>
      <c r="E1020" s="19" t="s">
        <v>1329</v>
      </c>
      <c r="F1020" s="22">
        <f>SUM(IFERROR(($C$441:$C$444=$A1020) * ($E$441:$E$444=$D1020) * (F$441:F$444),0))</f>
        <v>0</v>
      </c>
      <c r="G1020" s="22">
        <f t="array" ref="G1020">SUM(IFERROR(($C$441:$C$444=$A1020) * ($E$441:$E$444=$D1020) * (G$441:G$444),0))</f>
        <v>0</v>
      </c>
      <c r="H1020" s="22">
        <f t="array" ref="H1020">SUM(IFERROR(($C$441:$C$444=$A1020) * ($E$441:$E$444=$D1020) * (H$441:H$444),0))</f>
        <v>0</v>
      </c>
      <c r="I1020" s="22">
        <f t="array" ref="I1020">SUM(IFERROR(($C$441:$C$444=$A1020) * ($E$441:$E$444=$D1020) * (I$441:I$444),0))</f>
        <v>0</v>
      </c>
      <c r="J1020" s="22">
        <f t="array" ref="J1020">SUM(IFERROR(($C$441:$C$444=$A1020) * ($E$441:$E$444=$D1020) * (J$441:J$444),0))</f>
        <v>0</v>
      </c>
      <c r="K1020" s="22">
        <f t="array" ref="K1020">SUM(IFERROR(($C$441:$C$444=$A1020) * ($E$441:$E$444=$D1020) * (K$441:K$444),0))</f>
        <v>0</v>
      </c>
      <c r="L1020" s="22">
        <f t="array" ref="L1020">SUM(IFERROR(($C$441:$C$444=$A1020) * ($E$441:$E$444=$D1020) * (L$441:L$444),0))</f>
        <v>0</v>
      </c>
      <c r="M1020" s="22">
        <f t="array" ref="M1020">SUM(IFERROR(($C$441:$C$444=$A1020) * ($E$441:$E$444=$D1020) * (M$441:M$444),0))</f>
        <v>0</v>
      </c>
      <c r="N1020" s="22">
        <f t="array" ref="N1020">SUM(IFERROR(($C$441:$C$444=$A1020) * ($E$441:$E$444=$D1020) * (N$441:N$444),0))</f>
        <v>0</v>
      </c>
      <c r="O1020" s="22">
        <f t="array" ref="O1020">SUM(IFERROR(($C$441:$C$444=$A1020) * ($E$441:$E$444=$D1020) * (O$441:O$444),0))</f>
        <v>0</v>
      </c>
    </row>
    <row r="1021" spans="1:25" s="17" customFormat="1">
      <c r="A1021" s="1086"/>
      <c r="B1021" s="347"/>
      <c r="C1021" s="19"/>
      <c r="D1021" s="19"/>
      <c r="E1021" s="348"/>
      <c r="F1021" s="22">
        <f t="array" ref="F1021">SUM(IFERROR(($C$441:$C$444=$A1021) * ($E$441:$E$444=$D1021) * (F$441:F$444),0))</f>
        <v>0</v>
      </c>
      <c r="G1021" s="22">
        <f t="array" ref="G1021">SUM(IFERROR(($C$441:$C$444=$A1021) * ($E$441:$E$444=$D1021) * (G$441:G$444),0))</f>
        <v>0</v>
      </c>
      <c r="H1021" s="22">
        <f t="array" ref="H1021">SUM(IFERROR(($C$441:$C$444=$A1021) * ($E$441:$E$444=$D1021) * (H$441:H$444),0))</f>
        <v>0</v>
      </c>
      <c r="I1021" s="22">
        <f t="array" ref="I1021">SUM(IFERROR(($C$441:$C$444=$A1021) * ($E$441:$E$444=$D1021) * (I$441:I$444),0))</f>
        <v>0</v>
      </c>
      <c r="J1021" s="22">
        <f t="array" ref="J1021">SUM(IFERROR(($C$441:$C$444=$A1021) * ($E$441:$E$444=$D1021) * (J$441:J$444),0))</f>
        <v>0</v>
      </c>
      <c r="K1021" s="22">
        <f t="array" ref="K1021">SUM(IFERROR(($C$441:$C$444=$A1021) * ($E$441:$E$444=$D1021) * (K$441:K$444),0))</f>
        <v>0</v>
      </c>
      <c r="L1021" s="22">
        <f t="array" ref="L1021">SUM(IFERROR(($C$441:$C$444=$A1021) * ($E$441:$E$444=$D1021) * (L$441:L$444),0))</f>
        <v>0</v>
      </c>
      <c r="M1021" s="22">
        <f t="array" ref="M1021">SUM(IFERROR(($C$441:$C$444=$A1021) * ($E$441:$E$444=$D1021) * (M$441:M$444),0))</f>
        <v>0</v>
      </c>
      <c r="N1021" s="22">
        <f t="array" ref="N1021">SUM(IFERROR(($C$441:$C$444=$A1021) * ($E$441:$E$444=$D1021) * (N$441:N$444),0))</f>
        <v>0</v>
      </c>
      <c r="O1021" s="22">
        <f t="array" ref="O1021">SUM(IFERROR(($C$441:$C$444=$A1021) * ($E$441:$E$444=$D1021) * (O$441:O$444),0))</f>
        <v>0</v>
      </c>
    </row>
    <row r="1022" spans="1:25" s="17" customFormat="1">
      <c r="A1022" s="1086"/>
      <c r="B1022" s="347"/>
      <c r="C1022" s="348" t="str">
        <f>D22</f>
        <v>Chemicals  -33</v>
      </c>
      <c r="D1022" s="19"/>
      <c r="E1022" s="348"/>
      <c r="F1022" s="22">
        <f t="array" ref="F1022">SUM(IFERROR(($C$441:$C$444=$A1022) * ($E$441:$E$444=$D1022) * (F$441:F$444),0))</f>
        <v>0</v>
      </c>
      <c r="G1022" s="22">
        <f t="array" ref="G1022">SUM(IFERROR(($C$441:$C$444=$A1022) * ($E$441:$E$444=$D1022) * (G$441:G$444),0))</f>
        <v>0</v>
      </c>
      <c r="H1022" s="22">
        <f t="array" ref="H1022">SUM(IFERROR(($C$441:$C$444=$A1022) * ($E$441:$E$444=$D1022) * (H$441:H$444),0))</f>
        <v>0</v>
      </c>
      <c r="I1022" s="22">
        <f t="array" ref="I1022">SUM(IFERROR(($C$441:$C$444=$A1022) * ($E$441:$E$444=$D1022) * (I$441:I$444),0))</f>
        <v>0</v>
      </c>
      <c r="J1022" s="22">
        <f t="array" ref="J1022">SUM(IFERROR(($C$441:$C$444=$A1022) * ($E$441:$E$444=$D1022) * (J$441:J$444),0))</f>
        <v>0</v>
      </c>
      <c r="K1022" s="22">
        <f t="array" ref="K1022">SUM(IFERROR(($C$441:$C$444=$A1022) * ($E$441:$E$444=$D1022) * (K$441:K$444),0))</f>
        <v>0</v>
      </c>
      <c r="L1022" s="22">
        <f t="array" ref="L1022">SUM(IFERROR(($C$441:$C$444=$A1022) * ($E$441:$E$444=$D1022) * (L$441:L$444),0))</f>
        <v>0</v>
      </c>
      <c r="M1022" s="22">
        <f t="array" ref="M1022">SUM(IFERROR(($C$441:$C$444=$A1022) * ($E$441:$E$444=$D1022) * (M$441:M$444),0))</f>
        <v>0</v>
      </c>
      <c r="N1022" s="22">
        <f t="array" ref="N1022">SUM(IFERROR(($C$441:$C$444=$A1022) * ($E$441:$E$444=$D1022) * (N$441:N$444),0))</f>
        <v>0</v>
      </c>
      <c r="O1022" s="22">
        <f t="array" ref="O1022">SUM(IFERROR(($C$441:$C$444=$A1022) * ($E$441:$E$444=$D1022) * (O$441:O$444),0))</f>
        <v>0</v>
      </c>
    </row>
    <row r="1023" spans="1:25" s="17" customFormat="1">
      <c r="A1023" s="1438" t="str">
        <f>INDEX($C$20:$C$27,MATCH($C1022,$D$20:$D$27,0))</f>
        <v>CP</v>
      </c>
      <c r="B1023" s="347" t="e">
        <f>INDEX(EF[UK Vector],MATCH(D1023,EF[SATIM Code],0))</f>
        <v>#N/A</v>
      </c>
      <c r="C1023" s="19" t="e">
        <f>INDEX(Vectors[Description], MATCH($B1023, Vectors[Code], 0))</f>
        <v>#N/A</v>
      </c>
      <c r="D1023" s="644"/>
      <c r="E1023" s="348"/>
      <c r="F1023" s="22">
        <f t="array" ref="F1023">SUM(IFERROR(($C$441:$C$444=$A1023) * ($E$441:$E$444=$D1023) * (F$441:F$444),0))</f>
        <v>0</v>
      </c>
      <c r="G1023" s="22">
        <f t="array" ref="G1023">SUM(IFERROR(($C$441:$C$444=$A1023) * ($E$441:$E$444=$D1023) * (G$441:G$444),0))</f>
        <v>0</v>
      </c>
      <c r="H1023" s="22">
        <f t="array" ref="H1023">SUM(IFERROR(($C$441:$C$444=$A1023) * ($E$441:$E$444=$D1023) * (H$441:H$444),0))</f>
        <v>0</v>
      </c>
      <c r="I1023" s="22">
        <f t="array" ref="I1023">SUM(IFERROR(($C$441:$C$444=$A1023) * ($E$441:$E$444=$D1023) * (I$441:I$444),0))</f>
        <v>0</v>
      </c>
      <c r="J1023" s="22">
        <f t="array" ref="J1023">SUM(IFERROR(($C$441:$C$444=$A1023) * ($E$441:$E$444=$D1023) * (J$441:J$444),0))</f>
        <v>0</v>
      </c>
      <c r="K1023" s="22">
        <f t="array" ref="K1023">SUM(IFERROR(($C$441:$C$444=$A1023) * ($E$441:$E$444=$D1023) * (K$441:K$444),0))</f>
        <v>0</v>
      </c>
      <c r="L1023" s="22">
        <f t="array" ref="L1023">SUM(IFERROR(($C$441:$C$444=$A1023) * ($E$441:$E$444=$D1023) * (L$441:L$444),0))</f>
        <v>0</v>
      </c>
      <c r="M1023" s="22">
        <f t="array" ref="M1023">SUM(IFERROR(($C$441:$C$444=$A1023) * ($E$441:$E$444=$D1023) * (M$441:M$444),0))</f>
        <v>0</v>
      </c>
      <c r="N1023" s="22">
        <f t="array" ref="N1023">SUM(IFERROR(($C$441:$C$444=$A1023) * ($E$441:$E$444=$D1023) * (N$441:N$444),0))</f>
        <v>0</v>
      </c>
      <c r="O1023" s="22">
        <f t="array" ref="O1023">SUM(IFERROR(($C$441:$C$444=$A1023) * ($E$441:$E$444=$D1023) * (O$441:O$444),0))</f>
        <v>0</v>
      </c>
    </row>
    <row r="1024" spans="1:25" s="17" customFormat="1">
      <c r="A1024" s="1086"/>
      <c r="B1024" s="347"/>
      <c r="C1024" s="19"/>
      <c r="D1024" s="19"/>
      <c r="E1024" s="348"/>
      <c r="F1024" s="22">
        <f t="array" ref="F1024">SUM(IFERROR(($C$441:$C$444=$A1024) * ($E$441:$E$444=$D1024) * (F$441:F$444),0))</f>
        <v>0</v>
      </c>
      <c r="G1024" s="22">
        <f t="array" ref="G1024">SUM(IFERROR(($C$441:$C$444=$A1024) * ($E$441:$E$444=$D1024) * (G$441:G$444),0))</f>
        <v>0</v>
      </c>
      <c r="H1024" s="22">
        <f t="array" ref="H1024">SUM(IFERROR(($C$441:$C$444=$A1024) * ($E$441:$E$444=$D1024) * (H$441:H$444),0))</f>
        <v>0</v>
      </c>
      <c r="I1024" s="22">
        <f t="array" ref="I1024">SUM(IFERROR(($C$441:$C$444=$A1024) * ($E$441:$E$444=$D1024) * (I$441:I$444),0))</f>
        <v>0</v>
      </c>
      <c r="J1024" s="22">
        <f t="array" ref="J1024">SUM(IFERROR(($C$441:$C$444=$A1024) * ($E$441:$E$444=$D1024) * (J$441:J$444),0))</f>
        <v>0</v>
      </c>
      <c r="K1024" s="22">
        <f t="array" ref="K1024">SUM(IFERROR(($C$441:$C$444=$A1024) * ($E$441:$E$444=$D1024) * (K$441:K$444),0))</f>
        <v>0</v>
      </c>
      <c r="L1024" s="22">
        <f t="array" ref="L1024">SUM(IFERROR(($C$441:$C$444=$A1024) * ($E$441:$E$444=$D1024) * (L$441:L$444),0))</f>
        <v>0</v>
      </c>
      <c r="M1024" s="22">
        <f t="array" ref="M1024">SUM(IFERROR(($C$441:$C$444=$A1024) * ($E$441:$E$444=$D1024) * (M$441:M$444),0))</f>
        <v>0</v>
      </c>
      <c r="N1024" s="22">
        <f t="array" ref="N1024">SUM(IFERROR(($C$441:$C$444=$A1024) * ($E$441:$E$444=$D1024) * (N$441:N$444),0))</f>
        <v>0</v>
      </c>
      <c r="O1024" s="22">
        <f t="array" ref="O1024">SUM(IFERROR(($C$441:$C$444=$A1024) * ($E$441:$E$444=$D1024) * (O$441:O$444),0))</f>
        <v>0</v>
      </c>
    </row>
    <row r="1025" spans="1:17" s="17" customFormat="1">
      <c r="B1025" s="348"/>
      <c r="C1025" s="348" t="str">
        <f>D23</f>
        <v>Non-Ferrous metals  - 352</v>
      </c>
      <c r="D1025" s="656"/>
      <c r="E1025" s="164"/>
      <c r="F1025" s="22">
        <f>SUM(IFERROR(($C$441:$C$444=$A1025) * ($E$441:$E$444=$D1025) * (F$441:F$444),0))</f>
        <v>0</v>
      </c>
      <c r="G1025" s="22">
        <f t="array" ref="G1025">SUM(IFERROR(($C$441:$C$444=$A1025) * ($E$441:$E$444=$D1025) * (G$441:G$444),0))</f>
        <v>0</v>
      </c>
      <c r="H1025" s="22">
        <f t="array" ref="H1025">SUM(IFERROR(($C$441:$C$444=$A1025) * ($E$441:$E$444=$D1025) * (H$441:H$444),0))</f>
        <v>0</v>
      </c>
      <c r="I1025" s="22">
        <f t="array" ref="I1025">SUM(IFERROR(($C$441:$C$444=$A1025) * ($E$441:$E$444=$D1025) * (I$441:I$444),0))</f>
        <v>0</v>
      </c>
      <c r="J1025" s="22">
        <f t="array" ref="J1025">SUM(IFERROR(($C$441:$C$444=$A1025) * ($E$441:$E$444=$D1025) * (J$441:J$444),0))</f>
        <v>0</v>
      </c>
      <c r="K1025" s="22">
        <f t="array" ref="K1025">SUM(IFERROR(($C$441:$C$444=$A1025) * ($E$441:$E$444=$D1025) * (K$441:K$444),0))</f>
        <v>0</v>
      </c>
      <c r="L1025" s="22">
        <f t="array" ref="L1025">SUM(IFERROR(($C$441:$C$444=$A1025) * ($E$441:$E$444=$D1025) * (L$441:L$444),0))</f>
        <v>0</v>
      </c>
      <c r="M1025" s="22">
        <f t="array" ref="M1025">SUM(IFERROR(($C$441:$C$444=$A1025) * ($E$441:$E$444=$D1025) * (M$441:M$444),0))</f>
        <v>0</v>
      </c>
      <c r="N1025" s="22">
        <f t="array" ref="N1025">SUM(IFERROR(($C$441:$C$444=$A1025) * ($E$441:$E$444=$D1025) * (N$441:N$444),0))</f>
        <v>0</v>
      </c>
      <c r="O1025" s="22">
        <f t="array" ref="O1025">SUM(IFERROR(($C$441:$C$444=$A1025) * ($E$441:$E$444=$D1025) * (O$441:O$444),0))</f>
        <v>0</v>
      </c>
    </row>
    <row r="1026" spans="1:17" s="17" customFormat="1">
      <c r="A1026" s="1438" t="str">
        <f>INDEX($C$20:$C$27,MATCH($C1025,$D$20:$D$27,0))</f>
        <v>NF</v>
      </c>
      <c r="B1026" s="347" t="e">
        <f>INDEX(EF[UK Vector],MATCH(D1026,EF[SATIM Code],0))</f>
        <v>#N/A</v>
      </c>
      <c r="C1026" s="19" t="e">
        <f>INDEX(Vectors[Description], MATCH($B1026, Vectors[Code], 0))</f>
        <v>#N/A</v>
      </c>
      <c r="D1026" s="644"/>
      <c r="F1026" s="22">
        <f t="array" ref="F1026">SUM(IFERROR(($C$441:$C$444=$A1026) * ($E$441:$E$444=$D1026) * (F$441:F$444),0))</f>
        <v>0</v>
      </c>
      <c r="G1026" s="22">
        <f t="array" ref="G1026">SUM(IFERROR(($C$441:$C$444=$A1026) * ($E$441:$E$444=$D1026) * (G$441:G$444),0))</f>
        <v>0</v>
      </c>
      <c r="H1026" s="22">
        <f t="array" ref="H1026">SUM(IFERROR(($C$441:$C$444=$A1026) * ($E$441:$E$444=$D1026) * (H$441:H$444),0))</f>
        <v>0</v>
      </c>
      <c r="I1026" s="22">
        <f t="array" ref="I1026">SUM(IFERROR(($C$441:$C$444=$A1026) * ($E$441:$E$444=$D1026) * (I$441:I$444),0))</f>
        <v>0</v>
      </c>
      <c r="J1026" s="22">
        <f t="array" ref="J1026">SUM(IFERROR(($C$441:$C$444=$A1026) * ($E$441:$E$444=$D1026) * (J$441:J$444),0))</f>
        <v>0</v>
      </c>
      <c r="K1026" s="22">
        <f t="array" ref="K1026">SUM(IFERROR(($C$441:$C$444=$A1026) * ($E$441:$E$444=$D1026) * (K$441:K$444),0))</f>
        <v>0</v>
      </c>
      <c r="L1026" s="22">
        <f t="array" ref="L1026">SUM(IFERROR(($C$441:$C$444=$A1026) * ($E$441:$E$444=$D1026) * (L$441:L$444),0))</f>
        <v>0</v>
      </c>
      <c r="M1026" s="22">
        <f t="array" ref="M1026">SUM(IFERROR(($C$441:$C$444=$A1026) * ($E$441:$E$444=$D1026) * (M$441:M$444),0))</f>
        <v>0</v>
      </c>
      <c r="N1026" s="22">
        <f t="array" ref="N1026">SUM(IFERROR(($C$441:$C$444=$A1026) * ($E$441:$E$444=$D1026) * (N$441:N$444),0))</f>
        <v>0</v>
      </c>
      <c r="O1026" s="22">
        <f t="array" ref="O1026">SUM(IFERROR(($C$441:$C$444=$A1026) * ($E$441:$E$444=$D1026) * (O$441:O$444),0))</f>
        <v>0</v>
      </c>
    </row>
    <row r="1027" spans="1:17" s="17" customFormat="1">
      <c r="F1027" s="22">
        <f t="array" ref="F1027">SUM(IFERROR(($C$441:$C$444=$A1027) * ($E$441:$E$444=$D1027) * (F$441:F$444),0))</f>
        <v>0</v>
      </c>
      <c r="G1027" s="22">
        <f t="array" ref="G1027">SUM(IFERROR(($C$441:$C$444=$A1027) * ($E$441:$E$444=$D1027) * (G$441:G$444),0))</f>
        <v>0</v>
      </c>
      <c r="H1027" s="22">
        <f t="array" ref="H1027">SUM(IFERROR(($C$441:$C$444=$A1027) * ($E$441:$E$444=$D1027) * (H$441:H$444),0))</f>
        <v>0</v>
      </c>
      <c r="I1027" s="22">
        <f t="array" ref="I1027">SUM(IFERROR(($C$441:$C$444=$A1027) * ($E$441:$E$444=$D1027) * (I$441:I$444),0))</f>
        <v>0</v>
      </c>
      <c r="J1027" s="22">
        <f t="array" ref="J1027">SUM(IFERROR(($C$441:$C$444=$A1027) * ($E$441:$E$444=$D1027) * (J$441:J$444),0))</f>
        <v>0</v>
      </c>
      <c r="K1027" s="22">
        <f t="array" ref="K1027">SUM(IFERROR(($C$441:$C$444=$A1027) * ($E$441:$E$444=$D1027) * (K$441:K$444),0))</f>
        <v>0</v>
      </c>
      <c r="L1027" s="22">
        <f t="array" ref="L1027">SUM(IFERROR(($C$441:$C$444=$A1027) * ($E$441:$E$444=$D1027) * (L$441:L$444),0))</f>
        <v>0</v>
      </c>
      <c r="M1027" s="22">
        <f t="array" ref="M1027">SUM(IFERROR(($C$441:$C$444=$A1027) * ($E$441:$E$444=$D1027) * (M$441:M$444),0))</f>
        <v>0</v>
      </c>
      <c r="N1027" s="22">
        <f t="array" ref="N1027">SUM(IFERROR(($C$441:$C$444=$A1027) * ($E$441:$E$444=$D1027) * (N$441:N$444),0))</f>
        <v>0</v>
      </c>
      <c r="O1027" s="22">
        <f t="array" ref="O1027">SUM(IFERROR(($C$441:$C$444=$A1027) * ($E$441:$E$444=$D1027) * (O$441:O$444),0))</f>
        <v>0</v>
      </c>
    </row>
    <row r="1028" spans="1:17" s="17" customFormat="1">
      <c r="C1028" s="348" t="str">
        <f>D24</f>
        <v>N.M.M Products  -34</v>
      </c>
      <c r="F1028" s="22">
        <f t="array" ref="F1028">SUM(IFERROR(($C$441:$C$444=$A1028) * ($E$441:$E$444=$D1028) * (F$441:F$444),0))</f>
        <v>0</v>
      </c>
      <c r="G1028" s="22">
        <f t="array" ref="G1028">SUM(IFERROR(($C$441:$C$444=$A1028) * ($E$441:$E$444=$D1028) * (G$441:G$444),0))</f>
        <v>0</v>
      </c>
      <c r="H1028" s="22">
        <f t="array" ref="H1028">SUM(IFERROR(($C$441:$C$444=$A1028) * ($E$441:$E$444=$D1028) * (H$441:H$444),0))</f>
        <v>0</v>
      </c>
      <c r="I1028" s="22">
        <f t="array" ref="I1028">SUM(IFERROR(($C$441:$C$444=$A1028) * ($E$441:$E$444=$D1028) * (I$441:I$444),0))</f>
        <v>0</v>
      </c>
      <c r="J1028" s="22">
        <f t="array" ref="J1028">SUM(IFERROR(($C$441:$C$444=$A1028) * ($E$441:$E$444=$D1028) * (J$441:J$444),0))</f>
        <v>0</v>
      </c>
      <c r="K1028" s="22">
        <f t="array" ref="K1028">SUM(IFERROR(($C$441:$C$444=$A1028) * ($E$441:$E$444=$D1028) * (K$441:K$444),0))</f>
        <v>0</v>
      </c>
      <c r="L1028" s="22">
        <f t="array" ref="L1028">SUM(IFERROR(($C$441:$C$444=$A1028) * ($E$441:$E$444=$D1028) * (L$441:L$444),0))</f>
        <v>0</v>
      </c>
      <c r="M1028" s="22">
        <f t="array" ref="M1028">SUM(IFERROR(($C$441:$C$444=$A1028) * ($E$441:$E$444=$D1028) * (M$441:M$444),0))</f>
        <v>0</v>
      </c>
      <c r="N1028" s="22">
        <f t="array" ref="N1028">SUM(IFERROR(($C$441:$C$444=$A1028) * ($E$441:$E$444=$D1028) * (N$441:N$444),0))</f>
        <v>0</v>
      </c>
      <c r="O1028" s="22">
        <f t="array" ref="O1028">SUM(IFERROR(($C$441:$C$444=$A1028) * ($E$441:$E$444=$D1028) * (O$441:O$444),0))</f>
        <v>0</v>
      </c>
    </row>
    <row r="1029" spans="1:17" s="17" customFormat="1">
      <c r="A1029" s="1438" t="str">
        <f>INDEX($C$20:$C$27,MATCH($C1028,$D$20:$D$27,0))</f>
        <v>NM</v>
      </c>
      <c r="B1029" s="347" t="e">
        <f>INDEX(EF[UK Vector],MATCH(D1029,EF[SATIM Code],0))</f>
        <v>#N/A</v>
      </c>
      <c r="C1029" s="19" t="e">
        <f>INDEX(Vectors[Description], MATCH($B1029, Vectors[Code], 0))</f>
        <v>#N/A</v>
      </c>
      <c r="D1029" s="644"/>
      <c r="F1029" s="22">
        <f t="array" ref="F1029">SUM(IFERROR(($C$441:$C$444=$A1029) * ($E$441:$E$444=$D1029) * (F$441:F$444),0))</f>
        <v>0</v>
      </c>
      <c r="G1029" s="22">
        <f t="array" ref="G1029">SUM(IFERROR(($C$441:$C$444=$A1029) * ($E$441:$E$444=$D1029) * (G$441:G$444),0))</f>
        <v>0</v>
      </c>
      <c r="H1029" s="22">
        <f t="array" ref="H1029">SUM(IFERROR(($C$441:$C$444=$A1029) * ($E$441:$E$444=$D1029) * (H$441:H$444),0))</f>
        <v>0</v>
      </c>
      <c r="I1029" s="22">
        <f t="array" ref="I1029">SUM(IFERROR(($C$441:$C$444=$A1029) * ($E$441:$E$444=$D1029) * (I$441:I$444),0))</f>
        <v>0</v>
      </c>
      <c r="J1029" s="22">
        <f t="array" ref="J1029">SUM(IFERROR(($C$441:$C$444=$A1029) * ($E$441:$E$444=$D1029) * (J$441:J$444),0))</f>
        <v>0</v>
      </c>
      <c r="K1029" s="22">
        <f t="array" ref="K1029">SUM(IFERROR(($C$441:$C$444=$A1029) * ($E$441:$E$444=$D1029) * (K$441:K$444),0))</f>
        <v>0</v>
      </c>
      <c r="L1029" s="22">
        <f t="array" ref="L1029">SUM(IFERROR(($C$441:$C$444=$A1029) * ($E$441:$E$444=$D1029) * (L$441:L$444),0))</f>
        <v>0</v>
      </c>
      <c r="M1029" s="22">
        <f t="array" ref="M1029">SUM(IFERROR(($C$441:$C$444=$A1029) * ($E$441:$E$444=$D1029) * (M$441:M$444),0))</f>
        <v>0</v>
      </c>
      <c r="N1029" s="22">
        <f t="array" ref="N1029">SUM(IFERROR(($C$441:$C$444=$A1029) * ($E$441:$E$444=$D1029) * (N$441:N$444),0))</f>
        <v>0</v>
      </c>
      <c r="O1029" s="22">
        <f t="array" ref="O1029">SUM(IFERROR(($C$441:$C$444=$A1029) * ($E$441:$E$444=$D1029) * (O$441:O$444),0))</f>
        <v>0</v>
      </c>
    </row>
    <row r="1030" spans="1:17" s="17" customFormat="1">
      <c r="F1030" s="22">
        <f t="array" ref="F1030">SUM(IFERROR(($C$441:$C$444=$A1030) * ($E$441:$E$444=$D1030) * (F$441:F$444),0))</f>
        <v>0</v>
      </c>
      <c r="G1030" s="22">
        <f t="array" ref="G1030">SUM(IFERROR(($C$441:$C$444=$A1030) * ($E$441:$E$444=$D1030) * (G$441:G$444),0))</f>
        <v>0</v>
      </c>
      <c r="H1030" s="22">
        <f t="array" ref="H1030">SUM(IFERROR(($C$441:$C$444=$A1030) * ($E$441:$E$444=$D1030) * (H$441:H$444),0))</f>
        <v>0</v>
      </c>
      <c r="I1030" s="22">
        <f t="array" ref="I1030">SUM(IFERROR(($C$441:$C$444=$A1030) * ($E$441:$E$444=$D1030) * (I$441:I$444),0))</f>
        <v>0</v>
      </c>
      <c r="J1030" s="22">
        <f t="array" ref="J1030">SUM(IFERROR(($C$441:$C$444=$A1030) * ($E$441:$E$444=$D1030) * (J$441:J$444),0))</f>
        <v>0</v>
      </c>
      <c r="K1030" s="22">
        <f t="array" ref="K1030">SUM(IFERROR(($C$441:$C$444=$A1030) * ($E$441:$E$444=$D1030) * (K$441:K$444),0))</f>
        <v>0</v>
      </c>
      <c r="L1030" s="22">
        <f t="array" ref="L1030">SUM(IFERROR(($C$441:$C$444=$A1030) * ($E$441:$E$444=$D1030) * (L$441:L$444),0))</f>
        <v>0</v>
      </c>
      <c r="M1030" s="22">
        <f t="array" ref="M1030">SUM(IFERROR(($C$441:$C$444=$A1030) * ($E$441:$E$444=$D1030) * (M$441:M$444),0))</f>
        <v>0</v>
      </c>
      <c r="N1030" s="22">
        <f t="array" ref="N1030">SUM(IFERROR(($C$441:$C$444=$A1030) * ($E$441:$E$444=$D1030) * (N$441:N$444),0))</f>
        <v>0</v>
      </c>
      <c r="O1030" s="22">
        <f t="array" ref="O1030">SUM(IFERROR(($C$441:$C$444=$A1030) * ($E$441:$E$444=$D1030) * (O$441:O$444),0))</f>
        <v>0</v>
      </c>
    </row>
    <row r="1031" spans="1:17" s="17" customFormat="1">
      <c r="C1031" s="348" t="str">
        <f>D25</f>
        <v>Food, Beverage &amp; Tabacco  - 30</v>
      </c>
      <c r="F1031" s="22">
        <f t="array" ref="F1031">SUM(IFERROR(($C$441:$C$444=$A1031) * ($E$441:$E$444=$D1031) * (F$441:F$444),0))</f>
        <v>0</v>
      </c>
      <c r="G1031" s="22">
        <f t="array" ref="G1031">SUM(IFERROR(($C$441:$C$444=$A1031) * ($E$441:$E$444=$D1031) * (G$441:G$444),0))</f>
        <v>0</v>
      </c>
      <c r="H1031" s="22">
        <f t="array" ref="H1031">SUM(IFERROR(($C$441:$C$444=$A1031) * ($E$441:$E$444=$D1031) * (H$441:H$444),0))</f>
        <v>0</v>
      </c>
      <c r="I1031" s="22">
        <f t="array" ref="I1031">SUM(IFERROR(($C$441:$C$444=$A1031) * ($E$441:$E$444=$D1031) * (I$441:I$444),0))</f>
        <v>0</v>
      </c>
      <c r="J1031" s="22">
        <f t="array" ref="J1031">SUM(IFERROR(($C$441:$C$444=$A1031) * ($E$441:$E$444=$D1031) * (J$441:J$444),0))</f>
        <v>0</v>
      </c>
      <c r="K1031" s="22">
        <f t="array" ref="K1031">SUM(IFERROR(($C$441:$C$444=$A1031) * ($E$441:$E$444=$D1031) * (K$441:K$444),0))</f>
        <v>0</v>
      </c>
      <c r="L1031" s="22">
        <f t="array" ref="L1031">SUM(IFERROR(($C$441:$C$444=$A1031) * ($E$441:$E$444=$D1031) * (L$441:L$444),0))</f>
        <v>0</v>
      </c>
      <c r="M1031" s="22">
        <f t="array" ref="M1031">SUM(IFERROR(($C$441:$C$444=$A1031) * ($E$441:$E$444=$D1031) * (M$441:M$444),0))</f>
        <v>0</v>
      </c>
      <c r="N1031" s="22">
        <f t="array" ref="N1031">SUM(IFERROR(($C$441:$C$444=$A1031) * ($E$441:$E$444=$D1031) * (N$441:N$444),0))</f>
        <v>0</v>
      </c>
      <c r="O1031" s="22">
        <f t="array" ref="O1031">SUM(IFERROR(($C$441:$C$444=$A1031) * ($E$441:$E$444=$D1031) * (O$441:O$444),0))</f>
        <v>0</v>
      </c>
    </row>
    <row r="1032" spans="1:17" s="17" customFormat="1">
      <c r="A1032" s="1438" t="str">
        <f>INDEX($C$20:$C$27,MATCH($C1031,$D$20:$D$27,0))</f>
        <v>FB</v>
      </c>
      <c r="B1032" s="347" t="e">
        <f>INDEX(EF[UK Vector],MATCH(D1032,EF[SATIM Code],0))</f>
        <v>#N/A</v>
      </c>
      <c r="C1032" s="19" t="e">
        <f>INDEX(Vectors[Description], MATCH($B1032, Vectors[Code], 0))</f>
        <v>#N/A</v>
      </c>
      <c r="D1032" s="644"/>
      <c r="F1032" s="22">
        <f t="array" ref="F1032">SUM(IFERROR(($C$441:$C$444=$A1032) * ($E$441:$E$444=$D1032) * (F$441:F$444),0))</f>
        <v>0</v>
      </c>
      <c r="G1032" s="22">
        <f t="array" ref="G1032">SUM(IFERROR(($C$441:$C$444=$A1032) * ($E$441:$E$444=$D1032) * (G$441:G$444),0))</f>
        <v>0</v>
      </c>
      <c r="H1032" s="22">
        <f t="array" ref="H1032">SUM(IFERROR(($C$441:$C$444=$A1032) * ($E$441:$E$444=$D1032) * (H$441:H$444),0))</f>
        <v>0</v>
      </c>
      <c r="I1032" s="22">
        <f t="array" ref="I1032">SUM(IFERROR(($C$441:$C$444=$A1032) * ($E$441:$E$444=$D1032) * (I$441:I$444),0))</f>
        <v>0</v>
      </c>
      <c r="J1032" s="22">
        <f t="array" ref="J1032">SUM(IFERROR(($C$441:$C$444=$A1032) * ($E$441:$E$444=$D1032) * (J$441:J$444),0))</f>
        <v>0</v>
      </c>
      <c r="K1032" s="22">
        <f t="array" ref="K1032">SUM(IFERROR(($C$441:$C$444=$A1032) * ($E$441:$E$444=$D1032) * (K$441:K$444),0))</f>
        <v>0</v>
      </c>
      <c r="L1032" s="22">
        <f t="array" ref="L1032">SUM(IFERROR(($C$441:$C$444=$A1032) * ($E$441:$E$444=$D1032) * (L$441:L$444),0))</f>
        <v>0</v>
      </c>
      <c r="M1032" s="22">
        <f t="array" ref="M1032">SUM(IFERROR(($C$441:$C$444=$A1032) * ($E$441:$E$444=$D1032) * (M$441:M$444),0))</f>
        <v>0</v>
      </c>
      <c r="N1032" s="22">
        <f t="array" ref="N1032">SUM(IFERROR(($C$441:$C$444=$A1032) * ($E$441:$E$444=$D1032) * (N$441:N$444),0))</f>
        <v>0</v>
      </c>
      <c r="O1032" s="22">
        <f t="array" ref="O1032">SUM(IFERROR(($C$441:$C$444=$A1032) * ($E$441:$E$444=$D1032) * (O$441:O$444),0))</f>
        <v>0</v>
      </c>
    </row>
    <row r="1033" spans="1:17" s="17" customFormat="1">
      <c r="F1033" s="22">
        <f t="array" ref="F1033">SUM(IFERROR(($C$441:$C$444=$A1033) * ($E$441:$E$444=$D1033) * (F$441:F$444),0))</f>
        <v>0</v>
      </c>
      <c r="G1033" s="22">
        <f t="array" ref="G1033">SUM(IFERROR(($C$441:$C$444=$A1033) * ($E$441:$E$444=$D1033) * (G$441:G$444),0))</f>
        <v>0</v>
      </c>
      <c r="H1033" s="22">
        <f t="array" ref="H1033">SUM(IFERROR(($C$441:$C$444=$A1033) * ($E$441:$E$444=$D1033) * (H$441:H$444),0))</f>
        <v>0</v>
      </c>
      <c r="I1033" s="22">
        <f t="array" ref="I1033">SUM(IFERROR(($C$441:$C$444=$A1033) * ($E$441:$E$444=$D1033) * (I$441:I$444),0))</f>
        <v>0</v>
      </c>
      <c r="J1033" s="22">
        <f t="array" ref="J1033">SUM(IFERROR(($C$441:$C$444=$A1033) * ($E$441:$E$444=$D1033) * (J$441:J$444),0))</f>
        <v>0</v>
      </c>
      <c r="K1033" s="22">
        <f t="array" ref="K1033">SUM(IFERROR(($C$441:$C$444=$A1033) * ($E$441:$E$444=$D1033) * (K$441:K$444),0))</f>
        <v>0</v>
      </c>
      <c r="L1033" s="22">
        <f t="array" ref="L1033">SUM(IFERROR(($C$441:$C$444=$A1033) * ($E$441:$E$444=$D1033) * (L$441:L$444),0))</f>
        <v>0</v>
      </c>
      <c r="M1033" s="22">
        <f t="array" ref="M1033">SUM(IFERROR(($C$441:$C$444=$A1033) * ($E$441:$E$444=$D1033) * (M$441:M$444),0))</f>
        <v>0</v>
      </c>
      <c r="N1033" s="22">
        <f t="array" ref="N1033">SUM(IFERROR(($C$441:$C$444=$A1033) * ($E$441:$E$444=$D1033) * (N$441:N$444),0))</f>
        <v>0</v>
      </c>
      <c r="O1033" s="22">
        <f t="array" ref="O1033">SUM(IFERROR(($C$441:$C$444=$A1033) * ($E$441:$E$444=$D1033) * (O$441:O$444),0))</f>
        <v>0</v>
      </c>
    </row>
    <row r="1034" spans="1:17" s="17" customFormat="1">
      <c r="C1034" s="348" t="str">
        <f>D26</f>
        <v>Pulp &amp; Paper Products  -323</v>
      </c>
      <c r="F1034" s="22">
        <f t="array" ref="F1034">SUM(IFERROR(($C$441:$C$444=$A1034) * ($E$441:$E$444=$D1034) * (F$441:F$444),0))</f>
        <v>0</v>
      </c>
      <c r="G1034" s="22">
        <f t="array" ref="G1034">SUM(IFERROR(($C$441:$C$444=$A1034) * ($E$441:$E$444=$D1034) * (G$441:G$444),0))</f>
        <v>0</v>
      </c>
      <c r="H1034" s="22">
        <f t="array" ref="H1034">SUM(IFERROR(($C$441:$C$444=$A1034) * ($E$441:$E$444=$D1034) * (H$441:H$444),0))</f>
        <v>0</v>
      </c>
      <c r="I1034" s="22">
        <f t="array" ref="I1034">SUM(IFERROR(($C$441:$C$444=$A1034) * ($E$441:$E$444=$D1034) * (I$441:I$444),0))</f>
        <v>0</v>
      </c>
      <c r="J1034" s="22">
        <f t="array" ref="J1034">SUM(IFERROR(($C$441:$C$444=$A1034) * ($E$441:$E$444=$D1034) * (J$441:J$444),0))</f>
        <v>0</v>
      </c>
      <c r="K1034" s="22">
        <f t="array" ref="K1034">SUM(IFERROR(($C$441:$C$444=$A1034) * ($E$441:$E$444=$D1034) * (K$441:K$444),0))</f>
        <v>0</v>
      </c>
      <c r="L1034" s="22">
        <f t="array" ref="L1034">SUM(IFERROR(($C$441:$C$444=$A1034) * ($E$441:$E$444=$D1034) * (L$441:L$444),0))</f>
        <v>0</v>
      </c>
      <c r="M1034" s="22">
        <f t="array" ref="M1034">SUM(IFERROR(($C$441:$C$444=$A1034) * ($E$441:$E$444=$D1034) * (M$441:M$444),0))</f>
        <v>0</v>
      </c>
      <c r="N1034" s="22">
        <f t="array" ref="N1034">SUM(IFERROR(($C$441:$C$444=$A1034) * ($E$441:$E$444=$D1034) * (N$441:N$444),0))</f>
        <v>0</v>
      </c>
      <c r="O1034" s="22">
        <f t="array" ref="O1034">SUM(IFERROR(($C$441:$C$444=$A1034) * ($E$441:$E$444=$D1034) * (O$441:O$444),0))</f>
        <v>0</v>
      </c>
    </row>
    <row r="1035" spans="1:17" s="17" customFormat="1">
      <c r="A1035" s="1438" t="str">
        <f>INDEX($C$20:$C$27,MATCH($C1034,$D$20:$D$27,0))</f>
        <v>PP</v>
      </c>
      <c r="B1035" s="347" t="e">
        <f>INDEX(EF[UK Vector],MATCH(D1035,EF[SATIM Code],0))</f>
        <v>#N/A</v>
      </c>
      <c r="C1035" s="19" t="e">
        <f>INDEX(Vectors[Description], MATCH($B1035, Vectors[Code], 0))</f>
        <v>#N/A</v>
      </c>
      <c r="D1035" s="644"/>
      <c r="F1035" s="22">
        <f t="array" ref="F1035">SUM(IFERROR(($C$441:$C$444=$A1035) * ($E$441:$E$444=$D1035) * (F$441:F$444),0))</f>
        <v>0</v>
      </c>
      <c r="G1035" s="22">
        <f t="array" ref="G1035">SUM(IFERROR(($C$441:$C$444=$A1035) * ($E$441:$E$444=$D1035) * (G$441:G$444),0))</f>
        <v>0</v>
      </c>
      <c r="H1035" s="22">
        <f t="array" ref="H1035">SUM(IFERROR(($C$441:$C$444=$A1035) * ($E$441:$E$444=$D1035) * (H$441:H$444),0))</f>
        <v>0</v>
      </c>
      <c r="I1035" s="22">
        <f t="array" ref="I1035">SUM(IFERROR(($C$441:$C$444=$A1035) * ($E$441:$E$444=$D1035) * (I$441:I$444),0))</f>
        <v>0</v>
      </c>
      <c r="J1035" s="22">
        <f t="array" ref="J1035">SUM(IFERROR(($C$441:$C$444=$A1035) * ($E$441:$E$444=$D1035) * (J$441:J$444),0))</f>
        <v>0</v>
      </c>
      <c r="K1035" s="22">
        <f t="array" ref="K1035">SUM(IFERROR(($C$441:$C$444=$A1035) * ($E$441:$E$444=$D1035) * (K$441:K$444),0))</f>
        <v>0</v>
      </c>
      <c r="L1035" s="22">
        <f t="array" ref="L1035">SUM(IFERROR(($C$441:$C$444=$A1035) * ($E$441:$E$444=$D1035) * (L$441:L$444),0))</f>
        <v>0</v>
      </c>
      <c r="M1035" s="22">
        <f t="array" ref="M1035">SUM(IFERROR(($C$441:$C$444=$A1035) * ($E$441:$E$444=$D1035) * (M$441:M$444),0))</f>
        <v>0</v>
      </c>
      <c r="N1035" s="22">
        <f t="array" ref="N1035">SUM(IFERROR(($C$441:$C$444=$A1035) * ($E$441:$E$444=$D1035) * (N$441:N$444),0))</f>
        <v>0</v>
      </c>
      <c r="O1035" s="22">
        <f t="array" ref="O1035">SUM(IFERROR(($C$441:$C$444=$A1035) * ($E$441:$E$444=$D1035) * (O$441:O$444),0))</f>
        <v>0</v>
      </c>
    </row>
    <row r="1036" spans="1:17" s="17" customFormat="1">
      <c r="F1036" s="22">
        <f t="array" ref="F1036">SUM(IFERROR(($C$441:$C$444=$A1036) * ($E$441:$E$444=$D1036) * (F$441:F$444),0))</f>
        <v>0</v>
      </c>
      <c r="G1036" s="22">
        <f t="array" ref="G1036">SUM(IFERROR(($C$441:$C$444=$A1036) * ($E$441:$E$444=$D1036) * (G$441:G$444),0))</f>
        <v>0</v>
      </c>
      <c r="H1036" s="22">
        <f t="array" ref="H1036">SUM(IFERROR(($C$441:$C$444=$A1036) * ($E$441:$E$444=$D1036) * (H$441:H$444),0))</f>
        <v>0</v>
      </c>
      <c r="I1036" s="22">
        <f t="array" ref="I1036">SUM(IFERROR(($C$441:$C$444=$A1036) * ($E$441:$E$444=$D1036) * (I$441:I$444),0))</f>
        <v>0</v>
      </c>
      <c r="J1036" s="22">
        <f t="array" ref="J1036">SUM(IFERROR(($C$441:$C$444=$A1036) * ($E$441:$E$444=$D1036) * (J$441:J$444),0))</f>
        <v>0</v>
      </c>
      <c r="K1036" s="22">
        <f t="array" ref="K1036">SUM(IFERROR(($C$441:$C$444=$A1036) * ($E$441:$E$444=$D1036) * (K$441:K$444),0))</f>
        <v>0</v>
      </c>
      <c r="L1036" s="22">
        <f t="array" ref="L1036">SUM(IFERROR(($C$441:$C$444=$A1036) * ($E$441:$E$444=$D1036) * (L$441:L$444),0))</f>
        <v>0</v>
      </c>
      <c r="M1036" s="22">
        <f t="array" ref="M1036">SUM(IFERROR(($C$441:$C$444=$A1036) * ($E$441:$E$444=$D1036) * (M$441:M$444),0))</f>
        <v>0</v>
      </c>
      <c r="N1036" s="22">
        <f t="array" ref="N1036">SUM(IFERROR(($C$441:$C$444=$A1036) * ($E$441:$E$444=$D1036) * (N$441:N$444),0))</f>
        <v>0</v>
      </c>
      <c r="O1036" s="22">
        <f t="array" ref="O1036">SUM(IFERROR(($C$441:$C$444=$A1036) * ($E$441:$E$444=$D1036) * (O$441:O$444),0))</f>
        <v>0</v>
      </c>
    </row>
    <row r="1037" spans="1:17" s="17" customFormat="1">
      <c r="C1037" s="348" t="str">
        <f>D27</f>
        <v>Other</v>
      </c>
      <c r="F1037" s="22">
        <f t="array" ref="F1037">SUM(IFERROR(($C$441:$C$444=$A1037) * ($E$441:$E$444=$D1037) * (F$441:F$444),0))</f>
        <v>0</v>
      </c>
      <c r="G1037" s="22">
        <f t="array" ref="G1037">SUM(IFERROR(($C$441:$C$444=$A1037) * ($E$441:$E$444=$D1037) * (G$441:G$444),0))</f>
        <v>0</v>
      </c>
      <c r="H1037" s="22">
        <f t="array" ref="H1037">SUM(IFERROR(($C$441:$C$444=$A1037) * ($E$441:$E$444=$D1037) * (H$441:H$444),0))</f>
        <v>0</v>
      </c>
      <c r="I1037" s="22">
        <f t="array" ref="I1037">SUM(IFERROR(($C$441:$C$444=$A1037) * ($E$441:$E$444=$D1037) * (I$441:I$444),0))</f>
        <v>0</v>
      </c>
      <c r="J1037" s="22">
        <f t="array" ref="J1037">SUM(IFERROR(($C$441:$C$444=$A1037) * ($E$441:$E$444=$D1037) * (J$441:J$444),0))</f>
        <v>0</v>
      </c>
      <c r="K1037" s="22">
        <f t="array" ref="K1037">SUM(IFERROR(($C$441:$C$444=$A1037) * ($E$441:$E$444=$D1037) * (K$441:K$444),0))</f>
        <v>0</v>
      </c>
      <c r="L1037" s="22">
        <f t="array" ref="L1037">SUM(IFERROR(($C$441:$C$444=$A1037) * ($E$441:$E$444=$D1037) * (L$441:L$444),0))</f>
        <v>0</v>
      </c>
      <c r="M1037" s="22">
        <f t="array" ref="M1037">SUM(IFERROR(($C$441:$C$444=$A1037) * ($E$441:$E$444=$D1037) * (M$441:M$444),0))</f>
        <v>0</v>
      </c>
      <c r="N1037" s="22">
        <f t="array" ref="N1037">SUM(IFERROR(($C$441:$C$444=$A1037) * ($E$441:$E$444=$D1037) * (N$441:N$444),0))</f>
        <v>0</v>
      </c>
      <c r="O1037" s="22">
        <f t="array" ref="O1037">SUM(IFERROR(($C$441:$C$444=$A1037) * ($E$441:$E$444=$D1037) * (O$441:O$444),0))</f>
        <v>0</v>
      </c>
    </row>
    <row r="1038" spans="1:17" s="17" customFormat="1">
      <c r="A1038" s="1438" t="str">
        <f>INDEX($C$20:$C$27,MATCH($C1037,$D$20:$D$27,0))</f>
        <v>OT</v>
      </c>
      <c r="B1038" s="347" t="str">
        <f>INDEX(EF[UK Vector],MATCH(D1038,EF[SATIM Code],0))</f>
        <v>V.04</v>
      </c>
      <c r="C1038" s="19" t="str">
        <f>INDEX(Vectors[Description], MATCH($B1038, Vectors[Code], 0))</f>
        <v>Liquid hydrocarbons</v>
      </c>
      <c r="D1038" s="644" t="s">
        <v>886</v>
      </c>
      <c r="E1038" s="17" t="s">
        <v>1328</v>
      </c>
      <c r="F1038" s="22">
        <f t="array" ref="F1038">SUM(IFERROR(($C$441:$C$444=$A1038) * ($E$441:$E$444=$D1038) * (F$441:F$444),0))</f>
        <v>7.8658203618</v>
      </c>
      <c r="G1038" s="22">
        <f t="array" ref="G1038">SUM(IFERROR(($C$441:$C$444=$A1038) * ($E$441:$E$444=$D1038) * (G$441:G$444),0))</f>
        <v>9.1976411705487191</v>
      </c>
      <c r="H1038" s="22">
        <f t="array" ref="H1038">SUM(IFERROR(($C$441:$C$444=$A1038) * ($E$441:$E$444=$D1038) * (H$441:H$444),0))</f>
        <v>10.938407351198062</v>
      </c>
      <c r="I1038" s="22">
        <f t="array" ref="I1038">SUM(IFERROR(($C$441:$C$444=$A1038) * ($E$441:$E$444=$D1038) * (I$441:I$444),0))</f>
        <v>13.100790487441202</v>
      </c>
      <c r="J1038" s="22">
        <f t="array" ref="J1038">SUM(IFERROR(($C$441:$C$444=$A1038) * ($E$441:$E$444=$D1038) * (J$441:J$444),0))</f>
        <v>15.824063869435303</v>
      </c>
      <c r="K1038" s="22">
        <f t="array" ref="K1038">SUM(IFERROR(($C$441:$C$444=$A1038) * ($E$441:$E$444=$D1038) * (K$441:K$444),0))</f>
        <v>19.331220984509656</v>
      </c>
      <c r="L1038" s="22">
        <f t="array" ref="L1038">SUM(IFERROR(($C$441:$C$444=$A1038) * ($E$441:$E$444=$D1038) * (L$441:L$444),0))</f>
        <v>24.290907618399</v>
      </c>
      <c r="M1038" s="22">
        <f t="array" ref="M1038">SUM(IFERROR(($C$441:$C$444=$A1038) * ($E$441:$E$444=$D1038) * (M$441:M$444),0))</f>
        <v>29.937173463259022</v>
      </c>
      <c r="N1038" s="22">
        <f t="array" ref="N1038">SUM(IFERROR(($C$441:$C$444=$A1038) * ($E$441:$E$444=$D1038) * (N$441:N$444),0))</f>
        <v>35.937750112834671</v>
      </c>
      <c r="O1038" s="22">
        <f t="array" ref="O1038">SUM(IFERROR(($C$441:$C$444=$A1038) * ($E$441:$E$444=$D1038) * (O$441:O$444),0))</f>
        <v>42.366020053585451</v>
      </c>
    </row>
    <row r="1039" spans="1:17" s="17" customFormat="1" ht="14" thickBot="1">
      <c r="A1039" s="666"/>
      <c r="B1039" s="666"/>
      <c r="C1039" s="666"/>
      <c r="D1039" s="666"/>
      <c r="E1039" s="666"/>
      <c r="F1039" s="666"/>
      <c r="G1039" s="666"/>
      <c r="H1039" s="666"/>
      <c r="I1039" s="666"/>
      <c r="J1039" s="666"/>
      <c r="K1039" s="666"/>
      <c r="L1039" s="666"/>
      <c r="M1039" s="666"/>
      <c r="N1039" s="666"/>
      <c r="O1039" s="666"/>
    </row>
    <row r="1040" spans="1:17" s="17" customFormat="1" ht="15" thickTop="1" thickBot="1">
      <c r="A1040" s="664"/>
      <c r="B1040" s="665" t="s">
        <v>682</v>
      </c>
      <c r="C1040" s="664"/>
      <c r="D1040" s="664"/>
      <c r="E1040" s="664"/>
      <c r="F1040" s="664"/>
      <c r="G1040" s="664"/>
      <c r="H1040" s="664"/>
      <c r="I1040" s="664"/>
      <c r="J1040" s="664"/>
      <c r="K1040" s="664"/>
      <c r="L1040" s="664"/>
      <c r="M1040" s="664"/>
      <c r="N1040" s="664"/>
      <c r="O1040" s="664"/>
      <c r="P1040" s="558"/>
      <c r="Q1040" s="558"/>
    </row>
    <row r="1041" spans="1:17" s="17" customFormat="1" ht="14" thickTop="1">
      <c r="A1041" s="42"/>
      <c r="B1041" s="43"/>
      <c r="C1041" s="43" t="s">
        <v>1331</v>
      </c>
      <c r="D1041" s="42"/>
      <c r="E1041" s="42"/>
      <c r="F1041" s="42"/>
      <c r="G1041" s="42"/>
      <c r="H1041" s="42"/>
      <c r="I1041" s="42"/>
      <c r="J1041" s="42"/>
      <c r="K1041" s="42"/>
      <c r="L1041" s="42"/>
      <c r="M1041" s="42"/>
      <c r="N1041" s="42"/>
      <c r="O1041" s="42"/>
      <c r="P1041" s="558"/>
      <c r="Q1041" s="558"/>
    </row>
    <row r="1042" spans="1:17" s="19" customFormat="1">
      <c r="B1042" s="348"/>
      <c r="C1042" s="348" t="str">
        <f>D20</f>
        <v>Mining SIC2</v>
      </c>
      <c r="D1042" s="654"/>
      <c r="F1042" s="663" t="s">
        <v>1330</v>
      </c>
      <c r="G1042" s="65"/>
      <c r="H1042" s="65"/>
      <c r="I1042" s="65"/>
      <c r="J1042" s="65"/>
      <c r="K1042" s="65"/>
      <c r="L1042" s="65"/>
      <c r="M1042" s="65"/>
      <c r="N1042" s="65"/>
      <c r="O1042" s="65"/>
    </row>
    <row r="1043" spans="1:17" s="19" customFormat="1">
      <c r="A1043" s="1438" t="str">
        <f>INDEX($C$20:$C$27,MATCH($C1042,$D$20:$D$27,0))</f>
        <v>MI</v>
      </c>
      <c r="B1043" s="347" t="s">
        <v>33</v>
      </c>
      <c r="C1043" s="19" t="str">
        <f>INDEX(Vectors[Description], MATCH($B1043, Vectors[Code], 0))</f>
        <v>Electricity (delivered to end user)</v>
      </c>
      <c r="D1043" s="644"/>
      <c r="F1043" s="71">
        <f t="array" ref="F1043">SUM(($A$743:$A$750=$A1043)*($B$743:$B$750=$B1043)*(F$743:F$750)) + SUM(IFERROR(($A$933:$A$1010=$A1043)*($B$933:$B$1010=$B1043)*(F$933:F$1010),0)) + SUM(($A$768:$A$845=$A1043)*($B$768:$B$845= $B1043)*(F$768:F$845)) + SUM(IFERROR(($A$1016:$A$1038=$A1043) * ($B$1016:$B$1038=$B1043) * (F$1016:F$1038),0))</f>
        <v>117.56357913599999</v>
      </c>
      <c r="G1043" s="71">
        <f t="array" ref="G1043">SUM(($A$743:$A$750=$A1043)*($B$743:$B$750=$B1043)*(G$743:G$750)) + SUM(IFERROR(($A$933:$A$1010=$A1043)*($B$933:$B$1010=$B1043)*(G$933:G$1010),0)) + SUM(($A$768:$A$845=$A1043)*($B$768:$B$845= $B1043)*(G$768:G$845)) + SUM(IFERROR(($A$1016:$A$1038=$A1043) * ($B$1016:$B$1038=$B1043) * (G$1016:G$1038),0))</f>
        <v>138.1014811481021</v>
      </c>
      <c r="H1043" s="71">
        <f t="array" ref="H1043">SUM(($A$743:$A$750=$A1043)*($B$743:$B$750=$B1043)*(H$743:H$750)) + SUM(IFERROR(($A$933:$A$1010=$A1043)*($B$933:$B$1010=$B1043)*(H$933:H$1010),0)) + SUM(($A$768:$A$845=$A1043)*($B$768:$B$845= $B1043)*(H$768:H$845)) + SUM(IFERROR(($A$1016:$A$1038=$A1043) * ($B$1016:$B$1038=$B1043) * (H$1016:H$1038),0))</f>
        <v>169.40163799947828</v>
      </c>
      <c r="I1043" s="71">
        <f t="array" ref="I1043">SUM(($A$743:$A$750=$A1043)*($B$743:$B$750=$B1043)*(I$743:I$750)) + SUM(IFERROR(($A$933:$A$1010=$A1043)*($B$933:$B$1010=$B1043)*(I$933:I$1010),0)) + SUM(($A$768:$A$845=$A1043)*($B$768:$B$845= $B1043)*(I$768:I$845)) + SUM(IFERROR(($A$1016:$A$1038=$A1043) * ($B$1016:$B$1038=$B1043) * (I$1016:I$1038),0))</f>
        <v>210.54286486508568</v>
      </c>
      <c r="J1043" s="71">
        <f t="array" ref="J1043">SUM(($A$743:$A$750=$A1043)*($B$743:$B$750=$B1043)*(J$743:J$750)) + SUM(IFERROR(($A$933:$A$1010=$A1043)*($B$933:$B$1010=$B1043)*(J$933:J$1010),0)) + SUM(($A$768:$A$845=$A1043)*($B$768:$B$845= $B1043)*(J$768:J$845)) + SUM(IFERROR(($A$1016:$A$1038=$A1043) * ($B$1016:$B$1038=$B1043) * (J$1016:J$1038),0))</f>
        <v>263.76498428505283</v>
      </c>
      <c r="K1043" s="71">
        <f t="array" ref="K1043">SUM(($A$743:$A$750=$A1043)*($B$743:$B$750=$B1043)*(K$743:K$750)) + SUM(IFERROR(($A$933:$A$1010=$A1043)*($B$933:$B$1010=$B1043)*(K$933:K$1010),0)) + SUM(($A$768:$A$845=$A1043)*($B$768:$B$845= $B1043)*(K$768:K$845)) + SUM(IFERROR(($A$1016:$A$1038=$A1043) * ($B$1016:$B$1038=$B1043) * (K$1016:K$1038),0))</f>
        <v>333.24691467394979</v>
      </c>
      <c r="L1043" s="71">
        <f t="array" ref="L1043">SUM(($A$743:$A$750=$A1043)*($B$743:$B$750=$B1043)*(L$743:L$750)) + SUM(IFERROR(($A$933:$A$1010=$A1043)*($B$933:$B$1010=$B1043)*(L$933:L$1010),0)) + SUM(($A$768:$A$845=$A1043)*($B$768:$B$845= $B1043)*(L$768:L$845)) + SUM(IFERROR(($A$1016:$A$1038=$A1043) * ($B$1016:$B$1038=$B1043) * (L$1016:L$1038),0))</f>
        <v>421.1540289861781</v>
      </c>
      <c r="M1043" s="71">
        <f t="array" ref="M1043">SUM(($A$743:$A$750=$A1043)*($B$743:$B$750=$B1043)*(M$743:M$750)) + SUM(IFERROR(($A$933:$A$1010=$A1043)*($B$933:$B$1010=$B1043)*(M$933:M$1010),0)) + SUM(($A$768:$A$845=$A1043)*($B$768:$B$845= $B1043)*(M$768:M$845)) + SUM(IFERROR(($A$1016:$A$1038=$A1043) * ($B$1016:$B$1038=$B1043) * (M$1016:M$1038),0))</f>
        <v>521.73905041264572</v>
      </c>
      <c r="N1043" s="71">
        <f t="array" ref="N1043">SUM(($A$743:$A$750=$A1043)*($B$743:$B$750=$B1043)*(N$743:N$750)) + SUM(IFERROR(($A$933:$A$1010=$A1043)*($B$933:$B$1010=$B1043)*(N$933:N$1010),0)) + SUM(($A$768:$A$845=$A1043)*($B$768:$B$845= $B1043)*(N$768:N$845)) + SUM(IFERROR(($A$1016:$A$1038=$A1043) * ($B$1016:$B$1038=$B1043) * (N$1016:N$1038),0))</f>
        <v>629.45500532893004</v>
      </c>
      <c r="O1043" s="71">
        <f t="array" ref="O1043">SUM(($A$743:$A$750=$A1043)*($B$743:$B$750=$B1043)*(O$743:O$750)) + SUM(IFERROR(($A$933:$A$1010=$A1043)*($B$933:$B$1010=$B1043)*(O$933:O$1010),0)) + SUM(($A$768:$A$845=$A1043)*($B$768:$B$845= $B1043)*(O$768:O$845)) + SUM(IFERROR(($A$1016:$A$1038=$A1043) * ($B$1016:$B$1038=$B1043) * (O$1016:O$1038),0))</f>
        <v>748.66332964670687</v>
      </c>
    </row>
    <row r="1044" spans="1:17" s="19" customFormat="1">
      <c r="A1044" s="19" t="str">
        <f>A1043</f>
        <v>MI</v>
      </c>
      <c r="B1044" s="347" t="s">
        <v>35</v>
      </c>
      <c r="C1044" s="19" t="str">
        <f>INDEX(Vectors[Description], MATCH($B1044, Vectors[Code], 0))</f>
        <v>Solid hydrocarbons</v>
      </c>
      <c r="D1044" s="644"/>
      <c r="E1044" s="164"/>
      <c r="F1044" s="71">
        <f t="array" ref="F1044">SUM(($A$743:$A$750=$A1044)*($B$743:$B$750=$B1044)*(F$743:F$750)) + SUM(IFERROR(($A$933:$A$1010=$A1044)*($B$933:$B$1010=$B1044)*(F$933:F$1010),0)) + SUM(($A$768:$A$845=$A1044)*($B$768:$B$845= $B1044)*(F$768:F$845)) + SUM(IFERROR(($A$1016:$A$1038=$A1044) * ($B$1016:$B$1038=$B1044) * (F$1016:F$1038),0))</f>
        <v>53.282366999999986</v>
      </c>
      <c r="G1044" s="71">
        <f t="array" ref="G1044">SUM(($A$743:$A$750=$A1044)*($B$743:$B$750=$B1044)*(G$743:G$750)) + SUM(IFERROR(($A$933:$A$1010=$A1044)*($B$933:$B$1010=$B1044)*(G$933:G$1010),0)) + SUM(($A$768:$A$845=$A1044)*($B$768:$B$845= $B1044)*(G$768:G$845)) + SUM(IFERROR(($A$1016:$A$1038=$A1044) * ($B$1016:$B$1038=$B1044) * (G$1016:G$1038),0))</f>
        <v>62.58402407445562</v>
      </c>
      <c r="H1044" s="71">
        <f t="array" ref="H1044">SUM(($A$743:$A$750=$A1044)*($B$743:$B$750=$B1044)*(H$743:H$750)) + SUM(IFERROR(($A$933:$A$1010=$A1044)*($B$933:$B$1010=$B1044)*(H$933:H$1010),0)) + SUM(($A$768:$A$845=$A1044)*($B$768:$B$845= $B1044)*(H$768:H$845)) + SUM(IFERROR(($A$1016:$A$1038=$A1044) * ($B$1016:$B$1038=$B1044) * (H$1016:H$1038),0))</f>
        <v>78.971239962142931</v>
      </c>
      <c r="I1044" s="71">
        <f t="array" ref="I1044">SUM(($A$743:$A$750=$A1044)*($B$743:$B$750=$B1044)*(I$743:I$750)) + SUM(IFERROR(($A$933:$A$1010=$A1044)*($B$933:$B$1010=$B1044)*(I$933:I$1010),0)) + SUM(($A$768:$A$845=$A1044)*($B$768:$B$845= $B1044)*(I$768:I$845)) + SUM(IFERROR(($A$1016:$A$1038=$A1044) * ($B$1016:$B$1038=$B1044) * (I$1016:I$1038),0))</f>
        <v>95.35845584983025</v>
      </c>
      <c r="J1044" s="71">
        <f t="array" ref="J1044">SUM(($A$743:$A$750=$A1044)*($B$743:$B$750=$B1044)*(J$743:J$750)) + SUM(IFERROR(($A$933:$A$1010=$A1044)*($B$933:$B$1010=$B1044)*(J$933:J$1010),0)) + SUM(($A$768:$A$845=$A1044)*($B$768:$B$845= $B1044)*(J$768:J$845)) + SUM(IFERROR(($A$1016:$A$1038=$A1044) * ($B$1016:$B$1038=$B1044) * (J$1016:J$1038),0))</f>
        <v>123.06832577377561</v>
      </c>
      <c r="K1044" s="71">
        <f t="array" ref="K1044">SUM(($A$743:$A$750=$A1044)*($B$743:$B$750=$B1044)*(K$743:K$750)) + SUM(IFERROR(($A$933:$A$1010=$A1044)*($B$933:$B$1010=$B1044)*(K$933:K$1010),0)) + SUM(($A$768:$A$845=$A1044)*($B$768:$B$845= $B1044)*(K$768:K$845)) + SUM(IFERROR(($A$1016:$A$1038=$A1044) * ($B$1016:$B$1038=$B1044) * (K$1016:K$1038),0))</f>
        <v>150.77819569772097</v>
      </c>
      <c r="L1044" s="71">
        <f t="array" ref="L1044">SUM(($A$743:$A$750=$A1044)*($B$743:$B$750=$B1044)*(L$743:L$750)) + SUM(IFERROR(($A$933:$A$1010=$A1044)*($B$933:$B$1010=$B1044)*(L$933:L$1010),0)) + SUM(($A$768:$A$845=$A1044)*($B$768:$B$845= $B1044)*(L$768:L$845)) + SUM(IFERROR(($A$1016:$A$1038=$A1044) * ($B$1016:$B$1038=$B1044) * (L$1016:L$1038),0))</f>
        <v>193.31848366129475</v>
      </c>
      <c r="M1044" s="71">
        <f t="array" ref="M1044">SUM(($A$743:$A$750=$A1044)*($B$743:$B$750=$B1044)*(M$743:M$750)) + SUM(IFERROR(($A$933:$A$1010=$A1044)*($B$933:$B$1010=$B1044)*(M$933:M$1010),0)) + SUM(($A$768:$A$845=$A1044)*($B$768:$B$845= $B1044)*(M$768:M$845)) + SUM(IFERROR(($A$1016:$A$1038=$A1044) * ($B$1016:$B$1038=$B1044) * (M$1016:M$1038),0))</f>
        <v>235.85877162486855</v>
      </c>
      <c r="N1044" s="71">
        <f t="array" ref="N1044">SUM(($A$743:$A$750=$A1044)*($B$743:$B$750=$B1044)*(N$743:N$750)) + SUM(IFERROR(($A$933:$A$1010=$A1044)*($B$933:$B$1010=$B1044)*(N$933:N$1010),0)) + SUM(($A$768:$A$845=$A1044)*($B$768:$B$845= $B1044)*(N$768:N$845)) + SUM(IFERROR(($A$1016:$A$1038=$A1044) * ($B$1016:$B$1038=$B1044) * (N$1016:N$1038),0))</f>
        <v>287.08898742489976</v>
      </c>
      <c r="O1044" s="71">
        <f t="array" ref="O1044">SUM(($A$743:$A$750=$A1044)*($B$743:$B$750=$B1044)*(O$743:O$750)) + SUM(IFERROR(($A$933:$A$1010=$A1044)*($B$933:$B$1010=$B1044)*(O$933:O$1010),0)) + SUM(($A$768:$A$845=$A1044)*($B$768:$B$845= $B1044)*(O$768:O$845)) + SUM(IFERROR(($A$1016:$A$1038=$A1044) * ($B$1016:$B$1038=$B1044) * (O$1016:O$1038),0))</f>
        <v>338.31920322493096</v>
      </c>
      <c r="Q1044" s="71"/>
    </row>
    <row r="1045" spans="1:17" s="19" customFormat="1">
      <c r="A1045" s="19" t="str">
        <f>A1044</f>
        <v>MI</v>
      </c>
      <c r="B1045" s="347" t="s">
        <v>37</v>
      </c>
      <c r="C1045" s="19" t="str">
        <f>INDEX(Vectors[Description], MATCH($B1045, Vectors[Code], 0))</f>
        <v>Liquid hydrocarbons</v>
      </c>
      <c r="D1045" s="644"/>
      <c r="E1045" s="164"/>
      <c r="F1045" s="71">
        <f t="array" ref="F1045">SUM(($A$743:$A$750=$A1045)*($B$743:$B$750=$B1045)*(F$743:F$750)) + SUM(IFERROR(($A$933:$A$1010=$A1045)*($B$933:$B$1010=$B1045)*(F$933:F$1010),0)) + SUM(($A$768:$A$845=$A1045)*($B$768:$B$845= $B1045)*(F$768:F$845)) + SUM(IFERROR(($A$1016:$A$1038=$A1045) * ($B$1016:$B$1038=$B1045) * (F$1016:F$1038),0))</f>
        <v>28.226484414000002</v>
      </c>
      <c r="G1045" s="71">
        <f t="array" ref="G1045">SUM(($A$743:$A$750=$A1045)*($B$743:$B$750=$B1045)*(G$743:G$750)) + SUM(IFERROR(($A$933:$A$1010=$A1045)*($B$933:$B$1010=$B1045)*(G$933:G$1010),0)) + SUM(($A$768:$A$845=$A1045)*($B$768:$B$845= $B1045)*(G$768:G$845)) + SUM(IFERROR(($A$1016:$A$1038=$A1045) * ($B$1016:$B$1038=$B1045) * (G$1016:G$1038),0))</f>
        <v>33.165635917712329</v>
      </c>
      <c r="H1045" s="71">
        <f t="array" ref="H1045">SUM(($A$743:$A$750=$A1045)*($B$743:$B$750=$B1045)*(H$743:H$750)) + SUM(IFERROR(($A$933:$A$1010=$A1045)*($B$933:$B$1010=$B1045)*(H$933:H$1010),0)) + SUM(($A$768:$A$845=$A1045)*($B$768:$B$845= $B1045)*(H$768:H$845)) + SUM(IFERROR(($A$1016:$A$1038=$A1045) * ($B$1016:$B$1038=$B1045) * (H$1016:H$1038),0))</f>
        <v>40.71275484790749</v>
      </c>
      <c r="I1045" s="71">
        <f t="array" ref="I1045">SUM(($A$743:$A$750=$A1045)*($B$743:$B$750=$B1045)*(I$743:I$750)) + SUM(IFERROR(($A$933:$A$1010=$A1045)*($B$933:$B$1010=$B1045)*(I$933:I$1010),0)) + SUM(($A$768:$A$845=$A1045)*($B$768:$B$845= $B1045)*(I$768:I$845)) + SUM(IFERROR(($A$1016:$A$1038=$A1045) * ($B$1016:$B$1038=$B1045) * (I$1016:I$1038),0))</f>
        <v>50.629963845753316</v>
      </c>
      <c r="J1045" s="71">
        <f t="array" ref="J1045">SUM(($A$743:$A$750=$A1045)*($B$743:$B$750=$B1045)*(J$743:J$750)) + SUM(IFERROR(($A$933:$A$1010=$A1045)*($B$933:$B$1010=$B1045)*(J$933:J$1010),0)) + SUM(($A$768:$A$845=$A1045)*($B$768:$B$845= $B1045)*(J$768:J$845)) + SUM(IFERROR(($A$1016:$A$1038=$A1045) * ($B$1016:$B$1038=$B1045) * (J$1016:J$1038),0))</f>
        <v>63.511286386625123</v>
      </c>
      <c r="K1045" s="71">
        <f t="array" ref="K1045">SUM(($A$743:$A$750=$A1045)*($B$743:$B$750=$B1045)*(K$743:K$750)) + SUM(IFERROR(($A$933:$A$1010=$A1045)*($B$933:$B$1010=$B1045)*(K$933:K$1010),0)) + SUM(($A$768:$A$845=$A1045)*($B$768:$B$845= $B1045)*(K$768:K$845)) + SUM(IFERROR(($A$1016:$A$1038=$A1045) * ($B$1016:$B$1038=$B1045) * (K$1016:K$1038),0))</f>
        <v>80.333090118045035</v>
      </c>
      <c r="L1045" s="71">
        <f t="array" ref="L1045">SUM(($A$743:$A$750=$A1045)*($B$743:$B$750=$B1045)*(L$743:L$750)) + SUM(IFERROR(($A$933:$A$1010=$A1045)*($B$933:$B$1010=$B1045)*(L$933:L$1010),0)) + SUM(($A$768:$A$845=$A1045)*($B$768:$B$845= $B1045)*(L$768:L$845)) + SUM(IFERROR(($A$1016:$A$1038=$A1045) * ($B$1016:$B$1038=$B1045) * (L$1016:L$1038),0))</f>
        <v>101.63410855120348</v>
      </c>
      <c r="M1045" s="71">
        <f t="array" ref="M1045">SUM(($A$743:$A$750=$A1045)*($B$743:$B$750=$B1045)*(M$743:M$750)) + SUM(IFERROR(($A$933:$A$1010=$A1045)*($B$933:$B$1010=$B1045)*(M$933:M$1010),0)) + SUM(($A$768:$A$845=$A1045)*($B$768:$B$845= $B1045)*(M$768:M$845)) + SUM(IFERROR(($A$1016:$A$1038=$A1045) * ($B$1016:$B$1038=$B1045) * (M$1016:M$1038),0))</f>
        <v>126.03384866851894</v>
      </c>
      <c r="N1045" s="71">
        <f t="array" ref="N1045">SUM(($A$743:$A$750=$A1045)*($B$743:$B$750=$B1045)*(N$743:N$750)) + SUM(IFERROR(($A$933:$A$1010=$A1045)*($B$933:$B$1010=$B1045)*(N$933:N$1010),0)) + SUM(($A$768:$A$845=$A1045)*($B$768:$B$845= $B1045)*(N$768:N$845)) + SUM(IFERROR(($A$1016:$A$1038=$A1045) * ($B$1016:$B$1038=$B1045) * (N$1016:N$1038),0))</f>
        <v>152.12611625201717</v>
      </c>
      <c r="O1045" s="71">
        <f t="array" ref="O1045">SUM(($A$743:$A$750=$A1045)*($B$743:$B$750=$B1045)*(O$743:O$750)) + SUM(IFERROR(($A$933:$A$1010=$A1045)*($B$933:$B$1010=$B1045)*(O$933:O$1010),0)) + SUM(($A$768:$A$845=$A1045)*($B$768:$B$845= $B1045)*(O$768:O$845)) + SUM(IFERROR(($A$1016:$A$1038=$A1045) * ($B$1016:$B$1038=$B1045) * (O$1016:O$1038),0))</f>
        <v>181.01289901038214</v>
      </c>
      <c r="Q1045" s="71"/>
    </row>
    <row r="1046" spans="1:17" s="19" customFormat="1">
      <c r="A1046" s="19" t="str">
        <f>A1045</f>
        <v>MI</v>
      </c>
      <c r="B1046" s="347" t="s">
        <v>38</v>
      </c>
      <c r="C1046" s="19" t="str">
        <f>INDEX(Vectors[Description], MATCH($B1046, Vectors[Code], 0))</f>
        <v>Gaseous hydrocarbons</v>
      </c>
      <c r="D1046" s="644"/>
      <c r="E1046" s="164"/>
      <c r="F1046" s="71">
        <f t="array" ref="F1046">SUM(($A$743:$A$750=$A1046)*($B$743:$B$750=$B1046)*(F$743:F$750)) + SUM(IFERROR(($A$933:$A$1010=$A1046)*($B$933:$B$1010=$B1046)*(F$933:F$1010),0)) + SUM(($A$768:$A$845=$A1046)*($B$768:$B$845= $B1046)*(F$768:F$845)) + SUM(IFERROR(($A$1016:$A$1038=$A1046) * ($B$1016:$B$1038=$B1046) * (F$1016:F$1038),0))</f>
        <v>2.8999399999999995</v>
      </c>
      <c r="G1046" s="71">
        <f t="array" ref="G1046">SUM(($A$743:$A$750=$A1046)*($B$743:$B$750=$B1046)*(G$743:G$750)) + SUM(IFERROR(($A$933:$A$1010=$A1046)*($B$933:$B$1010=$B1046)*(G$933:G$1010),0)) + SUM(($A$768:$A$845=$A1046)*($B$768:$B$845= $B1046)*(G$768:G$845)) + SUM(IFERROR(($A$1016:$A$1038=$A1046) * ($B$1016:$B$1038=$B1046) * (G$1016:G$1038),0))</f>
        <v>3.4061909219325193</v>
      </c>
      <c r="H1046" s="71">
        <f t="array" ref="H1046">SUM(($A$743:$A$750=$A1046)*($B$743:$B$750=$B1046)*(H$743:H$750)) + SUM(IFERROR(($A$933:$A$1010=$A1046)*($B$933:$B$1010=$B1046)*(H$933:H$1010),0)) + SUM(($A$768:$A$845=$A1046)*($B$768:$B$845= $B1046)*(H$768:H$845)) + SUM(IFERROR(($A$1016:$A$1038=$A1046) * ($B$1016:$B$1038=$B1046) * (H$1016:H$1038),0))</f>
        <v>4.2980796558046457</v>
      </c>
      <c r="I1046" s="71">
        <f t="array" ref="I1046">SUM(($A$743:$A$750=$A1046)*($B$743:$B$750=$B1046)*(I$743:I$750)) + SUM(IFERROR(($A$933:$A$1010=$A1046)*($B$933:$B$1010=$B1046)*(I$933:I$1010),0)) + SUM(($A$768:$A$845=$A1046)*($B$768:$B$845= $B1046)*(I$768:I$845)) + SUM(IFERROR(($A$1016:$A$1038=$A1046) * ($B$1016:$B$1038=$B1046) * (I$1016:I$1038),0))</f>
        <v>5.1899683896767712</v>
      </c>
      <c r="J1046" s="71">
        <f t="array" ref="J1046">SUM(($A$743:$A$750=$A1046)*($B$743:$B$750=$B1046)*(J$743:J$750)) + SUM(IFERROR(($A$933:$A$1010=$A1046)*($B$933:$B$1010=$B1046)*(J$933:J$1010),0)) + SUM(($A$768:$A$845=$A1046)*($B$768:$B$845= $B1046)*(J$768:J$845)) + SUM(IFERROR(($A$1016:$A$1038=$A1046) * ($B$1016:$B$1038=$B1046) * (J$1016:J$1038),0))</f>
        <v>6.6981025945112922</v>
      </c>
      <c r="K1046" s="71">
        <f t="array" ref="K1046">SUM(($A$743:$A$750=$A1046)*($B$743:$B$750=$B1046)*(K$743:K$750)) + SUM(IFERROR(($A$933:$A$1010=$A1046)*($B$933:$B$1010=$B1046)*(K$933:K$1010),0)) + SUM(($A$768:$A$845=$A1046)*($B$768:$B$845= $B1046)*(K$768:K$845)) + SUM(IFERROR(($A$1016:$A$1038=$A1046) * ($B$1016:$B$1038=$B1046) * (K$1016:K$1038),0))</f>
        <v>8.2062367993458132</v>
      </c>
      <c r="L1046" s="71">
        <f t="array" ref="L1046">SUM(($A$743:$A$750=$A1046)*($B$743:$B$750=$B1046)*(L$743:L$750)) + SUM(IFERROR(($A$933:$A$1010=$A1046)*($B$933:$B$1010=$B1046)*(L$933:L$1010),0)) + SUM(($A$768:$A$845=$A1046)*($B$768:$B$845= $B1046)*(L$768:L$845)) + SUM(IFERROR(($A$1016:$A$1038=$A1046) * ($B$1016:$B$1038=$B1046) * (L$1016:L$1038),0))</f>
        <v>10.521529636788379</v>
      </c>
      <c r="M1046" s="71">
        <f t="array" ref="M1046">SUM(($A$743:$A$750=$A1046)*($B$743:$B$750=$B1046)*(M$743:M$750)) + SUM(IFERROR(($A$933:$A$1010=$A1046)*($B$933:$B$1010=$B1046)*(M$933:M$1010),0)) + SUM(($A$768:$A$845=$A1046)*($B$768:$B$845= $B1046)*(M$768:M$845)) + SUM(IFERROR(($A$1016:$A$1038=$A1046) * ($B$1016:$B$1038=$B1046) * (M$1016:M$1038),0))</f>
        <v>12.836822474230946</v>
      </c>
      <c r="N1046" s="71">
        <f t="array" ref="N1046">SUM(($A$743:$A$750=$A1046)*($B$743:$B$750=$B1046)*(N$743:N$750)) + SUM(IFERROR(($A$933:$A$1010=$A1046)*($B$933:$B$1010=$B1046)*(N$933:N$1010),0)) + SUM(($A$768:$A$845=$A1046)*($B$768:$B$845= $B1046)*(N$768:N$845)) + SUM(IFERROR(($A$1016:$A$1038=$A1046) * ($B$1016:$B$1038=$B1046) * (N$1016:N$1038),0))</f>
        <v>15.625072328205011</v>
      </c>
      <c r="O1046" s="71">
        <f t="array" ref="O1046">SUM(($A$743:$A$750=$A1046)*($B$743:$B$750=$B1046)*(O$743:O$750)) + SUM(IFERROR(($A$933:$A$1010=$A1046)*($B$933:$B$1010=$B1046)*(O$933:O$1010),0)) + SUM(($A$768:$A$845=$A1046)*($B$768:$B$845= $B1046)*(O$768:O$845)) + SUM(IFERROR(($A$1016:$A$1038=$A1046) * ($B$1016:$B$1038=$B1046) * (O$1016:O$1038),0))</f>
        <v>18.413322182179076</v>
      </c>
      <c r="Q1046" s="71"/>
    </row>
    <row r="1047" spans="1:17" s="19" customFormat="1">
      <c r="A1047" s="19" t="str">
        <f>A1046</f>
        <v>MI</v>
      </c>
      <c r="B1047" s="347" t="s">
        <v>251</v>
      </c>
      <c r="C1047" s="19" t="str">
        <f>INDEX(Vectors[Description], MATCH($B1047, Vectors[Code], 0))</f>
        <v>Dry biomass and waste</v>
      </c>
      <c r="D1047" s="644"/>
      <c r="E1047" s="164"/>
      <c r="F1047" s="71">
        <f t="array" ref="F1047">SUM(($A$743:$A$750=$A1047)*($B$743:$B$750=$B1047)*(F$743:F$750)) + SUM(IFERROR(($A$933:$A$1010=$A1047)*($B$933:$B$1010=$B1047)*(F$933:F$1010),0)) + SUM(($A$768:$A$845=$A1047)*($B$768:$B$845= $B1047)*(F$768:F$845)) + SUM(IFERROR(($A$1016:$A$1038=$A1047) * ($B$1016:$B$1038=$B1047) * (F$1016:F$1038),0))</f>
        <v>0</v>
      </c>
      <c r="G1047" s="71">
        <f t="array" ref="G1047">SUM(($A$743:$A$750=$A1047)*($B$743:$B$750=$B1047)*(G$743:G$750)) + SUM(IFERROR(($A$933:$A$1010=$A1047)*($B$933:$B$1010=$B1047)*(G$933:G$1010),0)) + SUM(($A$768:$A$845=$A1047)*($B$768:$B$845= $B1047)*(G$768:G$845)) + SUM(IFERROR(($A$1016:$A$1038=$A1047) * ($B$1016:$B$1038=$B1047) * (G$1016:G$1038),0))</f>
        <v>0</v>
      </c>
      <c r="H1047" s="71">
        <f t="array" ref="H1047">SUM(($A$743:$A$750=$A1047)*($B$743:$B$750=$B1047)*(H$743:H$750)) + SUM(IFERROR(($A$933:$A$1010=$A1047)*($B$933:$B$1010=$B1047)*(H$933:H$1010),0)) + SUM(($A$768:$A$845=$A1047)*($B$768:$B$845= $B1047)*(H$768:H$845)) + SUM(IFERROR(($A$1016:$A$1038=$A1047) * ($B$1016:$B$1038=$B1047) * (H$1016:H$1038),0))</f>
        <v>0</v>
      </c>
      <c r="I1047" s="71">
        <f t="array" ref="I1047">SUM(($A$743:$A$750=$A1047)*($B$743:$B$750=$B1047)*(I$743:I$750)) + SUM(IFERROR(($A$933:$A$1010=$A1047)*($B$933:$B$1010=$B1047)*(I$933:I$1010),0)) + SUM(($A$768:$A$845=$A1047)*($B$768:$B$845= $B1047)*(I$768:I$845)) + SUM(IFERROR(($A$1016:$A$1038=$A1047) * ($B$1016:$B$1038=$B1047) * (I$1016:I$1038),0))</f>
        <v>0</v>
      </c>
      <c r="J1047" s="71">
        <f t="array" ref="J1047">SUM(($A$743:$A$750=$A1047)*($B$743:$B$750=$B1047)*(J$743:J$750)) + SUM(IFERROR(($A$933:$A$1010=$A1047)*($B$933:$B$1010=$B1047)*(J$933:J$1010),0)) + SUM(($A$768:$A$845=$A1047)*($B$768:$B$845= $B1047)*(J$768:J$845)) + SUM(IFERROR(($A$1016:$A$1038=$A1047) * ($B$1016:$B$1038=$B1047) * (J$1016:J$1038),0))</f>
        <v>0</v>
      </c>
      <c r="K1047" s="71">
        <f t="array" ref="K1047">SUM(($A$743:$A$750=$A1047)*($B$743:$B$750=$B1047)*(K$743:K$750)) + SUM(IFERROR(($A$933:$A$1010=$A1047)*($B$933:$B$1010=$B1047)*(K$933:K$1010),0)) + SUM(($A$768:$A$845=$A1047)*($B$768:$B$845= $B1047)*(K$768:K$845)) + SUM(IFERROR(($A$1016:$A$1038=$A1047) * ($B$1016:$B$1038=$B1047) * (K$1016:K$1038),0))</f>
        <v>0</v>
      </c>
      <c r="L1047" s="71">
        <f t="array" ref="L1047">SUM(($A$743:$A$750=$A1047)*($B$743:$B$750=$B1047)*(L$743:L$750)) + SUM(IFERROR(($A$933:$A$1010=$A1047)*($B$933:$B$1010=$B1047)*(L$933:L$1010),0)) + SUM(($A$768:$A$845=$A1047)*($B$768:$B$845= $B1047)*(L$768:L$845)) + SUM(IFERROR(($A$1016:$A$1038=$A1047) * ($B$1016:$B$1038=$B1047) * (L$1016:L$1038),0))</f>
        <v>0</v>
      </c>
      <c r="M1047" s="71">
        <f t="array" ref="M1047">SUM(($A$743:$A$750=$A1047)*($B$743:$B$750=$B1047)*(M$743:M$750)) + SUM(IFERROR(($A$933:$A$1010=$A1047)*($B$933:$B$1010=$B1047)*(M$933:M$1010),0)) + SUM(($A$768:$A$845=$A1047)*($B$768:$B$845= $B1047)*(M$768:M$845)) + SUM(IFERROR(($A$1016:$A$1038=$A1047) * ($B$1016:$B$1038=$B1047) * (M$1016:M$1038),0))</f>
        <v>0</v>
      </c>
      <c r="N1047" s="71">
        <f t="array" ref="N1047">SUM(($A$743:$A$750=$A1047)*($B$743:$B$750=$B1047)*(N$743:N$750)) + SUM(IFERROR(($A$933:$A$1010=$A1047)*($B$933:$B$1010=$B1047)*(N$933:N$1010),0)) + SUM(($A$768:$A$845=$A1047)*($B$768:$B$845= $B1047)*(N$768:N$845)) + SUM(IFERROR(($A$1016:$A$1038=$A1047) * ($B$1016:$B$1038=$B1047) * (N$1016:N$1038),0))</f>
        <v>0</v>
      </c>
      <c r="O1047" s="71">
        <f t="array" ref="O1047">SUM(($A$743:$A$750=$A1047)*($B$743:$B$750=$B1047)*(O$743:O$750)) + SUM(IFERROR(($A$933:$A$1010=$A1047)*($B$933:$B$1010=$B1047)*(O$933:O$1010),0)) + SUM(($A$768:$A$845=$A1047)*($B$768:$B$845= $B1047)*(O$768:O$845)) + SUM(IFERROR(($A$1016:$A$1038=$A1047) * ($B$1016:$B$1038=$B1047) * (O$1016:O$1038),0))</f>
        <v>0</v>
      </c>
    </row>
    <row r="1048" spans="1:17" s="19" customFormat="1">
      <c r="A1048" s="19" t="str">
        <f>A1047</f>
        <v>MI</v>
      </c>
      <c r="B1048" s="347" t="s">
        <v>897</v>
      </c>
      <c r="C1048" s="19" t="str">
        <f>INDEX(Vectors[Description], MATCH($B1048, Vectors[Code], 0))</f>
        <v>Other Waste</v>
      </c>
      <c r="D1048" s="644"/>
      <c r="E1048" s="164"/>
      <c r="F1048" s="71">
        <f t="array" ref="F1048">SUM(($A$743:$A$750=$A1048)*($B$743:$B$750=$B1048)*(F$743:F$750)) + SUM(IFERROR(($A$933:$A$1010=$A1048)*($B$933:$B$1010=$B1048)*(F$933:F$1010),0)) + SUM(($A$768:$A$845=$A1048)*($B$768:$B$845= $B1048)*(F$768:F$845)) + SUM(IFERROR(($A$1016:$A$1038=$A1048) * ($B$1016:$B$1038=$B1048) * (F$1016:F$1038),0))</f>
        <v>0</v>
      </c>
      <c r="G1048" s="71">
        <f t="array" ref="G1048">SUM(($A$743:$A$750=$A1048)*($B$743:$B$750=$B1048)*(G$743:G$750)) + SUM(IFERROR(($A$933:$A$1010=$A1048)*($B$933:$B$1010=$B1048)*(G$933:G$1010),0)) + SUM(($A$768:$A$845=$A1048)*($B$768:$B$845= $B1048)*(G$768:G$845)) + SUM(IFERROR(($A$1016:$A$1038=$A1048) * ($B$1016:$B$1038=$B1048) * (G$1016:G$1038),0))</f>
        <v>0</v>
      </c>
      <c r="H1048" s="71">
        <f t="array" ref="H1048">SUM(($A$743:$A$750=$A1048)*($B$743:$B$750=$B1048)*(H$743:H$750)) + SUM(IFERROR(($A$933:$A$1010=$A1048)*($B$933:$B$1010=$B1048)*(H$933:H$1010),0)) + SUM(($A$768:$A$845=$A1048)*($B$768:$B$845= $B1048)*(H$768:H$845)) + SUM(IFERROR(($A$1016:$A$1038=$A1048) * ($B$1016:$B$1038=$B1048) * (H$1016:H$1038),0))</f>
        <v>0</v>
      </c>
      <c r="I1048" s="71">
        <f t="array" ref="I1048">SUM(($A$743:$A$750=$A1048)*($B$743:$B$750=$B1048)*(I$743:I$750)) + SUM(IFERROR(($A$933:$A$1010=$A1048)*($B$933:$B$1010=$B1048)*(I$933:I$1010),0)) + SUM(($A$768:$A$845=$A1048)*($B$768:$B$845= $B1048)*(I$768:I$845)) + SUM(IFERROR(($A$1016:$A$1038=$A1048) * ($B$1016:$B$1038=$B1048) * (I$1016:I$1038),0))</f>
        <v>0</v>
      </c>
      <c r="J1048" s="71">
        <f t="array" ref="J1048">SUM(($A$743:$A$750=$A1048)*($B$743:$B$750=$B1048)*(J$743:J$750)) + SUM(IFERROR(($A$933:$A$1010=$A1048)*($B$933:$B$1010=$B1048)*(J$933:J$1010),0)) + SUM(($A$768:$A$845=$A1048)*($B$768:$B$845= $B1048)*(J$768:J$845)) + SUM(IFERROR(($A$1016:$A$1038=$A1048) * ($B$1016:$B$1038=$B1048) * (J$1016:J$1038),0))</f>
        <v>0</v>
      </c>
      <c r="K1048" s="71">
        <f t="array" ref="K1048">SUM(($A$743:$A$750=$A1048)*($B$743:$B$750=$B1048)*(K$743:K$750)) + SUM(IFERROR(($A$933:$A$1010=$A1048)*($B$933:$B$1010=$B1048)*(K$933:K$1010),0)) + SUM(($A$768:$A$845=$A1048)*($B$768:$B$845= $B1048)*(K$768:K$845)) + SUM(IFERROR(($A$1016:$A$1038=$A1048) * ($B$1016:$B$1038=$B1048) * (K$1016:K$1038),0))</f>
        <v>0</v>
      </c>
      <c r="L1048" s="71">
        <f t="array" ref="L1048">SUM(($A$743:$A$750=$A1048)*($B$743:$B$750=$B1048)*(L$743:L$750)) + SUM(IFERROR(($A$933:$A$1010=$A1048)*($B$933:$B$1010=$B1048)*(L$933:L$1010),0)) + SUM(($A$768:$A$845=$A1048)*($B$768:$B$845= $B1048)*(L$768:L$845)) + SUM(IFERROR(($A$1016:$A$1038=$A1048) * ($B$1016:$B$1038=$B1048) * (L$1016:L$1038),0))</f>
        <v>0</v>
      </c>
      <c r="M1048" s="71">
        <f t="array" ref="M1048">SUM(($A$743:$A$750=$A1048)*($B$743:$B$750=$B1048)*(M$743:M$750)) + SUM(IFERROR(($A$933:$A$1010=$A1048)*($B$933:$B$1010=$B1048)*(M$933:M$1010),0)) + SUM(($A$768:$A$845=$A1048)*($B$768:$B$845= $B1048)*(M$768:M$845)) + SUM(IFERROR(($A$1016:$A$1038=$A1048) * ($B$1016:$B$1038=$B1048) * (M$1016:M$1038),0))</f>
        <v>0</v>
      </c>
      <c r="N1048" s="71">
        <f t="array" ref="N1048">SUM(($A$743:$A$750=$A1048)*($B$743:$B$750=$B1048)*(N$743:N$750)) + SUM(IFERROR(($A$933:$A$1010=$A1048)*($B$933:$B$1010=$B1048)*(N$933:N$1010),0)) + SUM(($A$768:$A$845=$A1048)*($B$768:$B$845= $B1048)*(N$768:N$845)) + SUM(IFERROR(($A$1016:$A$1038=$A1048) * ($B$1016:$B$1038=$B1048) * (N$1016:N$1038),0))</f>
        <v>0</v>
      </c>
      <c r="O1048" s="71">
        <f t="array" ref="O1048">SUM(($A$743:$A$750=$A1048)*($B$743:$B$750=$B1048)*(O$743:O$750)) + SUM(IFERROR(($A$933:$A$1010=$A1048)*($B$933:$B$1010=$B1048)*(O$933:O$1010),0)) + SUM(($A$768:$A$845=$A1048)*($B$768:$B$845= $B1048)*(O$768:O$845)) + SUM(IFERROR(($A$1016:$A$1038=$A1048) * ($B$1016:$B$1038=$B1048) * (O$1016:O$1038),0))</f>
        <v>0</v>
      </c>
    </row>
    <row r="1049" spans="1:17" s="19" customFormat="1">
      <c r="B1049" s="347"/>
      <c r="D1049" s="644"/>
      <c r="E1049" s="164"/>
      <c r="F1049" s="71">
        <f t="array" ref="F1049">SUM(($A$743:$A$750=$A1049)*($B$743:$B$750=$B1049)*(F$743:F$750)) + SUM(IFERROR(($A$933:$A$1010=$A1049)*($B$933:$B$1010=$B1049)*(F$933:F$1010),0)) + SUM(($A$768:$A$845=$A1049)*($B$768:$B$845= $B1049)*(F$768:F$845)) + SUM(IFERROR(($A$1016:$A$1038=$A1049) * ($B$1016:$B$1038=$B1049) * (F$1016:F$1038),0))</f>
        <v>0</v>
      </c>
      <c r="G1049" s="71">
        <f t="array" ref="G1049">SUM(($A$743:$A$750=$A1049)*($B$743:$B$750=$B1049)*(G$743:G$750)) + SUM(IFERROR(($A$933:$A$1010=$A1049)*($B$933:$B$1010=$B1049)*(G$933:G$1010),0)) + SUM(($A$768:$A$845=$A1049)*($B$768:$B$845= $B1049)*(G$768:G$845)) + SUM(IFERROR(($A$1016:$A$1038=$A1049) * ($B$1016:$B$1038=$B1049) * (G$1016:G$1038),0))</f>
        <v>0</v>
      </c>
      <c r="H1049" s="71">
        <f t="array" ref="H1049">SUM(($A$743:$A$750=$A1049)*($B$743:$B$750=$B1049)*(H$743:H$750)) + SUM(IFERROR(($A$933:$A$1010=$A1049)*($B$933:$B$1010=$B1049)*(H$933:H$1010),0)) + SUM(($A$768:$A$845=$A1049)*($B$768:$B$845= $B1049)*(H$768:H$845)) + SUM(IFERROR(($A$1016:$A$1038=$A1049) * ($B$1016:$B$1038=$B1049) * (H$1016:H$1038),0))</f>
        <v>0</v>
      </c>
      <c r="I1049" s="71">
        <f t="array" ref="I1049">SUM(($A$743:$A$750=$A1049)*($B$743:$B$750=$B1049)*(I$743:I$750)) + SUM(IFERROR(($A$933:$A$1010=$A1049)*($B$933:$B$1010=$B1049)*(I$933:I$1010),0)) + SUM(($A$768:$A$845=$A1049)*($B$768:$B$845= $B1049)*(I$768:I$845)) + SUM(IFERROR(($A$1016:$A$1038=$A1049) * ($B$1016:$B$1038=$B1049) * (I$1016:I$1038),0))</f>
        <v>0</v>
      </c>
      <c r="J1049" s="71">
        <f t="array" ref="J1049">SUM(($A$743:$A$750=$A1049)*($B$743:$B$750=$B1049)*(J$743:J$750)) + SUM(IFERROR(($A$933:$A$1010=$A1049)*($B$933:$B$1010=$B1049)*(J$933:J$1010),0)) + SUM(($A$768:$A$845=$A1049)*($B$768:$B$845= $B1049)*(J$768:J$845)) + SUM(IFERROR(($A$1016:$A$1038=$A1049) * ($B$1016:$B$1038=$B1049) * (J$1016:J$1038),0))</f>
        <v>0</v>
      </c>
      <c r="K1049" s="71">
        <f t="array" ref="K1049">SUM(($A$743:$A$750=$A1049)*($B$743:$B$750=$B1049)*(K$743:K$750)) + SUM(IFERROR(($A$933:$A$1010=$A1049)*($B$933:$B$1010=$B1049)*(K$933:K$1010),0)) + SUM(($A$768:$A$845=$A1049)*($B$768:$B$845= $B1049)*(K$768:K$845)) + SUM(IFERROR(($A$1016:$A$1038=$A1049) * ($B$1016:$B$1038=$B1049) * (K$1016:K$1038),0))</f>
        <v>0</v>
      </c>
      <c r="L1049" s="71">
        <f t="array" ref="L1049">SUM(($A$743:$A$750=$A1049)*($B$743:$B$750=$B1049)*(L$743:L$750)) + SUM(IFERROR(($A$933:$A$1010=$A1049)*($B$933:$B$1010=$B1049)*(L$933:L$1010),0)) + SUM(($A$768:$A$845=$A1049)*($B$768:$B$845= $B1049)*(L$768:L$845)) + SUM(IFERROR(($A$1016:$A$1038=$A1049) * ($B$1016:$B$1038=$B1049) * (L$1016:L$1038),0))</f>
        <v>0</v>
      </c>
      <c r="M1049" s="71">
        <f t="array" ref="M1049">SUM(($A$743:$A$750=$A1049)*($B$743:$B$750=$B1049)*(M$743:M$750)) + SUM(IFERROR(($A$933:$A$1010=$A1049)*($B$933:$B$1010=$B1049)*(M$933:M$1010),0)) + SUM(($A$768:$A$845=$A1049)*($B$768:$B$845= $B1049)*(M$768:M$845)) + SUM(IFERROR(($A$1016:$A$1038=$A1049) * ($B$1016:$B$1038=$B1049) * (M$1016:M$1038),0))</f>
        <v>0</v>
      </c>
      <c r="N1049" s="71">
        <f t="array" ref="N1049">SUM(($A$743:$A$750=$A1049)*($B$743:$B$750=$B1049)*(N$743:N$750)) + SUM(IFERROR(($A$933:$A$1010=$A1049)*($B$933:$B$1010=$B1049)*(N$933:N$1010),0)) + SUM(($A$768:$A$845=$A1049)*($B$768:$B$845= $B1049)*(N$768:N$845)) + SUM(IFERROR(($A$1016:$A$1038=$A1049) * ($B$1016:$B$1038=$B1049) * (N$1016:N$1038),0))</f>
        <v>0</v>
      </c>
      <c r="O1049" s="71">
        <f t="array" ref="O1049">SUM(($A$743:$A$750=$A1049)*($B$743:$B$750=$B1049)*(O$743:O$750)) + SUM(IFERROR(($A$933:$A$1010=$A1049)*($B$933:$B$1010=$B1049)*(O$933:O$1010),0)) + SUM(($A$768:$A$845=$A1049)*($B$768:$B$845= $B1049)*(O$768:O$845)) + SUM(IFERROR(($A$1016:$A$1038=$A1049) * ($B$1016:$B$1038=$B1049) * (O$1016:O$1038),0))</f>
        <v>0</v>
      </c>
    </row>
    <row r="1050" spans="1:17" s="19" customFormat="1">
      <c r="B1050" s="347"/>
      <c r="C1050" s="348" t="str">
        <f>D21</f>
        <v>Iron  &amp; Steel  - 351</v>
      </c>
      <c r="D1050" s="644"/>
      <c r="F1050" s="71">
        <f t="array" ref="F1050">SUM(($A$743:$A$750=$A1050)*($B$743:$B$750=$B1050)*(F$743:F$750)) + SUM(IFERROR(($A$933:$A$1010=$A1050)*($B$933:$B$1010=$B1050)*(F$933:F$1010),0)) + SUM(($A$768:$A$845=$A1050)*($B$768:$B$845= $B1050)*(F$768:F$845)) + SUM(IFERROR(($A$1016:$A$1038=$A1050) * ($B$1016:$B$1038=$B1050) * (F$1016:F$1038),0))</f>
        <v>0</v>
      </c>
      <c r="G1050" s="71">
        <f t="array" ref="G1050">SUM(($A$743:$A$750=$A1050)*($B$743:$B$750=$B1050)*(G$743:G$750)) + SUM(IFERROR(($A$933:$A$1010=$A1050)*($B$933:$B$1010=$B1050)*(G$933:G$1010),0)) + SUM(($A$768:$A$845=$A1050)*($B$768:$B$845= $B1050)*(G$768:G$845)) + SUM(IFERROR(($A$1016:$A$1038=$A1050) * ($B$1016:$B$1038=$B1050) * (G$1016:G$1038),0))</f>
        <v>0</v>
      </c>
      <c r="H1050" s="71">
        <f t="array" ref="H1050">SUM(($A$743:$A$750=$A1050)*($B$743:$B$750=$B1050)*(H$743:H$750)) + SUM(IFERROR(($A$933:$A$1010=$A1050)*($B$933:$B$1010=$B1050)*(H$933:H$1010),0)) + SUM(($A$768:$A$845=$A1050)*($B$768:$B$845= $B1050)*(H$768:H$845)) + SUM(IFERROR(($A$1016:$A$1038=$A1050) * ($B$1016:$B$1038=$B1050) * (H$1016:H$1038),0))</f>
        <v>0</v>
      </c>
      <c r="I1050" s="71">
        <f t="array" ref="I1050">SUM(($A$743:$A$750=$A1050)*($B$743:$B$750=$B1050)*(I$743:I$750)) + SUM(IFERROR(($A$933:$A$1010=$A1050)*($B$933:$B$1010=$B1050)*(I$933:I$1010),0)) + SUM(($A$768:$A$845=$A1050)*($B$768:$B$845= $B1050)*(I$768:I$845)) + SUM(IFERROR(($A$1016:$A$1038=$A1050) * ($B$1016:$B$1038=$B1050) * (I$1016:I$1038),0))</f>
        <v>0</v>
      </c>
      <c r="J1050" s="71">
        <f t="array" ref="J1050">SUM(($A$743:$A$750=$A1050)*($B$743:$B$750=$B1050)*(J$743:J$750)) + SUM(IFERROR(($A$933:$A$1010=$A1050)*($B$933:$B$1010=$B1050)*(J$933:J$1010),0)) + SUM(($A$768:$A$845=$A1050)*($B$768:$B$845= $B1050)*(J$768:J$845)) + SUM(IFERROR(($A$1016:$A$1038=$A1050) * ($B$1016:$B$1038=$B1050) * (J$1016:J$1038),0))</f>
        <v>0</v>
      </c>
      <c r="K1050" s="71">
        <f t="array" ref="K1050">SUM(($A$743:$A$750=$A1050)*($B$743:$B$750=$B1050)*(K$743:K$750)) + SUM(IFERROR(($A$933:$A$1010=$A1050)*($B$933:$B$1010=$B1050)*(K$933:K$1010),0)) + SUM(($A$768:$A$845=$A1050)*($B$768:$B$845= $B1050)*(K$768:K$845)) + SUM(IFERROR(($A$1016:$A$1038=$A1050) * ($B$1016:$B$1038=$B1050) * (K$1016:K$1038),0))</f>
        <v>0</v>
      </c>
      <c r="L1050" s="71">
        <f t="array" ref="L1050">SUM(($A$743:$A$750=$A1050)*($B$743:$B$750=$B1050)*(L$743:L$750)) + SUM(IFERROR(($A$933:$A$1010=$A1050)*($B$933:$B$1010=$B1050)*(L$933:L$1010),0)) + SUM(($A$768:$A$845=$A1050)*($B$768:$B$845= $B1050)*(L$768:L$845)) + SUM(IFERROR(($A$1016:$A$1038=$A1050) * ($B$1016:$B$1038=$B1050) * (L$1016:L$1038),0))</f>
        <v>0</v>
      </c>
      <c r="M1050" s="71">
        <f t="array" ref="M1050">SUM(($A$743:$A$750=$A1050)*($B$743:$B$750=$B1050)*(M$743:M$750)) + SUM(IFERROR(($A$933:$A$1010=$A1050)*($B$933:$B$1010=$B1050)*(M$933:M$1010),0)) + SUM(($A$768:$A$845=$A1050)*($B$768:$B$845= $B1050)*(M$768:M$845)) + SUM(IFERROR(($A$1016:$A$1038=$A1050) * ($B$1016:$B$1038=$B1050) * (M$1016:M$1038),0))</f>
        <v>0</v>
      </c>
      <c r="N1050" s="71">
        <f t="array" ref="N1050">SUM(($A$743:$A$750=$A1050)*($B$743:$B$750=$B1050)*(N$743:N$750)) + SUM(IFERROR(($A$933:$A$1010=$A1050)*($B$933:$B$1010=$B1050)*(N$933:N$1010),0)) + SUM(($A$768:$A$845=$A1050)*($B$768:$B$845= $B1050)*(N$768:N$845)) + SUM(IFERROR(($A$1016:$A$1038=$A1050) * ($B$1016:$B$1038=$B1050) * (N$1016:N$1038),0))</f>
        <v>0</v>
      </c>
      <c r="O1050" s="71">
        <f t="array" ref="O1050">SUM(($A$743:$A$750=$A1050)*($B$743:$B$750=$B1050)*(O$743:O$750)) + SUM(IFERROR(($A$933:$A$1010=$A1050)*($B$933:$B$1010=$B1050)*(O$933:O$1010),0)) + SUM(($A$768:$A$845=$A1050)*($B$768:$B$845= $B1050)*(O$768:O$845)) + SUM(IFERROR(($A$1016:$A$1038=$A1050) * ($B$1016:$B$1038=$B1050) * (O$1016:O$1038),0))</f>
        <v>0</v>
      </c>
    </row>
    <row r="1051" spans="1:17" s="19" customFormat="1">
      <c r="A1051" s="1438" t="str">
        <f>INDEX($C$20:$C$27,MATCH($C1050,$D$20:$D$27,0))</f>
        <v>IS</v>
      </c>
      <c r="B1051" s="347" t="s">
        <v>33</v>
      </c>
      <c r="C1051" s="19" t="str">
        <f>INDEX(Vectors[Description], MATCH($B1051, Vectors[Code], 0))</f>
        <v>Electricity (delivered to end user)</v>
      </c>
      <c r="D1051" s="644"/>
      <c r="E1051" s="164"/>
      <c r="F1051" s="71">
        <f t="array" ref="F1051">SUM(($A$743:$A$750=$A1051)*($B$743:$B$750=$B1051)*(F$743:F$750)) + SUM(IFERROR(($A$933:$A$1010=$A1051)*($B$933:$B$1010=$B1051)*(F$933:F$1010),0)) + SUM(($A$768:$A$845=$A1051)*($B$768:$B$845= $B1051)*(F$768:F$845)) + SUM(IFERROR(($A$1016:$A$1038=$A1051) * ($B$1016:$B$1038=$B1051) * (F$1016:F$1038),0))</f>
        <v>99.525273120000023</v>
      </c>
      <c r="G1051" s="71">
        <f t="array" ref="G1051">SUM(($A$743:$A$750=$A1051)*($B$743:$B$750=$B1051)*(G$743:G$750)) + SUM(IFERROR(($A$933:$A$1010=$A1051)*($B$933:$B$1010=$B1051)*(G$933:G$1010),0)) + SUM(($A$768:$A$845=$A1051)*($B$768:$B$845= $B1051)*(G$768:G$845)) + SUM(IFERROR(($A$1016:$A$1038=$A1051) * ($B$1016:$B$1038=$B1051) * (G$1016:G$1038),0))</f>
        <v>115.22762791042892</v>
      </c>
      <c r="H1051" s="71">
        <f t="array" ref="H1051">SUM(($A$743:$A$750=$A1051)*($B$743:$B$750=$B1051)*(H$743:H$750)) + SUM(IFERROR(($A$933:$A$1010=$A1051)*($B$933:$B$1010=$B1051)*(H$933:H$1010),0)) + SUM(($A$768:$A$845=$A1051)*($B$768:$B$845= $B1051)*(H$768:H$845)) + SUM(IFERROR(($A$1016:$A$1038=$A1051) * ($B$1016:$B$1038=$B1051) * (H$1016:H$1038),0))</f>
        <v>144.70292825898605</v>
      </c>
      <c r="I1051" s="71">
        <f t="array" ref="I1051">SUM(($A$743:$A$750=$A1051)*($B$743:$B$750=$B1051)*(I$743:I$750)) + SUM(IFERROR(($A$933:$A$1010=$A1051)*($B$933:$B$1010=$B1051)*(I$933:I$1010),0)) + SUM(($A$768:$A$845=$A1051)*($B$768:$B$845= $B1051)*(I$768:I$845)) + SUM(IFERROR(($A$1016:$A$1038=$A1051) * ($B$1016:$B$1038=$B1051) * (I$1016:I$1038),0))</f>
        <v>182.75548824917161</v>
      </c>
      <c r="J1051" s="71">
        <f t="array" ref="J1051">SUM(($A$743:$A$750=$A1051)*($B$743:$B$750=$B1051)*(J$743:J$750)) + SUM(IFERROR(($A$933:$A$1010=$A1051)*($B$933:$B$1010=$B1051)*(J$933:J$1010),0)) + SUM(($A$768:$A$845=$A1051)*($B$768:$B$845= $B1051)*(J$768:J$845)) + SUM(IFERROR(($A$1016:$A$1038=$A1051) * ($B$1016:$B$1038=$B1051) * (J$1016:J$1038),0))</f>
        <v>229.37585006542855</v>
      </c>
      <c r="K1051" s="71">
        <f t="array" ref="K1051">SUM(($A$743:$A$750=$A1051)*($B$743:$B$750=$B1051)*(K$743:K$750)) + SUM(IFERROR(($A$933:$A$1010=$A1051)*($B$933:$B$1010=$B1051)*(K$933:K$1010),0)) + SUM(($A$768:$A$845=$A1051)*($B$768:$B$845= $B1051)*(K$768:K$845)) + SUM(IFERROR(($A$1016:$A$1038=$A1051) * ($B$1016:$B$1038=$B1051) * (K$1016:K$1038),0))</f>
        <v>287.88254183988647</v>
      </c>
      <c r="L1051" s="71">
        <f t="array" ref="L1051">SUM(($A$743:$A$750=$A1051)*($B$743:$B$750=$B1051)*(L$743:L$750)) + SUM(IFERROR(($A$933:$A$1010=$A1051)*($B$933:$B$1010=$B1051)*(L$933:L$1010),0)) + SUM(($A$768:$A$845=$A1051)*($B$768:$B$845= $B1051)*(L$768:L$845)) + SUM(IFERROR(($A$1016:$A$1038=$A1051) * ($B$1016:$B$1038=$B1051) * (L$1016:L$1038),0))</f>
        <v>353.58244792753732</v>
      </c>
      <c r="M1051" s="71">
        <f t="array" ref="M1051">SUM(($A$743:$A$750=$A1051)*($B$743:$B$750=$B1051)*(M$743:M$750)) + SUM(IFERROR(($A$933:$A$1010=$A1051)*($B$933:$B$1010=$B1051)*(M$933:M$1010),0)) + SUM(($A$768:$A$845=$A1051)*($B$768:$B$845= $B1051)*(M$768:M$845)) + SUM(IFERROR(($A$1016:$A$1038=$A1051) * ($B$1016:$B$1038=$B1051) * (M$1016:M$1038),0))</f>
        <v>426.71262053385004</v>
      </c>
      <c r="N1051" s="71">
        <f t="array" ref="N1051">SUM(($A$743:$A$750=$A1051)*($B$743:$B$750=$B1051)*(N$743:N$750)) + SUM(IFERROR(($A$933:$A$1010=$A1051)*($B$933:$B$1010=$B1051)*(N$933:N$1010),0)) + SUM(($A$768:$A$845=$A1051)*($B$768:$B$845= $B1051)*(N$768:N$845)) + SUM(IFERROR(($A$1016:$A$1038=$A1051) * ($B$1016:$B$1038=$B1051) * (N$1016:N$1038),0))</f>
        <v>503.13673996153852</v>
      </c>
      <c r="O1051" s="71">
        <f t="array" ref="O1051">SUM(($A$743:$A$750=$A1051)*($B$743:$B$750=$B1051)*(O$743:O$750)) + SUM(IFERROR(($A$933:$A$1010=$A1051)*($B$933:$B$1010=$B1051)*(O$933:O$1010),0)) + SUM(($A$768:$A$845=$A1051)*($B$768:$B$845= $B1051)*(O$768:O$845)) + SUM(IFERROR(($A$1016:$A$1038=$A1051) * ($B$1016:$B$1038=$B1051) * (O$1016:O$1038),0))</f>
        <v>589.1697876310003</v>
      </c>
    </row>
    <row r="1052" spans="1:17" s="19" customFormat="1">
      <c r="A1052" s="19" t="str">
        <f>A1051</f>
        <v>IS</v>
      </c>
      <c r="B1052" s="347" t="s">
        <v>35</v>
      </c>
      <c r="C1052" s="19" t="str">
        <f>INDEX(Vectors[Description], MATCH($B1052, Vectors[Code], 0))</f>
        <v>Solid hydrocarbons</v>
      </c>
      <c r="D1052" s="644"/>
      <c r="E1052" s="164"/>
      <c r="F1052" s="71">
        <f t="array" ref="F1052">SUM(($A$743:$A$750=$A1052)*($B$743:$B$750=$B1052)*(F$743:F$750)) + SUM(IFERROR(($A$933:$A$1010=$A1052)*($B$933:$B$1010=$B1052)*(F$933:F$1010),0)) + SUM(($A$768:$A$845=$A1052)*($B$768:$B$845= $B1052)*(F$768:F$845)) + SUM(IFERROR(($A$1016:$A$1038=$A1052) * ($B$1016:$B$1038=$B1052) * (F$1016:F$1038),0))</f>
        <v>175.62110306264805</v>
      </c>
      <c r="G1052" s="71">
        <f t="array" ref="G1052">SUM(($A$743:$A$750=$A1052)*($B$743:$B$750=$B1052)*(G$743:G$750)) + SUM(IFERROR(($A$933:$A$1010=$A1052)*($B$933:$B$1010=$B1052)*(G$933:G$1010),0)) + SUM(($A$768:$A$845=$A1052)*($B$768:$B$845= $B1052)*(G$768:G$845)) + SUM(IFERROR(($A$1016:$A$1038=$A1052) * ($B$1016:$B$1038=$B1052) * (G$1016:G$1038),0))</f>
        <v>203.32832038339123</v>
      </c>
      <c r="H1052" s="71">
        <f t="array" ref="H1052">SUM(($A$743:$A$750=$A1052)*($B$743:$B$750=$B1052)*(H$743:H$750)) + SUM(IFERROR(($A$933:$A$1010=$A1052)*($B$933:$B$1010=$B1052)*(H$933:H$1010),0)) + SUM(($A$768:$A$845=$A1052)*($B$768:$B$845= $B1052)*(H$768:H$845)) + SUM(IFERROR(($A$1016:$A$1038=$A1052) * ($B$1016:$B$1038=$B1052) * (H$1016:H$1038),0))</f>
        <v>260.72504432864883</v>
      </c>
      <c r="I1052" s="71">
        <f t="array" ref="I1052">SUM(($A$743:$A$750=$A1052)*($B$743:$B$750=$B1052)*(I$743:I$750)) + SUM(IFERROR(($A$933:$A$1010=$A1052)*($B$933:$B$1010=$B1052)*(I$933:I$1010),0)) + SUM(($A$768:$A$845=$A1052)*($B$768:$B$845= $B1052)*(I$768:I$845)) + SUM(IFERROR(($A$1016:$A$1038=$A1052) * ($B$1016:$B$1038=$B1052) * (I$1016:I$1038),0))</f>
        <v>322.47921284111237</v>
      </c>
      <c r="J1052" s="71">
        <f t="array" ref="J1052">SUM(($A$743:$A$750=$A1052)*($B$743:$B$750=$B1052)*(J$743:J$750)) + SUM(IFERROR(($A$933:$A$1010=$A1052)*($B$933:$B$1010=$B1052)*(J$933:J$1010),0)) + SUM(($A$768:$A$845=$A1052)*($B$768:$B$845= $B1052)*(J$768:J$845)) + SUM(IFERROR(($A$1016:$A$1038=$A1052) * ($B$1016:$B$1038=$B1052) * (J$1016:J$1038),0))</f>
        <v>412.18033430920013</v>
      </c>
      <c r="K1052" s="71">
        <f t="array" ref="K1052">SUM(($A$743:$A$750=$A1052)*($B$743:$B$750=$B1052)*(K$743:K$750)) + SUM(IFERROR(($A$933:$A$1010=$A1052)*($B$933:$B$1010=$B1052)*(K$933:K$1010),0)) + SUM(($A$768:$A$845=$A1052)*($B$768:$B$845= $B1052)*(K$768:K$845)) + SUM(IFERROR(($A$1016:$A$1038=$A1052) * ($B$1016:$B$1038=$B1052) * (K$1016:K$1038),0))</f>
        <v>507.96537454359418</v>
      </c>
      <c r="L1052" s="71">
        <f t="array" ref="L1052">SUM(($A$743:$A$750=$A1052)*($B$743:$B$750=$B1052)*(L$743:L$750)) + SUM(IFERROR(($A$933:$A$1010=$A1052)*($B$933:$B$1010=$B1052)*(L$933:L$1010),0)) + SUM(($A$768:$A$845=$A1052)*($B$768:$B$845= $B1052)*(L$768:L$845)) + SUM(IFERROR(($A$1016:$A$1038=$A1052) * ($B$1016:$B$1038=$B1052) * (L$1016:L$1038),0))</f>
        <v>628.52085180378992</v>
      </c>
      <c r="M1052" s="71">
        <f t="array" ref="M1052">SUM(($A$743:$A$750=$A1052)*($B$743:$B$750=$B1052)*(M$743:M$750)) + SUM(IFERROR(($A$933:$A$1010=$A1052)*($B$933:$B$1010=$B1052)*(M$933:M$1010),0)) + SUM(($A$768:$A$845=$A1052)*($B$768:$B$845= $B1052)*(M$768:M$845)) + SUM(IFERROR(($A$1016:$A$1038=$A1052) * ($B$1016:$B$1038=$B1052) * (M$1016:M$1038),0))</f>
        <v>752.92110336479163</v>
      </c>
      <c r="N1052" s="71">
        <f t="array" ref="N1052">SUM(($A$743:$A$750=$A1052)*($B$743:$B$750=$B1052)*(N$743:N$750)) + SUM(IFERROR(($A$933:$A$1010=$A1052)*($B$933:$B$1010=$B1052)*(N$933:N$1010),0)) + SUM(($A$768:$A$845=$A1052)*($B$768:$B$845= $B1052)*(N$768:N$845)) + SUM(IFERROR(($A$1016:$A$1038=$A1052) * ($B$1016:$B$1038=$B1052) * (N$1016:N$1038),0))</f>
        <v>893.78551583281421</v>
      </c>
      <c r="O1052" s="71">
        <f t="array" ref="O1052">SUM(($A$743:$A$750=$A1052)*($B$743:$B$750=$B1052)*(O$743:O$750)) + SUM(IFERROR(($A$933:$A$1010=$A1052)*($B$933:$B$1010=$B1052)*(O$933:O$1010),0)) + SUM(($A$768:$A$845=$A1052)*($B$768:$B$845= $B1052)*(O$768:O$845)) + SUM(IFERROR(($A$1016:$A$1038=$A1052) * ($B$1016:$B$1038=$B1052) * (O$1016:O$1038),0))</f>
        <v>1039.5707200447137</v>
      </c>
    </row>
    <row r="1053" spans="1:17" s="19" customFormat="1">
      <c r="A1053" s="19" t="str">
        <f>A1052</f>
        <v>IS</v>
      </c>
      <c r="B1053" s="347" t="s">
        <v>37</v>
      </c>
      <c r="C1053" s="19" t="str">
        <f>INDEX(Vectors[Description], MATCH($B1053, Vectors[Code], 0))</f>
        <v>Liquid hydrocarbons</v>
      </c>
      <c r="D1053" s="644"/>
      <c r="E1053" s="164"/>
      <c r="F1053" s="71">
        <f t="array" ref="F1053">SUM(($A$743:$A$750=$A1053)*($B$743:$B$750=$B1053)*(F$743:F$750)) + SUM(IFERROR(($A$933:$A$1010=$A1053)*($B$933:$B$1010=$B1053)*(F$933:F$1010),0)) + SUM(($A$768:$A$845=$A1053)*($B$768:$B$845= $B1053)*(F$768:F$845)) + SUM(IFERROR(($A$1016:$A$1038=$A1053) * ($B$1016:$B$1038=$B1053) * (F$1016:F$1038),0))</f>
        <v>3.86</v>
      </c>
      <c r="G1053" s="71">
        <f t="array" ref="G1053">SUM(($A$743:$A$750=$A1053)*($B$743:$B$750=$B1053)*(G$743:G$750)) + SUM(IFERROR(($A$933:$A$1010=$A1053)*($B$933:$B$1010=$B1053)*(G$933:G$1010),0)) + SUM(($A$768:$A$845=$A1053)*($B$768:$B$845= $B1053)*(G$768:G$845)) + SUM(IFERROR(($A$1016:$A$1038=$A1053) * ($B$1016:$B$1038=$B1053) * (G$1016:G$1038),0))</f>
        <v>4.4685331675860125</v>
      </c>
      <c r="H1053" s="71">
        <f t="array" ref="H1053">SUM(($A$743:$A$750=$A1053)*($B$743:$B$750=$B1053)*(H$743:H$750)) + SUM(IFERROR(($A$933:$A$1010=$A1053)*($B$933:$B$1010=$B1053)*(H$933:H$1010),0)) + SUM(($A$768:$A$845=$A1053)*($B$768:$B$845= $B1053)*(H$768:H$845)) + SUM(IFERROR(($A$1016:$A$1038=$A1053) * ($B$1016:$B$1038=$B1053) * (H$1016:H$1038),0))</f>
        <v>5.7758895927003042</v>
      </c>
      <c r="I1053" s="71">
        <f t="array" ref="I1053">SUM(($A$743:$A$750=$A1053)*($B$743:$B$750=$B1053)*(I$743:I$750)) + SUM(IFERROR(($A$933:$A$1010=$A1053)*($B$933:$B$1010=$B1053)*(I$933:I$1010),0)) + SUM(($A$768:$A$845=$A1053)*($B$768:$B$845= $B1053)*(I$768:I$845)) + SUM(IFERROR(($A$1016:$A$1038=$A1053) * ($B$1016:$B$1038=$B1053) * (I$1016:I$1038),0))</f>
        <v>7.083246017814596</v>
      </c>
      <c r="J1053" s="71">
        <f t="array" ref="J1053">SUM(($A$743:$A$750=$A1053)*($B$743:$B$750=$B1053)*(J$743:J$750)) + SUM(IFERROR(($A$933:$A$1010=$A1053)*($B$933:$B$1010=$B1053)*(J$933:J$1010),0)) + SUM(($A$768:$A$845=$A1053)*($B$768:$B$845= $B1053)*(J$768:J$845)) + SUM(IFERROR(($A$1016:$A$1038=$A1053) * ($B$1016:$B$1038=$B1053) * (J$1016:J$1038),0))</f>
        <v>9.1147758572622379</v>
      </c>
      <c r="K1053" s="71">
        <f t="array" ref="K1053">SUM(($A$743:$A$750=$A1053)*($B$743:$B$750=$B1053)*(K$743:K$750)) + SUM(IFERROR(($A$933:$A$1010=$A1053)*($B$933:$B$1010=$B1053)*(K$933:K$1010),0)) + SUM(($A$768:$A$845=$A1053)*($B$768:$B$845= $B1053)*(K$768:K$845)) + SUM(IFERROR(($A$1016:$A$1038=$A1053) * ($B$1016:$B$1038=$B1053) * (K$1016:K$1038),0))</f>
        <v>11.146305696709879</v>
      </c>
      <c r="L1053" s="71">
        <f t="array" ref="L1053">SUM(($A$743:$A$750=$A1053)*($B$743:$B$750=$B1053)*(L$743:L$750)) + SUM(IFERROR(($A$933:$A$1010=$A1053)*($B$933:$B$1010=$B1053)*(L$933:L$1010),0)) + SUM(($A$768:$A$845=$A1053)*($B$768:$B$845= $B1053)*(L$768:L$845)) + SUM(IFERROR(($A$1016:$A$1038=$A1053) * ($B$1016:$B$1038=$B1053) * (L$1016:L$1038),0))</f>
        <v>13.826828487027139</v>
      </c>
      <c r="M1053" s="71">
        <f t="array" ref="M1053">SUM(($A$743:$A$750=$A1053)*($B$743:$B$750=$B1053)*(M$743:M$750)) + SUM(IFERROR(($A$933:$A$1010=$A1053)*($B$933:$B$1010=$B1053)*(M$933:M$1010),0)) + SUM(($A$768:$A$845=$A1053)*($B$768:$B$845= $B1053)*(M$768:M$845)) + SUM(IFERROR(($A$1016:$A$1038=$A1053) * ($B$1016:$B$1038=$B1053) * (M$1016:M$1038),0))</f>
        <v>16.507351277344398</v>
      </c>
      <c r="N1053" s="71">
        <f t="array" ref="N1053">SUM(($A$743:$A$750=$A1053)*($B$743:$B$750=$B1053)*(N$743:N$750)) + SUM(IFERROR(($A$933:$A$1010=$A1053)*($B$933:$B$1010=$B1053)*(N$933:N$1010),0)) + SUM(($A$768:$A$845=$A1053)*($B$768:$B$845= $B1053)*(N$768:N$845)) + SUM(IFERROR(($A$1016:$A$1038=$A1053) * ($B$1016:$B$1038=$B1053) * (N$1016:N$1038),0))</f>
        <v>19.645513025342581</v>
      </c>
      <c r="O1053" s="71">
        <f t="array" ref="O1053">SUM(($A$743:$A$750=$A1053)*($B$743:$B$750=$B1053)*(O$743:O$750)) + SUM(IFERROR(($A$933:$A$1010=$A1053)*($B$933:$B$1010=$B1053)*(O$933:O$1010),0)) + SUM(($A$768:$A$845=$A1053)*($B$768:$B$845= $B1053)*(O$768:O$845)) + SUM(IFERROR(($A$1016:$A$1038=$A1053) * ($B$1016:$B$1038=$B1053) * (O$1016:O$1038),0))</f>
        <v>22.783674773340763</v>
      </c>
    </row>
    <row r="1054" spans="1:17" s="19" customFormat="1">
      <c r="A1054" s="19" t="str">
        <f>A1053</f>
        <v>IS</v>
      </c>
      <c r="B1054" s="347" t="s">
        <v>38</v>
      </c>
      <c r="C1054" s="19" t="str">
        <f>INDEX(Vectors[Description], MATCH($B1054, Vectors[Code], 0))</f>
        <v>Gaseous hydrocarbons</v>
      </c>
      <c r="D1054" s="644"/>
      <c r="E1054" s="164"/>
      <c r="F1054" s="71">
        <f t="array" ref="F1054">SUM(($A$743:$A$750=$A1054)*($B$743:$B$750=$B1054)*(F$743:F$750)) + SUM(IFERROR(($A$933:$A$1010=$A1054)*($B$933:$B$1010=$B1054)*(F$933:F$1010),0)) + SUM(($A$768:$A$845=$A1054)*($B$768:$B$845= $B1054)*(F$768:F$845)) + SUM(IFERROR(($A$1016:$A$1038=$A1054) * ($B$1016:$B$1038=$B1054) * (F$1016:F$1038),0))</f>
        <v>21.976099999999999</v>
      </c>
      <c r="G1054" s="71">
        <f t="array" ref="G1054">SUM(($A$743:$A$750=$A1054)*($B$743:$B$750=$B1054)*(G$743:G$750)) + SUM(IFERROR(($A$933:$A$1010=$A1054)*($B$933:$B$1010=$B1054)*(G$933:G$1010),0)) + SUM(($A$768:$A$845=$A1054)*($B$768:$B$845= $B1054)*(G$768:G$845)) + SUM(IFERROR(($A$1016:$A$1038=$A1054) * ($B$1016:$B$1038=$B1054) * (G$1016:G$1038),0))</f>
        <v>25.440655892276414</v>
      </c>
      <c r="H1054" s="71">
        <f t="array" ref="H1054">SUM(($A$743:$A$750=$A1054)*($B$743:$B$750=$B1054)*(H$743:H$750)) + SUM(IFERROR(($A$933:$A$1010=$A1054)*($B$933:$B$1010=$B1054)*(H$933:H$1010),0)) + SUM(($A$768:$A$845=$A1054)*($B$768:$B$845= $B1054)*(H$768:H$845)) + SUM(IFERROR(($A$1016:$A$1038=$A1054) * ($B$1016:$B$1038=$B1054) * (H$1016:H$1038),0))</f>
        <v>32.883815357031381</v>
      </c>
      <c r="I1054" s="71">
        <f t="array" ref="I1054">SUM(($A$743:$A$750=$A1054)*($B$743:$B$750=$B1054)*(I$743:I$750)) + SUM(IFERROR(($A$933:$A$1010=$A1054)*($B$933:$B$1010=$B1054)*(I$933:I$1010),0)) + SUM(($A$768:$A$845=$A1054)*($B$768:$B$845= $B1054)*(I$768:I$845)) + SUM(IFERROR(($A$1016:$A$1038=$A1054) * ($B$1016:$B$1038=$B1054) * (I$1016:I$1038),0))</f>
        <v>40.326974821786344</v>
      </c>
      <c r="J1054" s="71">
        <f t="array" ref="J1054">SUM(($A$743:$A$750=$A1054)*($B$743:$B$750=$B1054)*(J$743:J$750)) + SUM(IFERROR(($A$933:$A$1010=$A1054)*($B$933:$B$1010=$B1054)*(J$933:J$1010),0)) + SUM(($A$768:$A$845=$A1054)*($B$768:$B$845= $B1054)*(J$768:J$845)) + SUM(IFERROR(($A$1016:$A$1038=$A1054) * ($B$1016:$B$1038=$B1054) * (J$1016:J$1038),0))</f>
        <v>51.893063657197047</v>
      </c>
      <c r="K1054" s="71">
        <f t="array" ref="K1054">SUM(($A$743:$A$750=$A1054)*($B$743:$B$750=$B1054)*(K$743:K$750)) + SUM(IFERROR(($A$933:$A$1010=$A1054)*($B$933:$B$1010=$B1054)*(K$933:K$1010),0)) + SUM(($A$768:$A$845=$A1054)*($B$768:$B$845= $B1054)*(K$768:K$845)) + SUM(IFERROR(($A$1016:$A$1038=$A1054) * ($B$1016:$B$1038=$B1054) * (K$1016:K$1038),0))</f>
        <v>63.459152492607757</v>
      </c>
      <c r="L1054" s="71">
        <f t="array" ref="L1054">SUM(($A$743:$A$750=$A1054)*($B$743:$B$750=$B1054)*(L$743:L$750)) + SUM(IFERROR(($A$933:$A$1010=$A1054)*($B$933:$B$1010=$B1054)*(L$933:L$1010),0)) + SUM(($A$768:$A$845=$A1054)*($B$768:$B$845= $B1054)*(L$768:L$845)) + SUM(IFERROR(($A$1016:$A$1038=$A1054) * ($B$1016:$B$1038=$B1054) * (L$1016:L$1038),0))</f>
        <v>78.720146506154677</v>
      </c>
      <c r="M1054" s="71">
        <f t="array" ref="M1054">SUM(($A$743:$A$750=$A1054)*($B$743:$B$750=$B1054)*(M$743:M$750)) + SUM(IFERROR(($A$933:$A$1010=$A1054)*($B$933:$B$1010=$B1054)*(M$933:M$1010),0)) + SUM(($A$768:$A$845=$A1054)*($B$768:$B$845= $B1054)*(M$768:M$845)) + SUM(IFERROR(($A$1016:$A$1038=$A1054) * ($B$1016:$B$1038=$B1054) * (M$1016:M$1038),0))</f>
        <v>93.981140519701597</v>
      </c>
      <c r="N1054" s="71">
        <f t="array" ref="N1054">SUM(($A$743:$A$750=$A1054)*($B$743:$B$750=$B1054)*(N$743:N$750)) + SUM(IFERROR(($A$933:$A$1010=$A1054)*($B$933:$B$1010=$B1054)*(N$933:N$1010),0)) + SUM(($A$768:$A$845=$A1054)*($B$768:$B$845= $B1054)*(N$768:N$845)) + SUM(IFERROR(($A$1016:$A$1038=$A1054) * ($B$1016:$B$1038=$B1054) * (N$1016:N$1038),0))</f>
        <v>111.84760590575932</v>
      </c>
      <c r="O1054" s="71">
        <f t="array" ref="O1054">SUM(($A$743:$A$750=$A1054)*($B$743:$B$750=$B1054)*(O$743:O$750)) + SUM(IFERROR(($A$933:$A$1010=$A1054)*($B$933:$B$1010=$B1054)*(O$933:O$1010),0)) + SUM(($A$768:$A$845=$A1054)*($B$768:$B$845= $B1054)*(O$768:O$845)) + SUM(IFERROR(($A$1016:$A$1038=$A1054) * ($B$1016:$B$1038=$B1054) * (O$1016:O$1038),0))</f>
        <v>129.71407129181705</v>
      </c>
    </row>
    <row r="1055" spans="1:17" s="19" customFormat="1">
      <c r="A1055" s="19" t="str">
        <f>A1054</f>
        <v>IS</v>
      </c>
      <c r="B1055" s="347" t="s">
        <v>251</v>
      </c>
      <c r="C1055" s="19" t="str">
        <f>INDEX(Vectors[Description], MATCH($B1055, Vectors[Code], 0))</f>
        <v>Dry biomass and waste</v>
      </c>
      <c r="D1055" s="644"/>
      <c r="E1055" s="164"/>
      <c r="F1055" s="71">
        <f t="array" ref="F1055">SUM(($A$743:$A$750=$A1055)*($B$743:$B$750=$B1055)*(F$743:F$750)) + SUM(IFERROR(($A$933:$A$1010=$A1055)*($B$933:$B$1010=$B1055)*(F$933:F$1010),0)) + SUM(($A$768:$A$845=$A1055)*($B$768:$B$845= $B1055)*(F$768:F$845)) + SUM(IFERROR(($A$1016:$A$1038=$A1055) * ($B$1016:$B$1038=$B1055) * (F$1016:F$1038),0))</f>
        <v>0</v>
      </c>
      <c r="G1055" s="71">
        <f t="array" ref="G1055">SUM(($A$743:$A$750=$A1055)*($B$743:$B$750=$B1055)*(G$743:G$750)) + SUM(IFERROR(($A$933:$A$1010=$A1055)*($B$933:$B$1010=$B1055)*(G$933:G$1010),0)) + SUM(($A$768:$A$845=$A1055)*($B$768:$B$845= $B1055)*(G$768:G$845)) + SUM(IFERROR(($A$1016:$A$1038=$A1055) * ($B$1016:$B$1038=$B1055) * (G$1016:G$1038),0))</f>
        <v>0</v>
      </c>
      <c r="H1055" s="71">
        <f t="array" ref="H1055">SUM(($A$743:$A$750=$A1055)*($B$743:$B$750=$B1055)*(H$743:H$750)) + SUM(IFERROR(($A$933:$A$1010=$A1055)*($B$933:$B$1010=$B1055)*(H$933:H$1010),0)) + SUM(($A$768:$A$845=$A1055)*($B$768:$B$845= $B1055)*(H$768:H$845)) + SUM(IFERROR(($A$1016:$A$1038=$A1055) * ($B$1016:$B$1038=$B1055) * (H$1016:H$1038),0))</f>
        <v>0</v>
      </c>
      <c r="I1055" s="71">
        <f t="array" ref="I1055">SUM(($A$743:$A$750=$A1055)*($B$743:$B$750=$B1055)*(I$743:I$750)) + SUM(IFERROR(($A$933:$A$1010=$A1055)*($B$933:$B$1010=$B1055)*(I$933:I$1010),0)) + SUM(($A$768:$A$845=$A1055)*($B$768:$B$845= $B1055)*(I$768:I$845)) + SUM(IFERROR(($A$1016:$A$1038=$A1055) * ($B$1016:$B$1038=$B1055) * (I$1016:I$1038),0))</f>
        <v>0</v>
      </c>
      <c r="J1055" s="71">
        <f t="array" ref="J1055">SUM(($A$743:$A$750=$A1055)*($B$743:$B$750=$B1055)*(J$743:J$750)) + SUM(IFERROR(($A$933:$A$1010=$A1055)*($B$933:$B$1010=$B1055)*(J$933:J$1010),0)) + SUM(($A$768:$A$845=$A1055)*($B$768:$B$845= $B1055)*(J$768:J$845)) + SUM(IFERROR(($A$1016:$A$1038=$A1055) * ($B$1016:$B$1038=$B1055) * (J$1016:J$1038),0))</f>
        <v>0</v>
      </c>
      <c r="K1055" s="71">
        <f t="array" ref="K1055">SUM(($A$743:$A$750=$A1055)*($B$743:$B$750=$B1055)*(K$743:K$750)) + SUM(IFERROR(($A$933:$A$1010=$A1055)*($B$933:$B$1010=$B1055)*(K$933:K$1010),0)) + SUM(($A$768:$A$845=$A1055)*($B$768:$B$845= $B1055)*(K$768:K$845)) + SUM(IFERROR(($A$1016:$A$1038=$A1055) * ($B$1016:$B$1038=$B1055) * (K$1016:K$1038),0))</f>
        <v>0</v>
      </c>
      <c r="L1055" s="71">
        <f t="array" ref="L1055">SUM(($A$743:$A$750=$A1055)*($B$743:$B$750=$B1055)*(L$743:L$750)) + SUM(IFERROR(($A$933:$A$1010=$A1055)*($B$933:$B$1010=$B1055)*(L$933:L$1010),0)) + SUM(($A$768:$A$845=$A1055)*($B$768:$B$845= $B1055)*(L$768:L$845)) + SUM(IFERROR(($A$1016:$A$1038=$A1055) * ($B$1016:$B$1038=$B1055) * (L$1016:L$1038),0))</f>
        <v>0</v>
      </c>
      <c r="M1055" s="71">
        <f t="array" ref="M1055">SUM(($A$743:$A$750=$A1055)*($B$743:$B$750=$B1055)*(M$743:M$750)) + SUM(IFERROR(($A$933:$A$1010=$A1055)*($B$933:$B$1010=$B1055)*(M$933:M$1010),0)) + SUM(($A$768:$A$845=$A1055)*($B$768:$B$845= $B1055)*(M$768:M$845)) + SUM(IFERROR(($A$1016:$A$1038=$A1055) * ($B$1016:$B$1038=$B1055) * (M$1016:M$1038),0))</f>
        <v>0</v>
      </c>
      <c r="N1055" s="71">
        <f t="array" ref="N1055">SUM(($A$743:$A$750=$A1055)*($B$743:$B$750=$B1055)*(N$743:N$750)) + SUM(IFERROR(($A$933:$A$1010=$A1055)*($B$933:$B$1010=$B1055)*(N$933:N$1010),0)) + SUM(($A$768:$A$845=$A1055)*($B$768:$B$845= $B1055)*(N$768:N$845)) + SUM(IFERROR(($A$1016:$A$1038=$A1055) * ($B$1016:$B$1038=$B1055) * (N$1016:N$1038),0))</f>
        <v>0</v>
      </c>
      <c r="O1055" s="71">
        <f t="array" ref="O1055">SUM(($A$743:$A$750=$A1055)*($B$743:$B$750=$B1055)*(O$743:O$750)) + SUM(IFERROR(($A$933:$A$1010=$A1055)*($B$933:$B$1010=$B1055)*(O$933:O$1010),0)) + SUM(($A$768:$A$845=$A1055)*($B$768:$B$845= $B1055)*(O$768:O$845)) + SUM(IFERROR(($A$1016:$A$1038=$A1055) * ($B$1016:$B$1038=$B1055) * (O$1016:O$1038),0))</f>
        <v>0</v>
      </c>
    </row>
    <row r="1056" spans="1:17" s="19" customFormat="1">
      <c r="A1056" s="19" t="str">
        <f>A1055</f>
        <v>IS</v>
      </c>
      <c r="B1056" s="347" t="s">
        <v>897</v>
      </c>
      <c r="C1056" s="19" t="str">
        <f>INDEX(Vectors[Description], MATCH($B1056, Vectors[Code], 0))</f>
        <v>Other Waste</v>
      </c>
      <c r="D1056" s="644"/>
      <c r="E1056" s="164"/>
      <c r="F1056" s="71">
        <f t="array" ref="F1056">SUM(($A$743:$A$750=$A1056)*($B$743:$B$750=$B1056)*(F$743:F$750)) + SUM(IFERROR(($A$933:$A$1010=$A1056)*($B$933:$B$1010=$B1056)*(F$933:F$1010),0)) + SUM(($A$768:$A$845=$A1056)*($B$768:$B$845= $B1056)*(F$768:F$845)) + SUM(IFERROR(($A$1016:$A$1038=$A1056) * ($B$1016:$B$1038=$B1056) * (F$1016:F$1038),0))</f>
        <v>0</v>
      </c>
      <c r="G1056" s="71">
        <f t="array" ref="G1056">SUM(($A$743:$A$750=$A1056)*($B$743:$B$750=$B1056)*(G$743:G$750)) + SUM(IFERROR(($A$933:$A$1010=$A1056)*($B$933:$B$1010=$B1056)*(G$933:G$1010),0)) + SUM(($A$768:$A$845=$A1056)*($B$768:$B$845= $B1056)*(G$768:G$845)) + SUM(IFERROR(($A$1016:$A$1038=$A1056) * ($B$1016:$B$1038=$B1056) * (G$1016:G$1038),0))</f>
        <v>0</v>
      </c>
      <c r="H1056" s="71">
        <f t="array" ref="H1056">SUM(($A$743:$A$750=$A1056)*($B$743:$B$750=$B1056)*(H$743:H$750)) + SUM(IFERROR(($A$933:$A$1010=$A1056)*($B$933:$B$1010=$B1056)*(H$933:H$1010),0)) + SUM(($A$768:$A$845=$A1056)*($B$768:$B$845= $B1056)*(H$768:H$845)) + SUM(IFERROR(($A$1016:$A$1038=$A1056) * ($B$1016:$B$1038=$B1056) * (H$1016:H$1038),0))</f>
        <v>0</v>
      </c>
      <c r="I1056" s="71">
        <f t="array" ref="I1056">SUM(($A$743:$A$750=$A1056)*($B$743:$B$750=$B1056)*(I$743:I$750)) + SUM(IFERROR(($A$933:$A$1010=$A1056)*($B$933:$B$1010=$B1056)*(I$933:I$1010),0)) + SUM(($A$768:$A$845=$A1056)*($B$768:$B$845= $B1056)*(I$768:I$845)) + SUM(IFERROR(($A$1016:$A$1038=$A1056) * ($B$1016:$B$1038=$B1056) * (I$1016:I$1038),0))</f>
        <v>0</v>
      </c>
      <c r="J1056" s="71">
        <f t="array" ref="J1056">SUM(($A$743:$A$750=$A1056)*($B$743:$B$750=$B1056)*(J$743:J$750)) + SUM(IFERROR(($A$933:$A$1010=$A1056)*($B$933:$B$1010=$B1056)*(J$933:J$1010),0)) + SUM(($A$768:$A$845=$A1056)*($B$768:$B$845= $B1056)*(J$768:J$845)) + SUM(IFERROR(($A$1016:$A$1038=$A1056) * ($B$1016:$B$1038=$B1056) * (J$1016:J$1038),0))</f>
        <v>0</v>
      </c>
      <c r="K1056" s="71">
        <f t="array" ref="K1056">SUM(($A$743:$A$750=$A1056)*($B$743:$B$750=$B1056)*(K$743:K$750)) + SUM(IFERROR(($A$933:$A$1010=$A1056)*($B$933:$B$1010=$B1056)*(K$933:K$1010),0)) + SUM(($A$768:$A$845=$A1056)*($B$768:$B$845= $B1056)*(K$768:K$845)) + SUM(IFERROR(($A$1016:$A$1038=$A1056) * ($B$1016:$B$1038=$B1056) * (K$1016:K$1038),0))</f>
        <v>0</v>
      </c>
      <c r="L1056" s="71">
        <f t="array" ref="L1056">SUM(($A$743:$A$750=$A1056)*($B$743:$B$750=$B1056)*(L$743:L$750)) + SUM(IFERROR(($A$933:$A$1010=$A1056)*($B$933:$B$1010=$B1056)*(L$933:L$1010),0)) + SUM(($A$768:$A$845=$A1056)*($B$768:$B$845= $B1056)*(L$768:L$845)) + SUM(IFERROR(($A$1016:$A$1038=$A1056) * ($B$1016:$B$1038=$B1056) * (L$1016:L$1038),0))</f>
        <v>0</v>
      </c>
      <c r="M1056" s="71">
        <f t="array" ref="M1056">SUM(($A$743:$A$750=$A1056)*($B$743:$B$750=$B1056)*(M$743:M$750)) + SUM(IFERROR(($A$933:$A$1010=$A1056)*($B$933:$B$1010=$B1056)*(M$933:M$1010),0)) + SUM(($A$768:$A$845=$A1056)*($B$768:$B$845= $B1056)*(M$768:M$845)) + SUM(IFERROR(($A$1016:$A$1038=$A1056) * ($B$1016:$B$1038=$B1056) * (M$1016:M$1038),0))</f>
        <v>0</v>
      </c>
      <c r="N1056" s="71">
        <f t="array" ref="N1056">SUM(($A$743:$A$750=$A1056)*($B$743:$B$750=$B1056)*(N$743:N$750)) + SUM(IFERROR(($A$933:$A$1010=$A1056)*($B$933:$B$1010=$B1056)*(N$933:N$1010),0)) + SUM(($A$768:$A$845=$A1056)*($B$768:$B$845= $B1056)*(N$768:N$845)) + SUM(IFERROR(($A$1016:$A$1038=$A1056) * ($B$1016:$B$1038=$B1056) * (N$1016:N$1038),0))</f>
        <v>0</v>
      </c>
      <c r="O1056" s="71">
        <f t="array" ref="O1056">SUM(($A$743:$A$750=$A1056)*($B$743:$B$750=$B1056)*(O$743:O$750)) + SUM(IFERROR(($A$933:$A$1010=$A1056)*($B$933:$B$1010=$B1056)*(O$933:O$1010),0)) + SUM(($A$768:$A$845=$A1056)*($B$768:$B$845= $B1056)*(O$768:O$845)) + SUM(IFERROR(($A$1016:$A$1038=$A1056) * ($B$1016:$B$1038=$B1056) * (O$1016:O$1038),0))</f>
        <v>0</v>
      </c>
    </row>
    <row r="1057" spans="1:15" s="19" customFormat="1">
      <c r="B1057" s="347"/>
      <c r="C1057" s="348"/>
      <c r="D1057" s="644"/>
      <c r="E1057" s="164"/>
      <c r="F1057" s="71">
        <f t="array" ref="F1057">SUM(($A$743:$A$750=$A1057)*($B$743:$B$750=$B1057)*(F$743:F$750)) + SUM(IFERROR(($A$933:$A$1010=$A1057)*($B$933:$B$1010=$B1057)*(F$933:F$1010),0)) + SUM(($A$768:$A$845=$A1057)*($B$768:$B$845= $B1057)*(F$768:F$845)) + SUM(IFERROR(($A$1016:$A$1038=$A1057) * ($B$1016:$B$1038=$B1057) * (F$1016:F$1038),0))</f>
        <v>0</v>
      </c>
      <c r="G1057" s="71">
        <f t="array" ref="G1057">SUM(($A$743:$A$750=$A1057)*($B$743:$B$750=$B1057)*(G$743:G$750)) + SUM(IFERROR(($A$933:$A$1010=$A1057)*($B$933:$B$1010=$B1057)*(G$933:G$1010),0)) + SUM(($A$768:$A$845=$A1057)*($B$768:$B$845= $B1057)*(G$768:G$845)) + SUM(IFERROR(($A$1016:$A$1038=$A1057) * ($B$1016:$B$1038=$B1057) * (G$1016:G$1038),0))</f>
        <v>0</v>
      </c>
      <c r="H1057" s="71">
        <f t="array" ref="H1057">SUM(($A$743:$A$750=$A1057)*($B$743:$B$750=$B1057)*(H$743:H$750)) + SUM(IFERROR(($A$933:$A$1010=$A1057)*($B$933:$B$1010=$B1057)*(H$933:H$1010),0)) + SUM(($A$768:$A$845=$A1057)*($B$768:$B$845= $B1057)*(H$768:H$845)) + SUM(IFERROR(($A$1016:$A$1038=$A1057) * ($B$1016:$B$1038=$B1057) * (H$1016:H$1038),0))</f>
        <v>0</v>
      </c>
      <c r="I1057" s="71">
        <f t="array" ref="I1057">SUM(($A$743:$A$750=$A1057)*($B$743:$B$750=$B1057)*(I$743:I$750)) + SUM(IFERROR(($A$933:$A$1010=$A1057)*($B$933:$B$1010=$B1057)*(I$933:I$1010),0)) + SUM(($A$768:$A$845=$A1057)*($B$768:$B$845= $B1057)*(I$768:I$845)) + SUM(IFERROR(($A$1016:$A$1038=$A1057) * ($B$1016:$B$1038=$B1057) * (I$1016:I$1038),0))</f>
        <v>0</v>
      </c>
      <c r="J1057" s="71">
        <f t="array" ref="J1057">SUM(($A$743:$A$750=$A1057)*($B$743:$B$750=$B1057)*(J$743:J$750)) + SUM(IFERROR(($A$933:$A$1010=$A1057)*($B$933:$B$1010=$B1057)*(J$933:J$1010),0)) + SUM(($A$768:$A$845=$A1057)*($B$768:$B$845= $B1057)*(J$768:J$845)) + SUM(IFERROR(($A$1016:$A$1038=$A1057) * ($B$1016:$B$1038=$B1057) * (J$1016:J$1038),0))</f>
        <v>0</v>
      </c>
      <c r="K1057" s="71">
        <f t="array" ref="K1057">SUM(($A$743:$A$750=$A1057)*($B$743:$B$750=$B1057)*(K$743:K$750)) + SUM(IFERROR(($A$933:$A$1010=$A1057)*($B$933:$B$1010=$B1057)*(K$933:K$1010),0)) + SUM(($A$768:$A$845=$A1057)*($B$768:$B$845= $B1057)*(K$768:K$845)) + SUM(IFERROR(($A$1016:$A$1038=$A1057) * ($B$1016:$B$1038=$B1057) * (K$1016:K$1038),0))</f>
        <v>0</v>
      </c>
      <c r="L1057" s="71">
        <f t="array" ref="L1057">SUM(($A$743:$A$750=$A1057)*($B$743:$B$750=$B1057)*(L$743:L$750)) + SUM(IFERROR(($A$933:$A$1010=$A1057)*($B$933:$B$1010=$B1057)*(L$933:L$1010),0)) + SUM(($A$768:$A$845=$A1057)*($B$768:$B$845= $B1057)*(L$768:L$845)) + SUM(IFERROR(($A$1016:$A$1038=$A1057) * ($B$1016:$B$1038=$B1057) * (L$1016:L$1038),0))</f>
        <v>0</v>
      </c>
      <c r="M1057" s="71">
        <f t="array" ref="M1057">SUM(($A$743:$A$750=$A1057)*($B$743:$B$750=$B1057)*(M$743:M$750)) + SUM(IFERROR(($A$933:$A$1010=$A1057)*($B$933:$B$1010=$B1057)*(M$933:M$1010),0)) + SUM(($A$768:$A$845=$A1057)*($B$768:$B$845= $B1057)*(M$768:M$845)) + SUM(IFERROR(($A$1016:$A$1038=$A1057) * ($B$1016:$B$1038=$B1057) * (M$1016:M$1038),0))</f>
        <v>0</v>
      </c>
      <c r="N1057" s="71">
        <f t="array" ref="N1057">SUM(($A$743:$A$750=$A1057)*($B$743:$B$750=$B1057)*(N$743:N$750)) + SUM(IFERROR(($A$933:$A$1010=$A1057)*($B$933:$B$1010=$B1057)*(N$933:N$1010),0)) + SUM(($A$768:$A$845=$A1057)*($B$768:$B$845= $B1057)*(N$768:N$845)) + SUM(IFERROR(($A$1016:$A$1038=$A1057) * ($B$1016:$B$1038=$B1057) * (N$1016:N$1038),0))</f>
        <v>0</v>
      </c>
      <c r="O1057" s="71">
        <f t="array" ref="O1057">SUM(($A$743:$A$750=$A1057)*($B$743:$B$750=$B1057)*(O$743:O$750)) + SUM(IFERROR(($A$933:$A$1010=$A1057)*($B$933:$B$1010=$B1057)*(O$933:O$1010),0)) + SUM(($A$768:$A$845=$A1057)*($B$768:$B$845= $B1057)*(O$768:O$845)) + SUM(IFERROR(($A$1016:$A$1038=$A1057) * ($B$1016:$B$1038=$B1057) * (O$1016:O$1038),0))</f>
        <v>0</v>
      </c>
    </row>
    <row r="1058" spans="1:15" s="19" customFormat="1">
      <c r="B1058" s="347"/>
      <c r="C1058" s="348" t="str">
        <f>D22</f>
        <v>Chemicals  -33</v>
      </c>
      <c r="D1058" s="644"/>
      <c r="F1058" s="71">
        <f t="array" ref="F1058">SUM(($A$743:$A$750=$A1058)*($B$743:$B$750=$B1058)*(F$743:F$750)) + SUM(IFERROR(($A$933:$A$1010=$A1058)*($B$933:$B$1010=$B1058)*(F$933:F$1010),0)) + SUM(($A$768:$A$845=$A1058)*($B$768:$B$845= $B1058)*(F$768:F$845)) + SUM(IFERROR(($A$1016:$A$1038=$A1058) * ($B$1016:$B$1038=$B1058) * (F$1016:F$1038),0))</f>
        <v>0</v>
      </c>
      <c r="G1058" s="71">
        <f t="array" ref="G1058">SUM(($A$743:$A$750=$A1058)*($B$743:$B$750=$B1058)*(G$743:G$750)) + SUM(IFERROR(($A$933:$A$1010=$A1058)*($B$933:$B$1010=$B1058)*(G$933:G$1010),0)) + SUM(($A$768:$A$845=$A1058)*($B$768:$B$845= $B1058)*(G$768:G$845)) + SUM(IFERROR(($A$1016:$A$1038=$A1058) * ($B$1016:$B$1038=$B1058) * (G$1016:G$1038),0))</f>
        <v>0</v>
      </c>
      <c r="H1058" s="71">
        <f t="array" ref="H1058">SUM(($A$743:$A$750=$A1058)*($B$743:$B$750=$B1058)*(H$743:H$750)) + SUM(IFERROR(($A$933:$A$1010=$A1058)*($B$933:$B$1010=$B1058)*(H$933:H$1010),0)) + SUM(($A$768:$A$845=$A1058)*($B$768:$B$845= $B1058)*(H$768:H$845)) + SUM(IFERROR(($A$1016:$A$1038=$A1058) * ($B$1016:$B$1038=$B1058) * (H$1016:H$1038),0))</f>
        <v>0</v>
      </c>
      <c r="I1058" s="71">
        <f t="array" ref="I1058">SUM(($A$743:$A$750=$A1058)*($B$743:$B$750=$B1058)*(I$743:I$750)) + SUM(IFERROR(($A$933:$A$1010=$A1058)*($B$933:$B$1010=$B1058)*(I$933:I$1010),0)) + SUM(($A$768:$A$845=$A1058)*($B$768:$B$845= $B1058)*(I$768:I$845)) + SUM(IFERROR(($A$1016:$A$1038=$A1058) * ($B$1016:$B$1038=$B1058) * (I$1016:I$1038),0))</f>
        <v>0</v>
      </c>
      <c r="J1058" s="71">
        <f t="array" ref="J1058">SUM(($A$743:$A$750=$A1058)*($B$743:$B$750=$B1058)*(J$743:J$750)) + SUM(IFERROR(($A$933:$A$1010=$A1058)*($B$933:$B$1010=$B1058)*(J$933:J$1010),0)) + SUM(($A$768:$A$845=$A1058)*($B$768:$B$845= $B1058)*(J$768:J$845)) + SUM(IFERROR(($A$1016:$A$1038=$A1058) * ($B$1016:$B$1038=$B1058) * (J$1016:J$1038),0))</f>
        <v>0</v>
      </c>
      <c r="K1058" s="71">
        <f t="array" ref="K1058">SUM(($A$743:$A$750=$A1058)*($B$743:$B$750=$B1058)*(K$743:K$750)) + SUM(IFERROR(($A$933:$A$1010=$A1058)*($B$933:$B$1010=$B1058)*(K$933:K$1010),0)) + SUM(($A$768:$A$845=$A1058)*($B$768:$B$845= $B1058)*(K$768:K$845)) + SUM(IFERROR(($A$1016:$A$1038=$A1058) * ($B$1016:$B$1038=$B1058) * (K$1016:K$1038),0))</f>
        <v>0</v>
      </c>
      <c r="L1058" s="71">
        <f t="array" ref="L1058">SUM(($A$743:$A$750=$A1058)*($B$743:$B$750=$B1058)*(L$743:L$750)) + SUM(IFERROR(($A$933:$A$1010=$A1058)*($B$933:$B$1010=$B1058)*(L$933:L$1010),0)) + SUM(($A$768:$A$845=$A1058)*($B$768:$B$845= $B1058)*(L$768:L$845)) + SUM(IFERROR(($A$1016:$A$1038=$A1058) * ($B$1016:$B$1038=$B1058) * (L$1016:L$1038),0))</f>
        <v>0</v>
      </c>
      <c r="M1058" s="71">
        <f t="array" ref="M1058">SUM(($A$743:$A$750=$A1058)*($B$743:$B$750=$B1058)*(M$743:M$750)) + SUM(IFERROR(($A$933:$A$1010=$A1058)*($B$933:$B$1010=$B1058)*(M$933:M$1010),0)) + SUM(($A$768:$A$845=$A1058)*($B$768:$B$845= $B1058)*(M$768:M$845)) + SUM(IFERROR(($A$1016:$A$1038=$A1058) * ($B$1016:$B$1038=$B1058) * (M$1016:M$1038),0))</f>
        <v>0</v>
      </c>
      <c r="N1058" s="71">
        <f t="array" ref="N1058">SUM(($A$743:$A$750=$A1058)*($B$743:$B$750=$B1058)*(N$743:N$750)) + SUM(IFERROR(($A$933:$A$1010=$A1058)*($B$933:$B$1010=$B1058)*(N$933:N$1010),0)) + SUM(($A$768:$A$845=$A1058)*($B$768:$B$845= $B1058)*(N$768:N$845)) + SUM(IFERROR(($A$1016:$A$1038=$A1058) * ($B$1016:$B$1038=$B1058) * (N$1016:N$1038),0))</f>
        <v>0</v>
      </c>
      <c r="O1058" s="71">
        <f t="array" ref="O1058">SUM(($A$743:$A$750=$A1058)*($B$743:$B$750=$B1058)*(O$743:O$750)) + SUM(IFERROR(($A$933:$A$1010=$A1058)*($B$933:$B$1010=$B1058)*(O$933:O$1010),0)) + SUM(($A$768:$A$845=$A1058)*($B$768:$B$845= $B1058)*(O$768:O$845)) + SUM(IFERROR(($A$1016:$A$1038=$A1058) * ($B$1016:$B$1038=$B1058) * (O$1016:O$1038),0))</f>
        <v>0</v>
      </c>
    </row>
    <row r="1059" spans="1:15" s="19" customFormat="1">
      <c r="A1059" s="1438" t="str">
        <f>INDEX($C$20:$C$27,MATCH($C1058,$D$20:$D$27,0))</f>
        <v>CP</v>
      </c>
      <c r="B1059" s="347" t="s">
        <v>33</v>
      </c>
      <c r="C1059" s="19" t="str">
        <f>INDEX(Vectors[Description], MATCH($B1059, Vectors[Code], 0))</f>
        <v>Electricity (delivered to end user)</v>
      </c>
      <c r="D1059" s="644"/>
      <c r="E1059" s="164"/>
      <c r="F1059" s="71">
        <f t="array" ref="F1059">SUM(($A$743:$A$750=$A1059)*($B$743:$B$750=$B1059)*(F$743:F$750)) + SUM(IFERROR(($A$933:$A$1010=$A1059)*($B$933:$B$1010=$B1059)*(F$933:F$1010),0)) + SUM(($A$768:$A$845=$A1059)*($B$768:$B$845= $B1059)*(F$768:F$845)) + SUM(IFERROR(($A$1016:$A$1038=$A1059) * ($B$1016:$B$1038=$B1059) * (F$1016:F$1038),0))</f>
        <v>35.712358400000006</v>
      </c>
      <c r="G1059" s="71">
        <f t="array" ref="G1059">SUM(($A$743:$A$750=$A1059)*($B$743:$B$750=$B1059)*(G$743:G$750)) + SUM(IFERROR(($A$933:$A$1010=$A1059)*($B$933:$B$1010=$B1059)*(G$933:G$1010),0)) + SUM(($A$768:$A$845=$A1059)*($B$768:$B$845= $B1059)*(G$768:G$845)) + SUM(IFERROR(($A$1016:$A$1038=$A1059) * ($B$1016:$B$1038=$B1059) * (G$1016:G$1038),0))</f>
        <v>40.752466556402517</v>
      </c>
      <c r="H1059" s="71">
        <f t="array" ref="H1059">SUM(($A$743:$A$750=$A1059)*($B$743:$B$750=$B1059)*(H$743:H$750)) + SUM(IFERROR(($A$933:$A$1010=$A1059)*($B$933:$B$1010=$B1059)*(H$933:H$1010),0)) + SUM(($A$768:$A$845=$A1059)*($B$768:$B$845= $B1059)*(H$768:H$845)) + SUM(IFERROR(($A$1016:$A$1038=$A1059) * ($B$1016:$B$1038=$B1059) * (H$1016:H$1038),0))</f>
        <v>44.719788844214413</v>
      </c>
      <c r="I1059" s="71">
        <f t="array" ref="I1059">SUM(($A$743:$A$750=$A1059)*($B$743:$B$750=$B1059)*(I$743:I$750)) + SUM(IFERROR(($A$933:$A$1010=$A1059)*($B$933:$B$1010=$B1059)*(I$933:I$1010),0)) + SUM(($A$768:$A$845=$A1059)*($B$768:$B$845= $B1059)*(I$768:I$845)) + SUM(IFERROR(($A$1016:$A$1038=$A1059) * ($B$1016:$B$1038=$B1059) * (I$1016:I$1038),0))</f>
        <v>49.367529005444439</v>
      </c>
      <c r="J1059" s="71">
        <f t="array" ref="J1059">SUM(($A$743:$A$750=$A1059)*($B$743:$B$750=$B1059)*(J$743:J$750)) + SUM(IFERROR(($A$933:$A$1010=$A1059)*($B$933:$B$1010=$B1059)*(J$933:J$1010),0)) + SUM(($A$768:$A$845=$A1059)*($B$768:$B$845= $B1059)*(J$768:J$845)) + SUM(IFERROR(($A$1016:$A$1038=$A1059) * ($B$1016:$B$1038=$B1059) * (J$1016:J$1038),0))</f>
        <v>54.498477559945002</v>
      </c>
      <c r="K1059" s="71">
        <f t="array" ref="K1059">SUM(($A$743:$A$750=$A1059)*($B$743:$B$750=$B1059)*(K$743:K$750)) + SUM(IFERROR(($A$933:$A$1010=$A1059)*($B$933:$B$1010=$B1059)*(K$933:K$1010),0)) + SUM(($A$768:$A$845=$A1059)*($B$768:$B$845= $B1059)*(K$768:K$845)) + SUM(IFERROR(($A$1016:$A$1038=$A1059) * ($B$1016:$B$1038=$B1059) * (K$1016:K$1038),0))</f>
        <v>61.302352287257492</v>
      </c>
      <c r="L1059" s="71">
        <f t="array" ref="L1059">SUM(($A$743:$A$750=$A1059)*($B$743:$B$750=$B1059)*(L$743:L$750)) + SUM(IFERROR(($A$933:$A$1010=$A1059)*($B$933:$B$1010=$B1059)*(L$933:L$1010),0)) + SUM(($A$768:$A$845=$A1059)*($B$768:$B$845= $B1059)*(L$768:L$845)) + SUM(IFERROR(($A$1016:$A$1038=$A1059) * ($B$1016:$B$1038=$B1059) * (L$1016:L$1038),0))</f>
        <v>73.311561067504684</v>
      </c>
      <c r="M1059" s="71">
        <f t="array" ref="M1059">SUM(($A$743:$A$750=$A1059)*($B$743:$B$750=$B1059)*(M$743:M$750)) + SUM(IFERROR(($A$933:$A$1010=$A1059)*($B$933:$B$1010=$B1059)*(M$933:M$1010),0)) + SUM(($A$768:$A$845=$A1059)*($B$768:$B$845= $B1059)*(M$768:M$845)) + SUM(IFERROR(($A$1016:$A$1038=$A1059) * ($B$1016:$B$1038=$B1059) * (M$1016:M$1038),0))</f>
        <v>86.328144325103537</v>
      </c>
      <c r="N1059" s="71">
        <f t="array" ref="N1059">SUM(($A$743:$A$750=$A1059)*($B$743:$B$750=$B1059)*(N$743:N$750)) + SUM(IFERROR(($A$933:$A$1010=$A1059)*($B$933:$B$1010=$B1059)*(N$933:N$1010),0)) + SUM(($A$768:$A$845=$A1059)*($B$768:$B$845= $B1059)*(N$768:N$845)) + SUM(IFERROR(($A$1016:$A$1038=$A1059) * ($B$1016:$B$1038=$B1059) * (N$1016:N$1038),0))</f>
        <v>99.613407573569177</v>
      </c>
      <c r="O1059" s="71">
        <f t="array" ref="O1059">SUM(($A$743:$A$750=$A1059)*($B$743:$B$750=$B1059)*(O$743:O$750)) + SUM(IFERROR(($A$933:$A$1010=$A1059)*($B$933:$B$1010=$B1059)*(O$933:O$1010),0)) + SUM(($A$768:$A$845=$A1059)*($B$768:$B$845= $B1059)*(O$768:O$845)) + SUM(IFERROR(($A$1016:$A$1038=$A1059) * ($B$1016:$B$1038=$B1059) * (O$1016:O$1038),0))</f>
        <v>110.98128377313583</v>
      </c>
    </row>
    <row r="1060" spans="1:15" s="19" customFormat="1">
      <c r="A1060" s="19" t="str">
        <f>A1059</f>
        <v>CP</v>
      </c>
      <c r="B1060" s="347" t="s">
        <v>35</v>
      </c>
      <c r="C1060" s="19" t="str">
        <f>INDEX(Vectors[Description], MATCH($B1060, Vectors[Code], 0))</f>
        <v>Solid hydrocarbons</v>
      </c>
      <c r="D1060" s="644"/>
      <c r="E1060" s="164"/>
      <c r="F1060" s="71">
        <f t="array" ref="F1060">SUM(($A$743:$A$750=$A1060)*($B$743:$B$750=$B1060)*(F$743:F$750)) + SUM(IFERROR(($A$933:$A$1010=$A1060)*($B$933:$B$1010=$B1060)*(F$933:F$1010),0)) + SUM(($A$768:$A$845=$A1060)*($B$768:$B$845= $B1060)*(F$768:F$845)) + SUM(IFERROR(($A$1016:$A$1038=$A1060) * ($B$1016:$B$1038=$B1060) * (F$1016:F$1038),0))</f>
        <v>50.841890999999997</v>
      </c>
      <c r="G1060" s="71">
        <f t="array" ref="G1060">SUM(($A$743:$A$750=$A1060)*($B$743:$B$750=$B1060)*(G$743:G$750)) + SUM(IFERROR(($A$933:$A$1010=$A1060)*($B$933:$B$1010=$B1060)*(G$933:G$1010),0)) + SUM(($A$768:$A$845=$A1060)*($B$768:$B$845= $B1060)*(G$768:G$845)) + SUM(IFERROR(($A$1016:$A$1038=$A1060) * ($B$1016:$B$1038=$B1060) * (G$1016:G$1038),0))</f>
        <v>58.009000797155664</v>
      </c>
      <c r="H1060" s="71">
        <f t="array" ref="H1060">SUM(($A$743:$A$750=$A1060)*($B$743:$B$750=$B1060)*(H$743:H$750)) + SUM(IFERROR(($A$933:$A$1010=$A1060)*($B$933:$B$1010=$B1060)*(H$933:H$1010),0)) + SUM(($A$768:$A$845=$A1060)*($B$768:$B$845= $B1060)*(H$768:H$845)) + SUM(IFERROR(($A$1016:$A$1038=$A1060) * ($B$1016:$B$1038=$B1060) * (H$1016:H$1038),0))</f>
        <v>64.113512900003258</v>
      </c>
      <c r="I1060" s="71">
        <f t="array" ref="I1060">SUM(($A$743:$A$750=$A1060)*($B$743:$B$750=$B1060)*(I$743:I$750)) + SUM(IFERROR(($A$933:$A$1010=$A1060)*($B$933:$B$1010=$B1060)*(I$933:I$1010),0)) + SUM(($A$768:$A$845=$A1060)*($B$768:$B$845= $B1060)*(I$768:I$845)) + SUM(IFERROR(($A$1016:$A$1038=$A1060) * ($B$1016:$B$1038=$B1060) * (I$1016:I$1038),0))</f>
        <v>70.218025002850865</v>
      </c>
      <c r="J1060" s="71">
        <f t="array" ref="J1060">SUM(($A$743:$A$750=$A1060)*($B$743:$B$750=$B1060)*(J$743:J$750)) + SUM(IFERROR(($A$933:$A$1010=$A1060)*($B$933:$B$1010=$B1060)*(J$933:J$1010),0)) + SUM(($A$768:$A$845=$A1060)*($B$768:$B$845= $B1060)*(J$768:J$845)) + SUM(IFERROR(($A$1016:$A$1038=$A1060) * ($B$1016:$B$1038=$B1060) * (J$1016:J$1038),0))</f>
        <v>78.644797004633432</v>
      </c>
      <c r="K1060" s="71">
        <f t="array" ref="K1060">SUM(($A$743:$A$750=$A1060)*($B$743:$B$750=$B1060)*(K$743:K$750)) + SUM(IFERROR(($A$933:$A$1010=$A1060)*($B$933:$B$1010=$B1060)*(K$933:K$1010),0)) + SUM(($A$768:$A$845=$A1060)*($B$768:$B$845= $B1060)*(K$768:K$845)) + SUM(IFERROR(($A$1016:$A$1038=$A1060) * ($B$1016:$B$1038=$B1060) * (K$1016:K$1038),0))</f>
        <v>87.071569006415984</v>
      </c>
      <c r="L1060" s="71">
        <f t="array" ref="L1060">SUM(($A$743:$A$750=$A1060)*($B$743:$B$750=$B1060)*(L$743:L$750)) + SUM(IFERROR(($A$933:$A$1010=$A1060)*($B$933:$B$1010=$B1060)*(L$933:L$1010),0)) + SUM(($A$768:$A$845=$A1060)*($B$768:$B$845= $B1060)*(L$768:L$845)) + SUM(IFERROR(($A$1016:$A$1038=$A1060) * ($B$1016:$B$1038=$B1060) * (L$1016:L$1038),0))</f>
        <v>104.77218868671828</v>
      </c>
      <c r="M1060" s="71">
        <f t="array" ref="M1060">SUM(($A$743:$A$750=$A1060)*($B$743:$B$750=$B1060)*(M$743:M$750)) + SUM(IFERROR(($A$933:$A$1010=$A1060)*($B$933:$B$1010=$B1060)*(M$933:M$1010),0)) + SUM(($A$768:$A$845=$A1060)*($B$768:$B$845= $B1060)*(M$768:M$845)) + SUM(IFERROR(($A$1016:$A$1038=$A1060) * ($B$1016:$B$1038=$B1060) * (M$1016:M$1038),0))</f>
        <v>122.47280836702058</v>
      </c>
      <c r="N1060" s="71">
        <f t="array" ref="N1060">SUM(($A$743:$A$750=$A1060)*($B$743:$B$750=$B1060)*(N$743:N$750)) + SUM(IFERROR(($A$933:$A$1010=$A1060)*($B$933:$B$1010=$B1060)*(N$933:N$1010),0)) + SUM(($A$768:$A$845=$A1060)*($B$768:$B$845= $B1060)*(N$768:N$845)) + SUM(IFERROR(($A$1016:$A$1038=$A1060) * ($B$1016:$B$1038=$B1060) * (N$1016:N$1038),0))</f>
        <v>139.92085898866839</v>
      </c>
      <c r="O1060" s="71">
        <f t="array" ref="O1060">SUM(($A$743:$A$750=$A1060)*($B$743:$B$750=$B1060)*(O$743:O$750)) + SUM(IFERROR(($A$933:$A$1010=$A1060)*($B$933:$B$1010=$B1060)*(O$933:O$1010),0)) + SUM(($A$768:$A$845=$A1060)*($B$768:$B$845= $B1060)*(O$768:O$845)) + SUM(IFERROR(($A$1016:$A$1038=$A1060) * ($B$1016:$B$1038=$B1060) * (O$1016:O$1038),0))</f>
        <v>157.36890961031619</v>
      </c>
    </row>
    <row r="1061" spans="1:15" s="19" customFormat="1">
      <c r="A1061" s="19" t="str">
        <f>A1060</f>
        <v>CP</v>
      </c>
      <c r="B1061" s="347" t="s">
        <v>37</v>
      </c>
      <c r="C1061" s="19" t="str">
        <f>INDEX(Vectors[Description], MATCH($B1061, Vectors[Code], 0))</f>
        <v>Liquid hydrocarbons</v>
      </c>
      <c r="D1061" s="644"/>
      <c r="E1061" s="164"/>
      <c r="F1061" s="71">
        <f t="array" ref="F1061">SUM(($A$743:$A$750=$A1061)*($B$743:$B$750=$B1061)*(F$743:F$750)) + SUM(IFERROR(($A$933:$A$1010=$A1061)*($B$933:$B$1010=$B1061)*(F$933:F$1010),0)) + SUM(($A$768:$A$845=$A1061)*($B$768:$B$845= $B1061)*(F$768:F$845)) + SUM(IFERROR(($A$1016:$A$1038=$A1061) * ($B$1016:$B$1038=$B1061) * (F$1016:F$1038),0))</f>
        <v>0</v>
      </c>
      <c r="G1061" s="71">
        <f t="array" ref="G1061">SUM(($A$743:$A$750=$A1061)*($B$743:$B$750=$B1061)*(G$743:G$750)) + SUM(IFERROR(($A$933:$A$1010=$A1061)*($B$933:$B$1010=$B1061)*(G$933:G$1010),0)) + SUM(($A$768:$A$845=$A1061)*($B$768:$B$845= $B1061)*(G$768:G$845)) + SUM(IFERROR(($A$1016:$A$1038=$A1061) * ($B$1016:$B$1038=$B1061) * (G$1016:G$1038),0))</f>
        <v>0</v>
      </c>
      <c r="H1061" s="71">
        <f t="array" ref="H1061">SUM(($A$743:$A$750=$A1061)*($B$743:$B$750=$B1061)*(H$743:H$750)) + SUM(IFERROR(($A$933:$A$1010=$A1061)*($B$933:$B$1010=$B1061)*(H$933:H$1010),0)) + SUM(($A$768:$A$845=$A1061)*($B$768:$B$845= $B1061)*(H$768:H$845)) + SUM(IFERROR(($A$1016:$A$1038=$A1061) * ($B$1016:$B$1038=$B1061) * (H$1016:H$1038),0))</f>
        <v>0</v>
      </c>
      <c r="I1061" s="71">
        <f t="array" ref="I1061">SUM(($A$743:$A$750=$A1061)*($B$743:$B$750=$B1061)*(I$743:I$750)) + SUM(IFERROR(($A$933:$A$1010=$A1061)*($B$933:$B$1010=$B1061)*(I$933:I$1010),0)) + SUM(($A$768:$A$845=$A1061)*($B$768:$B$845= $B1061)*(I$768:I$845)) + SUM(IFERROR(($A$1016:$A$1038=$A1061) * ($B$1016:$B$1038=$B1061) * (I$1016:I$1038),0))</f>
        <v>0</v>
      </c>
      <c r="J1061" s="71">
        <f t="array" ref="J1061">SUM(($A$743:$A$750=$A1061)*($B$743:$B$750=$B1061)*(J$743:J$750)) + SUM(IFERROR(($A$933:$A$1010=$A1061)*($B$933:$B$1010=$B1061)*(J$933:J$1010),0)) + SUM(($A$768:$A$845=$A1061)*($B$768:$B$845= $B1061)*(J$768:J$845)) + SUM(IFERROR(($A$1016:$A$1038=$A1061) * ($B$1016:$B$1038=$B1061) * (J$1016:J$1038),0))</f>
        <v>0</v>
      </c>
      <c r="K1061" s="71">
        <f t="array" ref="K1061">SUM(($A$743:$A$750=$A1061)*($B$743:$B$750=$B1061)*(K$743:K$750)) + SUM(IFERROR(($A$933:$A$1010=$A1061)*($B$933:$B$1010=$B1061)*(K$933:K$1010),0)) + SUM(($A$768:$A$845=$A1061)*($B$768:$B$845= $B1061)*(K$768:K$845)) + SUM(IFERROR(($A$1016:$A$1038=$A1061) * ($B$1016:$B$1038=$B1061) * (K$1016:K$1038),0))</f>
        <v>0</v>
      </c>
      <c r="L1061" s="71">
        <f t="array" ref="L1061">SUM(($A$743:$A$750=$A1061)*($B$743:$B$750=$B1061)*(L$743:L$750)) + SUM(IFERROR(($A$933:$A$1010=$A1061)*($B$933:$B$1010=$B1061)*(L$933:L$1010),0)) + SUM(($A$768:$A$845=$A1061)*($B$768:$B$845= $B1061)*(L$768:L$845)) + SUM(IFERROR(($A$1016:$A$1038=$A1061) * ($B$1016:$B$1038=$B1061) * (L$1016:L$1038),0))</f>
        <v>0</v>
      </c>
      <c r="M1061" s="71">
        <f t="array" ref="M1061">SUM(($A$743:$A$750=$A1061)*($B$743:$B$750=$B1061)*(M$743:M$750)) + SUM(IFERROR(($A$933:$A$1010=$A1061)*($B$933:$B$1010=$B1061)*(M$933:M$1010),0)) + SUM(($A$768:$A$845=$A1061)*($B$768:$B$845= $B1061)*(M$768:M$845)) + SUM(IFERROR(($A$1016:$A$1038=$A1061) * ($B$1016:$B$1038=$B1061) * (M$1016:M$1038),0))</f>
        <v>0</v>
      </c>
      <c r="N1061" s="71">
        <f t="array" ref="N1061">SUM(($A$743:$A$750=$A1061)*($B$743:$B$750=$B1061)*(N$743:N$750)) + SUM(IFERROR(($A$933:$A$1010=$A1061)*($B$933:$B$1010=$B1061)*(N$933:N$1010),0)) + SUM(($A$768:$A$845=$A1061)*($B$768:$B$845= $B1061)*(N$768:N$845)) + SUM(IFERROR(($A$1016:$A$1038=$A1061) * ($B$1016:$B$1038=$B1061) * (N$1016:N$1038),0))</f>
        <v>0</v>
      </c>
      <c r="O1061" s="71">
        <f t="array" ref="O1061">SUM(($A$743:$A$750=$A1061)*($B$743:$B$750=$B1061)*(O$743:O$750)) + SUM(IFERROR(($A$933:$A$1010=$A1061)*($B$933:$B$1010=$B1061)*(O$933:O$1010),0)) + SUM(($A$768:$A$845=$A1061)*($B$768:$B$845= $B1061)*(O$768:O$845)) + SUM(IFERROR(($A$1016:$A$1038=$A1061) * ($B$1016:$B$1038=$B1061) * (O$1016:O$1038),0))</f>
        <v>0</v>
      </c>
    </row>
    <row r="1062" spans="1:15" s="19" customFormat="1">
      <c r="A1062" s="19" t="str">
        <f>A1061</f>
        <v>CP</v>
      </c>
      <c r="B1062" s="347" t="s">
        <v>38</v>
      </c>
      <c r="C1062" s="19" t="str">
        <f>INDEX(Vectors[Description], MATCH($B1062, Vectors[Code], 0))</f>
        <v>Gaseous hydrocarbons</v>
      </c>
      <c r="D1062" s="644"/>
      <c r="E1062" s="164"/>
      <c r="F1062" s="71">
        <f t="array" ref="F1062">SUM(($A$743:$A$750=$A1062)*($B$743:$B$750=$B1062)*(F$743:F$750)) + SUM(IFERROR(($A$933:$A$1010=$A1062)*($B$933:$B$1010=$B1062)*(F$933:F$1010),0)) + SUM(($A$768:$A$845=$A1062)*($B$768:$B$845= $B1062)*(F$768:F$845)) + SUM(IFERROR(($A$1016:$A$1038=$A1062) * ($B$1016:$B$1038=$B1062) * (F$1016:F$1038),0))</f>
        <v>59.12191</v>
      </c>
      <c r="G1062" s="71">
        <f t="array" ref="G1062">SUM(($A$743:$A$750=$A1062)*($B$743:$B$750=$B1062)*(G$743:G$750)) + SUM(IFERROR(($A$933:$A$1010=$A1062)*($B$933:$B$1010=$B1062)*(G$933:G$1010),0)) + SUM(($A$768:$A$845=$A1062)*($B$768:$B$845= $B1062)*(G$768:G$845)) + SUM(IFERROR(($A$1016:$A$1038=$A1062) * ($B$1016:$B$1038=$B1062) * (G$1016:G$1038),0))</f>
        <v>67.45624241866544</v>
      </c>
      <c r="H1062" s="71">
        <f t="array" ref="H1062">SUM(($A$743:$A$750=$A1062)*($B$743:$B$750=$B1062)*(H$743:H$750)) + SUM(IFERROR(($A$933:$A$1010=$A1062)*($B$933:$B$1010=$B1062)*(H$933:H$1010),0)) + SUM(($A$768:$A$845=$A1062)*($B$768:$B$845= $B1062)*(H$768:H$845)) + SUM(IFERROR(($A$1016:$A$1038=$A1062) * ($B$1016:$B$1038=$B1062) * (H$1016:H$1038),0))</f>
        <v>74.554924392128356</v>
      </c>
      <c r="I1062" s="71">
        <f t="array" ref="I1062">SUM(($A$743:$A$750=$A1062)*($B$743:$B$750=$B1062)*(I$743:I$750)) + SUM(IFERROR(($A$933:$A$1010=$A1062)*($B$933:$B$1010=$B1062)*(I$933:I$1010),0)) + SUM(($A$768:$A$845=$A1062)*($B$768:$B$845= $B1062)*(I$768:I$845)) + SUM(IFERROR(($A$1016:$A$1038=$A1062) * ($B$1016:$B$1038=$B1062) * (I$1016:I$1038),0))</f>
        <v>81.653606365591273</v>
      </c>
      <c r="J1062" s="71">
        <f t="array" ref="J1062">SUM(($A$743:$A$750=$A1062)*($B$743:$B$750=$B1062)*(J$743:J$750)) + SUM(IFERROR(($A$933:$A$1010=$A1062)*($B$933:$B$1010=$B1062)*(J$933:J$1010),0)) + SUM(($A$768:$A$845=$A1062)*($B$768:$B$845= $B1062)*(J$768:J$845)) + SUM(IFERROR(($A$1016:$A$1038=$A1062) * ($B$1016:$B$1038=$B1062) * (J$1016:J$1038),0))</f>
        <v>91.452747311782844</v>
      </c>
      <c r="K1062" s="71">
        <f t="array" ref="K1062">SUM(($A$743:$A$750=$A1062)*($B$743:$B$750=$B1062)*(K$743:K$750)) + SUM(IFERROR(($A$933:$A$1010=$A1062)*($B$933:$B$1010=$B1062)*(K$933:K$1010),0)) + SUM(($A$768:$A$845=$A1062)*($B$768:$B$845= $B1062)*(K$768:K$845)) + SUM(IFERROR(($A$1016:$A$1038=$A1062) * ($B$1016:$B$1038=$B1062) * (K$1016:K$1038),0))</f>
        <v>101.25188825797441</v>
      </c>
      <c r="L1062" s="71">
        <f t="array" ref="L1062">SUM(($A$743:$A$750=$A1062)*($B$743:$B$750=$B1062)*(L$743:L$750)) + SUM(IFERROR(($A$933:$A$1010=$A1062)*($B$933:$B$1010=$B1062)*(L$933:L$1010),0)) + SUM(($A$768:$A$845=$A1062)*($B$768:$B$845= $B1062)*(L$768:L$845)) + SUM(IFERROR(($A$1016:$A$1038=$A1062) * ($B$1016:$B$1038=$B1062) * (L$1016:L$1038),0))</f>
        <v>121.83519904952345</v>
      </c>
      <c r="M1062" s="71">
        <f t="array" ref="M1062">SUM(($A$743:$A$750=$A1062)*($B$743:$B$750=$B1062)*(M$743:M$750)) + SUM(IFERROR(($A$933:$A$1010=$A1062)*($B$933:$B$1010=$B1062)*(M$933:M$1010),0)) + SUM(($A$768:$A$845=$A1062)*($B$768:$B$845= $B1062)*(M$768:M$845)) + SUM(IFERROR(($A$1016:$A$1038=$A1062) * ($B$1016:$B$1038=$B1062) * (M$1016:M$1038),0))</f>
        <v>142.41850984107251</v>
      </c>
      <c r="N1062" s="71">
        <f t="array" ref="N1062">SUM(($A$743:$A$750=$A1062)*($B$743:$B$750=$B1062)*(N$743:N$750)) + SUM(IFERROR(($A$933:$A$1010=$A1062)*($B$933:$B$1010=$B1062)*(N$933:N$1010),0)) + SUM(($A$768:$A$845=$A1062)*($B$768:$B$845= $B1062)*(N$768:N$845)) + SUM(IFERROR(($A$1016:$A$1038=$A1062) * ($B$1016:$B$1038=$B1062) * (N$1016:N$1038),0))</f>
        <v>162.70811863096793</v>
      </c>
      <c r="O1062" s="71">
        <f t="array" ref="O1062">SUM(($A$743:$A$750=$A1062)*($B$743:$B$750=$B1062)*(O$743:O$750)) + SUM(IFERROR(($A$933:$A$1010=$A1062)*($B$933:$B$1010=$B1062)*(O$933:O$1010),0)) + SUM(($A$768:$A$845=$A1062)*($B$768:$B$845= $B1062)*(O$768:O$845)) + SUM(IFERROR(($A$1016:$A$1038=$A1062) * ($B$1016:$B$1038=$B1062) * (O$1016:O$1038),0))</f>
        <v>182.99772742086338</v>
      </c>
    </row>
    <row r="1063" spans="1:15" s="19" customFormat="1">
      <c r="A1063" s="19" t="str">
        <f>A1062</f>
        <v>CP</v>
      </c>
      <c r="B1063" s="347" t="s">
        <v>251</v>
      </c>
      <c r="C1063" s="19" t="str">
        <f>INDEX(Vectors[Description], MATCH($B1063, Vectors[Code], 0))</f>
        <v>Dry biomass and waste</v>
      </c>
      <c r="D1063" s="644"/>
      <c r="E1063" s="164"/>
      <c r="F1063" s="71">
        <f t="array" ref="F1063">SUM(($A$743:$A$750=$A1063)*($B$743:$B$750=$B1063)*(F$743:F$750)) + SUM(IFERROR(($A$933:$A$1010=$A1063)*($B$933:$B$1010=$B1063)*(F$933:F$1010),0)) + SUM(($A$768:$A$845=$A1063)*($B$768:$B$845= $B1063)*(F$768:F$845)) + SUM(IFERROR(($A$1016:$A$1038=$A1063) * ($B$1016:$B$1038=$B1063) * (F$1016:F$1038),0))</f>
        <v>0</v>
      </c>
      <c r="G1063" s="71">
        <f t="array" ref="G1063">SUM(($A$743:$A$750=$A1063)*($B$743:$B$750=$B1063)*(G$743:G$750)) + SUM(IFERROR(($A$933:$A$1010=$A1063)*($B$933:$B$1010=$B1063)*(G$933:G$1010),0)) + SUM(($A$768:$A$845=$A1063)*($B$768:$B$845= $B1063)*(G$768:G$845)) + SUM(IFERROR(($A$1016:$A$1038=$A1063) * ($B$1016:$B$1038=$B1063) * (G$1016:G$1038),0))</f>
        <v>0</v>
      </c>
      <c r="H1063" s="71">
        <f t="array" ref="H1063">SUM(($A$743:$A$750=$A1063)*($B$743:$B$750=$B1063)*(H$743:H$750)) + SUM(IFERROR(($A$933:$A$1010=$A1063)*($B$933:$B$1010=$B1063)*(H$933:H$1010),0)) + SUM(($A$768:$A$845=$A1063)*($B$768:$B$845= $B1063)*(H$768:H$845)) + SUM(IFERROR(($A$1016:$A$1038=$A1063) * ($B$1016:$B$1038=$B1063) * (H$1016:H$1038),0))</f>
        <v>0</v>
      </c>
      <c r="I1063" s="71">
        <f t="array" ref="I1063">SUM(($A$743:$A$750=$A1063)*($B$743:$B$750=$B1063)*(I$743:I$750)) + SUM(IFERROR(($A$933:$A$1010=$A1063)*($B$933:$B$1010=$B1063)*(I$933:I$1010),0)) + SUM(($A$768:$A$845=$A1063)*($B$768:$B$845= $B1063)*(I$768:I$845)) + SUM(IFERROR(($A$1016:$A$1038=$A1063) * ($B$1016:$B$1038=$B1063) * (I$1016:I$1038),0))</f>
        <v>0</v>
      </c>
      <c r="J1063" s="71">
        <f t="array" ref="J1063">SUM(($A$743:$A$750=$A1063)*($B$743:$B$750=$B1063)*(J$743:J$750)) + SUM(IFERROR(($A$933:$A$1010=$A1063)*($B$933:$B$1010=$B1063)*(J$933:J$1010),0)) + SUM(($A$768:$A$845=$A1063)*($B$768:$B$845= $B1063)*(J$768:J$845)) + SUM(IFERROR(($A$1016:$A$1038=$A1063) * ($B$1016:$B$1038=$B1063) * (J$1016:J$1038),0))</f>
        <v>0</v>
      </c>
      <c r="K1063" s="71">
        <f t="array" ref="K1063">SUM(($A$743:$A$750=$A1063)*($B$743:$B$750=$B1063)*(K$743:K$750)) + SUM(IFERROR(($A$933:$A$1010=$A1063)*($B$933:$B$1010=$B1063)*(K$933:K$1010),0)) + SUM(($A$768:$A$845=$A1063)*($B$768:$B$845= $B1063)*(K$768:K$845)) + SUM(IFERROR(($A$1016:$A$1038=$A1063) * ($B$1016:$B$1038=$B1063) * (K$1016:K$1038),0))</f>
        <v>0</v>
      </c>
      <c r="L1063" s="71">
        <f t="array" ref="L1063">SUM(($A$743:$A$750=$A1063)*($B$743:$B$750=$B1063)*(L$743:L$750)) + SUM(IFERROR(($A$933:$A$1010=$A1063)*($B$933:$B$1010=$B1063)*(L$933:L$1010),0)) + SUM(($A$768:$A$845=$A1063)*($B$768:$B$845= $B1063)*(L$768:L$845)) + SUM(IFERROR(($A$1016:$A$1038=$A1063) * ($B$1016:$B$1038=$B1063) * (L$1016:L$1038),0))</f>
        <v>0</v>
      </c>
      <c r="M1063" s="71">
        <f t="array" ref="M1063">SUM(($A$743:$A$750=$A1063)*($B$743:$B$750=$B1063)*(M$743:M$750)) + SUM(IFERROR(($A$933:$A$1010=$A1063)*($B$933:$B$1010=$B1063)*(M$933:M$1010),0)) + SUM(($A$768:$A$845=$A1063)*($B$768:$B$845= $B1063)*(M$768:M$845)) + SUM(IFERROR(($A$1016:$A$1038=$A1063) * ($B$1016:$B$1038=$B1063) * (M$1016:M$1038),0))</f>
        <v>0</v>
      </c>
      <c r="N1063" s="71">
        <f t="array" ref="N1063">SUM(($A$743:$A$750=$A1063)*($B$743:$B$750=$B1063)*(N$743:N$750)) + SUM(IFERROR(($A$933:$A$1010=$A1063)*($B$933:$B$1010=$B1063)*(N$933:N$1010),0)) + SUM(($A$768:$A$845=$A1063)*($B$768:$B$845= $B1063)*(N$768:N$845)) + SUM(IFERROR(($A$1016:$A$1038=$A1063) * ($B$1016:$B$1038=$B1063) * (N$1016:N$1038),0))</f>
        <v>0</v>
      </c>
      <c r="O1063" s="71">
        <f t="array" ref="O1063">SUM(($A$743:$A$750=$A1063)*($B$743:$B$750=$B1063)*(O$743:O$750)) + SUM(IFERROR(($A$933:$A$1010=$A1063)*($B$933:$B$1010=$B1063)*(O$933:O$1010),0)) + SUM(($A$768:$A$845=$A1063)*($B$768:$B$845= $B1063)*(O$768:O$845)) + SUM(IFERROR(($A$1016:$A$1038=$A1063) * ($B$1016:$B$1038=$B1063) * (O$1016:O$1038),0))</f>
        <v>0</v>
      </c>
    </row>
    <row r="1064" spans="1:15" s="19" customFormat="1">
      <c r="A1064" s="19" t="str">
        <f>A1063</f>
        <v>CP</v>
      </c>
      <c r="B1064" s="347" t="s">
        <v>897</v>
      </c>
      <c r="C1064" s="19" t="str">
        <f>INDEX(Vectors[Description], MATCH($B1064, Vectors[Code], 0))</f>
        <v>Other Waste</v>
      </c>
      <c r="D1064" s="644"/>
      <c r="E1064" s="164"/>
      <c r="F1064" s="71">
        <f t="array" ref="F1064">SUM(($A$743:$A$750=$A1064)*($B$743:$B$750=$B1064)*(F$743:F$750)) + SUM(IFERROR(($A$933:$A$1010=$A1064)*($B$933:$B$1010=$B1064)*(F$933:F$1010),0)) + SUM(($A$768:$A$845=$A1064)*($B$768:$B$845= $B1064)*(F$768:F$845)) + SUM(IFERROR(($A$1016:$A$1038=$A1064) * ($B$1016:$B$1038=$B1064) * (F$1016:F$1038),0))</f>
        <v>0</v>
      </c>
      <c r="G1064" s="71">
        <f t="array" ref="G1064">SUM(($A$743:$A$750=$A1064)*($B$743:$B$750=$B1064)*(G$743:G$750)) + SUM(IFERROR(($A$933:$A$1010=$A1064)*($B$933:$B$1010=$B1064)*(G$933:G$1010),0)) + SUM(($A$768:$A$845=$A1064)*($B$768:$B$845= $B1064)*(G$768:G$845)) + SUM(IFERROR(($A$1016:$A$1038=$A1064) * ($B$1016:$B$1038=$B1064) * (G$1016:G$1038),0))</f>
        <v>0</v>
      </c>
      <c r="H1064" s="71">
        <f t="array" ref="H1064">SUM(($A$743:$A$750=$A1064)*($B$743:$B$750=$B1064)*(H$743:H$750)) + SUM(IFERROR(($A$933:$A$1010=$A1064)*($B$933:$B$1010=$B1064)*(H$933:H$1010),0)) + SUM(($A$768:$A$845=$A1064)*($B$768:$B$845= $B1064)*(H$768:H$845)) + SUM(IFERROR(($A$1016:$A$1038=$A1064) * ($B$1016:$B$1038=$B1064) * (H$1016:H$1038),0))</f>
        <v>0</v>
      </c>
      <c r="I1064" s="71">
        <f t="array" ref="I1064">SUM(($A$743:$A$750=$A1064)*($B$743:$B$750=$B1064)*(I$743:I$750)) + SUM(IFERROR(($A$933:$A$1010=$A1064)*($B$933:$B$1010=$B1064)*(I$933:I$1010),0)) + SUM(($A$768:$A$845=$A1064)*($B$768:$B$845= $B1064)*(I$768:I$845)) + SUM(IFERROR(($A$1016:$A$1038=$A1064) * ($B$1016:$B$1038=$B1064) * (I$1016:I$1038),0))</f>
        <v>0</v>
      </c>
      <c r="J1064" s="71">
        <f t="array" ref="J1064">SUM(($A$743:$A$750=$A1064)*($B$743:$B$750=$B1064)*(J$743:J$750)) + SUM(IFERROR(($A$933:$A$1010=$A1064)*($B$933:$B$1010=$B1064)*(J$933:J$1010),0)) + SUM(($A$768:$A$845=$A1064)*($B$768:$B$845= $B1064)*(J$768:J$845)) + SUM(IFERROR(($A$1016:$A$1038=$A1064) * ($B$1016:$B$1038=$B1064) * (J$1016:J$1038),0))</f>
        <v>0</v>
      </c>
      <c r="K1064" s="71">
        <f t="array" ref="K1064">SUM(($A$743:$A$750=$A1064)*($B$743:$B$750=$B1064)*(K$743:K$750)) + SUM(IFERROR(($A$933:$A$1010=$A1064)*($B$933:$B$1010=$B1064)*(K$933:K$1010),0)) + SUM(($A$768:$A$845=$A1064)*($B$768:$B$845= $B1064)*(K$768:K$845)) + SUM(IFERROR(($A$1016:$A$1038=$A1064) * ($B$1016:$B$1038=$B1064) * (K$1016:K$1038),0))</f>
        <v>0</v>
      </c>
      <c r="L1064" s="71">
        <f t="array" ref="L1064">SUM(($A$743:$A$750=$A1064)*($B$743:$B$750=$B1064)*(L$743:L$750)) + SUM(IFERROR(($A$933:$A$1010=$A1064)*($B$933:$B$1010=$B1064)*(L$933:L$1010),0)) + SUM(($A$768:$A$845=$A1064)*($B$768:$B$845= $B1064)*(L$768:L$845)) + SUM(IFERROR(($A$1016:$A$1038=$A1064) * ($B$1016:$B$1038=$B1064) * (L$1016:L$1038),0))</f>
        <v>0</v>
      </c>
      <c r="M1064" s="71">
        <f t="array" ref="M1064">SUM(($A$743:$A$750=$A1064)*($B$743:$B$750=$B1064)*(M$743:M$750)) + SUM(IFERROR(($A$933:$A$1010=$A1064)*($B$933:$B$1010=$B1064)*(M$933:M$1010),0)) + SUM(($A$768:$A$845=$A1064)*($B$768:$B$845= $B1064)*(M$768:M$845)) + SUM(IFERROR(($A$1016:$A$1038=$A1064) * ($B$1016:$B$1038=$B1064) * (M$1016:M$1038),0))</f>
        <v>0</v>
      </c>
      <c r="N1064" s="71">
        <f t="array" ref="N1064">SUM(($A$743:$A$750=$A1064)*($B$743:$B$750=$B1064)*(N$743:N$750)) + SUM(IFERROR(($A$933:$A$1010=$A1064)*($B$933:$B$1010=$B1064)*(N$933:N$1010),0)) + SUM(($A$768:$A$845=$A1064)*($B$768:$B$845= $B1064)*(N$768:N$845)) + SUM(IFERROR(($A$1016:$A$1038=$A1064) * ($B$1016:$B$1038=$B1064) * (N$1016:N$1038),0))</f>
        <v>0</v>
      </c>
      <c r="O1064" s="71">
        <f t="array" ref="O1064">SUM(($A$743:$A$750=$A1064)*($B$743:$B$750=$B1064)*(O$743:O$750)) + SUM(IFERROR(($A$933:$A$1010=$A1064)*($B$933:$B$1010=$B1064)*(O$933:O$1010),0)) + SUM(($A$768:$A$845=$A1064)*($B$768:$B$845= $B1064)*(O$768:O$845)) + SUM(IFERROR(($A$1016:$A$1038=$A1064) * ($B$1016:$B$1038=$B1064) * (O$1016:O$1038),0))</f>
        <v>0</v>
      </c>
    </row>
    <row r="1065" spans="1:15" s="19" customFormat="1">
      <c r="B1065" s="347"/>
      <c r="C1065" s="348"/>
      <c r="D1065" s="644"/>
      <c r="E1065" s="164"/>
      <c r="F1065" s="71">
        <f t="array" ref="F1065">SUM(($A$743:$A$750=$A1065)*($B$743:$B$750=$B1065)*(F$743:F$750)) + SUM(IFERROR(($A$933:$A$1010=$A1065)*($B$933:$B$1010=$B1065)*(F$933:F$1010),0)) + SUM(($A$768:$A$845=$A1065)*($B$768:$B$845= $B1065)*(F$768:F$845)) + SUM(IFERROR(($A$1016:$A$1038=$A1065) * ($B$1016:$B$1038=$B1065) * (F$1016:F$1038),0))</f>
        <v>0</v>
      </c>
      <c r="G1065" s="71">
        <f t="array" ref="G1065">SUM(($A$743:$A$750=$A1065)*($B$743:$B$750=$B1065)*(G$743:G$750)) + SUM(IFERROR(($A$933:$A$1010=$A1065)*($B$933:$B$1010=$B1065)*(G$933:G$1010),0)) + SUM(($A$768:$A$845=$A1065)*($B$768:$B$845= $B1065)*(G$768:G$845)) + SUM(IFERROR(($A$1016:$A$1038=$A1065) * ($B$1016:$B$1038=$B1065) * (G$1016:G$1038),0))</f>
        <v>0</v>
      </c>
      <c r="H1065" s="71">
        <f t="array" ref="H1065">SUM(($A$743:$A$750=$A1065)*($B$743:$B$750=$B1065)*(H$743:H$750)) + SUM(IFERROR(($A$933:$A$1010=$A1065)*($B$933:$B$1010=$B1065)*(H$933:H$1010),0)) + SUM(($A$768:$A$845=$A1065)*($B$768:$B$845= $B1065)*(H$768:H$845)) + SUM(IFERROR(($A$1016:$A$1038=$A1065) * ($B$1016:$B$1038=$B1065) * (H$1016:H$1038),0))</f>
        <v>0</v>
      </c>
      <c r="I1065" s="71">
        <f t="array" ref="I1065">SUM(($A$743:$A$750=$A1065)*($B$743:$B$750=$B1065)*(I$743:I$750)) + SUM(IFERROR(($A$933:$A$1010=$A1065)*($B$933:$B$1010=$B1065)*(I$933:I$1010),0)) + SUM(($A$768:$A$845=$A1065)*($B$768:$B$845= $B1065)*(I$768:I$845)) + SUM(IFERROR(($A$1016:$A$1038=$A1065) * ($B$1016:$B$1038=$B1065) * (I$1016:I$1038),0))</f>
        <v>0</v>
      </c>
      <c r="J1065" s="71">
        <f t="array" ref="J1065">SUM(($A$743:$A$750=$A1065)*($B$743:$B$750=$B1065)*(J$743:J$750)) + SUM(IFERROR(($A$933:$A$1010=$A1065)*($B$933:$B$1010=$B1065)*(J$933:J$1010),0)) + SUM(($A$768:$A$845=$A1065)*($B$768:$B$845= $B1065)*(J$768:J$845)) + SUM(IFERROR(($A$1016:$A$1038=$A1065) * ($B$1016:$B$1038=$B1065) * (J$1016:J$1038),0))</f>
        <v>0</v>
      </c>
      <c r="K1065" s="71">
        <f t="array" ref="K1065">SUM(($A$743:$A$750=$A1065)*($B$743:$B$750=$B1065)*(K$743:K$750)) + SUM(IFERROR(($A$933:$A$1010=$A1065)*($B$933:$B$1010=$B1065)*(K$933:K$1010),0)) + SUM(($A$768:$A$845=$A1065)*($B$768:$B$845= $B1065)*(K$768:K$845)) + SUM(IFERROR(($A$1016:$A$1038=$A1065) * ($B$1016:$B$1038=$B1065) * (K$1016:K$1038),0))</f>
        <v>0</v>
      </c>
      <c r="L1065" s="71">
        <f t="array" ref="L1065">SUM(($A$743:$A$750=$A1065)*($B$743:$B$750=$B1065)*(L$743:L$750)) + SUM(IFERROR(($A$933:$A$1010=$A1065)*($B$933:$B$1010=$B1065)*(L$933:L$1010),0)) + SUM(($A$768:$A$845=$A1065)*($B$768:$B$845= $B1065)*(L$768:L$845)) + SUM(IFERROR(($A$1016:$A$1038=$A1065) * ($B$1016:$B$1038=$B1065) * (L$1016:L$1038),0))</f>
        <v>0</v>
      </c>
      <c r="M1065" s="71">
        <f t="array" ref="M1065">SUM(($A$743:$A$750=$A1065)*($B$743:$B$750=$B1065)*(M$743:M$750)) + SUM(IFERROR(($A$933:$A$1010=$A1065)*($B$933:$B$1010=$B1065)*(M$933:M$1010),0)) + SUM(($A$768:$A$845=$A1065)*($B$768:$B$845= $B1065)*(M$768:M$845)) + SUM(IFERROR(($A$1016:$A$1038=$A1065) * ($B$1016:$B$1038=$B1065) * (M$1016:M$1038),0))</f>
        <v>0</v>
      </c>
      <c r="N1065" s="71">
        <f t="array" ref="N1065">SUM(($A$743:$A$750=$A1065)*($B$743:$B$750=$B1065)*(N$743:N$750)) + SUM(IFERROR(($A$933:$A$1010=$A1065)*($B$933:$B$1010=$B1065)*(N$933:N$1010),0)) + SUM(($A$768:$A$845=$A1065)*($B$768:$B$845= $B1065)*(N$768:N$845)) + SUM(IFERROR(($A$1016:$A$1038=$A1065) * ($B$1016:$B$1038=$B1065) * (N$1016:N$1038),0))</f>
        <v>0</v>
      </c>
      <c r="O1065" s="71">
        <f t="array" ref="O1065">SUM(($A$743:$A$750=$A1065)*($B$743:$B$750=$B1065)*(O$743:O$750)) + SUM(IFERROR(($A$933:$A$1010=$A1065)*($B$933:$B$1010=$B1065)*(O$933:O$1010),0)) + SUM(($A$768:$A$845=$A1065)*($B$768:$B$845= $B1065)*(O$768:O$845)) + SUM(IFERROR(($A$1016:$A$1038=$A1065) * ($B$1016:$B$1038=$B1065) * (O$1016:O$1038),0))</f>
        <v>0</v>
      </c>
    </row>
    <row r="1066" spans="1:15" s="19" customFormat="1">
      <c r="B1066" s="347"/>
      <c r="C1066" s="348" t="str">
        <f>D23</f>
        <v>Non-Ferrous metals  - 352</v>
      </c>
      <c r="D1066" s="644"/>
      <c r="F1066" s="71">
        <f t="array" ref="F1066">SUM(($A$743:$A$750=$A1066)*($B$743:$B$750=$B1066)*(F$743:F$750)) + SUM(IFERROR(($A$933:$A$1010=$A1066)*($B$933:$B$1010=$B1066)*(F$933:F$1010),0)) + SUM(($A$768:$A$845=$A1066)*($B$768:$B$845= $B1066)*(F$768:F$845)) + SUM(IFERROR(($A$1016:$A$1038=$A1066) * ($B$1016:$B$1038=$B1066) * (F$1016:F$1038),0))</f>
        <v>0</v>
      </c>
      <c r="G1066" s="71">
        <f t="array" ref="G1066">SUM(($A$743:$A$750=$A1066)*($B$743:$B$750=$B1066)*(G$743:G$750)) + SUM(IFERROR(($A$933:$A$1010=$A1066)*($B$933:$B$1010=$B1066)*(G$933:G$1010),0)) + SUM(($A$768:$A$845=$A1066)*($B$768:$B$845= $B1066)*(G$768:G$845)) + SUM(IFERROR(($A$1016:$A$1038=$A1066) * ($B$1016:$B$1038=$B1066) * (G$1016:G$1038),0))</f>
        <v>0</v>
      </c>
      <c r="H1066" s="71">
        <f t="array" ref="H1066">SUM(($A$743:$A$750=$A1066)*($B$743:$B$750=$B1066)*(H$743:H$750)) + SUM(IFERROR(($A$933:$A$1010=$A1066)*($B$933:$B$1010=$B1066)*(H$933:H$1010),0)) + SUM(($A$768:$A$845=$A1066)*($B$768:$B$845= $B1066)*(H$768:H$845)) + SUM(IFERROR(($A$1016:$A$1038=$A1066) * ($B$1016:$B$1038=$B1066) * (H$1016:H$1038),0))</f>
        <v>0</v>
      </c>
      <c r="I1066" s="71">
        <f t="array" ref="I1066">SUM(($A$743:$A$750=$A1066)*($B$743:$B$750=$B1066)*(I$743:I$750)) + SUM(IFERROR(($A$933:$A$1010=$A1066)*($B$933:$B$1010=$B1066)*(I$933:I$1010),0)) + SUM(($A$768:$A$845=$A1066)*($B$768:$B$845= $B1066)*(I$768:I$845)) + SUM(IFERROR(($A$1016:$A$1038=$A1066) * ($B$1016:$B$1038=$B1066) * (I$1016:I$1038),0))</f>
        <v>0</v>
      </c>
      <c r="J1066" s="71">
        <f t="array" ref="J1066">SUM(($A$743:$A$750=$A1066)*($B$743:$B$750=$B1066)*(J$743:J$750)) + SUM(IFERROR(($A$933:$A$1010=$A1066)*($B$933:$B$1010=$B1066)*(J$933:J$1010),0)) + SUM(($A$768:$A$845=$A1066)*($B$768:$B$845= $B1066)*(J$768:J$845)) + SUM(IFERROR(($A$1016:$A$1038=$A1066) * ($B$1016:$B$1038=$B1066) * (J$1016:J$1038),0))</f>
        <v>0</v>
      </c>
      <c r="K1066" s="71">
        <f t="array" ref="K1066">SUM(($A$743:$A$750=$A1066)*($B$743:$B$750=$B1066)*(K$743:K$750)) + SUM(IFERROR(($A$933:$A$1010=$A1066)*($B$933:$B$1010=$B1066)*(K$933:K$1010),0)) + SUM(($A$768:$A$845=$A1066)*($B$768:$B$845= $B1066)*(K$768:K$845)) + SUM(IFERROR(($A$1016:$A$1038=$A1066) * ($B$1016:$B$1038=$B1066) * (K$1016:K$1038),0))</f>
        <v>0</v>
      </c>
      <c r="L1066" s="71">
        <f t="array" ref="L1066">SUM(($A$743:$A$750=$A1066)*($B$743:$B$750=$B1066)*(L$743:L$750)) + SUM(IFERROR(($A$933:$A$1010=$A1066)*($B$933:$B$1010=$B1066)*(L$933:L$1010),0)) + SUM(($A$768:$A$845=$A1066)*($B$768:$B$845= $B1066)*(L$768:L$845)) + SUM(IFERROR(($A$1016:$A$1038=$A1066) * ($B$1016:$B$1038=$B1066) * (L$1016:L$1038),0))</f>
        <v>0</v>
      </c>
      <c r="M1066" s="71">
        <f t="array" ref="M1066">SUM(($A$743:$A$750=$A1066)*($B$743:$B$750=$B1066)*(M$743:M$750)) + SUM(IFERROR(($A$933:$A$1010=$A1066)*($B$933:$B$1010=$B1066)*(M$933:M$1010),0)) + SUM(($A$768:$A$845=$A1066)*($B$768:$B$845= $B1066)*(M$768:M$845)) + SUM(IFERROR(($A$1016:$A$1038=$A1066) * ($B$1016:$B$1038=$B1066) * (M$1016:M$1038),0))</f>
        <v>0</v>
      </c>
      <c r="N1066" s="71">
        <f t="array" ref="N1066">SUM(($A$743:$A$750=$A1066)*($B$743:$B$750=$B1066)*(N$743:N$750)) + SUM(IFERROR(($A$933:$A$1010=$A1066)*($B$933:$B$1010=$B1066)*(N$933:N$1010),0)) + SUM(($A$768:$A$845=$A1066)*($B$768:$B$845= $B1066)*(N$768:N$845)) + SUM(IFERROR(($A$1016:$A$1038=$A1066) * ($B$1016:$B$1038=$B1066) * (N$1016:N$1038),0))</f>
        <v>0</v>
      </c>
      <c r="O1066" s="71">
        <f t="array" ref="O1066">SUM(($A$743:$A$750=$A1066)*($B$743:$B$750=$B1066)*(O$743:O$750)) + SUM(IFERROR(($A$933:$A$1010=$A1066)*($B$933:$B$1010=$B1066)*(O$933:O$1010),0)) + SUM(($A$768:$A$845=$A1066)*($B$768:$B$845= $B1066)*(O$768:O$845)) + SUM(IFERROR(($A$1016:$A$1038=$A1066) * ($B$1016:$B$1038=$B1066) * (O$1016:O$1038),0))</f>
        <v>0</v>
      </c>
    </row>
    <row r="1067" spans="1:15" s="19" customFormat="1">
      <c r="A1067" s="1438" t="str">
        <f>INDEX($C$20:$C$27,MATCH($C1066,$D$20:$D$27,0))</f>
        <v>NF</v>
      </c>
      <c r="B1067" s="347" t="s">
        <v>33</v>
      </c>
      <c r="C1067" s="19" t="str">
        <f>INDEX(Vectors[Description], MATCH($B1067, Vectors[Code], 0))</f>
        <v>Electricity (delivered to end user)</v>
      </c>
      <c r="D1067" s="644"/>
      <c r="E1067" s="164"/>
      <c r="F1067" s="71">
        <f t="array" ref="F1067">SUM(($A$743:$A$750=$A1067)*($B$743:$B$750=$B1067)*(F$743:F$750)) + SUM(IFERROR(($A$933:$A$1010=$A1067)*($B$933:$B$1010=$B1067)*(F$933:F$1010),0)) + SUM(($A$768:$A$845=$A1067)*($B$768:$B$845= $B1067)*(F$768:F$845)) + SUM(IFERROR(($A$1016:$A$1038=$A1067) * ($B$1016:$B$1038=$B1067) * (F$1016:F$1038),0))</f>
        <v>74.683578527999998</v>
      </c>
      <c r="G1067" s="71">
        <f t="array" ref="G1067">SUM(($A$743:$A$750=$A1067)*($B$743:$B$750=$B1067)*(G$743:G$750)) + SUM(IFERROR(($A$933:$A$1010=$A1067)*($B$933:$B$1010=$B1067)*(G$933:G$1010),0)) + SUM(($A$768:$A$845=$A1067)*($B$768:$B$845= $B1067)*(G$768:G$845)) + SUM(IFERROR(($A$1016:$A$1038=$A1067) * ($B$1016:$B$1038=$B1067) * (G$1016:G$1038),0))</f>
        <v>86.557510583333354</v>
      </c>
      <c r="H1067" s="71">
        <f t="array" ref="H1067">SUM(($A$743:$A$750=$A1067)*($B$743:$B$750=$B1067)*(H$743:H$750)) + SUM(IFERROR(($A$933:$A$1010=$A1067)*($B$933:$B$1010=$B1067)*(H$933:H$1010),0)) + SUM(($A$768:$A$845=$A1067)*($B$768:$B$845= $B1067)*(H$768:H$845)) + SUM(IFERROR(($A$1016:$A$1038=$A1067) * ($B$1016:$B$1038=$B1067) * (H$1016:H$1038),0))</f>
        <v>104.46332862173054</v>
      </c>
      <c r="I1067" s="71">
        <f t="array" ref="I1067">SUM(($A$743:$A$750=$A1067)*($B$743:$B$750=$B1067)*(I$743:I$750)) + SUM(IFERROR(($A$933:$A$1010=$A1067)*($B$933:$B$1010=$B1067)*(I$933:I$1010),0)) + SUM(($A$768:$A$845=$A1067)*($B$768:$B$845= $B1067)*(I$768:I$845)) + SUM(IFERROR(($A$1016:$A$1038=$A1067) * ($B$1016:$B$1038=$B1067) * (I$1016:I$1038),0))</f>
        <v>128.9041005141666</v>
      </c>
      <c r="J1067" s="71">
        <f t="array" ref="J1067">SUM(($A$743:$A$750=$A1067)*($B$743:$B$750=$B1067)*(J$743:J$750)) + SUM(IFERROR(($A$933:$A$1010=$A1067)*($B$933:$B$1010=$B1067)*(J$933:J$1010),0)) + SUM(($A$768:$A$845=$A1067)*($B$768:$B$845= $B1067)*(J$768:J$845)) + SUM(IFERROR(($A$1016:$A$1038=$A1067) * ($B$1016:$B$1038=$B1067) * (J$1016:J$1038),0))</f>
        <v>155.24610621936034</v>
      </c>
      <c r="K1067" s="71">
        <f t="array" ref="K1067">SUM(($A$743:$A$750=$A1067)*($B$743:$B$750=$B1067)*(K$743:K$750)) + SUM(IFERROR(($A$933:$A$1010=$A1067)*($B$933:$B$1010=$B1067)*(K$933:K$1010),0)) + SUM(($A$768:$A$845=$A1067)*($B$768:$B$845= $B1067)*(K$768:K$845)) + SUM(IFERROR(($A$1016:$A$1038=$A1067) * ($B$1016:$B$1038=$B1067) * (K$1016:K$1038),0))</f>
        <v>188.94939862675773</v>
      </c>
      <c r="L1067" s="71">
        <f t="array" ref="L1067">SUM(($A$743:$A$750=$A1067)*($B$743:$B$750=$B1067)*(L$743:L$750)) + SUM(IFERROR(($A$933:$A$1010=$A1067)*($B$933:$B$1010=$B1067)*(L$933:L$1010),0)) + SUM(($A$768:$A$845=$A1067)*($B$768:$B$845= $B1067)*(L$768:L$845)) + SUM(IFERROR(($A$1016:$A$1038=$A1067) * ($B$1016:$B$1038=$B1067) * (L$1016:L$1038),0))</f>
        <v>230.49562532575328</v>
      </c>
      <c r="M1067" s="71">
        <f t="array" ref="M1067">SUM(($A$743:$A$750=$A1067)*($B$743:$B$750=$B1067)*(M$743:M$750)) + SUM(IFERROR(($A$933:$A$1010=$A1067)*($B$933:$B$1010=$B1067)*(M$933:M$1010),0)) + SUM(($A$768:$A$845=$A1067)*($B$768:$B$845= $B1067)*(M$768:M$845)) + SUM(IFERROR(($A$1016:$A$1038=$A1067) * ($B$1016:$B$1038=$B1067) * (M$1016:M$1038),0))</f>
        <v>276.45807064491333</v>
      </c>
      <c r="N1067" s="71">
        <f t="array" ref="N1067">SUM(($A$743:$A$750=$A1067)*($B$743:$B$750=$B1067)*(N$743:N$750)) + SUM(IFERROR(($A$933:$A$1010=$A1067)*($B$933:$B$1010=$B1067)*(N$933:N$1010),0)) + SUM(($A$768:$A$845=$A1067)*($B$768:$B$845= $B1067)*(N$768:N$845)) + SUM(IFERROR(($A$1016:$A$1038=$A1067) * ($B$1016:$B$1038=$B1067) * (N$1016:N$1038),0))</f>
        <v>324.08569167236942</v>
      </c>
      <c r="O1067" s="71">
        <f t="array" ref="O1067">SUM(($A$743:$A$750=$A1067)*($B$743:$B$750=$B1067)*(O$743:O$750)) + SUM(IFERROR(($A$933:$A$1010=$A1067)*($B$933:$B$1010=$B1067)*(O$933:O$1010),0)) + SUM(($A$768:$A$845=$A1067)*($B$768:$B$845= $B1067)*(O$768:O$845)) + SUM(IFERROR(($A$1016:$A$1038=$A1067) * ($B$1016:$B$1038=$B1067) * (O$1016:O$1038),0))</f>
        <v>373.82825066423061</v>
      </c>
    </row>
    <row r="1068" spans="1:15" s="19" customFormat="1">
      <c r="A1068" s="19" t="str">
        <f>A1067</f>
        <v>NF</v>
      </c>
      <c r="B1068" s="347" t="s">
        <v>35</v>
      </c>
      <c r="C1068" s="19" t="str">
        <f>INDEX(Vectors[Description], MATCH($B1068, Vectors[Code], 0))</f>
        <v>Solid hydrocarbons</v>
      </c>
      <c r="D1068" s="644"/>
      <c r="E1068" s="164"/>
      <c r="F1068" s="71">
        <f t="array" ref="F1068">SUM(($A$743:$A$750=$A1068)*($B$743:$B$750=$B1068)*(F$743:F$750)) + SUM(IFERROR(($A$933:$A$1010=$A1068)*($B$933:$B$1010=$B1068)*(F$933:F$1010),0)) + SUM(($A$768:$A$845=$A1068)*($B$768:$B$845= $B1068)*(F$768:F$845)) + SUM(IFERROR(($A$1016:$A$1038=$A1068) * ($B$1016:$B$1038=$B1068) * (F$1016:F$1038),0))</f>
        <v>0.80999999999999972</v>
      </c>
      <c r="G1068" s="71">
        <f t="array" ref="G1068">SUM(($A$743:$A$750=$A1068)*($B$743:$B$750=$B1068)*(G$743:G$750)) + SUM(IFERROR(($A$933:$A$1010=$A1068)*($B$933:$B$1010=$B1068)*(G$933:G$1010),0)) + SUM(($A$768:$A$845=$A1068)*($B$768:$B$845= $B1068)*(G$768:G$845)) + SUM(IFERROR(($A$1016:$A$1038=$A1068) * ($B$1016:$B$1038=$B1068) * (G$1016:G$1038),0))</f>
        <v>0.93848617213288477</v>
      </c>
      <c r="H1068" s="71">
        <f t="array" ref="H1068">SUM(($A$743:$A$750=$A1068)*($B$743:$B$750=$B1068)*(H$743:H$750)) + SUM(IFERROR(($A$933:$A$1010=$A1068)*($B$933:$B$1010=$B1068)*(H$933:H$1010),0)) + SUM(($A$768:$A$845=$A1068)*($B$768:$B$845= $B1068)*(H$768:H$845)) + SUM(IFERROR(($A$1016:$A$1038=$A1068) * ($B$1016:$B$1038=$B1068) * (H$1016:H$1038),0))</f>
        <v>1.166859572910365</v>
      </c>
      <c r="I1068" s="71">
        <f t="array" ref="I1068">SUM(($A$743:$A$750=$A1068)*($B$743:$B$750=$B1068)*(I$743:I$750)) + SUM(IFERROR(($A$933:$A$1010=$A1068)*($B$933:$B$1010=$B1068)*(I$933:I$1010),0)) + SUM(($A$768:$A$845=$A1068)*($B$768:$B$845= $B1068)*(I$768:I$845)) + SUM(IFERROR(($A$1016:$A$1038=$A1068) * ($B$1016:$B$1038=$B1068) * (I$1016:I$1038),0))</f>
        <v>1.3952329736878455</v>
      </c>
      <c r="J1068" s="71">
        <f t="array" ref="J1068">SUM(($A$743:$A$750=$A1068)*($B$743:$B$750=$B1068)*(J$743:J$750)) + SUM(IFERROR(($A$933:$A$1010=$A1068)*($B$933:$B$1010=$B1068)*(J$933:J$1010),0)) + SUM(($A$768:$A$845=$A1068)*($B$768:$B$845= $B1068)*(J$768:J$845)) + SUM(IFERROR(($A$1016:$A$1038=$A1068) * ($B$1016:$B$1038=$B1068) * (J$1016:J$1038),0))</f>
        <v>1.7169955252819236</v>
      </c>
      <c r="K1068" s="71">
        <f t="array" ref="K1068">SUM(($A$743:$A$750=$A1068)*($B$743:$B$750=$B1068)*(K$743:K$750)) + SUM(IFERROR(($A$933:$A$1010=$A1068)*($B$933:$B$1010=$B1068)*(K$933:K$1010),0)) + SUM(($A$768:$A$845=$A1068)*($B$768:$B$845= $B1068)*(K$768:K$845)) + SUM(IFERROR(($A$1016:$A$1038=$A1068) * ($B$1016:$B$1038=$B1068) * (K$1016:K$1038),0))</f>
        <v>2.0387580768760016</v>
      </c>
      <c r="L1068" s="71">
        <f t="array" ref="L1068">SUM(($A$743:$A$750=$A1068)*($B$743:$B$750=$B1068)*(L$743:L$750)) + SUM(IFERROR(($A$933:$A$1010=$A1068)*($B$933:$B$1010=$B1068)*(L$933:L$1010),0)) + SUM(($A$768:$A$845=$A1068)*($B$768:$B$845= $B1068)*(L$768:L$845)) + SUM(IFERROR(($A$1016:$A$1038=$A1068) * ($B$1016:$B$1038=$B1068) * (L$1016:L$1038),0))</f>
        <v>2.5069100475130286</v>
      </c>
      <c r="M1068" s="71">
        <f t="array" ref="M1068">SUM(($A$743:$A$750=$A1068)*($B$743:$B$750=$B1068)*(M$743:M$750)) + SUM(IFERROR(($A$933:$A$1010=$A1068)*($B$933:$B$1010=$B1068)*(M$933:M$1010),0)) + SUM(($A$768:$A$845=$A1068)*($B$768:$B$845= $B1068)*(M$768:M$845)) + SUM(IFERROR(($A$1016:$A$1038=$A1068) * ($B$1016:$B$1038=$B1068) * (M$1016:M$1038),0))</f>
        <v>2.975062018150056</v>
      </c>
      <c r="N1068" s="71">
        <f t="array" ref="N1068">SUM(($A$743:$A$750=$A1068)*($B$743:$B$750=$B1068)*(N$743:N$750)) + SUM(IFERROR(($A$933:$A$1010=$A1068)*($B$933:$B$1010=$B1068)*(N$933:N$1010),0)) + SUM(($A$768:$A$845=$A1068)*($B$768:$B$845= $B1068)*(N$768:N$845)) + SUM(IFERROR(($A$1016:$A$1038=$A1068) * ($B$1016:$B$1038=$B1068) * (N$1016:N$1038),0))</f>
        <v>3.4966939560408941</v>
      </c>
      <c r="O1068" s="71">
        <f t="array" ref="O1068">SUM(($A$743:$A$750=$A1068)*($B$743:$B$750=$B1068)*(O$743:O$750)) + SUM(IFERROR(($A$933:$A$1010=$A1068)*($B$933:$B$1010=$B1068)*(O$933:O$1010),0)) + SUM(($A$768:$A$845=$A1068)*($B$768:$B$845= $B1068)*(O$768:O$845)) + SUM(IFERROR(($A$1016:$A$1038=$A1068) * ($B$1016:$B$1038=$B1068) * (O$1016:O$1038),0))</f>
        <v>4.0183258939317321</v>
      </c>
    </row>
    <row r="1069" spans="1:15" s="19" customFormat="1">
      <c r="A1069" s="19" t="str">
        <f>A1068</f>
        <v>NF</v>
      </c>
      <c r="B1069" s="347" t="s">
        <v>37</v>
      </c>
      <c r="C1069" s="19" t="str">
        <f>INDEX(Vectors[Description], MATCH($B1069, Vectors[Code], 0))</f>
        <v>Liquid hydrocarbons</v>
      </c>
      <c r="D1069" s="644"/>
      <c r="E1069" s="164"/>
      <c r="F1069" s="71">
        <f t="array" ref="F1069">SUM(($A$743:$A$750=$A1069)*($B$743:$B$750=$B1069)*(F$743:F$750)) + SUM(IFERROR(($A$933:$A$1010=$A1069)*($B$933:$B$1010=$B1069)*(F$933:F$1010),0)) + SUM(($A$768:$A$845=$A1069)*($B$768:$B$845= $B1069)*(F$768:F$845)) + SUM(IFERROR(($A$1016:$A$1038=$A1069) * ($B$1016:$B$1038=$B1069) * (F$1016:F$1038),0))</f>
        <v>0</v>
      </c>
      <c r="G1069" s="71">
        <f t="array" ref="G1069">SUM(($A$743:$A$750=$A1069)*($B$743:$B$750=$B1069)*(G$743:G$750)) + SUM(IFERROR(($A$933:$A$1010=$A1069)*($B$933:$B$1010=$B1069)*(G$933:G$1010),0)) + SUM(($A$768:$A$845=$A1069)*($B$768:$B$845= $B1069)*(G$768:G$845)) + SUM(IFERROR(($A$1016:$A$1038=$A1069) * ($B$1016:$B$1038=$B1069) * (G$1016:G$1038),0))</f>
        <v>0</v>
      </c>
      <c r="H1069" s="71">
        <f t="array" ref="H1069">SUM(($A$743:$A$750=$A1069)*($B$743:$B$750=$B1069)*(H$743:H$750)) + SUM(IFERROR(($A$933:$A$1010=$A1069)*($B$933:$B$1010=$B1069)*(H$933:H$1010),0)) + SUM(($A$768:$A$845=$A1069)*($B$768:$B$845= $B1069)*(H$768:H$845)) + SUM(IFERROR(($A$1016:$A$1038=$A1069) * ($B$1016:$B$1038=$B1069) * (H$1016:H$1038),0))</f>
        <v>0</v>
      </c>
      <c r="I1069" s="71">
        <f t="array" ref="I1069">SUM(($A$743:$A$750=$A1069)*($B$743:$B$750=$B1069)*(I$743:I$750)) + SUM(IFERROR(($A$933:$A$1010=$A1069)*($B$933:$B$1010=$B1069)*(I$933:I$1010),0)) + SUM(($A$768:$A$845=$A1069)*($B$768:$B$845= $B1069)*(I$768:I$845)) + SUM(IFERROR(($A$1016:$A$1038=$A1069) * ($B$1016:$B$1038=$B1069) * (I$1016:I$1038),0))</f>
        <v>0</v>
      </c>
      <c r="J1069" s="71">
        <f t="array" ref="J1069">SUM(($A$743:$A$750=$A1069)*($B$743:$B$750=$B1069)*(J$743:J$750)) + SUM(IFERROR(($A$933:$A$1010=$A1069)*($B$933:$B$1010=$B1069)*(J$933:J$1010),0)) + SUM(($A$768:$A$845=$A1069)*($B$768:$B$845= $B1069)*(J$768:J$845)) + SUM(IFERROR(($A$1016:$A$1038=$A1069) * ($B$1016:$B$1038=$B1069) * (J$1016:J$1038),0))</f>
        <v>0</v>
      </c>
      <c r="K1069" s="71">
        <f t="array" ref="K1069">SUM(($A$743:$A$750=$A1069)*($B$743:$B$750=$B1069)*(K$743:K$750)) + SUM(IFERROR(($A$933:$A$1010=$A1069)*($B$933:$B$1010=$B1069)*(K$933:K$1010),0)) + SUM(($A$768:$A$845=$A1069)*($B$768:$B$845= $B1069)*(K$768:K$845)) + SUM(IFERROR(($A$1016:$A$1038=$A1069) * ($B$1016:$B$1038=$B1069) * (K$1016:K$1038),0))</f>
        <v>0</v>
      </c>
      <c r="L1069" s="71">
        <f t="array" ref="L1069">SUM(($A$743:$A$750=$A1069)*($B$743:$B$750=$B1069)*(L$743:L$750)) + SUM(IFERROR(($A$933:$A$1010=$A1069)*($B$933:$B$1010=$B1069)*(L$933:L$1010),0)) + SUM(($A$768:$A$845=$A1069)*($B$768:$B$845= $B1069)*(L$768:L$845)) + SUM(IFERROR(($A$1016:$A$1038=$A1069) * ($B$1016:$B$1038=$B1069) * (L$1016:L$1038),0))</f>
        <v>0</v>
      </c>
      <c r="M1069" s="71">
        <f t="array" ref="M1069">SUM(($A$743:$A$750=$A1069)*($B$743:$B$750=$B1069)*(M$743:M$750)) + SUM(IFERROR(($A$933:$A$1010=$A1069)*($B$933:$B$1010=$B1069)*(M$933:M$1010),0)) + SUM(($A$768:$A$845=$A1069)*($B$768:$B$845= $B1069)*(M$768:M$845)) + SUM(IFERROR(($A$1016:$A$1038=$A1069) * ($B$1016:$B$1038=$B1069) * (M$1016:M$1038),0))</f>
        <v>0</v>
      </c>
      <c r="N1069" s="71">
        <f t="array" ref="N1069">SUM(($A$743:$A$750=$A1069)*($B$743:$B$750=$B1069)*(N$743:N$750)) + SUM(IFERROR(($A$933:$A$1010=$A1069)*($B$933:$B$1010=$B1069)*(N$933:N$1010),0)) + SUM(($A$768:$A$845=$A1069)*($B$768:$B$845= $B1069)*(N$768:N$845)) + SUM(IFERROR(($A$1016:$A$1038=$A1069) * ($B$1016:$B$1038=$B1069) * (N$1016:N$1038),0))</f>
        <v>0</v>
      </c>
      <c r="O1069" s="71">
        <f t="array" ref="O1069">SUM(($A$743:$A$750=$A1069)*($B$743:$B$750=$B1069)*(O$743:O$750)) + SUM(IFERROR(($A$933:$A$1010=$A1069)*($B$933:$B$1010=$B1069)*(O$933:O$1010),0)) + SUM(($A$768:$A$845=$A1069)*($B$768:$B$845= $B1069)*(O$768:O$845)) + SUM(IFERROR(($A$1016:$A$1038=$A1069) * ($B$1016:$B$1038=$B1069) * (O$1016:O$1038),0))</f>
        <v>0</v>
      </c>
    </row>
    <row r="1070" spans="1:15" s="19" customFormat="1">
      <c r="A1070" s="19" t="str">
        <f>A1069</f>
        <v>NF</v>
      </c>
      <c r="B1070" s="347" t="s">
        <v>38</v>
      </c>
      <c r="C1070" s="19" t="str">
        <f>INDEX(Vectors[Description], MATCH($B1070, Vectors[Code], 0))</f>
        <v>Gaseous hydrocarbons</v>
      </c>
      <c r="D1070" s="644"/>
      <c r="E1070" s="164"/>
      <c r="F1070" s="71">
        <f t="array" ref="F1070">SUM(($A$743:$A$750=$A1070)*($B$743:$B$750=$B1070)*(F$743:F$750)) + SUM(IFERROR(($A$933:$A$1010=$A1070)*($B$933:$B$1010=$B1070)*(F$933:F$1010),0)) + SUM(($A$768:$A$845=$A1070)*($B$768:$B$845= $B1070)*(F$768:F$845)) + SUM(IFERROR(($A$1016:$A$1038=$A1070) * ($B$1016:$B$1038=$B1070) * (F$1016:F$1038),0))</f>
        <v>0</v>
      </c>
      <c r="G1070" s="71">
        <f t="array" ref="G1070">SUM(($A$743:$A$750=$A1070)*($B$743:$B$750=$B1070)*(G$743:G$750)) + SUM(IFERROR(($A$933:$A$1010=$A1070)*($B$933:$B$1010=$B1070)*(G$933:G$1010),0)) + SUM(($A$768:$A$845=$A1070)*($B$768:$B$845= $B1070)*(G$768:G$845)) + SUM(IFERROR(($A$1016:$A$1038=$A1070) * ($B$1016:$B$1038=$B1070) * (G$1016:G$1038),0))</f>
        <v>0</v>
      </c>
      <c r="H1070" s="71">
        <f t="array" ref="H1070">SUM(($A$743:$A$750=$A1070)*($B$743:$B$750=$B1070)*(H$743:H$750)) + SUM(IFERROR(($A$933:$A$1010=$A1070)*($B$933:$B$1010=$B1070)*(H$933:H$1010),0)) + SUM(($A$768:$A$845=$A1070)*($B$768:$B$845= $B1070)*(H$768:H$845)) + SUM(IFERROR(($A$1016:$A$1038=$A1070) * ($B$1016:$B$1038=$B1070) * (H$1016:H$1038),0))</f>
        <v>0</v>
      </c>
      <c r="I1070" s="71">
        <f t="array" ref="I1070">SUM(($A$743:$A$750=$A1070)*($B$743:$B$750=$B1070)*(I$743:I$750)) + SUM(IFERROR(($A$933:$A$1010=$A1070)*($B$933:$B$1010=$B1070)*(I$933:I$1010),0)) + SUM(($A$768:$A$845=$A1070)*($B$768:$B$845= $B1070)*(I$768:I$845)) + SUM(IFERROR(($A$1016:$A$1038=$A1070) * ($B$1016:$B$1038=$B1070) * (I$1016:I$1038),0))</f>
        <v>0</v>
      </c>
      <c r="J1070" s="71">
        <f t="array" ref="J1070">SUM(($A$743:$A$750=$A1070)*($B$743:$B$750=$B1070)*(J$743:J$750)) + SUM(IFERROR(($A$933:$A$1010=$A1070)*($B$933:$B$1010=$B1070)*(J$933:J$1010),0)) + SUM(($A$768:$A$845=$A1070)*($B$768:$B$845= $B1070)*(J$768:J$845)) + SUM(IFERROR(($A$1016:$A$1038=$A1070) * ($B$1016:$B$1038=$B1070) * (J$1016:J$1038),0))</f>
        <v>0</v>
      </c>
      <c r="K1070" s="71">
        <f t="array" ref="K1070">SUM(($A$743:$A$750=$A1070)*($B$743:$B$750=$B1070)*(K$743:K$750)) + SUM(IFERROR(($A$933:$A$1010=$A1070)*($B$933:$B$1010=$B1070)*(K$933:K$1010),0)) + SUM(($A$768:$A$845=$A1070)*($B$768:$B$845= $B1070)*(K$768:K$845)) + SUM(IFERROR(($A$1016:$A$1038=$A1070) * ($B$1016:$B$1038=$B1070) * (K$1016:K$1038),0))</f>
        <v>0</v>
      </c>
      <c r="L1070" s="71">
        <f t="array" ref="L1070">SUM(($A$743:$A$750=$A1070)*($B$743:$B$750=$B1070)*(L$743:L$750)) + SUM(IFERROR(($A$933:$A$1010=$A1070)*($B$933:$B$1010=$B1070)*(L$933:L$1010),0)) + SUM(($A$768:$A$845=$A1070)*($B$768:$B$845= $B1070)*(L$768:L$845)) + SUM(IFERROR(($A$1016:$A$1038=$A1070) * ($B$1016:$B$1038=$B1070) * (L$1016:L$1038),0))</f>
        <v>0</v>
      </c>
      <c r="M1070" s="71">
        <f t="array" ref="M1070">SUM(($A$743:$A$750=$A1070)*($B$743:$B$750=$B1070)*(M$743:M$750)) + SUM(IFERROR(($A$933:$A$1010=$A1070)*($B$933:$B$1010=$B1070)*(M$933:M$1010),0)) + SUM(($A$768:$A$845=$A1070)*($B$768:$B$845= $B1070)*(M$768:M$845)) + SUM(IFERROR(($A$1016:$A$1038=$A1070) * ($B$1016:$B$1038=$B1070) * (M$1016:M$1038),0))</f>
        <v>0</v>
      </c>
      <c r="N1070" s="71">
        <f t="array" ref="N1070">SUM(($A$743:$A$750=$A1070)*($B$743:$B$750=$B1070)*(N$743:N$750)) + SUM(IFERROR(($A$933:$A$1010=$A1070)*($B$933:$B$1010=$B1070)*(N$933:N$1010),0)) + SUM(($A$768:$A$845=$A1070)*($B$768:$B$845= $B1070)*(N$768:N$845)) + SUM(IFERROR(($A$1016:$A$1038=$A1070) * ($B$1016:$B$1038=$B1070) * (N$1016:N$1038),0))</f>
        <v>0</v>
      </c>
      <c r="O1070" s="71">
        <f t="array" ref="O1070">SUM(($A$743:$A$750=$A1070)*($B$743:$B$750=$B1070)*(O$743:O$750)) + SUM(IFERROR(($A$933:$A$1010=$A1070)*($B$933:$B$1010=$B1070)*(O$933:O$1010),0)) + SUM(($A$768:$A$845=$A1070)*($B$768:$B$845= $B1070)*(O$768:O$845)) + SUM(IFERROR(($A$1016:$A$1038=$A1070) * ($B$1016:$B$1038=$B1070) * (O$1016:O$1038),0))</f>
        <v>0</v>
      </c>
    </row>
    <row r="1071" spans="1:15" s="19" customFormat="1">
      <c r="A1071" s="19" t="str">
        <f>A1070</f>
        <v>NF</v>
      </c>
      <c r="B1071" s="347" t="s">
        <v>251</v>
      </c>
      <c r="C1071" s="19" t="str">
        <f>INDEX(Vectors[Description], MATCH($B1071, Vectors[Code], 0))</f>
        <v>Dry biomass and waste</v>
      </c>
      <c r="D1071" s="644"/>
      <c r="E1071" s="164"/>
      <c r="F1071" s="71">
        <f t="array" ref="F1071">SUM(($A$743:$A$750=$A1071)*($B$743:$B$750=$B1071)*(F$743:F$750)) + SUM(IFERROR(($A$933:$A$1010=$A1071)*($B$933:$B$1010=$B1071)*(F$933:F$1010),0)) + SUM(($A$768:$A$845=$A1071)*($B$768:$B$845= $B1071)*(F$768:F$845)) + SUM(IFERROR(($A$1016:$A$1038=$A1071) * ($B$1016:$B$1038=$B1071) * (F$1016:F$1038),0))</f>
        <v>0</v>
      </c>
      <c r="G1071" s="71">
        <f t="array" ref="G1071">SUM(($A$743:$A$750=$A1071)*($B$743:$B$750=$B1071)*(G$743:G$750)) + SUM(IFERROR(($A$933:$A$1010=$A1071)*($B$933:$B$1010=$B1071)*(G$933:G$1010),0)) + SUM(($A$768:$A$845=$A1071)*($B$768:$B$845= $B1071)*(G$768:G$845)) + SUM(IFERROR(($A$1016:$A$1038=$A1071) * ($B$1016:$B$1038=$B1071) * (G$1016:G$1038),0))</f>
        <v>0</v>
      </c>
      <c r="H1071" s="71">
        <f t="array" ref="H1071">SUM(($A$743:$A$750=$A1071)*($B$743:$B$750=$B1071)*(H$743:H$750)) + SUM(IFERROR(($A$933:$A$1010=$A1071)*($B$933:$B$1010=$B1071)*(H$933:H$1010),0)) + SUM(($A$768:$A$845=$A1071)*($B$768:$B$845= $B1071)*(H$768:H$845)) + SUM(IFERROR(($A$1016:$A$1038=$A1071) * ($B$1016:$B$1038=$B1071) * (H$1016:H$1038),0))</f>
        <v>0</v>
      </c>
      <c r="I1071" s="71">
        <f t="array" ref="I1071">SUM(($A$743:$A$750=$A1071)*($B$743:$B$750=$B1071)*(I$743:I$750)) + SUM(IFERROR(($A$933:$A$1010=$A1071)*($B$933:$B$1010=$B1071)*(I$933:I$1010),0)) + SUM(($A$768:$A$845=$A1071)*($B$768:$B$845= $B1071)*(I$768:I$845)) + SUM(IFERROR(($A$1016:$A$1038=$A1071) * ($B$1016:$B$1038=$B1071) * (I$1016:I$1038),0))</f>
        <v>0</v>
      </c>
      <c r="J1071" s="71">
        <f t="array" ref="J1071">SUM(($A$743:$A$750=$A1071)*($B$743:$B$750=$B1071)*(J$743:J$750)) + SUM(IFERROR(($A$933:$A$1010=$A1071)*($B$933:$B$1010=$B1071)*(J$933:J$1010),0)) + SUM(($A$768:$A$845=$A1071)*($B$768:$B$845= $B1071)*(J$768:J$845)) + SUM(IFERROR(($A$1016:$A$1038=$A1071) * ($B$1016:$B$1038=$B1071) * (J$1016:J$1038),0))</f>
        <v>0</v>
      </c>
      <c r="K1071" s="71">
        <f t="array" ref="K1071">SUM(($A$743:$A$750=$A1071)*($B$743:$B$750=$B1071)*(K$743:K$750)) + SUM(IFERROR(($A$933:$A$1010=$A1071)*($B$933:$B$1010=$B1071)*(K$933:K$1010),0)) + SUM(($A$768:$A$845=$A1071)*($B$768:$B$845= $B1071)*(K$768:K$845)) + SUM(IFERROR(($A$1016:$A$1038=$A1071) * ($B$1016:$B$1038=$B1071) * (K$1016:K$1038),0))</f>
        <v>0</v>
      </c>
      <c r="L1071" s="71">
        <f t="array" ref="L1071">SUM(($A$743:$A$750=$A1071)*($B$743:$B$750=$B1071)*(L$743:L$750)) + SUM(IFERROR(($A$933:$A$1010=$A1071)*($B$933:$B$1010=$B1071)*(L$933:L$1010),0)) + SUM(($A$768:$A$845=$A1071)*($B$768:$B$845= $B1071)*(L$768:L$845)) + SUM(IFERROR(($A$1016:$A$1038=$A1071) * ($B$1016:$B$1038=$B1071) * (L$1016:L$1038),0))</f>
        <v>0</v>
      </c>
      <c r="M1071" s="71">
        <f t="array" ref="M1071">SUM(($A$743:$A$750=$A1071)*($B$743:$B$750=$B1071)*(M$743:M$750)) + SUM(IFERROR(($A$933:$A$1010=$A1071)*($B$933:$B$1010=$B1071)*(M$933:M$1010),0)) + SUM(($A$768:$A$845=$A1071)*($B$768:$B$845= $B1071)*(M$768:M$845)) + SUM(IFERROR(($A$1016:$A$1038=$A1071) * ($B$1016:$B$1038=$B1071) * (M$1016:M$1038),0))</f>
        <v>0</v>
      </c>
      <c r="N1071" s="71">
        <f t="array" ref="N1071">SUM(($A$743:$A$750=$A1071)*($B$743:$B$750=$B1071)*(N$743:N$750)) + SUM(IFERROR(($A$933:$A$1010=$A1071)*($B$933:$B$1010=$B1071)*(N$933:N$1010),0)) + SUM(($A$768:$A$845=$A1071)*($B$768:$B$845= $B1071)*(N$768:N$845)) + SUM(IFERROR(($A$1016:$A$1038=$A1071) * ($B$1016:$B$1038=$B1071) * (N$1016:N$1038),0))</f>
        <v>0</v>
      </c>
      <c r="O1071" s="71">
        <f t="array" ref="O1071">SUM(($A$743:$A$750=$A1071)*($B$743:$B$750=$B1071)*(O$743:O$750)) + SUM(IFERROR(($A$933:$A$1010=$A1071)*($B$933:$B$1010=$B1071)*(O$933:O$1010),0)) + SUM(($A$768:$A$845=$A1071)*($B$768:$B$845= $B1071)*(O$768:O$845)) + SUM(IFERROR(($A$1016:$A$1038=$A1071) * ($B$1016:$B$1038=$B1071) * (O$1016:O$1038),0))</f>
        <v>0</v>
      </c>
    </row>
    <row r="1072" spans="1:15" s="19" customFormat="1">
      <c r="A1072" s="19" t="str">
        <f>A1071</f>
        <v>NF</v>
      </c>
      <c r="B1072" s="347" t="s">
        <v>897</v>
      </c>
      <c r="C1072" s="19" t="str">
        <f>INDEX(Vectors[Description], MATCH($B1072, Vectors[Code], 0))</f>
        <v>Other Waste</v>
      </c>
      <c r="D1072" s="644"/>
      <c r="E1072" s="164"/>
      <c r="F1072" s="71">
        <f t="array" ref="F1072">SUM(($A$743:$A$750=$A1072)*($B$743:$B$750=$B1072)*(F$743:F$750)) + SUM(IFERROR(($A$933:$A$1010=$A1072)*($B$933:$B$1010=$B1072)*(F$933:F$1010),0)) + SUM(($A$768:$A$845=$A1072)*($B$768:$B$845= $B1072)*(F$768:F$845)) + SUM(IFERROR(($A$1016:$A$1038=$A1072) * ($B$1016:$B$1038=$B1072) * (F$1016:F$1038),0))</f>
        <v>0</v>
      </c>
      <c r="G1072" s="71">
        <f t="array" ref="G1072">SUM(($A$743:$A$750=$A1072)*($B$743:$B$750=$B1072)*(G$743:G$750)) + SUM(IFERROR(($A$933:$A$1010=$A1072)*($B$933:$B$1010=$B1072)*(G$933:G$1010),0)) + SUM(($A$768:$A$845=$A1072)*($B$768:$B$845= $B1072)*(G$768:G$845)) + SUM(IFERROR(($A$1016:$A$1038=$A1072) * ($B$1016:$B$1038=$B1072) * (G$1016:G$1038),0))</f>
        <v>0</v>
      </c>
      <c r="H1072" s="71">
        <f t="array" ref="H1072">SUM(($A$743:$A$750=$A1072)*($B$743:$B$750=$B1072)*(H$743:H$750)) + SUM(IFERROR(($A$933:$A$1010=$A1072)*($B$933:$B$1010=$B1072)*(H$933:H$1010),0)) + SUM(($A$768:$A$845=$A1072)*($B$768:$B$845= $B1072)*(H$768:H$845)) + SUM(IFERROR(($A$1016:$A$1038=$A1072) * ($B$1016:$B$1038=$B1072) * (H$1016:H$1038),0))</f>
        <v>0</v>
      </c>
      <c r="I1072" s="71">
        <f t="array" ref="I1072">SUM(($A$743:$A$750=$A1072)*($B$743:$B$750=$B1072)*(I$743:I$750)) + SUM(IFERROR(($A$933:$A$1010=$A1072)*($B$933:$B$1010=$B1072)*(I$933:I$1010),0)) + SUM(($A$768:$A$845=$A1072)*($B$768:$B$845= $B1072)*(I$768:I$845)) + SUM(IFERROR(($A$1016:$A$1038=$A1072) * ($B$1016:$B$1038=$B1072) * (I$1016:I$1038),0))</f>
        <v>0</v>
      </c>
      <c r="J1072" s="71">
        <f t="array" ref="J1072">SUM(($A$743:$A$750=$A1072)*($B$743:$B$750=$B1072)*(J$743:J$750)) + SUM(IFERROR(($A$933:$A$1010=$A1072)*($B$933:$B$1010=$B1072)*(J$933:J$1010),0)) + SUM(($A$768:$A$845=$A1072)*($B$768:$B$845= $B1072)*(J$768:J$845)) + SUM(IFERROR(($A$1016:$A$1038=$A1072) * ($B$1016:$B$1038=$B1072) * (J$1016:J$1038),0))</f>
        <v>0</v>
      </c>
      <c r="K1072" s="71">
        <f t="array" ref="K1072">SUM(($A$743:$A$750=$A1072)*($B$743:$B$750=$B1072)*(K$743:K$750)) + SUM(IFERROR(($A$933:$A$1010=$A1072)*($B$933:$B$1010=$B1072)*(K$933:K$1010),0)) + SUM(($A$768:$A$845=$A1072)*($B$768:$B$845= $B1072)*(K$768:K$845)) + SUM(IFERROR(($A$1016:$A$1038=$A1072) * ($B$1016:$B$1038=$B1072) * (K$1016:K$1038),0))</f>
        <v>0</v>
      </c>
      <c r="L1072" s="71">
        <f t="array" ref="L1072">SUM(($A$743:$A$750=$A1072)*($B$743:$B$750=$B1072)*(L$743:L$750)) + SUM(IFERROR(($A$933:$A$1010=$A1072)*($B$933:$B$1010=$B1072)*(L$933:L$1010),0)) + SUM(($A$768:$A$845=$A1072)*($B$768:$B$845= $B1072)*(L$768:L$845)) + SUM(IFERROR(($A$1016:$A$1038=$A1072) * ($B$1016:$B$1038=$B1072) * (L$1016:L$1038),0))</f>
        <v>0</v>
      </c>
      <c r="M1072" s="71">
        <f t="array" ref="M1072">SUM(($A$743:$A$750=$A1072)*($B$743:$B$750=$B1072)*(M$743:M$750)) + SUM(IFERROR(($A$933:$A$1010=$A1072)*($B$933:$B$1010=$B1072)*(M$933:M$1010),0)) + SUM(($A$768:$A$845=$A1072)*($B$768:$B$845= $B1072)*(M$768:M$845)) + SUM(IFERROR(($A$1016:$A$1038=$A1072) * ($B$1016:$B$1038=$B1072) * (M$1016:M$1038),0))</f>
        <v>0</v>
      </c>
      <c r="N1072" s="71">
        <f t="array" ref="N1072">SUM(($A$743:$A$750=$A1072)*($B$743:$B$750=$B1072)*(N$743:N$750)) + SUM(IFERROR(($A$933:$A$1010=$A1072)*($B$933:$B$1010=$B1072)*(N$933:N$1010),0)) + SUM(($A$768:$A$845=$A1072)*($B$768:$B$845= $B1072)*(N$768:N$845)) + SUM(IFERROR(($A$1016:$A$1038=$A1072) * ($B$1016:$B$1038=$B1072) * (N$1016:N$1038),0))</f>
        <v>0</v>
      </c>
      <c r="O1072" s="71">
        <f t="array" ref="O1072">SUM(($A$743:$A$750=$A1072)*($B$743:$B$750=$B1072)*(O$743:O$750)) + SUM(IFERROR(($A$933:$A$1010=$A1072)*($B$933:$B$1010=$B1072)*(O$933:O$1010),0)) + SUM(($A$768:$A$845=$A1072)*($B$768:$B$845= $B1072)*(O$768:O$845)) + SUM(IFERROR(($A$1016:$A$1038=$A1072) * ($B$1016:$B$1038=$B1072) * (O$1016:O$1038),0))</f>
        <v>0</v>
      </c>
    </row>
    <row r="1073" spans="1:15" s="19" customFormat="1">
      <c r="B1073" s="347"/>
      <c r="C1073" s="348"/>
      <c r="D1073" s="644"/>
      <c r="E1073" s="164"/>
      <c r="F1073" s="71">
        <f t="array" ref="F1073">SUM(($A$743:$A$750=$A1073)*($B$743:$B$750=$B1073)*(F$743:F$750)) + SUM(IFERROR(($A$933:$A$1010=$A1073)*($B$933:$B$1010=$B1073)*(F$933:F$1010),0)) + SUM(($A$768:$A$845=$A1073)*($B$768:$B$845= $B1073)*(F$768:F$845)) + SUM(IFERROR(($A$1016:$A$1038=$A1073) * ($B$1016:$B$1038=$B1073) * (F$1016:F$1038),0))</f>
        <v>0</v>
      </c>
      <c r="G1073" s="71">
        <f t="array" ref="G1073">SUM(($A$743:$A$750=$A1073)*($B$743:$B$750=$B1073)*(G$743:G$750)) + SUM(IFERROR(($A$933:$A$1010=$A1073)*($B$933:$B$1010=$B1073)*(G$933:G$1010),0)) + SUM(($A$768:$A$845=$A1073)*($B$768:$B$845= $B1073)*(G$768:G$845)) + SUM(IFERROR(($A$1016:$A$1038=$A1073) * ($B$1016:$B$1038=$B1073) * (G$1016:G$1038),0))</f>
        <v>0</v>
      </c>
      <c r="H1073" s="71">
        <f t="array" ref="H1073">SUM(($A$743:$A$750=$A1073)*($B$743:$B$750=$B1073)*(H$743:H$750)) + SUM(IFERROR(($A$933:$A$1010=$A1073)*($B$933:$B$1010=$B1073)*(H$933:H$1010),0)) + SUM(($A$768:$A$845=$A1073)*($B$768:$B$845= $B1073)*(H$768:H$845)) + SUM(IFERROR(($A$1016:$A$1038=$A1073) * ($B$1016:$B$1038=$B1073) * (H$1016:H$1038),0))</f>
        <v>0</v>
      </c>
      <c r="I1073" s="71">
        <f t="array" ref="I1073">SUM(($A$743:$A$750=$A1073)*($B$743:$B$750=$B1073)*(I$743:I$750)) + SUM(IFERROR(($A$933:$A$1010=$A1073)*($B$933:$B$1010=$B1073)*(I$933:I$1010),0)) + SUM(($A$768:$A$845=$A1073)*($B$768:$B$845= $B1073)*(I$768:I$845)) + SUM(IFERROR(($A$1016:$A$1038=$A1073) * ($B$1016:$B$1038=$B1073) * (I$1016:I$1038),0))</f>
        <v>0</v>
      </c>
      <c r="J1073" s="71">
        <f t="array" ref="J1073">SUM(($A$743:$A$750=$A1073)*($B$743:$B$750=$B1073)*(J$743:J$750)) + SUM(IFERROR(($A$933:$A$1010=$A1073)*($B$933:$B$1010=$B1073)*(J$933:J$1010),0)) + SUM(($A$768:$A$845=$A1073)*($B$768:$B$845= $B1073)*(J$768:J$845)) + SUM(IFERROR(($A$1016:$A$1038=$A1073) * ($B$1016:$B$1038=$B1073) * (J$1016:J$1038),0))</f>
        <v>0</v>
      </c>
      <c r="K1073" s="71">
        <f t="array" ref="K1073">SUM(($A$743:$A$750=$A1073)*($B$743:$B$750=$B1073)*(K$743:K$750)) + SUM(IFERROR(($A$933:$A$1010=$A1073)*($B$933:$B$1010=$B1073)*(K$933:K$1010),0)) + SUM(($A$768:$A$845=$A1073)*($B$768:$B$845= $B1073)*(K$768:K$845)) + SUM(IFERROR(($A$1016:$A$1038=$A1073) * ($B$1016:$B$1038=$B1073) * (K$1016:K$1038),0))</f>
        <v>0</v>
      </c>
      <c r="L1073" s="71">
        <f t="array" ref="L1073">SUM(($A$743:$A$750=$A1073)*($B$743:$B$750=$B1073)*(L$743:L$750)) + SUM(IFERROR(($A$933:$A$1010=$A1073)*($B$933:$B$1010=$B1073)*(L$933:L$1010),0)) + SUM(($A$768:$A$845=$A1073)*($B$768:$B$845= $B1073)*(L$768:L$845)) + SUM(IFERROR(($A$1016:$A$1038=$A1073) * ($B$1016:$B$1038=$B1073) * (L$1016:L$1038),0))</f>
        <v>0</v>
      </c>
      <c r="M1073" s="71">
        <f t="array" ref="M1073">SUM(($A$743:$A$750=$A1073)*($B$743:$B$750=$B1073)*(M$743:M$750)) + SUM(IFERROR(($A$933:$A$1010=$A1073)*($B$933:$B$1010=$B1073)*(M$933:M$1010),0)) + SUM(($A$768:$A$845=$A1073)*($B$768:$B$845= $B1073)*(M$768:M$845)) + SUM(IFERROR(($A$1016:$A$1038=$A1073) * ($B$1016:$B$1038=$B1073) * (M$1016:M$1038),0))</f>
        <v>0</v>
      </c>
      <c r="N1073" s="71">
        <f t="array" ref="N1073">SUM(($A$743:$A$750=$A1073)*($B$743:$B$750=$B1073)*(N$743:N$750)) + SUM(IFERROR(($A$933:$A$1010=$A1073)*($B$933:$B$1010=$B1073)*(N$933:N$1010),0)) + SUM(($A$768:$A$845=$A1073)*($B$768:$B$845= $B1073)*(N$768:N$845)) + SUM(IFERROR(($A$1016:$A$1038=$A1073) * ($B$1016:$B$1038=$B1073) * (N$1016:N$1038),0))</f>
        <v>0</v>
      </c>
      <c r="O1073" s="71">
        <f t="array" ref="O1073">SUM(($A$743:$A$750=$A1073)*($B$743:$B$750=$B1073)*(O$743:O$750)) + SUM(IFERROR(($A$933:$A$1010=$A1073)*($B$933:$B$1010=$B1073)*(O$933:O$1010),0)) + SUM(($A$768:$A$845=$A1073)*($B$768:$B$845= $B1073)*(O$768:O$845)) + SUM(IFERROR(($A$1016:$A$1038=$A1073) * ($B$1016:$B$1038=$B1073) * (O$1016:O$1038),0))</f>
        <v>0</v>
      </c>
    </row>
    <row r="1074" spans="1:15" s="19" customFormat="1">
      <c r="B1074" s="347"/>
      <c r="C1074" s="348" t="str">
        <f>D24</f>
        <v>N.M.M Products  -34</v>
      </c>
      <c r="D1074" s="644"/>
      <c r="F1074" s="71">
        <f t="array" ref="F1074">SUM(($A$743:$A$750=$A1074)*($B$743:$B$750=$B1074)*(F$743:F$750)) + SUM(IFERROR(($A$933:$A$1010=$A1074)*($B$933:$B$1010=$B1074)*(F$933:F$1010),0)) + SUM(($A$768:$A$845=$A1074)*($B$768:$B$845= $B1074)*(F$768:F$845)) + SUM(IFERROR(($A$1016:$A$1038=$A1074) * ($B$1016:$B$1038=$B1074) * (F$1016:F$1038),0))</f>
        <v>0</v>
      </c>
      <c r="G1074" s="71">
        <f t="array" ref="G1074">SUM(($A$743:$A$750=$A1074)*($B$743:$B$750=$B1074)*(G$743:G$750)) + SUM(IFERROR(($A$933:$A$1010=$A1074)*($B$933:$B$1010=$B1074)*(G$933:G$1010),0)) + SUM(($A$768:$A$845=$A1074)*($B$768:$B$845= $B1074)*(G$768:G$845)) + SUM(IFERROR(($A$1016:$A$1038=$A1074) * ($B$1016:$B$1038=$B1074) * (G$1016:G$1038),0))</f>
        <v>0</v>
      </c>
      <c r="H1074" s="71">
        <f t="array" ref="H1074">SUM(($A$743:$A$750=$A1074)*($B$743:$B$750=$B1074)*(H$743:H$750)) + SUM(IFERROR(($A$933:$A$1010=$A1074)*($B$933:$B$1010=$B1074)*(H$933:H$1010),0)) + SUM(($A$768:$A$845=$A1074)*($B$768:$B$845= $B1074)*(H$768:H$845)) + SUM(IFERROR(($A$1016:$A$1038=$A1074) * ($B$1016:$B$1038=$B1074) * (H$1016:H$1038),0))</f>
        <v>0</v>
      </c>
      <c r="I1074" s="71">
        <f t="array" ref="I1074">SUM(($A$743:$A$750=$A1074)*($B$743:$B$750=$B1074)*(I$743:I$750)) + SUM(IFERROR(($A$933:$A$1010=$A1074)*($B$933:$B$1010=$B1074)*(I$933:I$1010),0)) + SUM(($A$768:$A$845=$A1074)*($B$768:$B$845= $B1074)*(I$768:I$845)) + SUM(IFERROR(($A$1016:$A$1038=$A1074) * ($B$1016:$B$1038=$B1074) * (I$1016:I$1038),0))</f>
        <v>0</v>
      </c>
      <c r="J1074" s="71">
        <f t="array" ref="J1074">SUM(($A$743:$A$750=$A1074)*($B$743:$B$750=$B1074)*(J$743:J$750)) + SUM(IFERROR(($A$933:$A$1010=$A1074)*($B$933:$B$1010=$B1074)*(J$933:J$1010),0)) + SUM(($A$768:$A$845=$A1074)*($B$768:$B$845= $B1074)*(J$768:J$845)) + SUM(IFERROR(($A$1016:$A$1038=$A1074) * ($B$1016:$B$1038=$B1074) * (J$1016:J$1038),0))</f>
        <v>0</v>
      </c>
      <c r="K1074" s="71">
        <f t="array" ref="K1074">SUM(($A$743:$A$750=$A1074)*($B$743:$B$750=$B1074)*(K$743:K$750)) + SUM(IFERROR(($A$933:$A$1010=$A1074)*($B$933:$B$1010=$B1074)*(K$933:K$1010),0)) + SUM(($A$768:$A$845=$A1074)*($B$768:$B$845= $B1074)*(K$768:K$845)) + SUM(IFERROR(($A$1016:$A$1038=$A1074) * ($B$1016:$B$1038=$B1074) * (K$1016:K$1038),0))</f>
        <v>0</v>
      </c>
      <c r="L1074" s="71">
        <f t="array" ref="L1074">SUM(($A$743:$A$750=$A1074)*($B$743:$B$750=$B1074)*(L$743:L$750)) + SUM(IFERROR(($A$933:$A$1010=$A1074)*($B$933:$B$1010=$B1074)*(L$933:L$1010),0)) + SUM(($A$768:$A$845=$A1074)*($B$768:$B$845= $B1074)*(L$768:L$845)) + SUM(IFERROR(($A$1016:$A$1038=$A1074) * ($B$1016:$B$1038=$B1074) * (L$1016:L$1038),0))</f>
        <v>0</v>
      </c>
      <c r="M1074" s="71">
        <f t="array" ref="M1074">SUM(($A$743:$A$750=$A1074)*($B$743:$B$750=$B1074)*(M$743:M$750)) + SUM(IFERROR(($A$933:$A$1010=$A1074)*($B$933:$B$1010=$B1074)*(M$933:M$1010),0)) + SUM(($A$768:$A$845=$A1074)*($B$768:$B$845= $B1074)*(M$768:M$845)) + SUM(IFERROR(($A$1016:$A$1038=$A1074) * ($B$1016:$B$1038=$B1074) * (M$1016:M$1038),0))</f>
        <v>0</v>
      </c>
      <c r="N1074" s="71">
        <f t="array" ref="N1074">SUM(($A$743:$A$750=$A1074)*($B$743:$B$750=$B1074)*(N$743:N$750)) + SUM(IFERROR(($A$933:$A$1010=$A1074)*($B$933:$B$1010=$B1074)*(N$933:N$1010),0)) + SUM(($A$768:$A$845=$A1074)*($B$768:$B$845= $B1074)*(N$768:N$845)) + SUM(IFERROR(($A$1016:$A$1038=$A1074) * ($B$1016:$B$1038=$B1074) * (N$1016:N$1038),0))</f>
        <v>0</v>
      </c>
      <c r="O1074" s="71">
        <f t="array" ref="O1074">SUM(($A$743:$A$750=$A1074)*($B$743:$B$750=$B1074)*(O$743:O$750)) + SUM(IFERROR(($A$933:$A$1010=$A1074)*($B$933:$B$1010=$B1074)*(O$933:O$1010),0)) + SUM(($A$768:$A$845=$A1074)*($B$768:$B$845= $B1074)*(O$768:O$845)) + SUM(IFERROR(($A$1016:$A$1038=$A1074) * ($B$1016:$B$1038=$B1074) * (O$1016:O$1038),0))</f>
        <v>0</v>
      </c>
    </row>
    <row r="1075" spans="1:15" s="19" customFormat="1">
      <c r="A1075" s="1438" t="str">
        <f>INDEX($C$20:$C$27,MATCH($C1074,$D$20:$D$27,0))</f>
        <v>NM</v>
      </c>
      <c r="B1075" s="347" t="s">
        <v>33</v>
      </c>
      <c r="C1075" s="19" t="str">
        <f>INDEX(Vectors[Description], MATCH($B1075, Vectors[Code], 0))</f>
        <v>Electricity (delivered to end user)</v>
      </c>
      <c r="D1075" s="644"/>
      <c r="E1075" s="164"/>
      <c r="F1075" s="71">
        <f t="array" ref="F1075">SUM(($A$743:$A$750=$A1075)*($B$743:$B$750=$B1075)*(F$743:F$750)) + SUM(IFERROR(($A$933:$A$1010=$A1075)*($B$933:$B$1010=$B1075)*(F$933:F$1010),0)) + SUM(($A$768:$A$845=$A1075)*($B$768:$B$845= $B1075)*(F$768:F$845)) + SUM(IFERROR(($A$1016:$A$1038=$A1075) * ($B$1016:$B$1038=$B1075) * (F$1016:F$1038),0))</f>
        <v>24.031958400000008</v>
      </c>
      <c r="G1075" s="71">
        <f t="array" ref="G1075">SUM(($A$743:$A$750=$A1075)*($B$743:$B$750=$B1075)*(G$743:G$750)) + SUM(IFERROR(($A$933:$A$1010=$A1075)*($B$933:$B$1010=$B1075)*(G$933:G$1010),0)) + SUM(($A$768:$A$845=$A1075)*($B$768:$B$845= $B1075)*(G$768:G$845)) + SUM(IFERROR(($A$1016:$A$1038=$A1075) * ($B$1016:$B$1038=$B1075) * (G$1016:G$1038),0))</f>
        <v>28.310892980330038</v>
      </c>
      <c r="H1075" s="71">
        <f t="array" ref="H1075">SUM(($A$743:$A$750=$A1075)*($B$743:$B$750=$B1075)*(H$743:H$750)) + SUM(IFERROR(($A$933:$A$1010=$A1075)*($B$933:$B$1010=$B1075)*(H$933:H$1010),0)) + SUM(($A$768:$A$845=$A1075)*($B$768:$B$845= $B1075)*(H$768:H$845)) + SUM(IFERROR(($A$1016:$A$1038=$A1075) * ($B$1016:$B$1038=$B1075) * (H$1016:H$1038),0))</f>
        <v>34.527640481795672</v>
      </c>
      <c r="I1075" s="71">
        <f t="array" ref="I1075">SUM(($A$743:$A$750=$A1075)*($B$743:$B$750=$B1075)*(I$743:I$750)) + SUM(IFERROR(($A$933:$A$1010=$A1075)*($B$933:$B$1010=$B1075)*(I$933:I$1010),0)) + SUM(($A$768:$A$845=$A1075)*($B$768:$B$845= $B1075)*(I$768:I$845)) + SUM(IFERROR(($A$1016:$A$1038=$A1075) * ($B$1016:$B$1038=$B1075) * (I$1016:I$1038),0))</f>
        <v>42.3849099587623</v>
      </c>
      <c r="J1075" s="71">
        <f t="array" ref="J1075">SUM(($A$743:$A$750=$A1075)*($B$743:$B$750=$B1075)*(J$743:J$750)) + SUM(IFERROR(($A$933:$A$1010=$A1075)*($B$933:$B$1010=$B1075)*(J$933:J$1010),0)) + SUM(($A$768:$A$845=$A1075)*($B$768:$B$845= $B1075)*(J$768:J$845)) + SUM(IFERROR(($A$1016:$A$1038=$A1075) * ($B$1016:$B$1038=$B1075) * (J$1016:J$1038),0))</f>
        <v>52.275120055582768</v>
      </c>
      <c r="K1075" s="71">
        <f t="array" ref="K1075">SUM(($A$743:$A$750=$A1075)*($B$743:$B$750=$B1075)*(K$743:K$750)) + SUM(IFERROR(($A$933:$A$1010=$A1075)*($B$933:$B$1010=$B1075)*(K$933:K$1010),0)) + SUM(($A$768:$A$845=$A1075)*($B$768:$B$845= $B1075)*(K$768:K$845)) + SUM(IFERROR(($A$1016:$A$1038=$A1075) * ($B$1016:$B$1038=$B1075) * (K$1016:K$1038),0))</f>
        <v>64.993715926340172</v>
      </c>
      <c r="L1075" s="71">
        <f t="array" ref="L1075">SUM(($A$743:$A$750=$A1075)*($B$743:$B$750=$B1075)*(L$743:L$750)) + SUM(IFERROR(($A$933:$A$1010=$A1075)*($B$933:$B$1010=$B1075)*(L$933:L$1010),0)) + SUM(($A$768:$A$845=$A1075)*($B$768:$B$845= $B1075)*(L$768:L$845)) + SUM(IFERROR(($A$1016:$A$1038=$A1075) * ($B$1016:$B$1038=$B1075) * (L$1016:L$1038),0))</f>
        <v>82.126771446160944</v>
      </c>
      <c r="M1075" s="71">
        <f t="array" ref="M1075">SUM(($A$743:$A$750=$A1075)*($B$743:$B$750=$B1075)*(M$743:M$750)) + SUM(IFERROR(($A$933:$A$1010=$A1075)*($B$933:$B$1010=$B1075)*(M$933:M$1010),0)) + SUM(($A$768:$A$845=$A1075)*($B$768:$B$845= $B1075)*(M$768:M$845)) + SUM(IFERROR(($A$1016:$A$1038=$A1075) * ($B$1016:$B$1038=$B1075) * (M$1016:M$1038),0))</f>
        <v>101.72806727328368</v>
      </c>
      <c r="N1075" s="71">
        <f t="array" ref="N1075">SUM(($A$743:$A$750=$A1075)*($B$743:$B$750=$B1075)*(N$743:N$750)) + SUM(IFERROR(($A$933:$A$1010=$A1075)*($B$933:$B$1010=$B1075)*(N$933:N$1010),0)) + SUM(($A$768:$A$845=$A1075)*($B$768:$B$845= $B1075)*(N$768:N$845)) + SUM(IFERROR(($A$1016:$A$1038=$A1075) * ($B$1016:$B$1038=$B1075) * (N$1016:N$1038),0))</f>
        <v>122.71644266277673</v>
      </c>
      <c r="O1075" s="71">
        <f t="array" ref="O1075">SUM(($A$743:$A$750=$A1075)*($B$743:$B$750=$B1075)*(O$743:O$750)) + SUM(IFERROR(($A$933:$A$1010=$A1075)*($B$933:$B$1010=$B1075)*(O$933:O$1010),0)) + SUM(($A$768:$A$845=$A1075)*($B$768:$B$845= $B1075)*(O$768:O$845)) + SUM(IFERROR(($A$1016:$A$1038=$A1075) * ($B$1016:$B$1038=$B1075) * (O$1016:O$1038),0))</f>
        <v>145.80609599805402</v>
      </c>
    </row>
    <row r="1076" spans="1:15" s="19" customFormat="1">
      <c r="A1076" s="19" t="str">
        <f>A1075</f>
        <v>NM</v>
      </c>
      <c r="B1076" s="347" t="s">
        <v>35</v>
      </c>
      <c r="C1076" s="19" t="str">
        <f>INDEX(Vectors[Description], MATCH($B1076, Vectors[Code], 0))</f>
        <v>Solid hydrocarbons</v>
      </c>
      <c r="D1076" s="644"/>
      <c r="E1076" s="164"/>
      <c r="F1076" s="71">
        <f t="array" ref="F1076">SUM(($A$743:$A$750=$A1076)*($B$743:$B$750=$B1076)*(F$743:F$750)) + SUM(IFERROR(($A$933:$A$1010=$A1076)*($B$933:$B$1010=$B1076)*(F$933:F$1010),0)) + SUM(($A$768:$A$845=$A1076)*($B$768:$B$845= $B1076)*(F$768:F$845)) + SUM(IFERROR(($A$1016:$A$1038=$A1076) * ($B$1016:$B$1038=$B1076) * (F$1016:F$1038),0))</f>
        <v>53.999999999999993</v>
      </c>
      <c r="G1076" s="71">
        <f t="array" ref="G1076">SUM(($A$743:$A$750=$A1076)*($B$743:$B$750=$B1076)*(G$743:G$750)) + SUM(IFERROR(($A$933:$A$1010=$A1076)*($B$933:$B$1010=$B1076)*(G$933:G$1010),0)) + SUM(($A$768:$A$845=$A1076)*($B$768:$B$845= $B1076)*(G$768:G$845)) + SUM(IFERROR(($A$1016:$A$1038=$A1076) * ($B$1016:$B$1038=$B1076) * (G$1016:G$1038),0))</f>
        <v>63.608126187674387</v>
      </c>
      <c r="H1076" s="71">
        <f t="array" ref="H1076">SUM(($A$743:$A$750=$A1076)*($B$743:$B$750=$B1076)*(H$743:H$750)) + SUM(IFERROR(($A$933:$A$1010=$A1076)*($B$933:$B$1010=$B1076)*(H$933:H$1010),0)) + SUM(($A$768:$A$845=$A1076)*($B$768:$B$845= $B1076)*(H$768:H$845)) + SUM(IFERROR(($A$1016:$A$1038=$A1076) * ($B$1016:$B$1038=$B1076) * (H$1016:H$1038),0))</f>
        <v>79.39166689017118</v>
      </c>
      <c r="I1076" s="71">
        <f t="array" ref="I1076">SUM(($A$743:$A$750=$A1076)*($B$743:$B$750=$B1076)*(I$743:I$750)) + SUM(IFERROR(($A$933:$A$1010=$A1076)*($B$933:$B$1010=$B1076)*(I$933:I$1010),0)) + SUM(($A$768:$A$845=$A1076)*($B$768:$B$845= $B1076)*(I$768:I$845)) + SUM(IFERROR(($A$1016:$A$1038=$A1076) * ($B$1016:$B$1038=$B1076) * (I$1016:I$1038),0))</f>
        <v>95.175207592667974</v>
      </c>
      <c r="J1076" s="71">
        <f t="array" ref="J1076">SUM(($A$743:$A$750=$A1076)*($B$743:$B$750=$B1076)*(J$743:J$750)) + SUM(IFERROR(($A$933:$A$1010=$A1076)*($B$933:$B$1010=$B1076)*(J$933:J$1010),0)) + SUM(($A$768:$A$845=$A1076)*($B$768:$B$845= $B1076)*(J$768:J$845)) + SUM(IFERROR(($A$1016:$A$1038=$A1076) * ($B$1016:$B$1038=$B1076) * (J$1016:J$1038),0))</f>
        <v>120.48426931612553</v>
      </c>
      <c r="K1076" s="71">
        <f t="array" ref="K1076">SUM(($A$743:$A$750=$A1076)*($B$743:$B$750=$B1076)*(K$743:K$750)) + SUM(IFERROR(($A$933:$A$1010=$A1076)*($B$933:$B$1010=$B1076)*(K$933:K$1010),0)) + SUM(($A$768:$A$845=$A1076)*($B$768:$B$845= $B1076)*(K$768:K$845)) + SUM(IFERROR(($A$1016:$A$1038=$A1076) * ($B$1016:$B$1038=$B1076) * (K$1016:K$1038),0))</f>
        <v>145.79333103958311</v>
      </c>
      <c r="L1076" s="71">
        <f t="array" ref="L1076">SUM(($A$743:$A$750=$A1076)*($B$743:$B$750=$B1076)*(L$743:L$750)) + SUM(IFERROR(($A$933:$A$1010=$A1076)*($B$933:$B$1010=$B1076)*(L$933:L$1010),0)) + SUM(($A$768:$A$845=$A1076)*($B$768:$B$845= $B1076)*(L$768:L$845)) + SUM(IFERROR(($A$1016:$A$1038=$A1076) * ($B$1016:$B$1038=$B1076) * (L$1016:L$1038),0))</f>
        <v>186.89627741365311</v>
      </c>
      <c r="M1076" s="71">
        <f t="array" ref="M1076">SUM(($A$743:$A$750=$A1076)*($B$743:$B$750=$B1076)*(M$743:M$750)) + SUM(IFERROR(($A$933:$A$1010=$A1076)*($B$933:$B$1010=$B1076)*(M$933:M$1010),0)) + SUM(($A$768:$A$845=$A1076)*($B$768:$B$845= $B1076)*(M$768:M$845)) + SUM(IFERROR(($A$1016:$A$1038=$A1076) * ($B$1016:$B$1038=$B1076) * (M$1016:M$1038),0))</f>
        <v>227.99922378772311</v>
      </c>
      <c r="N1076" s="71">
        <f t="array" ref="N1076">SUM(($A$743:$A$750=$A1076)*($B$743:$B$750=$B1076)*(N$743:N$750)) + SUM(IFERROR(($A$933:$A$1010=$A1076)*($B$933:$B$1010=$B1076)*(N$933:N$1010),0)) + SUM(($A$768:$A$845=$A1076)*($B$768:$B$845= $B1076)*(N$768:N$845)) + SUM(IFERROR(($A$1016:$A$1038=$A1076) * ($B$1016:$B$1038=$B1076) * (N$1016:N$1038),0))</f>
        <v>277.33476354293686</v>
      </c>
      <c r="O1076" s="71">
        <f t="array" ref="O1076">SUM(($A$743:$A$750=$A1076)*($B$743:$B$750=$B1076)*(O$743:O$750)) + SUM(IFERROR(($A$933:$A$1010=$A1076)*($B$933:$B$1010=$B1076)*(O$933:O$1010),0)) + SUM(($A$768:$A$845=$A1076)*($B$768:$B$845= $B1076)*(O$768:O$845)) + SUM(IFERROR(($A$1016:$A$1038=$A1076) * ($B$1016:$B$1038=$B1076) * (O$1016:O$1038),0))</f>
        <v>326.6703032981506</v>
      </c>
    </row>
    <row r="1077" spans="1:15" s="19" customFormat="1">
      <c r="A1077" s="19" t="str">
        <f>A1076</f>
        <v>NM</v>
      </c>
      <c r="B1077" s="347" t="s">
        <v>37</v>
      </c>
      <c r="C1077" s="19" t="str">
        <f>INDEX(Vectors[Description], MATCH($B1077, Vectors[Code], 0))</f>
        <v>Liquid hydrocarbons</v>
      </c>
      <c r="D1077" s="644"/>
      <c r="E1077" s="164"/>
      <c r="F1077" s="71">
        <f t="array" ref="F1077">SUM(($A$743:$A$750=$A1077)*($B$743:$B$750=$B1077)*(F$743:F$750)) + SUM(IFERROR(($A$933:$A$1010=$A1077)*($B$933:$B$1010=$B1077)*(F$933:F$1010),0)) + SUM(($A$768:$A$845=$A1077)*($B$768:$B$845= $B1077)*(F$768:F$845)) + SUM(IFERROR(($A$1016:$A$1038=$A1077) * ($B$1016:$B$1038=$B1077) * (F$1016:F$1038),0))</f>
        <v>0</v>
      </c>
      <c r="G1077" s="71">
        <f t="array" ref="G1077">SUM(($A$743:$A$750=$A1077)*($B$743:$B$750=$B1077)*(G$743:G$750)) + SUM(IFERROR(($A$933:$A$1010=$A1077)*($B$933:$B$1010=$B1077)*(G$933:G$1010),0)) + SUM(($A$768:$A$845=$A1077)*($B$768:$B$845= $B1077)*(G$768:G$845)) + SUM(IFERROR(($A$1016:$A$1038=$A1077) * ($B$1016:$B$1038=$B1077) * (G$1016:G$1038),0))</f>
        <v>0</v>
      </c>
      <c r="H1077" s="71">
        <f t="array" ref="H1077">SUM(($A$743:$A$750=$A1077)*($B$743:$B$750=$B1077)*(H$743:H$750)) + SUM(IFERROR(($A$933:$A$1010=$A1077)*($B$933:$B$1010=$B1077)*(H$933:H$1010),0)) + SUM(($A$768:$A$845=$A1077)*($B$768:$B$845= $B1077)*(H$768:H$845)) + SUM(IFERROR(($A$1016:$A$1038=$A1077) * ($B$1016:$B$1038=$B1077) * (H$1016:H$1038),0))</f>
        <v>0</v>
      </c>
      <c r="I1077" s="71">
        <f t="array" ref="I1077">SUM(($A$743:$A$750=$A1077)*($B$743:$B$750=$B1077)*(I$743:I$750)) + SUM(IFERROR(($A$933:$A$1010=$A1077)*($B$933:$B$1010=$B1077)*(I$933:I$1010),0)) + SUM(($A$768:$A$845=$A1077)*($B$768:$B$845= $B1077)*(I$768:I$845)) + SUM(IFERROR(($A$1016:$A$1038=$A1077) * ($B$1016:$B$1038=$B1077) * (I$1016:I$1038),0))</f>
        <v>0</v>
      </c>
      <c r="J1077" s="71">
        <f t="array" ref="J1077">SUM(($A$743:$A$750=$A1077)*($B$743:$B$750=$B1077)*(J$743:J$750)) + SUM(IFERROR(($A$933:$A$1010=$A1077)*($B$933:$B$1010=$B1077)*(J$933:J$1010),0)) + SUM(($A$768:$A$845=$A1077)*($B$768:$B$845= $B1077)*(J$768:J$845)) + SUM(IFERROR(($A$1016:$A$1038=$A1077) * ($B$1016:$B$1038=$B1077) * (J$1016:J$1038),0))</f>
        <v>0</v>
      </c>
      <c r="K1077" s="71">
        <f t="array" ref="K1077">SUM(($A$743:$A$750=$A1077)*($B$743:$B$750=$B1077)*(K$743:K$750)) + SUM(IFERROR(($A$933:$A$1010=$A1077)*($B$933:$B$1010=$B1077)*(K$933:K$1010),0)) + SUM(($A$768:$A$845=$A1077)*($B$768:$B$845= $B1077)*(K$768:K$845)) + SUM(IFERROR(($A$1016:$A$1038=$A1077) * ($B$1016:$B$1038=$B1077) * (K$1016:K$1038),0))</f>
        <v>0</v>
      </c>
      <c r="L1077" s="71">
        <f t="array" ref="L1077">SUM(($A$743:$A$750=$A1077)*($B$743:$B$750=$B1077)*(L$743:L$750)) + SUM(IFERROR(($A$933:$A$1010=$A1077)*($B$933:$B$1010=$B1077)*(L$933:L$1010),0)) + SUM(($A$768:$A$845=$A1077)*($B$768:$B$845= $B1077)*(L$768:L$845)) + SUM(IFERROR(($A$1016:$A$1038=$A1077) * ($B$1016:$B$1038=$B1077) * (L$1016:L$1038),0))</f>
        <v>0</v>
      </c>
      <c r="M1077" s="71">
        <f t="array" ref="M1077">SUM(($A$743:$A$750=$A1077)*($B$743:$B$750=$B1077)*(M$743:M$750)) + SUM(IFERROR(($A$933:$A$1010=$A1077)*($B$933:$B$1010=$B1077)*(M$933:M$1010),0)) + SUM(($A$768:$A$845=$A1077)*($B$768:$B$845= $B1077)*(M$768:M$845)) + SUM(IFERROR(($A$1016:$A$1038=$A1077) * ($B$1016:$B$1038=$B1077) * (M$1016:M$1038),0))</f>
        <v>0</v>
      </c>
      <c r="N1077" s="71">
        <f t="array" ref="N1077">SUM(($A$743:$A$750=$A1077)*($B$743:$B$750=$B1077)*(N$743:N$750)) + SUM(IFERROR(($A$933:$A$1010=$A1077)*($B$933:$B$1010=$B1077)*(N$933:N$1010),0)) + SUM(($A$768:$A$845=$A1077)*($B$768:$B$845= $B1077)*(N$768:N$845)) + SUM(IFERROR(($A$1016:$A$1038=$A1077) * ($B$1016:$B$1038=$B1077) * (N$1016:N$1038),0))</f>
        <v>0</v>
      </c>
      <c r="O1077" s="71">
        <f t="array" ref="O1077">SUM(($A$743:$A$750=$A1077)*($B$743:$B$750=$B1077)*(O$743:O$750)) + SUM(IFERROR(($A$933:$A$1010=$A1077)*($B$933:$B$1010=$B1077)*(O$933:O$1010),0)) + SUM(($A$768:$A$845=$A1077)*($B$768:$B$845= $B1077)*(O$768:O$845)) + SUM(IFERROR(($A$1016:$A$1038=$A1077) * ($B$1016:$B$1038=$B1077) * (O$1016:O$1038),0))</f>
        <v>0</v>
      </c>
    </row>
    <row r="1078" spans="1:15" s="19" customFormat="1">
      <c r="A1078" s="19" t="str">
        <f>A1077</f>
        <v>NM</v>
      </c>
      <c r="B1078" s="347" t="s">
        <v>38</v>
      </c>
      <c r="C1078" s="19" t="str">
        <f>INDEX(Vectors[Description], MATCH($B1078, Vectors[Code], 0))</f>
        <v>Gaseous hydrocarbons</v>
      </c>
      <c r="D1078" s="644"/>
      <c r="E1078" s="164"/>
      <c r="F1078" s="71">
        <f t="array" ref="F1078">SUM(($A$743:$A$750=$A1078)*($B$743:$B$750=$B1078)*(F$743:F$750)) + SUM(IFERROR(($A$933:$A$1010=$A1078)*($B$933:$B$1010=$B1078)*(F$933:F$1010),0)) + SUM(($A$768:$A$845=$A1078)*($B$768:$B$845= $B1078)*(F$768:F$845)) + SUM(IFERROR(($A$1016:$A$1038=$A1078) * ($B$1016:$B$1038=$B1078) * (F$1016:F$1038),0))</f>
        <v>7.8684999999999992</v>
      </c>
      <c r="G1078" s="71">
        <f t="array" ref="G1078">SUM(($A$743:$A$750=$A1078)*($B$743:$B$750=$B1078)*(G$743:G$750)) + SUM(IFERROR(($A$933:$A$1010=$A1078)*($B$933:$B$1010=$B1078)*(G$933:G$1010),0)) + SUM(($A$768:$A$845=$A1078)*($B$768:$B$845= $B1078)*(G$768:G$845)) + SUM(IFERROR(($A$1016:$A$1038=$A1078) * ($B$1016:$B$1038=$B1078) * (G$1016:G$1038),0))</f>
        <v>9.2685285353280733</v>
      </c>
      <c r="H1078" s="71">
        <f t="array" ref="H1078">SUM(($A$743:$A$750=$A1078)*($B$743:$B$750=$B1078)*(H$743:H$750)) + SUM(IFERROR(($A$933:$A$1010=$A1078)*($B$933:$B$1010=$B1078)*(H$933:H$1010),0)) + SUM(($A$768:$A$845=$A1078)*($B$768:$B$845= $B1078)*(H$768:H$845)) + SUM(IFERROR(($A$1016:$A$1038=$A1078) * ($B$1016:$B$1038=$B1078) * (H$1016:H$1038),0))</f>
        <v>11.568395017135407</v>
      </c>
      <c r="I1078" s="71">
        <f t="array" ref="I1078">SUM(($A$743:$A$750=$A1078)*($B$743:$B$750=$B1078)*(I$743:I$750)) + SUM(IFERROR(($A$933:$A$1010=$A1078)*($B$933:$B$1010=$B1078)*(I$933:I$1010),0)) + SUM(($A$768:$A$845=$A1078)*($B$768:$B$845= $B1078)*(I$768:I$845)) + SUM(IFERROR(($A$1016:$A$1038=$A1078) * ($B$1016:$B$1038=$B1078) * (I$1016:I$1038),0))</f>
        <v>13.86826149894274</v>
      </c>
      <c r="J1078" s="71">
        <f t="array" ref="J1078">SUM(($A$743:$A$750=$A1078)*($B$743:$B$750=$B1078)*(J$743:J$750)) + SUM(IFERROR(($A$933:$A$1010=$A1078)*($B$933:$B$1010=$B1078)*(J$933:J$1010),0)) + SUM(($A$768:$A$845=$A1078)*($B$768:$B$845= $B1078)*(J$768:J$845)) + SUM(IFERROR(($A$1016:$A$1038=$A1078) * ($B$1016:$B$1038=$B1078) * (J$1016:J$1038),0))</f>
        <v>17.556119872480256</v>
      </c>
      <c r="K1078" s="71">
        <f t="array" ref="K1078">SUM(($A$743:$A$750=$A1078)*($B$743:$B$750=$B1078)*(K$743:K$750)) + SUM(IFERROR(($A$933:$A$1010=$A1078)*($B$933:$B$1010=$B1078)*(K$933:K$1010),0)) + SUM(($A$768:$A$845=$A1078)*($B$768:$B$845= $B1078)*(K$768:K$845)) + SUM(IFERROR(($A$1016:$A$1038=$A1078) * ($B$1016:$B$1038=$B1078) * (K$1016:K$1038),0))</f>
        <v>21.243978246017772</v>
      </c>
      <c r="L1078" s="71">
        <f t="array" ref="L1078">SUM(($A$743:$A$750=$A1078)*($B$743:$B$750=$B1078)*(L$743:L$750)) + SUM(IFERROR(($A$933:$A$1010=$A1078)*($B$933:$B$1010=$B1078)*(L$933:L$1010),0)) + SUM(($A$768:$A$845=$A1078)*($B$768:$B$845= $B1078)*(L$768:L$845)) + SUM(IFERROR(($A$1016:$A$1038=$A1078) * ($B$1016:$B$1038=$B1078) * (L$1016:L$1038),0))</f>
        <v>27.233210348691287</v>
      </c>
      <c r="M1078" s="71">
        <f t="array" ref="M1078">SUM(($A$743:$A$750=$A1078)*($B$743:$B$750=$B1078)*(M$743:M$750)) + SUM(IFERROR(($A$933:$A$1010=$A1078)*($B$933:$B$1010=$B1078)*(M$933:M$1010),0)) + SUM(($A$768:$A$845=$A1078)*($B$768:$B$845= $B1078)*(M$768:M$845)) + SUM(IFERROR(($A$1016:$A$1038=$A1078) * ($B$1016:$B$1038=$B1078) * (M$1016:M$1038),0))</f>
        <v>33.222442451364806</v>
      </c>
      <c r="N1078" s="71">
        <f t="array" ref="N1078">SUM(($A$743:$A$750=$A1078)*($B$743:$B$750=$B1078)*(N$743:N$750)) + SUM(IFERROR(($A$933:$A$1010=$A1078)*($B$933:$B$1010=$B1078)*(N$933:N$1010),0)) + SUM(($A$768:$A$845=$A1078)*($B$768:$B$845= $B1078)*(N$768:N$845)) + SUM(IFERROR(($A$1016:$A$1038=$A1078) * ($B$1016:$B$1038=$B1078) * (N$1016:N$1038),0))</f>
        <v>40.411270128474058</v>
      </c>
      <c r="O1078" s="71">
        <f t="array" ref="O1078">SUM(($A$743:$A$750=$A1078)*($B$743:$B$750=$B1078)*(O$743:O$750)) + SUM(IFERROR(($A$933:$A$1010=$A1078)*($B$933:$B$1010=$B1078)*(O$933:O$1010),0)) + SUM(($A$768:$A$845=$A1078)*($B$768:$B$845= $B1078)*(O$768:O$845)) + SUM(IFERROR(($A$1016:$A$1038=$A1078) * ($B$1016:$B$1038=$B1078) * (O$1016:O$1038),0))</f>
        <v>47.600097805583303</v>
      </c>
    </row>
    <row r="1079" spans="1:15" s="19" customFormat="1">
      <c r="A1079" s="19" t="str">
        <f>A1078</f>
        <v>NM</v>
      </c>
      <c r="B1079" s="347" t="s">
        <v>251</v>
      </c>
      <c r="C1079" s="19" t="str">
        <f>INDEX(Vectors[Description], MATCH($B1079, Vectors[Code], 0))</f>
        <v>Dry biomass and waste</v>
      </c>
      <c r="D1079" s="644"/>
      <c r="E1079" s="164"/>
      <c r="F1079" s="71">
        <f t="array" ref="F1079">SUM(($A$743:$A$750=$A1079)*($B$743:$B$750=$B1079)*(F$743:F$750)) + SUM(IFERROR(($A$933:$A$1010=$A1079)*($B$933:$B$1010=$B1079)*(F$933:F$1010),0)) + SUM(($A$768:$A$845=$A1079)*($B$768:$B$845= $B1079)*(F$768:F$845)) + SUM(IFERROR(($A$1016:$A$1038=$A1079) * ($B$1016:$B$1038=$B1079) * (F$1016:F$1038),0))</f>
        <v>0</v>
      </c>
      <c r="G1079" s="71">
        <f t="array" ref="G1079">SUM(($A$743:$A$750=$A1079)*($B$743:$B$750=$B1079)*(G$743:G$750)) + SUM(IFERROR(($A$933:$A$1010=$A1079)*($B$933:$B$1010=$B1079)*(G$933:G$1010),0)) + SUM(($A$768:$A$845=$A1079)*($B$768:$B$845= $B1079)*(G$768:G$845)) + SUM(IFERROR(($A$1016:$A$1038=$A1079) * ($B$1016:$B$1038=$B1079) * (G$1016:G$1038),0))</f>
        <v>0</v>
      </c>
      <c r="H1079" s="71">
        <f t="array" ref="H1079">SUM(($A$743:$A$750=$A1079)*($B$743:$B$750=$B1079)*(H$743:H$750)) + SUM(IFERROR(($A$933:$A$1010=$A1079)*($B$933:$B$1010=$B1079)*(H$933:H$1010),0)) + SUM(($A$768:$A$845=$A1079)*($B$768:$B$845= $B1079)*(H$768:H$845)) + SUM(IFERROR(($A$1016:$A$1038=$A1079) * ($B$1016:$B$1038=$B1079) * (H$1016:H$1038),0))</f>
        <v>0</v>
      </c>
      <c r="I1079" s="71">
        <f t="array" ref="I1079">SUM(($A$743:$A$750=$A1079)*($B$743:$B$750=$B1079)*(I$743:I$750)) + SUM(IFERROR(($A$933:$A$1010=$A1079)*($B$933:$B$1010=$B1079)*(I$933:I$1010),0)) + SUM(($A$768:$A$845=$A1079)*($B$768:$B$845= $B1079)*(I$768:I$845)) + SUM(IFERROR(($A$1016:$A$1038=$A1079) * ($B$1016:$B$1038=$B1079) * (I$1016:I$1038),0))</f>
        <v>0</v>
      </c>
      <c r="J1079" s="71">
        <f t="array" ref="J1079">SUM(($A$743:$A$750=$A1079)*($B$743:$B$750=$B1079)*(J$743:J$750)) + SUM(IFERROR(($A$933:$A$1010=$A1079)*($B$933:$B$1010=$B1079)*(J$933:J$1010),0)) + SUM(($A$768:$A$845=$A1079)*($B$768:$B$845= $B1079)*(J$768:J$845)) + SUM(IFERROR(($A$1016:$A$1038=$A1079) * ($B$1016:$B$1038=$B1079) * (J$1016:J$1038),0))</f>
        <v>0</v>
      </c>
      <c r="K1079" s="71">
        <f t="array" ref="K1079">SUM(($A$743:$A$750=$A1079)*($B$743:$B$750=$B1079)*(K$743:K$750)) + SUM(IFERROR(($A$933:$A$1010=$A1079)*($B$933:$B$1010=$B1079)*(K$933:K$1010),0)) + SUM(($A$768:$A$845=$A1079)*($B$768:$B$845= $B1079)*(K$768:K$845)) + SUM(IFERROR(($A$1016:$A$1038=$A1079) * ($B$1016:$B$1038=$B1079) * (K$1016:K$1038),0))</f>
        <v>0</v>
      </c>
      <c r="L1079" s="71">
        <f t="array" ref="L1079">SUM(($A$743:$A$750=$A1079)*($B$743:$B$750=$B1079)*(L$743:L$750)) + SUM(IFERROR(($A$933:$A$1010=$A1079)*($B$933:$B$1010=$B1079)*(L$933:L$1010),0)) + SUM(($A$768:$A$845=$A1079)*($B$768:$B$845= $B1079)*(L$768:L$845)) + SUM(IFERROR(($A$1016:$A$1038=$A1079) * ($B$1016:$B$1038=$B1079) * (L$1016:L$1038),0))</f>
        <v>0</v>
      </c>
      <c r="M1079" s="71">
        <f t="array" ref="M1079">SUM(($A$743:$A$750=$A1079)*($B$743:$B$750=$B1079)*(M$743:M$750)) + SUM(IFERROR(($A$933:$A$1010=$A1079)*($B$933:$B$1010=$B1079)*(M$933:M$1010),0)) + SUM(($A$768:$A$845=$A1079)*($B$768:$B$845= $B1079)*(M$768:M$845)) + SUM(IFERROR(($A$1016:$A$1038=$A1079) * ($B$1016:$B$1038=$B1079) * (M$1016:M$1038),0))</f>
        <v>0</v>
      </c>
      <c r="N1079" s="71">
        <f t="array" ref="N1079">SUM(($A$743:$A$750=$A1079)*($B$743:$B$750=$B1079)*(N$743:N$750)) + SUM(IFERROR(($A$933:$A$1010=$A1079)*($B$933:$B$1010=$B1079)*(N$933:N$1010),0)) + SUM(($A$768:$A$845=$A1079)*($B$768:$B$845= $B1079)*(N$768:N$845)) + SUM(IFERROR(($A$1016:$A$1038=$A1079) * ($B$1016:$B$1038=$B1079) * (N$1016:N$1038),0))</f>
        <v>0</v>
      </c>
      <c r="O1079" s="71">
        <f t="array" ref="O1079">SUM(($A$743:$A$750=$A1079)*($B$743:$B$750=$B1079)*(O$743:O$750)) + SUM(IFERROR(($A$933:$A$1010=$A1079)*($B$933:$B$1010=$B1079)*(O$933:O$1010),0)) + SUM(($A$768:$A$845=$A1079)*($B$768:$B$845= $B1079)*(O$768:O$845)) + SUM(IFERROR(($A$1016:$A$1038=$A1079) * ($B$1016:$B$1038=$B1079) * (O$1016:O$1038),0))</f>
        <v>0</v>
      </c>
    </row>
    <row r="1080" spans="1:15" s="19" customFormat="1">
      <c r="A1080" s="19" t="str">
        <f>A1079</f>
        <v>NM</v>
      </c>
      <c r="B1080" s="347" t="s">
        <v>897</v>
      </c>
      <c r="C1080" s="19" t="str">
        <f>INDEX(Vectors[Description], MATCH($B1080, Vectors[Code], 0))</f>
        <v>Other Waste</v>
      </c>
      <c r="D1080" s="644"/>
      <c r="E1080" s="164"/>
      <c r="F1080" s="71">
        <f t="array" ref="F1080">SUM(($A$743:$A$750=$A1080)*($B$743:$B$750=$B1080)*(F$743:F$750)) + SUM(IFERROR(($A$933:$A$1010=$A1080)*($B$933:$B$1010=$B1080)*(F$933:F$1010),0)) + SUM(($A$768:$A$845=$A1080)*($B$768:$B$845= $B1080)*(F$768:F$845)) + SUM(IFERROR(($A$1016:$A$1038=$A1080) * ($B$1016:$B$1038=$B1080) * (F$1016:F$1038),0))</f>
        <v>0</v>
      </c>
      <c r="G1080" s="71">
        <f t="array" ref="G1080">SUM(($A$743:$A$750=$A1080)*($B$743:$B$750=$B1080)*(G$743:G$750)) + SUM(IFERROR(($A$933:$A$1010=$A1080)*($B$933:$B$1010=$B1080)*(G$933:G$1010),0)) + SUM(($A$768:$A$845=$A1080)*($B$768:$B$845= $B1080)*(G$768:G$845)) + SUM(IFERROR(($A$1016:$A$1038=$A1080) * ($B$1016:$B$1038=$B1080) * (G$1016:G$1038),0))</f>
        <v>0</v>
      </c>
      <c r="H1080" s="71">
        <f t="array" ref="H1080">SUM(($A$743:$A$750=$A1080)*($B$743:$B$750=$B1080)*(H$743:H$750)) + SUM(IFERROR(($A$933:$A$1010=$A1080)*($B$933:$B$1010=$B1080)*(H$933:H$1010),0)) + SUM(($A$768:$A$845=$A1080)*($B$768:$B$845= $B1080)*(H$768:H$845)) + SUM(IFERROR(($A$1016:$A$1038=$A1080) * ($B$1016:$B$1038=$B1080) * (H$1016:H$1038),0))</f>
        <v>0</v>
      </c>
      <c r="I1080" s="71">
        <f t="array" ref="I1080">SUM(($A$743:$A$750=$A1080)*($B$743:$B$750=$B1080)*(I$743:I$750)) + SUM(IFERROR(($A$933:$A$1010=$A1080)*($B$933:$B$1010=$B1080)*(I$933:I$1010),0)) + SUM(($A$768:$A$845=$A1080)*($B$768:$B$845= $B1080)*(I$768:I$845)) + SUM(IFERROR(($A$1016:$A$1038=$A1080) * ($B$1016:$B$1038=$B1080) * (I$1016:I$1038),0))</f>
        <v>0</v>
      </c>
      <c r="J1080" s="71">
        <f t="array" ref="J1080">SUM(($A$743:$A$750=$A1080)*($B$743:$B$750=$B1080)*(J$743:J$750)) + SUM(IFERROR(($A$933:$A$1010=$A1080)*($B$933:$B$1010=$B1080)*(J$933:J$1010),0)) + SUM(($A$768:$A$845=$A1080)*($B$768:$B$845= $B1080)*(J$768:J$845)) + SUM(IFERROR(($A$1016:$A$1038=$A1080) * ($B$1016:$B$1038=$B1080) * (J$1016:J$1038),0))</f>
        <v>0</v>
      </c>
      <c r="K1080" s="71">
        <f t="array" ref="K1080">SUM(($A$743:$A$750=$A1080)*($B$743:$B$750=$B1080)*(K$743:K$750)) + SUM(IFERROR(($A$933:$A$1010=$A1080)*($B$933:$B$1010=$B1080)*(K$933:K$1010),0)) + SUM(($A$768:$A$845=$A1080)*($B$768:$B$845= $B1080)*(K$768:K$845)) + SUM(IFERROR(($A$1016:$A$1038=$A1080) * ($B$1016:$B$1038=$B1080) * (K$1016:K$1038),0))</f>
        <v>0</v>
      </c>
      <c r="L1080" s="71">
        <f t="array" ref="L1080">SUM(($A$743:$A$750=$A1080)*($B$743:$B$750=$B1080)*(L$743:L$750)) + SUM(IFERROR(($A$933:$A$1010=$A1080)*($B$933:$B$1010=$B1080)*(L$933:L$1010),0)) + SUM(($A$768:$A$845=$A1080)*($B$768:$B$845= $B1080)*(L$768:L$845)) + SUM(IFERROR(($A$1016:$A$1038=$A1080) * ($B$1016:$B$1038=$B1080) * (L$1016:L$1038),0))</f>
        <v>0</v>
      </c>
      <c r="M1080" s="71">
        <f t="array" ref="M1080">SUM(($A$743:$A$750=$A1080)*($B$743:$B$750=$B1080)*(M$743:M$750)) + SUM(IFERROR(($A$933:$A$1010=$A1080)*($B$933:$B$1010=$B1080)*(M$933:M$1010),0)) + SUM(($A$768:$A$845=$A1080)*($B$768:$B$845= $B1080)*(M$768:M$845)) + SUM(IFERROR(($A$1016:$A$1038=$A1080) * ($B$1016:$B$1038=$B1080) * (M$1016:M$1038),0))</f>
        <v>0</v>
      </c>
      <c r="N1080" s="71">
        <f t="array" ref="N1080">SUM(($A$743:$A$750=$A1080)*($B$743:$B$750=$B1080)*(N$743:N$750)) + SUM(IFERROR(($A$933:$A$1010=$A1080)*($B$933:$B$1010=$B1080)*(N$933:N$1010),0)) + SUM(($A$768:$A$845=$A1080)*($B$768:$B$845= $B1080)*(N$768:N$845)) + SUM(IFERROR(($A$1016:$A$1038=$A1080) * ($B$1016:$B$1038=$B1080) * (N$1016:N$1038),0))</f>
        <v>0</v>
      </c>
      <c r="O1080" s="71">
        <f t="array" ref="O1080">SUM(($A$743:$A$750=$A1080)*($B$743:$B$750=$B1080)*(O$743:O$750)) + SUM(IFERROR(($A$933:$A$1010=$A1080)*($B$933:$B$1010=$B1080)*(O$933:O$1010),0)) + SUM(($A$768:$A$845=$A1080)*($B$768:$B$845= $B1080)*(O$768:O$845)) + SUM(IFERROR(($A$1016:$A$1038=$A1080) * ($B$1016:$B$1038=$B1080) * (O$1016:O$1038),0))</f>
        <v>0</v>
      </c>
    </row>
    <row r="1081" spans="1:15" s="19" customFormat="1">
      <c r="B1081" s="347"/>
      <c r="C1081" s="348"/>
      <c r="D1081" s="644"/>
      <c r="E1081" s="164"/>
      <c r="F1081" s="71">
        <f t="array" ref="F1081">SUM(($A$743:$A$750=$A1081)*($B$743:$B$750=$B1081)*(F$743:F$750)) + SUM(IFERROR(($A$933:$A$1010=$A1081)*($B$933:$B$1010=$B1081)*(F$933:F$1010),0)) + SUM(($A$768:$A$845=$A1081)*($B$768:$B$845= $B1081)*(F$768:F$845)) + SUM(IFERROR(($A$1016:$A$1038=$A1081) * ($B$1016:$B$1038=$B1081) * (F$1016:F$1038),0))</f>
        <v>0</v>
      </c>
      <c r="G1081" s="71">
        <f t="array" ref="G1081">SUM(($A$743:$A$750=$A1081)*($B$743:$B$750=$B1081)*(G$743:G$750)) + SUM(IFERROR(($A$933:$A$1010=$A1081)*($B$933:$B$1010=$B1081)*(G$933:G$1010),0)) + SUM(($A$768:$A$845=$A1081)*($B$768:$B$845= $B1081)*(G$768:G$845)) + SUM(IFERROR(($A$1016:$A$1038=$A1081) * ($B$1016:$B$1038=$B1081) * (G$1016:G$1038),0))</f>
        <v>0</v>
      </c>
      <c r="H1081" s="71">
        <f t="array" ref="H1081">SUM(($A$743:$A$750=$A1081)*($B$743:$B$750=$B1081)*(H$743:H$750)) + SUM(IFERROR(($A$933:$A$1010=$A1081)*($B$933:$B$1010=$B1081)*(H$933:H$1010),0)) + SUM(($A$768:$A$845=$A1081)*($B$768:$B$845= $B1081)*(H$768:H$845)) + SUM(IFERROR(($A$1016:$A$1038=$A1081) * ($B$1016:$B$1038=$B1081) * (H$1016:H$1038),0))</f>
        <v>0</v>
      </c>
      <c r="I1081" s="71">
        <f t="array" ref="I1081">SUM(($A$743:$A$750=$A1081)*($B$743:$B$750=$B1081)*(I$743:I$750)) + SUM(IFERROR(($A$933:$A$1010=$A1081)*($B$933:$B$1010=$B1081)*(I$933:I$1010),0)) + SUM(($A$768:$A$845=$A1081)*($B$768:$B$845= $B1081)*(I$768:I$845)) + SUM(IFERROR(($A$1016:$A$1038=$A1081) * ($B$1016:$B$1038=$B1081) * (I$1016:I$1038),0))</f>
        <v>0</v>
      </c>
      <c r="J1081" s="71">
        <f t="array" ref="J1081">SUM(($A$743:$A$750=$A1081)*($B$743:$B$750=$B1081)*(J$743:J$750)) + SUM(IFERROR(($A$933:$A$1010=$A1081)*($B$933:$B$1010=$B1081)*(J$933:J$1010),0)) + SUM(($A$768:$A$845=$A1081)*($B$768:$B$845= $B1081)*(J$768:J$845)) + SUM(IFERROR(($A$1016:$A$1038=$A1081) * ($B$1016:$B$1038=$B1081) * (J$1016:J$1038),0))</f>
        <v>0</v>
      </c>
      <c r="K1081" s="71">
        <f t="array" ref="K1081">SUM(($A$743:$A$750=$A1081)*($B$743:$B$750=$B1081)*(K$743:K$750)) + SUM(IFERROR(($A$933:$A$1010=$A1081)*($B$933:$B$1010=$B1081)*(K$933:K$1010),0)) + SUM(($A$768:$A$845=$A1081)*($B$768:$B$845= $B1081)*(K$768:K$845)) + SUM(IFERROR(($A$1016:$A$1038=$A1081) * ($B$1016:$B$1038=$B1081) * (K$1016:K$1038),0))</f>
        <v>0</v>
      </c>
      <c r="L1081" s="71">
        <f t="array" ref="L1081">SUM(($A$743:$A$750=$A1081)*($B$743:$B$750=$B1081)*(L$743:L$750)) + SUM(IFERROR(($A$933:$A$1010=$A1081)*($B$933:$B$1010=$B1081)*(L$933:L$1010),0)) + SUM(($A$768:$A$845=$A1081)*($B$768:$B$845= $B1081)*(L$768:L$845)) + SUM(IFERROR(($A$1016:$A$1038=$A1081) * ($B$1016:$B$1038=$B1081) * (L$1016:L$1038),0))</f>
        <v>0</v>
      </c>
      <c r="M1081" s="71">
        <f t="array" ref="M1081">SUM(($A$743:$A$750=$A1081)*($B$743:$B$750=$B1081)*(M$743:M$750)) + SUM(IFERROR(($A$933:$A$1010=$A1081)*($B$933:$B$1010=$B1081)*(M$933:M$1010),0)) + SUM(($A$768:$A$845=$A1081)*($B$768:$B$845= $B1081)*(M$768:M$845)) + SUM(IFERROR(($A$1016:$A$1038=$A1081) * ($B$1016:$B$1038=$B1081) * (M$1016:M$1038),0))</f>
        <v>0</v>
      </c>
      <c r="N1081" s="71">
        <f t="array" ref="N1081">SUM(($A$743:$A$750=$A1081)*($B$743:$B$750=$B1081)*(N$743:N$750)) + SUM(IFERROR(($A$933:$A$1010=$A1081)*($B$933:$B$1010=$B1081)*(N$933:N$1010),0)) + SUM(($A$768:$A$845=$A1081)*($B$768:$B$845= $B1081)*(N$768:N$845)) + SUM(IFERROR(($A$1016:$A$1038=$A1081) * ($B$1016:$B$1038=$B1081) * (N$1016:N$1038),0))</f>
        <v>0</v>
      </c>
      <c r="O1081" s="71">
        <f t="array" ref="O1081">SUM(($A$743:$A$750=$A1081)*($B$743:$B$750=$B1081)*(O$743:O$750)) + SUM(IFERROR(($A$933:$A$1010=$A1081)*($B$933:$B$1010=$B1081)*(O$933:O$1010),0)) + SUM(($A$768:$A$845=$A1081)*($B$768:$B$845= $B1081)*(O$768:O$845)) + SUM(IFERROR(($A$1016:$A$1038=$A1081) * ($B$1016:$B$1038=$B1081) * (O$1016:O$1038),0))</f>
        <v>0</v>
      </c>
    </row>
    <row r="1082" spans="1:15" s="19" customFormat="1">
      <c r="B1082" s="347"/>
      <c r="C1082" s="348" t="str">
        <f>D25</f>
        <v>Food, Beverage &amp; Tabacco  - 30</v>
      </c>
      <c r="D1082" s="644"/>
      <c r="F1082" s="71">
        <f t="array" ref="F1082">SUM(($A$743:$A$750=$A1082)*($B$743:$B$750=$B1082)*(F$743:F$750)) + SUM(IFERROR(($A$933:$A$1010=$A1082)*($B$933:$B$1010=$B1082)*(F$933:F$1010),0)) + SUM(($A$768:$A$845=$A1082)*($B$768:$B$845= $B1082)*(F$768:F$845)) + SUM(IFERROR(($A$1016:$A$1038=$A1082) * ($B$1016:$B$1038=$B1082) * (F$1016:F$1038),0))</f>
        <v>0</v>
      </c>
      <c r="G1082" s="71">
        <f t="array" ref="G1082">SUM(($A$743:$A$750=$A1082)*($B$743:$B$750=$B1082)*(G$743:G$750)) + SUM(IFERROR(($A$933:$A$1010=$A1082)*($B$933:$B$1010=$B1082)*(G$933:G$1010),0)) + SUM(($A$768:$A$845=$A1082)*($B$768:$B$845= $B1082)*(G$768:G$845)) + SUM(IFERROR(($A$1016:$A$1038=$A1082) * ($B$1016:$B$1038=$B1082) * (G$1016:G$1038),0))</f>
        <v>0</v>
      </c>
      <c r="H1082" s="71">
        <f t="array" ref="H1082">SUM(($A$743:$A$750=$A1082)*($B$743:$B$750=$B1082)*(H$743:H$750)) + SUM(IFERROR(($A$933:$A$1010=$A1082)*($B$933:$B$1010=$B1082)*(H$933:H$1010),0)) + SUM(($A$768:$A$845=$A1082)*($B$768:$B$845= $B1082)*(H$768:H$845)) + SUM(IFERROR(($A$1016:$A$1038=$A1082) * ($B$1016:$B$1038=$B1082) * (H$1016:H$1038),0))</f>
        <v>0</v>
      </c>
      <c r="I1082" s="71">
        <f t="array" ref="I1082">SUM(($A$743:$A$750=$A1082)*($B$743:$B$750=$B1082)*(I$743:I$750)) + SUM(IFERROR(($A$933:$A$1010=$A1082)*($B$933:$B$1010=$B1082)*(I$933:I$1010),0)) + SUM(($A$768:$A$845=$A1082)*($B$768:$B$845= $B1082)*(I$768:I$845)) + SUM(IFERROR(($A$1016:$A$1038=$A1082) * ($B$1016:$B$1038=$B1082) * (I$1016:I$1038),0))</f>
        <v>0</v>
      </c>
      <c r="J1082" s="71">
        <f t="array" ref="J1082">SUM(($A$743:$A$750=$A1082)*($B$743:$B$750=$B1082)*(J$743:J$750)) + SUM(IFERROR(($A$933:$A$1010=$A1082)*($B$933:$B$1010=$B1082)*(J$933:J$1010),0)) + SUM(($A$768:$A$845=$A1082)*($B$768:$B$845= $B1082)*(J$768:J$845)) + SUM(IFERROR(($A$1016:$A$1038=$A1082) * ($B$1016:$B$1038=$B1082) * (J$1016:J$1038),0))</f>
        <v>0</v>
      </c>
      <c r="K1082" s="71">
        <f t="array" ref="K1082">SUM(($A$743:$A$750=$A1082)*($B$743:$B$750=$B1082)*(K$743:K$750)) + SUM(IFERROR(($A$933:$A$1010=$A1082)*($B$933:$B$1010=$B1082)*(K$933:K$1010),0)) + SUM(($A$768:$A$845=$A1082)*($B$768:$B$845= $B1082)*(K$768:K$845)) + SUM(IFERROR(($A$1016:$A$1038=$A1082) * ($B$1016:$B$1038=$B1082) * (K$1016:K$1038),0))</f>
        <v>0</v>
      </c>
      <c r="L1082" s="71">
        <f t="array" ref="L1082">SUM(($A$743:$A$750=$A1082)*($B$743:$B$750=$B1082)*(L$743:L$750)) + SUM(IFERROR(($A$933:$A$1010=$A1082)*($B$933:$B$1010=$B1082)*(L$933:L$1010),0)) + SUM(($A$768:$A$845=$A1082)*($B$768:$B$845= $B1082)*(L$768:L$845)) + SUM(IFERROR(($A$1016:$A$1038=$A1082) * ($B$1016:$B$1038=$B1082) * (L$1016:L$1038),0))</f>
        <v>0</v>
      </c>
      <c r="M1082" s="71">
        <f t="array" ref="M1082">SUM(($A$743:$A$750=$A1082)*($B$743:$B$750=$B1082)*(M$743:M$750)) + SUM(IFERROR(($A$933:$A$1010=$A1082)*($B$933:$B$1010=$B1082)*(M$933:M$1010),0)) + SUM(($A$768:$A$845=$A1082)*($B$768:$B$845= $B1082)*(M$768:M$845)) + SUM(IFERROR(($A$1016:$A$1038=$A1082) * ($B$1016:$B$1038=$B1082) * (M$1016:M$1038),0))</f>
        <v>0</v>
      </c>
      <c r="N1082" s="71">
        <f t="array" ref="N1082">SUM(($A$743:$A$750=$A1082)*($B$743:$B$750=$B1082)*(N$743:N$750)) + SUM(IFERROR(($A$933:$A$1010=$A1082)*($B$933:$B$1010=$B1082)*(N$933:N$1010),0)) + SUM(($A$768:$A$845=$A1082)*($B$768:$B$845= $B1082)*(N$768:N$845)) + SUM(IFERROR(($A$1016:$A$1038=$A1082) * ($B$1016:$B$1038=$B1082) * (N$1016:N$1038),0))</f>
        <v>0</v>
      </c>
      <c r="O1082" s="71">
        <f t="array" ref="O1082">SUM(($A$743:$A$750=$A1082)*($B$743:$B$750=$B1082)*(O$743:O$750)) + SUM(IFERROR(($A$933:$A$1010=$A1082)*($B$933:$B$1010=$B1082)*(O$933:O$1010),0)) + SUM(($A$768:$A$845=$A1082)*($B$768:$B$845= $B1082)*(O$768:O$845)) + SUM(IFERROR(($A$1016:$A$1038=$A1082) * ($B$1016:$B$1038=$B1082) * (O$1016:O$1038),0))</f>
        <v>0</v>
      </c>
    </row>
    <row r="1083" spans="1:15" s="19" customFormat="1">
      <c r="A1083" s="1438" t="str">
        <f>INDEX($C$20:$C$27,MATCH($C1082,$D$20:$D$27,0))</f>
        <v>FB</v>
      </c>
      <c r="B1083" s="347" t="s">
        <v>33</v>
      </c>
      <c r="C1083" s="19" t="str">
        <f>INDEX(Vectors[Description], MATCH($B1083, Vectors[Code], 0))</f>
        <v>Electricity (delivered to end user)</v>
      </c>
      <c r="D1083" s="644"/>
      <c r="E1083" s="164"/>
      <c r="F1083" s="71">
        <f t="array" ref="F1083">SUM(($A$743:$A$750=$A1083)*($B$743:$B$750=$B1083)*(F$743:F$750)) + SUM(IFERROR(($A$933:$A$1010=$A1083)*($B$933:$B$1010=$B1083)*(F$933:F$1010),0)) + SUM(($A$768:$A$845=$A1083)*($B$768:$B$845= $B1083)*(F$768:F$845)) + SUM(IFERROR(($A$1016:$A$1038=$A1083) * ($B$1016:$B$1038=$B1083) * (F$1016:F$1038),0))</f>
        <v>13.501528903741967</v>
      </c>
      <c r="G1083" s="71">
        <f t="array" ref="G1083">SUM(($A$743:$A$750=$A1083)*($B$743:$B$750=$B1083)*(G$743:G$750)) + SUM(IFERROR(($A$933:$A$1010=$A1083)*($B$933:$B$1010=$B1083)*(G$933:G$1010),0)) + SUM(($A$768:$A$845=$A1083)*($B$768:$B$845= $B1083)*(G$768:G$845)) + SUM(IFERROR(($A$1016:$A$1038=$A1083) * ($B$1016:$B$1038=$B1083) * (G$1016:G$1038),0))</f>
        <v>15.758340488682189</v>
      </c>
      <c r="H1083" s="71">
        <f t="array" ref="H1083">SUM(($A$743:$A$750=$A1083)*($B$743:$B$750=$B1083)*(H$743:H$750)) + SUM(IFERROR(($A$933:$A$1010=$A1083)*($B$933:$B$1010=$B1083)*(H$933:H$1010),0)) + SUM(($A$768:$A$845=$A1083)*($B$768:$B$845= $B1083)*(H$768:H$845)) + SUM(IFERROR(($A$1016:$A$1038=$A1083) * ($B$1016:$B$1038=$B1083) * (H$1016:H$1038),0))</f>
        <v>19.490608011031025</v>
      </c>
      <c r="I1083" s="71">
        <f t="array" ref="I1083">SUM(($A$743:$A$750=$A1083)*($B$743:$B$750=$B1083)*(I$743:I$750)) + SUM(IFERROR(($A$933:$A$1010=$A1083)*($B$933:$B$1010=$B1083)*(I$933:I$1010),0)) + SUM(($A$768:$A$845=$A1083)*($B$768:$B$845= $B1083)*(I$768:I$845)) + SUM(IFERROR(($A$1016:$A$1038=$A1083) * ($B$1016:$B$1038=$B1083) * (I$1016:I$1038),0))</f>
        <v>24.144895883517862</v>
      </c>
      <c r="J1083" s="71">
        <f t="array" ref="J1083">SUM(($A$743:$A$750=$A1083)*($B$743:$B$750=$B1083)*(J$743:J$750)) + SUM(IFERROR(($A$933:$A$1010=$A1083)*($B$933:$B$1010=$B1083)*(J$933:J$1010),0)) + SUM(($A$768:$A$845=$A1083)*($B$768:$B$845= $B1083)*(J$768:J$845)) + SUM(IFERROR(($A$1016:$A$1038=$A1083) * ($B$1016:$B$1038=$B1083) * (J$1016:J$1038),0))</f>
        <v>29.635070632829105</v>
      </c>
      <c r="K1083" s="71">
        <f t="array" ref="K1083">SUM(($A$743:$A$750=$A1083)*($B$743:$B$750=$B1083)*(K$743:K$750)) + SUM(IFERROR(($A$933:$A$1010=$A1083)*($B$933:$B$1010=$B1083)*(K$933:K$1010),0)) + SUM(($A$768:$A$845=$A1083)*($B$768:$B$845= $B1083)*(K$768:K$845)) + SUM(IFERROR(($A$1016:$A$1038=$A1083) * ($B$1016:$B$1038=$B1083) * (K$1016:K$1038),0))</f>
        <v>36.522110260036555</v>
      </c>
      <c r="L1083" s="71">
        <f t="array" ref="L1083">SUM(($A$743:$A$750=$A1083)*($B$743:$B$750=$B1083)*(L$743:L$750)) + SUM(IFERROR(($A$933:$A$1010=$A1083)*($B$933:$B$1010=$B1083)*(L$933:L$1010),0)) + SUM(($A$768:$A$845=$A1083)*($B$768:$B$845= $B1083)*(L$768:L$845)) + SUM(IFERROR(($A$1016:$A$1038=$A1083) * ($B$1016:$B$1038=$B1083) * (L$1016:L$1038),0))</f>
        <v>45.160259049342486</v>
      </c>
      <c r="M1083" s="71">
        <f t="array" ref="M1083">SUM(($A$743:$A$750=$A1083)*($B$743:$B$750=$B1083)*(M$743:M$750)) + SUM(IFERROR(($A$933:$A$1010=$A1083)*($B$933:$B$1010=$B1083)*(M$933:M$1010),0)) + SUM(($A$768:$A$845=$A1083)*($B$768:$B$845= $B1083)*(M$768:M$845)) + SUM(IFERROR(($A$1016:$A$1038=$A1083) * ($B$1016:$B$1038=$B1083) * (M$1016:M$1038),0))</f>
        <v>54.744168054533439</v>
      </c>
      <c r="N1083" s="71">
        <f t="array" ref="N1083">SUM(($A$743:$A$750=$A1083)*($B$743:$B$750=$B1083)*(N$743:N$750)) + SUM(IFERROR(($A$933:$A$1010=$A1083)*($B$933:$B$1010=$B1083)*(N$933:N$1010),0)) + SUM(($A$768:$A$845=$A1083)*($B$768:$B$845= $B1083)*(N$768:N$845)) + SUM(IFERROR(($A$1016:$A$1038=$A1083) * ($B$1016:$B$1038=$B1083) * (N$1016:N$1038),0))</f>
        <v>64.765805204713303</v>
      </c>
      <c r="O1083" s="71">
        <f t="array" ref="O1083">SUM(($A$743:$A$750=$A1083)*($B$743:$B$750=$B1083)*(O$743:O$750)) + SUM(IFERROR(($A$933:$A$1010=$A1083)*($B$933:$B$1010=$B1083)*(O$933:O$1010),0)) + SUM(($A$768:$A$845=$A1083)*($B$768:$B$845= $B1083)*(O$768:O$845)) + SUM(IFERROR(($A$1016:$A$1038=$A1083) * ($B$1016:$B$1038=$B1083) * (O$1016:O$1038),0))</f>
        <v>75.838780344650075</v>
      </c>
    </row>
    <row r="1084" spans="1:15" s="19" customFormat="1">
      <c r="A1084" s="19" t="str">
        <f>A1083</f>
        <v>FB</v>
      </c>
      <c r="B1084" s="347" t="s">
        <v>35</v>
      </c>
      <c r="C1084" s="19" t="str">
        <f>INDEX(Vectors[Description], MATCH($B1084, Vectors[Code], 0))</f>
        <v>Solid hydrocarbons</v>
      </c>
      <c r="D1084" s="644"/>
      <c r="E1084" s="164"/>
      <c r="F1084" s="71">
        <f t="array" ref="F1084">SUM(($A$743:$A$750=$A1084)*($B$743:$B$750=$B1084)*(F$743:F$750)) + SUM(IFERROR(($A$933:$A$1010=$A1084)*($B$933:$B$1010=$B1084)*(F$933:F$1010),0)) + SUM(($A$768:$A$845=$A1084)*($B$768:$B$845= $B1084)*(F$768:F$845)) + SUM(IFERROR(($A$1016:$A$1038=$A1084) * ($B$1016:$B$1038=$B1084) * (F$1016:F$1038),0))</f>
        <v>25.682132519657547</v>
      </c>
      <c r="G1084" s="71">
        <f t="array" ref="G1084">SUM(($A$743:$A$750=$A1084)*($B$743:$B$750=$B1084)*(G$743:G$750)) + SUM(IFERROR(($A$933:$A$1010=$A1084)*($B$933:$B$1010=$B1084)*(G$933:G$1010),0)) + SUM(($A$768:$A$845=$A1084)*($B$768:$B$845= $B1084)*(G$768:G$845)) + SUM(IFERROR(($A$1016:$A$1038=$A1084) * ($B$1016:$B$1038=$B1084) * (G$1016:G$1038),0))</f>
        <v>30.543984785223429</v>
      </c>
      <c r="H1084" s="71">
        <f t="array" ref="H1084">SUM(($A$743:$A$750=$A1084)*($B$743:$B$750=$B1084)*(H$743:H$750)) + SUM(IFERROR(($A$933:$A$1010=$A1084)*($B$933:$B$1010=$B1084)*(H$933:H$1010),0)) + SUM(($A$768:$A$845=$A1084)*($B$768:$B$845= $B1084)*(H$768:H$845)) + SUM(IFERROR(($A$1016:$A$1038=$A1084) * ($B$1016:$B$1038=$B1084) * (H$1016:H$1038),0))</f>
        <v>39.567252635171492</v>
      </c>
      <c r="I1084" s="71">
        <f t="array" ref="I1084">SUM(($A$743:$A$750=$A1084)*($B$743:$B$750=$B1084)*(I$743:I$750)) + SUM(IFERROR(($A$933:$A$1010=$A1084)*($B$933:$B$1010=$B1084)*(I$933:I$1010),0)) + SUM(($A$768:$A$845=$A1084)*($B$768:$B$845= $B1084)*(I$768:I$845)) + SUM(IFERROR(($A$1016:$A$1038=$A1084) * ($B$1016:$B$1038=$B1084) * (I$1016:I$1038),0))</f>
        <v>48.590520485119555</v>
      </c>
      <c r="J1084" s="71">
        <f t="array" ref="J1084">SUM(($A$743:$A$750=$A1084)*($B$743:$B$750=$B1084)*(J$743:J$750)) + SUM(IFERROR(($A$933:$A$1010=$A1084)*($B$933:$B$1010=$B1084)*(J$933:J$1010),0)) + SUM(($A$768:$A$845=$A1084)*($B$768:$B$845= $B1084)*(J$768:J$845)) + SUM(IFERROR(($A$1016:$A$1038=$A1084) * ($B$1016:$B$1038=$B1084) * (J$1016:J$1038),0))</f>
        <v>61.87360476194133</v>
      </c>
      <c r="K1084" s="71">
        <f t="array" ref="K1084">SUM(($A$743:$A$750=$A1084)*($B$743:$B$750=$B1084)*(K$743:K$750)) + SUM(IFERROR(($A$933:$A$1010=$A1084)*($B$933:$B$1010=$B1084)*(K$933:K$1010),0)) + SUM(($A$768:$A$845=$A1084)*($B$768:$B$845= $B1084)*(K$768:K$845)) + SUM(IFERROR(($A$1016:$A$1038=$A1084) * ($B$1016:$B$1038=$B1084) * (K$1016:K$1038),0))</f>
        <v>75.156689038763105</v>
      </c>
      <c r="L1084" s="71">
        <f t="array" ref="L1084">SUM(($A$743:$A$750=$A1084)*($B$743:$B$750=$B1084)*(L$743:L$750)) + SUM(IFERROR(($A$933:$A$1010=$A1084)*($B$933:$B$1010=$B1084)*(L$933:L$1010),0)) + SUM(($A$768:$A$845=$A1084)*($B$768:$B$845= $B1084)*(L$768:L$845)) + SUM(IFERROR(($A$1016:$A$1038=$A1084) * ($B$1016:$B$1038=$B1084) * (L$1016:L$1038),0))</f>
        <v>94.688349265136395</v>
      </c>
      <c r="M1084" s="71">
        <f t="array" ref="M1084">SUM(($A$743:$A$750=$A1084)*($B$743:$B$750=$B1084)*(M$743:M$750)) + SUM(IFERROR(($A$933:$A$1010=$A1084)*($B$933:$B$1010=$B1084)*(M$933:M$1010),0)) + SUM(($A$768:$A$845=$A1084)*($B$768:$B$845= $B1084)*(M$768:M$845)) + SUM(IFERROR(($A$1016:$A$1038=$A1084) * ($B$1016:$B$1038=$B1084) * (M$1016:M$1038),0))</f>
        <v>114.22000949150969</v>
      </c>
      <c r="N1084" s="71">
        <f t="array" ref="N1084">SUM(($A$743:$A$750=$A1084)*($B$743:$B$750=$B1084)*(N$743:N$750)) + SUM(IFERROR(($A$933:$A$1010=$A1084)*($B$933:$B$1010=$B1084)*(N$933:N$1010),0)) + SUM(($A$768:$A$845=$A1084)*($B$768:$B$845= $B1084)*(N$768:N$845)) + SUM(IFERROR(($A$1016:$A$1038=$A1084) * ($B$1016:$B$1038=$B1084) * (N$1016:N$1038),0))</f>
        <v>136.83563374007591</v>
      </c>
      <c r="O1084" s="71">
        <f t="array" ref="O1084">SUM(($A$743:$A$750=$A1084)*($B$743:$B$750=$B1084)*(O$743:O$750)) + SUM(IFERROR(($A$933:$A$1010=$A1084)*($B$933:$B$1010=$B1084)*(O$933:O$1010),0)) + SUM(($A$768:$A$845=$A1084)*($B$768:$B$845= $B1084)*(O$768:O$845)) + SUM(IFERROR(($A$1016:$A$1038=$A1084) * ($B$1016:$B$1038=$B1084) * (O$1016:O$1038),0))</f>
        <v>159.45125798864211</v>
      </c>
    </row>
    <row r="1085" spans="1:15" s="19" customFormat="1">
      <c r="A1085" s="19" t="str">
        <f>A1084</f>
        <v>FB</v>
      </c>
      <c r="B1085" s="347" t="s">
        <v>37</v>
      </c>
      <c r="C1085" s="19" t="str">
        <f>INDEX(Vectors[Description], MATCH($B1085, Vectors[Code], 0))</f>
        <v>Liquid hydrocarbons</v>
      </c>
      <c r="D1085" s="644"/>
      <c r="E1085" s="164"/>
      <c r="F1085" s="71">
        <f t="array" ref="F1085">SUM(($A$743:$A$750=$A1085)*($B$743:$B$750=$B1085)*(F$743:F$750)) + SUM(IFERROR(($A$933:$A$1010=$A1085)*($B$933:$B$1010=$B1085)*(F$933:F$1010),0)) + SUM(($A$768:$A$845=$A1085)*($B$768:$B$845= $B1085)*(F$768:F$845)) + SUM(IFERROR(($A$1016:$A$1038=$A1085) * ($B$1016:$B$1038=$B1085) * (F$1016:F$1038),0))</f>
        <v>0</v>
      </c>
      <c r="G1085" s="71">
        <f t="array" ref="G1085">SUM(($A$743:$A$750=$A1085)*($B$743:$B$750=$B1085)*(G$743:G$750)) + SUM(IFERROR(($A$933:$A$1010=$A1085)*($B$933:$B$1010=$B1085)*(G$933:G$1010),0)) + SUM(($A$768:$A$845=$A1085)*($B$768:$B$845= $B1085)*(G$768:G$845)) + SUM(IFERROR(($A$1016:$A$1038=$A1085) * ($B$1016:$B$1038=$B1085) * (G$1016:G$1038),0))</f>
        <v>0</v>
      </c>
      <c r="H1085" s="71">
        <f t="array" ref="H1085">SUM(($A$743:$A$750=$A1085)*($B$743:$B$750=$B1085)*(H$743:H$750)) + SUM(IFERROR(($A$933:$A$1010=$A1085)*($B$933:$B$1010=$B1085)*(H$933:H$1010),0)) + SUM(($A$768:$A$845=$A1085)*($B$768:$B$845= $B1085)*(H$768:H$845)) + SUM(IFERROR(($A$1016:$A$1038=$A1085) * ($B$1016:$B$1038=$B1085) * (H$1016:H$1038),0))</f>
        <v>0</v>
      </c>
      <c r="I1085" s="71">
        <f t="array" ref="I1085">SUM(($A$743:$A$750=$A1085)*($B$743:$B$750=$B1085)*(I$743:I$750)) + SUM(IFERROR(($A$933:$A$1010=$A1085)*($B$933:$B$1010=$B1085)*(I$933:I$1010),0)) + SUM(($A$768:$A$845=$A1085)*($B$768:$B$845= $B1085)*(I$768:I$845)) + SUM(IFERROR(($A$1016:$A$1038=$A1085) * ($B$1016:$B$1038=$B1085) * (I$1016:I$1038),0))</f>
        <v>0</v>
      </c>
      <c r="J1085" s="71">
        <f t="array" ref="J1085">SUM(($A$743:$A$750=$A1085)*($B$743:$B$750=$B1085)*(J$743:J$750)) + SUM(IFERROR(($A$933:$A$1010=$A1085)*($B$933:$B$1010=$B1085)*(J$933:J$1010),0)) + SUM(($A$768:$A$845=$A1085)*($B$768:$B$845= $B1085)*(J$768:J$845)) + SUM(IFERROR(($A$1016:$A$1038=$A1085) * ($B$1016:$B$1038=$B1085) * (J$1016:J$1038),0))</f>
        <v>0</v>
      </c>
      <c r="K1085" s="71">
        <f t="array" ref="K1085">SUM(($A$743:$A$750=$A1085)*($B$743:$B$750=$B1085)*(K$743:K$750)) + SUM(IFERROR(($A$933:$A$1010=$A1085)*($B$933:$B$1010=$B1085)*(K$933:K$1010),0)) + SUM(($A$768:$A$845=$A1085)*($B$768:$B$845= $B1085)*(K$768:K$845)) + SUM(IFERROR(($A$1016:$A$1038=$A1085) * ($B$1016:$B$1038=$B1085) * (K$1016:K$1038),0))</f>
        <v>0</v>
      </c>
      <c r="L1085" s="71">
        <f t="array" ref="L1085">SUM(($A$743:$A$750=$A1085)*($B$743:$B$750=$B1085)*(L$743:L$750)) + SUM(IFERROR(($A$933:$A$1010=$A1085)*($B$933:$B$1010=$B1085)*(L$933:L$1010),0)) + SUM(($A$768:$A$845=$A1085)*($B$768:$B$845= $B1085)*(L$768:L$845)) + SUM(IFERROR(($A$1016:$A$1038=$A1085) * ($B$1016:$B$1038=$B1085) * (L$1016:L$1038),0))</f>
        <v>0</v>
      </c>
      <c r="M1085" s="71">
        <f t="array" ref="M1085">SUM(($A$743:$A$750=$A1085)*($B$743:$B$750=$B1085)*(M$743:M$750)) + SUM(IFERROR(($A$933:$A$1010=$A1085)*($B$933:$B$1010=$B1085)*(M$933:M$1010),0)) + SUM(($A$768:$A$845=$A1085)*($B$768:$B$845= $B1085)*(M$768:M$845)) + SUM(IFERROR(($A$1016:$A$1038=$A1085) * ($B$1016:$B$1038=$B1085) * (M$1016:M$1038),0))</f>
        <v>0</v>
      </c>
      <c r="N1085" s="71">
        <f t="array" ref="N1085">SUM(($A$743:$A$750=$A1085)*($B$743:$B$750=$B1085)*(N$743:N$750)) + SUM(IFERROR(($A$933:$A$1010=$A1085)*($B$933:$B$1010=$B1085)*(N$933:N$1010),0)) + SUM(($A$768:$A$845=$A1085)*($B$768:$B$845= $B1085)*(N$768:N$845)) + SUM(IFERROR(($A$1016:$A$1038=$A1085) * ($B$1016:$B$1038=$B1085) * (N$1016:N$1038),0))</f>
        <v>0</v>
      </c>
      <c r="O1085" s="71">
        <f t="array" ref="O1085">SUM(($A$743:$A$750=$A1085)*($B$743:$B$750=$B1085)*(O$743:O$750)) + SUM(IFERROR(($A$933:$A$1010=$A1085)*($B$933:$B$1010=$B1085)*(O$933:O$1010),0)) + SUM(($A$768:$A$845=$A1085)*($B$768:$B$845= $B1085)*(O$768:O$845)) + SUM(IFERROR(($A$1016:$A$1038=$A1085) * ($B$1016:$B$1038=$B1085) * (O$1016:O$1038),0))</f>
        <v>0</v>
      </c>
    </row>
    <row r="1086" spans="1:15" s="19" customFormat="1">
      <c r="A1086" s="19" t="str">
        <f>A1085</f>
        <v>FB</v>
      </c>
      <c r="B1086" s="347" t="s">
        <v>38</v>
      </c>
      <c r="C1086" s="19" t="str">
        <f>INDEX(Vectors[Description], MATCH($B1086, Vectors[Code], 0))</f>
        <v>Gaseous hydrocarbons</v>
      </c>
      <c r="D1086" s="644"/>
      <c r="E1086" s="164"/>
      <c r="F1086" s="71">
        <f t="array" ref="F1086">SUM(($A$743:$A$750=$A1086)*($B$743:$B$750=$B1086)*(F$743:F$750)) + SUM(IFERROR(($A$933:$A$1010=$A1086)*($B$933:$B$1010=$B1086)*(F$933:F$1010),0)) + SUM(($A$768:$A$845=$A1086)*($B$768:$B$845= $B1086)*(F$768:F$845)) + SUM(IFERROR(($A$1016:$A$1038=$A1086) * ($B$1016:$B$1038=$B1086) * (F$1016:F$1038),0))</f>
        <v>1.0208899534014109</v>
      </c>
      <c r="G1086" s="71">
        <f t="array" ref="G1086">SUM(($A$743:$A$750=$A1086)*($B$743:$B$750=$B1086)*(G$743:G$750)) + SUM(IFERROR(($A$933:$A$1010=$A1086)*($B$933:$B$1010=$B1086)*(G$933:G$1010),0)) + SUM(($A$768:$A$845=$A1086)*($B$768:$B$845= $B1086)*(G$768:G$845)) + SUM(IFERROR(($A$1016:$A$1038=$A1086) * ($B$1016:$B$1038=$B1086) * (G$1016:G$1038),0))</f>
        <v>1.2304748009111599</v>
      </c>
      <c r="H1086" s="71">
        <f t="array" ref="H1086">SUM(($A$743:$A$750=$A1086)*($B$743:$B$750=$B1086)*(H$743:H$750)) + SUM(IFERROR(($A$933:$A$1010=$A1086)*($B$933:$B$1010=$B1086)*(H$933:H$1010),0)) + SUM(($A$768:$A$845=$A1086)*($B$768:$B$845= $B1086)*(H$768:H$845)) + SUM(IFERROR(($A$1016:$A$1038=$A1086) * ($B$1016:$B$1038=$B1086) * (H$1016:H$1038),0))</f>
        <v>1.6194500541834582</v>
      </c>
      <c r="I1086" s="71">
        <f t="array" ref="I1086">SUM(($A$743:$A$750=$A1086)*($B$743:$B$750=$B1086)*(I$743:I$750)) + SUM(IFERROR(($A$933:$A$1010=$A1086)*($B$933:$B$1010=$B1086)*(I$933:I$1010),0)) + SUM(($A$768:$A$845=$A1086)*($B$768:$B$845= $B1086)*(I$768:I$845)) + SUM(IFERROR(($A$1016:$A$1038=$A1086) * ($B$1016:$B$1038=$B1086) * (I$1016:I$1038),0))</f>
        <v>2.0084253074557563</v>
      </c>
      <c r="J1086" s="71">
        <f t="array" ref="J1086">SUM(($A$743:$A$750=$A1086)*($B$743:$B$750=$B1086)*(J$743:J$750)) + SUM(IFERROR(($A$933:$A$1010=$A1086)*($B$933:$B$1010=$B1086)*(J$933:J$1010),0)) + SUM(($A$768:$A$845=$A1086)*($B$768:$B$845= $B1086)*(J$768:J$845)) + SUM(IFERROR(($A$1016:$A$1038=$A1086) * ($B$1016:$B$1038=$B1086) * (J$1016:J$1038),0))</f>
        <v>2.5810328324383791</v>
      </c>
      <c r="K1086" s="71">
        <f t="array" ref="K1086">SUM(($A$743:$A$750=$A1086)*($B$743:$B$750=$B1086)*(K$743:K$750)) + SUM(IFERROR(($A$933:$A$1010=$A1086)*($B$933:$B$1010=$B1086)*(K$933:K$1010),0)) + SUM(($A$768:$A$845=$A1086)*($B$768:$B$845= $B1086)*(K$768:K$845)) + SUM(IFERROR(($A$1016:$A$1038=$A1086) * ($B$1016:$B$1038=$B1086) * (K$1016:K$1038),0))</f>
        <v>3.1536403574210023</v>
      </c>
      <c r="L1086" s="71">
        <f t="array" ref="L1086">SUM(($A$743:$A$750=$A1086)*($B$743:$B$750=$B1086)*(L$743:L$750)) + SUM(IFERROR(($A$933:$A$1010=$A1086)*($B$933:$B$1010=$B1086)*(L$933:L$1010),0)) + SUM(($A$768:$A$845=$A1086)*($B$768:$B$845= $B1086)*(L$768:L$845)) + SUM(IFERROR(($A$1016:$A$1038=$A1086) * ($B$1016:$B$1038=$B1086) * (L$1016:L$1038),0))</f>
        <v>3.995611648722718</v>
      </c>
      <c r="M1086" s="71">
        <f t="array" ref="M1086">SUM(($A$743:$A$750=$A1086)*($B$743:$B$750=$B1086)*(M$743:M$750)) + SUM(IFERROR(($A$933:$A$1010=$A1086)*($B$933:$B$1010=$B1086)*(M$933:M$1010),0)) + SUM(($A$768:$A$845=$A1086)*($B$768:$B$845= $B1086)*(M$768:M$845)) + SUM(IFERROR(($A$1016:$A$1038=$A1086) * ($B$1016:$B$1038=$B1086) * (M$1016:M$1038),0))</f>
        <v>4.8375829400244337</v>
      </c>
      <c r="N1086" s="71">
        <f t="array" ref="N1086">SUM(($A$743:$A$750=$A1086)*($B$743:$B$750=$B1086)*(N$743:N$750)) + SUM(IFERROR(($A$933:$A$1010=$A1086)*($B$933:$B$1010=$B1086)*(N$933:N$1010),0)) + SUM(($A$768:$A$845=$A1086)*($B$768:$B$845= $B1086)*(N$768:N$845)) + SUM(IFERROR(($A$1016:$A$1038=$A1086) * ($B$1016:$B$1038=$B1086) * (N$1016:N$1038),0))</f>
        <v>5.8124978285421003</v>
      </c>
      <c r="O1086" s="71">
        <f t="array" ref="O1086">SUM(($A$743:$A$750=$A1086)*($B$743:$B$750=$B1086)*(O$743:O$750)) + SUM(IFERROR(($A$933:$A$1010=$A1086)*($B$933:$B$1010=$B1086)*(O$933:O$1010),0)) + SUM(($A$768:$A$845=$A1086)*($B$768:$B$845= $B1086)*(O$768:O$845)) + SUM(IFERROR(($A$1016:$A$1038=$A1086) * ($B$1016:$B$1038=$B1086) * (O$1016:O$1038),0))</f>
        <v>6.7874127170597669</v>
      </c>
    </row>
    <row r="1087" spans="1:15" s="19" customFormat="1">
      <c r="A1087" s="19" t="str">
        <f>A1086</f>
        <v>FB</v>
      </c>
      <c r="B1087" s="347" t="s">
        <v>251</v>
      </c>
      <c r="C1087" s="19" t="str">
        <f>INDEX(Vectors[Description], MATCH($B1087, Vectors[Code], 0))</f>
        <v>Dry biomass and waste</v>
      </c>
      <c r="D1087" s="644"/>
      <c r="E1087" s="164"/>
      <c r="F1087" s="71">
        <f t="array" ref="F1087">SUM(($A$743:$A$750=$A1087)*($B$743:$B$750=$B1087)*(F$743:F$750)) + SUM(IFERROR(($A$933:$A$1010=$A1087)*($B$933:$B$1010=$B1087)*(F$933:F$1010),0)) + SUM(($A$768:$A$845=$A1087)*($B$768:$B$845= $B1087)*(F$768:F$845)) + SUM(IFERROR(($A$1016:$A$1038=$A1087) * ($B$1016:$B$1038=$B1087) * (F$1016:F$1038),0))</f>
        <v>17.309300160388133</v>
      </c>
      <c r="G1087" s="71">
        <f t="array" ref="G1087">SUM(($A$743:$A$750=$A1087)*($B$743:$B$750=$B1087)*(G$743:G$750)) + SUM(IFERROR(($A$933:$A$1010=$A1087)*($B$933:$B$1010=$B1087)*(G$933:G$1010),0)) + SUM(($A$768:$A$845=$A1087)*($B$768:$B$845= $B1087)*(G$768:G$845)) + SUM(IFERROR(($A$1016:$A$1038=$A1087) * ($B$1016:$B$1038=$B1087) * (G$1016:G$1038),0))</f>
        <v>18.809871847291184</v>
      </c>
      <c r="H1087" s="71">
        <f t="array" ref="H1087">SUM(($A$743:$A$750=$A1087)*($B$743:$B$750=$B1087)*(H$743:H$750)) + SUM(IFERROR(($A$933:$A$1010=$A1087)*($B$933:$B$1010=$B1087)*(H$933:H$1010),0)) + SUM(($A$768:$A$845=$A1087)*($B$768:$B$845= $B1087)*(H$768:H$845)) + SUM(IFERROR(($A$1016:$A$1038=$A1087) * ($B$1016:$B$1038=$B1087) * (H$1016:H$1038),0))</f>
        <v>21.594831060238118</v>
      </c>
      <c r="I1087" s="71">
        <f t="array" ref="I1087">SUM(($A$743:$A$750=$A1087)*($B$743:$B$750=$B1087)*(I$743:I$750)) + SUM(IFERROR(($A$933:$A$1010=$A1087)*($B$933:$B$1010=$B1087)*(I$933:I$1010),0)) + SUM(($A$768:$A$845=$A1087)*($B$768:$B$845= $B1087)*(I$768:I$845)) + SUM(IFERROR(($A$1016:$A$1038=$A1087) * ($B$1016:$B$1038=$B1087) * (I$1016:I$1038),0))</f>
        <v>24.379790273185051</v>
      </c>
      <c r="J1087" s="71">
        <f t="array" ref="J1087">SUM(($A$743:$A$750=$A1087)*($B$743:$B$750=$B1087)*(J$743:J$750)) + SUM(IFERROR(($A$933:$A$1010=$A1087)*($B$933:$B$1010=$B1087)*(J$933:J$1010),0)) + SUM(($A$768:$A$845=$A1087)*($B$768:$B$845= $B1087)*(J$768:J$845)) + SUM(IFERROR(($A$1016:$A$1038=$A1087) * ($B$1016:$B$1038=$B1087) * (J$1016:J$1038),0))</f>
        <v>28.47950764257449</v>
      </c>
      <c r="K1087" s="71">
        <f t="array" ref="K1087">SUM(($A$743:$A$750=$A1087)*($B$743:$B$750=$B1087)*(K$743:K$750)) + SUM(IFERROR(($A$933:$A$1010=$A1087)*($B$933:$B$1010=$B1087)*(K$933:K$1010),0)) + SUM(($A$768:$A$845=$A1087)*($B$768:$B$845= $B1087)*(K$768:K$845)) + SUM(IFERROR(($A$1016:$A$1038=$A1087) * ($B$1016:$B$1038=$B1087) * (K$1016:K$1038),0))</f>
        <v>32.579225011963928</v>
      </c>
      <c r="L1087" s="71">
        <f t="array" ref="L1087">SUM(($A$743:$A$750=$A1087)*($B$743:$B$750=$B1087)*(L$743:L$750)) + SUM(IFERROR(($A$933:$A$1010=$A1087)*($B$933:$B$1010=$B1087)*(L$933:L$1010),0)) + SUM(($A$768:$A$845=$A1087)*($B$768:$B$845= $B1087)*(L$768:L$845)) + SUM(IFERROR(($A$1016:$A$1038=$A1087) * ($B$1016:$B$1038=$B1087) * (L$1016:L$1038),0))</f>
        <v>38.607515205289019</v>
      </c>
      <c r="M1087" s="71">
        <f t="array" ref="M1087">SUM(($A$743:$A$750=$A1087)*($B$743:$B$750=$B1087)*(M$743:M$750)) + SUM(IFERROR(($A$933:$A$1010=$A1087)*($B$933:$B$1010=$B1087)*(M$933:M$1010),0)) + SUM(($A$768:$A$845=$A1087)*($B$768:$B$845= $B1087)*(M$768:M$845)) + SUM(IFERROR(($A$1016:$A$1038=$A1087) * ($B$1016:$B$1038=$B1087) * (M$1016:M$1038),0))</f>
        <v>44.63580539861411</v>
      </c>
      <c r="N1087" s="71">
        <f t="array" ref="N1087">SUM(($A$743:$A$750=$A1087)*($B$743:$B$750=$B1087)*(N$743:N$750)) + SUM(IFERROR(($A$933:$A$1010=$A1087)*($B$933:$B$1010=$B1087)*(N$933:N$1010),0)) + SUM(($A$768:$A$845=$A1087)*($B$768:$B$845= $B1087)*(N$768:N$845)) + SUM(IFERROR(($A$1016:$A$1038=$A1087) * ($B$1016:$B$1038=$B1087) * (N$1016:N$1038),0))</f>
        <v>51.615936339529604</v>
      </c>
      <c r="O1087" s="71">
        <f t="array" ref="O1087">SUM(($A$743:$A$750=$A1087)*($B$743:$B$750=$B1087)*(O$743:O$750)) + SUM(IFERROR(($A$933:$A$1010=$A1087)*($B$933:$B$1010=$B1087)*(O$933:O$1010),0)) + SUM(($A$768:$A$845=$A1087)*($B$768:$B$845= $B1087)*(O$768:O$845)) + SUM(IFERROR(($A$1016:$A$1038=$A1087) * ($B$1016:$B$1038=$B1087) * (O$1016:O$1038),0))</f>
        <v>58.596067280445098</v>
      </c>
    </row>
    <row r="1088" spans="1:15" s="19" customFormat="1">
      <c r="A1088" s="19" t="str">
        <f>A1087</f>
        <v>FB</v>
      </c>
      <c r="B1088" s="347" t="s">
        <v>897</v>
      </c>
      <c r="C1088" s="19" t="str">
        <f>INDEX(Vectors[Description], MATCH($B1088, Vectors[Code], 0))</f>
        <v>Other Waste</v>
      </c>
      <c r="D1088" s="644"/>
      <c r="E1088" s="164"/>
      <c r="F1088" s="71">
        <f t="array" ref="F1088">SUM(($A$743:$A$750=$A1088)*($B$743:$B$750=$B1088)*(F$743:F$750)) + SUM(IFERROR(($A$933:$A$1010=$A1088)*($B$933:$B$1010=$B1088)*(F$933:F$1010),0)) + SUM(($A$768:$A$845=$A1088)*($B$768:$B$845= $B1088)*(F$768:F$845)) + SUM(IFERROR(($A$1016:$A$1038=$A1088) * ($B$1016:$B$1038=$B1088) * (F$1016:F$1038),0))</f>
        <v>0</v>
      </c>
      <c r="G1088" s="71">
        <f t="array" ref="G1088">SUM(($A$743:$A$750=$A1088)*($B$743:$B$750=$B1088)*(G$743:G$750)) + SUM(IFERROR(($A$933:$A$1010=$A1088)*($B$933:$B$1010=$B1088)*(G$933:G$1010),0)) + SUM(($A$768:$A$845=$A1088)*($B$768:$B$845= $B1088)*(G$768:G$845)) + SUM(IFERROR(($A$1016:$A$1038=$A1088) * ($B$1016:$B$1038=$B1088) * (G$1016:G$1038),0))</f>
        <v>0</v>
      </c>
      <c r="H1088" s="71">
        <f t="array" ref="H1088">SUM(($A$743:$A$750=$A1088)*($B$743:$B$750=$B1088)*(H$743:H$750)) + SUM(IFERROR(($A$933:$A$1010=$A1088)*($B$933:$B$1010=$B1088)*(H$933:H$1010),0)) + SUM(($A$768:$A$845=$A1088)*($B$768:$B$845= $B1088)*(H$768:H$845)) + SUM(IFERROR(($A$1016:$A$1038=$A1088) * ($B$1016:$B$1038=$B1088) * (H$1016:H$1038),0))</f>
        <v>0</v>
      </c>
      <c r="I1088" s="71">
        <f t="array" ref="I1088">SUM(($A$743:$A$750=$A1088)*($B$743:$B$750=$B1088)*(I$743:I$750)) + SUM(IFERROR(($A$933:$A$1010=$A1088)*($B$933:$B$1010=$B1088)*(I$933:I$1010),0)) + SUM(($A$768:$A$845=$A1088)*($B$768:$B$845= $B1088)*(I$768:I$845)) + SUM(IFERROR(($A$1016:$A$1038=$A1088) * ($B$1016:$B$1038=$B1088) * (I$1016:I$1038),0))</f>
        <v>0</v>
      </c>
      <c r="J1088" s="71">
        <f t="array" ref="J1088">SUM(($A$743:$A$750=$A1088)*($B$743:$B$750=$B1088)*(J$743:J$750)) + SUM(IFERROR(($A$933:$A$1010=$A1088)*($B$933:$B$1010=$B1088)*(J$933:J$1010),0)) + SUM(($A$768:$A$845=$A1088)*($B$768:$B$845= $B1088)*(J$768:J$845)) + SUM(IFERROR(($A$1016:$A$1038=$A1088) * ($B$1016:$B$1038=$B1088) * (J$1016:J$1038),0))</f>
        <v>0</v>
      </c>
      <c r="K1088" s="71">
        <f t="array" ref="K1088">SUM(($A$743:$A$750=$A1088)*($B$743:$B$750=$B1088)*(K$743:K$750)) + SUM(IFERROR(($A$933:$A$1010=$A1088)*($B$933:$B$1010=$B1088)*(K$933:K$1010),0)) + SUM(($A$768:$A$845=$A1088)*($B$768:$B$845= $B1088)*(K$768:K$845)) + SUM(IFERROR(($A$1016:$A$1038=$A1088) * ($B$1016:$B$1038=$B1088) * (K$1016:K$1038),0))</f>
        <v>0</v>
      </c>
      <c r="L1088" s="71">
        <f t="array" ref="L1088">SUM(($A$743:$A$750=$A1088)*($B$743:$B$750=$B1088)*(L$743:L$750)) + SUM(IFERROR(($A$933:$A$1010=$A1088)*($B$933:$B$1010=$B1088)*(L$933:L$1010),0)) + SUM(($A$768:$A$845=$A1088)*($B$768:$B$845= $B1088)*(L$768:L$845)) + SUM(IFERROR(($A$1016:$A$1038=$A1088) * ($B$1016:$B$1038=$B1088) * (L$1016:L$1038),0))</f>
        <v>0</v>
      </c>
      <c r="M1088" s="71">
        <f t="array" ref="M1088">SUM(($A$743:$A$750=$A1088)*($B$743:$B$750=$B1088)*(M$743:M$750)) + SUM(IFERROR(($A$933:$A$1010=$A1088)*($B$933:$B$1010=$B1088)*(M$933:M$1010),0)) + SUM(($A$768:$A$845=$A1088)*($B$768:$B$845= $B1088)*(M$768:M$845)) + SUM(IFERROR(($A$1016:$A$1038=$A1088) * ($B$1016:$B$1038=$B1088) * (M$1016:M$1038),0))</f>
        <v>0</v>
      </c>
      <c r="N1088" s="71">
        <f t="array" ref="N1088">SUM(($A$743:$A$750=$A1088)*($B$743:$B$750=$B1088)*(N$743:N$750)) + SUM(IFERROR(($A$933:$A$1010=$A1088)*($B$933:$B$1010=$B1088)*(N$933:N$1010),0)) + SUM(($A$768:$A$845=$A1088)*($B$768:$B$845= $B1088)*(N$768:N$845)) + SUM(IFERROR(($A$1016:$A$1038=$A1088) * ($B$1016:$B$1038=$B1088) * (N$1016:N$1038),0))</f>
        <v>0</v>
      </c>
      <c r="O1088" s="71">
        <f t="array" ref="O1088">SUM(($A$743:$A$750=$A1088)*($B$743:$B$750=$B1088)*(O$743:O$750)) + SUM(IFERROR(($A$933:$A$1010=$A1088)*($B$933:$B$1010=$B1088)*(O$933:O$1010),0)) + SUM(($A$768:$A$845=$A1088)*($B$768:$B$845= $B1088)*(O$768:O$845)) + SUM(IFERROR(($A$1016:$A$1038=$A1088) * ($B$1016:$B$1038=$B1088) * (O$1016:O$1038),0))</f>
        <v>0</v>
      </c>
    </row>
    <row r="1089" spans="1:15" s="19" customFormat="1">
      <c r="B1089" s="347"/>
      <c r="C1089" s="348"/>
      <c r="D1089" s="644"/>
      <c r="E1089" s="164"/>
      <c r="F1089" s="71">
        <f t="array" ref="F1089">SUM(($A$743:$A$750=$A1089)*($B$743:$B$750=$B1089)*(F$743:F$750)) + SUM(IFERROR(($A$933:$A$1010=$A1089)*($B$933:$B$1010=$B1089)*(F$933:F$1010),0)) + SUM(($A$768:$A$845=$A1089)*($B$768:$B$845= $B1089)*(F$768:F$845)) + SUM(IFERROR(($A$1016:$A$1038=$A1089) * ($B$1016:$B$1038=$B1089) * (F$1016:F$1038),0))</f>
        <v>0</v>
      </c>
      <c r="G1089" s="71">
        <f t="array" ref="G1089">SUM(($A$743:$A$750=$A1089)*($B$743:$B$750=$B1089)*(G$743:G$750)) + SUM(IFERROR(($A$933:$A$1010=$A1089)*($B$933:$B$1010=$B1089)*(G$933:G$1010),0)) + SUM(($A$768:$A$845=$A1089)*($B$768:$B$845= $B1089)*(G$768:G$845)) + SUM(IFERROR(($A$1016:$A$1038=$A1089) * ($B$1016:$B$1038=$B1089) * (G$1016:G$1038),0))</f>
        <v>0</v>
      </c>
      <c r="H1089" s="71">
        <f t="array" ref="H1089">SUM(($A$743:$A$750=$A1089)*($B$743:$B$750=$B1089)*(H$743:H$750)) + SUM(IFERROR(($A$933:$A$1010=$A1089)*($B$933:$B$1010=$B1089)*(H$933:H$1010),0)) + SUM(($A$768:$A$845=$A1089)*($B$768:$B$845= $B1089)*(H$768:H$845)) + SUM(IFERROR(($A$1016:$A$1038=$A1089) * ($B$1016:$B$1038=$B1089) * (H$1016:H$1038),0))</f>
        <v>0</v>
      </c>
      <c r="I1089" s="71">
        <f t="array" ref="I1089">SUM(($A$743:$A$750=$A1089)*($B$743:$B$750=$B1089)*(I$743:I$750)) + SUM(IFERROR(($A$933:$A$1010=$A1089)*($B$933:$B$1010=$B1089)*(I$933:I$1010),0)) + SUM(($A$768:$A$845=$A1089)*($B$768:$B$845= $B1089)*(I$768:I$845)) + SUM(IFERROR(($A$1016:$A$1038=$A1089) * ($B$1016:$B$1038=$B1089) * (I$1016:I$1038),0))</f>
        <v>0</v>
      </c>
      <c r="J1089" s="71">
        <f t="array" ref="J1089">SUM(($A$743:$A$750=$A1089)*($B$743:$B$750=$B1089)*(J$743:J$750)) + SUM(IFERROR(($A$933:$A$1010=$A1089)*($B$933:$B$1010=$B1089)*(J$933:J$1010),0)) + SUM(($A$768:$A$845=$A1089)*($B$768:$B$845= $B1089)*(J$768:J$845)) + SUM(IFERROR(($A$1016:$A$1038=$A1089) * ($B$1016:$B$1038=$B1089) * (J$1016:J$1038),0))</f>
        <v>0</v>
      </c>
      <c r="K1089" s="71">
        <f t="array" ref="K1089">SUM(($A$743:$A$750=$A1089)*($B$743:$B$750=$B1089)*(K$743:K$750)) + SUM(IFERROR(($A$933:$A$1010=$A1089)*($B$933:$B$1010=$B1089)*(K$933:K$1010),0)) + SUM(($A$768:$A$845=$A1089)*($B$768:$B$845= $B1089)*(K$768:K$845)) + SUM(IFERROR(($A$1016:$A$1038=$A1089) * ($B$1016:$B$1038=$B1089) * (K$1016:K$1038),0))</f>
        <v>0</v>
      </c>
      <c r="L1089" s="71">
        <f t="array" ref="L1089">SUM(($A$743:$A$750=$A1089)*($B$743:$B$750=$B1089)*(L$743:L$750)) + SUM(IFERROR(($A$933:$A$1010=$A1089)*($B$933:$B$1010=$B1089)*(L$933:L$1010),0)) + SUM(($A$768:$A$845=$A1089)*($B$768:$B$845= $B1089)*(L$768:L$845)) + SUM(IFERROR(($A$1016:$A$1038=$A1089) * ($B$1016:$B$1038=$B1089) * (L$1016:L$1038),0))</f>
        <v>0</v>
      </c>
      <c r="M1089" s="71">
        <f t="array" ref="M1089">SUM(($A$743:$A$750=$A1089)*($B$743:$B$750=$B1089)*(M$743:M$750)) + SUM(IFERROR(($A$933:$A$1010=$A1089)*($B$933:$B$1010=$B1089)*(M$933:M$1010),0)) + SUM(($A$768:$A$845=$A1089)*($B$768:$B$845= $B1089)*(M$768:M$845)) + SUM(IFERROR(($A$1016:$A$1038=$A1089) * ($B$1016:$B$1038=$B1089) * (M$1016:M$1038),0))</f>
        <v>0</v>
      </c>
      <c r="N1089" s="71">
        <f t="array" ref="N1089">SUM(($A$743:$A$750=$A1089)*($B$743:$B$750=$B1089)*(N$743:N$750)) + SUM(IFERROR(($A$933:$A$1010=$A1089)*($B$933:$B$1010=$B1089)*(N$933:N$1010),0)) + SUM(($A$768:$A$845=$A1089)*($B$768:$B$845= $B1089)*(N$768:N$845)) + SUM(IFERROR(($A$1016:$A$1038=$A1089) * ($B$1016:$B$1038=$B1089) * (N$1016:N$1038),0))</f>
        <v>0</v>
      </c>
      <c r="O1089" s="71">
        <f t="array" ref="O1089">SUM(($A$743:$A$750=$A1089)*($B$743:$B$750=$B1089)*(O$743:O$750)) + SUM(IFERROR(($A$933:$A$1010=$A1089)*($B$933:$B$1010=$B1089)*(O$933:O$1010),0)) + SUM(($A$768:$A$845=$A1089)*($B$768:$B$845= $B1089)*(O$768:O$845)) + SUM(IFERROR(($A$1016:$A$1038=$A1089) * ($B$1016:$B$1038=$B1089) * (O$1016:O$1038),0))</f>
        <v>0</v>
      </c>
    </row>
    <row r="1090" spans="1:15" s="19" customFormat="1">
      <c r="B1090" s="347"/>
      <c r="C1090" s="348" t="str">
        <f>D26</f>
        <v>Pulp &amp; Paper Products  -323</v>
      </c>
      <c r="D1090" s="644"/>
      <c r="F1090" s="71">
        <f t="array" ref="F1090">SUM(($A$743:$A$750=$A1090)*($B$743:$B$750=$B1090)*(F$743:F$750)) + SUM(IFERROR(($A$933:$A$1010=$A1090)*($B$933:$B$1010=$B1090)*(F$933:F$1010),0)) + SUM(($A$768:$A$845=$A1090)*($B$768:$B$845= $B1090)*(F$768:F$845)) + SUM(IFERROR(($A$1016:$A$1038=$A1090) * ($B$1016:$B$1038=$B1090) * (F$1016:F$1038),0))</f>
        <v>0</v>
      </c>
      <c r="G1090" s="71">
        <f t="array" ref="G1090">SUM(($A$743:$A$750=$A1090)*($B$743:$B$750=$B1090)*(G$743:G$750)) + SUM(IFERROR(($A$933:$A$1010=$A1090)*($B$933:$B$1010=$B1090)*(G$933:G$1010),0)) + SUM(($A$768:$A$845=$A1090)*($B$768:$B$845= $B1090)*(G$768:G$845)) + SUM(IFERROR(($A$1016:$A$1038=$A1090) * ($B$1016:$B$1038=$B1090) * (G$1016:G$1038),0))</f>
        <v>0</v>
      </c>
      <c r="H1090" s="71">
        <f t="array" ref="H1090">SUM(($A$743:$A$750=$A1090)*($B$743:$B$750=$B1090)*(H$743:H$750)) + SUM(IFERROR(($A$933:$A$1010=$A1090)*($B$933:$B$1010=$B1090)*(H$933:H$1010),0)) + SUM(($A$768:$A$845=$A1090)*($B$768:$B$845= $B1090)*(H$768:H$845)) + SUM(IFERROR(($A$1016:$A$1038=$A1090) * ($B$1016:$B$1038=$B1090) * (H$1016:H$1038),0))</f>
        <v>0</v>
      </c>
      <c r="I1090" s="71">
        <f t="array" ref="I1090">SUM(($A$743:$A$750=$A1090)*($B$743:$B$750=$B1090)*(I$743:I$750)) + SUM(IFERROR(($A$933:$A$1010=$A1090)*($B$933:$B$1010=$B1090)*(I$933:I$1010),0)) + SUM(($A$768:$A$845=$A1090)*($B$768:$B$845= $B1090)*(I$768:I$845)) + SUM(IFERROR(($A$1016:$A$1038=$A1090) * ($B$1016:$B$1038=$B1090) * (I$1016:I$1038),0))</f>
        <v>0</v>
      </c>
      <c r="J1090" s="71">
        <f t="array" ref="J1090">SUM(($A$743:$A$750=$A1090)*($B$743:$B$750=$B1090)*(J$743:J$750)) + SUM(IFERROR(($A$933:$A$1010=$A1090)*($B$933:$B$1010=$B1090)*(J$933:J$1010),0)) + SUM(($A$768:$A$845=$A1090)*($B$768:$B$845= $B1090)*(J$768:J$845)) + SUM(IFERROR(($A$1016:$A$1038=$A1090) * ($B$1016:$B$1038=$B1090) * (J$1016:J$1038),0))</f>
        <v>0</v>
      </c>
      <c r="K1090" s="71">
        <f t="array" ref="K1090">SUM(($A$743:$A$750=$A1090)*($B$743:$B$750=$B1090)*(K$743:K$750)) + SUM(IFERROR(($A$933:$A$1010=$A1090)*($B$933:$B$1010=$B1090)*(K$933:K$1010),0)) + SUM(($A$768:$A$845=$A1090)*($B$768:$B$845= $B1090)*(K$768:K$845)) + SUM(IFERROR(($A$1016:$A$1038=$A1090) * ($B$1016:$B$1038=$B1090) * (K$1016:K$1038),0))</f>
        <v>0</v>
      </c>
      <c r="L1090" s="71">
        <f t="array" ref="L1090">SUM(($A$743:$A$750=$A1090)*($B$743:$B$750=$B1090)*(L$743:L$750)) + SUM(IFERROR(($A$933:$A$1010=$A1090)*($B$933:$B$1010=$B1090)*(L$933:L$1010),0)) + SUM(($A$768:$A$845=$A1090)*($B$768:$B$845= $B1090)*(L$768:L$845)) + SUM(IFERROR(($A$1016:$A$1038=$A1090) * ($B$1016:$B$1038=$B1090) * (L$1016:L$1038),0))</f>
        <v>0</v>
      </c>
      <c r="M1090" s="71">
        <f t="array" ref="M1090">SUM(($A$743:$A$750=$A1090)*($B$743:$B$750=$B1090)*(M$743:M$750)) + SUM(IFERROR(($A$933:$A$1010=$A1090)*($B$933:$B$1010=$B1090)*(M$933:M$1010),0)) + SUM(($A$768:$A$845=$A1090)*($B$768:$B$845= $B1090)*(M$768:M$845)) + SUM(IFERROR(($A$1016:$A$1038=$A1090) * ($B$1016:$B$1038=$B1090) * (M$1016:M$1038),0))</f>
        <v>0</v>
      </c>
      <c r="N1090" s="71">
        <f t="array" ref="N1090">SUM(($A$743:$A$750=$A1090)*($B$743:$B$750=$B1090)*(N$743:N$750)) + SUM(IFERROR(($A$933:$A$1010=$A1090)*($B$933:$B$1010=$B1090)*(N$933:N$1010),0)) + SUM(($A$768:$A$845=$A1090)*($B$768:$B$845= $B1090)*(N$768:N$845)) + SUM(IFERROR(($A$1016:$A$1038=$A1090) * ($B$1016:$B$1038=$B1090) * (N$1016:N$1038),0))</f>
        <v>0</v>
      </c>
      <c r="O1090" s="71">
        <f t="array" ref="O1090">SUM(($A$743:$A$750=$A1090)*($B$743:$B$750=$B1090)*(O$743:O$750)) + SUM(IFERROR(($A$933:$A$1010=$A1090)*($B$933:$B$1010=$B1090)*(O$933:O$1010),0)) + SUM(($A$768:$A$845=$A1090)*($B$768:$B$845= $B1090)*(O$768:O$845)) + SUM(IFERROR(($A$1016:$A$1038=$A1090) * ($B$1016:$B$1038=$B1090) * (O$1016:O$1038),0))</f>
        <v>0</v>
      </c>
    </row>
    <row r="1091" spans="1:15" s="19" customFormat="1">
      <c r="A1091" s="1438" t="str">
        <f>INDEX($C$20:$C$27,MATCH($C1090,$D$20:$D$27,0))</f>
        <v>PP</v>
      </c>
      <c r="B1091" s="347" t="s">
        <v>33</v>
      </c>
      <c r="C1091" s="19" t="str">
        <f>INDEX(Vectors[Description], MATCH($B1091, Vectors[Code], 0))</f>
        <v>Electricity (delivered to end user)</v>
      </c>
      <c r="D1091" s="644"/>
      <c r="E1091" s="164"/>
      <c r="F1091" s="71">
        <f t="array" ref="F1091">SUM(($A$743:$A$750=$A1091)*($B$743:$B$750=$B1091)*(F$743:F$750)) + SUM(IFERROR(($A$933:$A$1010=$A1091)*($B$933:$B$1010=$B1091)*(F$933:F$1010),0)) + SUM(($A$768:$A$845=$A1091)*($B$768:$B$845= $B1091)*(F$768:F$845)) + SUM(IFERROR(($A$1016:$A$1038=$A1091) * ($B$1016:$B$1038=$B1091) * (F$1016:F$1038),0))</f>
        <v>30.040354726979007</v>
      </c>
      <c r="G1091" s="71">
        <f t="array" ref="G1091">SUM(($A$743:$A$750=$A1091)*($B$743:$B$750=$B1091)*(G$743:G$750)) + SUM(IFERROR(($A$933:$A$1010=$A1091)*($B$933:$B$1010=$B1091)*(G$933:G$1010),0)) + SUM(($A$768:$A$845=$A1091)*($B$768:$B$845= $B1091)*(G$768:G$845)) + SUM(IFERROR(($A$1016:$A$1038=$A1091) * ($B$1016:$B$1038=$B1091) * (G$1016:G$1038),0))</f>
        <v>36.148641675709712</v>
      </c>
      <c r="H1091" s="71">
        <f t="array" ref="H1091">SUM(($A$743:$A$750=$A1091)*($B$743:$B$750=$B1091)*(H$743:H$750)) + SUM(IFERROR(($A$933:$A$1010=$A1091)*($B$933:$B$1010=$B1091)*(H$933:H$1010),0)) + SUM(($A$768:$A$845=$A1091)*($B$768:$B$845= $B1091)*(H$768:H$845)) + SUM(IFERROR(($A$1016:$A$1038=$A1091) * ($B$1016:$B$1038=$B1091) * (H$1016:H$1038),0))</f>
        <v>44.105054923588831</v>
      </c>
      <c r="I1091" s="71">
        <f t="array" ref="I1091">SUM(($A$743:$A$750=$A1091)*($B$743:$B$750=$B1091)*(I$743:I$750)) + SUM(IFERROR(($A$933:$A$1010=$A1091)*($B$933:$B$1010=$B1091)*(I$933:I$1010),0)) + SUM(($A$768:$A$845=$A1091)*($B$768:$B$845= $B1091)*(I$768:I$845)) + SUM(IFERROR(($A$1016:$A$1038=$A1091) * ($B$1016:$B$1038=$B1091) * (I$1016:I$1038),0))</f>
        <v>53.927970477723193</v>
      </c>
      <c r="J1091" s="71">
        <f t="array" ref="J1091">SUM(($A$743:$A$750=$A1091)*($B$743:$B$750=$B1091)*(J$743:J$750)) + SUM(IFERROR(($A$933:$A$1010=$A1091)*($B$933:$B$1010=$B1091)*(J$933:J$1010),0)) + SUM(($A$768:$A$845=$A1091)*($B$768:$B$845= $B1091)*(J$768:J$845)) + SUM(IFERROR(($A$1016:$A$1038=$A1091) * ($B$1016:$B$1038=$B1091) * (J$1016:J$1038),0))</f>
        <v>65.665090934029962</v>
      </c>
      <c r="K1091" s="71">
        <f t="array" ref="K1091">SUM(($A$743:$A$750=$A1091)*($B$743:$B$750=$B1091)*(K$743:K$750)) + SUM(IFERROR(($A$933:$A$1010=$A1091)*($B$933:$B$1010=$B1091)*(K$933:K$1010),0)) + SUM(($A$768:$A$845=$A1091)*($B$768:$B$845= $B1091)*(K$768:K$845)) + SUM(IFERROR(($A$1016:$A$1038=$A1091) * ($B$1016:$B$1038=$B1091) * (K$1016:K$1038),0))</f>
        <v>80.427255386068978</v>
      </c>
      <c r="L1091" s="71">
        <f t="array" ref="L1091">SUM(($A$743:$A$750=$A1091)*($B$743:$B$750=$B1091)*(L$743:L$750)) + SUM(IFERROR(($A$933:$A$1010=$A1091)*($B$933:$B$1010=$B1091)*(L$933:L$1010),0)) + SUM(($A$768:$A$845=$A1091)*($B$768:$B$845= $B1091)*(L$768:L$845)) + SUM(IFERROR(($A$1016:$A$1038=$A1091) * ($B$1016:$B$1038=$B1091) * (L$1016:L$1038),0))</f>
        <v>100.39853962771103</v>
      </c>
      <c r="M1091" s="71">
        <f t="array" ref="M1091">SUM(($A$743:$A$750=$A1091)*($B$743:$B$750=$B1091)*(M$743:M$750)) + SUM(IFERROR(($A$933:$A$1010=$A1091)*($B$933:$B$1010=$B1091)*(M$933:M$1010),0)) + SUM(($A$768:$A$845=$A1091)*($B$768:$B$845= $B1091)*(M$768:M$845)) + SUM(IFERROR(($A$1016:$A$1038=$A1091) * ($B$1016:$B$1038=$B1091) * (M$1016:M$1038),0))</f>
        <v>122.61249412883525</v>
      </c>
      <c r="N1091" s="71">
        <f t="array" ref="N1091">SUM(($A$743:$A$750=$A1091)*($B$743:$B$750=$B1091)*(N$743:N$750)) + SUM(IFERROR(($A$933:$A$1010=$A1091)*($B$933:$B$1010=$B1091)*(N$933:N$1010),0)) + SUM(($A$768:$A$845=$A1091)*($B$768:$B$845= $B1091)*(N$768:N$845)) + SUM(IFERROR(($A$1016:$A$1038=$A1091) * ($B$1016:$B$1038=$B1091) * (N$1016:N$1038),0))</f>
        <v>145.82383955187316</v>
      </c>
      <c r="O1091" s="71">
        <f t="array" ref="O1091">SUM(($A$743:$A$750=$A1091)*($B$743:$B$750=$B1091)*(O$743:O$750)) + SUM(IFERROR(($A$933:$A$1010=$A1091)*($B$933:$B$1010=$B1091)*(O$933:O$1010),0)) + SUM(($A$768:$A$845=$A1091)*($B$768:$B$845= $B1091)*(O$768:O$845)) + SUM(IFERROR(($A$1016:$A$1038=$A1091) * ($B$1016:$B$1038=$B1091) * (O$1016:O$1038),0))</f>
        <v>170.07037249773663</v>
      </c>
    </row>
    <row r="1092" spans="1:15" s="19" customFormat="1">
      <c r="A1092" s="19" t="str">
        <f>A1091</f>
        <v>PP</v>
      </c>
      <c r="B1092" s="347" t="s">
        <v>35</v>
      </c>
      <c r="C1092" s="19" t="str">
        <f>INDEX(Vectors[Description], MATCH($B1092, Vectors[Code], 0))</f>
        <v>Solid hydrocarbons</v>
      </c>
      <c r="D1092" s="644"/>
      <c r="E1092" s="164"/>
      <c r="F1092" s="71">
        <f t="array" ref="F1092">SUM(($A$743:$A$750=$A1092)*($B$743:$B$750=$B1092)*(F$743:F$750)) + SUM(IFERROR(($A$933:$A$1010=$A1092)*($B$933:$B$1010=$B1092)*(F$933:F$1010),0)) + SUM(($A$768:$A$845=$A1092)*($B$768:$B$845= $B1092)*(F$768:F$845)) + SUM(IFERROR(($A$1016:$A$1038=$A1092) * ($B$1016:$B$1038=$B1092) * (F$1016:F$1038),0))</f>
        <v>48.455187343933616</v>
      </c>
      <c r="G1092" s="71">
        <f t="array" ref="G1092">SUM(($A$743:$A$750=$A1092)*($B$743:$B$750=$B1092)*(G$743:G$750)) + SUM(IFERROR(($A$933:$A$1010=$A1092)*($B$933:$B$1010=$B1092)*(G$933:G$1010),0)) + SUM(($A$768:$A$845=$A1092)*($B$768:$B$845= $B1092)*(G$768:G$845)) + SUM(IFERROR(($A$1016:$A$1038=$A1092) * ($B$1016:$B$1038=$B1092) * (G$1016:G$1038),0))</f>
        <v>59.035443137497325</v>
      </c>
      <c r="H1092" s="71">
        <f t="array" ref="H1092">SUM(($A$743:$A$750=$A1092)*($B$743:$B$750=$B1092)*(H$743:H$750)) + SUM(IFERROR(($A$933:$A$1010=$A1092)*($B$933:$B$1010=$B1092)*(H$933:H$1010),0)) + SUM(($A$768:$A$845=$A1092)*($B$768:$B$845= $B1092)*(H$768:H$845)) + SUM(IFERROR(($A$1016:$A$1038=$A1092) * ($B$1016:$B$1038=$B1092) * (H$1016:H$1038),0))</f>
        <v>74.435970494275708</v>
      </c>
      <c r="I1092" s="71">
        <f t="array" ref="I1092">SUM(($A$743:$A$750=$A1092)*($B$743:$B$750=$B1092)*(I$743:I$750)) + SUM(IFERROR(($A$933:$A$1010=$A1092)*($B$933:$B$1010=$B1092)*(I$933:I$1010),0)) + SUM(($A$768:$A$845=$A1092)*($B$768:$B$845= $B1092)*(I$768:I$845)) + SUM(IFERROR(($A$1016:$A$1038=$A1092) * ($B$1016:$B$1038=$B1092) * (I$1016:I$1038),0))</f>
        <v>89.836497851054091</v>
      </c>
      <c r="J1092" s="71">
        <f t="array" ref="J1092">SUM(($A$743:$A$750=$A1092)*($B$743:$B$750=$B1092)*(J$743:J$750)) + SUM(IFERROR(($A$933:$A$1010=$A1092)*($B$933:$B$1010=$B1092)*(J$933:J$1010),0)) + SUM(($A$768:$A$845=$A1092)*($B$768:$B$845= $B1092)*(J$768:J$845)) + SUM(IFERROR(($A$1016:$A$1038=$A1092) * ($B$1016:$B$1038=$B1092) * (J$1016:J$1038),0))</f>
        <v>112.77166500473129</v>
      </c>
      <c r="K1092" s="71">
        <f t="array" ref="K1092">SUM(($A$743:$A$750=$A1092)*($B$743:$B$750=$B1092)*(K$743:K$750)) + SUM(IFERROR(($A$933:$A$1010=$A1092)*($B$933:$B$1010=$B1092)*(K$933:K$1010),0)) + SUM(($A$768:$A$845=$A1092)*($B$768:$B$845= $B1092)*(K$768:K$845)) + SUM(IFERROR(($A$1016:$A$1038=$A1092) * ($B$1016:$B$1038=$B1092) * (K$1016:K$1038),0))</f>
        <v>135.70683215840847</v>
      </c>
      <c r="L1092" s="71">
        <f t="array" ref="L1092">SUM(($A$743:$A$750=$A1092)*($B$743:$B$750=$B1092)*(L$743:L$750)) + SUM(IFERROR(($A$933:$A$1010=$A1092)*($B$933:$B$1010=$B1092)*(L$933:L$1010),0)) + SUM(($A$768:$A$845=$A1092)*($B$768:$B$845= $B1092)*(L$768:L$845)) + SUM(IFERROR(($A$1016:$A$1038=$A1092) * ($B$1016:$B$1038=$B1092) * (L$1016:L$1038),0))</f>
        <v>172.1653865738345</v>
      </c>
      <c r="M1092" s="71">
        <f t="array" ref="M1092">SUM(($A$743:$A$750=$A1092)*($B$743:$B$750=$B1092)*(M$743:M$750)) + SUM(IFERROR(($A$933:$A$1010=$A1092)*($B$933:$B$1010=$B1092)*(M$933:M$1010),0)) + SUM(($A$768:$A$845=$A1092)*($B$768:$B$845= $B1092)*(M$768:M$845)) + SUM(IFERROR(($A$1016:$A$1038=$A1092) * ($B$1016:$B$1038=$B1092) * (M$1016:M$1038),0))</f>
        <v>208.62394098926049</v>
      </c>
      <c r="N1092" s="71">
        <f t="array" ref="N1092">SUM(($A$743:$A$750=$A1092)*($B$743:$B$750=$B1092)*(N$743:N$750)) + SUM(IFERROR(($A$933:$A$1010=$A1092)*($B$933:$B$1010=$B1092)*(N$933:N$1010),0)) + SUM(($A$768:$A$845=$A1092)*($B$768:$B$845= $B1092)*(N$768:N$845)) + SUM(IFERROR(($A$1016:$A$1038=$A1092) * ($B$1016:$B$1038=$B1092) * (N$1016:N$1038),0))</f>
        <v>249.61384298866597</v>
      </c>
      <c r="O1092" s="71">
        <f t="array" ref="O1092">SUM(($A$743:$A$750=$A1092)*($B$743:$B$750=$B1092)*(O$743:O$750)) + SUM(IFERROR(($A$933:$A$1010=$A1092)*($B$933:$B$1010=$B1092)*(O$933:O$1010),0)) + SUM(($A$768:$A$845=$A1092)*($B$768:$B$845= $B1092)*(O$768:O$845)) + SUM(IFERROR(($A$1016:$A$1038=$A1092) * ($B$1016:$B$1038=$B1092) * (O$1016:O$1038),0))</f>
        <v>290.60374498807141</v>
      </c>
    </row>
    <row r="1093" spans="1:15" s="19" customFormat="1">
      <c r="A1093" s="19" t="str">
        <f>A1092</f>
        <v>PP</v>
      </c>
      <c r="B1093" s="347" t="s">
        <v>37</v>
      </c>
      <c r="C1093" s="19" t="str">
        <f>INDEX(Vectors[Description], MATCH($B1093, Vectors[Code], 0))</f>
        <v>Liquid hydrocarbons</v>
      </c>
      <c r="D1093" s="644"/>
      <c r="E1093" s="164"/>
      <c r="F1093" s="71">
        <f t="array" ref="F1093">SUM(($A$743:$A$750=$A1093)*($B$743:$B$750=$B1093)*(F$743:F$750)) + SUM(IFERROR(($A$933:$A$1010=$A1093)*($B$933:$B$1010=$B1093)*(F$933:F$1010),0)) + SUM(($A$768:$A$845=$A1093)*($B$768:$B$845= $B1093)*(F$768:F$845)) + SUM(IFERROR(($A$1016:$A$1038=$A1093) * ($B$1016:$B$1038=$B1093) * (F$1016:F$1038),0))</f>
        <v>0</v>
      </c>
      <c r="G1093" s="71">
        <f t="array" ref="G1093">SUM(($A$743:$A$750=$A1093)*($B$743:$B$750=$B1093)*(G$743:G$750)) + SUM(IFERROR(($A$933:$A$1010=$A1093)*($B$933:$B$1010=$B1093)*(G$933:G$1010),0)) + SUM(($A$768:$A$845=$A1093)*($B$768:$B$845= $B1093)*(G$768:G$845)) + SUM(IFERROR(($A$1016:$A$1038=$A1093) * ($B$1016:$B$1038=$B1093) * (G$1016:G$1038),0))</f>
        <v>0</v>
      </c>
      <c r="H1093" s="71">
        <f t="array" ref="H1093">SUM(($A$743:$A$750=$A1093)*($B$743:$B$750=$B1093)*(H$743:H$750)) + SUM(IFERROR(($A$933:$A$1010=$A1093)*($B$933:$B$1010=$B1093)*(H$933:H$1010),0)) + SUM(($A$768:$A$845=$A1093)*($B$768:$B$845= $B1093)*(H$768:H$845)) + SUM(IFERROR(($A$1016:$A$1038=$A1093) * ($B$1016:$B$1038=$B1093) * (H$1016:H$1038),0))</f>
        <v>0</v>
      </c>
      <c r="I1093" s="71">
        <f t="array" ref="I1093">SUM(($A$743:$A$750=$A1093)*($B$743:$B$750=$B1093)*(I$743:I$750)) + SUM(IFERROR(($A$933:$A$1010=$A1093)*($B$933:$B$1010=$B1093)*(I$933:I$1010),0)) + SUM(($A$768:$A$845=$A1093)*($B$768:$B$845= $B1093)*(I$768:I$845)) + SUM(IFERROR(($A$1016:$A$1038=$A1093) * ($B$1016:$B$1038=$B1093) * (I$1016:I$1038),0))</f>
        <v>0</v>
      </c>
      <c r="J1093" s="71">
        <f t="array" ref="J1093">SUM(($A$743:$A$750=$A1093)*($B$743:$B$750=$B1093)*(J$743:J$750)) + SUM(IFERROR(($A$933:$A$1010=$A1093)*($B$933:$B$1010=$B1093)*(J$933:J$1010),0)) + SUM(($A$768:$A$845=$A1093)*($B$768:$B$845= $B1093)*(J$768:J$845)) + SUM(IFERROR(($A$1016:$A$1038=$A1093) * ($B$1016:$B$1038=$B1093) * (J$1016:J$1038),0))</f>
        <v>0</v>
      </c>
      <c r="K1093" s="71">
        <f t="array" ref="K1093">SUM(($A$743:$A$750=$A1093)*($B$743:$B$750=$B1093)*(K$743:K$750)) + SUM(IFERROR(($A$933:$A$1010=$A1093)*($B$933:$B$1010=$B1093)*(K$933:K$1010),0)) + SUM(($A$768:$A$845=$A1093)*($B$768:$B$845= $B1093)*(K$768:K$845)) + SUM(IFERROR(($A$1016:$A$1038=$A1093) * ($B$1016:$B$1038=$B1093) * (K$1016:K$1038),0))</f>
        <v>0</v>
      </c>
      <c r="L1093" s="71">
        <f t="array" ref="L1093">SUM(($A$743:$A$750=$A1093)*($B$743:$B$750=$B1093)*(L$743:L$750)) + SUM(IFERROR(($A$933:$A$1010=$A1093)*($B$933:$B$1010=$B1093)*(L$933:L$1010),0)) + SUM(($A$768:$A$845=$A1093)*($B$768:$B$845= $B1093)*(L$768:L$845)) + SUM(IFERROR(($A$1016:$A$1038=$A1093) * ($B$1016:$B$1038=$B1093) * (L$1016:L$1038),0))</f>
        <v>0</v>
      </c>
      <c r="M1093" s="71">
        <f t="array" ref="M1093">SUM(($A$743:$A$750=$A1093)*($B$743:$B$750=$B1093)*(M$743:M$750)) + SUM(IFERROR(($A$933:$A$1010=$A1093)*($B$933:$B$1010=$B1093)*(M$933:M$1010),0)) + SUM(($A$768:$A$845=$A1093)*($B$768:$B$845= $B1093)*(M$768:M$845)) + SUM(IFERROR(($A$1016:$A$1038=$A1093) * ($B$1016:$B$1038=$B1093) * (M$1016:M$1038),0))</f>
        <v>0</v>
      </c>
      <c r="N1093" s="71">
        <f t="array" ref="N1093">SUM(($A$743:$A$750=$A1093)*($B$743:$B$750=$B1093)*(N$743:N$750)) + SUM(IFERROR(($A$933:$A$1010=$A1093)*($B$933:$B$1010=$B1093)*(N$933:N$1010),0)) + SUM(($A$768:$A$845=$A1093)*($B$768:$B$845= $B1093)*(N$768:N$845)) + SUM(IFERROR(($A$1016:$A$1038=$A1093) * ($B$1016:$B$1038=$B1093) * (N$1016:N$1038),0))</f>
        <v>0</v>
      </c>
      <c r="O1093" s="71">
        <f t="array" ref="O1093">SUM(($A$743:$A$750=$A1093)*($B$743:$B$750=$B1093)*(O$743:O$750)) + SUM(IFERROR(($A$933:$A$1010=$A1093)*($B$933:$B$1010=$B1093)*(O$933:O$1010),0)) + SUM(($A$768:$A$845=$A1093)*($B$768:$B$845= $B1093)*(O$768:O$845)) + SUM(IFERROR(($A$1016:$A$1038=$A1093) * ($B$1016:$B$1038=$B1093) * (O$1016:O$1038),0))</f>
        <v>0</v>
      </c>
    </row>
    <row r="1094" spans="1:15" s="19" customFormat="1">
      <c r="A1094" s="19" t="str">
        <f>A1093</f>
        <v>PP</v>
      </c>
      <c r="B1094" s="347" t="s">
        <v>38</v>
      </c>
      <c r="C1094" s="19" t="str">
        <f>INDEX(Vectors[Description], MATCH($B1094, Vectors[Code], 0))</f>
        <v>Gaseous hydrocarbons</v>
      </c>
      <c r="D1094" s="644"/>
      <c r="E1094" s="164"/>
      <c r="F1094" s="71">
        <f t="array" ref="F1094">SUM(($A$743:$A$750=$A1094)*($B$743:$B$750=$B1094)*(F$743:F$750)) + SUM(IFERROR(($A$933:$A$1010=$A1094)*($B$933:$B$1010=$B1094)*(F$933:F$1010),0)) + SUM(($A$768:$A$845=$A1094)*($B$768:$B$845= $B1094)*(F$768:F$845)) + SUM(IFERROR(($A$1016:$A$1038=$A1094) * ($B$1016:$B$1038=$B1094) * (F$1016:F$1038),0))</f>
        <v>1.3703719621020631</v>
      </c>
      <c r="G1094" s="71">
        <f t="array" ref="G1094">SUM(($A$743:$A$750=$A1094)*($B$743:$B$750=$B1094)*(G$743:G$750)) + SUM(IFERROR(($A$933:$A$1010=$A1094)*($B$933:$B$1010=$B1094)*(G$933:G$1010),0)) + SUM(($A$768:$A$845=$A1094)*($B$768:$B$845= $B1094)*(G$768:G$845)) + SUM(IFERROR(($A$1016:$A$1038=$A1094) * ($B$1016:$B$1038=$B1094) * (G$1016:G$1038),0))</f>
        <v>1.8799059783825309</v>
      </c>
      <c r="H1094" s="71">
        <f t="array" ref="H1094">SUM(($A$743:$A$750=$A1094)*($B$743:$B$750=$B1094)*(H$743:H$750)) + SUM(IFERROR(($A$933:$A$1010=$A1094)*($B$933:$B$1010=$B1094)*(H$933:H$1010),0)) + SUM(($A$768:$A$845=$A1094)*($B$768:$B$845= $B1094)*(H$768:H$845)) + SUM(IFERROR(($A$1016:$A$1038=$A1094) * ($B$1016:$B$1038=$B1094) * (H$1016:H$1038),0))</f>
        <v>2.6215792148377517</v>
      </c>
      <c r="I1094" s="71">
        <f t="array" ref="I1094">SUM(($A$743:$A$750=$A1094)*($B$743:$B$750=$B1094)*(I$743:I$750)) + SUM(IFERROR(($A$933:$A$1010=$A1094)*($B$933:$B$1010=$B1094)*(I$933:I$1010),0)) + SUM(($A$768:$A$845=$A1094)*($B$768:$B$845= $B1094)*(I$768:I$845)) + SUM(IFERROR(($A$1016:$A$1038=$A1094) * ($B$1016:$B$1038=$B1094) * (I$1016:I$1038),0))</f>
        <v>3.363252451292972</v>
      </c>
      <c r="J1094" s="71">
        <f t="array" ref="J1094">SUM(($A$743:$A$750=$A1094)*($B$743:$B$750=$B1094)*(J$743:J$750)) + SUM(IFERROR(($A$933:$A$1010=$A1094)*($B$933:$B$1010=$B1094)*(J$933:J$1010),0)) + SUM(($A$768:$A$845=$A1094)*($B$768:$B$845= $B1094)*(J$768:J$845)) + SUM(IFERROR(($A$1016:$A$1038=$A1094) * ($B$1016:$B$1038=$B1094) * (J$1016:J$1038),0))</f>
        <v>4.4677860336460657</v>
      </c>
      <c r="K1094" s="71">
        <f t="array" ref="K1094">SUM(($A$743:$A$750=$A1094)*($B$743:$B$750=$B1094)*(K$743:K$750)) + SUM(IFERROR(($A$933:$A$1010=$A1094)*($B$933:$B$1010=$B1094)*(K$933:K$1010),0)) + SUM(($A$768:$A$845=$A1094)*($B$768:$B$845= $B1094)*(K$768:K$845)) + SUM(IFERROR(($A$1016:$A$1038=$A1094) * ($B$1016:$B$1038=$B1094) * (K$1016:K$1038),0))</f>
        <v>5.5723196159991586</v>
      </c>
      <c r="L1094" s="71">
        <f t="array" ref="L1094">SUM(($A$743:$A$750=$A1094)*($B$743:$B$750=$B1094)*(L$743:L$750)) + SUM(IFERROR(($A$933:$A$1010=$A1094)*($B$933:$B$1010=$B1094)*(L$933:L$1010),0)) + SUM(($A$768:$A$845=$A1094)*($B$768:$B$845= $B1094)*(L$768:L$845)) + SUM(IFERROR(($A$1016:$A$1038=$A1094) * ($B$1016:$B$1038=$B1094) * (L$1016:L$1038),0))</f>
        <v>7.3281253376692206</v>
      </c>
      <c r="M1094" s="71">
        <f t="array" ref="M1094">SUM(($A$743:$A$750=$A1094)*($B$743:$B$750=$B1094)*(M$743:M$750)) + SUM(IFERROR(($A$933:$A$1010=$A1094)*($B$933:$B$1010=$B1094)*(M$933:M$1010),0)) + SUM(($A$768:$A$845=$A1094)*($B$768:$B$845= $B1094)*(M$768:M$845)) + SUM(IFERROR(($A$1016:$A$1038=$A1094) * ($B$1016:$B$1038=$B1094) * (M$1016:M$1038),0))</f>
        <v>9.0839310593392835</v>
      </c>
      <c r="N1094" s="71">
        <f t="array" ref="N1094">SUM(($A$743:$A$750=$A1094)*($B$743:$B$750=$B1094)*(N$743:N$750)) + SUM(IFERROR(($A$933:$A$1010=$A1094)*($B$933:$B$1010=$B1094)*(N$933:N$1010),0)) + SUM(($A$768:$A$845=$A1094)*($B$768:$B$845= $B1094)*(N$768:N$845)) + SUM(IFERROR(($A$1016:$A$1038=$A1094) * ($B$1016:$B$1038=$B1094) * (N$1016:N$1038),0))</f>
        <v>11.057961725535961</v>
      </c>
      <c r="O1094" s="71">
        <f t="array" ref="O1094">SUM(($A$743:$A$750=$A1094)*($B$743:$B$750=$B1094)*(O$743:O$750)) + SUM(IFERROR(($A$933:$A$1010=$A1094)*($B$933:$B$1010=$B1094)*(O$933:O$1010),0)) + SUM(($A$768:$A$845=$A1094)*($B$768:$B$845= $B1094)*(O$768:O$845)) + SUM(IFERROR(($A$1016:$A$1038=$A1094) * ($B$1016:$B$1038=$B1094) * (O$1016:O$1038),0))</f>
        <v>13.031992391732638</v>
      </c>
    </row>
    <row r="1095" spans="1:15" s="19" customFormat="1">
      <c r="A1095" s="19" t="str">
        <f>A1094</f>
        <v>PP</v>
      </c>
      <c r="B1095" s="347" t="s">
        <v>251</v>
      </c>
      <c r="C1095" s="19" t="str">
        <f>INDEX(Vectors[Description], MATCH($B1095, Vectors[Code], 0))</f>
        <v>Dry biomass and waste</v>
      </c>
      <c r="D1095" s="644"/>
      <c r="E1095" s="164"/>
      <c r="F1095" s="71">
        <f t="array" ref="F1095">SUM(($A$743:$A$750=$A1095)*($B$743:$B$750=$B1095)*(F$743:F$750)) + SUM(IFERROR(($A$933:$A$1010=$A1095)*($B$933:$B$1010=$B1095)*(F$933:F$1010),0)) + SUM(($A$768:$A$845=$A1095)*($B$768:$B$845= $B1095)*(F$768:F$845)) + SUM(IFERROR(($A$1016:$A$1038=$A1095) * ($B$1016:$B$1038=$B1095) * (F$1016:F$1038),0))</f>
        <v>59.309710418498454</v>
      </c>
      <c r="G1095" s="71">
        <f t="array" ref="G1095">SUM(($A$743:$A$750=$A1095)*($B$743:$B$750=$B1095)*(G$743:G$750)) + SUM(IFERROR(($A$933:$A$1010=$A1095)*($B$933:$B$1010=$B1095)*(G$933:G$1010),0)) + SUM(($A$768:$A$845=$A1095)*($B$768:$B$845= $B1095)*(G$768:G$845)) + SUM(IFERROR(($A$1016:$A$1038=$A1095) * ($B$1016:$B$1038=$B1095) * (G$1016:G$1038),0))</f>
        <v>66.038686308660829</v>
      </c>
      <c r="H1095" s="71">
        <f t="array" ref="H1095">SUM(($A$743:$A$750=$A1095)*($B$743:$B$750=$B1095)*(H$743:H$750)) + SUM(IFERROR(($A$933:$A$1010=$A1095)*($B$933:$B$1010=$B1095)*(H$933:H$1010),0)) + SUM(($A$768:$A$845=$A1095)*($B$768:$B$845= $B1095)*(H$768:H$845)) + SUM(IFERROR(($A$1016:$A$1038=$A1095) * ($B$1016:$B$1038=$B1095) * (H$1016:H$1038),0))</f>
        <v>75.833324482020373</v>
      </c>
      <c r="I1095" s="71">
        <f t="array" ref="I1095">SUM(($A$743:$A$750=$A1095)*($B$743:$B$750=$B1095)*(I$743:I$750)) + SUM(IFERROR(($A$933:$A$1010=$A1095)*($B$933:$B$1010=$B1095)*(I$933:I$1010),0)) + SUM(($A$768:$A$845=$A1095)*($B$768:$B$845= $B1095)*(I$768:I$845)) + SUM(IFERROR(($A$1016:$A$1038=$A1095) * ($B$1016:$B$1038=$B1095) * (I$1016:I$1038),0))</f>
        <v>85.627962655379932</v>
      </c>
      <c r="J1095" s="71">
        <f t="array" ref="J1095">SUM(($A$743:$A$750=$A1095)*($B$743:$B$750=$B1095)*(J$743:J$750)) + SUM(IFERROR(($A$933:$A$1010=$A1095)*($B$933:$B$1010=$B1095)*(J$933:J$1010),0)) + SUM(($A$768:$A$845=$A1095)*($B$768:$B$845= $B1095)*(J$768:J$845)) + SUM(IFERROR(($A$1016:$A$1038=$A1095) * ($B$1016:$B$1038=$B1095) * (J$1016:J$1038),0))</f>
        <v>100.21458417239671</v>
      </c>
      <c r="K1095" s="71">
        <f t="array" ref="K1095">SUM(($A$743:$A$750=$A1095)*($B$743:$B$750=$B1095)*(K$743:K$750)) + SUM(IFERROR(($A$933:$A$1010=$A1095)*($B$933:$B$1010=$B1095)*(K$933:K$1010),0)) + SUM(($A$768:$A$845=$A1095)*($B$768:$B$845= $B1095)*(K$768:K$845)) + SUM(IFERROR(($A$1016:$A$1038=$A1095) * ($B$1016:$B$1038=$B1095) * (K$1016:K$1038),0))</f>
        <v>114.80120568941348</v>
      </c>
      <c r="L1095" s="71">
        <f t="array" ref="L1095">SUM(($A$743:$A$750=$A1095)*($B$743:$B$750=$B1095)*(L$743:L$750)) + SUM(IFERROR(($A$933:$A$1010=$A1095)*($B$933:$B$1010=$B1095)*(L$933:L$1010),0)) + SUM(($A$768:$A$845=$A1095)*($B$768:$B$845= $B1095)*(L$768:L$845)) + SUM(IFERROR(($A$1016:$A$1038=$A1095) * ($B$1016:$B$1038=$B1095) * (L$1016:L$1038),0))</f>
        <v>137.98861612998292</v>
      </c>
      <c r="M1095" s="71">
        <f t="array" ref="M1095">SUM(($A$743:$A$750=$A1095)*($B$743:$B$750=$B1095)*(M$743:M$750)) + SUM(IFERROR(($A$933:$A$1010=$A1095)*($B$933:$B$1010=$B1095)*(M$933:M$1010),0)) + SUM(($A$768:$A$845=$A1095)*($B$768:$B$845= $B1095)*(M$768:M$845)) + SUM(IFERROR(($A$1016:$A$1038=$A1095) * ($B$1016:$B$1038=$B1095) * (M$1016:M$1038),0))</f>
        <v>161.17602657055235</v>
      </c>
      <c r="N1095" s="71">
        <f t="array" ref="N1095">SUM(($A$743:$A$750=$A1095)*($B$743:$B$750=$B1095)*(N$743:N$750)) + SUM(IFERROR(($A$933:$A$1010=$A1095)*($B$933:$B$1010=$B1095)*(N$933:N$1010),0)) + SUM(($A$768:$A$845=$A1095)*($B$768:$B$845= $B1095)*(N$768:N$845)) + SUM(IFERROR(($A$1016:$A$1038=$A1095) * ($B$1016:$B$1038=$B1095) * (N$1016:N$1038),0))</f>
        <v>187.2453454675404</v>
      </c>
      <c r="O1095" s="71">
        <f t="array" ref="O1095">SUM(($A$743:$A$750=$A1095)*($B$743:$B$750=$B1095)*(O$743:O$750)) + SUM(IFERROR(($A$933:$A$1010=$A1095)*($B$933:$B$1010=$B1095)*(O$933:O$1010),0)) + SUM(($A$768:$A$845=$A1095)*($B$768:$B$845= $B1095)*(O$768:O$845)) + SUM(IFERROR(($A$1016:$A$1038=$A1095) * ($B$1016:$B$1038=$B1095) * (O$1016:O$1038),0))</f>
        <v>213.31466436452843</v>
      </c>
    </row>
    <row r="1096" spans="1:15" s="19" customFormat="1">
      <c r="A1096" s="19" t="str">
        <f>A1095</f>
        <v>PP</v>
      </c>
      <c r="B1096" s="347" t="s">
        <v>897</v>
      </c>
      <c r="C1096" s="19" t="str">
        <f>INDEX(Vectors[Description], MATCH($B1096, Vectors[Code], 0))</f>
        <v>Other Waste</v>
      </c>
      <c r="D1096" s="644"/>
      <c r="E1096" s="164"/>
      <c r="F1096" s="71">
        <f t="array" ref="F1096">SUM(($A$743:$A$750=$A1096)*($B$743:$B$750=$B1096)*(F$743:F$750)) + SUM(IFERROR(($A$933:$A$1010=$A1096)*($B$933:$B$1010=$B1096)*(F$933:F$1010),0)) + SUM(($A$768:$A$845=$A1096)*($B$768:$B$845= $B1096)*(F$768:F$845)) + SUM(IFERROR(($A$1016:$A$1038=$A1096) * ($B$1016:$B$1038=$B1096) * (F$1016:F$1038),0))</f>
        <v>0</v>
      </c>
      <c r="G1096" s="71">
        <f t="array" ref="G1096">SUM(($A$743:$A$750=$A1096)*($B$743:$B$750=$B1096)*(G$743:G$750)) + SUM(IFERROR(($A$933:$A$1010=$A1096)*($B$933:$B$1010=$B1096)*(G$933:G$1010),0)) + SUM(($A$768:$A$845=$A1096)*($B$768:$B$845= $B1096)*(G$768:G$845)) + SUM(IFERROR(($A$1016:$A$1038=$A1096) * ($B$1016:$B$1038=$B1096) * (G$1016:G$1038),0))</f>
        <v>0</v>
      </c>
      <c r="H1096" s="71">
        <f t="array" ref="H1096">SUM(($A$743:$A$750=$A1096)*($B$743:$B$750=$B1096)*(H$743:H$750)) + SUM(IFERROR(($A$933:$A$1010=$A1096)*($B$933:$B$1010=$B1096)*(H$933:H$1010),0)) + SUM(($A$768:$A$845=$A1096)*($B$768:$B$845= $B1096)*(H$768:H$845)) + SUM(IFERROR(($A$1016:$A$1038=$A1096) * ($B$1016:$B$1038=$B1096) * (H$1016:H$1038),0))</f>
        <v>0</v>
      </c>
      <c r="I1096" s="71">
        <f t="array" ref="I1096">SUM(($A$743:$A$750=$A1096)*($B$743:$B$750=$B1096)*(I$743:I$750)) + SUM(IFERROR(($A$933:$A$1010=$A1096)*($B$933:$B$1010=$B1096)*(I$933:I$1010),0)) + SUM(($A$768:$A$845=$A1096)*($B$768:$B$845= $B1096)*(I$768:I$845)) + SUM(IFERROR(($A$1016:$A$1038=$A1096) * ($B$1016:$B$1038=$B1096) * (I$1016:I$1038),0))</f>
        <v>0</v>
      </c>
      <c r="J1096" s="71">
        <f t="array" ref="J1096">SUM(($A$743:$A$750=$A1096)*($B$743:$B$750=$B1096)*(J$743:J$750)) + SUM(IFERROR(($A$933:$A$1010=$A1096)*($B$933:$B$1010=$B1096)*(J$933:J$1010),0)) + SUM(($A$768:$A$845=$A1096)*($B$768:$B$845= $B1096)*(J$768:J$845)) + SUM(IFERROR(($A$1016:$A$1038=$A1096) * ($B$1016:$B$1038=$B1096) * (J$1016:J$1038),0))</f>
        <v>0</v>
      </c>
      <c r="K1096" s="71">
        <f t="array" ref="K1096">SUM(($A$743:$A$750=$A1096)*($B$743:$B$750=$B1096)*(K$743:K$750)) + SUM(IFERROR(($A$933:$A$1010=$A1096)*($B$933:$B$1010=$B1096)*(K$933:K$1010),0)) + SUM(($A$768:$A$845=$A1096)*($B$768:$B$845= $B1096)*(K$768:K$845)) + SUM(IFERROR(($A$1016:$A$1038=$A1096) * ($B$1016:$B$1038=$B1096) * (K$1016:K$1038),0))</f>
        <v>0</v>
      </c>
      <c r="L1096" s="71">
        <f t="array" ref="L1096">SUM(($A$743:$A$750=$A1096)*($B$743:$B$750=$B1096)*(L$743:L$750)) + SUM(IFERROR(($A$933:$A$1010=$A1096)*($B$933:$B$1010=$B1096)*(L$933:L$1010),0)) + SUM(($A$768:$A$845=$A1096)*($B$768:$B$845= $B1096)*(L$768:L$845)) + SUM(IFERROR(($A$1016:$A$1038=$A1096) * ($B$1016:$B$1038=$B1096) * (L$1016:L$1038),0))</f>
        <v>0</v>
      </c>
      <c r="M1096" s="71">
        <f t="array" ref="M1096">SUM(($A$743:$A$750=$A1096)*($B$743:$B$750=$B1096)*(M$743:M$750)) + SUM(IFERROR(($A$933:$A$1010=$A1096)*($B$933:$B$1010=$B1096)*(M$933:M$1010),0)) + SUM(($A$768:$A$845=$A1096)*($B$768:$B$845= $B1096)*(M$768:M$845)) + SUM(IFERROR(($A$1016:$A$1038=$A1096) * ($B$1016:$B$1038=$B1096) * (M$1016:M$1038),0))</f>
        <v>0</v>
      </c>
      <c r="N1096" s="71">
        <f t="array" ref="N1096">SUM(($A$743:$A$750=$A1096)*($B$743:$B$750=$B1096)*(N$743:N$750)) + SUM(IFERROR(($A$933:$A$1010=$A1096)*($B$933:$B$1010=$B1096)*(N$933:N$1010),0)) + SUM(($A$768:$A$845=$A1096)*($B$768:$B$845= $B1096)*(N$768:N$845)) + SUM(IFERROR(($A$1016:$A$1038=$A1096) * ($B$1016:$B$1038=$B1096) * (N$1016:N$1038),0))</f>
        <v>0</v>
      </c>
      <c r="O1096" s="71">
        <f t="array" ref="O1096">SUM(($A$743:$A$750=$A1096)*($B$743:$B$750=$B1096)*(O$743:O$750)) + SUM(IFERROR(($A$933:$A$1010=$A1096)*($B$933:$B$1010=$B1096)*(O$933:O$1010),0)) + SUM(($A$768:$A$845=$A1096)*($B$768:$B$845= $B1096)*(O$768:O$845)) + SUM(IFERROR(($A$1016:$A$1038=$A1096) * ($B$1016:$B$1038=$B1096) * (O$1016:O$1038),0))</f>
        <v>0</v>
      </c>
    </row>
    <row r="1097" spans="1:15" s="19" customFormat="1">
      <c r="B1097" s="347"/>
      <c r="C1097" s="348"/>
      <c r="D1097" s="644"/>
      <c r="E1097" s="164"/>
      <c r="F1097" s="71">
        <f t="array" ref="F1097">SUM(($A$743:$A$750=$A1097)*($B$743:$B$750=$B1097)*(F$743:F$750)) + SUM(IFERROR(($A$933:$A$1010=$A1097)*($B$933:$B$1010=$B1097)*(F$933:F$1010),0)) + SUM(($A$768:$A$845=$A1097)*($B$768:$B$845= $B1097)*(F$768:F$845)) + SUM(IFERROR(($A$1016:$A$1038=$A1097) * ($B$1016:$B$1038=$B1097) * (F$1016:F$1038),0))</f>
        <v>0</v>
      </c>
      <c r="G1097" s="71">
        <f t="array" ref="G1097">SUM(($A$743:$A$750=$A1097)*($B$743:$B$750=$B1097)*(G$743:G$750)) + SUM(IFERROR(($A$933:$A$1010=$A1097)*($B$933:$B$1010=$B1097)*(G$933:G$1010),0)) + SUM(($A$768:$A$845=$A1097)*($B$768:$B$845= $B1097)*(G$768:G$845)) + SUM(IFERROR(($A$1016:$A$1038=$A1097) * ($B$1016:$B$1038=$B1097) * (G$1016:G$1038),0))</f>
        <v>0</v>
      </c>
      <c r="H1097" s="71">
        <f t="array" ref="H1097">SUM(($A$743:$A$750=$A1097)*($B$743:$B$750=$B1097)*(H$743:H$750)) + SUM(IFERROR(($A$933:$A$1010=$A1097)*($B$933:$B$1010=$B1097)*(H$933:H$1010),0)) + SUM(($A$768:$A$845=$A1097)*($B$768:$B$845= $B1097)*(H$768:H$845)) + SUM(IFERROR(($A$1016:$A$1038=$A1097) * ($B$1016:$B$1038=$B1097) * (H$1016:H$1038),0))</f>
        <v>0</v>
      </c>
      <c r="I1097" s="71">
        <f t="array" ref="I1097">SUM(($A$743:$A$750=$A1097)*($B$743:$B$750=$B1097)*(I$743:I$750)) + SUM(IFERROR(($A$933:$A$1010=$A1097)*($B$933:$B$1010=$B1097)*(I$933:I$1010),0)) + SUM(($A$768:$A$845=$A1097)*($B$768:$B$845= $B1097)*(I$768:I$845)) + SUM(IFERROR(($A$1016:$A$1038=$A1097) * ($B$1016:$B$1038=$B1097) * (I$1016:I$1038),0))</f>
        <v>0</v>
      </c>
      <c r="J1097" s="71">
        <f t="array" ref="J1097">SUM(($A$743:$A$750=$A1097)*($B$743:$B$750=$B1097)*(J$743:J$750)) + SUM(IFERROR(($A$933:$A$1010=$A1097)*($B$933:$B$1010=$B1097)*(J$933:J$1010),0)) + SUM(($A$768:$A$845=$A1097)*($B$768:$B$845= $B1097)*(J$768:J$845)) + SUM(IFERROR(($A$1016:$A$1038=$A1097) * ($B$1016:$B$1038=$B1097) * (J$1016:J$1038),0))</f>
        <v>0</v>
      </c>
      <c r="K1097" s="71">
        <f t="array" ref="K1097">SUM(($A$743:$A$750=$A1097)*($B$743:$B$750=$B1097)*(K$743:K$750)) + SUM(IFERROR(($A$933:$A$1010=$A1097)*($B$933:$B$1010=$B1097)*(K$933:K$1010),0)) + SUM(($A$768:$A$845=$A1097)*($B$768:$B$845= $B1097)*(K$768:K$845)) + SUM(IFERROR(($A$1016:$A$1038=$A1097) * ($B$1016:$B$1038=$B1097) * (K$1016:K$1038),0))</f>
        <v>0</v>
      </c>
      <c r="L1097" s="71">
        <f t="array" ref="L1097">SUM(($A$743:$A$750=$A1097)*($B$743:$B$750=$B1097)*(L$743:L$750)) + SUM(IFERROR(($A$933:$A$1010=$A1097)*($B$933:$B$1010=$B1097)*(L$933:L$1010),0)) + SUM(($A$768:$A$845=$A1097)*($B$768:$B$845= $B1097)*(L$768:L$845)) + SUM(IFERROR(($A$1016:$A$1038=$A1097) * ($B$1016:$B$1038=$B1097) * (L$1016:L$1038),0))</f>
        <v>0</v>
      </c>
      <c r="M1097" s="71">
        <f t="array" ref="M1097">SUM(($A$743:$A$750=$A1097)*($B$743:$B$750=$B1097)*(M$743:M$750)) + SUM(IFERROR(($A$933:$A$1010=$A1097)*($B$933:$B$1010=$B1097)*(M$933:M$1010),0)) + SUM(($A$768:$A$845=$A1097)*($B$768:$B$845= $B1097)*(M$768:M$845)) + SUM(IFERROR(($A$1016:$A$1038=$A1097) * ($B$1016:$B$1038=$B1097) * (M$1016:M$1038),0))</f>
        <v>0</v>
      </c>
      <c r="N1097" s="71">
        <f t="array" ref="N1097">SUM(($A$743:$A$750=$A1097)*($B$743:$B$750=$B1097)*(N$743:N$750)) + SUM(IFERROR(($A$933:$A$1010=$A1097)*($B$933:$B$1010=$B1097)*(N$933:N$1010),0)) + SUM(($A$768:$A$845=$A1097)*($B$768:$B$845= $B1097)*(N$768:N$845)) + SUM(IFERROR(($A$1016:$A$1038=$A1097) * ($B$1016:$B$1038=$B1097) * (N$1016:N$1038),0))</f>
        <v>0</v>
      </c>
      <c r="O1097" s="71">
        <f t="array" ref="O1097">SUM(($A$743:$A$750=$A1097)*($B$743:$B$750=$B1097)*(O$743:O$750)) + SUM(IFERROR(($A$933:$A$1010=$A1097)*($B$933:$B$1010=$B1097)*(O$933:O$1010),0)) + SUM(($A$768:$A$845=$A1097)*($B$768:$B$845= $B1097)*(O$768:O$845)) + SUM(IFERROR(($A$1016:$A$1038=$A1097) * ($B$1016:$B$1038=$B1097) * (O$1016:O$1038),0))</f>
        <v>0</v>
      </c>
    </row>
    <row r="1098" spans="1:15" s="19" customFormat="1">
      <c r="A1098" s="348"/>
      <c r="B1098" s="348"/>
      <c r="C1098" s="348" t="str">
        <f>D27</f>
        <v>Other</v>
      </c>
      <c r="D1098" s="654"/>
      <c r="F1098" s="71">
        <f t="array" ref="F1098">SUM(($A$743:$A$750=$A1098)*($B$743:$B$750=$B1098)*(F$743:F$750)) + SUM(IFERROR(($A$933:$A$1010=$A1098)*($B$933:$B$1010=$B1098)*(F$933:F$1010),0)) + SUM(($A$768:$A$845=$A1098)*($B$768:$B$845= $B1098)*(F$768:F$845)) + SUM(IFERROR(($A$1016:$A$1038=$A1098) * ($B$1016:$B$1038=$B1098) * (F$1016:F$1038),0))</f>
        <v>0</v>
      </c>
      <c r="G1098" s="71">
        <f t="array" ref="G1098">SUM(($A$743:$A$750=$A1098)*($B$743:$B$750=$B1098)*(G$743:G$750)) + SUM(IFERROR(($A$933:$A$1010=$A1098)*($B$933:$B$1010=$B1098)*(G$933:G$1010),0)) + SUM(($A$768:$A$845=$A1098)*($B$768:$B$845= $B1098)*(G$768:G$845)) + SUM(IFERROR(($A$1016:$A$1038=$A1098) * ($B$1016:$B$1038=$B1098) * (G$1016:G$1038),0))</f>
        <v>0</v>
      </c>
      <c r="H1098" s="71">
        <f t="array" ref="H1098">SUM(($A$743:$A$750=$A1098)*($B$743:$B$750=$B1098)*(H$743:H$750)) + SUM(IFERROR(($A$933:$A$1010=$A1098)*($B$933:$B$1010=$B1098)*(H$933:H$1010),0)) + SUM(($A$768:$A$845=$A1098)*($B$768:$B$845= $B1098)*(H$768:H$845)) + SUM(IFERROR(($A$1016:$A$1038=$A1098) * ($B$1016:$B$1038=$B1098) * (H$1016:H$1038),0))</f>
        <v>0</v>
      </c>
      <c r="I1098" s="71">
        <f t="array" ref="I1098">SUM(($A$743:$A$750=$A1098)*($B$743:$B$750=$B1098)*(I$743:I$750)) + SUM(IFERROR(($A$933:$A$1010=$A1098)*($B$933:$B$1010=$B1098)*(I$933:I$1010),0)) + SUM(($A$768:$A$845=$A1098)*($B$768:$B$845= $B1098)*(I$768:I$845)) + SUM(IFERROR(($A$1016:$A$1038=$A1098) * ($B$1016:$B$1038=$B1098) * (I$1016:I$1038),0))</f>
        <v>0</v>
      </c>
      <c r="J1098" s="71">
        <f t="array" ref="J1098">SUM(($A$743:$A$750=$A1098)*($B$743:$B$750=$B1098)*(J$743:J$750)) + SUM(IFERROR(($A$933:$A$1010=$A1098)*($B$933:$B$1010=$B1098)*(J$933:J$1010),0)) + SUM(($A$768:$A$845=$A1098)*($B$768:$B$845= $B1098)*(J$768:J$845)) + SUM(IFERROR(($A$1016:$A$1038=$A1098) * ($B$1016:$B$1038=$B1098) * (J$1016:J$1038),0))</f>
        <v>0</v>
      </c>
      <c r="K1098" s="71">
        <f t="array" ref="K1098">SUM(($A$743:$A$750=$A1098)*($B$743:$B$750=$B1098)*(K$743:K$750)) + SUM(IFERROR(($A$933:$A$1010=$A1098)*($B$933:$B$1010=$B1098)*(K$933:K$1010),0)) + SUM(($A$768:$A$845=$A1098)*($B$768:$B$845= $B1098)*(K$768:K$845)) + SUM(IFERROR(($A$1016:$A$1038=$A1098) * ($B$1016:$B$1038=$B1098) * (K$1016:K$1038),0))</f>
        <v>0</v>
      </c>
      <c r="L1098" s="71">
        <f t="array" ref="L1098">SUM(($A$743:$A$750=$A1098)*($B$743:$B$750=$B1098)*(L$743:L$750)) + SUM(IFERROR(($A$933:$A$1010=$A1098)*($B$933:$B$1010=$B1098)*(L$933:L$1010),0)) + SUM(($A$768:$A$845=$A1098)*($B$768:$B$845= $B1098)*(L$768:L$845)) + SUM(IFERROR(($A$1016:$A$1038=$A1098) * ($B$1016:$B$1038=$B1098) * (L$1016:L$1038),0))</f>
        <v>0</v>
      </c>
      <c r="M1098" s="71">
        <f t="array" ref="M1098">SUM(($A$743:$A$750=$A1098)*($B$743:$B$750=$B1098)*(M$743:M$750)) + SUM(IFERROR(($A$933:$A$1010=$A1098)*($B$933:$B$1010=$B1098)*(M$933:M$1010),0)) + SUM(($A$768:$A$845=$A1098)*($B$768:$B$845= $B1098)*(M$768:M$845)) + SUM(IFERROR(($A$1016:$A$1038=$A1098) * ($B$1016:$B$1038=$B1098) * (M$1016:M$1038),0))</f>
        <v>0</v>
      </c>
      <c r="N1098" s="71">
        <f t="array" ref="N1098">SUM(($A$743:$A$750=$A1098)*($B$743:$B$750=$B1098)*(N$743:N$750)) + SUM(IFERROR(($A$933:$A$1010=$A1098)*($B$933:$B$1010=$B1098)*(N$933:N$1010),0)) + SUM(($A$768:$A$845=$A1098)*($B$768:$B$845= $B1098)*(N$768:N$845)) + SUM(IFERROR(($A$1016:$A$1038=$A1098) * ($B$1016:$B$1038=$B1098) * (N$1016:N$1038),0))</f>
        <v>0</v>
      </c>
      <c r="O1098" s="71">
        <f t="array" ref="O1098">SUM(($A$743:$A$750=$A1098)*($B$743:$B$750=$B1098)*(O$743:O$750)) + SUM(IFERROR(($A$933:$A$1010=$A1098)*($B$933:$B$1010=$B1098)*(O$933:O$1010),0)) + SUM(($A$768:$A$845=$A1098)*($B$768:$B$845= $B1098)*(O$768:O$845)) + SUM(IFERROR(($A$1016:$A$1038=$A1098) * ($B$1016:$B$1038=$B1098) * (O$1016:O$1038),0))</f>
        <v>0</v>
      </c>
    </row>
    <row r="1099" spans="1:15" s="19" customFormat="1">
      <c r="A1099" s="1438" t="str">
        <f>INDEX($C$20:$C$27,MATCH($C1098,$D$20:$D$27,0))</f>
        <v>OT</v>
      </c>
      <c r="B1099" s="347" t="s">
        <v>33</v>
      </c>
      <c r="C1099" s="19" t="str">
        <f>INDEX(Vectors[Description], MATCH($B1099, Vectors[Code], 0))</f>
        <v>Electricity (delivered to end user)</v>
      </c>
      <c r="D1099" s="644"/>
      <c r="E1099" s="164"/>
      <c r="F1099" s="71">
        <f t="array" ref="F1099">SUM(($A$743:$A$750=$A1099)*($B$743:$B$750=$B1099)*(F$743:F$750)) + SUM(IFERROR(($A$933:$A$1010=$A1099)*($B$933:$B$1010=$B1099)*(F$933:F$1010),0)) + SUM(($A$768:$A$845=$A1099)*($B$768:$B$845= $B1099)*(F$768:F$845)) + SUM(IFERROR(($A$1016:$A$1038=$A1099) * ($B$1016:$B$1038=$B1099) * (F$1016:F$1038),0))</f>
        <v>25.137158400000008</v>
      </c>
      <c r="G1099" s="71">
        <f t="array" ref="G1099">SUM(($A$743:$A$750=$A1099)*($B$743:$B$750=$B1099)*(G$743:G$750)) + SUM(IFERROR(($A$933:$A$1010=$A1099)*($B$933:$B$1010=$B1099)*(G$933:G$1010),0)) + SUM(($A$768:$A$845=$A1099)*($B$768:$B$845= $B1099)*(G$768:G$845)) + SUM(IFERROR(($A$1016:$A$1038=$A1099) * ($B$1016:$B$1038=$B1099) * (G$1016:G$1038),0))</f>
        <v>29.386188969427813</v>
      </c>
      <c r="H1099" s="71">
        <f t="array" ref="H1099">SUM(($A$743:$A$750=$A1099)*($B$743:$B$750=$B1099)*(H$743:H$750)) + SUM(IFERROR(($A$933:$A$1010=$A1099)*($B$933:$B$1010=$B1099)*(H$933:H$1010),0)) + SUM(($A$768:$A$845=$A1099)*($B$768:$B$845= $B1099)*(H$768:H$845)) + SUM(IFERROR(($A$1016:$A$1038=$A1099) * ($B$1016:$B$1038=$B1099) * (H$1016:H$1038),0))</f>
        <v>34.931559865342834</v>
      </c>
      <c r="I1099" s="71">
        <f t="array" ref="I1099">SUM(($A$743:$A$750=$A1099)*($B$743:$B$750=$B1099)*(I$743:I$750)) + SUM(IFERROR(($A$933:$A$1010=$A1099)*($B$933:$B$1010=$B1099)*(I$933:I$1010),0)) + SUM(($A$768:$A$845=$A1099)*($B$768:$B$845= $B1099)*(I$768:I$845)) + SUM(IFERROR(($A$1016:$A$1038=$A1099) * ($B$1016:$B$1038=$B1099) * (I$1016:I$1038),0))</f>
        <v>41.80139242463239</v>
      </c>
      <c r="J1099" s="71">
        <f t="array" ref="J1099">SUM(($A$743:$A$750=$A1099)*($B$743:$B$750=$B1099)*(J$743:J$750)) + SUM(IFERROR(($A$933:$A$1010=$A1099)*($B$933:$B$1010=$B1099)*(J$933:J$1010),0)) + SUM(($A$768:$A$845=$A1099)*($B$768:$B$845= $B1099)*(J$768:J$845)) + SUM(IFERROR(($A$1016:$A$1038=$A1099) * ($B$1016:$B$1038=$B1099) * (J$1016:J$1038),0))</f>
        <v>50.441977663579777</v>
      </c>
      <c r="K1099" s="71">
        <f t="array" ref="K1099">SUM(($A$743:$A$750=$A1099)*($B$743:$B$750=$B1099)*(K$743:K$750)) + SUM(IFERROR(($A$933:$A$1010=$A1099)*($B$933:$B$1010=$B1099)*(K$933:K$1010),0)) + SUM(($A$768:$A$845=$A1099)*($B$768:$B$845= $B1099)*(K$768:K$845)) + SUM(IFERROR(($A$1016:$A$1038=$A1099) * ($B$1016:$B$1038=$B1099) * (K$1016:K$1038),0))</f>
        <v>61.531548505505938</v>
      </c>
      <c r="L1099" s="71">
        <f t="array" ref="L1099">SUM(($A$743:$A$750=$A1099)*($B$743:$B$750=$B1099)*(L$743:L$750)) + SUM(IFERROR(($A$933:$A$1010=$A1099)*($B$933:$B$1010=$B1099)*(L$933:L$1010),0)) + SUM(($A$768:$A$845=$A1099)*($B$768:$B$845= $B1099)*(L$768:L$845)) + SUM(IFERROR(($A$1016:$A$1038=$A1099) * ($B$1016:$B$1038=$B1099) * (L$1016:L$1038),0))</f>
        <v>77.249251450618559</v>
      </c>
      <c r="M1099" s="71">
        <f t="array" ref="M1099">SUM(($A$743:$A$750=$A1099)*($B$743:$B$750=$B1099)*(M$743:M$750)) + SUM(IFERROR(($A$933:$A$1010=$A1099)*($B$933:$B$1010=$B1099)*(M$933:M$1010),0)) + SUM(($A$768:$A$845=$A1099)*($B$768:$B$845= $B1099)*(M$768:M$845)) + SUM(IFERROR(($A$1016:$A$1038=$A1099) * ($B$1016:$B$1038=$B1099) * (M$1016:M$1038),0))</f>
        <v>95.093204053335725</v>
      </c>
      <c r="N1099" s="71">
        <f t="array" ref="N1099">SUM(($A$743:$A$750=$A1099)*($B$743:$B$750=$B1099)*(N$743:N$750)) + SUM(IFERROR(($A$933:$A$1010=$A1099)*($B$933:$B$1010=$B1099)*(N$933:N$1010),0)) + SUM(($A$768:$A$845=$A1099)*($B$768:$B$845= $B1099)*(N$768:N$845)) + SUM(IFERROR(($A$1016:$A$1038=$A1099) * ($B$1016:$B$1038=$B1099) * (N$1016:N$1038),0))</f>
        <v>114.10962858076286</v>
      </c>
      <c r="O1099" s="71">
        <f t="array" ref="O1099">SUM(($A$743:$A$750=$A1099)*($B$743:$B$750=$B1099)*(O$743:O$750)) + SUM(IFERROR(($A$933:$A$1010=$A1099)*($B$933:$B$1010=$B1099)*(O$933:O$1010),0)) + SUM(($A$768:$A$845=$A1099)*($B$768:$B$845= $B1099)*(O$768:O$845)) + SUM(IFERROR(($A$1016:$A$1038=$A1099) * ($B$1016:$B$1038=$B1099) * (O$1016:O$1038),0))</f>
        <v>134.45274949292994</v>
      </c>
    </row>
    <row r="1100" spans="1:15" s="19" customFormat="1">
      <c r="A1100" s="19" t="str">
        <f>A1099</f>
        <v>OT</v>
      </c>
      <c r="B1100" s="347" t="s">
        <v>35</v>
      </c>
      <c r="C1100" s="19" t="str">
        <f>INDEX(Vectors[Description], MATCH($B1100, Vectors[Code], 0))</f>
        <v>Solid hydrocarbons</v>
      </c>
      <c r="D1100" s="644"/>
      <c r="E1100" s="164"/>
      <c r="F1100" s="71">
        <f t="array" ref="F1100">SUM(($A$743:$A$750=$A1100)*($B$743:$B$750=$B1100)*(F$743:F$750)) + SUM(IFERROR(($A$933:$A$1010=$A1100)*($B$933:$B$1010=$B1100)*(F$933:F$1010),0)) + SUM(($A$768:$A$845=$A1100)*($B$768:$B$845= $B1100)*(F$768:F$845)) + SUM(IFERROR(($A$1016:$A$1038=$A1100) * ($B$1016:$B$1038=$B1100) * (F$1016:F$1038),0))</f>
        <v>154.46031303735185</v>
      </c>
      <c r="G1100" s="71">
        <f t="array" ref="G1100">SUM(($A$743:$A$750=$A1100)*($B$743:$B$750=$B1100)*(G$743:G$750)) + SUM(IFERROR(($A$933:$A$1010=$A1100)*($B$933:$B$1010=$B1100)*(G$933:G$1010),0)) + SUM(($A$768:$A$845=$A1100)*($B$768:$B$845= $B1100)*(G$768:G$845)) + SUM(IFERROR(($A$1016:$A$1038=$A1100) * ($B$1016:$B$1038=$B1100) * (G$1016:G$1038),0))</f>
        <v>180.54994864505574</v>
      </c>
      <c r="H1100" s="71">
        <f t="array" ref="H1100">SUM(($A$743:$A$750=$A1100)*($B$743:$B$750=$B1100)*(H$743:H$750)) + SUM(IFERROR(($A$933:$A$1010=$A1100)*($B$933:$B$1010=$B1100)*(H$933:H$1010),0)) + SUM(($A$768:$A$845=$A1100)*($B$768:$B$845= $B1100)*(H$768:H$845)) + SUM(IFERROR(($A$1016:$A$1038=$A1100) * ($B$1016:$B$1038=$B1100) * (H$1016:H$1038),0))</f>
        <v>218.61513841739117</v>
      </c>
      <c r="I1100" s="71">
        <f t="array" ref="I1100">SUM(($A$743:$A$750=$A1100)*($B$743:$B$750=$B1100)*(I$743:I$750)) + SUM(IFERROR(($A$933:$A$1010=$A1100)*($B$933:$B$1010=$B1100)*(I$933:I$1010),0)) + SUM(($A$768:$A$845=$A1100)*($B$768:$B$845= $B1100)*(I$768:I$845)) + SUM(IFERROR(($A$1016:$A$1038=$A1100) * ($B$1016:$B$1038=$B1100) * (I$1016:I$1038),0))</f>
        <v>256.68032818972659</v>
      </c>
      <c r="J1100" s="71">
        <f t="array" ref="J1100">SUM(($A$743:$A$750=$A1100)*($B$743:$B$750=$B1100)*(J$743:J$750)) + SUM(IFERROR(($A$933:$A$1010=$A1100)*($B$933:$B$1010=$B1100)*(J$933:J$1010),0)) + SUM(($A$768:$A$845=$A1100)*($B$768:$B$845= $B1100)*(J$768:J$845)) + SUM(IFERROR(($A$1016:$A$1038=$A1100) * ($B$1016:$B$1038=$B1100) * (J$1016:J$1038),0))</f>
        <v>317.05790365610198</v>
      </c>
      <c r="K1100" s="71">
        <f t="array" ref="K1100">SUM(($A$743:$A$750=$A1100)*($B$743:$B$750=$B1100)*(K$743:K$750)) + SUM(IFERROR(($A$933:$A$1010=$A1100)*($B$933:$B$1010=$B1100)*(K$933:K$1010),0)) + SUM(($A$768:$A$845=$A1100)*($B$768:$B$845= $B1100)*(K$768:K$845)) + SUM(IFERROR(($A$1016:$A$1038=$A1100) * ($B$1016:$B$1038=$B1100) * (K$1016:K$1038),0))</f>
        <v>377.43547912247732</v>
      </c>
      <c r="L1100" s="71">
        <f t="array" ref="L1100">SUM(($A$743:$A$750=$A1100)*($B$743:$B$750=$B1100)*(L$743:L$750)) + SUM(IFERROR(($A$933:$A$1010=$A1100)*($B$933:$B$1010=$B1100)*(L$933:L$1010),0)) + SUM(($A$768:$A$845=$A1100)*($B$768:$B$845= $B1100)*(L$768:L$845)) + SUM(IFERROR(($A$1016:$A$1038=$A1100) * ($B$1016:$B$1038=$B1100) * (L$1016:L$1038),0))</f>
        <v>480.11234688934724</v>
      </c>
      <c r="M1100" s="71">
        <f t="array" ref="M1100">SUM(($A$743:$A$750=$A1100)*($B$743:$B$750=$B1100)*(M$743:M$750)) + SUM(IFERROR(($A$933:$A$1010=$A1100)*($B$933:$B$1010=$B1100)*(M$933:M$1010),0)) + SUM(($A$768:$A$845=$A1100)*($B$768:$B$845= $B1100)*(M$768:M$845)) + SUM(IFERROR(($A$1016:$A$1038=$A1100) * ($B$1016:$B$1038=$B1100) * (M$1016:M$1038),0))</f>
        <v>582.78921465621715</v>
      </c>
      <c r="N1100" s="71">
        <f t="array" ref="N1100">SUM(($A$743:$A$750=$A1100)*($B$743:$B$750=$B1100)*(N$743:N$750)) + SUM(IFERROR(($A$933:$A$1010=$A1100)*($B$933:$B$1010=$B1100)*(N$933:N$1010),0)) + SUM(($A$768:$A$845=$A1100)*($B$768:$B$845= $B1100)*(N$768:N$845)) + SUM(IFERROR(($A$1016:$A$1038=$A1100) * ($B$1016:$B$1038=$B1100) * (N$1016:N$1038),0))</f>
        <v>703.24471591224756</v>
      </c>
      <c r="O1100" s="71">
        <f t="array" ref="O1100">SUM(($A$743:$A$750=$A1100)*($B$743:$B$750=$B1100)*(O$743:O$750)) + SUM(IFERROR(($A$933:$A$1010=$A1100)*($B$933:$B$1010=$B1100)*(O$933:O$1010),0)) + SUM(($A$768:$A$845=$A1100)*($B$768:$B$845= $B1100)*(O$768:O$845)) + SUM(IFERROR(($A$1016:$A$1038=$A1100) * ($B$1016:$B$1038=$B1100) * (O$1016:O$1038),0))</f>
        <v>823.70021716827796</v>
      </c>
    </row>
    <row r="1101" spans="1:15" s="19" customFormat="1">
      <c r="A1101" s="19" t="str">
        <f>A1100</f>
        <v>OT</v>
      </c>
      <c r="B1101" s="347" t="s">
        <v>37</v>
      </c>
      <c r="C1101" s="19" t="str">
        <f>INDEX(Vectors[Description], MATCH($B1101, Vectors[Code], 0))</f>
        <v>Liquid hydrocarbons</v>
      </c>
      <c r="D1101" s="644"/>
      <c r="E1101" s="164"/>
      <c r="F1101" s="71">
        <f t="array" ref="F1101">SUM(($A$743:$A$750=$A1101)*($B$743:$B$750=$B1101)*(F$743:F$750)) + SUM(IFERROR(($A$933:$A$1010=$A1101)*($B$933:$B$1010=$B1101)*(F$933:F$1010),0)) + SUM(($A$768:$A$845=$A1101)*($B$768:$B$845= $B1101)*(F$768:F$845)) + SUM(IFERROR(($A$1016:$A$1038=$A1101) * ($B$1016:$B$1038=$B1101) * (F$1016:F$1038),0))</f>
        <v>7.9593717470999996</v>
      </c>
      <c r="G1101" s="71">
        <f t="array" ref="G1101">SUM(($A$743:$A$750=$A1101)*($B$743:$B$750=$B1101)*(G$743:G$750)) + SUM(IFERROR(($A$933:$A$1010=$A1101)*($B$933:$B$1010=$B1101)*(G$933:G$1010),0)) + SUM(($A$768:$A$845=$A1101)*($B$768:$B$845= $B1101)*(G$768:G$845)) + SUM(IFERROR(($A$1016:$A$1038=$A1101) * ($B$1016:$B$1038=$B1101) * (G$1016:G$1038),0))</f>
        <v>9.3069941653694936</v>
      </c>
      <c r="H1101" s="71">
        <f t="array" ref="H1101">SUM(($A$743:$A$750=$A1101)*($B$743:$B$750=$B1101)*(H$743:H$750)) + SUM(IFERROR(($A$933:$A$1010=$A1101)*($B$933:$B$1010=$B1101)*(H$933:H$1010),0)) + SUM(($A$768:$A$845=$A1101)*($B$768:$B$845= $B1101)*(H$768:H$845)) + SUM(IFERROR(($A$1016:$A$1038=$A1101) * ($B$1016:$B$1038=$B1101) * (H$1016:H$1038),0))</f>
        <v>11.070815143493242</v>
      </c>
      <c r="I1101" s="71">
        <f t="array" ref="I1101">SUM(($A$743:$A$750=$A1101)*($B$743:$B$750=$B1101)*(I$743:I$750)) + SUM(IFERROR(($A$933:$A$1010=$A1101)*($B$933:$B$1010=$B1101)*(I$933:I$1010),0)) + SUM(($A$768:$A$845=$A1101)*($B$768:$B$845= $B1101)*(I$768:I$845)) + SUM(IFERROR(($A$1016:$A$1038=$A1101) * ($B$1016:$B$1038=$B1101) * (I$1016:I$1038),0))</f>
        <v>13.256253077210788</v>
      </c>
      <c r="J1101" s="71">
        <f t="array" ref="J1101">SUM(($A$743:$A$750=$A1101)*($B$743:$B$750=$B1101)*(J$743:J$750)) + SUM(IFERROR(($A$933:$A$1010=$A1101)*($B$933:$B$1010=$B1101)*(J$933:J$1010),0)) + SUM(($A$768:$A$845=$A1101)*($B$768:$B$845= $B1101)*(J$768:J$845)) + SUM(IFERROR(($A$1016:$A$1038=$A1101) * ($B$1016:$B$1038=$B1101) * (J$1016:J$1038),0))</f>
        <v>16.016095113734085</v>
      </c>
      <c r="K1101" s="71">
        <f t="array" ref="K1101">SUM(($A$743:$A$750=$A1101)*($B$743:$B$750=$B1101)*(K$743:K$750)) + SUM(IFERROR(($A$933:$A$1010=$A1101)*($B$933:$B$1010=$B1101)*(K$933:K$1010),0)) + SUM(($A$768:$A$845=$A1101)*($B$768:$B$845= $B1101)*(K$768:K$845)) + SUM(IFERROR(($A$1016:$A$1038=$A1101) * ($B$1016:$B$1038=$B1101) * (K$1016:K$1038),0))</f>
        <v>19.559820883337636</v>
      </c>
      <c r="L1101" s="71">
        <f t="array" ref="L1101">SUM(($A$743:$A$750=$A1101)*($B$743:$B$750=$B1101)*(L$743:L$750)) + SUM(IFERROR(($A$933:$A$1010=$A1101)*($B$933:$B$1010=$B1101)*(L$933:L$1010),0)) + SUM(($A$768:$A$845=$A1101)*($B$768:$B$845= $B1101)*(L$768:L$845)) + SUM(IFERROR(($A$1016:$A$1038=$A1101) * ($B$1016:$B$1038=$B1101) * (L$1016:L$1038),0))</f>
        <v>24.581695421867138</v>
      </c>
      <c r="M1101" s="71">
        <f t="array" ref="M1101">SUM(($A$743:$A$750=$A1101)*($B$743:$B$750=$B1101)*(M$743:M$750)) + SUM(IFERROR(($A$933:$A$1010=$A1101)*($B$933:$B$1010=$B1101)*(M$933:M$1010),0)) + SUM(($A$768:$A$845=$A1101)*($B$768:$B$845= $B1101)*(M$768:M$845)) + SUM(IFERROR(($A$1016:$A$1038=$A1101) * ($B$1016:$B$1038=$B1101) * (M$1016:M$1038),0))</f>
        <v>30.290149171367318</v>
      </c>
      <c r="N1101" s="71">
        <f t="array" ref="N1101">SUM(($A$743:$A$750=$A1101)*($B$743:$B$750=$B1101)*(N$743:N$750)) + SUM(IFERROR(($A$933:$A$1010=$A1101)*($B$933:$B$1010=$B1101)*(N$933:N$1010),0)) + SUM(($A$768:$A$845=$A1101)*($B$768:$B$845= $B1101)*(N$768:N$845)) + SUM(IFERROR(($A$1016:$A$1038=$A1101) * ($B$1016:$B$1038=$B1101) * (N$1016:N$1038),0))</f>
        <v>36.363681642331095</v>
      </c>
      <c r="O1101" s="71">
        <f t="array" ref="O1101">SUM(($A$743:$A$750=$A1101)*($B$743:$B$750=$B1101)*(O$743:O$750)) + SUM(IFERROR(($A$933:$A$1010=$A1101)*($B$933:$B$1010=$B1101)*(O$933:O$1010),0)) + SUM(($A$768:$A$845=$A1101)*($B$768:$B$845= $B1101)*(O$768:O$845)) + SUM(IFERROR(($A$1016:$A$1038=$A1101) * ($B$1016:$B$1038=$B1101) * (O$1016:O$1038),0))</f>
        <v>42.864907404470003</v>
      </c>
    </row>
    <row r="1102" spans="1:15" s="19" customFormat="1">
      <c r="A1102" s="19" t="str">
        <f>A1101</f>
        <v>OT</v>
      </c>
      <c r="B1102" s="347" t="s">
        <v>38</v>
      </c>
      <c r="C1102" s="19" t="str">
        <f>INDEX(Vectors[Description], MATCH($B1102, Vectors[Code], 0))</f>
        <v>Gaseous hydrocarbons</v>
      </c>
      <c r="D1102" s="644"/>
      <c r="E1102" s="164"/>
      <c r="F1102" s="71">
        <f t="array" ref="F1102">SUM(($A$743:$A$750=$A1102)*($B$743:$B$750=$B1102)*(F$743:F$750)) + SUM(IFERROR(($A$933:$A$1010=$A1102)*($B$933:$B$1010=$B1102)*(F$933:F$1010),0)) + SUM(($A$768:$A$845=$A1102)*($B$768:$B$845= $B1102)*(F$768:F$845)) + SUM(IFERROR(($A$1016:$A$1038=$A1102) * ($B$1016:$B$1038=$B1102) * (F$1016:F$1038),0))</f>
        <v>8.4365099999999984</v>
      </c>
      <c r="G1102" s="71">
        <f t="array" ref="G1102">SUM(($A$743:$A$750=$A1102)*($B$743:$B$750=$B1102)*(G$743:G$750)) + SUM(IFERROR(($A$933:$A$1010=$A1102)*($B$933:$B$1010=$B1102)*(G$933:G$1010),0)) + SUM(($A$768:$A$845=$A1102)*($B$768:$B$845= $B1102)*(G$768:G$845)) + SUM(IFERROR(($A$1016:$A$1038=$A1102) * ($B$1016:$B$1038=$B1102) * (G$1016:G$1038),0))</f>
        <v>9.8615069288067119</v>
      </c>
      <c r="H1102" s="71">
        <f t="array" ref="H1102">SUM(($A$743:$A$750=$A1102)*($B$743:$B$750=$B1102)*(H$743:H$750)) + SUM(IFERROR(($A$933:$A$1010=$A1102)*($B$933:$B$1010=$B1102)*(H$933:H$1010),0)) + SUM(($A$768:$A$845=$A1102)*($B$768:$B$845= $B1102)*(H$768:H$845)) + SUM(IFERROR(($A$1016:$A$1038=$A1102) * ($B$1016:$B$1038=$B1102) * (H$1016:H$1038),0))</f>
        <v>11.940599919434977</v>
      </c>
      <c r="I1102" s="71">
        <f t="array" ref="I1102">SUM(($A$743:$A$750=$A1102)*($B$743:$B$750=$B1102)*(I$743:I$750)) + SUM(IFERROR(($A$933:$A$1010=$A1102)*($B$933:$B$1010=$B1102)*(I$933:I$1010),0)) + SUM(($A$768:$A$845=$A1102)*($B$768:$B$845= $B1102)*(I$768:I$845)) + SUM(IFERROR(($A$1016:$A$1038=$A1102) * ($B$1016:$B$1038=$B1102) * (I$1016:I$1038),0))</f>
        <v>14.01969291006324</v>
      </c>
      <c r="J1102" s="71">
        <f t="array" ref="J1102">SUM(($A$743:$A$750=$A1102)*($B$743:$B$750=$B1102)*(J$743:J$750)) + SUM(IFERROR(($A$933:$A$1010=$A1102)*($B$933:$B$1010=$B1102)*(J$933:J$1010),0)) + SUM(($A$768:$A$845=$A1102)*($B$768:$B$845= $B1102)*(J$768:J$845)) + SUM(IFERROR(($A$1016:$A$1038=$A1102) * ($B$1016:$B$1038=$B1102) * (J$1016:J$1038),0))</f>
        <v>17.317472185407915</v>
      </c>
      <c r="K1102" s="71">
        <f t="array" ref="K1102">SUM(($A$743:$A$750=$A1102)*($B$743:$B$750=$B1102)*(K$743:K$750)) + SUM(IFERROR(($A$933:$A$1010=$A1102)*($B$933:$B$1010=$B1102)*(K$933:K$1010),0)) + SUM(($A$768:$A$845=$A1102)*($B$768:$B$845= $B1102)*(K$768:K$845)) + SUM(IFERROR(($A$1016:$A$1038=$A1102) * ($B$1016:$B$1038=$B1102) * (K$1016:K$1038),0))</f>
        <v>20.615251460752592</v>
      </c>
      <c r="L1102" s="71">
        <f t="array" ref="L1102">SUM(($A$743:$A$750=$A1102)*($B$743:$B$750=$B1102)*(L$743:L$750)) + SUM(IFERROR(($A$933:$A$1010=$A1102)*($B$933:$B$1010=$B1102)*(L$933:L$1010),0)) + SUM(($A$768:$A$845=$A1102)*($B$768:$B$845= $B1102)*(L$768:L$845)) + SUM(IFERROR(($A$1016:$A$1038=$A1102) * ($B$1016:$B$1038=$B1102) * (L$1016:L$1038),0))</f>
        <v>26.223387328471581</v>
      </c>
      <c r="M1102" s="71">
        <f t="array" ref="M1102">SUM(($A$743:$A$750=$A1102)*($B$743:$B$750=$B1102)*(M$743:M$750)) + SUM(IFERROR(($A$933:$A$1010=$A1102)*($B$933:$B$1010=$B1102)*(M$933:M$1010),0)) + SUM(($A$768:$A$845=$A1102)*($B$768:$B$845= $B1102)*(M$768:M$845)) + SUM(IFERROR(($A$1016:$A$1038=$A1102) * ($B$1016:$B$1038=$B1102) * (M$1016:M$1038),0))</f>
        <v>31.831523196190567</v>
      </c>
      <c r="N1102" s="71">
        <f t="array" ref="N1102">SUM(($A$743:$A$750=$A1102)*($B$743:$B$750=$B1102)*(N$743:N$750)) + SUM(IFERROR(($A$933:$A$1010=$A1102)*($B$933:$B$1010=$B1102)*(N$933:N$1010),0)) + SUM(($A$768:$A$845=$A1102)*($B$768:$B$845= $B1102)*(N$768:N$845)) + SUM(IFERROR(($A$1016:$A$1038=$A1102) * ($B$1016:$B$1038=$B1102) * (N$1016:N$1038),0))</f>
        <v>38.41071509939335</v>
      </c>
      <c r="O1102" s="71">
        <f t="array" ref="O1102">SUM(($A$743:$A$750=$A1102)*($B$743:$B$750=$B1102)*(O$743:O$750)) + SUM(IFERROR(($A$933:$A$1010=$A1102)*($B$933:$B$1010=$B1102)*(O$933:O$1010),0)) + SUM(($A$768:$A$845=$A1102)*($B$768:$B$845= $B1102)*(O$768:O$845)) + SUM(IFERROR(($A$1016:$A$1038=$A1102) * ($B$1016:$B$1038=$B1102) * (O$1016:O$1038),0))</f>
        <v>44.989907002596134</v>
      </c>
    </row>
    <row r="1103" spans="1:15" s="19" customFormat="1">
      <c r="A1103" s="19" t="str">
        <f>A1102</f>
        <v>OT</v>
      </c>
      <c r="B1103" s="347" t="s">
        <v>251</v>
      </c>
      <c r="C1103" s="19" t="str">
        <f>INDEX(Vectors[Description], MATCH($B1103, Vectors[Code], 0))</f>
        <v>Dry biomass and waste</v>
      </c>
      <c r="D1103" s="654"/>
      <c r="E1103" s="76"/>
      <c r="F1103" s="71">
        <f t="array" ref="F1103">SUM(($A$743:$A$750=$A1103)*($B$743:$B$750=$B1103)*(F$743:F$750)) + SUM(IFERROR(($A$933:$A$1010=$A1103)*($B$933:$B$1010=$B1103)*(F$933:F$1010),0)) + SUM(($A$768:$A$845=$A1103)*($B$768:$B$845= $B1103)*(F$768:F$845)) + SUM(IFERROR(($A$1016:$A$1038=$A1103) * ($B$1016:$B$1038=$B1103) * (F$1016:F$1038),0))</f>
        <v>0</v>
      </c>
      <c r="G1103" s="71">
        <f t="array" ref="G1103">SUM(($A$743:$A$750=$A1103)*($B$743:$B$750=$B1103)*(G$743:G$750)) + SUM(IFERROR(($A$933:$A$1010=$A1103)*($B$933:$B$1010=$B1103)*(G$933:G$1010),0)) + SUM(($A$768:$A$845=$A1103)*($B$768:$B$845= $B1103)*(G$768:G$845)) + SUM(IFERROR(($A$1016:$A$1038=$A1103) * ($B$1016:$B$1038=$B1103) * (G$1016:G$1038),0))</f>
        <v>0</v>
      </c>
      <c r="H1103" s="71">
        <f t="array" ref="H1103">SUM(($A$743:$A$750=$A1103)*($B$743:$B$750=$B1103)*(H$743:H$750)) + SUM(IFERROR(($A$933:$A$1010=$A1103)*($B$933:$B$1010=$B1103)*(H$933:H$1010),0)) + SUM(($A$768:$A$845=$A1103)*($B$768:$B$845= $B1103)*(H$768:H$845)) + SUM(IFERROR(($A$1016:$A$1038=$A1103) * ($B$1016:$B$1038=$B1103) * (H$1016:H$1038),0))</f>
        <v>0</v>
      </c>
      <c r="I1103" s="71">
        <f t="array" ref="I1103">SUM(($A$743:$A$750=$A1103)*($B$743:$B$750=$B1103)*(I$743:I$750)) + SUM(IFERROR(($A$933:$A$1010=$A1103)*($B$933:$B$1010=$B1103)*(I$933:I$1010),0)) + SUM(($A$768:$A$845=$A1103)*($B$768:$B$845= $B1103)*(I$768:I$845)) + SUM(IFERROR(($A$1016:$A$1038=$A1103) * ($B$1016:$B$1038=$B1103) * (I$1016:I$1038),0))</f>
        <v>0</v>
      </c>
      <c r="J1103" s="71">
        <f t="array" ref="J1103">SUM(($A$743:$A$750=$A1103)*($B$743:$B$750=$B1103)*(J$743:J$750)) + SUM(IFERROR(($A$933:$A$1010=$A1103)*($B$933:$B$1010=$B1103)*(J$933:J$1010),0)) + SUM(($A$768:$A$845=$A1103)*($B$768:$B$845= $B1103)*(J$768:J$845)) + SUM(IFERROR(($A$1016:$A$1038=$A1103) * ($B$1016:$B$1038=$B1103) * (J$1016:J$1038),0))</f>
        <v>0</v>
      </c>
      <c r="K1103" s="71">
        <f t="array" ref="K1103">SUM(($A$743:$A$750=$A1103)*($B$743:$B$750=$B1103)*(K$743:K$750)) + SUM(IFERROR(($A$933:$A$1010=$A1103)*($B$933:$B$1010=$B1103)*(K$933:K$1010),0)) + SUM(($A$768:$A$845=$A1103)*($B$768:$B$845= $B1103)*(K$768:K$845)) + SUM(IFERROR(($A$1016:$A$1038=$A1103) * ($B$1016:$B$1038=$B1103) * (K$1016:K$1038),0))</f>
        <v>0</v>
      </c>
      <c r="L1103" s="71">
        <f t="array" ref="L1103">SUM(($A$743:$A$750=$A1103)*($B$743:$B$750=$B1103)*(L$743:L$750)) + SUM(IFERROR(($A$933:$A$1010=$A1103)*($B$933:$B$1010=$B1103)*(L$933:L$1010),0)) + SUM(($A$768:$A$845=$A1103)*($B$768:$B$845= $B1103)*(L$768:L$845)) + SUM(IFERROR(($A$1016:$A$1038=$A1103) * ($B$1016:$B$1038=$B1103) * (L$1016:L$1038),0))</f>
        <v>0</v>
      </c>
      <c r="M1103" s="71">
        <f t="array" ref="M1103">SUM(($A$743:$A$750=$A1103)*($B$743:$B$750=$B1103)*(M$743:M$750)) + SUM(IFERROR(($A$933:$A$1010=$A1103)*($B$933:$B$1010=$B1103)*(M$933:M$1010),0)) + SUM(($A$768:$A$845=$A1103)*($B$768:$B$845= $B1103)*(M$768:M$845)) + SUM(IFERROR(($A$1016:$A$1038=$A1103) * ($B$1016:$B$1038=$B1103) * (M$1016:M$1038),0))</f>
        <v>0</v>
      </c>
      <c r="N1103" s="71">
        <f t="array" ref="N1103">SUM(($A$743:$A$750=$A1103)*($B$743:$B$750=$B1103)*(N$743:N$750)) + SUM(IFERROR(($A$933:$A$1010=$A1103)*($B$933:$B$1010=$B1103)*(N$933:N$1010),0)) + SUM(($A$768:$A$845=$A1103)*($B$768:$B$845= $B1103)*(N$768:N$845)) + SUM(IFERROR(($A$1016:$A$1038=$A1103) * ($B$1016:$B$1038=$B1103) * (N$1016:N$1038),0))</f>
        <v>0</v>
      </c>
      <c r="O1103" s="71">
        <f t="array" ref="O1103">SUM(($A$743:$A$750=$A1103)*($B$743:$B$750=$B1103)*(O$743:O$750)) + SUM(IFERROR(($A$933:$A$1010=$A1103)*($B$933:$B$1010=$B1103)*(O$933:O$1010),0)) + SUM(($A$768:$A$845=$A1103)*($B$768:$B$845= $B1103)*(O$768:O$845)) + SUM(IFERROR(($A$1016:$A$1038=$A1103) * ($B$1016:$B$1038=$B1103) * (O$1016:O$1038),0))</f>
        <v>0</v>
      </c>
    </row>
    <row r="1104" spans="1:15" s="19" customFormat="1">
      <c r="A1104" s="19" t="str">
        <f>A1103</f>
        <v>OT</v>
      </c>
      <c r="B1104" s="347" t="s">
        <v>897</v>
      </c>
      <c r="C1104" s="19" t="str">
        <f>INDEX(Vectors[Description], MATCH($B1104, Vectors[Code], 0))</f>
        <v>Other Waste</v>
      </c>
      <c r="D1104" s="654"/>
      <c r="E1104" s="76"/>
      <c r="F1104" s="71">
        <f t="array" ref="F1104">SUM(($A$743:$A$750=$A1104)*($B$743:$B$750=$B1104)*(F$743:F$750)) + SUM(IFERROR(($A$933:$A$1010=$A1104)*($B$933:$B$1010=$B1104)*(F$933:F$1010),0)) + SUM(($A$768:$A$845=$A1104)*($B$768:$B$845= $B1104)*(F$768:F$845)) + SUM(IFERROR(($A$1016:$A$1038=$A1104) * ($B$1016:$B$1038=$B1104) * (F$1016:F$1038),0))</f>
        <v>0</v>
      </c>
      <c r="G1104" s="71">
        <f t="array" ref="G1104">SUM(($A$743:$A$750=$A1104)*($B$743:$B$750=$B1104)*(G$743:G$750)) + SUM(IFERROR(($A$933:$A$1010=$A1104)*($B$933:$B$1010=$B1104)*(G$933:G$1010),0)) + SUM(($A$768:$A$845=$A1104)*($B$768:$B$845= $B1104)*(G$768:G$845)) + SUM(IFERROR(($A$1016:$A$1038=$A1104) * ($B$1016:$B$1038=$B1104) * (G$1016:G$1038),0))</f>
        <v>0</v>
      </c>
      <c r="H1104" s="71">
        <f t="array" ref="H1104">SUM(($A$743:$A$750=$A1104)*($B$743:$B$750=$B1104)*(H$743:H$750)) + SUM(IFERROR(($A$933:$A$1010=$A1104)*($B$933:$B$1010=$B1104)*(H$933:H$1010),0)) + SUM(($A$768:$A$845=$A1104)*($B$768:$B$845= $B1104)*(H$768:H$845)) + SUM(IFERROR(($A$1016:$A$1038=$A1104) * ($B$1016:$B$1038=$B1104) * (H$1016:H$1038),0))</f>
        <v>0</v>
      </c>
      <c r="I1104" s="71">
        <f t="array" ref="I1104">SUM(($A$743:$A$750=$A1104)*($B$743:$B$750=$B1104)*(I$743:I$750)) + SUM(IFERROR(($A$933:$A$1010=$A1104)*($B$933:$B$1010=$B1104)*(I$933:I$1010),0)) + SUM(($A$768:$A$845=$A1104)*($B$768:$B$845= $B1104)*(I$768:I$845)) + SUM(IFERROR(($A$1016:$A$1038=$A1104) * ($B$1016:$B$1038=$B1104) * (I$1016:I$1038),0))</f>
        <v>0</v>
      </c>
      <c r="J1104" s="71">
        <f t="array" ref="J1104">SUM(($A$743:$A$750=$A1104)*($B$743:$B$750=$B1104)*(J$743:J$750)) + SUM(IFERROR(($A$933:$A$1010=$A1104)*($B$933:$B$1010=$B1104)*(J$933:J$1010),0)) + SUM(($A$768:$A$845=$A1104)*($B$768:$B$845= $B1104)*(J$768:J$845)) + SUM(IFERROR(($A$1016:$A$1038=$A1104) * ($B$1016:$B$1038=$B1104) * (J$1016:J$1038),0))</f>
        <v>0</v>
      </c>
      <c r="K1104" s="71">
        <f t="array" ref="K1104">SUM(($A$743:$A$750=$A1104)*($B$743:$B$750=$B1104)*(K$743:K$750)) + SUM(IFERROR(($A$933:$A$1010=$A1104)*($B$933:$B$1010=$B1104)*(K$933:K$1010),0)) + SUM(($A$768:$A$845=$A1104)*($B$768:$B$845= $B1104)*(K$768:K$845)) + SUM(IFERROR(($A$1016:$A$1038=$A1104) * ($B$1016:$B$1038=$B1104) * (K$1016:K$1038),0))</f>
        <v>0</v>
      </c>
      <c r="L1104" s="71">
        <f t="array" ref="L1104">SUM(($A$743:$A$750=$A1104)*($B$743:$B$750=$B1104)*(L$743:L$750)) + SUM(IFERROR(($A$933:$A$1010=$A1104)*($B$933:$B$1010=$B1104)*(L$933:L$1010),0)) + SUM(($A$768:$A$845=$A1104)*($B$768:$B$845= $B1104)*(L$768:L$845)) + SUM(IFERROR(($A$1016:$A$1038=$A1104) * ($B$1016:$B$1038=$B1104) * (L$1016:L$1038),0))</f>
        <v>0</v>
      </c>
      <c r="M1104" s="71">
        <f t="array" ref="M1104">SUM(($A$743:$A$750=$A1104)*($B$743:$B$750=$B1104)*(M$743:M$750)) + SUM(IFERROR(($A$933:$A$1010=$A1104)*($B$933:$B$1010=$B1104)*(M$933:M$1010),0)) + SUM(($A$768:$A$845=$A1104)*($B$768:$B$845= $B1104)*(M$768:M$845)) + SUM(IFERROR(($A$1016:$A$1038=$A1104) * ($B$1016:$B$1038=$B1104) * (M$1016:M$1038),0))</f>
        <v>0</v>
      </c>
      <c r="N1104" s="71">
        <f t="array" ref="N1104">SUM(($A$743:$A$750=$A1104)*($B$743:$B$750=$B1104)*(N$743:N$750)) + SUM(IFERROR(($A$933:$A$1010=$A1104)*($B$933:$B$1010=$B1104)*(N$933:N$1010),0)) + SUM(($A$768:$A$845=$A1104)*($B$768:$B$845= $B1104)*(N$768:N$845)) + SUM(IFERROR(($A$1016:$A$1038=$A1104) * ($B$1016:$B$1038=$B1104) * (N$1016:N$1038),0))</f>
        <v>0</v>
      </c>
      <c r="O1104" s="71">
        <f t="array" ref="O1104">SUM(($A$743:$A$750=$A1104)*($B$743:$B$750=$B1104)*(O$743:O$750)) + SUM(IFERROR(($A$933:$A$1010=$A1104)*($B$933:$B$1010=$B1104)*(O$933:O$1010),0)) + SUM(($A$768:$A$845=$A1104)*($B$768:$B$845= $B1104)*(O$768:O$845)) + SUM(IFERROR(($A$1016:$A$1038=$A1104) * ($B$1016:$B$1038=$B1104) * (O$1016:O$1038),0))</f>
        <v>0</v>
      </c>
    </row>
    <row r="1105" spans="1:15" s="19" customFormat="1" ht="14" thickBot="1">
      <c r="A1105" s="650"/>
      <c r="B1105" s="662"/>
      <c r="C1105" s="650"/>
      <c r="D1105" s="647"/>
      <c r="E1105" s="661"/>
      <c r="F1105" s="660"/>
      <c r="G1105" s="660"/>
      <c r="H1105" s="660"/>
      <c r="I1105" s="660"/>
      <c r="J1105" s="660"/>
      <c r="K1105" s="660"/>
      <c r="L1105" s="660"/>
      <c r="M1105" s="660"/>
      <c r="N1105" s="660"/>
      <c r="O1105" s="660"/>
    </row>
    <row r="1106" spans="1:15" s="19" customFormat="1" ht="14" thickTop="1">
      <c r="B1106" s="348"/>
      <c r="C1106" s="1086"/>
      <c r="D1106" s="654"/>
      <c r="E1106" s="76"/>
      <c r="F1106" s="65"/>
      <c r="G1106" s="65"/>
      <c r="H1106" s="65"/>
      <c r="I1106" s="65"/>
      <c r="J1106" s="65"/>
      <c r="K1106" s="65"/>
      <c r="L1106" s="65"/>
      <c r="M1106" s="65"/>
      <c r="N1106" s="65"/>
      <c r="O1106" s="65"/>
    </row>
    <row r="1107" spans="1:15" s="19" customFormat="1">
      <c r="B1107" s="348" t="s">
        <v>420</v>
      </c>
      <c r="C1107" s="1086"/>
      <c r="D1107" s="644"/>
      <c r="E1107" s="17" t="s">
        <v>1329</v>
      </c>
      <c r="O1107" s="155"/>
    </row>
    <row r="1108" spans="1:15" s="19" customFormat="1" ht="14">
      <c r="B1108" s="348"/>
      <c r="C1108" s="1086"/>
      <c r="D1108" s="644"/>
      <c r="F1108" s="75">
        <f>Base_Year</f>
        <v>2006</v>
      </c>
      <c r="G1108" s="75">
        <v>2010</v>
      </c>
      <c r="H1108" s="75">
        <v>2015</v>
      </c>
      <c r="I1108" s="75">
        <v>2020</v>
      </c>
      <c r="J1108" s="75">
        <v>2025</v>
      </c>
      <c r="K1108" s="75">
        <v>2030</v>
      </c>
      <c r="L1108" s="75">
        <v>2035</v>
      </c>
      <c r="M1108" s="75">
        <v>2040</v>
      </c>
      <c r="N1108" s="75">
        <v>2045</v>
      </c>
      <c r="O1108" s="75">
        <v>2050</v>
      </c>
    </row>
    <row r="1109" spans="1:15" s="19" customFormat="1" ht="14" collapsed="1">
      <c r="B1109" s="76" t="s">
        <v>349</v>
      </c>
      <c r="C1109" s="1086" t="str">
        <f>INDEX(GHG[GHG_description], MATCH($B1109, GHG[GHG_code], 0))</f>
        <v>CO_2</v>
      </c>
      <c r="D1109" s="644"/>
      <c r="E1109" s="76"/>
      <c r="F1109" s="75"/>
      <c r="G1109" s="75"/>
      <c r="H1109" s="75"/>
      <c r="I1109" s="75"/>
      <c r="J1109" s="75"/>
      <c r="K1109" s="75"/>
      <c r="L1109" s="75"/>
      <c r="M1109" s="75"/>
      <c r="N1109" s="75"/>
      <c r="O1109" s="75"/>
    </row>
    <row r="1110" spans="1:15" s="19" customFormat="1" ht="14" hidden="1" outlineLevel="1">
      <c r="B1110" s="1393"/>
      <c r="C1110" s="1392" t="str">
        <f>D20</f>
        <v>Mining SIC2</v>
      </c>
      <c r="D1110" s="1391"/>
      <c r="E1110" s="1393"/>
      <c r="F1110" s="1390"/>
      <c r="G1110" s="1390"/>
      <c r="H1110" s="1390"/>
      <c r="I1110" s="1390"/>
      <c r="J1110" s="1390"/>
      <c r="K1110" s="1390"/>
      <c r="L1110" s="1390"/>
      <c r="M1110" s="1390"/>
      <c r="N1110" s="1390"/>
      <c r="O1110" s="1390"/>
    </row>
    <row r="1111" spans="1:15" s="19" customFormat="1" hidden="1" outlineLevel="1">
      <c r="A1111" s="1438" t="str">
        <f>INDEX($C$20:$C$27,MATCH($C1110,$D$20:$D$27,0))</f>
        <v>MI</v>
      </c>
      <c r="B1111" s="1400" t="str">
        <f>INDEX(EF[UK Vector],MATCH(D1111,EF[SATIM Code],0))</f>
        <v>V.03</v>
      </c>
      <c r="C1111" s="1401" t="str">
        <f>INDEX(Vectors[Description], MATCH($B1111, Vectors[Code], 0))</f>
        <v>Solid hydrocarbons</v>
      </c>
      <c r="D1111" s="1391" t="s">
        <v>882</v>
      </c>
      <c r="E1111" s="1393"/>
      <c r="F1111" s="1389">
        <f t="array" ref="F1111">SUM( ($E$1016:$E$1039=$E$1107) * ($A$1016:$A$1039=$A1111) * ($D$1016:$D$1039= $D1111) * (F$1016:F$1039) ) * SUM(EF[CO2] * (EF[SATIM Code]= $D1111) )</f>
        <v>0</v>
      </c>
      <c r="G1111" s="1389">
        <f t="array" ref="G1111">SUM( ($E$1016:$E$1039=$E$1107) * ($A$1016:$A$1039=$A1111) * ($D$1016:$D$1039= $D1111) * (G$1016:G$1039) ) * SUM(EF[CO2] * (EF[SATIM Code]= $D1111) )</f>
        <v>0</v>
      </c>
      <c r="H1111" s="1389">
        <f t="array" ref="H1111">SUM( ($E$1016:$E$1039=$E$1107) * ($A$1016:$A$1039=$A1111) * ($D$1016:$D$1039= $D1111) * (H$1016:H$1039) ) * SUM(EF[CO2] * (EF[SATIM Code]= $D1111) )</f>
        <v>0</v>
      </c>
      <c r="I1111" s="1389">
        <f t="array" ref="I1111">SUM( ($E$1016:$E$1039=$E$1107) * ($A$1016:$A$1039=$A1111) * ($D$1016:$D$1039= $D1111) * (I$1016:I$1039) ) * SUM(EF[CO2] * (EF[SATIM Code]= $D1111) )</f>
        <v>0</v>
      </c>
      <c r="J1111" s="1389">
        <f t="array" ref="J1111">SUM( ($E$1016:$E$1039=$E$1107) * ($A$1016:$A$1039=$A1111) * ($D$1016:$D$1039= $D1111) * (J$1016:J$1039) ) * SUM(EF[CO2] * (EF[SATIM Code]= $D1111) )</f>
        <v>0</v>
      </c>
      <c r="K1111" s="1389">
        <f t="array" ref="K1111">SUM( ($E$1016:$E$1039=$E$1107) * ($A$1016:$A$1039=$A1111) * ($D$1016:$D$1039= $D1111) * (K$1016:K$1039) ) * SUM(EF[CO2] * (EF[SATIM Code]= $D1111) )</f>
        <v>0</v>
      </c>
      <c r="L1111" s="1389">
        <f t="array" ref="L1111">SUM( ($E$1016:$E$1039=$E$1107) * ($A$1016:$A$1039=$A1111) * ($D$1016:$D$1039= $D1111) * (L$1016:L$1039) ) * SUM(EF[CO2] * (EF[SATIM Code]= $D1111) )</f>
        <v>0</v>
      </c>
      <c r="M1111" s="1389">
        <f t="array" ref="M1111">SUM( ($E$1016:$E$1039=$E$1107) * ($A$1016:$A$1039=$A1111) * ($D$1016:$D$1039= $D1111) * (M$1016:M$1039) ) * SUM(EF[CO2] * (EF[SATIM Code]= $D1111) )</f>
        <v>0</v>
      </c>
      <c r="N1111" s="1389">
        <f t="array" ref="N1111">SUM( ($E$1016:$E$1039=$E$1107) * ($A$1016:$A$1039=$A1111) * ($D$1016:$D$1039= $D1111) * (N$1016:N$1039) ) * SUM(EF[CO2] * (EF[SATIM Code]= $D1111) )</f>
        <v>0</v>
      </c>
      <c r="O1111" s="1389">
        <f t="array" ref="O1111">SUM( ($E$1016:$E$1039=$E$1107) * ($A$1016:$A$1039=$A1111) * ($D$1016:$D$1039= $D1111) * (O$1016:O$1039) ) * SUM(EF[CO2] * (EF[SATIM Code]= $D1111) )</f>
        <v>0</v>
      </c>
    </row>
    <row r="1112" spans="1:15" s="19" customFormat="1" hidden="1" outlineLevel="1">
      <c r="A1112" s="19" t="str">
        <f t="shared" ref="A1112:A1119" si="248">A1111</f>
        <v>MI</v>
      </c>
      <c r="B1112" s="1400" t="str">
        <f>INDEX(EF[UK Vector],MATCH(D1112,EF[SATIM Code],0))</f>
        <v>V.03</v>
      </c>
      <c r="C1112" s="1401" t="str">
        <f>INDEX(Vectors[Description], MATCH($B1112, Vectors[Code], 0))</f>
        <v>Solid hydrocarbons</v>
      </c>
      <c r="D1112" s="1391" t="s">
        <v>883</v>
      </c>
      <c r="E1112" s="1393"/>
      <c r="F1112" s="1389">
        <f t="array" ref="F1112">SUM( ($E$1016:$E$1039=$E$1107) * ($A$1016:$A$1039=$A1112) * ($D$1016:$D$1039= $D1112) * (F$1016:F$1039) ) * SUM(EF[CO2] * (EF[SATIM Code]= $D1112) )</f>
        <v>0</v>
      </c>
      <c r="G1112" s="1389">
        <f t="array" ref="G1112">SUM( ($E$1016:$E$1039=$E$1107) * ($A$1016:$A$1039=$A1112) * ($D$1016:$D$1039= $D1112) * (G$1016:G$1039) ) * SUM(EF[CO2] * (EF[SATIM Code]= $D1112) )</f>
        <v>0</v>
      </c>
      <c r="H1112" s="1389">
        <f t="array" ref="H1112">SUM( ($E$1016:$E$1039=$E$1107) * ($A$1016:$A$1039=$A1112) * ($D$1016:$D$1039= $D1112) * (H$1016:H$1039) ) * SUM(EF[CO2] * (EF[SATIM Code]= $D1112) )</f>
        <v>0</v>
      </c>
      <c r="I1112" s="1389">
        <f t="array" ref="I1112">SUM( ($E$1016:$E$1039=$E$1107) * ($A$1016:$A$1039=$A1112) * ($D$1016:$D$1039= $D1112) * (I$1016:I$1039) ) * SUM(EF[CO2] * (EF[SATIM Code]= $D1112) )</f>
        <v>0</v>
      </c>
      <c r="J1112" s="1389">
        <f t="array" ref="J1112">SUM( ($E$1016:$E$1039=$E$1107) * ($A$1016:$A$1039=$A1112) * ($D$1016:$D$1039= $D1112) * (J$1016:J$1039) ) * SUM(EF[CO2] * (EF[SATIM Code]= $D1112) )</f>
        <v>0</v>
      </c>
      <c r="K1112" s="1389">
        <f t="array" ref="K1112">SUM( ($E$1016:$E$1039=$E$1107) * ($A$1016:$A$1039=$A1112) * ($D$1016:$D$1039= $D1112) * (K$1016:K$1039) ) * SUM(EF[CO2] * (EF[SATIM Code]= $D1112) )</f>
        <v>0</v>
      </c>
      <c r="L1112" s="1389">
        <f t="array" ref="L1112">SUM( ($E$1016:$E$1039=$E$1107) * ($A$1016:$A$1039=$A1112) * ($D$1016:$D$1039= $D1112) * (L$1016:L$1039) ) * SUM(EF[CO2] * (EF[SATIM Code]= $D1112) )</f>
        <v>0</v>
      </c>
      <c r="M1112" s="1389">
        <f t="array" ref="M1112">SUM( ($E$1016:$E$1039=$E$1107) * ($A$1016:$A$1039=$A1112) * ($D$1016:$D$1039= $D1112) * (M$1016:M$1039) ) * SUM(EF[CO2] * (EF[SATIM Code]= $D1112) )</f>
        <v>0</v>
      </c>
      <c r="N1112" s="1389">
        <f t="array" ref="N1112">SUM( ($E$1016:$E$1039=$E$1107) * ($A$1016:$A$1039=$A1112) * ($D$1016:$D$1039= $D1112) * (N$1016:N$1039) ) * SUM(EF[CO2] * (EF[SATIM Code]= $D1112) )</f>
        <v>0</v>
      </c>
      <c r="O1112" s="1389">
        <f t="array" ref="O1112">SUM( ($E$1016:$E$1039=$E$1107) * ($A$1016:$A$1039=$A1112) * ($D$1016:$D$1039= $D1112) * (O$1016:O$1039) ) * SUM(EF[CO2] * (EF[SATIM Code]= $D1112) )</f>
        <v>0</v>
      </c>
    </row>
    <row r="1113" spans="1:15" s="19" customFormat="1" hidden="1" outlineLevel="1">
      <c r="A1113" s="19" t="str">
        <f t="shared" si="248"/>
        <v>MI</v>
      </c>
      <c r="B1113" s="1400" t="str">
        <f>INDEX(EF[UK Vector],MATCH(D1113,EF[SATIM Code],0))</f>
        <v>V.05</v>
      </c>
      <c r="C1113" s="1401" t="str">
        <f>INDEX(Vectors[Description], MATCH($B1113, Vectors[Code], 0))</f>
        <v>Gaseous hydrocarbons</v>
      </c>
      <c r="D1113" s="1406" t="s">
        <v>869</v>
      </c>
      <c r="E1113" s="1393"/>
      <c r="F1113" s="1389">
        <f t="array" ref="F1113">SUM( ($E$1016:$E$1039=$E$1107) * ($A$1016:$A$1039=$A1113) * ($D$1016:$D$1039= $D1113) * (F$1016:F$1039) ) * SUM(EF[CO2] * (EF[SATIM Code]= $D1113) )</f>
        <v>0</v>
      </c>
      <c r="G1113" s="1389">
        <f t="array" ref="G1113">SUM( ($E$1016:$E$1039=$E$1107) * ($A$1016:$A$1039=$A1113) * ($D$1016:$D$1039= $D1113) * (G$1016:G$1039) ) * SUM(EF[CO2] * (EF[SATIM Code]= $D1113) )</f>
        <v>0</v>
      </c>
      <c r="H1113" s="1389">
        <f t="array" ref="H1113">SUM( ($E$1016:$E$1039=$E$1107) * ($A$1016:$A$1039=$A1113) * ($D$1016:$D$1039= $D1113) * (H$1016:H$1039) ) * SUM(EF[CO2] * (EF[SATIM Code]= $D1113) )</f>
        <v>0</v>
      </c>
      <c r="I1113" s="1389">
        <f t="array" ref="I1113">SUM( ($E$1016:$E$1039=$E$1107) * ($A$1016:$A$1039=$A1113) * ($D$1016:$D$1039= $D1113) * (I$1016:I$1039) ) * SUM(EF[CO2] * (EF[SATIM Code]= $D1113) )</f>
        <v>0</v>
      </c>
      <c r="J1113" s="1389">
        <f t="array" ref="J1113">SUM( ($E$1016:$E$1039=$E$1107) * ($A$1016:$A$1039=$A1113) * ($D$1016:$D$1039= $D1113) * (J$1016:J$1039) ) * SUM(EF[CO2] * (EF[SATIM Code]= $D1113) )</f>
        <v>0</v>
      </c>
      <c r="K1113" s="1389">
        <f t="array" ref="K1113">SUM( ($E$1016:$E$1039=$E$1107) * ($A$1016:$A$1039=$A1113) * ($D$1016:$D$1039= $D1113) * (K$1016:K$1039) ) * SUM(EF[CO2] * (EF[SATIM Code]= $D1113) )</f>
        <v>0</v>
      </c>
      <c r="L1113" s="1389">
        <f t="array" ref="L1113">SUM( ($E$1016:$E$1039=$E$1107) * ($A$1016:$A$1039=$A1113) * ($D$1016:$D$1039= $D1113) * (L$1016:L$1039) ) * SUM(EF[CO2] * (EF[SATIM Code]= $D1113) )</f>
        <v>0</v>
      </c>
      <c r="M1113" s="1389">
        <f t="array" ref="M1113">SUM( ($E$1016:$E$1039=$E$1107) * ($A$1016:$A$1039=$A1113) * ($D$1016:$D$1039= $D1113) * (M$1016:M$1039) ) * SUM(EF[CO2] * (EF[SATIM Code]= $D1113) )</f>
        <v>0</v>
      </c>
      <c r="N1113" s="1389">
        <f t="array" ref="N1113">SUM( ($E$1016:$E$1039=$E$1107) * ($A$1016:$A$1039=$A1113) * ($D$1016:$D$1039= $D1113) * (N$1016:N$1039) ) * SUM(EF[CO2] * (EF[SATIM Code]= $D1113) )</f>
        <v>0</v>
      </c>
      <c r="O1113" s="1389">
        <f t="array" ref="O1113">SUM( ($E$1016:$E$1039=$E$1107) * ($A$1016:$A$1039=$A1113) * ($D$1016:$D$1039= $D1113) * (O$1016:O$1039) ) * SUM(EF[CO2] * (EF[SATIM Code]= $D1113) )</f>
        <v>0</v>
      </c>
    </row>
    <row r="1114" spans="1:15" s="19" customFormat="1" hidden="1" outlineLevel="1">
      <c r="A1114" s="19" t="str">
        <f t="shared" si="248"/>
        <v>MI</v>
      </c>
      <c r="B1114" s="1400" t="str">
        <f>INDEX(EF[UK Vector],MATCH(D1114,EF[SATIM Code],0))</f>
        <v>V.04</v>
      </c>
      <c r="C1114" s="1401" t="str">
        <f>INDEX(Vectors[Description], MATCH($B1114, Vectors[Code], 0))</f>
        <v>Liquid hydrocarbons</v>
      </c>
      <c r="D1114" s="1406" t="s">
        <v>885</v>
      </c>
      <c r="E1114" s="1393"/>
      <c r="F1114" s="1389">
        <f t="array" ref="F1114">SUM( ($E$1016:$E$1039=$E$1107) * ($A$1016:$A$1039=$A1114) * ($D$1016:$D$1039= $D1114) * (F$1016:F$1039) ) * SUM(EF[CO2] * (EF[SATIM Code]= $D1114) )</f>
        <v>0</v>
      </c>
      <c r="G1114" s="1389">
        <f t="array" ref="G1114">SUM( ($E$1016:$E$1039=$E$1107) * ($A$1016:$A$1039=$A1114) * ($D$1016:$D$1039= $D1114) * (G$1016:G$1039) ) * SUM(EF[CO2] * (EF[SATIM Code]= $D1114) )</f>
        <v>0</v>
      </c>
      <c r="H1114" s="1389">
        <f t="array" ref="H1114">SUM( ($E$1016:$E$1039=$E$1107) * ($A$1016:$A$1039=$A1114) * ($D$1016:$D$1039= $D1114) * (H$1016:H$1039) ) * SUM(EF[CO2] * (EF[SATIM Code]= $D1114) )</f>
        <v>0</v>
      </c>
      <c r="I1114" s="1389">
        <f t="array" ref="I1114">SUM( ($E$1016:$E$1039=$E$1107) * ($A$1016:$A$1039=$A1114) * ($D$1016:$D$1039= $D1114) * (I$1016:I$1039) ) * SUM(EF[CO2] * (EF[SATIM Code]= $D1114) )</f>
        <v>0</v>
      </c>
      <c r="J1114" s="1389">
        <f t="array" ref="J1114">SUM( ($E$1016:$E$1039=$E$1107) * ($A$1016:$A$1039=$A1114) * ($D$1016:$D$1039= $D1114) * (J$1016:J$1039) ) * SUM(EF[CO2] * (EF[SATIM Code]= $D1114) )</f>
        <v>0</v>
      </c>
      <c r="K1114" s="1389">
        <f t="array" ref="K1114">SUM( ($E$1016:$E$1039=$E$1107) * ($A$1016:$A$1039=$A1114) * ($D$1016:$D$1039= $D1114) * (K$1016:K$1039) ) * SUM(EF[CO2] * (EF[SATIM Code]= $D1114) )</f>
        <v>0</v>
      </c>
      <c r="L1114" s="1389">
        <f t="array" ref="L1114">SUM( ($E$1016:$E$1039=$E$1107) * ($A$1016:$A$1039=$A1114) * ($D$1016:$D$1039= $D1114) * (L$1016:L$1039) ) * SUM(EF[CO2] * (EF[SATIM Code]= $D1114) )</f>
        <v>0</v>
      </c>
      <c r="M1114" s="1389">
        <f t="array" ref="M1114">SUM( ($E$1016:$E$1039=$E$1107) * ($A$1016:$A$1039=$A1114) * ($D$1016:$D$1039= $D1114) * (M$1016:M$1039) ) * SUM(EF[CO2] * (EF[SATIM Code]= $D1114) )</f>
        <v>0</v>
      </c>
      <c r="N1114" s="1389">
        <f t="array" ref="N1114">SUM( ($E$1016:$E$1039=$E$1107) * ($A$1016:$A$1039=$A1114) * ($D$1016:$D$1039= $D1114) * (N$1016:N$1039) ) * SUM(EF[CO2] * (EF[SATIM Code]= $D1114) )</f>
        <v>0</v>
      </c>
      <c r="O1114" s="1389">
        <f t="array" ref="O1114">SUM( ($E$1016:$E$1039=$E$1107) * ($A$1016:$A$1039=$A1114) * ($D$1016:$D$1039= $D1114) * (O$1016:O$1039) ) * SUM(EF[CO2] * (EF[SATIM Code]= $D1114) )</f>
        <v>0</v>
      </c>
    </row>
    <row r="1115" spans="1:15" s="19" customFormat="1" hidden="1" outlineLevel="1">
      <c r="A1115" s="19" t="str">
        <f t="shared" si="248"/>
        <v>MI</v>
      </c>
      <c r="B1115" s="1400" t="str">
        <f>INDEX(EF[UK Vector],MATCH(D1115,EF[SATIM Code],0))</f>
        <v>V.04</v>
      </c>
      <c r="C1115" s="1401" t="str">
        <f>INDEX(Vectors[Description], MATCH($B1115, Vectors[Code], 0))</f>
        <v>Liquid hydrocarbons</v>
      </c>
      <c r="D1115" s="1391" t="s">
        <v>886</v>
      </c>
      <c r="E1115" s="1393"/>
      <c r="F1115" s="1389">
        <f t="array" ref="F1115">SUM( ($E$1016:$E$1039=$E$1107) * ($A$1016:$A$1039=$A1115) * ($D$1016:$D$1039= $D1115) * (F$1016:F$1039) ) * SUM(EF[CO2] * (EF[SATIM Code]= $D1115) )</f>
        <v>0</v>
      </c>
      <c r="G1115" s="1389">
        <f t="array" ref="G1115">SUM( ($E$1016:$E$1039=$E$1107) * ($A$1016:$A$1039=$A1115) * ($D$1016:$D$1039= $D1115) * (G$1016:G$1039) ) * SUM(EF[CO2] * (EF[SATIM Code]= $D1115) )</f>
        <v>0</v>
      </c>
      <c r="H1115" s="1389">
        <f t="array" ref="H1115">SUM( ($E$1016:$E$1039=$E$1107) * ($A$1016:$A$1039=$A1115) * ($D$1016:$D$1039= $D1115) * (H$1016:H$1039) ) * SUM(EF[CO2] * (EF[SATIM Code]= $D1115) )</f>
        <v>0</v>
      </c>
      <c r="I1115" s="1389">
        <f t="array" ref="I1115">SUM( ($E$1016:$E$1039=$E$1107) * ($A$1016:$A$1039=$A1115) * ($D$1016:$D$1039= $D1115) * (I$1016:I$1039) ) * SUM(EF[CO2] * (EF[SATIM Code]= $D1115) )</f>
        <v>0</v>
      </c>
      <c r="J1115" s="1389">
        <f t="array" ref="J1115">SUM( ($E$1016:$E$1039=$E$1107) * ($A$1016:$A$1039=$A1115) * ($D$1016:$D$1039= $D1115) * (J$1016:J$1039) ) * SUM(EF[CO2] * (EF[SATIM Code]= $D1115) )</f>
        <v>0</v>
      </c>
      <c r="K1115" s="1389">
        <f t="array" ref="K1115">SUM( ($E$1016:$E$1039=$E$1107) * ($A$1016:$A$1039=$A1115) * ($D$1016:$D$1039= $D1115) * (K$1016:K$1039) ) * SUM(EF[CO2] * (EF[SATIM Code]= $D1115) )</f>
        <v>0</v>
      </c>
      <c r="L1115" s="1389">
        <f t="array" ref="L1115">SUM( ($E$1016:$E$1039=$E$1107) * ($A$1016:$A$1039=$A1115) * ($D$1016:$D$1039= $D1115) * (L$1016:L$1039) ) * SUM(EF[CO2] * (EF[SATIM Code]= $D1115) )</f>
        <v>0</v>
      </c>
      <c r="M1115" s="1389">
        <f t="array" ref="M1115">SUM( ($E$1016:$E$1039=$E$1107) * ($A$1016:$A$1039=$A1115) * ($D$1016:$D$1039= $D1115) * (M$1016:M$1039) ) * SUM(EF[CO2] * (EF[SATIM Code]= $D1115) )</f>
        <v>0</v>
      </c>
      <c r="N1115" s="1389">
        <f t="array" ref="N1115">SUM( ($E$1016:$E$1039=$E$1107) * ($A$1016:$A$1039=$A1115) * ($D$1016:$D$1039= $D1115) * (N$1016:N$1039) ) * SUM(EF[CO2] * (EF[SATIM Code]= $D1115) )</f>
        <v>0</v>
      </c>
      <c r="O1115" s="1389">
        <f t="array" ref="O1115">SUM( ($E$1016:$E$1039=$E$1107) * ($A$1016:$A$1039=$A1115) * ($D$1016:$D$1039= $D1115) * (O$1016:O$1039) ) * SUM(EF[CO2] * (EF[SATIM Code]= $D1115) )</f>
        <v>0</v>
      </c>
    </row>
    <row r="1116" spans="1:15" s="19" customFormat="1" hidden="1" outlineLevel="1">
      <c r="A1116" s="19" t="str">
        <f t="shared" si="248"/>
        <v>MI</v>
      </c>
      <c r="B1116" s="1400" t="str">
        <f>INDEX(EF[UK Vector],MATCH(D1116,EF[SATIM Code],0))</f>
        <v>V.04</v>
      </c>
      <c r="C1116" s="1401" t="str">
        <f>INDEX(Vectors[Description], MATCH($B1116, Vectors[Code], 0))</f>
        <v>Liquid hydrocarbons</v>
      </c>
      <c r="D1116" s="1406" t="s">
        <v>887</v>
      </c>
      <c r="E1116" s="1393"/>
      <c r="F1116" s="1389">
        <f t="array" ref="F1116">SUM( ($E$1016:$E$1039=$E$1107) * ($A$1016:$A$1039=$A1116) * ($D$1016:$D$1039= $D1116) * (F$1016:F$1039) ) * SUM(EF[CO2] * (EF[SATIM Code]= $D1116) )</f>
        <v>0</v>
      </c>
      <c r="G1116" s="1389">
        <f t="array" ref="G1116">SUM( ($E$1016:$E$1039=$E$1107) * ($A$1016:$A$1039=$A1116) * ($D$1016:$D$1039= $D1116) * (G$1016:G$1039) ) * SUM(EF[CO2] * (EF[SATIM Code]= $D1116) )</f>
        <v>0</v>
      </c>
      <c r="H1116" s="1389">
        <f t="array" ref="H1116">SUM( ($E$1016:$E$1039=$E$1107) * ($A$1016:$A$1039=$A1116) * ($D$1016:$D$1039= $D1116) * (H$1016:H$1039) ) * SUM(EF[CO2] * (EF[SATIM Code]= $D1116) )</f>
        <v>0</v>
      </c>
      <c r="I1116" s="1389">
        <f t="array" ref="I1116">SUM( ($E$1016:$E$1039=$E$1107) * ($A$1016:$A$1039=$A1116) * ($D$1016:$D$1039= $D1116) * (I$1016:I$1039) ) * SUM(EF[CO2] * (EF[SATIM Code]= $D1116) )</f>
        <v>0</v>
      </c>
      <c r="J1116" s="1389">
        <f t="array" ref="J1116">SUM( ($E$1016:$E$1039=$E$1107) * ($A$1016:$A$1039=$A1116) * ($D$1016:$D$1039= $D1116) * (J$1016:J$1039) ) * SUM(EF[CO2] * (EF[SATIM Code]= $D1116) )</f>
        <v>0</v>
      </c>
      <c r="K1116" s="1389">
        <f t="array" ref="K1116">SUM( ($E$1016:$E$1039=$E$1107) * ($A$1016:$A$1039=$A1116) * ($D$1016:$D$1039= $D1116) * (K$1016:K$1039) ) * SUM(EF[CO2] * (EF[SATIM Code]= $D1116) )</f>
        <v>0</v>
      </c>
      <c r="L1116" s="1389">
        <f t="array" ref="L1116">SUM( ($E$1016:$E$1039=$E$1107) * ($A$1016:$A$1039=$A1116) * ($D$1016:$D$1039= $D1116) * (L$1016:L$1039) ) * SUM(EF[CO2] * (EF[SATIM Code]= $D1116) )</f>
        <v>0</v>
      </c>
      <c r="M1116" s="1389">
        <f t="array" ref="M1116">SUM( ($E$1016:$E$1039=$E$1107) * ($A$1016:$A$1039=$A1116) * ($D$1016:$D$1039= $D1116) * (M$1016:M$1039) ) * SUM(EF[CO2] * (EF[SATIM Code]= $D1116) )</f>
        <v>0</v>
      </c>
      <c r="N1116" s="1389">
        <f t="array" ref="N1116">SUM( ($E$1016:$E$1039=$E$1107) * ($A$1016:$A$1039=$A1116) * ($D$1016:$D$1039= $D1116) * (N$1016:N$1039) ) * SUM(EF[CO2] * (EF[SATIM Code]= $D1116) )</f>
        <v>0</v>
      </c>
      <c r="O1116" s="1389">
        <f t="array" ref="O1116">SUM( ($E$1016:$E$1039=$E$1107) * ($A$1016:$A$1039=$A1116) * ($D$1016:$D$1039= $D1116) * (O$1016:O$1039) ) * SUM(EF[CO2] * (EF[SATIM Code]= $D1116) )</f>
        <v>0</v>
      </c>
    </row>
    <row r="1117" spans="1:15" s="19" customFormat="1" hidden="1" outlineLevel="1">
      <c r="A1117" s="19" t="str">
        <f t="shared" si="248"/>
        <v>MI</v>
      </c>
      <c r="B1117" s="1400" t="str">
        <f>INDEX(EF[UK Vector],MATCH(D1117,EF[SATIM Code],0))</f>
        <v>V.09</v>
      </c>
      <c r="C1117" s="1401" t="str">
        <f>INDEX(Vectors[Description], MATCH($B1117, Vectors[Code], 0))</f>
        <v>Dry biomass and waste</v>
      </c>
      <c r="D1117" s="1406" t="s">
        <v>888</v>
      </c>
      <c r="E1117" s="1393"/>
      <c r="F1117" s="1389">
        <f t="array" ref="F1117">SUM( ($E$1016:$E$1039=$E$1107) * ($A$1016:$A$1039=$A1117) * ($D$1016:$D$1039= $D1117) * (F$1016:F$1039) ) * SUM(EF[CO2] * (EF[SATIM Code]= $D1117) )</f>
        <v>0</v>
      </c>
      <c r="G1117" s="1389">
        <f t="array" ref="G1117">SUM( ($E$1016:$E$1039=$E$1107) * ($A$1016:$A$1039=$A1117) * ($D$1016:$D$1039= $D1117) * (G$1016:G$1039) ) * SUM(EF[CO2] * (EF[SATIM Code]= $D1117) )</f>
        <v>0</v>
      </c>
      <c r="H1117" s="1389">
        <f t="array" ref="H1117">SUM( ($E$1016:$E$1039=$E$1107) * ($A$1016:$A$1039=$A1117) * ($D$1016:$D$1039= $D1117) * (H$1016:H$1039) ) * SUM(EF[CO2] * (EF[SATIM Code]= $D1117) )</f>
        <v>0</v>
      </c>
      <c r="I1117" s="1389">
        <f t="array" ref="I1117">SUM( ($E$1016:$E$1039=$E$1107) * ($A$1016:$A$1039=$A1117) * ($D$1016:$D$1039= $D1117) * (I$1016:I$1039) ) * SUM(EF[CO2] * (EF[SATIM Code]= $D1117) )</f>
        <v>0</v>
      </c>
      <c r="J1117" s="1389">
        <f t="array" ref="J1117">SUM( ($E$1016:$E$1039=$E$1107) * ($A$1016:$A$1039=$A1117) * ($D$1016:$D$1039= $D1117) * (J$1016:J$1039) ) * SUM(EF[CO2] * (EF[SATIM Code]= $D1117) )</f>
        <v>0</v>
      </c>
      <c r="K1117" s="1389">
        <f t="array" ref="K1117">SUM( ($E$1016:$E$1039=$E$1107) * ($A$1016:$A$1039=$A1117) * ($D$1016:$D$1039= $D1117) * (K$1016:K$1039) ) * SUM(EF[CO2] * (EF[SATIM Code]= $D1117) )</f>
        <v>0</v>
      </c>
      <c r="L1117" s="1389">
        <f t="array" ref="L1117">SUM( ($E$1016:$E$1039=$E$1107) * ($A$1016:$A$1039=$A1117) * ($D$1016:$D$1039= $D1117) * (L$1016:L$1039) ) * SUM(EF[CO2] * (EF[SATIM Code]= $D1117) )</f>
        <v>0</v>
      </c>
      <c r="M1117" s="1389">
        <f t="array" ref="M1117">SUM( ($E$1016:$E$1039=$E$1107) * ($A$1016:$A$1039=$A1117) * ($D$1016:$D$1039= $D1117) * (M$1016:M$1039) ) * SUM(EF[CO2] * (EF[SATIM Code]= $D1117) )</f>
        <v>0</v>
      </c>
      <c r="N1117" s="1389">
        <f t="array" ref="N1117">SUM( ($E$1016:$E$1039=$E$1107) * ($A$1016:$A$1039=$A1117) * ($D$1016:$D$1039= $D1117) * (N$1016:N$1039) ) * SUM(EF[CO2] * (EF[SATIM Code]= $D1117) )</f>
        <v>0</v>
      </c>
      <c r="O1117" s="1389">
        <f t="array" ref="O1117">SUM( ($E$1016:$E$1039=$E$1107) * ($A$1016:$A$1039=$A1117) * ($D$1016:$D$1039= $D1117) * (O$1016:O$1039) ) * SUM(EF[CO2] * (EF[SATIM Code]= $D1117) )</f>
        <v>0</v>
      </c>
    </row>
    <row r="1118" spans="1:15" s="19" customFormat="1" hidden="1" outlineLevel="1">
      <c r="A1118" s="19" t="str">
        <f t="shared" si="248"/>
        <v>MI</v>
      </c>
      <c r="B1118" s="1400" t="str">
        <f>INDEX(EF[UK Vector],MATCH(D1118,EF[SATIM Code],0))</f>
        <v>V.09</v>
      </c>
      <c r="C1118" s="1401" t="str">
        <f>INDEX(Vectors[Description], MATCH($B1118, Vectors[Code], 0))</f>
        <v>Dry biomass and waste</v>
      </c>
      <c r="D1118" s="1388" t="s">
        <v>889</v>
      </c>
      <c r="E1118" s="1393"/>
      <c r="F1118" s="1389">
        <f t="array" ref="F1118">SUM( ($E$1016:$E$1039=$E$1107) * ($A$1016:$A$1039=$A1118) * ($D$1016:$D$1039= $D1118) * (F$1016:F$1039) ) * SUM(EF[CO2] * (EF[SATIM Code]= $D1118) )</f>
        <v>0</v>
      </c>
      <c r="G1118" s="1389">
        <f t="array" ref="G1118">SUM( ($E$1016:$E$1039=$E$1107) * ($A$1016:$A$1039=$A1118) * ($D$1016:$D$1039= $D1118) * (G$1016:G$1039) ) * SUM(EF[CO2] * (EF[SATIM Code]= $D1118) )</f>
        <v>0</v>
      </c>
      <c r="H1118" s="1389">
        <f t="array" ref="H1118">SUM( ($E$1016:$E$1039=$E$1107) * ($A$1016:$A$1039=$A1118) * ($D$1016:$D$1039= $D1118) * (H$1016:H$1039) ) * SUM(EF[CO2] * (EF[SATIM Code]= $D1118) )</f>
        <v>0</v>
      </c>
      <c r="I1118" s="1389">
        <f t="array" ref="I1118">SUM( ($E$1016:$E$1039=$E$1107) * ($A$1016:$A$1039=$A1118) * ($D$1016:$D$1039= $D1118) * (I$1016:I$1039) ) * SUM(EF[CO2] * (EF[SATIM Code]= $D1118) )</f>
        <v>0</v>
      </c>
      <c r="J1118" s="1389">
        <f t="array" ref="J1118">SUM( ($E$1016:$E$1039=$E$1107) * ($A$1016:$A$1039=$A1118) * ($D$1016:$D$1039= $D1118) * (J$1016:J$1039) ) * SUM(EF[CO2] * (EF[SATIM Code]= $D1118) )</f>
        <v>0</v>
      </c>
      <c r="K1118" s="1389">
        <f t="array" ref="K1118">SUM( ($E$1016:$E$1039=$E$1107) * ($A$1016:$A$1039=$A1118) * ($D$1016:$D$1039= $D1118) * (K$1016:K$1039) ) * SUM(EF[CO2] * (EF[SATIM Code]= $D1118) )</f>
        <v>0</v>
      </c>
      <c r="L1118" s="1389">
        <f t="array" ref="L1118">SUM( ($E$1016:$E$1039=$E$1107) * ($A$1016:$A$1039=$A1118) * ($D$1016:$D$1039= $D1118) * (L$1016:L$1039) ) * SUM(EF[CO2] * (EF[SATIM Code]= $D1118) )</f>
        <v>0</v>
      </c>
      <c r="M1118" s="1389">
        <f t="array" ref="M1118">SUM( ($E$1016:$E$1039=$E$1107) * ($A$1016:$A$1039=$A1118) * ($D$1016:$D$1039= $D1118) * (M$1016:M$1039) ) * SUM(EF[CO2] * (EF[SATIM Code]= $D1118) )</f>
        <v>0</v>
      </c>
      <c r="N1118" s="1389">
        <f t="array" ref="N1118">SUM( ($E$1016:$E$1039=$E$1107) * ($A$1016:$A$1039=$A1118) * ($D$1016:$D$1039= $D1118) * (N$1016:N$1039) ) * SUM(EF[CO2] * (EF[SATIM Code]= $D1118) )</f>
        <v>0</v>
      </c>
      <c r="O1118" s="1389">
        <f t="array" ref="O1118">SUM( ($E$1016:$E$1039=$E$1107) * ($A$1016:$A$1039=$A1118) * ($D$1016:$D$1039= $D1118) * (O$1016:O$1039) ) * SUM(EF[CO2] * (EF[SATIM Code]= $D1118) )</f>
        <v>0</v>
      </c>
    </row>
    <row r="1119" spans="1:15" s="19" customFormat="1" hidden="1" outlineLevel="1">
      <c r="A1119" s="19" t="str">
        <f t="shared" si="248"/>
        <v>MI</v>
      </c>
      <c r="B1119" s="1400" t="str">
        <f>INDEX(EF[UK Vector],MATCH(D1119,EF[SATIM Code],0))</f>
        <v>V.16</v>
      </c>
      <c r="C1119" s="1401" t="str">
        <f>INDEX(Vectors[Description], MATCH($B1119, Vectors[Code], 0))</f>
        <v>Other Waste</v>
      </c>
      <c r="D1119" s="1408" t="s">
        <v>890</v>
      </c>
      <c r="E1119" s="1393"/>
      <c r="F1119" s="1389">
        <f t="array" ref="F1119">SUM( ($E$1016:$E$1039=$E$1107) * ($A$1016:$A$1039=$A1119) * ($D$1016:$D$1039= $D1119) * (F$1016:F$1039) ) * SUM(EF[CO2] * (EF[SATIM Code]= $D1119) )</f>
        <v>0</v>
      </c>
      <c r="G1119" s="1389">
        <f t="array" ref="G1119">SUM( ($E$1016:$E$1039=$E$1107) * ($A$1016:$A$1039=$A1119) * ($D$1016:$D$1039= $D1119) * (G$1016:G$1039) ) * SUM(EF[CO2] * (EF[SATIM Code]= $D1119) )</f>
        <v>0</v>
      </c>
      <c r="H1119" s="1389">
        <f t="array" ref="H1119">SUM( ($E$1016:$E$1039=$E$1107) * ($A$1016:$A$1039=$A1119) * ($D$1016:$D$1039= $D1119) * (H$1016:H$1039) ) * SUM(EF[CO2] * (EF[SATIM Code]= $D1119) )</f>
        <v>0</v>
      </c>
      <c r="I1119" s="1389">
        <f t="array" ref="I1119">SUM( ($E$1016:$E$1039=$E$1107) * ($A$1016:$A$1039=$A1119) * ($D$1016:$D$1039= $D1119) * (I$1016:I$1039) ) * SUM(EF[CO2] * (EF[SATIM Code]= $D1119) )</f>
        <v>0</v>
      </c>
      <c r="J1119" s="1389">
        <f t="array" ref="J1119">SUM( ($E$1016:$E$1039=$E$1107) * ($A$1016:$A$1039=$A1119) * ($D$1016:$D$1039= $D1119) * (J$1016:J$1039) ) * SUM(EF[CO2] * (EF[SATIM Code]= $D1119) )</f>
        <v>0</v>
      </c>
      <c r="K1119" s="1389">
        <f t="array" ref="K1119">SUM( ($E$1016:$E$1039=$E$1107) * ($A$1016:$A$1039=$A1119) * ($D$1016:$D$1039= $D1119) * (K$1016:K$1039) ) * SUM(EF[CO2] * (EF[SATIM Code]= $D1119) )</f>
        <v>0</v>
      </c>
      <c r="L1119" s="1389">
        <f t="array" ref="L1119">SUM( ($E$1016:$E$1039=$E$1107) * ($A$1016:$A$1039=$A1119) * ($D$1016:$D$1039= $D1119) * (L$1016:L$1039) ) * SUM(EF[CO2] * (EF[SATIM Code]= $D1119) )</f>
        <v>0</v>
      </c>
      <c r="M1119" s="1389">
        <f t="array" ref="M1119">SUM( ($E$1016:$E$1039=$E$1107) * ($A$1016:$A$1039=$A1119) * ($D$1016:$D$1039= $D1119) * (M$1016:M$1039) ) * SUM(EF[CO2] * (EF[SATIM Code]= $D1119) )</f>
        <v>0</v>
      </c>
      <c r="N1119" s="1389">
        <f t="array" ref="N1119">SUM( ($E$1016:$E$1039=$E$1107) * ($A$1016:$A$1039=$A1119) * ($D$1016:$D$1039= $D1119) * (N$1016:N$1039) ) * SUM(EF[CO2] * (EF[SATIM Code]= $D1119) )</f>
        <v>0</v>
      </c>
      <c r="O1119" s="1389">
        <f t="array" ref="O1119">SUM( ($E$1016:$E$1039=$E$1107) * ($A$1016:$A$1039=$A1119) * ($D$1016:$D$1039= $D1119) * (O$1016:O$1039) ) * SUM(EF[CO2] * (EF[SATIM Code]= $D1119) )</f>
        <v>0</v>
      </c>
    </row>
    <row r="1120" spans="1:15" s="19" customFormat="1" hidden="1" outlineLevel="1">
      <c r="B1120" s="1393"/>
      <c r="C1120" s="1407" t="str">
        <f>D21</f>
        <v>Iron  &amp; Steel  - 351</v>
      </c>
      <c r="D1120" s="1391"/>
      <c r="E1120" s="1393"/>
      <c r="F1120" s="1389">
        <f t="array" ref="F1120">SUM( ($E$1016:$E$1039=$E$1107) * ($A$1016:$A$1039=$A1120) * ($D$1016:$D$1039= $D1120) * (F$1016:F$1039) ) * SUM(EF[CO2] * (EF[SATIM Code]= $D1120) )</f>
        <v>0</v>
      </c>
      <c r="G1120" s="1389">
        <f t="array" ref="G1120">SUM( ($E$1016:$E$1039=$E$1107) * ($A$1016:$A$1039=$A1120) * ($D$1016:$D$1039= $D1120) * (G$1016:G$1039) ) * SUM(EF[CO2] * (EF[SATIM Code]= $D1120) )</f>
        <v>0</v>
      </c>
      <c r="H1120" s="1389">
        <f t="array" ref="H1120">SUM( ($E$1016:$E$1039=$E$1107) * ($A$1016:$A$1039=$A1120) * ($D$1016:$D$1039= $D1120) * (H$1016:H$1039) ) * SUM(EF[CO2] * (EF[SATIM Code]= $D1120) )</f>
        <v>0</v>
      </c>
      <c r="I1120" s="1389">
        <f t="array" ref="I1120">SUM( ($E$1016:$E$1039=$E$1107) * ($A$1016:$A$1039=$A1120) * ($D$1016:$D$1039= $D1120) * (I$1016:I$1039) ) * SUM(EF[CO2] * (EF[SATIM Code]= $D1120) )</f>
        <v>0</v>
      </c>
      <c r="J1120" s="1389">
        <f t="array" ref="J1120">SUM( ($E$1016:$E$1039=$E$1107) * ($A$1016:$A$1039=$A1120) * ($D$1016:$D$1039= $D1120) * (J$1016:J$1039) ) * SUM(EF[CO2] * (EF[SATIM Code]= $D1120) )</f>
        <v>0</v>
      </c>
      <c r="K1120" s="1389">
        <f t="array" ref="K1120">SUM( ($E$1016:$E$1039=$E$1107) * ($A$1016:$A$1039=$A1120) * ($D$1016:$D$1039= $D1120) * (K$1016:K$1039) ) * SUM(EF[CO2] * (EF[SATIM Code]= $D1120) )</f>
        <v>0</v>
      </c>
      <c r="L1120" s="1389">
        <f t="array" ref="L1120">SUM( ($E$1016:$E$1039=$E$1107) * ($A$1016:$A$1039=$A1120) * ($D$1016:$D$1039= $D1120) * (L$1016:L$1039) ) * SUM(EF[CO2] * (EF[SATIM Code]= $D1120) )</f>
        <v>0</v>
      </c>
      <c r="M1120" s="1389">
        <f t="array" ref="M1120">SUM( ($E$1016:$E$1039=$E$1107) * ($A$1016:$A$1039=$A1120) * ($D$1016:$D$1039= $D1120) * (M$1016:M$1039) ) * SUM(EF[CO2] * (EF[SATIM Code]= $D1120) )</f>
        <v>0</v>
      </c>
      <c r="N1120" s="1389">
        <f t="array" ref="N1120">SUM( ($E$1016:$E$1039=$E$1107) * ($A$1016:$A$1039=$A1120) * ($D$1016:$D$1039= $D1120) * (N$1016:N$1039) ) * SUM(EF[CO2] * (EF[SATIM Code]= $D1120) )</f>
        <v>0</v>
      </c>
      <c r="O1120" s="1389">
        <f t="array" ref="O1120">SUM( ($E$1016:$E$1039=$E$1107) * ($A$1016:$A$1039=$A1120) * ($D$1016:$D$1039= $D1120) * (O$1016:O$1039) ) * SUM(EF[CO2] * (EF[SATIM Code]= $D1120) )</f>
        <v>0</v>
      </c>
    </row>
    <row r="1121" spans="1:15" s="19" customFormat="1" hidden="1" outlineLevel="1">
      <c r="A1121" s="1438" t="str">
        <f>INDEX($C$20:$C$27,MATCH($C1120,$D$20:$D$27,0))</f>
        <v>IS</v>
      </c>
      <c r="B1121" s="1400" t="str">
        <f>INDEX(EF[UK Vector],MATCH(D1121,EF[SATIM Code],0))</f>
        <v>V.03</v>
      </c>
      <c r="C1121" s="1401" t="str">
        <f>INDEX(Vectors[Description], MATCH($B1121, Vectors[Code], 0))</f>
        <v>Solid hydrocarbons</v>
      </c>
      <c r="D1121" s="1391" t="s">
        <v>882</v>
      </c>
      <c r="E1121" s="1393"/>
      <c r="F1121" s="1389">
        <f t="array" ref="F1121">SUM( ($E$1016:$E$1039=$E$1107) * ($A$1016:$A$1039=$A1121) * ($D$1016:$D$1039= $D1121) * (F$1016:F$1039) ) * SUM(EF[CO2] * (EF[SATIM Code]= $D1121) )</f>
        <v>0</v>
      </c>
      <c r="G1121" s="1389">
        <f t="array" ref="G1121">SUM( ($E$1016:$E$1039=$E$1107) * ($A$1016:$A$1039=$A1121) * ($D$1016:$D$1039= $D1121) * (G$1016:G$1039) ) * SUM(EF[CO2] * (EF[SATIM Code]= $D1121) )</f>
        <v>0</v>
      </c>
      <c r="H1121" s="1389">
        <f t="array" ref="H1121">SUM( ($E$1016:$E$1039=$E$1107) * ($A$1016:$A$1039=$A1121) * ($D$1016:$D$1039= $D1121) * (H$1016:H$1039) ) * SUM(EF[CO2] * (EF[SATIM Code]= $D1121) )</f>
        <v>0</v>
      </c>
      <c r="I1121" s="1389">
        <f t="array" ref="I1121">SUM( ($E$1016:$E$1039=$E$1107) * ($A$1016:$A$1039=$A1121) * ($D$1016:$D$1039= $D1121) * (I$1016:I$1039) ) * SUM(EF[CO2] * (EF[SATIM Code]= $D1121) )</f>
        <v>0</v>
      </c>
      <c r="J1121" s="1389">
        <f t="array" ref="J1121">SUM( ($E$1016:$E$1039=$E$1107) * ($A$1016:$A$1039=$A1121) * ($D$1016:$D$1039= $D1121) * (J$1016:J$1039) ) * SUM(EF[CO2] * (EF[SATIM Code]= $D1121) )</f>
        <v>0</v>
      </c>
      <c r="K1121" s="1389">
        <f t="array" ref="K1121">SUM( ($E$1016:$E$1039=$E$1107) * ($A$1016:$A$1039=$A1121) * ($D$1016:$D$1039= $D1121) * (K$1016:K$1039) ) * SUM(EF[CO2] * (EF[SATIM Code]= $D1121) )</f>
        <v>0</v>
      </c>
      <c r="L1121" s="1389">
        <f t="array" ref="L1121">SUM( ($E$1016:$E$1039=$E$1107) * ($A$1016:$A$1039=$A1121) * ($D$1016:$D$1039= $D1121) * (L$1016:L$1039) ) * SUM(EF[CO2] * (EF[SATIM Code]= $D1121) )</f>
        <v>0</v>
      </c>
      <c r="M1121" s="1389">
        <f t="array" ref="M1121">SUM( ($E$1016:$E$1039=$E$1107) * ($A$1016:$A$1039=$A1121) * ($D$1016:$D$1039= $D1121) * (M$1016:M$1039) ) * SUM(EF[CO2] * (EF[SATIM Code]= $D1121) )</f>
        <v>0</v>
      </c>
      <c r="N1121" s="1389">
        <f t="array" ref="N1121">SUM( ($E$1016:$E$1039=$E$1107) * ($A$1016:$A$1039=$A1121) * ($D$1016:$D$1039= $D1121) * (N$1016:N$1039) ) * SUM(EF[CO2] * (EF[SATIM Code]= $D1121) )</f>
        <v>0</v>
      </c>
      <c r="O1121" s="1389">
        <f t="array" ref="O1121">SUM( ($E$1016:$E$1039=$E$1107) * ($A$1016:$A$1039=$A1121) * ($D$1016:$D$1039= $D1121) * (O$1016:O$1039) ) * SUM(EF[CO2] * (EF[SATIM Code]= $D1121) )</f>
        <v>0</v>
      </c>
    </row>
    <row r="1122" spans="1:15" s="19" customFormat="1" hidden="1" outlineLevel="1">
      <c r="A1122" s="19" t="str">
        <f t="shared" ref="A1122:A1129" si="249">A1121</f>
        <v>IS</v>
      </c>
      <c r="B1122" s="1400" t="str">
        <f>INDEX(EF[UK Vector],MATCH(D1122,EF[SATIM Code],0))</f>
        <v>V.03</v>
      </c>
      <c r="C1122" s="1401" t="str">
        <f>INDEX(Vectors[Description], MATCH($B1122, Vectors[Code], 0))</f>
        <v>Solid hydrocarbons</v>
      </c>
      <c r="D1122" s="1391" t="s">
        <v>883</v>
      </c>
      <c r="E1122" s="1393"/>
      <c r="F1122" s="1389">
        <f t="array" ref="F1122">SUM( ($E$1016:$E$1039=$E$1107) * ($A$1016:$A$1039=$A1122) * ($D$1016:$D$1039= $D1122) * (F$1016:F$1039) ) * SUM(EF[CO2] * (EF[SATIM Code]= $D1122) )</f>
        <v>4.7536862412599996</v>
      </c>
      <c r="G1122" s="1389">
        <f t="array" ref="G1122">SUM( ($E$1016:$E$1039=$E$1107) * ($A$1016:$A$1039=$A1122) * ($D$1016:$D$1039= $D1122) * (G$1016:G$1039) ) * SUM(EF[CO2] * (EF[SATIM Code]= $D1122) )</f>
        <v>5.5050361420568912</v>
      </c>
      <c r="H1122" s="1389">
        <f t="array" ref="H1122">SUM( ($E$1016:$E$1039=$E$1107) * ($A$1016:$A$1039=$A1122) * ($D$1016:$D$1039= $D1122) * (H$1016:H$1039) ) * SUM(EF[CO2] * (EF[SATIM Code]= $D1122) )</f>
        <v>6.9178390618353491</v>
      </c>
      <c r="I1122" s="1389">
        <f t="array" ref="I1122">SUM( ($E$1016:$E$1039=$E$1107) * ($A$1016:$A$1039=$A1122) * ($D$1016:$D$1039= $D1122) * (I$1016:I$1039) ) * SUM(EF[CO2] * (EF[SATIM Code]= $D1122) )</f>
        <v>8.7428562376714876</v>
      </c>
      <c r="J1122" s="1389">
        <f t="array" ref="J1122">SUM( ($E$1016:$E$1039=$E$1107) * ($A$1016:$A$1039=$A1122) * ($D$1016:$D$1039= $D1122) * (J$1016:J$1039) ) * SUM(EF[CO2] * (EF[SATIM Code]= $D1122) )</f>
        <v>10.986591053088663</v>
      </c>
      <c r="K1122" s="1389">
        <f t="array" ref="K1122">SUM( ($E$1016:$E$1039=$E$1107) * ($A$1016:$A$1039=$A1122) * ($D$1016:$D$1039= $D1122) * (K$1016:K$1039) ) * SUM(EF[CO2] * (EF[SATIM Code]= $D1122) )</f>
        <v>13.805864583798416</v>
      </c>
      <c r="L1122" s="1389">
        <f t="array" ref="L1122">SUM( ($E$1016:$E$1039=$E$1107) * ($A$1016:$A$1039=$A1122) * ($D$1016:$D$1039= $D1122) * (L$1016:L$1039) ) * SUM(EF[CO2] * (EF[SATIM Code]= $D1122) )</f>
        <v>16.974353608129782</v>
      </c>
      <c r="M1122" s="1389">
        <f t="array" ref="M1122">SUM( ($E$1016:$E$1039=$E$1107) * ($A$1016:$A$1039=$A1122) * ($D$1016:$D$1039= $D1122) * (M$1016:M$1039) ) * SUM(EF[CO2] * (EF[SATIM Code]= $D1122) )</f>
        <v>20.5065582813174</v>
      </c>
      <c r="N1122" s="1389">
        <f t="array" ref="N1122">SUM( ($E$1016:$E$1039=$E$1107) * ($A$1016:$A$1039=$A1122) * ($D$1016:$D$1039= $D1122) * (N$1016:N$1039) ) * SUM(EF[CO2] * (EF[SATIM Code]= $D1122) )</f>
        <v>24.190150782925432</v>
      </c>
      <c r="O1122" s="1389">
        <f t="array" ref="O1122">SUM( ($E$1016:$E$1039=$E$1107) * ($A$1016:$A$1039=$A1122) * ($D$1016:$D$1039= $D1122) * (O$1016:O$1039) ) * SUM(EF[CO2] * (EF[SATIM Code]= $D1122) )</f>
        <v>28.339250183504205</v>
      </c>
    </row>
    <row r="1123" spans="1:15" s="19" customFormat="1" hidden="1" outlineLevel="1">
      <c r="A1123" s="19" t="str">
        <f t="shared" si="249"/>
        <v>IS</v>
      </c>
      <c r="B1123" s="1400" t="str">
        <f>INDEX(EF[UK Vector],MATCH(D1123,EF[SATIM Code],0))</f>
        <v>V.05</v>
      </c>
      <c r="C1123" s="1401" t="str">
        <f>INDEX(Vectors[Description], MATCH($B1123, Vectors[Code], 0))</f>
        <v>Gaseous hydrocarbons</v>
      </c>
      <c r="D1123" s="1406" t="s">
        <v>869</v>
      </c>
      <c r="E1123" s="1393"/>
      <c r="F1123" s="1389">
        <f t="array" ref="F1123">SUM( ($E$1016:$E$1039=$E$1107) * ($A$1016:$A$1039=$A1123) * ($D$1016:$D$1039= $D1123) * (F$1016:F$1039) ) * SUM(EF[CO2] * (EF[SATIM Code]= $D1123) )</f>
        <v>0</v>
      </c>
      <c r="G1123" s="1389">
        <f t="array" ref="G1123">SUM( ($E$1016:$E$1039=$E$1107) * ($A$1016:$A$1039=$A1123) * ($D$1016:$D$1039= $D1123) * (G$1016:G$1039) ) * SUM(EF[CO2] * (EF[SATIM Code]= $D1123) )</f>
        <v>0</v>
      </c>
      <c r="H1123" s="1389">
        <f t="array" ref="H1123">SUM( ($E$1016:$E$1039=$E$1107) * ($A$1016:$A$1039=$A1123) * ($D$1016:$D$1039= $D1123) * (H$1016:H$1039) ) * SUM(EF[CO2] * (EF[SATIM Code]= $D1123) )</f>
        <v>0</v>
      </c>
      <c r="I1123" s="1389">
        <f t="array" ref="I1123">SUM( ($E$1016:$E$1039=$E$1107) * ($A$1016:$A$1039=$A1123) * ($D$1016:$D$1039= $D1123) * (I$1016:I$1039) ) * SUM(EF[CO2] * (EF[SATIM Code]= $D1123) )</f>
        <v>0</v>
      </c>
      <c r="J1123" s="1389">
        <f t="array" ref="J1123">SUM( ($E$1016:$E$1039=$E$1107) * ($A$1016:$A$1039=$A1123) * ($D$1016:$D$1039= $D1123) * (J$1016:J$1039) ) * SUM(EF[CO2] * (EF[SATIM Code]= $D1123) )</f>
        <v>0</v>
      </c>
      <c r="K1123" s="1389">
        <f t="array" ref="K1123">SUM( ($E$1016:$E$1039=$E$1107) * ($A$1016:$A$1039=$A1123) * ($D$1016:$D$1039= $D1123) * (K$1016:K$1039) ) * SUM(EF[CO2] * (EF[SATIM Code]= $D1123) )</f>
        <v>0</v>
      </c>
      <c r="L1123" s="1389">
        <f t="array" ref="L1123">SUM( ($E$1016:$E$1039=$E$1107) * ($A$1016:$A$1039=$A1123) * ($D$1016:$D$1039= $D1123) * (L$1016:L$1039) ) * SUM(EF[CO2] * (EF[SATIM Code]= $D1123) )</f>
        <v>0</v>
      </c>
      <c r="M1123" s="1389">
        <f t="array" ref="M1123">SUM( ($E$1016:$E$1039=$E$1107) * ($A$1016:$A$1039=$A1123) * ($D$1016:$D$1039= $D1123) * (M$1016:M$1039) ) * SUM(EF[CO2] * (EF[SATIM Code]= $D1123) )</f>
        <v>0</v>
      </c>
      <c r="N1123" s="1389">
        <f t="array" ref="N1123">SUM( ($E$1016:$E$1039=$E$1107) * ($A$1016:$A$1039=$A1123) * ($D$1016:$D$1039= $D1123) * (N$1016:N$1039) ) * SUM(EF[CO2] * (EF[SATIM Code]= $D1123) )</f>
        <v>0</v>
      </c>
      <c r="O1123" s="1389">
        <f t="array" ref="O1123">SUM( ($E$1016:$E$1039=$E$1107) * ($A$1016:$A$1039=$A1123) * ($D$1016:$D$1039= $D1123) * (O$1016:O$1039) ) * SUM(EF[CO2] * (EF[SATIM Code]= $D1123) )</f>
        <v>0</v>
      </c>
    </row>
    <row r="1124" spans="1:15" s="19" customFormat="1" hidden="1" outlineLevel="1">
      <c r="A1124" s="19" t="str">
        <f t="shared" si="249"/>
        <v>IS</v>
      </c>
      <c r="B1124" s="1400" t="str">
        <f>INDEX(EF[UK Vector],MATCH(D1124,EF[SATIM Code],0))</f>
        <v>V.04</v>
      </c>
      <c r="C1124" s="1401" t="str">
        <f>INDEX(Vectors[Description], MATCH($B1124, Vectors[Code], 0))</f>
        <v>Liquid hydrocarbons</v>
      </c>
      <c r="D1124" s="1406" t="s">
        <v>885</v>
      </c>
      <c r="E1124" s="1393"/>
      <c r="F1124" s="1389">
        <f t="array" ref="F1124">SUM( ($E$1016:$E$1039=$E$1107) * ($A$1016:$A$1039=$A1124) * ($D$1016:$D$1039= $D1124) * (F$1016:F$1039) ) * SUM(EF[CO2] * (EF[SATIM Code]= $D1124) )</f>
        <v>0</v>
      </c>
      <c r="G1124" s="1389">
        <f t="array" ref="G1124">SUM( ($E$1016:$E$1039=$E$1107) * ($A$1016:$A$1039=$A1124) * ($D$1016:$D$1039= $D1124) * (G$1016:G$1039) ) * SUM(EF[CO2] * (EF[SATIM Code]= $D1124) )</f>
        <v>0</v>
      </c>
      <c r="H1124" s="1389">
        <f t="array" ref="H1124">SUM( ($E$1016:$E$1039=$E$1107) * ($A$1016:$A$1039=$A1124) * ($D$1016:$D$1039= $D1124) * (H$1016:H$1039) ) * SUM(EF[CO2] * (EF[SATIM Code]= $D1124) )</f>
        <v>0</v>
      </c>
      <c r="I1124" s="1389">
        <f t="array" ref="I1124">SUM( ($E$1016:$E$1039=$E$1107) * ($A$1016:$A$1039=$A1124) * ($D$1016:$D$1039= $D1124) * (I$1016:I$1039) ) * SUM(EF[CO2] * (EF[SATIM Code]= $D1124) )</f>
        <v>0</v>
      </c>
      <c r="J1124" s="1389">
        <f t="array" ref="J1124">SUM( ($E$1016:$E$1039=$E$1107) * ($A$1016:$A$1039=$A1124) * ($D$1016:$D$1039= $D1124) * (J$1016:J$1039) ) * SUM(EF[CO2] * (EF[SATIM Code]= $D1124) )</f>
        <v>0</v>
      </c>
      <c r="K1124" s="1389">
        <f t="array" ref="K1124">SUM( ($E$1016:$E$1039=$E$1107) * ($A$1016:$A$1039=$A1124) * ($D$1016:$D$1039= $D1124) * (K$1016:K$1039) ) * SUM(EF[CO2] * (EF[SATIM Code]= $D1124) )</f>
        <v>0</v>
      </c>
      <c r="L1124" s="1389">
        <f t="array" ref="L1124">SUM( ($E$1016:$E$1039=$E$1107) * ($A$1016:$A$1039=$A1124) * ($D$1016:$D$1039= $D1124) * (L$1016:L$1039) ) * SUM(EF[CO2] * (EF[SATIM Code]= $D1124) )</f>
        <v>0</v>
      </c>
      <c r="M1124" s="1389">
        <f t="array" ref="M1124">SUM( ($E$1016:$E$1039=$E$1107) * ($A$1016:$A$1039=$A1124) * ($D$1016:$D$1039= $D1124) * (M$1016:M$1039) ) * SUM(EF[CO2] * (EF[SATIM Code]= $D1124) )</f>
        <v>0</v>
      </c>
      <c r="N1124" s="1389">
        <f t="array" ref="N1124">SUM( ($E$1016:$E$1039=$E$1107) * ($A$1016:$A$1039=$A1124) * ($D$1016:$D$1039= $D1124) * (N$1016:N$1039) ) * SUM(EF[CO2] * (EF[SATIM Code]= $D1124) )</f>
        <v>0</v>
      </c>
      <c r="O1124" s="1389">
        <f t="array" ref="O1124">SUM( ($E$1016:$E$1039=$E$1107) * ($A$1016:$A$1039=$A1124) * ($D$1016:$D$1039= $D1124) * (O$1016:O$1039) ) * SUM(EF[CO2] * (EF[SATIM Code]= $D1124) )</f>
        <v>0</v>
      </c>
    </row>
    <row r="1125" spans="1:15" s="19" customFormat="1" hidden="1" outlineLevel="1">
      <c r="A1125" s="19" t="str">
        <f t="shared" si="249"/>
        <v>IS</v>
      </c>
      <c r="B1125" s="1400" t="str">
        <f>INDEX(EF[UK Vector],MATCH(D1125,EF[SATIM Code],0))</f>
        <v>V.04</v>
      </c>
      <c r="C1125" s="1401" t="str">
        <f>INDEX(Vectors[Description], MATCH($B1125, Vectors[Code], 0))</f>
        <v>Liquid hydrocarbons</v>
      </c>
      <c r="D1125" s="1391" t="s">
        <v>886</v>
      </c>
      <c r="E1125" s="1393"/>
      <c r="F1125" s="1389">
        <f t="array" ref="F1125">SUM( ($E$1016:$E$1039=$E$1107) * ($A$1016:$A$1039=$A1125) * ($D$1016:$D$1039= $D1125) * (F$1016:F$1039) ) * SUM(EF[CO2] * (EF[SATIM Code]= $D1125) )</f>
        <v>0</v>
      </c>
      <c r="G1125" s="1389">
        <f t="array" ref="G1125">SUM( ($E$1016:$E$1039=$E$1107) * ($A$1016:$A$1039=$A1125) * ($D$1016:$D$1039= $D1125) * (G$1016:G$1039) ) * SUM(EF[CO2] * (EF[SATIM Code]= $D1125) )</f>
        <v>0</v>
      </c>
      <c r="H1125" s="1389">
        <f t="array" ref="H1125">SUM( ($E$1016:$E$1039=$E$1107) * ($A$1016:$A$1039=$A1125) * ($D$1016:$D$1039= $D1125) * (H$1016:H$1039) ) * SUM(EF[CO2] * (EF[SATIM Code]= $D1125) )</f>
        <v>0</v>
      </c>
      <c r="I1125" s="1389">
        <f t="array" ref="I1125">SUM( ($E$1016:$E$1039=$E$1107) * ($A$1016:$A$1039=$A1125) * ($D$1016:$D$1039= $D1125) * (I$1016:I$1039) ) * SUM(EF[CO2] * (EF[SATIM Code]= $D1125) )</f>
        <v>0</v>
      </c>
      <c r="J1125" s="1389">
        <f t="array" ref="J1125">SUM( ($E$1016:$E$1039=$E$1107) * ($A$1016:$A$1039=$A1125) * ($D$1016:$D$1039= $D1125) * (J$1016:J$1039) ) * SUM(EF[CO2] * (EF[SATIM Code]= $D1125) )</f>
        <v>0</v>
      </c>
      <c r="K1125" s="1389">
        <f t="array" ref="K1125">SUM( ($E$1016:$E$1039=$E$1107) * ($A$1016:$A$1039=$A1125) * ($D$1016:$D$1039= $D1125) * (K$1016:K$1039) ) * SUM(EF[CO2] * (EF[SATIM Code]= $D1125) )</f>
        <v>0</v>
      </c>
      <c r="L1125" s="1389">
        <f t="array" ref="L1125">SUM( ($E$1016:$E$1039=$E$1107) * ($A$1016:$A$1039=$A1125) * ($D$1016:$D$1039= $D1125) * (L$1016:L$1039) ) * SUM(EF[CO2] * (EF[SATIM Code]= $D1125) )</f>
        <v>0</v>
      </c>
      <c r="M1125" s="1389">
        <f t="array" ref="M1125">SUM( ($E$1016:$E$1039=$E$1107) * ($A$1016:$A$1039=$A1125) * ($D$1016:$D$1039= $D1125) * (M$1016:M$1039) ) * SUM(EF[CO2] * (EF[SATIM Code]= $D1125) )</f>
        <v>0</v>
      </c>
      <c r="N1125" s="1389">
        <f t="array" ref="N1125">SUM( ($E$1016:$E$1039=$E$1107) * ($A$1016:$A$1039=$A1125) * ($D$1016:$D$1039= $D1125) * (N$1016:N$1039) ) * SUM(EF[CO2] * (EF[SATIM Code]= $D1125) )</f>
        <v>0</v>
      </c>
      <c r="O1125" s="1389">
        <f t="array" ref="O1125">SUM( ($E$1016:$E$1039=$E$1107) * ($A$1016:$A$1039=$A1125) * ($D$1016:$D$1039= $D1125) * (O$1016:O$1039) ) * SUM(EF[CO2] * (EF[SATIM Code]= $D1125) )</f>
        <v>0</v>
      </c>
    </row>
    <row r="1126" spans="1:15" s="19" customFormat="1" hidden="1" outlineLevel="1">
      <c r="A1126" s="19" t="str">
        <f t="shared" si="249"/>
        <v>IS</v>
      </c>
      <c r="B1126" s="1400" t="str">
        <f>INDEX(EF[UK Vector],MATCH(D1126,EF[SATIM Code],0))</f>
        <v>V.04</v>
      </c>
      <c r="C1126" s="1401" t="str">
        <f>INDEX(Vectors[Description], MATCH($B1126, Vectors[Code], 0))</f>
        <v>Liquid hydrocarbons</v>
      </c>
      <c r="D1126" s="1406" t="s">
        <v>887</v>
      </c>
      <c r="E1126" s="1393"/>
      <c r="F1126" s="1389">
        <f t="array" ref="F1126">SUM( ($E$1016:$E$1039=$E$1107) * ($A$1016:$A$1039=$A1126) * ($D$1016:$D$1039= $D1126) * (F$1016:F$1039) ) * SUM(EF[CO2] * (EF[SATIM Code]= $D1126) )</f>
        <v>0</v>
      </c>
      <c r="G1126" s="1389">
        <f t="array" ref="G1126">SUM( ($E$1016:$E$1039=$E$1107) * ($A$1016:$A$1039=$A1126) * ($D$1016:$D$1039= $D1126) * (G$1016:G$1039) ) * SUM(EF[CO2] * (EF[SATIM Code]= $D1126) )</f>
        <v>0</v>
      </c>
      <c r="H1126" s="1389">
        <f t="array" ref="H1126">SUM( ($E$1016:$E$1039=$E$1107) * ($A$1016:$A$1039=$A1126) * ($D$1016:$D$1039= $D1126) * (H$1016:H$1039) ) * SUM(EF[CO2] * (EF[SATIM Code]= $D1126) )</f>
        <v>0</v>
      </c>
      <c r="I1126" s="1389">
        <f t="array" ref="I1126">SUM( ($E$1016:$E$1039=$E$1107) * ($A$1016:$A$1039=$A1126) * ($D$1016:$D$1039= $D1126) * (I$1016:I$1039) ) * SUM(EF[CO2] * (EF[SATIM Code]= $D1126) )</f>
        <v>0</v>
      </c>
      <c r="J1126" s="1389">
        <f t="array" ref="J1126">SUM( ($E$1016:$E$1039=$E$1107) * ($A$1016:$A$1039=$A1126) * ($D$1016:$D$1039= $D1126) * (J$1016:J$1039) ) * SUM(EF[CO2] * (EF[SATIM Code]= $D1126) )</f>
        <v>0</v>
      </c>
      <c r="K1126" s="1389">
        <f t="array" ref="K1126">SUM( ($E$1016:$E$1039=$E$1107) * ($A$1016:$A$1039=$A1126) * ($D$1016:$D$1039= $D1126) * (K$1016:K$1039) ) * SUM(EF[CO2] * (EF[SATIM Code]= $D1126) )</f>
        <v>0</v>
      </c>
      <c r="L1126" s="1389">
        <f t="array" ref="L1126">SUM( ($E$1016:$E$1039=$E$1107) * ($A$1016:$A$1039=$A1126) * ($D$1016:$D$1039= $D1126) * (L$1016:L$1039) ) * SUM(EF[CO2] * (EF[SATIM Code]= $D1126) )</f>
        <v>0</v>
      </c>
      <c r="M1126" s="1389">
        <f t="array" ref="M1126">SUM( ($E$1016:$E$1039=$E$1107) * ($A$1016:$A$1039=$A1126) * ($D$1016:$D$1039= $D1126) * (M$1016:M$1039) ) * SUM(EF[CO2] * (EF[SATIM Code]= $D1126) )</f>
        <v>0</v>
      </c>
      <c r="N1126" s="1389">
        <f t="array" ref="N1126">SUM( ($E$1016:$E$1039=$E$1107) * ($A$1016:$A$1039=$A1126) * ($D$1016:$D$1039= $D1126) * (N$1016:N$1039) ) * SUM(EF[CO2] * (EF[SATIM Code]= $D1126) )</f>
        <v>0</v>
      </c>
      <c r="O1126" s="1389">
        <f t="array" ref="O1126">SUM( ($E$1016:$E$1039=$E$1107) * ($A$1016:$A$1039=$A1126) * ($D$1016:$D$1039= $D1126) * (O$1016:O$1039) ) * SUM(EF[CO2] * (EF[SATIM Code]= $D1126) )</f>
        <v>0</v>
      </c>
    </row>
    <row r="1127" spans="1:15" s="19" customFormat="1" hidden="1" outlineLevel="1">
      <c r="A1127" s="19" t="str">
        <f t="shared" si="249"/>
        <v>IS</v>
      </c>
      <c r="B1127" s="1400" t="str">
        <f>INDEX(EF[UK Vector],MATCH(D1127,EF[SATIM Code],0))</f>
        <v>V.09</v>
      </c>
      <c r="C1127" s="1401" t="str">
        <f>INDEX(Vectors[Description], MATCH($B1127, Vectors[Code], 0))</f>
        <v>Dry biomass and waste</v>
      </c>
      <c r="D1127" s="1406" t="s">
        <v>888</v>
      </c>
      <c r="E1127" s="1393"/>
      <c r="F1127" s="1389">
        <f t="array" ref="F1127">SUM( ($E$1016:$E$1039=$E$1107) * ($A$1016:$A$1039=$A1127) * ($D$1016:$D$1039= $D1127) * (F$1016:F$1039) ) * SUM(EF[CO2] * (EF[SATIM Code]= $D1127) )</f>
        <v>0</v>
      </c>
      <c r="G1127" s="1389">
        <f t="array" ref="G1127">SUM( ($E$1016:$E$1039=$E$1107) * ($A$1016:$A$1039=$A1127) * ($D$1016:$D$1039= $D1127) * (G$1016:G$1039) ) * SUM(EF[CO2] * (EF[SATIM Code]= $D1127) )</f>
        <v>0</v>
      </c>
      <c r="H1127" s="1389">
        <f t="array" ref="H1127">SUM( ($E$1016:$E$1039=$E$1107) * ($A$1016:$A$1039=$A1127) * ($D$1016:$D$1039= $D1127) * (H$1016:H$1039) ) * SUM(EF[CO2] * (EF[SATIM Code]= $D1127) )</f>
        <v>0</v>
      </c>
      <c r="I1127" s="1389">
        <f t="array" ref="I1127">SUM( ($E$1016:$E$1039=$E$1107) * ($A$1016:$A$1039=$A1127) * ($D$1016:$D$1039= $D1127) * (I$1016:I$1039) ) * SUM(EF[CO2] * (EF[SATIM Code]= $D1127) )</f>
        <v>0</v>
      </c>
      <c r="J1127" s="1389">
        <f t="array" ref="J1127">SUM( ($E$1016:$E$1039=$E$1107) * ($A$1016:$A$1039=$A1127) * ($D$1016:$D$1039= $D1127) * (J$1016:J$1039) ) * SUM(EF[CO2] * (EF[SATIM Code]= $D1127) )</f>
        <v>0</v>
      </c>
      <c r="K1127" s="1389">
        <f t="array" ref="K1127">SUM( ($E$1016:$E$1039=$E$1107) * ($A$1016:$A$1039=$A1127) * ($D$1016:$D$1039= $D1127) * (K$1016:K$1039) ) * SUM(EF[CO2] * (EF[SATIM Code]= $D1127) )</f>
        <v>0</v>
      </c>
      <c r="L1127" s="1389">
        <f t="array" ref="L1127">SUM( ($E$1016:$E$1039=$E$1107) * ($A$1016:$A$1039=$A1127) * ($D$1016:$D$1039= $D1127) * (L$1016:L$1039) ) * SUM(EF[CO2] * (EF[SATIM Code]= $D1127) )</f>
        <v>0</v>
      </c>
      <c r="M1127" s="1389">
        <f t="array" ref="M1127">SUM( ($E$1016:$E$1039=$E$1107) * ($A$1016:$A$1039=$A1127) * ($D$1016:$D$1039= $D1127) * (M$1016:M$1039) ) * SUM(EF[CO2] * (EF[SATIM Code]= $D1127) )</f>
        <v>0</v>
      </c>
      <c r="N1127" s="1389">
        <f t="array" ref="N1127">SUM( ($E$1016:$E$1039=$E$1107) * ($A$1016:$A$1039=$A1127) * ($D$1016:$D$1039= $D1127) * (N$1016:N$1039) ) * SUM(EF[CO2] * (EF[SATIM Code]= $D1127) )</f>
        <v>0</v>
      </c>
      <c r="O1127" s="1389">
        <f t="array" ref="O1127">SUM( ($E$1016:$E$1039=$E$1107) * ($A$1016:$A$1039=$A1127) * ($D$1016:$D$1039= $D1127) * (O$1016:O$1039) ) * SUM(EF[CO2] * (EF[SATIM Code]= $D1127) )</f>
        <v>0</v>
      </c>
    </row>
    <row r="1128" spans="1:15" s="19" customFormat="1" hidden="1" outlineLevel="1">
      <c r="A1128" s="19" t="str">
        <f t="shared" si="249"/>
        <v>IS</v>
      </c>
      <c r="B1128" s="1400" t="str">
        <f>INDEX(EF[UK Vector],MATCH(D1128,EF[SATIM Code],0))</f>
        <v>V.09</v>
      </c>
      <c r="C1128" s="1401" t="str">
        <f>INDEX(Vectors[Description], MATCH($B1128, Vectors[Code], 0))</f>
        <v>Dry biomass and waste</v>
      </c>
      <c r="D1128" s="1388" t="s">
        <v>889</v>
      </c>
      <c r="E1128" s="1393"/>
      <c r="F1128" s="1389">
        <f t="array" ref="F1128">SUM( ($E$1016:$E$1039=$E$1107) * ($A$1016:$A$1039=$A1128) * ($D$1016:$D$1039= $D1128) * (F$1016:F$1039) ) * SUM(EF[CO2] * (EF[SATIM Code]= $D1128) )</f>
        <v>0</v>
      </c>
      <c r="G1128" s="1389">
        <f t="array" ref="G1128">SUM( ($E$1016:$E$1039=$E$1107) * ($A$1016:$A$1039=$A1128) * ($D$1016:$D$1039= $D1128) * (G$1016:G$1039) ) * SUM(EF[CO2] * (EF[SATIM Code]= $D1128) )</f>
        <v>0</v>
      </c>
      <c r="H1128" s="1389">
        <f t="array" ref="H1128">SUM( ($E$1016:$E$1039=$E$1107) * ($A$1016:$A$1039=$A1128) * ($D$1016:$D$1039= $D1128) * (H$1016:H$1039) ) * SUM(EF[CO2] * (EF[SATIM Code]= $D1128) )</f>
        <v>0</v>
      </c>
      <c r="I1128" s="1389">
        <f t="array" ref="I1128">SUM( ($E$1016:$E$1039=$E$1107) * ($A$1016:$A$1039=$A1128) * ($D$1016:$D$1039= $D1128) * (I$1016:I$1039) ) * SUM(EF[CO2] * (EF[SATIM Code]= $D1128) )</f>
        <v>0</v>
      </c>
      <c r="J1128" s="1389">
        <f t="array" ref="J1128">SUM( ($E$1016:$E$1039=$E$1107) * ($A$1016:$A$1039=$A1128) * ($D$1016:$D$1039= $D1128) * (J$1016:J$1039) ) * SUM(EF[CO2] * (EF[SATIM Code]= $D1128) )</f>
        <v>0</v>
      </c>
      <c r="K1128" s="1389">
        <f t="array" ref="K1128">SUM( ($E$1016:$E$1039=$E$1107) * ($A$1016:$A$1039=$A1128) * ($D$1016:$D$1039= $D1128) * (K$1016:K$1039) ) * SUM(EF[CO2] * (EF[SATIM Code]= $D1128) )</f>
        <v>0</v>
      </c>
      <c r="L1128" s="1389">
        <f t="array" ref="L1128">SUM( ($E$1016:$E$1039=$E$1107) * ($A$1016:$A$1039=$A1128) * ($D$1016:$D$1039= $D1128) * (L$1016:L$1039) ) * SUM(EF[CO2] * (EF[SATIM Code]= $D1128) )</f>
        <v>0</v>
      </c>
      <c r="M1128" s="1389">
        <f t="array" ref="M1128">SUM( ($E$1016:$E$1039=$E$1107) * ($A$1016:$A$1039=$A1128) * ($D$1016:$D$1039= $D1128) * (M$1016:M$1039) ) * SUM(EF[CO2] * (EF[SATIM Code]= $D1128) )</f>
        <v>0</v>
      </c>
      <c r="N1128" s="1389">
        <f t="array" ref="N1128">SUM( ($E$1016:$E$1039=$E$1107) * ($A$1016:$A$1039=$A1128) * ($D$1016:$D$1039= $D1128) * (N$1016:N$1039) ) * SUM(EF[CO2] * (EF[SATIM Code]= $D1128) )</f>
        <v>0</v>
      </c>
      <c r="O1128" s="1389">
        <f t="array" ref="O1128">SUM( ($E$1016:$E$1039=$E$1107) * ($A$1016:$A$1039=$A1128) * ($D$1016:$D$1039= $D1128) * (O$1016:O$1039) ) * SUM(EF[CO2] * (EF[SATIM Code]= $D1128) )</f>
        <v>0</v>
      </c>
    </row>
    <row r="1129" spans="1:15" s="19" customFormat="1" hidden="1" outlineLevel="1">
      <c r="A1129" s="19" t="str">
        <f t="shared" si="249"/>
        <v>IS</v>
      </c>
      <c r="B1129" s="1400" t="str">
        <f>INDEX(EF[UK Vector],MATCH(D1129,EF[SATIM Code],0))</f>
        <v>V.16</v>
      </c>
      <c r="C1129" s="1401" t="str">
        <f>INDEX(Vectors[Description], MATCH($B1129, Vectors[Code], 0))</f>
        <v>Other Waste</v>
      </c>
      <c r="D1129" s="1408" t="s">
        <v>890</v>
      </c>
      <c r="E1129" s="1401"/>
      <c r="F1129" s="1389">
        <f t="array" ref="F1129">SUM( ($E$1016:$E$1039=$E$1107) * ($A$1016:$A$1039=$A1129) * ($D$1016:$D$1039= $D1129) * (F$1016:F$1039) ) * SUM(EF[CO2] * (EF[SATIM Code]= $D1129) )</f>
        <v>0</v>
      </c>
      <c r="G1129" s="1389">
        <f t="array" ref="G1129">SUM( ($E$1016:$E$1039=$E$1107) * ($A$1016:$A$1039=$A1129) * ($D$1016:$D$1039= $D1129) * (G$1016:G$1039) ) * SUM(EF[CO2] * (EF[SATIM Code]= $D1129) )</f>
        <v>0</v>
      </c>
      <c r="H1129" s="1389">
        <f t="array" ref="H1129">SUM( ($E$1016:$E$1039=$E$1107) * ($A$1016:$A$1039=$A1129) * ($D$1016:$D$1039= $D1129) * (H$1016:H$1039) ) * SUM(EF[CO2] * (EF[SATIM Code]= $D1129) )</f>
        <v>0</v>
      </c>
      <c r="I1129" s="1389">
        <f t="array" ref="I1129">SUM( ($E$1016:$E$1039=$E$1107) * ($A$1016:$A$1039=$A1129) * ($D$1016:$D$1039= $D1129) * (I$1016:I$1039) ) * SUM(EF[CO2] * (EF[SATIM Code]= $D1129) )</f>
        <v>0</v>
      </c>
      <c r="J1129" s="1389">
        <f t="array" ref="J1129">SUM( ($E$1016:$E$1039=$E$1107) * ($A$1016:$A$1039=$A1129) * ($D$1016:$D$1039= $D1129) * (J$1016:J$1039) ) * SUM(EF[CO2] * (EF[SATIM Code]= $D1129) )</f>
        <v>0</v>
      </c>
      <c r="K1129" s="1389">
        <f t="array" ref="K1129">SUM( ($E$1016:$E$1039=$E$1107) * ($A$1016:$A$1039=$A1129) * ($D$1016:$D$1039= $D1129) * (K$1016:K$1039) ) * SUM(EF[CO2] * (EF[SATIM Code]= $D1129) )</f>
        <v>0</v>
      </c>
      <c r="L1129" s="1389">
        <f t="array" ref="L1129">SUM( ($E$1016:$E$1039=$E$1107) * ($A$1016:$A$1039=$A1129) * ($D$1016:$D$1039= $D1129) * (L$1016:L$1039) ) * SUM(EF[CO2] * (EF[SATIM Code]= $D1129) )</f>
        <v>0</v>
      </c>
      <c r="M1129" s="1389">
        <f t="array" ref="M1129">SUM( ($E$1016:$E$1039=$E$1107) * ($A$1016:$A$1039=$A1129) * ($D$1016:$D$1039= $D1129) * (M$1016:M$1039) ) * SUM(EF[CO2] * (EF[SATIM Code]= $D1129) )</f>
        <v>0</v>
      </c>
      <c r="N1129" s="1389">
        <f t="array" ref="N1129">SUM( ($E$1016:$E$1039=$E$1107) * ($A$1016:$A$1039=$A1129) * ($D$1016:$D$1039= $D1129) * (N$1016:N$1039) ) * SUM(EF[CO2] * (EF[SATIM Code]= $D1129) )</f>
        <v>0</v>
      </c>
      <c r="O1129" s="1389">
        <f t="array" ref="O1129">SUM( ($E$1016:$E$1039=$E$1107) * ($A$1016:$A$1039=$A1129) * ($D$1016:$D$1039= $D1129) * (O$1016:O$1039) ) * SUM(EF[CO2] * (EF[SATIM Code]= $D1129) )</f>
        <v>0</v>
      </c>
    </row>
    <row r="1130" spans="1:15" s="19" customFormat="1" hidden="1" outlineLevel="1">
      <c r="B1130" s="1393"/>
      <c r="C1130" s="1392" t="str">
        <f>D22</f>
        <v>Chemicals  -33</v>
      </c>
      <c r="D1130" s="1391"/>
      <c r="E1130" s="1401"/>
      <c r="F1130" s="1389">
        <f t="array" ref="F1130">SUM( ($E$1016:$E$1039=$E$1107) * ($A$1016:$A$1039=$A1130) * ($D$1016:$D$1039= $D1130) * (F$1016:F$1039) ) * SUM(EF[CO2] * (EF[SATIM Code]= $D1130) )</f>
        <v>0</v>
      </c>
      <c r="G1130" s="1389">
        <f t="array" ref="G1130">SUM( ($E$1016:$E$1039=$E$1107) * ($A$1016:$A$1039=$A1130) * ($D$1016:$D$1039= $D1130) * (G$1016:G$1039) ) * SUM(EF[CO2] * (EF[SATIM Code]= $D1130) )</f>
        <v>0</v>
      </c>
      <c r="H1130" s="1389">
        <f t="array" ref="H1130">SUM( ($E$1016:$E$1039=$E$1107) * ($A$1016:$A$1039=$A1130) * ($D$1016:$D$1039= $D1130) * (H$1016:H$1039) ) * SUM(EF[CO2] * (EF[SATIM Code]= $D1130) )</f>
        <v>0</v>
      </c>
      <c r="I1130" s="1389">
        <f t="array" ref="I1130">SUM( ($E$1016:$E$1039=$E$1107) * ($A$1016:$A$1039=$A1130) * ($D$1016:$D$1039= $D1130) * (I$1016:I$1039) ) * SUM(EF[CO2] * (EF[SATIM Code]= $D1130) )</f>
        <v>0</v>
      </c>
      <c r="J1130" s="1389">
        <f t="array" ref="J1130">SUM( ($E$1016:$E$1039=$E$1107) * ($A$1016:$A$1039=$A1130) * ($D$1016:$D$1039= $D1130) * (J$1016:J$1039) ) * SUM(EF[CO2] * (EF[SATIM Code]= $D1130) )</f>
        <v>0</v>
      </c>
      <c r="K1130" s="1389">
        <f t="array" ref="K1130">SUM( ($E$1016:$E$1039=$E$1107) * ($A$1016:$A$1039=$A1130) * ($D$1016:$D$1039= $D1130) * (K$1016:K$1039) ) * SUM(EF[CO2] * (EF[SATIM Code]= $D1130) )</f>
        <v>0</v>
      </c>
      <c r="L1130" s="1389">
        <f t="array" ref="L1130">SUM( ($E$1016:$E$1039=$E$1107) * ($A$1016:$A$1039=$A1130) * ($D$1016:$D$1039= $D1130) * (L$1016:L$1039) ) * SUM(EF[CO2] * (EF[SATIM Code]= $D1130) )</f>
        <v>0</v>
      </c>
      <c r="M1130" s="1389">
        <f t="array" ref="M1130">SUM( ($E$1016:$E$1039=$E$1107) * ($A$1016:$A$1039=$A1130) * ($D$1016:$D$1039= $D1130) * (M$1016:M$1039) ) * SUM(EF[CO2] * (EF[SATIM Code]= $D1130) )</f>
        <v>0</v>
      </c>
      <c r="N1130" s="1389">
        <f t="array" ref="N1130">SUM( ($E$1016:$E$1039=$E$1107) * ($A$1016:$A$1039=$A1130) * ($D$1016:$D$1039= $D1130) * (N$1016:N$1039) ) * SUM(EF[CO2] * (EF[SATIM Code]= $D1130) )</f>
        <v>0</v>
      </c>
      <c r="O1130" s="1389">
        <f t="array" ref="O1130">SUM( ($E$1016:$E$1039=$E$1107) * ($A$1016:$A$1039=$A1130) * ($D$1016:$D$1039= $D1130) * (O$1016:O$1039) ) * SUM(EF[CO2] * (EF[SATIM Code]= $D1130) )</f>
        <v>0</v>
      </c>
    </row>
    <row r="1131" spans="1:15" s="19" customFormat="1" hidden="1" outlineLevel="1">
      <c r="A1131" s="1438" t="str">
        <f>INDEX($C$20:$C$27,MATCH($C1130,$D$20:$D$27,0))</f>
        <v>CP</v>
      </c>
      <c r="B1131" s="1400" t="str">
        <f>INDEX(EF[UK Vector],MATCH(D1131,EF[SATIM Code],0))</f>
        <v>V.03</v>
      </c>
      <c r="C1131" s="1401" t="str">
        <f>INDEX(Vectors[Description], MATCH($B1131, Vectors[Code], 0))</f>
        <v>Solid hydrocarbons</v>
      </c>
      <c r="D1131" s="1391" t="s">
        <v>882</v>
      </c>
      <c r="E1131" s="1387"/>
      <c r="F1131" s="1389">
        <f t="array" ref="F1131">SUM( ($E$1016:$E$1039=$E$1107) * ($A$1016:$A$1039=$A1131) * ($D$1016:$D$1039= $D1131) * (F$1016:F$1039) ) * SUM(EF[CO2] * (EF[SATIM Code]= $D1131) )</f>
        <v>0</v>
      </c>
      <c r="G1131" s="1389">
        <f t="array" ref="G1131">SUM( ($E$1016:$E$1039=$E$1107) * ($A$1016:$A$1039=$A1131) * ($D$1016:$D$1039= $D1131) * (G$1016:G$1039) ) * SUM(EF[CO2] * (EF[SATIM Code]= $D1131) )</f>
        <v>0</v>
      </c>
      <c r="H1131" s="1389">
        <f t="array" ref="H1131">SUM( ($E$1016:$E$1039=$E$1107) * ($A$1016:$A$1039=$A1131) * ($D$1016:$D$1039= $D1131) * (H$1016:H$1039) ) * SUM(EF[CO2] * (EF[SATIM Code]= $D1131) )</f>
        <v>0</v>
      </c>
      <c r="I1131" s="1389">
        <f t="array" ref="I1131">SUM( ($E$1016:$E$1039=$E$1107) * ($A$1016:$A$1039=$A1131) * ($D$1016:$D$1039= $D1131) * (I$1016:I$1039) ) * SUM(EF[CO2] * (EF[SATIM Code]= $D1131) )</f>
        <v>0</v>
      </c>
      <c r="J1131" s="1389">
        <f t="array" ref="J1131">SUM( ($E$1016:$E$1039=$E$1107) * ($A$1016:$A$1039=$A1131) * ($D$1016:$D$1039= $D1131) * (J$1016:J$1039) ) * SUM(EF[CO2] * (EF[SATIM Code]= $D1131) )</f>
        <v>0</v>
      </c>
      <c r="K1131" s="1389">
        <f t="array" ref="K1131">SUM( ($E$1016:$E$1039=$E$1107) * ($A$1016:$A$1039=$A1131) * ($D$1016:$D$1039= $D1131) * (K$1016:K$1039) ) * SUM(EF[CO2] * (EF[SATIM Code]= $D1131) )</f>
        <v>0</v>
      </c>
      <c r="L1131" s="1389">
        <f t="array" ref="L1131">SUM( ($E$1016:$E$1039=$E$1107) * ($A$1016:$A$1039=$A1131) * ($D$1016:$D$1039= $D1131) * (L$1016:L$1039) ) * SUM(EF[CO2] * (EF[SATIM Code]= $D1131) )</f>
        <v>0</v>
      </c>
      <c r="M1131" s="1389">
        <f t="array" ref="M1131">SUM( ($E$1016:$E$1039=$E$1107) * ($A$1016:$A$1039=$A1131) * ($D$1016:$D$1039= $D1131) * (M$1016:M$1039) ) * SUM(EF[CO2] * (EF[SATIM Code]= $D1131) )</f>
        <v>0</v>
      </c>
      <c r="N1131" s="1389">
        <f t="array" ref="N1131">SUM( ($E$1016:$E$1039=$E$1107) * ($A$1016:$A$1039=$A1131) * ($D$1016:$D$1039= $D1131) * (N$1016:N$1039) ) * SUM(EF[CO2] * (EF[SATIM Code]= $D1131) )</f>
        <v>0</v>
      </c>
      <c r="O1131" s="1389">
        <f t="array" ref="O1131">SUM( ($E$1016:$E$1039=$E$1107) * ($A$1016:$A$1039=$A1131) * ($D$1016:$D$1039= $D1131) * (O$1016:O$1039) ) * SUM(EF[CO2] * (EF[SATIM Code]= $D1131) )</f>
        <v>0</v>
      </c>
    </row>
    <row r="1132" spans="1:15" s="19" customFormat="1" hidden="1" outlineLevel="1">
      <c r="A1132" s="19" t="str">
        <f t="shared" ref="A1132:A1139" si="250">A1131</f>
        <v>CP</v>
      </c>
      <c r="B1132" s="1400" t="str">
        <f>INDEX(EF[UK Vector],MATCH(D1132,EF[SATIM Code],0))</f>
        <v>V.03</v>
      </c>
      <c r="C1132" s="1401" t="str">
        <f>INDEX(Vectors[Description], MATCH($B1132, Vectors[Code], 0))</f>
        <v>Solid hydrocarbons</v>
      </c>
      <c r="D1132" s="1391" t="s">
        <v>883</v>
      </c>
      <c r="E1132" s="1387"/>
      <c r="F1132" s="1389">
        <f t="array" ref="F1132">SUM( ($E$1016:$E$1039=$E$1107) * ($A$1016:$A$1039=$A1132) * ($D$1016:$D$1039= $D1132) * (F$1016:F$1039) ) * SUM(EF[CO2] * (EF[SATIM Code]= $D1132) )</f>
        <v>0</v>
      </c>
      <c r="G1132" s="1389">
        <f t="array" ref="G1132">SUM( ($E$1016:$E$1039=$E$1107) * ($A$1016:$A$1039=$A1132) * ($D$1016:$D$1039= $D1132) * (G$1016:G$1039) ) * SUM(EF[CO2] * (EF[SATIM Code]= $D1132) )</f>
        <v>0</v>
      </c>
      <c r="H1132" s="1389">
        <f t="array" ref="H1132">SUM( ($E$1016:$E$1039=$E$1107) * ($A$1016:$A$1039=$A1132) * ($D$1016:$D$1039= $D1132) * (H$1016:H$1039) ) * SUM(EF[CO2] * (EF[SATIM Code]= $D1132) )</f>
        <v>0</v>
      </c>
      <c r="I1132" s="1389">
        <f t="array" ref="I1132">SUM( ($E$1016:$E$1039=$E$1107) * ($A$1016:$A$1039=$A1132) * ($D$1016:$D$1039= $D1132) * (I$1016:I$1039) ) * SUM(EF[CO2] * (EF[SATIM Code]= $D1132) )</f>
        <v>0</v>
      </c>
      <c r="J1132" s="1389">
        <f t="array" ref="J1132">SUM( ($E$1016:$E$1039=$E$1107) * ($A$1016:$A$1039=$A1132) * ($D$1016:$D$1039= $D1132) * (J$1016:J$1039) ) * SUM(EF[CO2] * (EF[SATIM Code]= $D1132) )</f>
        <v>0</v>
      </c>
      <c r="K1132" s="1389">
        <f t="array" ref="K1132">SUM( ($E$1016:$E$1039=$E$1107) * ($A$1016:$A$1039=$A1132) * ($D$1016:$D$1039= $D1132) * (K$1016:K$1039) ) * SUM(EF[CO2] * (EF[SATIM Code]= $D1132) )</f>
        <v>0</v>
      </c>
      <c r="L1132" s="1389">
        <f t="array" ref="L1132">SUM( ($E$1016:$E$1039=$E$1107) * ($A$1016:$A$1039=$A1132) * ($D$1016:$D$1039= $D1132) * (L$1016:L$1039) ) * SUM(EF[CO2] * (EF[SATIM Code]= $D1132) )</f>
        <v>0</v>
      </c>
      <c r="M1132" s="1389">
        <f t="array" ref="M1132">SUM( ($E$1016:$E$1039=$E$1107) * ($A$1016:$A$1039=$A1132) * ($D$1016:$D$1039= $D1132) * (M$1016:M$1039) ) * SUM(EF[CO2] * (EF[SATIM Code]= $D1132) )</f>
        <v>0</v>
      </c>
      <c r="N1132" s="1389">
        <f t="array" ref="N1132">SUM( ($E$1016:$E$1039=$E$1107) * ($A$1016:$A$1039=$A1132) * ($D$1016:$D$1039= $D1132) * (N$1016:N$1039) ) * SUM(EF[CO2] * (EF[SATIM Code]= $D1132) )</f>
        <v>0</v>
      </c>
      <c r="O1132" s="1389">
        <f t="array" ref="O1132">SUM( ($E$1016:$E$1039=$E$1107) * ($A$1016:$A$1039=$A1132) * ($D$1016:$D$1039= $D1132) * (O$1016:O$1039) ) * SUM(EF[CO2] * (EF[SATIM Code]= $D1132) )</f>
        <v>0</v>
      </c>
    </row>
    <row r="1133" spans="1:15" s="19" customFormat="1" hidden="1" outlineLevel="1">
      <c r="A1133" s="19" t="str">
        <f t="shared" si="250"/>
        <v>CP</v>
      </c>
      <c r="B1133" s="1400" t="str">
        <f>INDEX(EF[UK Vector],MATCH(D1133,EF[SATIM Code],0))</f>
        <v>V.05</v>
      </c>
      <c r="C1133" s="1401" t="str">
        <f>INDEX(Vectors[Description], MATCH($B1133, Vectors[Code], 0))</f>
        <v>Gaseous hydrocarbons</v>
      </c>
      <c r="D1133" s="1406" t="s">
        <v>869</v>
      </c>
      <c r="E1133" s="1401"/>
      <c r="F1133" s="1389">
        <f t="array" ref="F1133">SUM( ($E$1016:$E$1039=$E$1107) * ($A$1016:$A$1039=$A1133) * ($D$1016:$D$1039= $D1133) * (F$1016:F$1039) ) * SUM(EF[CO2] * (EF[SATIM Code]= $D1133) )</f>
        <v>0</v>
      </c>
      <c r="G1133" s="1389">
        <f t="array" ref="G1133">SUM( ($E$1016:$E$1039=$E$1107) * ($A$1016:$A$1039=$A1133) * ($D$1016:$D$1039= $D1133) * (G$1016:G$1039) ) * SUM(EF[CO2] * (EF[SATIM Code]= $D1133) )</f>
        <v>0</v>
      </c>
      <c r="H1133" s="1389">
        <f t="array" ref="H1133">SUM( ($E$1016:$E$1039=$E$1107) * ($A$1016:$A$1039=$A1133) * ($D$1016:$D$1039= $D1133) * (H$1016:H$1039) ) * SUM(EF[CO2] * (EF[SATIM Code]= $D1133) )</f>
        <v>0</v>
      </c>
      <c r="I1133" s="1389">
        <f t="array" ref="I1133">SUM( ($E$1016:$E$1039=$E$1107) * ($A$1016:$A$1039=$A1133) * ($D$1016:$D$1039= $D1133) * (I$1016:I$1039) ) * SUM(EF[CO2] * (EF[SATIM Code]= $D1133) )</f>
        <v>0</v>
      </c>
      <c r="J1133" s="1389">
        <f t="array" ref="J1133">SUM( ($E$1016:$E$1039=$E$1107) * ($A$1016:$A$1039=$A1133) * ($D$1016:$D$1039= $D1133) * (J$1016:J$1039) ) * SUM(EF[CO2] * (EF[SATIM Code]= $D1133) )</f>
        <v>0</v>
      </c>
      <c r="K1133" s="1389">
        <f t="array" ref="K1133">SUM( ($E$1016:$E$1039=$E$1107) * ($A$1016:$A$1039=$A1133) * ($D$1016:$D$1039= $D1133) * (K$1016:K$1039) ) * SUM(EF[CO2] * (EF[SATIM Code]= $D1133) )</f>
        <v>0</v>
      </c>
      <c r="L1133" s="1389">
        <f t="array" ref="L1133">SUM( ($E$1016:$E$1039=$E$1107) * ($A$1016:$A$1039=$A1133) * ($D$1016:$D$1039= $D1133) * (L$1016:L$1039) ) * SUM(EF[CO2] * (EF[SATIM Code]= $D1133) )</f>
        <v>0</v>
      </c>
      <c r="M1133" s="1389">
        <f t="array" ref="M1133">SUM( ($E$1016:$E$1039=$E$1107) * ($A$1016:$A$1039=$A1133) * ($D$1016:$D$1039= $D1133) * (M$1016:M$1039) ) * SUM(EF[CO2] * (EF[SATIM Code]= $D1133) )</f>
        <v>0</v>
      </c>
      <c r="N1133" s="1389">
        <f t="array" ref="N1133">SUM( ($E$1016:$E$1039=$E$1107) * ($A$1016:$A$1039=$A1133) * ($D$1016:$D$1039= $D1133) * (N$1016:N$1039) ) * SUM(EF[CO2] * (EF[SATIM Code]= $D1133) )</f>
        <v>0</v>
      </c>
      <c r="O1133" s="1389">
        <f t="array" ref="O1133">SUM( ($E$1016:$E$1039=$E$1107) * ($A$1016:$A$1039=$A1133) * ($D$1016:$D$1039= $D1133) * (O$1016:O$1039) ) * SUM(EF[CO2] * (EF[SATIM Code]= $D1133) )</f>
        <v>0</v>
      </c>
    </row>
    <row r="1134" spans="1:15" s="19" customFormat="1" hidden="1" outlineLevel="1">
      <c r="A1134" s="19" t="str">
        <f t="shared" si="250"/>
        <v>CP</v>
      </c>
      <c r="B1134" s="1400" t="str">
        <f>INDEX(EF[UK Vector],MATCH(D1134,EF[SATIM Code],0))</f>
        <v>V.04</v>
      </c>
      <c r="C1134" s="1401" t="str">
        <f>INDEX(Vectors[Description], MATCH($B1134, Vectors[Code], 0))</f>
        <v>Liquid hydrocarbons</v>
      </c>
      <c r="D1134" s="1406" t="s">
        <v>885</v>
      </c>
      <c r="E1134" s="1401"/>
      <c r="F1134" s="1389">
        <f t="array" ref="F1134">SUM( ($E$1016:$E$1039=$E$1107) * ($A$1016:$A$1039=$A1134) * ($D$1016:$D$1039= $D1134) * (F$1016:F$1039) ) * SUM(EF[CO2] * (EF[SATIM Code]= $D1134) )</f>
        <v>0</v>
      </c>
      <c r="G1134" s="1389">
        <f t="array" ref="G1134">SUM( ($E$1016:$E$1039=$E$1107) * ($A$1016:$A$1039=$A1134) * ($D$1016:$D$1039= $D1134) * (G$1016:G$1039) ) * SUM(EF[CO2] * (EF[SATIM Code]= $D1134) )</f>
        <v>0</v>
      </c>
      <c r="H1134" s="1389">
        <f t="array" ref="H1134">SUM( ($E$1016:$E$1039=$E$1107) * ($A$1016:$A$1039=$A1134) * ($D$1016:$D$1039= $D1134) * (H$1016:H$1039) ) * SUM(EF[CO2] * (EF[SATIM Code]= $D1134) )</f>
        <v>0</v>
      </c>
      <c r="I1134" s="1389">
        <f t="array" ref="I1134">SUM( ($E$1016:$E$1039=$E$1107) * ($A$1016:$A$1039=$A1134) * ($D$1016:$D$1039= $D1134) * (I$1016:I$1039) ) * SUM(EF[CO2] * (EF[SATIM Code]= $D1134) )</f>
        <v>0</v>
      </c>
      <c r="J1134" s="1389">
        <f t="array" ref="J1134">SUM( ($E$1016:$E$1039=$E$1107) * ($A$1016:$A$1039=$A1134) * ($D$1016:$D$1039= $D1134) * (J$1016:J$1039) ) * SUM(EF[CO2] * (EF[SATIM Code]= $D1134) )</f>
        <v>0</v>
      </c>
      <c r="K1134" s="1389">
        <f t="array" ref="K1134">SUM( ($E$1016:$E$1039=$E$1107) * ($A$1016:$A$1039=$A1134) * ($D$1016:$D$1039= $D1134) * (K$1016:K$1039) ) * SUM(EF[CO2] * (EF[SATIM Code]= $D1134) )</f>
        <v>0</v>
      </c>
      <c r="L1134" s="1389">
        <f t="array" ref="L1134">SUM( ($E$1016:$E$1039=$E$1107) * ($A$1016:$A$1039=$A1134) * ($D$1016:$D$1039= $D1134) * (L$1016:L$1039) ) * SUM(EF[CO2] * (EF[SATIM Code]= $D1134) )</f>
        <v>0</v>
      </c>
      <c r="M1134" s="1389">
        <f t="array" ref="M1134">SUM( ($E$1016:$E$1039=$E$1107) * ($A$1016:$A$1039=$A1134) * ($D$1016:$D$1039= $D1134) * (M$1016:M$1039) ) * SUM(EF[CO2] * (EF[SATIM Code]= $D1134) )</f>
        <v>0</v>
      </c>
      <c r="N1134" s="1389">
        <f t="array" ref="N1134">SUM( ($E$1016:$E$1039=$E$1107) * ($A$1016:$A$1039=$A1134) * ($D$1016:$D$1039= $D1134) * (N$1016:N$1039) ) * SUM(EF[CO2] * (EF[SATIM Code]= $D1134) )</f>
        <v>0</v>
      </c>
      <c r="O1134" s="1389">
        <f t="array" ref="O1134">SUM( ($E$1016:$E$1039=$E$1107) * ($A$1016:$A$1039=$A1134) * ($D$1016:$D$1039= $D1134) * (O$1016:O$1039) ) * SUM(EF[CO2] * (EF[SATIM Code]= $D1134) )</f>
        <v>0</v>
      </c>
    </row>
    <row r="1135" spans="1:15" s="19" customFormat="1" hidden="1" outlineLevel="1">
      <c r="A1135" s="19" t="str">
        <f t="shared" si="250"/>
        <v>CP</v>
      </c>
      <c r="B1135" s="1400" t="str">
        <f>INDEX(EF[UK Vector],MATCH(D1135,EF[SATIM Code],0))</f>
        <v>V.04</v>
      </c>
      <c r="C1135" s="1401" t="str">
        <f>INDEX(Vectors[Description], MATCH($B1135, Vectors[Code], 0))</f>
        <v>Liquid hydrocarbons</v>
      </c>
      <c r="D1135" s="1391" t="s">
        <v>886</v>
      </c>
      <c r="E1135" s="1392"/>
      <c r="F1135" s="1389">
        <f t="array" ref="F1135">SUM( ($E$1016:$E$1039=$E$1107) * ($A$1016:$A$1039=$A1135) * ($D$1016:$D$1039= $D1135) * (F$1016:F$1039) ) * SUM(EF[CO2] * (EF[SATIM Code]= $D1135) )</f>
        <v>0</v>
      </c>
      <c r="G1135" s="1389">
        <f t="array" ref="G1135">SUM( ($E$1016:$E$1039=$E$1107) * ($A$1016:$A$1039=$A1135) * ($D$1016:$D$1039= $D1135) * (G$1016:G$1039) ) * SUM(EF[CO2] * (EF[SATIM Code]= $D1135) )</f>
        <v>0</v>
      </c>
      <c r="H1135" s="1389">
        <f t="array" ref="H1135">SUM( ($E$1016:$E$1039=$E$1107) * ($A$1016:$A$1039=$A1135) * ($D$1016:$D$1039= $D1135) * (H$1016:H$1039) ) * SUM(EF[CO2] * (EF[SATIM Code]= $D1135) )</f>
        <v>0</v>
      </c>
      <c r="I1135" s="1389">
        <f t="array" ref="I1135">SUM( ($E$1016:$E$1039=$E$1107) * ($A$1016:$A$1039=$A1135) * ($D$1016:$D$1039= $D1135) * (I$1016:I$1039) ) * SUM(EF[CO2] * (EF[SATIM Code]= $D1135) )</f>
        <v>0</v>
      </c>
      <c r="J1135" s="1389">
        <f t="array" ref="J1135">SUM( ($E$1016:$E$1039=$E$1107) * ($A$1016:$A$1039=$A1135) * ($D$1016:$D$1039= $D1135) * (J$1016:J$1039) ) * SUM(EF[CO2] * (EF[SATIM Code]= $D1135) )</f>
        <v>0</v>
      </c>
      <c r="K1135" s="1389">
        <f t="array" ref="K1135">SUM( ($E$1016:$E$1039=$E$1107) * ($A$1016:$A$1039=$A1135) * ($D$1016:$D$1039= $D1135) * (K$1016:K$1039) ) * SUM(EF[CO2] * (EF[SATIM Code]= $D1135) )</f>
        <v>0</v>
      </c>
      <c r="L1135" s="1389">
        <f t="array" ref="L1135">SUM( ($E$1016:$E$1039=$E$1107) * ($A$1016:$A$1039=$A1135) * ($D$1016:$D$1039= $D1135) * (L$1016:L$1039) ) * SUM(EF[CO2] * (EF[SATIM Code]= $D1135) )</f>
        <v>0</v>
      </c>
      <c r="M1135" s="1389">
        <f t="array" ref="M1135">SUM( ($E$1016:$E$1039=$E$1107) * ($A$1016:$A$1039=$A1135) * ($D$1016:$D$1039= $D1135) * (M$1016:M$1039) ) * SUM(EF[CO2] * (EF[SATIM Code]= $D1135) )</f>
        <v>0</v>
      </c>
      <c r="N1135" s="1389">
        <f t="array" ref="N1135">SUM( ($E$1016:$E$1039=$E$1107) * ($A$1016:$A$1039=$A1135) * ($D$1016:$D$1039= $D1135) * (N$1016:N$1039) ) * SUM(EF[CO2] * (EF[SATIM Code]= $D1135) )</f>
        <v>0</v>
      </c>
      <c r="O1135" s="1389">
        <f t="array" ref="O1135">SUM( ($E$1016:$E$1039=$E$1107) * ($A$1016:$A$1039=$A1135) * ($D$1016:$D$1039= $D1135) * (O$1016:O$1039) ) * SUM(EF[CO2] * (EF[SATIM Code]= $D1135) )</f>
        <v>0</v>
      </c>
    </row>
    <row r="1136" spans="1:15" s="19" customFormat="1" hidden="1" outlineLevel="1">
      <c r="A1136" s="19" t="str">
        <f t="shared" si="250"/>
        <v>CP</v>
      </c>
      <c r="B1136" s="1400" t="str">
        <f>INDEX(EF[UK Vector],MATCH(D1136,EF[SATIM Code],0))</f>
        <v>V.04</v>
      </c>
      <c r="C1136" s="1401" t="str">
        <f>INDEX(Vectors[Description], MATCH($B1136, Vectors[Code], 0))</f>
        <v>Liquid hydrocarbons</v>
      </c>
      <c r="D1136" s="1406" t="s">
        <v>887</v>
      </c>
      <c r="E1136" s="1393"/>
      <c r="F1136" s="1389">
        <f t="array" ref="F1136">SUM( ($E$1016:$E$1039=$E$1107) * ($A$1016:$A$1039=$A1136) * ($D$1016:$D$1039= $D1136) * (F$1016:F$1039) ) * SUM(EF[CO2] * (EF[SATIM Code]= $D1136) )</f>
        <v>0</v>
      </c>
      <c r="G1136" s="1389">
        <f t="array" ref="G1136">SUM( ($E$1016:$E$1039=$E$1107) * ($A$1016:$A$1039=$A1136) * ($D$1016:$D$1039= $D1136) * (G$1016:G$1039) ) * SUM(EF[CO2] * (EF[SATIM Code]= $D1136) )</f>
        <v>0</v>
      </c>
      <c r="H1136" s="1389">
        <f t="array" ref="H1136">SUM( ($E$1016:$E$1039=$E$1107) * ($A$1016:$A$1039=$A1136) * ($D$1016:$D$1039= $D1136) * (H$1016:H$1039) ) * SUM(EF[CO2] * (EF[SATIM Code]= $D1136) )</f>
        <v>0</v>
      </c>
      <c r="I1136" s="1389">
        <f t="array" ref="I1136">SUM( ($E$1016:$E$1039=$E$1107) * ($A$1016:$A$1039=$A1136) * ($D$1016:$D$1039= $D1136) * (I$1016:I$1039) ) * SUM(EF[CO2] * (EF[SATIM Code]= $D1136) )</f>
        <v>0</v>
      </c>
      <c r="J1136" s="1389">
        <f t="array" ref="J1136">SUM( ($E$1016:$E$1039=$E$1107) * ($A$1016:$A$1039=$A1136) * ($D$1016:$D$1039= $D1136) * (J$1016:J$1039) ) * SUM(EF[CO2] * (EF[SATIM Code]= $D1136) )</f>
        <v>0</v>
      </c>
      <c r="K1136" s="1389">
        <f t="array" ref="K1136">SUM( ($E$1016:$E$1039=$E$1107) * ($A$1016:$A$1039=$A1136) * ($D$1016:$D$1039= $D1136) * (K$1016:K$1039) ) * SUM(EF[CO2] * (EF[SATIM Code]= $D1136) )</f>
        <v>0</v>
      </c>
      <c r="L1136" s="1389">
        <f t="array" ref="L1136">SUM( ($E$1016:$E$1039=$E$1107) * ($A$1016:$A$1039=$A1136) * ($D$1016:$D$1039= $D1136) * (L$1016:L$1039) ) * SUM(EF[CO2] * (EF[SATIM Code]= $D1136) )</f>
        <v>0</v>
      </c>
      <c r="M1136" s="1389">
        <f t="array" ref="M1136">SUM( ($E$1016:$E$1039=$E$1107) * ($A$1016:$A$1039=$A1136) * ($D$1016:$D$1039= $D1136) * (M$1016:M$1039) ) * SUM(EF[CO2] * (EF[SATIM Code]= $D1136) )</f>
        <v>0</v>
      </c>
      <c r="N1136" s="1389">
        <f t="array" ref="N1136">SUM( ($E$1016:$E$1039=$E$1107) * ($A$1016:$A$1039=$A1136) * ($D$1016:$D$1039= $D1136) * (N$1016:N$1039) ) * SUM(EF[CO2] * (EF[SATIM Code]= $D1136) )</f>
        <v>0</v>
      </c>
      <c r="O1136" s="1389">
        <f t="array" ref="O1136">SUM( ($E$1016:$E$1039=$E$1107) * ($A$1016:$A$1039=$A1136) * ($D$1016:$D$1039= $D1136) * (O$1016:O$1039) ) * SUM(EF[CO2] * (EF[SATIM Code]= $D1136) )</f>
        <v>0</v>
      </c>
    </row>
    <row r="1137" spans="1:15" s="19" customFormat="1" hidden="1" outlineLevel="1">
      <c r="A1137" s="19" t="str">
        <f t="shared" si="250"/>
        <v>CP</v>
      </c>
      <c r="B1137" s="1400" t="str">
        <f>INDEX(EF[UK Vector],MATCH(D1137,EF[SATIM Code],0))</f>
        <v>V.09</v>
      </c>
      <c r="C1137" s="1401" t="str">
        <f>INDEX(Vectors[Description], MATCH($B1137, Vectors[Code], 0))</f>
        <v>Dry biomass and waste</v>
      </c>
      <c r="D1137" s="1406" t="s">
        <v>888</v>
      </c>
      <c r="E1137" s="1393"/>
      <c r="F1137" s="1389">
        <f t="array" ref="F1137">SUM( ($E$1016:$E$1039=$E$1107) * ($A$1016:$A$1039=$A1137) * ($D$1016:$D$1039= $D1137) * (F$1016:F$1039) ) * SUM(EF[CO2] * (EF[SATIM Code]= $D1137) )</f>
        <v>0</v>
      </c>
      <c r="G1137" s="1389">
        <f t="array" ref="G1137">SUM( ($E$1016:$E$1039=$E$1107) * ($A$1016:$A$1039=$A1137) * ($D$1016:$D$1039= $D1137) * (G$1016:G$1039) ) * SUM(EF[CO2] * (EF[SATIM Code]= $D1137) )</f>
        <v>0</v>
      </c>
      <c r="H1137" s="1389">
        <f t="array" ref="H1137">SUM( ($E$1016:$E$1039=$E$1107) * ($A$1016:$A$1039=$A1137) * ($D$1016:$D$1039= $D1137) * (H$1016:H$1039) ) * SUM(EF[CO2] * (EF[SATIM Code]= $D1137) )</f>
        <v>0</v>
      </c>
      <c r="I1137" s="1389">
        <f t="array" ref="I1137">SUM( ($E$1016:$E$1039=$E$1107) * ($A$1016:$A$1039=$A1137) * ($D$1016:$D$1039= $D1137) * (I$1016:I$1039) ) * SUM(EF[CO2] * (EF[SATIM Code]= $D1137) )</f>
        <v>0</v>
      </c>
      <c r="J1137" s="1389">
        <f t="array" ref="J1137">SUM( ($E$1016:$E$1039=$E$1107) * ($A$1016:$A$1039=$A1137) * ($D$1016:$D$1039= $D1137) * (J$1016:J$1039) ) * SUM(EF[CO2] * (EF[SATIM Code]= $D1137) )</f>
        <v>0</v>
      </c>
      <c r="K1137" s="1389">
        <f t="array" ref="K1137">SUM( ($E$1016:$E$1039=$E$1107) * ($A$1016:$A$1039=$A1137) * ($D$1016:$D$1039= $D1137) * (K$1016:K$1039) ) * SUM(EF[CO2] * (EF[SATIM Code]= $D1137) )</f>
        <v>0</v>
      </c>
      <c r="L1137" s="1389">
        <f t="array" ref="L1137">SUM( ($E$1016:$E$1039=$E$1107) * ($A$1016:$A$1039=$A1137) * ($D$1016:$D$1039= $D1137) * (L$1016:L$1039) ) * SUM(EF[CO2] * (EF[SATIM Code]= $D1137) )</f>
        <v>0</v>
      </c>
      <c r="M1137" s="1389">
        <f t="array" ref="M1137">SUM( ($E$1016:$E$1039=$E$1107) * ($A$1016:$A$1039=$A1137) * ($D$1016:$D$1039= $D1137) * (M$1016:M$1039) ) * SUM(EF[CO2] * (EF[SATIM Code]= $D1137) )</f>
        <v>0</v>
      </c>
      <c r="N1137" s="1389">
        <f t="array" ref="N1137">SUM( ($E$1016:$E$1039=$E$1107) * ($A$1016:$A$1039=$A1137) * ($D$1016:$D$1039= $D1137) * (N$1016:N$1039) ) * SUM(EF[CO2] * (EF[SATIM Code]= $D1137) )</f>
        <v>0</v>
      </c>
      <c r="O1137" s="1389">
        <f t="array" ref="O1137">SUM( ($E$1016:$E$1039=$E$1107) * ($A$1016:$A$1039=$A1137) * ($D$1016:$D$1039= $D1137) * (O$1016:O$1039) ) * SUM(EF[CO2] * (EF[SATIM Code]= $D1137) )</f>
        <v>0</v>
      </c>
    </row>
    <row r="1138" spans="1:15" s="19" customFormat="1" hidden="1" outlineLevel="1">
      <c r="A1138" s="19" t="str">
        <f t="shared" si="250"/>
        <v>CP</v>
      </c>
      <c r="B1138" s="1400" t="str">
        <f>INDEX(EF[UK Vector],MATCH(D1138,EF[SATIM Code],0))</f>
        <v>V.09</v>
      </c>
      <c r="C1138" s="1401" t="str">
        <f>INDEX(Vectors[Description], MATCH($B1138, Vectors[Code], 0))</f>
        <v>Dry biomass and waste</v>
      </c>
      <c r="D1138" s="1388" t="s">
        <v>889</v>
      </c>
      <c r="E1138" s="1393"/>
      <c r="F1138" s="1389">
        <f t="array" ref="F1138">SUM( ($E$1016:$E$1039=$E$1107) * ($A$1016:$A$1039=$A1138) * ($D$1016:$D$1039= $D1138) * (F$1016:F$1039) ) * SUM(EF[CO2] * (EF[SATIM Code]= $D1138) )</f>
        <v>0</v>
      </c>
      <c r="G1138" s="1389">
        <f t="array" ref="G1138">SUM( ($E$1016:$E$1039=$E$1107) * ($A$1016:$A$1039=$A1138) * ($D$1016:$D$1039= $D1138) * (G$1016:G$1039) ) * SUM(EF[CO2] * (EF[SATIM Code]= $D1138) )</f>
        <v>0</v>
      </c>
      <c r="H1138" s="1389">
        <f t="array" ref="H1138">SUM( ($E$1016:$E$1039=$E$1107) * ($A$1016:$A$1039=$A1138) * ($D$1016:$D$1039= $D1138) * (H$1016:H$1039) ) * SUM(EF[CO2] * (EF[SATIM Code]= $D1138) )</f>
        <v>0</v>
      </c>
      <c r="I1138" s="1389">
        <f t="array" ref="I1138">SUM( ($E$1016:$E$1039=$E$1107) * ($A$1016:$A$1039=$A1138) * ($D$1016:$D$1039= $D1138) * (I$1016:I$1039) ) * SUM(EF[CO2] * (EF[SATIM Code]= $D1138) )</f>
        <v>0</v>
      </c>
      <c r="J1138" s="1389">
        <f t="array" ref="J1138">SUM( ($E$1016:$E$1039=$E$1107) * ($A$1016:$A$1039=$A1138) * ($D$1016:$D$1039= $D1138) * (J$1016:J$1039) ) * SUM(EF[CO2] * (EF[SATIM Code]= $D1138) )</f>
        <v>0</v>
      </c>
      <c r="K1138" s="1389">
        <f t="array" ref="K1138">SUM( ($E$1016:$E$1039=$E$1107) * ($A$1016:$A$1039=$A1138) * ($D$1016:$D$1039= $D1138) * (K$1016:K$1039) ) * SUM(EF[CO2] * (EF[SATIM Code]= $D1138) )</f>
        <v>0</v>
      </c>
      <c r="L1138" s="1389">
        <f t="array" ref="L1138">SUM( ($E$1016:$E$1039=$E$1107) * ($A$1016:$A$1039=$A1138) * ($D$1016:$D$1039= $D1138) * (L$1016:L$1039) ) * SUM(EF[CO2] * (EF[SATIM Code]= $D1138) )</f>
        <v>0</v>
      </c>
      <c r="M1138" s="1389">
        <f t="array" ref="M1138">SUM( ($E$1016:$E$1039=$E$1107) * ($A$1016:$A$1039=$A1138) * ($D$1016:$D$1039= $D1138) * (M$1016:M$1039) ) * SUM(EF[CO2] * (EF[SATIM Code]= $D1138) )</f>
        <v>0</v>
      </c>
      <c r="N1138" s="1389">
        <f t="array" ref="N1138">SUM( ($E$1016:$E$1039=$E$1107) * ($A$1016:$A$1039=$A1138) * ($D$1016:$D$1039= $D1138) * (N$1016:N$1039) ) * SUM(EF[CO2] * (EF[SATIM Code]= $D1138) )</f>
        <v>0</v>
      </c>
      <c r="O1138" s="1389">
        <f t="array" ref="O1138">SUM( ($E$1016:$E$1039=$E$1107) * ($A$1016:$A$1039=$A1138) * ($D$1016:$D$1039= $D1138) * (O$1016:O$1039) ) * SUM(EF[CO2] * (EF[SATIM Code]= $D1138) )</f>
        <v>0</v>
      </c>
    </row>
    <row r="1139" spans="1:15" s="19" customFormat="1" hidden="1" outlineLevel="1">
      <c r="A1139" s="19" t="str">
        <f t="shared" si="250"/>
        <v>CP</v>
      </c>
      <c r="B1139" s="1400" t="str">
        <f>INDEX(EF[UK Vector],MATCH(D1139,EF[SATIM Code],0))</f>
        <v>V.16</v>
      </c>
      <c r="C1139" s="1401" t="str">
        <f>INDEX(Vectors[Description], MATCH($B1139, Vectors[Code], 0))</f>
        <v>Other Waste</v>
      </c>
      <c r="D1139" s="1408" t="s">
        <v>890</v>
      </c>
      <c r="E1139" s="1393"/>
      <c r="F1139" s="1389">
        <f t="array" ref="F1139">SUM( ($E$1016:$E$1039=$E$1107) * ($A$1016:$A$1039=$A1139) * ($D$1016:$D$1039= $D1139) * (F$1016:F$1039) ) * SUM(EF[CO2] * (EF[SATIM Code]= $D1139) )</f>
        <v>0</v>
      </c>
      <c r="G1139" s="1389">
        <f t="array" ref="G1139">SUM( ($E$1016:$E$1039=$E$1107) * ($A$1016:$A$1039=$A1139) * ($D$1016:$D$1039= $D1139) * (G$1016:G$1039) ) * SUM(EF[CO2] * (EF[SATIM Code]= $D1139) )</f>
        <v>0</v>
      </c>
      <c r="H1139" s="1389">
        <f t="array" ref="H1139">SUM( ($E$1016:$E$1039=$E$1107) * ($A$1016:$A$1039=$A1139) * ($D$1016:$D$1039= $D1139) * (H$1016:H$1039) ) * SUM(EF[CO2] * (EF[SATIM Code]= $D1139) )</f>
        <v>0</v>
      </c>
      <c r="I1139" s="1389">
        <f t="array" ref="I1139">SUM( ($E$1016:$E$1039=$E$1107) * ($A$1016:$A$1039=$A1139) * ($D$1016:$D$1039= $D1139) * (I$1016:I$1039) ) * SUM(EF[CO2] * (EF[SATIM Code]= $D1139) )</f>
        <v>0</v>
      </c>
      <c r="J1139" s="1389">
        <f t="array" ref="J1139">SUM( ($E$1016:$E$1039=$E$1107) * ($A$1016:$A$1039=$A1139) * ($D$1016:$D$1039= $D1139) * (J$1016:J$1039) ) * SUM(EF[CO2] * (EF[SATIM Code]= $D1139) )</f>
        <v>0</v>
      </c>
      <c r="K1139" s="1389">
        <f t="array" ref="K1139">SUM( ($E$1016:$E$1039=$E$1107) * ($A$1016:$A$1039=$A1139) * ($D$1016:$D$1039= $D1139) * (K$1016:K$1039) ) * SUM(EF[CO2] * (EF[SATIM Code]= $D1139) )</f>
        <v>0</v>
      </c>
      <c r="L1139" s="1389">
        <f t="array" ref="L1139">SUM( ($E$1016:$E$1039=$E$1107) * ($A$1016:$A$1039=$A1139) * ($D$1016:$D$1039= $D1139) * (L$1016:L$1039) ) * SUM(EF[CO2] * (EF[SATIM Code]= $D1139) )</f>
        <v>0</v>
      </c>
      <c r="M1139" s="1389">
        <f t="array" ref="M1139">SUM( ($E$1016:$E$1039=$E$1107) * ($A$1016:$A$1039=$A1139) * ($D$1016:$D$1039= $D1139) * (M$1016:M$1039) ) * SUM(EF[CO2] * (EF[SATIM Code]= $D1139) )</f>
        <v>0</v>
      </c>
      <c r="N1139" s="1389">
        <f t="array" ref="N1139">SUM( ($E$1016:$E$1039=$E$1107) * ($A$1016:$A$1039=$A1139) * ($D$1016:$D$1039= $D1139) * (N$1016:N$1039) ) * SUM(EF[CO2] * (EF[SATIM Code]= $D1139) )</f>
        <v>0</v>
      </c>
      <c r="O1139" s="1389">
        <f t="array" ref="O1139">SUM( ($E$1016:$E$1039=$E$1107) * ($A$1016:$A$1039=$A1139) * ($D$1016:$D$1039= $D1139) * (O$1016:O$1039) ) * SUM(EF[CO2] * (EF[SATIM Code]= $D1139) )</f>
        <v>0</v>
      </c>
    </row>
    <row r="1140" spans="1:15" s="19" customFormat="1" hidden="1" outlineLevel="1">
      <c r="B1140" s="1393"/>
      <c r="C1140" s="1392" t="str">
        <f>D23</f>
        <v>Non-Ferrous metals  - 352</v>
      </c>
      <c r="D1140" s="1391"/>
      <c r="E1140" s="1393"/>
      <c r="F1140" s="1389">
        <f t="array" ref="F1140">SUM( ($E$1016:$E$1039=$E$1107) * ($A$1016:$A$1039=$A1140) * ($D$1016:$D$1039= $D1140) * (F$1016:F$1039) ) * SUM(EF[CO2] * (EF[SATIM Code]= $D1140) )</f>
        <v>0</v>
      </c>
      <c r="G1140" s="1389">
        <f t="array" ref="G1140">SUM( ($E$1016:$E$1039=$E$1107) * ($A$1016:$A$1039=$A1140) * ($D$1016:$D$1039= $D1140) * (G$1016:G$1039) ) * SUM(EF[CO2] * (EF[SATIM Code]= $D1140) )</f>
        <v>0</v>
      </c>
      <c r="H1140" s="1389">
        <f t="array" ref="H1140">SUM( ($E$1016:$E$1039=$E$1107) * ($A$1016:$A$1039=$A1140) * ($D$1016:$D$1039= $D1140) * (H$1016:H$1039) ) * SUM(EF[CO2] * (EF[SATIM Code]= $D1140) )</f>
        <v>0</v>
      </c>
      <c r="I1140" s="1389">
        <f t="array" ref="I1140">SUM( ($E$1016:$E$1039=$E$1107) * ($A$1016:$A$1039=$A1140) * ($D$1016:$D$1039= $D1140) * (I$1016:I$1039) ) * SUM(EF[CO2] * (EF[SATIM Code]= $D1140) )</f>
        <v>0</v>
      </c>
      <c r="J1140" s="1389">
        <f t="array" ref="J1140">SUM( ($E$1016:$E$1039=$E$1107) * ($A$1016:$A$1039=$A1140) * ($D$1016:$D$1039= $D1140) * (J$1016:J$1039) ) * SUM(EF[CO2] * (EF[SATIM Code]= $D1140) )</f>
        <v>0</v>
      </c>
      <c r="K1140" s="1389">
        <f t="array" ref="K1140">SUM( ($E$1016:$E$1039=$E$1107) * ($A$1016:$A$1039=$A1140) * ($D$1016:$D$1039= $D1140) * (K$1016:K$1039) ) * SUM(EF[CO2] * (EF[SATIM Code]= $D1140) )</f>
        <v>0</v>
      </c>
      <c r="L1140" s="1389">
        <f t="array" ref="L1140">SUM( ($E$1016:$E$1039=$E$1107) * ($A$1016:$A$1039=$A1140) * ($D$1016:$D$1039= $D1140) * (L$1016:L$1039) ) * SUM(EF[CO2] * (EF[SATIM Code]= $D1140) )</f>
        <v>0</v>
      </c>
      <c r="M1140" s="1389">
        <f t="array" ref="M1140">SUM( ($E$1016:$E$1039=$E$1107) * ($A$1016:$A$1039=$A1140) * ($D$1016:$D$1039= $D1140) * (M$1016:M$1039) ) * SUM(EF[CO2] * (EF[SATIM Code]= $D1140) )</f>
        <v>0</v>
      </c>
      <c r="N1140" s="1389">
        <f t="array" ref="N1140">SUM( ($E$1016:$E$1039=$E$1107) * ($A$1016:$A$1039=$A1140) * ($D$1016:$D$1039= $D1140) * (N$1016:N$1039) ) * SUM(EF[CO2] * (EF[SATIM Code]= $D1140) )</f>
        <v>0</v>
      </c>
      <c r="O1140" s="1389">
        <f t="array" ref="O1140">SUM( ($E$1016:$E$1039=$E$1107) * ($A$1016:$A$1039=$A1140) * ($D$1016:$D$1039= $D1140) * (O$1016:O$1039) ) * SUM(EF[CO2] * (EF[SATIM Code]= $D1140) )</f>
        <v>0</v>
      </c>
    </row>
    <row r="1141" spans="1:15" s="19" customFormat="1" hidden="1" outlineLevel="1">
      <c r="A1141" s="1438" t="str">
        <f>INDEX($C$20:$C$27,MATCH($C1140,$D$20:$D$27,0))</f>
        <v>NF</v>
      </c>
      <c r="B1141" s="1400" t="str">
        <f>INDEX(EF[UK Vector],MATCH(D1141,EF[SATIM Code],0))</f>
        <v>V.03</v>
      </c>
      <c r="C1141" s="1401" t="str">
        <f>INDEX(Vectors[Description], MATCH($B1141, Vectors[Code], 0))</f>
        <v>Solid hydrocarbons</v>
      </c>
      <c r="D1141" s="1391" t="s">
        <v>882</v>
      </c>
      <c r="E1141" s="1393"/>
      <c r="F1141" s="1389">
        <f t="array" ref="F1141">SUM( ($E$1016:$E$1039=$E$1107) * ($A$1016:$A$1039=$A1141) * ($D$1016:$D$1039= $D1141) * (F$1016:F$1039) ) * SUM(EF[CO2] * (EF[SATIM Code]= $D1141) )</f>
        <v>0</v>
      </c>
      <c r="G1141" s="1389">
        <f t="array" ref="G1141">SUM( ($E$1016:$E$1039=$E$1107) * ($A$1016:$A$1039=$A1141) * ($D$1016:$D$1039= $D1141) * (G$1016:G$1039) ) * SUM(EF[CO2] * (EF[SATIM Code]= $D1141) )</f>
        <v>0</v>
      </c>
      <c r="H1141" s="1389">
        <f t="array" ref="H1141">SUM( ($E$1016:$E$1039=$E$1107) * ($A$1016:$A$1039=$A1141) * ($D$1016:$D$1039= $D1141) * (H$1016:H$1039) ) * SUM(EF[CO2] * (EF[SATIM Code]= $D1141) )</f>
        <v>0</v>
      </c>
      <c r="I1141" s="1389">
        <f t="array" ref="I1141">SUM( ($E$1016:$E$1039=$E$1107) * ($A$1016:$A$1039=$A1141) * ($D$1016:$D$1039= $D1141) * (I$1016:I$1039) ) * SUM(EF[CO2] * (EF[SATIM Code]= $D1141) )</f>
        <v>0</v>
      </c>
      <c r="J1141" s="1389">
        <f t="array" ref="J1141">SUM( ($E$1016:$E$1039=$E$1107) * ($A$1016:$A$1039=$A1141) * ($D$1016:$D$1039= $D1141) * (J$1016:J$1039) ) * SUM(EF[CO2] * (EF[SATIM Code]= $D1141) )</f>
        <v>0</v>
      </c>
      <c r="K1141" s="1389">
        <f t="array" ref="K1141">SUM( ($E$1016:$E$1039=$E$1107) * ($A$1016:$A$1039=$A1141) * ($D$1016:$D$1039= $D1141) * (K$1016:K$1039) ) * SUM(EF[CO2] * (EF[SATIM Code]= $D1141) )</f>
        <v>0</v>
      </c>
      <c r="L1141" s="1389">
        <f t="array" ref="L1141">SUM( ($E$1016:$E$1039=$E$1107) * ($A$1016:$A$1039=$A1141) * ($D$1016:$D$1039= $D1141) * (L$1016:L$1039) ) * SUM(EF[CO2] * (EF[SATIM Code]= $D1141) )</f>
        <v>0</v>
      </c>
      <c r="M1141" s="1389">
        <f t="array" ref="M1141">SUM( ($E$1016:$E$1039=$E$1107) * ($A$1016:$A$1039=$A1141) * ($D$1016:$D$1039= $D1141) * (M$1016:M$1039) ) * SUM(EF[CO2] * (EF[SATIM Code]= $D1141) )</f>
        <v>0</v>
      </c>
      <c r="N1141" s="1389">
        <f t="array" ref="N1141">SUM( ($E$1016:$E$1039=$E$1107) * ($A$1016:$A$1039=$A1141) * ($D$1016:$D$1039= $D1141) * (N$1016:N$1039) ) * SUM(EF[CO2] * (EF[SATIM Code]= $D1141) )</f>
        <v>0</v>
      </c>
      <c r="O1141" s="1389">
        <f t="array" ref="O1141">SUM( ($E$1016:$E$1039=$E$1107) * ($A$1016:$A$1039=$A1141) * ($D$1016:$D$1039= $D1141) * (O$1016:O$1039) ) * SUM(EF[CO2] * (EF[SATIM Code]= $D1141) )</f>
        <v>0</v>
      </c>
    </row>
    <row r="1142" spans="1:15" s="19" customFormat="1" hidden="1" outlineLevel="1">
      <c r="A1142" s="19" t="str">
        <f t="shared" ref="A1142:A1149" si="251">A1141</f>
        <v>NF</v>
      </c>
      <c r="B1142" s="1400" t="str">
        <f>INDEX(EF[UK Vector],MATCH(D1142,EF[SATIM Code],0))</f>
        <v>V.03</v>
      </c>
      <c r="C1142" s="1401" t="str">
        <f>INDEX(Vectors[Description], MATCH($B1142, Vectors[Code], 0))</f>
        <v>Solid hydrocarbons</v>
      </c>
      <c r="D1142" s="1391" t="s">
        <v>883</v>
      </c>
      <c r="E1142" s="1401"/>
      <c r="F1142" s="1389">
        <f t="array" ref="F1142">SUM( ($E$1016:$E$1039=$E$1107) * ($A$1016:$A$1039=$A1142) * ($D$1016:$D$1039= $D1142) * (F$1016:F$1039) ) * SUM(EF[CO2] * (EF[SATIM Code]= $D1142) )</f>
        <v>0</v>
      </c>
      <c r="G1142" s="1389">
        <f t="array" ref="G1142">SUM( ($E$1016:$E$1039=$E$1107) * ($A$1016:$A$1039=$A1142) * ($D$1016:$D$1039= $D1142) * (G$1016:G$1039) ) * SUM(EF[CO2] * (EF[SATIM Code]= $D1142) )</f>
        <v>0</v>
      </c>
      <c r="H1142" s="1389">
        <f t="array" ref="H1142">SUM( ($E$1016:$E$1039=$E$1107) * ($A$1016:$A$1039=$A1142) * ($D$1016:$D$1039= $D1142) * (H$1016:H$1039) ) * SUM(EF[CO2] * (EF[SATIM Code]= $D1142) )</f>
        <v>0</v>
      </c>
      <c r="I1142" s="1389">
        <f t="array" ref="I1142">SUM( ($E$1016:$E$1039=$E$1107) * ($A$1016:$A$1039=$A1142) * ($D$1016:$D$1039= $D1142) * (I$1016:I$1039) ) * SUM(EF[CO2] * (EF[SATIM Code]= $D1142) )</f>
        <v>0</v>
      </c>
      <c r="J1142" s="1389">
        <f t="array" ref="J1142">SUM( ($E$1016:$E$1039=$E$1107) * ($A$1016:$A$1039=$A1142) * ($D$1016:$D$1039= $D1142) * (J$1016:J$1039) ) * SUM(EF[CO2] * (EF[SATIM Code]= $D1142) )</f>
        <v>0</v>
      </c>
      <c r="K1142" s="1389">
        <f t="array" ref="K1142">SUM( ($E$1016:$E$1039=$E$1107) * ($A$1016:$A$1039=$A1142) * ($D$1016:$D$1039= $D1142) * (K$1016:K$1039) ) * SUM(EF[CO2] * (EF[SATIM Code]= $D1142) )</f>
        <v>0</v>
      </c>
      <c r="L1142" s="1389">
        <f t="array" ref="L1142">SUM( ($E$1016:$E$1039=$E$1107) * ($A$1016:$A$1039=$A1142) * ($D$1016:$D$1039= $D1142) * (L$1016:L$1039) ) * SUM(EF[CO2] * (EF[SATIM Code]= $D1142) )</f>
        <v>0</v>
      </c>
      <c r="M1142" s="1389">
        <f t="array" ref="M1142">SUM( ($E$1016:$E$1039=$E$1107) * ($A$1016:$A$1039=$A1142) * ($D$1016:$D$1039= $D1142) * (M$1016:M$1039) ) * SUM(EF[CO2] * (EF[SATIM Code]= $D1142) )</f>
        <v>0</v>
      </c>
      <c r="N1142" s="1389">
        <f t="array" ref="N1142">SUM( ($E$1016:$E$1039=$E$1107) * ($A$1016:$A$1039=$A1142) * ($D$1016:$D$1039= $D1142) * (N$1016:N$1039) ) * SUM(EF[CO2] * (EF[SATIM Code]= $D1142) )</f>
        <v>0</v>
      </c>
      <c r="O1142" s="1389">
        <f t="array" ref="O1142">SUM( ($E$1016:$E$1039=$E$1107) * ($A$1016:$A$1039=$A1142) * ($D$1016:$D$1039= $D1142) * (O$1016:O$1039) ) * SUM(EF[CO2] * (EF[SATIM Code]= $D1142) )</f>
        <v>0</v>
      </c>
    </row>
    <row r="1143" spans="1:15" s="19" customFormat="1" hidden="1" outlineLevel="1">
      <c r="A1143" s="19" t="str">
        <f t="shared" si="251"/>
        <v>NF</v>
      </c>
      <c r="B1143" s="1400" t="str">
        <f>INDEX(EF[UK Vector],MATCH(D1143,EF[SATIM Code],0))</f>
        <v>V.05</v>
      </c>
      <c r="C1143" s="1401" t="str">
        <f>INDEX(Vectors[Description], MATCH($B1143, Vectors[Code], 0))</f>
        <v>Gaseous hydrocarbons</v>
      </c>
      <c r="D1143" s="1406" t="s">
        <v>869</v>
      </c>
      <c r="E1143" s="1393"/>
      <c r="F1143" s="1389">
        <f t="array" ref="F1143">SUM( ($E$1016:$E$1039=$E$1107) * ($A$1016:$A$1039=$A1143) * ($D$1016:$D$1039= $D1143) * (F$1016:F$1039) ) * SUM(EF[CO2] * (EF[SATIM Code]= $D1143) )</f>
        <v>0</v>
      </c>
      <c r="G1143" s="1389">
        <f t="array" ref="G1143">SUM( ($E$1016:$E$1039=$E$1107) * ($A$1016:$A$1039=$A1143) * ($D$1016:$D$1039= $D1143) * (G$1016:G$1039) ) * SUM(EF[CO2] * (EF[SATIM Code]= $D1143) )</f>
        <v>0</v>
      </c>
      <c r="H1143" s="1389">
        <f t="array" ref="H1143">SUM( ($E$1016:$E$1039=$E$1107) * ($A$1016:$A$1039=$A1143) * ($D$1016:$D$1039= $D1143) * (H$1016:H$1039) ) * SUM(EF[CO2] * (EF[SATIM Code]= $D1143) )</f>
        <v>0</v>
      </c>
      <c r="I1143" s="1389">
        <f t="array" ref="I1143">SUM( ($E$1016:$E$1039=$E$1107) * ($A$1016:$A$1039=$A1143) * ($D$1016:$D$1039= $D1143) * (I$1016:I$1039) ) * SUM(EF[CO2] * (EF[SATIM Code]= $D1143) )</f>
        <v>0</v>
      </c>
      <c r="J1143" s="1389">
        <f t="array" ref="J1143">SUM( ($E$1016:$E$1039=$E$1107) * ($A$1016:$A$1039=$A1143) * ($D$1016:$D$1039= $D1143) * (J$1016:J$1039) ) * SUM(EF[CO2] * (EF[SATIM Code]= $D1143) )</f>
        <v>0</v>
      </c>
      <c r="K1143" s="1389">
        <f t="array" ref="K1143">SUM( ($E$1016:$E$1039=$E$1107) * ($A$1016:$A$1039=$A1143) * ($D$1016:$D$1039= $D1143) * (K$1016:K$1039) ) * SUM(EF[CO2] * (EF[SATIM Code]= $D1143) )</f>
        <v>0</v>
      </c>
      <c r="L1143" s="1389">
        <f t="array" ref="L1143">SUM( ($E$1016:$E$1039=$E$1107) * ($A$1016:$A$1039=$A1143) * ($D$1016:$D$1039= $D1143) * (L$1016:L$1039) ) * SUM(EF[CO2] * (EF[SATIM Code]= $D1143) )</f>
        <v>0</v>
      </c>
      <c r="M1143" s="1389">
        <f t="array" ref="M1143">SUM( ($E$1016:$E$1039=$E$1107) * ($A$1016:$A$1039=$A1143) * ($D$1016:$D$1039= $D1143) * (M$1016:M$1039) ) * SUM(EF[CO2] * (EF[SATIM Code]= $D1143) )</f>
        <v>0</v>
      </c>
      <c r="N1143" s="1389">
        <f t="array" ref="N1143">SUM( ($E$1016:$E$1039=$E$1107) * ($A$1016:$A$1039=$A1143) * ($D$1016:$D$1039= $D1143) * (N$1016:N$1039) ) * SUM(EF[CO2] * (EF[SATIM Code]= $D1143) )</f>
        <v>0</v>
      </c>
      <c r="O1143" s="1389">
        <f t="array" ref="O1143">SUM( ($E$1016:$E$1039=$E$1107) * ($A$1016:$A$1039=$A1143) * ($D$1016:$D$1039= $D1143) * (O$1016:O$1039) ) * SUM(EF[CO2] * (EF[SATIM Code]= $D1143) )</f>
        <v>0</v>
      </c>
    </row>
    <row r="1144" spans="1:15" s="19" customFormat="1" hidden="1" outlineLevel="1">
      <c r="A1144" s="19" t="str">
        <f t="shared" si="251"/>
        <v>NF</v>
      </c>
      <c r="B1144" s="1400" t="str">
        <f>INDEX(EF[UK Vector],MATCH(D1144,EF[SATIM Code],0))</f>
        <v>V.04</v>
      </c>
      <c r="C1144" s="1401" t="str">
        <f>INDEX(Vectors[Description], MATCH($B1144, Vectors[Code], 0))</f>
        <v>Liquid hydrocarbons</v>
      </c>
      <c r="D1144" s="1406" t="s">
        <v>885</v>
      </c>
      <c r="E1144" s="1401"/>
      <c r="F1144" s="1389">
        <f t="array" ref="F1144">SUM( ($E$1016:$E$1039=$E$1107) * ($A$1016:$A$1039=$A1144) * ($D$1016:$D$1039= $D1144) * (F$1016:F$1039) ) * SUM(EF[CO2] * (EF[SATIM Code]= $D1144) )</f>
        <v>0</v>
      </c>
      <c r="G1144" s="1389">
        <f t="array" ref="G1144">SUM( ($E$1016:$E$1039=$E$1107) * ($A$1016:$A$1039=$A1144) * ($D$1016:$D$1039= $D1144) * (G$1016:G$1039) ) * SUM(EF[CO2] * (EF[SATIM Code]= $D1144) )</f>
        <v>0</v>
      </c>
      <c r="H1144" s="1389">
        <f t="array" ref="H1144">SUM( ($E$1016:$E$1039=$E$1107) * ($A$1016:$A$1039=$A1144) * ($D$1016:$D$1039= $D1144) * (H$1016:H$1039) ) * SUM(EF[CO2] * (EF[SATIM Code]= $D1144) )</f>
        <v>0</v>
      </c>
      <c r="I1144" s="1389">
        <f t="array" ref="I1144">SUM( ($E$1016:$E$1039=$E$1107) * ($A$1016:$A$1039=$A1144) * ($D$1016:$D$1039= $D1144) * (I$1016:I$1039) ) * SUM(EF[CO2] * (EF[SATIM Code]= $D1144) )</f>
        <v>0</v>
      </c>
      <c r="J1144" s="1389">
        <f t="array" ref="J1144">SUM( ($E$1016:$E$1039=$E$1107) * ($A$1016:$A$1039=$A1144) * ($D$1016:$D$1039= $D1144) * (J$1016:J$1039) ) * SUM(EF[CO2] * (EF[SATIM Code]= $D1144) )</f>
        <v>0</v>
      </c>
      <c r="K1144" s="1389">
        <f t="array" ref="K1144">SUM( ($E$1016:$E$1039=$E$1107) * ($A$1016:$A$1039=$A1144) * ($D$1016:$D$1039= $D1144) * (K$1016:K$1039) ) * SUM(EF[CO2] * (EF[SATIM Code]= $D1144) )</f>
        <v>0</v>
      </c>
      <c r="L1144" s="1389">
        <f t="array" ref="L1144">SUM( ($E$1016:$E$1039=$E$1107) * ($A$1016:$A$1039=$A1144) * ($D$1016:$D$1039= $D1144) * (L$1016:L$1039) ) * SUM(EF[CO2] * (EF[SATIM Code]= $D1144) )</f>
        <v>0</v>
      </c>
      <c r="M1144" s="1389">
        <f t="array" ref="M1144">SUM( ($E$1016:$E$1039=$E$1107) * ($A$1016:$A$1039=$A1144) * ($D$1016:$D$1039= $D1144) * (M$1016:M$1039) ) * SUM(EF[CO2] * (EF[SATIM Code]= $D1144) )</f>
        <v>0</v>
      </c>
      <c r="N1144" s="1389">
        <f t="array" ref="N1144">SUM( ($E$1016:$E$1039=$E$1107) * ($A$1016:$A$1039=$A1144) * ($D$1016:$D$1039= $D1144) * (N$1016:N$1039) ) * SUM(EF[CO2] * (EF[SATIM Code]= $D1144) )</f>
        <v>0</v>
      </c>
      <c r="O1144" s="1389">
        <f t="array" ref="O1144">SUM( ($E$1016:$E$1039=$E$1107) * ($A$1016:$A$1039=$A1144) * ($D$1016:$D$1039= $D1144) * (O$1016:O$1039) ) * SUM(EF[CO2] * (EF[SATIM Code]= $D1144) )</f>
        <v>0</v>
      </c>
    </row>
    <row r="1145" spans="1:15" s="19" customFormat="1" hidden="1" outlineLevel="1">
      <c r="A1145" s="19" t="str">
        <f t="shared" si="251"/>
        <v>NF</v>
      </c>
      <c r="B1145" s="1400" t="str">
        <f>INDEX(EF[UK Vector],MATCH(D1145,EF[SATIM Code],0))</f>
        <v>V.04</v>
      </c>
      <c r="C1145" s="1401" t="str">
        <f>INDEX(Vectors[Description], MATCH($B1145, Vectors[Code], 0))</f>
        <v>Liquid hydrocarbons</v>
      </c>
      <c r="D1145" s="1391" t="s">
        <v>886</v>
      </c>
      <c r="E1145" s="1393"/>
      <c r="F1145" s="1389">
        <f t="array" ref="F1145">SUM( ($E$1016:$E$1039=$E$1107) * ($A$1016:$A$1039=$A1145) * ($D$1016:$D$1039= $D1145) * (F$1016:F$1039) ) * SUM(EF[CO2] * (EF[SATIM Code]= $D1145) )</f>
        <v>0</v>
      </c>
      <c r="G1145" s="1389">
        <f t="array" ref="G1145">SUM( ($E$1016:$E$1039=$E$1107) * ($A$1016:$A$1039=$A1145) * ($D$1016:$D$1039= $D1145) * (G$1016:G$1039) ) * SUM(EF[CO2] * (EF[SATIM Code]= $D1145) )</f>
        <v>0</v>
      </c>
      <c r="H1145" s="1389">
        <f t="array" ref="H1145">SUM( ($E$1016:$E$1039=$E$1107) * ($A$1016:$A$1039=$A1145) * ($D$1016:$D$1039= $D1145) * (H$1016:H$1039) ) * SUM(EF[CO2] * (EF[SATIM Code]= $D1145) )</f>
        <v>0</v>
      </c>
      <c r="I1145" s="1389">
        <f t="array" ref="I1145">SUM( ($E$1016:$E$1039=$E$1107) * ($A$1016:$A$1039=$A1145) * ($D$1016:$D$1039= $D1145) * (I$1016:I$1039) ) * SUM(EF[CO2] * (EF[SATIM Code]= $D1145) )</f>
        <v>0</v>
      </c>
      <c r="J1145" s="1389">
        <f t="array" ref="J1145">SUM( ($E$1016:$E$1039=$E$1107) * ($A$1016:$A$1039=$A1145) * ($D$1016:$D$1039= $D1145) * (J$1016:J$1039) ) * SUM(EF[CO2] * (EF[SATIM Code]= $D1145) )</f>
        <v>0</v>
      </c>
      <c r="K1145" s="1389">
        <f t="array" ref="K1145">SUM( ($E$1016:$E$1039=$E$1107) * ($A$1016:$A$1039=$A1145) * ($D$1016:$D$1039= $D1145) * (K$1016:K$1039) ) * SUM(EF[CO2] * (EF[SATIM Code]= $D1145) )</f>
        <v>0</v>
      </c>
      <c r="L1145" s="1389">
        <f t="array" ref="L1145">SUM( ($E$1016:$E$1039=$E$1107) * ($A$1016:$A$1039=$A1145) * ($D$1016:$D$1039= $D1145) * (L$1016:L$1039) ) * SUM(EF[CO2] * (EF[SATIM Code]= $D1145) )</f>
        <v>0</v>
      </c>
      <c r="M1145" s="1389">
        <f t="array" ref="M1145">SUM( ($E$1016:$E$1039=$E$1107) * ($A$1016:$A$1039=$A1145) * ($D$1016:$D$1039= $D1145) * (M$1016:M$1039) ) * SUM(EF[CO2] * (EF[SATIM Code]= $D1145) )</f>
        <v>0</v>
      </c>
      <c r="N1145" s="1389">
        <f t="array" ref="N1145">SUM( ($E$1016:$E$1039=$E$1107) * ($A$1016:$A$1039=$A1145) * ($D$1016:$D$1039= $D1145) * (N$1016:N$1039) ) * SUM(EF[CO2] * (EF[SATIM Code]= $D1145) )</f>
        <v>0</v>
      </c>
      <c r="O1145" s="1389">
        <f t="array" ref="O1145">SUM( ($E$1016:$E$1039=$E$1107) * ($A$1016:$A$1039=$A1145) * ($D$1016:$D$1039= $D1145) * (O$1016:O$1039) ) * SUM(EF[CO2] * (EF[SATIM Code]= $D1145) )</f>
        <v>0</v>
      </c>
    </row>
    <row r="1146" spans="1:15" s="19" customFormat="1" hidden="1" outlineLevel="1">
      <c r="A1146" s="19" t="str">
        <f t="shared" si="251"/>
        <v>NF</v>
      </c>
      <c r="B1146" s="1400" t="str">
        <f>INDEX(EF[UK Vector],MATCH(D1146,EF[SATIM Code],0))</f>
        <v>V.04</v>
      </c>
      <c r="C1146" s="1401" t="str">
        <f>INDEX(Vectors[Description], MATCH($B1146, Vectors[Code], 0))</f>
        <v>Liquid hydrocarbons</v>
      </c>
      <c r="D1146" s="1406" t="s">
        <v>887</v>
      </c>
      <c r="E1146" s="1393"/>
      <c r="F1146" s="1389">
        <f t="array" ref="F1146">SUM( ($E$1016:$E$1039=$E$1107) * ($A$1016:$A$1039=$A1146) * ($D$1016:$D$1039= $D1146) * (F$1016:F$1039) ) * SUM(EF[CO2] * (EF[SATIM Code]= $D1146) )</f>
        <v>0</v>
      </c>
      <c r="G1146" s="1389">
        <f t="array" ref="G1146">SUM( ($E$1016:$E$1039=$E$1107) * ($A$1016:$A$1039=$A1146) * ($D$1016:$D$1039= $D1146) * (G$1016:G$1039) ) * SUM(EF[CO2] * (EF[SATIM Code]= $D1146) )</f>
        <v>0</v>
      </c>
      <c r="H1146" s="1389">
        <f t="array" ref="H1146">SUM( ($E$1016:$E$1039=$E$1107) * ($A$1016:$A$1039=$A1146) * ($D$1016:$D$1039= $D1146) * (H$1016:H$1039) ) * SUM(EF[CO2] * (EF[SATIM Code]= $D1146) )</f>
        <v>0</v>
      </c>
      <c r="I1146" s="1389">
        <f t="array" ref="I1146">SUM( ($E$1016:$E$1039=$E$1107) * ($A$1016:$A$1039=$A1146) * ($D$1016:$D$1039= $D1146) * (I$1016:I$1039) ) * SUM(EF[CO2] * (EF[SATIM Code]= $D1146) )</f>
        <v>0</v>
      </c>
      <c r="J1146" s="1389">
        <f t="array" ref="J1146">SUM( ($E$1016:$E$1039=$E$1107) * ($A$1016:$A$1039=$A1146) * ($D$1016:$D$1039= $D1146) * (J$1016:J$1039) ) * SUM(EF[CO2] * (EF[SATIM Code]= $D1146) )</f>
        <v>0</v>
      </c>
      <c r="K1146" s="1389">
        <f t="array" ref="K1146">SUM( ($E$1016:$E$1039=$E$1107) * ($A$1016:$A$1039=$A1146) * ($D$1016:$D$1039= $D1146) * (K$1016:K$1039) ) * SUM(EF[CO2] * (EF[SATIM Code]= $D1146) )</f>
        <v>0</v>
      </c>
      <c r="L1146" s="1389">
        <f t="array" ref="L1146">SUM( ($E$1016:$E$1039=$E$1107) * ($A$1016:$A$1039=$A1146) * ($D$1016:$D$1039= $D1146) * (L$1016:L$1039) ) * SUM(EF[CO2] * (EF[SATIM Code]= $D1146) )</f>
        <v>0</v>
      </c>
      <c r="M1146" s="1389">
        <f t="array" ref="M1146">SUM( ($E$1016:$E$1039=$E$1107) * ($A$1016:$A$1039=$A1146) * ($D$1016:$D$1039= $D1146) * (M$1016:M$1039) ) * SUM(EF[CO2] * (EF[SATIM Code]= $D1146) )</f>
        <v>0</v>
      </c>
      <c r="N1146" s="1389">
        <f t="array" ref="N1146">SUM( ($E$1016:$E$1039=$E$1107) * ($A$1016:$A$1039=$A1146) * ($D$1016:$D$1039= $D1146) * (N$1016:N$1039) ) * SUM(EF[CO2] * (EF[SATIM Code]= $D1146) )</f>
        <v>0</v>
      </c>
      <c r="O1146" s="1389">
        <f t="array" ref="O1146">SUM( ($E$1016:$E$1039=$E$1107) * ($A$1016:$A$1039=$A1146) * ($D$1016:$D$1039= $D1146) * (O$1016:O$1039) ) * SUM(EF[CO2] * (EF[SATIM Code]= $D1146) )</f>
        <v>0</v>
      </c>
    </row>
    <row r="1147" spans="1:15" s="19" customFormat="1" hidden="1" outlineLevel="1">
      <c r="A1147" s="19" t="str">
        <f t="shared" si="251"/>
        <v>NF</v>
      </c>
      <c r="B1147" s="1400" t="str">
        <f>INDEX(EF[UK Vector],MATCH(D1147,EF[SATIM Code],0))</f>
        <v>V.09</v>
      </c>
      <c r="C1147" s="1401" t="str">
        <f>INDEX(Vectors[Description], MATCH($B1147, Vectors[Code], 0))</f>
        <v>Dry biomass and waste</v>
      </c>
      <c r="D1147" s="1406" t="s">
        <v>888</v>
      </c>
      <c r="E1147" s="1393"/>
      <c r="F1147" s="1389">
        <f t="array" ref="F1147">SUM( ($E$1016:$E$1039=$E$1107) * ($A$1016:$A$1039=$A1147) * ($D$1016:$D$1039= $D1147) * (F$1016:F$1039) ) * SUM(EF[CO2] * (EF[SATIM Code]= $D1147) )</f>
        <v>0</v>
      </c>
      <c r="G1147" s="1389">
        <f t="array" ref="G1147">SUM( ($E$1016:$E$1039=$E$1107) * ($A$1016:$A$1039=$A1147) * ($D$1016:$D$1039= $D1147) * (G$1016:G$1039) ) * SUM(EF[CO2] * (EF[SATIM Code]= $D1147) )</f>
        <v>0</v>
      </c>
      <c r="H1147" s="1389">
        <f t="array" ref="H1147">SUM( ($E$1016:$E$1039=$E$1107) * ($A$1016:$A$1039=$A1147) * ($D$1016:$D$1039= $D1147) * (H$1016:H$1039) ) * SUM(EF[CO2] * (EF[SATIM Code]= $D1147) )</f>
        <v>0</v>
      </c>
      <c r="I1147" s="1389">
        <f t="array" ref="I1147">SUM( ($E$1016:$E$1039=$E$1107) * ($A$1016:$A$1039=$A1147) * ($D$1016:$D$1039= $D1147) * (I$1016:I$1039) ) * SUM(EF[CO2] * (EF[SATIM Code]= $D1147) )</f>
        <v>0</v>
      </c>
      <c r="J1147" s="1389">
        <f t="array" ref="J1147">SUM( ($E$1016:$E$1039=$E$1107) * ($A$1016:$A$1039=$A1147) * ($D$1016:$D$1039= $D1147) * (J$1016:J$1039) ) * SUM(EF[CO2] * (EF[SATIM Code]= $D1147) )</f>
        <v>0</v>
      </c>
      <c r="K1147" s="1389">
        <f t="array" ref="K1147">SUM( ($E$1016:$E$1039=$E$1107) * ($A$1016:$A$1039=$A1147) * ($D$1016:$D$1039= $D1147) * (K$1016:K$1039) ) * SUM(EF[CO2] * (EF[SATIM Code]= $D1147) )</f>
        <v>0</v>
      </c>
      <c r="L1147" s="1389">
        <f t="array" ref="L1147">SUM( ($E$1016:$E$1039=$E$1107) * ($A$1016:$A$1039=$A1147) * ($D$1016:$D$1039= $D1147) * (L$1016:L$1039) ) * SUM(EF[CO2] * (EF[SATIM Code]= $D1147) )</f>
        <v>0</v>
      </c>
      <c r="M1147" s="1389">
        <f t="array" ref="M1147">SUM( ($E$1016:$E$1039=$E$1107) * ($A$1016:$A$1039=$A1147) * ($D$1016:$D$1039= $D1147) * (M$1016:M$1039) ) * SUM(EF[CO2] * (EF[SATIM Code]= $D1147) )</f>
        <v>0</v>
      </c>
      <c r="N1147" s="1389">
        <f t="array" ref="N1147">SUM( ($E$1016:$E$1039=$E$1107) * ($A$1016:$A$1039=$A1147) * ($D$1016:$D$1039= $D1147) * (N$1016:N$1039) ) * SUM(EF[CO2] * (EF[SATIM Code]= $D1147) )</f>
        <v>0</v>
      </c>
      <c r="O1147" s="1389">
        <f t="array" ref="O1147">SUM( ($E$1016:$E$1039=$E$1107) * ($A$1016:$A$1039=$A1147) * ($D$1016:$D$1039= $D1147) * (O$1016:O$1039) ) * SUM(EF[CO2] * (EF[SATIM Code]= $D1147) )</f>
        <v>0</v>
      </c>
    </row>
    <row r="1148" spans="1:15" s="19" customFormat="1" hidden="1" outlineLevel="1">
      <c r="A1148" s="19" t="str">
        <f t="shared" si="251"/>
        <v>NF</v>
      </c>
      <c r="B1148" s="1400" t="str">
        <f>INDEX(EF[UK Vector],MATCH(D1148,EF[SATIM Code],0))</f>
        <v>V.09</v>
      </c>
      <c r="C1148" s="1401" t="str">
        <f>INDEX(Vectors[Description], MATCH($B1148, Vectors[Code], 0))</f>
        <v>Dry biomass and waste</v>
      </c>
      <c r="D1148" s="1388" t="s">
        <v>889</v>
      </c>
      <c r="E1148" s="1393"/>
      <c r="F1148" s="1389">
        <f t="array" ref="F1148">SUM( ($E$1016:$E$1039=$E$1107) * ($A$1016:$A$1039=$A1148) * ($D$1016:$D$1039= $D1148) * (F$1016:F$1039) ) * SUM(EF[CO2] * (EF[SATIM Code]= $D1148) )</f>
        <v>0</v>
      </c>
      <c r="G1148" s="1389">
        <f t="array" ref="G1148">SUM( ($E$1016:$E$1039=$E$1107) * ($A$1016:$A$1039=$A1148) * ($D$1016:$D$1039= $D1148) * (G$1016:G$1039) ) * SUM(EF[CO2] * (EF[SATIM Code]= $D1148) )</f>
        <v>0</v>
      </c>
      <c r="H1148" s="1389">
        <f t="array" ref="H1148">SUM( ($E$1016:$E$1039=$E$1107) * ($A$1016:$A$1039=$A1148) * ($D$1016:$D$1039= $D1148) * (H$1016:H$1039) ) * SUM(EF[CO2] * (EF[SATIM Code]= $D1148) )</f>
        <v>0</v>
      </c>
      <c r="I1148" s="1389">
        <f t="array" ref="I1148">SUM( ($E$1016:$E$1039=$E$1107) * ($A$1016:$A$1039=$A1148) * ($D$1016:$D$1039= $D1148) * (I$1016:I$1039) ) * SUM(EF[CO2] * (EF[SATIM Code]= $D1148) )</f>
        <v>0</v>
      </c>
      <c r="J1148" s="1389">
        <f t="array" ref="J1148">SUM( ($E$1016:$E$1039=$E$1107) * ($A$1016:$A$1039=$A1148) * ($D$1016:$D$1039= $D1148) * (J$1016:J$1039) ) * SUM(EF[CO2] * (EF[SATIM Code]= $D1148) )</f>
        <v>0</v>
      </c>
      <c r="K1148" s="1389">
        <f t="array" ref="K1148">SUM( ($E$1016:$E$1039=$E$1107) * ($A$1016:$A$1039=$A1148) * ($D$1016:$D$1039= $D1148) * (K$1016:K$1039) ) * SUM(EF[CO2] * (EF[SATIM Code]= $D1148) )</f>
        <v>0</v>
      </c>
      <c r="L1148" s="1389">
        <f t="array" ref="L1148">SUM( ($E$1016:$E$1039=$E$1107) * ($A$1016:$A$1039=$A1148) * ($D$1016:$D$1039= $D1148) * (L$1016:L$1039) ) * SUM(EF[CO2] * (EF[SATIM Code]= $D1148) )</f>
        <v>0</v>
      </c>
      <c r="M1148" s="1389">
        <f t="array" ref="M1148">SUM( ($E$1016:$E$1039=$E$1107) * ($A$1016:$A$1039=$A1148) * ($D$1016:$D$1039= $D1148) * (M$1016:M$1039) ) * SUM(EF[CO2] * (EF[SATIM Code]= $D1148) )</f>
        <v>0</v>
      </c>
      <c r="N1148" s="1389">
        <f t="array" ref="N1148">SUM( ($E$1016:$E$1039=$E$1107) * ($A$1016:$A$1039=$A1148) * ($D$1016:$D$1039= $D1148) * (N$1016:N$1039) ) * SUM(EF[CO2] * (EF[SATIM Code]= $D1148) )</f>
        <v>0</v>
      </c>
      <c r="O1148" s="1389">
        <f t="array" ref="O1148">SUM( ($E$1016:$E$1039=$E$1107) * ($A$1016:$A$1039=$A1148) * ($D$1016:$D$1039= $D1148) * (O$1016:O$1039) ) * SUM(EF[CO2] * (EF[SATIM Code]= $D1148) )</f>
        <v>0</v>
      </c>
    </row>
    <row r="1149" spans="1:15" s="19" customFormat="1" hidden="1" outlineLevel="1">
      <c r="A1149" s="19" t="str">
        <f t="shared" si="251"/>
        <v>NF</v>
      </c>
      <c r="B1149" s="1400" t="str">
        <f>INDEX(EF[UK Vector],MATCH(D1149,EF[SATIM Code],0))</f>
        <v>V.16</v>
      </c>
      <c r="C1149" s="1401" t="str">
        <f>INDEX(Vectors[Description], MATCH($B1149, Vectors[Code], 0))</f>
        <v>Other Waste</v>
      </c>
      <c r="D1149" s="1408" t="s">
        <v>890</v>
      </c>
      <c r="E1149" s="1393"/>
      <c r="F1149" s="1389">
        <f t="array" ref="F1149">SUM( ($E$1016:$E$1039=$E$1107) * ($A$1016:$A$1039=$A1149) * ($D$1016:$D$1039= $D1149) * (F$1016:F$1039) ) * SUM(EF[CO2] * (EF[SATIM Code]= $D1149) )</f>
        <v>0</v>
      </c>
      <c r="G1149" s="1389">
        <f t="array" ref="G1149">SUM( ($E$1016:$E$1039=$E$1107) * ($A$1016:$A$1039=$A1149) * ($D$1016:$D$1039= $D1149) * (G$1016:G$1039) ) * SUM(EF[CO2] * (EF[SATIM Code]= $D1149) )</f>
        <v>0</v>
      </c>
      <c r="H1149" s="1389">
        <f t="array" ref="H1149">SUM( ($E$1016:$E$1039=$E$1107) * ($A$1016:$A$1039=$A1149) * ($D$1016:$D$1039= $D1149) * (H$1016:H$1039) ) * SUM(EF[CO2] * (EF[SATIM Code]= $D1149) )</f>
        <v>0</v>
      </c>
      <c r="I1149" s="1389">
        <f t="array" ref="I1149">SUM( ($E$1016:$E$1039=$E$1107) * ($A$1016:$A$1039=$A1149) * ($D$1016:$D$1039= $D1149) * (I$1016:I$1039) ) * SUM(EF[CO2] * (EF[SATIM Code]= $D1149) )</f>
        <v>0</v>
      </c>
      <c r="J1149" s="1389">
        <f t="array" ref="J1149">SUM( ($E$1016:$E$1039=$E$1107) * ($A$1016:$A$1039=$A1149) * ($D$1016:$D$1039= $D1149) * (J$1016:J$1039) ) * SUM(EF[CO2] * (EF[SATIM Code]= $D1149) )</f>
        <v>0</v>
      </c>
      <c r="K1149" s="1389">
        <f t="array" ref="K1149">SUM( ($E$1016:$E$1039=$E$1107) * ($A$1016:$A$1039=$A1149) * ($D$1016:$D$1039= $D1149) * (K$1016:K$1039) ) * SUM(EF[CO2] * (EF[SATIM Code]= $D1149) )</f>
        <v>0</v>
      </c>
      <c r="L1149" s="1389">
        <f t="array" ref="L1149">SUM( ($E$1016:$E$1039=$E$1107) * ($A$1016:$A$1039=$A1149) * ($D$1016:$D$1039= $D1149) * (L$1016:L$1039) ) * SUM(EF[CO2] * (EF[SATIM Code]= $D1149) )</f>
        <v>0</v>
      </c>
      <c r="M1149" s="1389">
        <f t="array" ref="M1149">SUM( ($E$1016:$E$1039=$E$1107) * ($A$1016:$A$1039=$A1149) * ($D$1016:$D$1039= $D1149) * (M$1016:M$1039) ) * SUM(EF[CO2] * (EF[SATIM Code]= $D1149) )</f>
        <v>0</v>
      </c>
      <c r="N1149" s="1389">
        <f t="array" ref="N1149">SUM( ($E$1016:$E$1039=$E$1107) * ($A$1016:$A$1039=$A1149) * ($D$1016:$D$1039= $D1149) * (N$1016:N$1039) ) * SUM(EF[CO2] * (EF[SATIM Code]= $D1149) )</f>
        <v>0</v>
      </c>
      <c r="O1149" s="1389">
        <f t="array" ref="O1149">SUM( ($E$1016:$E$1039=$E$1107) * ($A$1016:$A$1039=$A1149) * ($D$1016:$D$1039= $D1149) * (O$1016:O$1039) ) * SUM(EF[CO2] * (EF[SATIM Code]= $D1149) )</f>
        <v>0</v>
      </c>
    </row>
    <row r="1150" spans="1:15" s="19" customFormat="1" hidden="1" outlineLevel="1">
      <c r="B1150" s="1393"/>
      <c r="C1150" s="1386" t="str">
        <f>D24</f>
        <v>N.M.M Products  -34</v>
      </c>
      <c r="D1150" s="1391"/>
      <c r="E1150" s="1393"/>
      <c r="F1150" s="1389">
        <f t="array" ref="F1150">SUM( ($E$1016:$E$1039=$E$1107) * ($A$1016:$A$1039=$A1150) * ($D$1016:$D$1039= $D1150) * (F$1016:F$1039) ) * SUM(EF[CO2] * (EF[SATIM Code]= $D1150) )</f>
        <v>0</v>
      </c>
      <c r="G1150" s="1389">
        <f t="array" ref="G1150">SUM( ($E$1016:$E$1039=$E$1107) * ($A$1016:$A$1039=$A1150) * ($D$1016:$D$1039= $D1150) * (G$1016:G$1039) ) * SUM(EF[CO2] * (EF[SATIM Code]= $D1150) )</f>
        <v>0</v>
      </c>
      <c r="H1150" s="1389">
        <f t="array" ref="H1150">SUM( ($E$1016:$E$1039=$E$1107) * ($A$1016:$A$1039=$A1150) * ($D$1016:$D$1039= $D1150) * (H$1016:H$1039) ) * SUM(EF[CO2] * (EF[SATIM Code]= $D1150) )</f>
        <v>0</v>
      </c>
      <c r="I1150" s="1389">
        <f t="array" ref="I1150">SUM( ($E$1016:$E$1039=$E$1107) * ($A$1016:$A$1039=$A1150) * ($D$1016:$D$1039= $D1150) * (I$1016:I$1039) ) * SUM(EF[CO2] * (EF[SATIM Code]= $D1150) )</f>
        <v>0</v>
      </c>
      <c r="J1150" s="1389">
        <f t="array" ref="J1150">SUM( ($E$1016:$E$1039=$E$1107) * ($A$1016:$A$1039=$A1150) * ($D$1016:$D$1039= $D1150) * (J$1016:J$1039) ) * SUM(EF[CO2] * (EF[SATIM Code]= $D1150) )</f>
        <v>0</v>
      </c>
      <c r="K1150" s="1389">
        <f t="array" ref="K1150">SUM( ($E$1016:$E$1039=$E$1107) * ($A$1016:$A$1039=$A1150) * ($D$1016:$D$1039= $D1150) * (K$1016:K$1039) ) * SUM(EF[CO2] * (EF[SATIM Code]= $D1150) )</f>
        <v>0</v>
      </c>
      <c r="L1150" s="1389">
        <f t="array" ref="L1150">SUM( ($E$1016:$E$1039=$E$1107) * ($A$1016:$A$1039=$A1150) * ($D$1016:$D$1039= $D1150) * (L$1016:L$1039) ) * SUM(EF[CO2] * (EF[SATIM Code]= $D1150) )</f>
        <v>0</v>
      </c>
      <c r="M1150" s="1389">
        <f t="array" ref="M1150">SUM( ($E$1016:$E$1039=$E$1107) * ($A$1016:$A$1039=$A1150) * ($D$1016:$D$1039= $D1150) * (M$1016:M$1039) ) * SUM(EF[CO2] * (EF[SATIM Code]= $D1150) )</f>
        <v>0</v>
      </c>
      <c r="N1150" s="1389">
        <f t="array" ref="N1150">SUM( ($E$1016:$E$1039=$E$1107) * ($A$1016:$A$1039=$A1150) * ($D$1016:$D$1039= $D1150) * (N$1016:N$1039) ) * SUM(EF[CO2] * (EF[SATIM Code]= $D1150) )</f>
        <v>0</v>
      </c>
      <c r="O1150" s="1389">
        <f t="array" ref="O1150">SUM( ($E$1016:$E$1039=$E$1107) * ($A$1016:$A$1039=$A1150) * ($D$1016:$D$1039= $D1150) * (O$1016:O$1039) ) * SUM(EF[CO2] * (EF[SATIM Code]= $D1150) )</f>
        <v>0</v>
      </c>
    </row>
    <row r="1151" spans="1:15" s="19" customFormat="1" hidden="1" outlineLevel="1">
      <c r="A1151" s="1438" t="str">
        <f>INDEX($C$20:$C$27,MATCH($C1150,$D$20:$D$27,0))</f>
        <v>NM</v>
      </c>
      <c r="B1151" s="1400" t="str">
        <f>INDEX(EF[UK Vector],MATCH(D1151,EF[SATIM Code],0))</f>
        <v>V.03</v>
      </c>
      <c r="C1151" s="1401" t="str">
        <f>INDEX(Vectors[Description], MATCH($B1151, Vectors[Code], 0))</f>
        <v>Solid hydrocarbons</v>
      </c>
      <c r="D1151" s="1391" t="s">
        <v>882</v>
      </c>
      <c r="E1151" s="1393"/>
      <c r="F1151" s="1389">
        <f t="array" ref="F1151">SUM( ($E$1016:$E$1039=$E$1107) * ($A$1016:$A$1039=$A1151) * ($D$1016:$D$1039= $D1151) * (F$1016:F$1039) ) * SUM(EF[CO2] * (EF[SATIM Code]= $D1151) )</f>
        <v>0</v>
      </c>
      <c r="G1151" s="1389">
        <f t="array" ref="G1151">SUM( ($E$1016:$E$1039=$E$1107) * ($A$1016:$A$1039=$A1151) * ($D$1016:$D$1039= $D1151) * (G$1016:G$1039) ) * SUM(EF[CO2] * (EF[SATIM Code]= $D1151) )</f>
        <v>0</v>
      </c>
      <c r="H1151" s="1389">
        <f t="array" ref="H1151">SUM( ($E$1016:$E$1039=$E$1107) * ($A$1016:$A$1039=$A1151) * ($D$1016:$D$1039= $D1151) * (H$1016:H$1039) ) * SUM(EF[CO2] * (EF[SATIM Code]= $D1151) )</f>
        <v>0</v>
      </c>
      <c r="I1151" s="1389">
        <f t="array" ref="I1151">SUM( ($E$1016:$E$1039=$E$1107) * ($A$1016:$A$1039=$A1151) * ($D$1016:$D$1039= $D1151) * (I$1016:I$1039) ) * SUM(EF[CO2] * (EF[SATIM Code]= $D1151) )</f>
        <v>0</v>
      </c>
      <c r="J1151" s="1389">
        <f t="array" ref="J1151">SUM( ($E$1016:$E$1039=$E$1107) * ($A$1016:$A$1039=$A1151) * ($D$1016:$D$1039= $D1151) * (J$1016:J$1039) ) * SUM(EF[CO2] * (EF[SATIM Code]= $D1151) )</f>
        <v>0</v>
      </c>
      <c r="K1151" s="1389">
        <f t="array" ref="K1151">SUM( ($E$1016:$E$1039=$E$1107) * ($A$1016:$A$1039=$A1151) * ($D$1016:$D$1039= $D1151) * (K$1016:K$1039) ) * SUM(EF[CO2] * (EF[SATIM Code]= $D1151) )</f>
        <v>0</v>
      </c>
      <c r="L1151" s="1389">
        <f t="array" ref="L1151">SUM( ($E$1016:$E$1039=$E$1107) * ($A$1016:$A$1039=$A1151) * ($D$1016:$D$1039= $D1151) * (L$1016:L$1039) ) * SUM(EF[CO2] * (EF[SATIM Code]= $D1151) )</f>
        <v>0</v>
      </c>
      <c r="M1151" s="1389">
        <f t="array" ref="M1151">SUM( ($E$1016:$E$1039=$E$1107) * ($A$1016:$A$1039=$A1151) * ($D$1016:$D$1039= $D1151) * (M$1016:M$1039) ) * SUM(EF[CO2] * (EF[SATIM Code]= $D1151) )</f>
        <v>0</v>
      </c>
      <c r="N1151" s="1389">
        <f t="array" ref="N1151">SUM( ($E$1016:$E$1039=$E$1107) * ($A$1016:$A$1039=$A1151) * ($D$1016:$D$1039= $D1151) * (N$1016:N$1039) ) * SUM(EF[CO2] * (EF[SATIM Code]= $D1151) )</f>
        <v>0</v>
      </c>
      <c r="O1151" s="1389">
        <f t="array" ref="O1151">SUM( ($E$1016:$E$1039=$E$1107) * ($A$1016:$A$1039=$A1151) * ($D$1016:$D$1039= $D1151) * (O$1016:O$1039) ) * SUM(EF[CO2] * (EF[SATIM Code]= $D1151) )</f>
        <v>0</v>
      </c>
    </row>
    <row r="1152" spans="1:15" s="19" customFormat="1" hidden="1" outlineLevel="1">
      <c r="A1152" s="19" t="str">
        <f t="shared" ref="A1152:A1159" si="252">A1151</f>
        <v>NM</v>
      </c>
      <c r="B1152" s="1400" t="str">
        <f>INDEX(EF[UK Vector],MATCH(D1152,EF[SATIM Code],0))</f>
        <v>V.03</v>
      </c>
      <c r="C1152" s="1401" t="str">
        <f>INDEX(Vectors[Description], MATCH($B1152, Vectors[Code], 0))</f>
        <v>Solid hydrocarbons</v>
      </c>
      <c r="D1152" s="1391" t="s">
        <v>883</v>
      </c>
      <c r="E1152" s="1393"/>
      <c r="F1152" s="1389">
        <f t="array" ref="F1152">SUM( ($E$1016:$E$1039=$E$1107) * ($A$1016:$A$1039=$A1152) * ($D$1016:$D$1039= $D1152) * (F$1016:F$1039) ) * SUM(EF[CO2] * (EF[SATIM Code]= $D1152) )</f>
        <v>0</v>
      </c>
      <c r="G1152" s="1389">
        <f t="array" ref="G1152">SUM( ($E$1016:$E$1039=$E$1107) * ($A$1016:$A$1039=$A1152) * ($D$1016:$D$1039= $D1152) * (G$1016:G$1039) ) * SUM(EF[CO2] * (EF[SATIM Code]= $D1152) )</f>
        <v>0</v>
      </c>
      <c r="H1152" s="1389">
        <f t="array" ref="H1152">SUM( ($E$1016:$E$1039=$E$1107) * ($A$1016:$A$1039=$A1152) * ($D$1016:$D$1039= $D1152) * (H$1016:H$1039) ) * SUM(EF[CO2] * (EF[SATIM Code]= $D1152) )</f>
        <v>0</v>
      </c>
      <c r="I1152" s="1389">
        <f t="array" ref="I1152">SUM( ($E$1016:$E$1039=$E$1107) * ($A$1016:$A$1039=$A1152) * ($D$1016:$D$1039= $D1152) * (I$1016:I$1039) ) * SUM(EF[CO2] * (EF[SATIM Code]= $D1152) )</f>
        <v>0</v>
      </c>
      <c r="J1152" s="1389">
        <f t="array" ref="J1152">SUM( ($E$1016:$E$1039=$E$1107) * ($A$1016:$A$1039=$A1152) * ($D$1016:$D$1039= $D1152) * (J$1016:J$1039) ) * SUM(EF[CO2] * (EF[SATIM Code]= $D1152) )</f>
        <v>0</v>
      </c>
      <c r="K1152" s="1389">
        <f t="array" ref="K1152">SUM( ($E$1016:$E$1039=$E$1107) * ($A$1016:$A$1039=$A1152) * ($D$1016:$D$1039= $D1152) * (K$1016:K$1039) ) * SUM(EF[CO2] * (EF[SATIM Code]= $D1152) )</f>
        <v>0</v>
      </c>
      <c r="L1152" s="1389">
        <f t="array" ref="L1152">SUM( ($E$1016:$E$1039=$E$1107) * ($A$1016:$A$1039=$A1152) * ($D$1016:$D$1039= $D1152) * (L$1016:L$1039) ) * SUM(EF[CO2] * (EF[SATIM Code]= $D1152) )</f>
        <v>0</v>
      </c>
      <c r="M1152" s="1389">
        <f t="array" ref="M1152">SUM( ($E$1016:$E$1039=$E$1107) * ($A$1016:$A$1039=$A1152) * ($D$1016:$D$1039= $D1152) * (M$1016:M$1039) ) * SUM(EF[CO2] * (EF[SATIM Code]= $D1152) )</f>
        <v>0</v>
      </c>
      <c r="N1152" s="1389">
        <f t="array" ref="N1152">SUM( ($E$1016:$E$1039=$E$1107) * ($A$1016:$A$1039=$A1152) * ($D$1016:$D$1039= $D1152) * (N$1016:N$1039) ) * SUM(EF[CO2] * (EF[SATIM Code]= $D1152) )</f>
        <v>0</v>
      </c>
      <c r="O1152" s="1389">
        <f t="array" ref="O1152">SUM( ($E$1016:$E$1039=$E$1107) * ($A$1016:$A$1039=$A1152) * ($D$1016:$D$1039= $D1152) * (O$1016:O$1039) ) * SUM(EF[CO2] * (EF[SATIM Code]= $D1152) )</f>
        <v>0</v>
      </c>
    </row>
    <row r="1153" spans="1:15" s="19" customFormat="1" hidden="1" outlineLevel="1">
      <c r="A1153" s="19" t="str">
        <f t="shared" si="252"/>
        <v>NM</v>
      </c>
      <c r="B1153" s="1400" t="str">
        <f>INDEX(EF[UK Vector],MATCH(D1153,EF[SATIM Code],0))</f>
        <v>V.05</v>
      </c>
      <c r="C1153" s="1401" t="str">
        <f>INDEX(Vectors[Description], MATCH($B1153, Vectors[Code], 0))</f>
        <v>Gaseous hydrocarbons</v>
      </c>
      <c r="D1153" s="1406" t="s">
        <v>869</v>
      </c>
      <c r="E1153" s="1393"/>
      <c r="F1153" s="1389">
        <f t="array" ref="F1153">SUM( ($E$1016:$E$1039=$E$1107) * ($A$1016:$A$1039=$A1153) * ($D$1016:$D$1039= $D1153) * (F$1016:F$1039) ) * SUM(EF[CO2] * (EF[SATIM Code]= $D1153) )</f>
        <v>0</v>
      </c>
      <c r="G1153" s="1389">
        <f t="array" ref="G1153">SUM( ($E$1016:$E$1039=$E$1107) * ($A$1016:$A$1039=$A1153) * ($D$1016:$D$1039= $D1153) * (G$1016:G$1039) ) * SUM(EF[CO2] * (EF[SATIM Code]= $D1153) )</f>
        <v>0</v>
      </c>
      <c r="H1153" s="1389">
        <f t="array" ref="H1153">SUM( ($E$1016:$E$1039=$E$1107) * ($A$1016:$A$1039=$A1153) * ($D$1016:$D$1039= $D1153) * (H$1016:H$1039) ) * SUM(EF[CO2] * (EF[SATIM Code]= $D1153) )</f>
        <v>0</v>
      </c>
      <c r="I1153" s="1389">
        <f t="array" ref="I1153">SUM( ($E$1016:$E$1039=$E$1107) * ($A$1016:$A$1039=$A1153) * ($D$1016:$D$1039= $D1153) * (I$1016:I$1039) ) * SUM(EF[CO2] * (EF[SATIM Code]= $D1153) )</f>
        <v>0</v>
      </c>
      <c r="J1153" s="1389">
        <f t="array" ref="J1153">SUM( ($E$1016:$E$1039=$E$1107) * ($A$1016:$A$1039=$A1153) * ($D$1016:$D$1039= $D1153) * (J$1016:J$1039) ) * SUM(EF[CO2] * (EF[SATIM Code]= $D1153) )</f>
        <v>0</v>
      </c>
      <c r="K1153" s="1389">
        <f t="array" ref="K1153">SUM( ($E$1016:$E$1039=$E$1107) * ($A$1016:$A$1039=$A1153) * ($D$1016:$D$1039= $D1153) * (K$1016:K$1039) ) * SUM(EF[CO2] * (EF[SATIM Code]= $D1153) )</f>
        <v>0</v>
      </c>
      <c r="L1153" s="1389">
        <f t="array" ref="L1153">SUM( ($E$1016:$E$1039=$E$1107) * ($A$1016:$A$1039=$A1153) * ($D$1016:$D$1039= $D1153) * (L$1016:L$1039) ) * SUM(EF[CO2] * (EF[SATIM Code]= $D1153) )</f>
        <v>0</v>
      </c>
      <c r="M1153" s="1389">
        <f t="array" ref="M1153">SUM( ($E$1016:$E$1039=$E$1107) * ($A$1016:$A$1039=$A1153) * ($D$1016:$D$1039= $D1153) * (M$1016:M$1039) ) * SUM(EF[CO2] * (EF[SATIM Code]= $D1153) )</f>
        <v>0</v>
      </c>
      <c r="N1153" s="1389">
        <f t="array" ref="N1153">SUM( ($E$1016:$E$1039=$E$1107) * ($A$1016:$A$1039=$A1153) * ($D$1016:$D$1039= $D1153) * (N$1016:N$1039) ) * SUM(EF[CO2] * (EF[SATIM Code]= $D1153) )</f>
        <v>0</v>
      </c>
      <c r="O1153" s="1389">
        <f t="array" ref="O1153">SUM( ($E$1016:$E$1039=$E$1107) * ($A$1016:$A$1039=$A1153) * ($D$1016:$D$1039= $D1153) * (O$1016:O$1039) ) * SUM(EF[CO2] * (EF[SATIM Code]= $D1153) )</f>
        <v>0</v>
      </c>
    </row>
    <row r="1154" spans="1:15" s="19" customFormat="1" hidden="1" outlineLevel="1">
      <c r="A1154" s="19" t="str">
        <f t="shared" si="252"/>
        <v>NM</v>
      </c>
      <c r="B1154" s="1400" t="str">
        <f>INDEX(EF[UK Vector],MATCH(D1154,EF[SATIM Code],0))</f>
        <v>V.04</v>
      </c>
      <c r="C1154" s="1401" t="str">
        <f>INDEX(Vectors[Description], MATCH($B1154, Vectors[Code], 0))</f>
        <v>Liquid hydrocarbons</v>
      </c>
      <c r="D1154" s="1406" t="s">
        <v>885</v>
      </c>
      <c r="E1154" s="1393"/>
      <c r="F1154" s="1389">
        <f t="array" ref="F1154">SUM( ($E$1016:$E$1039=$E$1107) * ($A$1016:$A$1039=$A1154) * ($D$1016:$D$1039= $D1154) * (F$1016:F$1039) ) * SUM(EF[CO2] * (EF[SATIM Code]= $D1154) )</f>
        <v>0</v>
      </c>
      <c r="G1154" s="1389">
        <f t="array" ref="G1154">SUM( ($E$1016:$E$1039=$E$1107) * ($A$1016:$A$1039=$A1154) * ($D$1016:$D$1039= $D1154) * (G$1016:G$1039) ) * SUM(EF[CO2] * (EF[SATIM Code]= $D1154) )</f>
        <v>0</v>
      </c>
      <c r="H1154" s="1389">
        <f t="array" ref="H1154">SUM( ($E$1016:$E$1039=$E$1107) * ($A$1016:$A$1039=$A1154) * ($D$1016:$D$1039= $D1154) * (H$1016:H$1039) ) * SUM(EF[CO2] * (EF[SATIM Code]= $D1154) )</f>
        <v>0</v>
      </c>
      <c r="I1154" s="1389">
        <f t="array" ref="I1154">SUM( ($E$1016:$E$1039=$E$1107) * ($A$1016:$A$1039=$A1154) * ($D$1016:$D$1039= $D1154) * (I$1016:I$1039) ) * SUM(EF[CO2] * (EF[SATIM Code]= $D1154) )</f>
        <v>0</v>
      </c>
      <c r="J1154" s="1389">
        <f t="array" ref="J1154">SUM( ($E$1016:$E$1039=$E$1107) * ($A$1016:$A$1039=$A1154) * ($D$1016:$D$1039= $D1154) * (J$1016:J$1039) ) * SUM(EF[CO2] * (EF[SATIM Code]= $D1154) )</f>
        <v>0</v>
      </c>
      <c r="K1154" s="1389">
        <f t="array" ref="K1154">SUM( ($E$1016:$E$1039=$E$1107) * ($A$1016:$A$1039=$A1154) * ($D$1016:$D$1039= $D1154) * (K$1016:K$1039) ) * SUM(EF[CO2] * (EF[SATIM Code]= $D1154) )</f>
        <v>0</v>
      </c>
      <c r="L1154" s="1389">
        <f t="array" ref="L1154">SUM( ($E$1016:$E$1039=$E$1107) * ($A$1016:$A$1039=$A1154) * ($D$1016:$D$1039= $D1154) * (L$1016:L$1039) ) * SUM(EF[CO2] * (EF[SATIM Code]= $D1154) )</f>
        <v>0</v>
      </c>
      <c r="M1154" s="1389">
        <f t="array" ref="M1154">SUM( ($E$1016:$E$1039=$E$1107) * ($A$1016:$A$1039=$A1154) * ($D$1016:$D$1039= $D1154) * (M$1016:M$1039) ) * SUM(EF[CO2] * (EF[SATIM Code]= $D1154) )</f>
        <v>0</v>
      </c>
      <c r="N1154" s="1389">
        <f t="array" ref="N1154">SUM( ($E$1016:$E$1039=$E$1107) * ($A$1016:$A$1039=$A1154) * ($D$1016:$D$1039= $D1154) * (N$1016:N$1039) ) * SUM(EF[CO2] * (EF[SATIM Code]= $D1154) )</f>
        <v>0</v>
      </c>
      <c r="O1154" s="1389">
        <f t="array" ref="O1154">SUM( ($E$1016:$E$1039=$E$1107) * ($A$1016:$A$1039=$A1154) * ($D$1016:$D$1039= $D1154) * (O$1016:O$1039) ) * SUM(EF[CO2] * (EF[SATIM Code]= $D1154) )</f>
        <v>0</v>
      </c>
    </row>
    <row r="1155" spans="1:15" s="19" customFormat="1" hidden="1" outlineLevel="1">
      <c r="A1155" s="19" t="str">
        <f t="shared" si="252"/>
        <v>NM</v>
      </c>
      <c r="B1155" s="1400" t="str">
        <f>INDEX(EF[UK Vector],MATCH(D1155,EF[SATIM Code],0))</f>
        <v>V.04</v>
      </c>
      <c r="C1155" s="1401" t="str">
        <f>INDEX(Vectors[Description], MATCH($B1155, Vectors[Code], 0))</f>
        <v>Liquid hydrocarbons</v>
      </c>
      <c r="D1155" s="1391" t="s">
        <v>886</v>
      </c>
      <c r="E1155" s="1393"/>
      <c r="F1155" s="1389">
        <f t="array" ref="F1155">SUM( ($E$1016:$E$1039=$E$1107) * ($A$1016:$A$1039=$A1155) * ($D$1016:$D$1039= $D1155) * (F$1016:F$1039) ) * SUM(EF[CO2] * (EF[SATIM Code]= $D1155) )</f>
        <v>0</v>
      </c>
      <c r="G1155" s="1389">
        <f t="array" ref="G1155">SUM( ($E$1016:$E$1039=$E$1107) * ($A$1016:$A$1039=$A1155) * ($D$1016:$D$1039= $D1155) * (G$1016:G$1039) ) * SUM(EF[CO2] * (EF[SATIM Code]= $D1155) )</f>
        <v>0</v>
      </c>
      <c r="H1155" s="1389">
        <f t="array" ref="H1155">SUM( ($E$1016:$E$1039=$E$1107) * ($A$1016:$A$1039=$A1155) * ($D$1016:$D$1039= $D1155) * (H$1016:H$1039) ) * SUM(EF[CO2] * (EF[SATIM Code]= $D1155) )</f>
        <v>0</v>
      </c>
      <c r="I1155" s="1389">
        <f t="array" ref="I1155">SUM( ($E$1016:$E$1039=$E$1107) * ($A$1016:$A$1039=$A1155) * ($D$1016:$D$1039= $D1155) * (I$1016:I$1039) ) * SUM(EF[CO2] * (EF[SATIM Code]= $D1155) )</f>
        <v>0</v>
      </c>
      <c r="J1155" s="1389">
        <f t="array" ref="J1155">SUM( ($E$1016:$E$1039=$E$1107) * ($A$1016:$A$1039=$A1155) * ($D$1016:$D$1039= $D1155) * (J$1016:J$1039) ) * SUM(EF[CO2] * (EF[SATIM Code]= $D1155) )</f>
        <v>0</v>
      </c>
      <c r="K1155" s="1389">
        <f t="array" ref="K1155">SUM( ($E$1016:$E$1039=$E$1107) * ($A$1016:$A$1039=$A1155) * ($D$1016:$D$1039= $D1155) * (K$1016:K$1039) ) * SUM(EF[CO2] * (EF[SATIM Code]= $D1155) )</f>
        <v>0</v>
      </c>
      <c r="L1155" s="1389">
        <f t="array" ref="L1155">SUM( ($E$1016:$E$1039=$E$1107) * ($A$1016:$A$1039=$A1155) * ($D$1016:$D$1039= $D1155) * (L$1016:L$1039) ) * SUM(EF[CO2] * (EF[SATIM Code]= $D1155) )</f>
        <v>0</v>
      </c>
      <c r="M1155" s="1389">
        <f t="array" ref="M1155">SUM( ($E$1016:$E$1039=$E$1107) * ($A$1016:$A$1039=$A1155) * ($D$1016:$D$1039= $D1155) * (M$1016:M$1039) ) * SUM(EF[CO2] * (EF[SATIM Code]= $D1155) )</f>
        <v>0</v>
      </c>
      <c r="N1155" s="1389">
        <f t="array" ref="N1155">SUM( ($E$1016:$E$1039=$E$1107) * ($A$1016:$A$1039=$A1155) * ($D$1016:$D$1039= $D1155) * (N$1016:N$1039) ) * SUM(EF[CO2] * (EF[SATIM Code]= $D1155) )</f>
        <v>0</v>
      </c>
      <c r="O1155" s="1389">
        <f t="array" ref="O1155">SUM( ($E$1016:$E$1039=$E$1107) * ($A$1016:$A$1039=$A1155) * ($D$1016:$D$1039= $D1155) * (O$1016:O$1039) ) * SUM(EF[CO2] * (EF[SATIM Code]= $D1155) )</f>
        <v>0</v>
      </c>
    </row>
    <row r="1156" spans="1:15" s="19" customFormat="1" hidden="1" outlineLevel="1">
      <c r="A1156" s="19" t="str">
        <f t="shared" si="252"/>
        <v>NM</v>
      </c>
      <c r="B1156" s="1400" t="str">
        <f>INDEX(EF[UK Vector],MATCH(D1156,EF[SATIM Code],0))</f>
        <v>V.04</v>
      </c>
      <c r="C1156" s="1401" t="str">
        <f>INDEX(Vectors[Description], MATCH($B1156, Vectors[Code], 0))</f>
        <v>Liquid hydrocarbons</v>
      </c>
      <c r="D1156" s="1406" t="s">
        <v>887</v>
      </c>
      <c r="E1156" s="1393"/>
      <c r="F1156" s="1389">
        <f t="array" ref="F1156">SUM( ($E$1016:$E$1039=$E$1107) * ($A$1016:$A$1039=$A1156) * ($D$1016:$D$1039= $D1156) * (F$1016:F$1039) ) * SUM(EF[CO2] * (EF[SATIM Code]= $D1156) )</f>
        <v>0</v>
      </c>
      <c r="G1156" s="1389">
        <f t="array" ref="G1156">SUM( ($E$1016:$E$1039=$E$1107) * ($A$1016:$A$1039=$A1156) * ($D$1016:$D$1039= $D1156) * (G$1016:G$1039) ) * SUM(EF[CO2] * (EF[SATIM Code]= $D1156) )</f>
        <v>0</v>
      </c>
      <c r="H1156" s="1389">
        <f t="array" ref="H1156">SUM( ($E$1016:$E$1039=$E$1107) * ($A$1016:$A$1039=$A1156) * ($D$1016:$D$1039= $D1156) * (H$1016:H$1039) ) * SUM(EF[CO2] * (EF[SATIM Code]= $D1156) )</f>
        <v>0</v>
      </c>
      <c r="I1156" s="1389">
        <f t="array" ref="I1156">SUM( ($E$1016:$E$1039=$E$1107) * ($A$1016:$A$1039=$A1156) * ($D$1016:$D$1039= $D1156) * (I$1016:I$1039) ) * SUM(EF[CO2] * (EF[SATIM Code]= $D1156) )</f>
        <v>0</v>
      </c>
      <c r="J1156" s="1389">
        <f t="array" ref="J1156">SUM( ($E$1016:$E$1039=$E$1107) * ($A$1016:$A$1039=$A1156) * ($D$1016:$D$1039= $D1156) * (J$1016:J$1039) ) * SUM(EF[CO2] * (EF[SATIM Code]= $D1156) )</f>
        <v>0</v>
      </c>
      <c r="K1156" s="1389">
        <f t="array" ref="K1156">SUM( ($E$1016:$E$1039=$E$1107) * ($A$1016:$A$1039=$A1156) * ($D$1016:$D$1039= $D1156) * (K$1016:K$1039) ) * SUM(EF[CO2] * (EF[SATIM Code]= $D1156) )</f>
        <v>0</v>
      </c>
      <c r="L1156" s="1389">
        <f t="array" ref="L1156">SUM( ($E$1016:$E$1039=$E$1107) * ($A$1016:$A$1039=$A1156) * ($D$1016:$D$1039= $D1156) * (L$1016:L$1039) ) * SUM(EF[CO2] * (EF[SATIM Code]= $D1156) )</f>
        <v>0</v>
      </c>
      <c r="M1156" s="1389">
        <f t="array" ref="M1156">SUM( ($E$1016:$E$1039=$E$1107) * ($A$1016:$A$1039=$A1156) * ($D$1016:$D$1039= $D1156) * (M$1016:M$1039) ) * SUM(EF[CO2] * (EF[SATIM Code]= $D1156) )</f>
        <v>0</v>
      </c>
      <c r="N1156" s="1389">
        <f t="array" ref="N1156">SUM( ($E$1016:$E$1039=$E$1107) * ($A$1016:$A$1039=$A1156) * ($D$1016:$D$1039= $D1156) * (N$1016:N$1039) ) * SUM(EF[CO2] * (EF[SATIM Code]= $D1156) )</f>
        <v>0</v>
      </c>
      <c r="O1156" s="1389">
        <f t="array" ref="O1156">SUM( ($E$1016:$E$1039=$E$1107) * ($A$1016:$A$1039=$A1156) * ($D$1016:$D$1039= $D1156) * (O$1016:O$1039) ) * SUM(EF[CO2] * (EF[SATIM Code]= $D1156) )</f>
        <v>0</v>
      </c>
    </row>
    <row r="1157" spans="1:15" s="19" customFormat="1" hidden="1" outlineLevel="1">
      <c r="A1157" s="19" t="str">
        <f t="shared" si="252"/>
        <v>NM</v>
      </c>
      <c r="B1157" s="1400" t="str">
        <f>INDEX(EF[UK Vector],MATCH(D1157,EF[SATIM Code],0))</f>
        <v>V.09</v>
      </c>
      <c r="C1157" s="1401" t="str">
        <f>INDEX(Vectors[Description], MATCH($B1157, Vectors[Code], 0))</f>
        <v>Dry biomass and waste</v>
      </c>
      <c r="D1157" s="1406" t="s">
        <v>888</v>
      </c>
      <c r="E1157" s="1393"/>
      <c r="F1157" s="1389">
        <f t="array" ref="F1157">SUM( ($E$1016:$E$1039=$E$1107) * ($A$1016:$A$1039=$A1157) * ($D$1016:$D$1039= $D1157) * (F$1016:F$1039) ) * SUM(EF[CO2] * (EF[SATIM Code]= $D1157) )</f>
        <v>0</v>
      </c>
      <c r="G1157" s="1389">
        <f t="array" ref="G1157">SUM( ($E$1016:$E$1039=$E$1107) * ($A$1016:$A$1039=$A1157) * ($D$1016:$D$1039= $D1157) * (G$1016:G$1039) ) * SUM(EF[CO2] * (EF[SATIM Code]= $D1157) )</f>
        <v>0</v>
      </c>
      <c r="H1157" s="1389">
        <f t="array" ref="H1157">SUM( ($E$1016:$E$1039=$E$1107) * ($A$1016:$A$1039=$A1157) * ($D$1016:$D$1039= $D1157) * (H$1016:H$1039) ) * SUM(EF[CO2] * (EF[SATIM Code]= $D1157) )</f>
        <v>0</v>
      </c>
      <c r="I1157" s="1389">
        <f t="array" ref="I1157">SUM( ($E$1016:$E$1039=$E$1107) * ($A$1016:$A$1039=$A1157) * ($D$1016:$D$1039= $D1157) * (I$1016:I$1039) ) * SUM(EF[CO2] * (EF[SATIM Code]= $D1157) )</f>
        <v>0</v>
      </c>
      <c r="J1157" s="1389">
        <f t="array" ref="J1157">SUM( ($E$1016:$E$1039=$E$1107) * ($A$1016:$A$1039=$A1157) * ($D$1016:$D$1039= $D1157) * (J$1016:J$1039) ) * SUM(EF[CO2] * (EF[SATIM Code]= $D1157) )</f>
        <v>0</v>
      </c>
      <c r="K1157" s="1389">
        <f t="array" ref="K1157">SUM( ($E$1016:$E$1039=$E$1107) * ($A$1016:$A$1039=$A1157) * ($D$1016:$D$1039= $D1157) * (K$1016:K$1039) ) * SUM(EF[CO2] * (EF[SATIM Code]= $D1157) )</f>
        <v>0</v>
      </c>
      <c r="L1157" s="1389">
        <f t="array" ref="L1157">SUM( ($E$1016:$E$1039=$E$1107) * ($A$1016:$A$1039=$A1157) * ($D$1016:$D$1039= $D1157) * (L$1016:L$1039) ) * SUM(EF[CO2] * (EF[SATIM Code]= $D1157) )</f>
        <v>0</v>
      </c>
      <c r="M1157" s="1389">
        <f t="array" ref="M1157">SUM( ($E$1016:$E$1039=$E$1107) * ($A$1016:$A$1039=$A1157) * ($D$1016:$D$1039= $D1157) * (M$1016:M$1039) ) * SUM(EF[CO2] * (EF[SATIM Code]= $D1157) )</f>
        <v>0</v>
      </c>
      <c r="N1157" s="1389">
        <f t="array" ref="N1157">SUM( ($E$1016:$E$1039=$E$1107) * ($A$1016:$A$1039=$A1157) * ($D$1016:$D$1039= $D1157) * (N$1016:N$1039) ) * SUM(EF[CO2] * (EF[SATIM Code]= $D1157) )</f>
        <v>0</v>
      </c>
      <c r="O1157" s="1389">
        <f t="array" ref="O1157">SUM( ($E$1016:$E$1039=$E$1107) * ($A$1016:$A$1039=$A1157) * ($D$1016:$D$1039= $D1157) * (O$1016:O$1039) ) * SUM(EF[CO2] * (EF[SATIM Code]= $D1157) )</f>
        <v>0</v>
      </c>
    </row>
    <row r="1158" spans="1:15" s="19" customFormat="1" hidden="1" outlineLevel="1">
      <c r="A1158" s="19" t="str">
        <f t="shared" si="252"/>
        <v>NM</v>
      </c>
      <c r="B1158" s="1400" t="str">
        <f>INDEX(EF[UK Vector],MATCH(D1158,EF[SATIM Code],0))</f>
        <v>V.09</v>
      </c>
      <c r="C1158" s="1401" t="str">
        <f>INDEX(Vectors[Description], MATCH($B1158, Vectors[Code], 0))</f>
        <v>Dry biomass and waste</v>
      </c>
      <c r="D1158" s="1388" t="s">
        <v>889</v>
      </c>
      <c r="E1158" s="1393"/>
      <c r="F1158" s="1389">
        <f t="array" ref="F1158">SUM( ($E$1016:$E$1039=$E$1107) * ($A$1016:$A$1039=$A1158) * ($D$1016:$D$1039= $D1158) * (F$1016:F$1039) ) * SUM(EF[CO2] * (EF[SATIM Code]= $D1158) )</f>
        <v>0</v>
      </c>
      <c r="G1158" s="1389">
        <f t="array" ref="G1158">SUM( ($E$1016:$E$1039=$E$1107) * ($A$1016:$A$1039=$A1158) * ($D$1016:$D$1039= $D1158) * (G$1016:G$1039) ) * SUM(EF[CO2] * (EF[SATIM Code]= $D1158) )</f>
        <v>0</v>
      </c>
      <c r="H1158" s="1389">
        <f t="array" ref="H1158">SUM( ($E$1016:$E$1039=$E$1107) * ($A$1016:$A$1039=$A1158) * ($D$1016:$D$1039= $D1158) * (H$1016:H$1039) ) * SUM(EF[CO2] * (EF[SATIM Code]= $D1158) )</f>
        <v>0</v>
      </c>
      <c r="I1158" s="1389">
        <f t="array" ref="I1158">SUM( ($E$1016:$E$1039=$E$1107) * ($A$1016:$A$1039=$A1158) * ($D$1016:$D$1039= $D1158) * (I$1016:I$1039) ) * SUM(EF[CO2] * (EF[SATIM Code]= $D1158) )</f>
        <v>0</v>
      </c>
      <c r="J1158" s="1389">
        <f t="array" ref="J1158">SUM( ($E$1016:$E$1039=$E$1107) * ($A$1016:$A$1039=$A1158) * ($D$1016:$D$1039= $D1158) * (J$1016:J$1039) ) * SUM(EF[CO2] * (EF[SATIM Code]= $D1158) )</f>
        <v>0</v>
      </c>
      <c r="K1158" s="1389">
        <f t="array" ref="K1158">SUM( ($E$1016:$E$1039=$E$1107) * ($A$1016:$A$1039=$A1158) * ($D$1016:$D$1039= $D1158) * (K$1016:K$1039) ) * SUM(EF[CO2] * (EF[SATIM Code]= $D1158) )</f>
        <v>0</v>
      </c>
      <c r="L1158" s="1389">
        <f t="array" ref="L1158">SUM( ($E$1016:$E$1039=$E$1107) * ($A$1016:$A$1039=$A1158) * ($D$1016:$D$1039= $D1158) * (L$1016:L$1039) ) * SUM(EF[CO2] * (EF[SATIM Code]= $D1158) )</f>
        <v>0</v>
      </c>
      <c r="M1158" s="1389">
        <f t="array" ref="M1158">SUM( ($E$1016:$E$1039=$E$1107) * ($A$1016:$A$1039=$A1158) * ($D$1016:$D$1039= $D1158) * (M$1016:M$1039) ) * SUM(EF[CO2] * (EF[SATIM Code]= $D1158) )</f>
        <v>0</v>
      </c>
      <c r="N1158" s="1389">
        <f t="array" ref="N1158">SUM( ($E$1016:$E$1039=$E$1107) * ($A$1016:$A$1039=$A1158) * ($D$1016:$D$1039= $D1158) * (N$1016:N$1039) ) * SUM(EF[CO2] * (EF[SATIM Code]= $D1158) )</f>
        <v>0</v>
      </c>
      <c r="O1158" s="1389">
        <f t="array" ref="O1158">SUM( ($E$1016:$E$1039=$E$1107) * ($A$1016:$A$1039=$A1158) * ($D$1016:$D$1039= $D1158) * (O$1016:O$1039) ) * SUM(EF[CO2] * (EF[SATIM Code]= $D1158) )</f>
        <v>0</v>
      </c>
    </row>
    <row r="1159" spans="1:15" s="19" customFormat="1" hidden="1" outlineLevel="1">
      <c r="A1159" s="19" t="str">
        <f t="shared" si="252"/>
        <v>NM</v>
      </c>
      <c r="B1159" s="1400" t="str">
        <f>INDEX(EF[UK Vector],MATCH(D1159,EF[SATIM Code],0))</f>
        <v>V.16</v>
      </c>
      <c r="C1159" s="1401" t="str">
        <f>INDEX(Vectors[Description], MATCH($B1159, Vectors[Code], 0))</f>
        <v>Other Waste</v>
      </c>
      <c r="D1159" s="1408" t="s">
        <v>890</v>
      </c>
      <c r="E1159" s="1393"/>
      <c r="F1159" s="1389">
        <f t="array" ref="F1159">SUM( ($E$1016:$E$1039=$E$1107) * ($A$1016:$A$1039=$A1159) * ($D$1016:$D$1039= $D1159) * (F$1016:F$1039) ) * SUM(EF[CO2] * (EF[SATIM Code]= $D1159) )</f>
        <v>0</v>
      </c>
      <c r="G1159" s="1389">
        <f t="array" ref="G1159">SUM( ($E$1016:$E$1039=$E$1107) * ($A$1016:$A$1039=$A1159) * ($D$1016:$D$1039= $D1159) * (G$1016:G$1039) ) * SUM(EF[CO2] * (EF[SATIM Code]= $D1159) )</f>
        <v>0</v>
      </c>
      <c r="H1159" s="1389">
        <f t="array" ref="H1159">SUM( ($E$1016:$E$1039=$E$1107) * ($A$1016:$A$1039=$A1159) * ($D$1016:$D$1039= $D1159) * (H$1016:H$1039) ) * SUM(EF[CO2] * (EF[SATIM Code]= $D1159) )</f>
        <v>0</v>
      </c>
      <c r="I1159" s="1389">
        <f t="array" ref="I1159">SUM( ($E$1016:$E$1039=$E$1107) * ($A$1016:$A$1039=$A1159) * ($D$1016:$D$1039= $D1159) * (I$1016:I$1039) ) * SUM(EF[CO2] * (EF[SATIM Code]= $D1159) )</f>
        <v>0</v>
      </c>
      <c r="J1159" s="1389">
        <f t="array" ref="J1159">SUM( ($E$1016:$E$1039=$E$1107) * ($A$1016:$A$1039=$A1159) * ($D$1016:$D$1039= $D1159) * (J$1016:J$1039) ) * SUM(EF[CO2] * (EF[SATIM Code]= $D1159) )</f>
        <v>0</v>
      </c>
      <c r="K1159" s="1389">
        <f t="array" ref="K1159">SUM( ($E$1016:$E$1039=$E$1107) * ($A$1016:$A$1039=$A1159) * ($D$1016:$D$1039= $D1159) * (K$1016:K$1039) ) * SUM(EF[CO2] * (EF[SATIM Code]= $D1159) )</f>
        <v>0</v>
      </c>
      <c r="L1159" s="1389">
        <f t="array" ref="L1159">SUM( ($E$1016:$E$1039=$E$1107) * ($A$1016:$A$1039=$A1159) * ($D$1016:$D$1039= $D1159) * (L$1016:L$1039) ) * SUM(EF[CO2] * (EF[SATIM Code]= $D1159) )</f>
        <v>0</v>
      </c>
      <c r="M1159" s="1389">
        <f t="array" ref="M1159">SUM( ($E$1016:$E$1039=$E$1107) * ($A$1016:$A$1039=$A1159) * ($D$1016:$D$1039= $D1159) * (M$1016:M$1039) ) * SUM(EF[CO2] * (EF[SATIM Code]= $D1159) )</f>
        <v>0</v>
      </c>
      <c r="N1159" s="1389">
        <f t="array" ref="N1159">SUM( ($E$1016:$E$1039=$E$1107) * ($A$1016:$A$1039=$A1159) * ($D$1016:$D$1039= $D1159) * (N$1016:N$1039) ) * SUM(EF[CO2] * (EF[SATIM Code]= $D1159) )</f>
        <v>0</v>
      </c>
      <c r="O1159" s="1389">
        <f t="array" ref="O1159">SUM( ($E$1016:$E$1039=$E$1107) * ($A$1016:$A$1039=$A1159) * ($D$1016:$D$1039= $D1159) * (O$1016:O$1039) ) * SUM(EF[CO2] * (EF[SATIM Code]= $D1159) )</f>
        <v>0</v>
      </c>
    </row>
    <row r="1160" spans="1:15" s="19" customFormat="1" hidden="1" outlineLevel="1">
      <c r="B1160" s="1393"/>
      <c r="C1160" s="1392" t="str">
        <f>D25</f>
        <v>Food, Beverage &amp; Tabacco  - 30</v>
      </c>
      <c r="D1160" s="1391"/>
      <c r="E1160" s="1393"/>
      <c r="F1160" s="1389">
        <f t="array" ref="F1160">SUM( ($E$1016:$E$1039=$E$1107) * ($A$1016:$A$1039=$A1160) * ($D$1016:$D$1039= $D1160) * (F$1016:F$1039) ) * SUM(EF[CO2] * (EF[SATIM Code]= $D1160) )</f>
        <v>0</v>
      </c>
      <c r="G1160" s="1389">
        <f t="array" ref="G1160">SUM( ($E$1016:$E$1039=$E$1107) * ($A$1016:$A$1039=$A1160) * ($D$1016:$D$1039= $D1160) * (G$1016:G$1039) ) * SUM(EF[CO2] * (EF[SATIM Code]= $D1160) )</f>
        <v>0</v>
      </c>
      <c r="H1160" s="1389">
        <f t="array" ref="H1160">SUM( ($E$1016:$E$1039=$E$1107) * ($A$1016:$A$1039=$A1160) * ($D$1016:$D$1039= $D1160) * (H$1016:H$1039) ) * SUM(EF[CO2] * (EF[SATIM Code]= $D1160) )</f>
        <v>0</v>
      </c>
      <c r="I1160" s="1389">
        <f t="array" ref="I1160">SUM( ($E$1016:$E$1039=$E$1107) * ($A$1016:$A$1039=$A1160) * ($D$1016:$D$1039= $D1160) * (I$1016:I$1039) ) * SUM(EF[CO2] * (EF[SATIM Code]= $D1160) )</f>
        <v>0</v>
      </c>
      <c r="J1160" s="1389">
        <f t="array" ref="J1160">SUM( ($E$1016:$E$1039=$E$1107) * ($A$1016:$A$1039=$A1160) * ($D$1016:$D$1039= $D1160) * (J$1016:J$1039) ) * SUM(EF[CO2] * (EF[SATIM Code]= $D1160) )</f>
        <v>0</v>
      </c>
      <c r="K1160" s="1389">
        <f t="array" ref="K1160">SUM( ($E$1016:$E$1039=$E$1107) * ($A$1016:$A$1039=$A1160) * ($D$1016:$D$1039= $D1160) * (K$1016:K$1039) ) * SUM(EF[CO2] * (EF[SATIM Code]= $D1160) )</f>
        <v>0</v>
      </c>
      <c r="L1160" s="1389">
        <f t="array" ref="L1160">SUM( ($E$1016:$E$1039=$E$1107) * ($A$1016:$A$1039=$A1160) * ($D$1016:$D$1039= $D1160) * (L$1016:L$1039) ) * SUM(EF[CO2] * (EF[SATIM Code]= $D1160) )</f>
        <v>0</v>
      </c>
      <c r="M1160" s="1389">
        <f t="array" ref="M1160">SUM( ($E$1016:$E$1039=$E$1107) * ($A$1016:$A$1039=$A1160) * ($D$1016:$D$1039= $D1160) * (M$1016:M$1039) ) * SUM(EF[CO2] * (EF[SATIM Code]= $D1160) )</f>
        <v>0</v>
      </c>
      <c r="N1160" s="1389">
        <f t="array" ref="N1160">SUM( ($E$1016:$E$1039=$E$1107) * ($A$1016:$A$1039=$A1160) * ($D$1016:$D$1039= $D1160) * (N$1016:N$1039) ) * SUM(EF[CO2] * (EF[SATIM Code]= $D1160) )</f>
        <v>0</v>
      </c>
      <c r="O1160" s="1389">
        <f t="array" ref="O1160">SUM( ($E$1016:$E$1039=$E$1107) * ($A$1016:$A$1039=$A1160) * ($D$1016:$D$1039= $D1160) * (O$1016:O$1039) ) * SUM(EF[CO2] * (EF[SATIM Code]= $D1160) )</f>
        <v>0</v>
      </c>
    </row>
    <row r="1161" spans="1:15" s="19" customFormat="1" hidden="1" outlineLevel="1">
      <c r="A1161" s="1438" t="str">
        <f>INDEX($C$20:$C$27,MATCH($C1160,$D$20:$D$27,0))</f>
        <v>FB</v>
      </c>
      <c r="B1161" s="1400" t="str">
        <f>INDEX(EF[UK Vector],MATCH(D1161,EF[SATIM Code],0))</f>
        <v>V.03</v>
      </c>
      <c r="C1161" s="1401" t="str">
        <f>INDEX(Vectors[Description], MATCH($B1161, Vectors[Code], 0))</f>
        <v>Solid hydrocarbons</v>
      </c>
      <c r="D1161" s="1391" t="s">
        <v>882</v>
      </c>
      <c r="E1161" s="1393"/>
      <c r="F1161" s="1389">
        <f t="array" ref="F1161">SUM( ($E$1016:$E$1039=$E$1107) * ($A$1016:$A$1039=$A1161) * ($D$1016:$D$1039= $D1161) * (F$1016:F$1039) ) * SUM(EF[CO2] * (EF[SATIM Code]= $D1161) )</f>
        <v>0</v>
      </c>
      <c r="G1161" s="1389">
        <f t="array" ref="G1161">SUM( ($E$1016:$E$1039=$E$1107) * ($A$1016:$A$1039=$A1161) * ($D$1016:$D$1039= $D1161) * (G$1016:G$1039) ) * SUM(EF[CO2] * (EF[SATIM Code]= $D1161) )</f>
        <v>0</v>
      </c>
      <c r="H1161" s="1389">
        <f t="array" ref="H1161">SUM( ($E$1016:$E$1039=$E$1107) * ($A$1016:$A$1039=$A1161) * ($D$1016:$D$1039= $D1161) * (H$1016:H$1039) ) * SUM(EF[CO2] * (EF[SATIM Code]= $D1161) )</f>
        <v>0</v>
      </c>
      <c r="I1161" s="1389">
        <f t="array" ref="I1161">SUM( ($E$1016:$E$1039=$E$1107) * ($A$1016:$A$1039=$A1161) * ($D$1016:$D$1039= $D1161) * (I$1016:I$1039) ) * SUM(EF[CO2] * (EF[SATIM Code]= $D1161) )</f>
        <v>0</v>
      </c>
      <c r="J1161" s="1389">
        <f t="array" ref="J1161">SUM( ($E$1016:$E$1039=$E$1107) * ($A$1016:$A$1039=$A1161) * ($D$1016:$D$1039= $D1161) * (J$1016:J$1039) ) * SUM(EF[CO2] * (EF[SATIM Code]= $D1161) )</f>
        <v>0</v>
      </c>
      <c r="K1161" s="1389">
        <f t="array" ref="K1161">SUM( ($E$1016:$E$1039=$E$1107) * ($A$1016:$A$1039=$A1161) * ($D$1016:$D$1039= $D1161) * (K$1016:K$1039) ) * SUM(EF[CO2] * (EF[SATIM Code]= $D1161) )</f>
        <v>0</v>
      </c>
      <c r="L1161" s="1389">
        <f t="array" ref="L1161">SUM( ($E$1016:$E$1039=$E$1107) * ($A$1016:$A$1039=$A1161) * ($D$1016:$D$1039= $D1161) * (L$1016:L$1039) ) * SUM(EF[CO2] * (EF[SATIM Code]= $D1161) )</f>
        <v>0</v>
      </c>
      <c r="M1161" s="1389">
        <f t="array" ref="M1161">SUM( ($E$1016:$E$1039=$E$1107) * ($A$1016:$A$1039=$A1161) * ($D$1016:$D$1039= $D1161) * (M$1016:M$1039) ) * SUM(EF[CO2] * (EF[SATIM Code]= $D1161) )</f>
        <v>0</v>
      </c>
      <c r="N1161" s="1389">
        <f t="array" ref="N1161">SUM( ($E$1016:$E$1039=$E$1107) * ($A$1016:$A$1039=$A1161) * ($D$1016:$D$1039= $D1161) * (N$1016:N$1039) ) * SUM(EF[CO2] * (EF[SATIM Code]= $D1161) )</f>
        <v>0</v>
      </c>
      <c r="O1161" s="1389">
        <f t="array" ref="O1161">SUM( ($E$1016:$E$1039=$E$1107) * ($A$1016:$A$1039=$A1161) * ($D$1016:$D$1039= $D1161) * (O$1016:O$1039) ) * SUM(EF[CO2] * (EF[SATIM Code]= $D1161) )</f>
        <v>0</v>
      </c>
    </row>
    <row r="1162" spans="1:15" s="19" customFormat="1" hidden="1" outlineLevel="1">
      <c r="A1162" s="19" t="str">
        <f t="shared" ref="A1162:A1169" si="253">A1161</f>
        <v>FB</v>
      </c>
      <c r="B1162" s="1400" t="str">
        <f>INDEX(EF[UK Vector],MATCH(D1162,EF[SATIM Code],0))</f>
        <v>V.03</v>
      </c>
      <c r="C1162" s="1401" t="str">
        <f>INDEX(Vectors[Description], MATCH($B1162, Vectors[Code], 0))</f>
        <v>Solid hydrocarbons</v>
      </c>
      <c r="D1162" s="1391" t="s">
        <v>883</v>
      </c>
      <c r="E1162" s="1393"/>
      <c r="F1162" s="1389">
        <f t="array" ref="F1162">SUM( ($E$1016:$E$1039=$E$1107) * ($A$1016:$A$1039=$A1162) * ($D$1016:$D$1039= $D1162) * (F$1016:F$1039) ) * SUM(EF[CO2] * (EF[SATIM Code]= $D1162) )</f>
        <v>0</v>
      </c>
      <c r="G1162" s="1389">
        <f t="array" ref="G1162">SUM( ($E$1016:$E$1039=$E$1107) * ($A$1016:$A$1039=$A1162) * ($D$1016:$D$1039= $D1162) * (G$1016:G$1039) ) * SUM(EF[CO2] * (EF[SATIM Code]= $D1162) )</f>
        <v>0</v>
      </c>
      <c r="H1162" s="1389">
        <f t="array" ref="H1162">SUM( ($E$1016:$E$1039=$E$1107) * ($A$1016:$A$1039=$A1162) * ($D$1016:$D$1039= $D1162) * (H$1016:H$1039) ) * SUM(EF[CO2] * (EF[SATIM Code]= $D1162) )</f>
        <v>0</v>
      </c>
      <c r="I1162" s="1389">
        <f t="array" ref="I1162">SUM( ($E$1016:$E$1039=$E$1107) * ($A$1016:$A$1039=$A1162) * ($D$1016:$D$1039= $D1162) * (I$1016:I$1039) ) * SUM(EF[CO2] * (EF[SATIM Code]= $D1162) )</f>
        <v>0</v>
      </c>
      <c r="J1162" s="1389">
        <f t="array" ref="J1162">SUM( ($E$1016:$E$1039=$E$1107) * ($A$1016:$A$1039=$A1162) * ($D$1016:$D$1039= $D1162) * (J$1016:J$1039) ) * SUM(EF[CO2] * (EF[SATIM Code]= $D1162) )</f>
        <v>0</v>
      </c>
      <c r="K1162" s="1389">
        <f t="array" ref="K1162">SUM( ($E$1016:$E$1039=$E$1107) * ($A$1016:$A$1039=$A1162) * ($D$1016:$D$1039= $D1162) * (K$1016:K$1039) ) * SUM(EF[CO2] * (EF[SATIM Code]= $D1162) )</f>
        <v>0</v>
      </c>
      <c r="L1162" s="1389">
        <f t="array" ref="L1162">SUM( ($E$1016:$E$1039=$E$1107) * ($A$1016:$A$1039=$A1162) * ($D$1016:$D$1039= $D1162) * (L$1016:L$1039) ) * SUM(EF[CO2] * (EF[SATIM Code]= $D1162) )</f>
        <v>0</v>
      </c>
      <c r="M1162" s="1389">
        <f t="array" ref="M1162">SUM( ($E$1016:$E$1039=$E$1107) * ($A$1016:$A$1039=$A1162) * ($D$1016:$D$1039= $D1162) * (M$1016:M$1039) ) * SUM(EF[CO2] * (EF[SATIM Code]= $D1162) )</f>
        <v>0</v>
      </c>
      <c r="N1162" s="1389">
        <f t="array" ref="N1162">SUM( ($E$1016:$E$1039=$E$1107) * ($A$1016:$A$1039=$A1162) * ($D$1016:$D$1039= $D1162) * (N$1016:N$1039) ) * SUM(EF[CO2] * (EF[SATIM Code]= $D1162) )</f>
        <v>0</v>
      </c>
      <c r="O1162" s="1389">
        <f t="array" ref="O1162">SUM( ($E$1016:$E$1039=$E$1107) * ($A$1016:$A$1039=$A1162) * ($D$1016:$D$1039= $D1162) * (O$1016:O$1039) ) * SUM(EF[CO2] * (EF[SATIM Code]= $D1162) )</f>
        <v>0</v>
      </c>
    </row>
    <row r="1163" spans="1:15" s="19" customFormat="1" hidden="1" outlineLevel="1">
      <c r="A1163" s="19" t="str">
        <f t="shared" si="253"/>
        <v>FB</v>
      </c>
      <c r="B1163" s="1400" t="str">
        <f>INDEX(EF[UK Vector],MATCH(D1163,EF[SATIM Code],0))</f>
        <v>V.05</v>
      </c>
      <c r="C1163" s="1401" t="str">
        <f>INDEX(Vectors[Description], MATCH($B1163, Vectors[Code], 0))</f>
        <v>Gaseous hydrocarbons</v>
      </c>
      <c r="D1163" s="1406" t="s">
        <v>869</v>
      </c>
      <c r="E1163" s="1393"/>
      <c r="F1163" s="1389">
        <f t="array" ref="F1163">SUM( ($E$1016:$E$1039=$E$1107) * ($A$1016:$A$1039=$A1163) * ($D$1016:$D$1039= $D1163) * (F$1016:F$1039) ) * SUM(EF[CO2] * (EF[SATIM Code]= $D1163) )</f>
        <v>0</v>
      </c>
      <c r="G1163" s="1389">
        <f t="array" ref="G1163">SUM( ($E$1016:$E$1039=$E$1107) * ($A$1016:$A$1039=$A1163) * ($D$1016:$D$1039= $D1163) * (G$1016:G$1039) ) * SUM(EF[CO2] * (EF[SATIM Code]= $D1163) )</f>
        <v>0</v>
      </c>
      <c r="H1163" s="1389">
        <f t="array" ref="H1163">SUM( ($E$1016:$E$1039=$E$1107) * ($A$1016:$A$1039=$A1163) * ($D$1016:$D$1039= $D1163) * (H$1016:H$1039) ) * SUM(EF[CO2] * (EF[SATIM Code]= $D1163) )</f>
        <v>0</v>
      </c>
      <c r="I1163" s="1389">
        <f t="array" ref="I1163">SUM( ($E$1016:$E$1039=$E$1107) * ($A$1016:$A$1039=$A1163) * ($D$1016:$D$1039= $D1163) * (I$1016:I$1039) ) * SUM(EF[CO2] * (EF[SATIM Code]= $D1163) )</f>
        <v>0</v>
      </c>
      <c r="J1163" s="1389">
        <f t="array" ref="J1163">SUM( ($E$1016:$E$1039=$E$1107) * ($A$1016:$A$1039=$A1163) * ($D$1016:$D$1039= $D1163) * (J$1016:J$1039) ) * SUM(EF[CO2] * (EF[SATIM Code]= $D1163) )</f>
        <v>0</v>
      </c>
      <c r="K1163" s="1389">
        <f t="array" ref="K1163">SUM( ($E$1016:$E$1039=$E$1107) * ($A$1016:$A$1039=$A1163) * ($D$1016:$D$1039= $D1163) * (K$1016:K$1039) ) * SUM(EF[CO2] * (EF[SATIM Code]= $D1163) )</f>
        <v>0</v>
      </c>
      <c r="L1163" s="1389">
        <f t="array" ref="L1163">SUM( ($E$1016:$E$1039=$E$1107) * ($A$1016:$A$1039=$A1163) * ($D$1016:$D$1039= $D1163) * (L$1016:L$1039) ) * SUM(EF[CO2] * (EF[SATIM Code]= $D1163) )</f>
        <v>0</v>
      </c>
      <c r="M1163" s="1389">
        <f t="array" ref="M1163">SUM( ($E$1016:$E$1039=$E$1107) * ($A$1016:$A$1039=$A1163) * ($D$1016:$D$1039= $D1163) * (M$1016:M$1039) ) * SUM(EF[CO2] * (EF[SATIM Code]= $D1163) )</f>
        <v>0</v>
      </c>
      <c r="N1163" s="1389">
        <f t="array" ref="N1163">SUM( ($E$1016:$E$1039=$E$1107) * ($A$1016:$A$1039=$A1163) * ($D$1016:$D$1039= $D1163) * (N$1016:N$1039) ) * SUM(EF[CO2] * (EF[SATIM Code]= $D1163) )</f>
        <v>0</v>
      </c>
      <c r="O1163" s="1389">
        <f t="array" ref="O1163">SUM( ($E$1016:$E$1039=$E$1107) * ($A$1016:$A$1039=$A1163) * ($D$1016:$D$1039= $D1163) * (O$1016:O$1039) ) * SUM(EF[CO2] * (EF[SATIM Code]= $D1163) )</f>
        <v>0</v>
      </c>
    </row>
    <row r="1164" spans="1:15" s="19" customFormat="1" hidden="1" outlineLevel="1">
      <c r="A1164" s="19" t="str">
        <f t="shared" si="253"/>
        <v>FB</v>
      </c>
      <c r="B1164" s="1400" t="str">
        <f>INDEX(EF[UK Vector],MATCH(D1164,EF[SATIM Code],0))</f>
        <v>V.04</v>
      </c>
      <c r="C1164" s="1401" t="str">
        <f>INDEX(Vectors[Description], MATCH($B1164, Vectors[Code], 0))</f>
        <v>Liquid hydrocarbons</v>
      </c>
      <c r="D1164" s="1406" t="s">
        <v>885</v>
      </c>
      <c r="E1164" s="1393"/>
      <c r="F1164" s="1389">
        <f t="array" ref="F1164">SUM( ($E$1016:$E$1039=$E$1107) * ($A$1016:$A$1039=$A1164) * ($D$1016:$D$1039= $D1164) * (F$1016:F$1039) ) * SUM(EF[CO2] * (EF[SATIM Code]= $D1164) )</f>
        <v>0</v>
      </c>
      <c r="G1164" s="1389">
        <f t="array" ref="G1164">SUM( ($E$1016:$E$1039=$E$1107) * ($A$1016:$A$1039=$A1164) * ($D$1016:$D$1039= $D1164) * (G$1016:G$1039) ) * SUM(EF[CO2] * (EF[SATIM Code]= $D1164) )</f>
        <v>0</v>
      </c>
      <c r="H1164" s="1389">
        <f t="array" ref="H1164">SUM( ($E$1016:$E$1039=$E$1107) * ($A$1016:$A$1039=$A1164) * ($D$1016:$D$1039= $D1164) * (H$1016:H$1039) ) * SUM(EF[CO2] * (EF[SATIM Code]= $D1164) )</f>
        <v>0</v>
      </c>
      <c r="I1164" s="1389">
        <f t="array" ref="I1164">SUM( ($E$1016:$E$1039=$E$1107) * ($A$1016:$A$1039=$A1164) * ($D$1016:$D$1039= $D1164) * (I$1016:I$1039) ) * SUM(EF[CO2] * (EF[SATIM Code]= $D1164) )</f>
        <v>0</v>
      </c>
      <c r="J1164" s="1389">
        <f t="array" ref="J1164">SUM( ($E$1016:$E$1039=$E$1107) * ($A$1016:$A$1039=$A1164) * ($D$1016:$D$1039= $D1164) * (J$1016:J$1039) ) * SUM(EF[CO2] * (EF[SATIM Code]= $D1164) )</f>
        <v>0</v>
      </c>
      <c r="K1164" s="1389">
        <f t="array" ref="K1164">SUM( ($E$1016:$E$1039=$E$1107) * ($A$1016:$A$1039=$A1164) * ($D$1016:$D$1039= $D1164) * (K$1016:K$1039) ) * SUM(EF[CO2] * (EF[SATIM Code]= $D1164) )</f>
        <v>0</v>
      </c>
      <c r="L1164" s="1389">
        <f t="array" ref="L1164">SUM( ($E$1016:$E$1039=$E$1107) * ($A$1016:$A$1039=$A1164) * ($D$1016:$D$1039= $D1164) * (L$1016:L$1039) ) * SUM(EF[CO2] * (EF[SATIM Code]= $D1164) )</f>
        <v>0</v>
      </c>
      <c r="M1164" s="1389">
        <f t="array" ref="M1164">SUM( ($E$1016:$E$1039=$E$1107) * ($A$1016:$A$1039=$A1164) * ($D$1016:$D$1039= $D1164) * (M$1016:M$1039) ) * SUM(EF[CO2] * (EF[SATIM Code]= $D1164) )</f>
        <v>0</v>
      </c>
      <c r="N1164" s="1389">
        <f t="array" ref="N1164">SUM( ($E$1016:$E$1039=$E$1107) * ($A$1016:$A$1039=$A1164) * ($D$1016:$D$1039= $D1164) * (N$1016:N$1039) ) * SUM(EF[CO2] * (EF[SATIM Code]= $D1164) )</f>
        <v>0</v>
      </c>
      <c r="O1164" s="1389">
        <f t="array" ref="O1164">SUM( ($E$1016:$E$1039=$E$1107) * ($A$1016:$A$1039=$A1164) * ($D$1016:$D$1039= $D1164) * (O$1016:O$1039) ) * SUM(EF[CO2] * (EF[SATIM Code]= $D1164) )</f>
        <v>0</v>
      </c>
    </row>
    <row r="1165" spans="1:15" s="19" customFormat="1" hidden="1" outlineLevel="1">
      <c r="A1165" s="19" t="str">
        <f t="shared" si="253"/>
        <v>FB</v>
      </c>
      <c r="B1165" s="1400" t="str">
        <f>INDEX(EF[UK Vector],MATCH(D1165,EF[SATIM Code],0))</f>
        <v>V.04</v>
      </c>
      <c r="C1165" s="1401" t="str">
        <f>INDEX(Vectors[Description], MATCH($B1165, Vectors[Code], 0))</f>
        <v>Liquid hydrocarbons</v>
      </c>
      <c r="D1165" s="1391" t="s">
        <v>886</v>
      </c>
      <c r="E1165" s="1393"/>
      <c r="F1165" s="1389">
        <f t="array" ref="F1165">SUM( ($E$1016:$E$1039=$E$1107) * ($A$1016:$A$1039=$A1165) * ($D$1016:$D$1039= $D1165) * (F$1016:F$1039) ) * SUM(EF[CO2] * (EF[SATIM Code]= $D1165) )</f>
        <v>0</v>
      </c>
      <c r="G1165" s="1389">
        <f t="array" ref="G1165">SUM( ($E$1016:$E$1039=$E$1107) * ($A$1016:$A$1039=$A1165) * ($D$1016:$D$1039= $D1165) * (G$1016:G$1039) ) * SUM(EF[CO2] * (EF[SATIM Code]= $D1165) )</f>
        <v>0</v>
      </c>
      <c r="H1165" s="1389">
        <f t="array" ref="H1165">SUM( ($E$1016:$E$1039=$E$1107) * ($A$1016:$A$1039=$A1165) * ($D$1016:$D$1039= $D1165) * (H$1016:H$1039) ) * SUM(EF[CO2] * (EF[SATIM Code]= $D1165) )</f>
        <v>0</v>
      </c>
      <c r="I1165" s="1389">
        <f t="array" ref="I1165">SUM( ($E$1016:$E$1039=$E$1107) * ($A$1016:$A$1039=$A1165) * ($D$1016:$D$1039= $D1165) * (I$1016:I$1039) ) * SUM(EF[CO2] * (EF[SATIM Code]= $D1165) )</f>
        <v>0</v>
      </c>
      <c r="J1165" s="1389">
        <f t="array" ref="J1165">SUM( ($E$1016:$E$1039=$E$1107) * ($A$1016:$A$1039=$A1165) * ($D$1016:$D$1039= $D1165) * (J$1016:J$1039) ) * SUM(EF[CO2] * (EF[SATIM Code]= $D1165) )</f>
        <v>0</v>
      </c>
      <c r="K1165" s="1389">
        <f t="array" ref="K1165">SUM( ($E$1016:$E$1039=$E$1107) * ($A$1016:$A$1039=$A1165) * ($D$1016:$D$1039= $D1165) * (K$1016:K$1039) ) * SUM(EF[CO2] * (EF[SATIM Code]= $D1165) )</f>
        <v>0</v>
      </c>
      <c r="L1165" s="1389">
        <f t="array" ref="L1165">SUM( ($E$1016:$E$1039=$E$1107) * ($A$1016:$A$1039=$A1165) * ($D$1016:$D$1039= $D1165) * (L$1016:L$1039) ) * SUM(EF[CO2] * (EF[SATIM Code]= $D1165) )</f>
        <v>0</v>
      </c>
      <c r="M1165" s="1389">
        <f t="array" ref="M1165">SUM( ($E$1016:$E$1039=$E$1107) * ($A$1016:$A$1039=$A1165) * ($D$1016:$D$1039= $D1165) * (M$1016:M$1039) ) * SUM(EF[CO2] * (EF[SATIM Code]= $D1165) )</f>
        <v>0</v>
      </c>
      <c r="N1165" s="1389">
        <f t="array" ref="N1165">SUM( ($E$1016:$E$1039=$E$1107) * ($A$1016:$A$1039=$A1165) * ($D$1016:$D$1039= $D1165) * (N$1016:N$1039) ) * SUM(EF[CO2] * (EF[SATIM Code]= $D1165) )</f>
        <v>0</v>
      </c>
      <c r="O1165" s="1389">
        <f t="array" ref="O1165">SUM( ($E$1016:$E$1039=$E$1107) * ($A$1016:$A$1039=$A1165) * ($D$1016:$D$1039= $D1165) * (O$1016:O$1039) ) * SUM(EF[CO2] * (EF[SATIM Code]= $D1165) )</f>
        <v>0</v>
      </c>
    </row>
    <row r="1166" spans="1:15" s="19" customFormat="1" hidden="1" outlineLevel="1">
      <c r="A1166" s="19" t="str">
        <f t="shared" si="253"/>
        <v>FB</v>
      </c>
      <c r="B1166" s="1400" t="str">
        <f>INDEX(EF[UK Vector],MATCH(D1166,EF[SATIM Code],0))</f>
        <v>V.04</v>
      </c>
      <c r="C1166" s="1401" t="str">
        <f>INDEX(Vectors[Description], MATCH($B1166, Vectors[Code], 0))</f>
        <v>Liquid hydrocarbons</v>
      </c>
      <c r="D1166" s="1406" t="s">
        <v>887</v>
      </c>
      <c r="E1166" s="1393"/>
      <c r="F1166" s="1389">
        <f t="array" ref="F1166">SUM( ($E$1016:$E$1039=$E$1107) * ($A$1016:$A$1039=$A1166) * ($D$1016:$D$1039= $D1166) * (F$1016:F$1039) ) * SUM(EF[CO2] * (EF[SATIM Code]= $D1166) )</f>
        <v>0</v>
      </c>
      <c r="G1166" s="1389">
        <f t="array" ref="G1166">SUM( ($E$1016:$E$1039=$E$1107) * ($A$1016:$A$1039=$A1166) * ($D$1016:$D$1039= $D1166) * (G$1016:G$1039) ) * SUM(EF[CO2] * (EF[SATIM Code]= $D1166) )</f>
        <v>0</v>
      </c>
      <c r="H1166" s="1389">
        <f t="array" ref="H1166">SUM( ($E$1016:$E$1039=$E$1107) * ($A$1016:$A$1039=$A1166) * ($D$1016:$D$1039= $D1166) * (H$1016:H$1039) ) * SUM(EF[CO2] * (EF[SATIM Code]= $D1166) )</f>
        <v>0</v>
      </c>
      <c r="I1166" s="1389">
        <f t="array" ref="I1166">SUM( ($E$1016:$E$1039=$E$1107) * ($A$1016:$A$1039=$A1166) * ($D$1016:$D$1039= $D1166) * (I$1016:I$1039) ) * SUM(EF[CO2] * (EF[SATIM Code]= $D1166) )</f>
        <v>0</v>
      </c>
      <c r="J1166" s="1389">
        <f t="array" ref="J1166">SUM( ($E$1016:$E$1039=$E$1107) * ($A$1016:$A$1039=$A1166) * ($D$1016:$D$1039= $D1166) * (J$1016:J$1039) ) * SUM(EF[CO2] * (EF[SATIM Code]= $D1166) )</f>
        <v>0</v>
      </c>
      <c r="K1166" s="1389">
        <f t="array" ref="K1166">SUM( ($E$1016:$E$1039=$E$1107) * ($A$1016:$A$1039=$A1166) * ($D$1016:$D$1039= $D1166) * (K$1016:K$1039) ) * SUM(EF[CO2] * (EF[SATIM Code]= $D1166) )</f>
        <v>0</v>
      </c>
      <c r="L1166" s="1389">
        <f t="array" ref="L1166">SUM( ($E$1016:$E$1039=$E$1107) * ($A$1016:$A$1039=$A1166) * ($D$1016:$D$1039= $D1166) * (L$1016:L$1039) ) * SUM(EF[CO2] * (EF[SATIM Code]= $D1166) )</f>
        <v>0</v>
      </c>
      <c r="M1166" s="1389">
        <f t="array" ref="M1166">SUM( ($E$1016:$E$1039=$E$1107) * ($A$1016:$A$1039=$A1166) * ($D$1016:$D$1039= $D1166) * (M$1016:M$1039) ) * SUM(EF[CO2] * (EF[SATIM Code]= $D1166) )</f>
        <v>0</v>
      </c>
      <c r="N1166" s="1389">
        <f t="array" ref="N1166">SUM( ($E$1016:$E$1039=$E$1107) * ($A$1016:$A$1039=$A1166) * ($D$1016:$D$1039= $D1166) * (N$1016:N$1039) ) * SUM(EF[CO2] * (EF[SATIM Code]= $D1166) )</f>
        <v>0</v>
      </c>
      <c r="O1166" s="1389">
        <f t="array" ref="O1166">SUM( ($E$1016:$E$1039=$E$1107) * ($A$1016:$A$1039=$A1166) * ($D$1016:$D$1039= $D1166) * (O$1016:O$1039) ) * SUM(EF[CO2] * (EF[SATIM Code]= $D1166) )</f>
        <v>0</v>
      </c>
    </row>
    <row r="1167" spans="1:15" s="19" customFormat="1" hidden="1" outlineLevel="1">
      <c r="A1167" s="19" t="str">
        <f t="shared" si="253"/>
        <v>FB</v>
      </c>
      <c r="B1167" s="1400" t="str">
        <f>INDEX(EF[UK Vector],MATCH(D1167,EF[SATIM Code],0))</f>
        <v>V.09</v>
      </c>
      <c r="C1167" s="1401" t="str">
        <f>INDEX(Vectors[Description], MATCH($B1167, Vectors[Code], 0))</f>
        <v>Dry biomass and waste</v>
      </c>
      <c r="D1167" s="1406" t="s">
        <v>888</v>
      </c>
      <c r="E1167" s="1393"/>
      <c r="F1167" s="1389">
        <f t="array" ref="F1167">SUM( ($E$1016:$E$1039=$E$1107) * ($A$1016:$A$1039=$A1167) * ($D$1016:$D$1039= $D1167) * (F$1016:F$1039) ) * SUM(EF[CO2] * (EF[SATIM Code]= $D1167) )</f>
        <v>0</v>
      </c>
      <c r="G1167" s="1389">
        <f t="array" ref="G1167">SUM( ($E$1016:$E$1039=$E$1107) * ($A$1016:$A$1039=$A1167) * ($D$1016:$D$1039= $D1167) * (G$1016:G$1039) ) * SUM(EF[CO2] * (EF[SATIM Code]= $D1167) )</f>
        <v>0</v>
      </c>
      <c r="H1167" s="1389">
        <f t="array" ref="H1167">SUM( ($E$1016:$E$1039=$E$1107) * ($A$1016:$A$1039=$A1167) * ($D$1016:$D$1039= $D1167) * (H$1016:H$1039) ) * SUM(EF[CO2] * (EF[SATIM Code]= $D1167) )</f>
        <v>0</v>
      </c>
      <c r="I1167" s="1389">
        <f t="array" ref="I1167">SUM( ($E$1016:$E$1039=$E$1107) * ($A$1016:$A$1039=$A1167) * ($D$1016:$D$1039= $D1167) * (I$1016:I$1039) ) * SUM(EF[CO2] * (EF[SATIM Code]= $D1167) )</f>
        <v>0</v>
      </c>
      <c r="J1167" s="1389">
        <f t="array" ref="J1167">SUM( ($E$1016:$E$1039=$E$1107) * ($A$1016:$A$1039=$A1167) * ($D$1016:$D$1039= $D1167) * (J$1016:J$1039) ) * SUM(EF[CO2] * (EF[SATIM Code]= $D1167) )</f>
        <v>0</v>
      </c>
      <c r="K1167" s="1389">
        <f t="array" ref="K1167">SUM( ($E$1016:$E$1039=$E$1107) * ($A$1016:$A$1039=$A1167) * ($D$1016:$D$1039= $D1167) * (K$1016:K$1039) ) * SUM(EF[CO2] * (EF[SATIM Code]= $D1167) )</f>
        <v>0</v>
      </c>
      <c r="L1167" s="1389">
        <f t="array" ref="L1167">SUM( ($E$1016:$E$1039=$E$1107) * ($A$1016:$A$1039=$A1167) * ($D$1016:$D$1039= $D1167) * (L$1016:L$1039) ) * SUM(EF[CO2] * (EF[SATIM Code]= $D1167) )</f>
        <v>0</v>
      </c>
      <c r="M1167" s="1389">
        <f t="array" ref="M1167">SUM( ($E$1016:$E$1039=$E$1107) * ($A$1016:$A$1039=$A1167) * ($D$1016:$D$1039= $D1167) * (M$1016:M$1039) ) * SUM(EF[CO2] * (EF[SATIM Code]= $D1167) )</f>
        <v>0</v>
      </c>
      <c r="N1167" s="1389">
        <f t="array" ref="N1167">SUM( ($E$1016:$E$1039=$E$1107) * ($A$1016:$A$1039=$A1167) * ($D$1016:$D$1039= $D1167) * (N$1016:N$1039) ) * SUM(EF[CO2] * (EF[SATIM Code]= $D1167) )</f>
        <v>0</v>
      </c>
      <c r="O1167" s="1389">
        <f t="array" ref="O1167">SUM( ($E$1016:$E$1039=$E$1107) * ($A$1016:$A$1039=$A1167) * ($D$1016:$D$1039= $D1167) * (O$1016:O$1039) ) * SUM(EF[CO2] * (EF[SATIM Code]= $D1167) )</f>
        <v>0</v>
      </c>
    </row>
    <row r="1168" spans="1:15" s="19" customFormat="1" hidden="1" outlineLevel="1">
      <c r="A1168" s="19" t="str">
        <f t="shared" si="253"/>
        <v>FB</v>
      </c>
      <c r="B1168" s="1400" t="str">
        <f>INDEX(EF[UK Vector],MATCH(D1168,EF[SATIM Code],0))</f>
        <v>V.09</v>
      </c>
      <c r="C1168" s="1401" t="str">
        <f>INDEX(Vectors[Description], MATCH($B1168, Vectors[Code], 0))</f>
        <v>Dry biomass and waste</v>
      </c>
      <c r="D1168" s="1388" t="s">
        <v>889</v>
      </c>
      <c r="E1168" s="1393"/>
      <c r="F1168" s="1389">
        <f t="array" ref="F1168">SUM( ($E$1016:$E$1039=$E$1107) * ($A$1016:$A$1039=$A1168) * ($D$1016:$D$1039= $D1168) * (F$1016:F$1039) ) * SUM(EF[CO2] * (EF[SATIM Code]= $D1168) )</f>
        <v>0</v>
      </c>
      <c r="G1168" s="1389">
        <f t="array" ref="G1168">SUM( ($E$1016:$E$1039=$E$1107) * ($A$1016:$A$1039=$A1168) * ($D$1016:$D$1039= $D1168) * (G$1016:G$1039) ) * SUM(EF[CO2] * (EF[SATIM Code]= $D1168) )</f>
        <v>0</v>
      </c>
      <c r="H1168" s="1389">
        <f t="array" ref="H1168">SUM( ($E$1016:$E$1039=$E$1107) * ($A$1016:$A$1039=$A1168) * ($D$1016:$D$1039= $D1168) * (H$1016:H$1039) ) * SUM(EF[CO2] * (EF[SATIM Code]= $D1168) )</f>
        <v>0</v>
      </c>
      <c r="I1168" s="1389">
        <f t="array" ref="I1168">SUM( ($E$1016:$E$1039=$E$1107) * ($A$1016:$A$1039=$A1168) * ($D$1016:$D$1039= $D1168) * (I$1016:I$1039) ) * SUM(EF[CO2] * (EF[SATIM Code]= $D1168) )</f>
        <v>0</v>
      </c>
      <c r="J1168" s="1389">
        <f t="array" ref="J1168">SUM( ($E$1016:$E$1039=$E$1107) * ($A$1016:$A$1039=$A1168) * ($D$1016:$D$1039= $D1168) * (J$1016:J$1039) ) * SUM(EF[CO2] * (EF[SATIM Code]= $D1168) )</f>
        <v>0</v>
      </c>
      <c r="K1168" s="1389">
        <f t="array" ref="K1168">SUM( ($E$1016:$E$1039=$E$1107) * ($A$1016:$A$1039=$A1168) * ($D$1016:$D$1039= $D1168) * (K$1016:K$1039) ) * SUM(EF[CO2] * (EF[SATIM Code]= $D1168) )</f>
        <v>0</v>
      </c>
      <c r="L1168" s="1389">
        <f t="array" ref="L1168">SUM( ($E$1016:$E$1039=$E$1107) * ($A$1016:$A$1039=$A1168) * ($D$1016:$D$1039= $D1168) * (L$1016:L$1039) ) * SUM(EF[CO2] * (EF[SATIM Code]= $D1168) )</f>
        <v>0</v>
      </c>
      <c r="M1168" s="1389">
        <f t="array" ref="M1168">SUM( ($E$1016:$E$1039=$E$1107) * ($A$1016:$A$1039=$A1168) * ($D$1016:$D$1039= $D1168) * (M$1016:M$1039) ) * SUM(EF[CO2] * (EF[SATIM Code]= $D1168) )</f>
        <v>0</v>
      </c>
      <c r="N1168" s="1389">
        <f t="array" ref="N1168">SUM( ($E$1016:$E$1039=$E$1107) * ($A$1016:$A$1039=$A1168) * ($D$1016:$D$1039= $D1168) * (N$1016:N$1039) ) * SUM(EF[CO2] * (EF[SATIM Code]= $D1168) )</f>
        <v>0</v>
      </c>
      <c r="O1168" s="1389">
        <f t="array" ref="O1168">SUM( ($E$1016:$E$1039=$E$1107) * ($A$1016:$A$1039=$A1168) * ($D$1016:$D$1039= $D1168) * (O$1016:O$1039) ) * SUM(EF[CO2] * (EF[SATIM Code]= $D1168) )</f>
        <v>0</v>
      </c>
    </row>
    <row r="1169" spans="1:15" s="19" customFormat="1" hidden="1" outlineLevel="1">
      <c r="A1169" s="19" t="str">
        <f t="shared" si="253"/>
        <v>FB</v>
      </c>
      <c r="B1169" s="1400" t="str">
        <f>INDEX(EF[UK Vector],MATCH(D1169,EF[SATIM Code],0))</f>
        <v>V.16</v>
      </c>
      <c r="C1169" s="1401" t="str">
        <f>INDEX(Vectors[Description], MATCH($B1169, Vectors[Code], 0))</f>
        <v>Other Waste</v>
      </c>
      <c r="D1169" s="1408" t="s">
        <v>890</v>
      </c>
      <c r="E1169" s="1393"/>
      <c r="F1169" s="1389">
        <f t="array" ref="F1169">SUM( ($E$1016:$E$1039=$E$1107) * ($A$1016:$A$1039=$A1169) * ($D$1016:$D$1039= $D1169) * (F$1016:F$1039) ) * SUM(EF[CO2] * (EF[SATIM Code]= $D1169) )</f>
        <v>0</v>
      </c>
      <c r="G1169" s="1389">
        <f t="array" ref="G1169">SUM( ($E$1016:$E$1039=$E$1107) * ($A$1016:$A$1039=$A1169) * ($D$1016:$D$1039= $D1169) * (G$1016:G$1039) ) * SUM(EF[CO2] * (EF[SATIM Code]= $D1169) )</f>
        <v>0</v>
      </c>
      <c r="H1169" s="1389">
        <f t="array" ref="H1169">SUM( ($E$1016:$E$1039=$E$1107) * ($A$1016:$A$1039=$A1169) * ($D$1016:$D$1039= $D1169) * (H$1016:H$1039) ) * SUM(EF[CO2] * (EF[SATIM Code]= $D1169) )</f>
        <v>0</v>
      </c>
      <c r="I1169" s="1389">
        <f t="array" ref="I1169">SUM( ($E$1016:$E$1039=$E$1107) * ($A$1016:$A$1039=$A1169) * ($D$1016:$D$1039= $D1169) * (I$1016:I$1039) ) * SUM(EF[CO2] * (EF[SATIM Code]= $D1169) )</f>
        <v>0</v>
      </c>
      <c r="J1169" s="1389">
        <f t="array" ref="J1169">SUM( ($E$1016:$E$1039=$E$1107) * ($A$1016:$A$1039=$A1169) * ($D$1016:$D$1039= $D1169) * (J$1016:J$1039) ) * SUM(EF[CO2] * (EF[SATIM Code]= $D1169) )</f>
        <v>0</v>
      </c>
      <c r="K1169" s="1389">
        <f t="array" ref="K1169">SUM( ($E$1016:$E$1039=$E$1107) * ($A$1016:$A$1039=$A1169) * ($D$1016:$D$1039= $D1169) * (K$1016:K$1039) ) * SUM(EF[CO2] * (EF[SATIM Code]= $D1169) )</f>
        <v>0</v>
      </c>
      <c r="L1169" s="1389">
        <f t="array" ref="L1169">SUM( ($E$1016:$E$1039=$E$1107) * ($A$1016:$A$1039=$A1169) * ($D$1016:$D$1039= $D1169) * (L$1016:L$1039) ) * SUM(EF[CO2] * (EF[SATIM Code]= $D1169) )</f>
        <v>0</v>
      </c>
      <c r="M1169" s="1389">
        <f t="array" ref="M1169">SUM( ($E$1016:$E$1039=$E$1107) * ($A$1016:$A$1039=$A1169) * ($D$1016:$D$1039= $D1169) * (M$1016:M$1039) ) * SUM(EF[CO2] * (EF[SATIM Code]= $D1169) )</f>
        <v>0</v>
      </c>
      <c r="N1169" s="1389">
        <f t="array" ref="N1169">SUM( ($E$1016:$E$1039=$E$1107) * ($A$1016:$A$1039=$A1169) * ($D$1016:$D$1039= $D1169) * (N$1016:N$1039) ) * SUM(EF[CO2] * (EF[SATIM Code]= $D1169) )</f>
        <v>0</v>
      </c>
      <c r="O1169" s="1389">
        <f t="array" ref="O1169">SUM( ($E$1016:$E$1039=$E$1107) * ($A$1016:$A$1039=$A1169) * ($D$1016:$D$1039= $D1169) * (O$1016:O$1039) ) * SUM(EF[CO2] * (EF[SATIM Code]= $D1169) )</f>
        <v>0</v>
      </c>
    </row>
    <row r="1170" spans="1:15" s="19" customFormat="1" hidden="1" outlineLevel="1">
      <c r="B1170" s="1393"/>
      <c r="C1170" s="1392" t="str">
        <f>D26</f>
        <v>Pulp &amp; Paper Products  -323</v>
      </c>
      <c r="D1170" s="1391"/>
      <c r="E1170" s="1393"/>
      <c r="F1170" s="1389">
        <f t="array" ref="F1170">SUM( ($E$1016:$E$1039=$E$1107) * ($A$1016:$A$1039=$A1170) * ($D$1016:$D$1039= $D1170) * (F$1016:F$1039) ) * SUM(EF[CO2] * (EF[SATIM Code]= $D1170) )</f>
        <v>0</v>
      </c>
      <c r="G1170" s="1389">
        <f t="array" ref="G1170">SUM( ($E$1016:$E$1039=$E$1107) * ($A$1016:$A$1039=$A1170) * ($D$1016:$D$1039= $D1170) * (G$1016:G$1039) ) * SUM(EF[CO2] * (EF[SATIM Code]= $D1170) )</f>
        <v>0</v>
      </c>
      <c r="H1170" s="1389">
        <f t="array" ref="H1170">SUM( ($E$1016:$E$1039=$E$1107) * ($A$1016:$A$1039=$A1170) * ($D$1016:$D$1039= $D1170) * (H$1016:H$1039) ) * SUM(EF[CO2] * (EF[SATIM Code]= $D1170) )</f>
        <v>0</v>
      </c>
      <c r="I1170" s="1389">
        <f t="array" ref="I1170">SUM( ($E$1016:$E$1039=$E$1107) * ($A$1016:$A$1039=$A1170) * ($D$1016:$D$1039= $D1170) * (I$1016:I$1039) ) * SUM(EF[CO2] * (EF[SATIM Code]= $D1170) )</f>
        <v>0</v>
      </c>
      <c r="J1170" s="1389">
        <f t="array" ref="J1170">SUM( ($E$1016:$E$1039=$E$1107) * ($A$1016:$A$1039=$A1170) * ($D$1016:$D$1039= $D1170) * (J$1016:J$1039) ) * SUM(EF[CO2] * (EF[SATIM Code]= $D1170) )</f>
        <v>0</v>
      </c>
      <c r="K1170" s="1389">
        <f t="array" ref="K1170">SUM( ($E$1016:$E$1039=$E$1107) * ($A$1016:$A$1039=$A1170) * ($D$1016:$D$1039= $D1170) * (K$1016:K$1039) ) * SUM(EF[CO2] * (EF[SATIM Code]= $D1170) )</f>
        <v>0</v>
      </c>
      <c r="L1170" s="1389">
        <f t="array" ref="L1170">SUM( ($E$1016:$E$1039=$E$1107) * ($A$1016:$A$1039=$A1170) * ($D$1016:$D$1039= $D1170) * (L$1016:L$1039) ) * SUM(EF[CO2] * (EF[SATIM Code]= $D1170) )</f>
        <v>0</v>
      </c>
      <c r="M1170" s="1389">
        <f t="array" ref="M1170">SUM( ($E$1016:$E$1039=$E$1107) * ($A$1016:$A$1039=$A1170) * ($D$1016:$D$1039= $D1170) * (M$1016:M$1039) ) * SUM(EF[CO2] * (EF[SATIM Code]= $D1170) )</f>
        <v>0</v>
      </c>
      <c r="N1170" s="1389">
        <f t="array" ref="N1170">SUM( ($E$1016:$E$1039=$E$1107) * ($A$1016:$A$1039=$A1170) * ($D$1016:$D$1039= $D1170) * (N$1016:N$1039) ) * SUM(EF[CO2] * (EF[SATIM Code]= $D1170) )</f>
        <v>0</v>
      </c>
      <c r="O1170" s="1389">
        <f t="array" ref="O1170">SUM( ($E$1016:$E$1039=$E$1107) * ($A$1016:$A$1039=$A1170) * ($D$1016:$D$1039= $D1170) * (O$1016:O$1039) ) * SUM(EF[CO2] * (EF[SATIM Code]= $D1170) )</f>
        <v>0</v>
      </c>
    </row>
    <row r="1171" spans="1:15" s="19" customFormat="1" hidden="1" outlineLevel="1">
      <c r="A1171" s="1438" t="str">
        <f>INDEX($C$20:$C$27,MATCH($C1170,$D$20:$D$27,0))</f>
        <v>PP</v>
      </c>
      <c r="B1171" s="1400" t="str">
        <f>INDEX(EF[UK Vector],MATCH(D1171,EF[SATIM Code],0))</f>
        <v>V.03</v>
      </c>
      <c r="C1171" s="1401" t="str">
        <f>INDEX(Vectors[Description], MATCH($B1171, Vectors[Code], 0))</f>
        <v>Solid hydrocarbons</v>
      </c>
      <c r="D1171" s="1391" t="s">
        <v>882</v>
      </c>
      <c r="E1171" s="1393"/>
      <c r="F1171" s="1389">
        <f t="array" ref="F1171">SUM( ($E$1016:$E$1039=$E$1107) * ($A$1016:$A$1039=$A1171) * ($D$1016:$D$1039= $D1171) * (F$1016:F$1039) ) * SUM(EF[CO2] * (EF[SATIM Code]= $D1171) )</f>
        <v>0</v>
      </c>
      <c r="G1171" s="1389">
        <f t="array" ref="G1171">SUM( ($E$1016:$E$1039=$E$1107) * ($A$1016:$A$1039=$A1171) * ($D$1016:$D$1039= $D1171) * (G$1016:G$1039) ) * SUM(EF[CO2] * (EF[SATIM Code]= $D1171) )</f>
        <v>0</v>
      </c>
      <c r="H1171" s="1389">
        <f t="array" ref="H1171">SUM( ($E$1016:$E$1039=$E$1107) * ($A$1016:$A$1039=$A1171) * ($D$1016:$D$1039= $D1171) * (H$1016:H$1039) ) * SUM(EF[CO2] * (EF[SATIM Code]= $D1171) )</f>
        <v>0</v>
      </c>
      <c r="I1171" s="1389">
        <f t="array" ref="I1171">SUM( ($E$1016:$E$1039=$E$1107) * ($A$1016:$A$1039=$A1171) * ($D$1016:$D$1039= $D1171) * (I$1016:I$1039) ) * SUM(EF[CO2] * (EF[SATIM Code]= $D1171) )</f>
        <v>0</v>
      </c>
      <c r="J1171" s="1389">
        <f t="array" ref="J1171">SUM( ($E$1016:$E$1039=$E$1107) * ($A$1016:$A$1039=$A1171) * ($D$1016:$D$1039= $D1171) * (J$1016:J$1039) ) * SUM(EF[CO2] * (EF[SATIM Code]= $D1171) )</f>
        <v>0</v>
      </c>
      <c r="K1171" s="1389">
        <f t="array" ref="K1171">SUM( ($E$1016:$E$1039=$E$1107) * ($A$1016:$A$1039=$A1171) * ($D$1016:$D$1039= $D1171) * (K$1016:K$1039) ) * SUM(EF[CO2] * (EF[SATIM Code]= $D1171) )</f>
        <v>0</v>
      </c>
      <c r="L1171" s="1389">
        <f t="array" ref="L1171">SUM( ($E$1016:$E$1039=$E$1107) * ($A$1016:$A$1039=$A1171) * ($D$1016:$D$1039= $D1171) * (L$1016:L$1039) ) * SUM(EF[CO2] * (EF[SATIM Code]= $D1171) )</f>
        <v>0</v>
      </c>
      <c r="M1171" s="1389">
        <f t="array" ref="M1171">SUM( ($E$1016:$E$1039=$E$1107) * ($A$1016:$A$1039=$A1171) * ($D$1016:$D$1039= $D1171) * (M$1016:M$1039) ) * SUM(EF[CO2] * (EF[SATIM Code]= $D1171) )</f>
        <v>0</v>
      </c>
      <c r="N1171" s="1389">
        <f t="array" ref="N1171">SUM( ($E$1016:$E$1039=$E$1107) * ($A$1016:$A$1039=$A1171) * ($D$1016:$D$1039= $D1171) * (N$1016:N$1039) ) * SUM(EF[CO2] * (EF[SATIM Code]= $D1171) )</f>
        <v>0</v>
      </c>
      <c r="O1171" s="1389">
        <f t="array" ref="O1171">SUM( ($E$1016:$E$1039=$E$1107) * ($A$1016:$A$1039=$A1171) * ($D$1016:$D$1039= $D1171) * (O$1016:O$1039) ) * SUM(EF[CO2] * (EF[SATIM Code]= $D1171) )</f>
        <v>0</v>
      </c>
    </row>
    <row r="1172" spans="1:15" s="19" customFormat="1" hidden="1" outlineLevel="1">
      <c r="A1172" s="19" t="str">
        <f t="shared" ref="A1172:A1179" si="254">A1171</f>
        <v>PP</v>
      </c>
      <c r="B1172" s="1400" t="str">
        <f>INDEX(EF[UK Vector],MATCH(D1172,EF[SATIM Code],0))</f>
        <v>V.03</v>
      </c>
      <c r="C1172" s="1401" t="str">
        <f>INDEX(Vectors[Description], MATCH($B1172, Vectors[Code], 0))</f>
        <v>Solid hydrocarbons</v>
      </c>
      <c r="D1172" s="1391" t="s">
        <v>883</v>
      </c>
      <c r="E1172" s="1393"/>
      <c r="F1172" s="1389">
        <f t="array" ref="F1172">SUM( ($E$1016:$E$1039=$E$1107) * ($A$1016:$A$1039=$A1172) * ($D$1016:$D$1039= $D1172) * (F$1016:F$1039) ) * SUM(EF[CO2] * (EF[SATIM Code]= $D1172) )</f>
        <v>0</v>
      </c>
      <c r="G1172" s="1389">
        <f t="array" ref="G1172">SUM( ($E$1016:$E$1039=$E$1107) * ($A$1016:$A$1039=$A1172) * ($D$1016:$D$1039= $D1172) * (G$1016:G$1039) ) * SUM(EF[CO2] * (EF[SATIM Code]= $D1172) )</f>
        <v>0</v>
      </c>
      <c r="H1172" s="1389">
        <f t="array" ref="H1172">SUM( ($E$1016:$E$1039=$E$1107) * ($A$1016:$A$1039=$A1172) * ($D$1016:$D$1039= $D1172) * (H$1016:H$1039) ) * SUM(EF[CO2] * (EF[SATIM Code]= $D1172) )</f>
        <v>0</v>
      </c>
      <c r="I1172" s="1389">
        <f t="array" ref="I1172">SUM( ($E$1016:$E$1039=$E$1107) * ($A$1016:$A$1039=$A1172) * ($D$1016:$D$1039= $D1172) * (I$1016:I$1039) ) * SUM(EF[CO2] * (EF[SATIM Code]= $D1172) )</f>
        <v>0</v>
      </c>
      <c r="J1172" s="1389">
        <f t="array" ref="J1172">SUM( ($E$1016:$E$1039=$E$1107) * ($A$1016:$A$1039=$A1172) * ($D$1016:$D$1039= $D1172) * (J$1016:J$1039) ) * SUM(EF[CO2] * (EF[SATIM Code]= $D1172) )</f>
        <v>0</v>
      </c>
      <c r="K1172" s="1389">
        <f t="array" ref="K1172">SUM( ($E$1016:$E$1039=$E$1107) * ($A$1016:$A$1039=$A1172) * ($D$1016:$D$1039= $D1172) * (K$1016:K$1039) ) * SUM(EF[CO2] * (EF[SATIM Code]= $D1172) )</f>
        <v>0</v>
      </c>
      <c r="L1172" s="1389">
        <f t="array" ref="L1172">SUM( ($E$1016:$E$1039=$E$1107) * ($A$1016:$A$1039=$A1172) * ($D$1016:$D$1039= $D1172) * (L$1016:L$1039) ) * SUM(EF[CO2] * (EF[SATIM Code]= $D1172) )</f>
        <v>0</v>
      </c>
      <c r="M1172" s="1389">
        <f t="array" ref="M1172">SUM( ($E$1016:$E$1039=$E$1107) * ($A$1016:$A$1039=$A1172) * ($D$1016:$D$1039= $D1172) * (M$1016:M$1039) ) * SUM(EF[CO2] * (EF[SATIM Code]= $D1172) )</f>
        <v>0</v>
      </c>
      <c r="N1172" s="1389">
        <f t="array" ref="N1172">SUM( ($E$1016:$E$1039=$E$1107) * ($A$1016:$A$1039=$A1172) * ($D$1016:$D$1039= $D1172) * (N$1016:N$1039) ) * SUM(EF[CO2] * (EF[SATIM Code]= $D1172) )</f>
        <v>0</v>
      </c>
      <c r="O1172" s="1389">
        <f t="array" ref="O1172">SUM( ($E$1016:$E$1039=$E$1107) * ($A$1016:$A$1039=$A1172) * ($D$1016:$D$1039= $D1172) * (O$1016:O$1039) ) * SUM(EF[CO2] * (EF[SATIM Code]= $D1172) )</f>
        <v>0</v>
      </c>
    </row>
    <row r="1173" spans="1:15" s="19" customFormat="1" hidden="1" outlineLevel="1">
      <c r="A1173" s="19" t="str">
        <f t="shared" si="254"/>
        <v>PP</v>
      </c>
      <c r="B1173" s="1400" t="str">
        <f>INDEX(EF[UK Vector],MATCH(D1173,EF[SATIM Code],0))</f>
        <v>V.05</v>
      </c>
      <c r="C1173" s="1401" t="str">
        <f>INDEX(Vectors[Description], MATCH($B1173, Vectors[Code], 0))</f>
        <v>Gaseous hydrocarbons</v>
      </c>
      <c r="D1173" s="1406" t="s">
        <v>869</v>
      </c>
      <c r="E1173" s="1393"/>
      <c r="F1173" s="1389">
        <f t="array" ref="F1173">SUM( ($E$1016:$E$1039=$E$1107) * ($A$1016:$A$1039=$A1173) * ($D$1016:$D$1039= $D1173) * (F$1016:F$1039) ) * SUM(EF[CO2] * (EF[SATIM Code]= $D1173) )</f>
        <v>0</v>
      </c>
      <c r="G1173" s="1389">
        <f t="array" ref="G1173">SUM( ($E$1016:$E$1039=$E$1107) * ($A$1016:$A$1039=$A1173) * ($D$1016:$D$1039= $D1173) * (G$1016:G$1039) ) * SUM(EF[CO2] * (EF[SATIM Code]= $D1173) )</f>
        <v>0</v>
      </c>
      <c r="H1173" s="1389">
        <f t="array" ref="H1173">SUM( ($E$1016:$E$1039=$E$1107) * ($A$1016:$A$1039=$A1173) * ($D$1016:$D$1039= $D1173) * (H$1016:H$1039) ) * SUM(EF[CO2] * (EF[SATIM Code]= $D1173) )</f>
        <v>0</v>
      </c>
      <c r="I1173" s="1389">
        <f t="array" ref="I1173">SUM( ($E$1016:$E$1039=$E$1107) * ($A$1016:$A$1039=$A1173) * ($D$1016:$D$1039= $D1173) * (I$1016:I$1039) ) * SUM(EF[CO2] * (EF[SATIM Code]= $D1173) )</f>
        <v>0</v>
      </c>
      <c r="J1173" s="1389">
        <f t="array" ref="J1173">SUM( ($E$1016:$E$1039=$E$1107) * ($A$1016:$A$1039=$A1173) * ($D$1016:$D$1039= $D1173) * (J$1016:J$1039) ) * SUM(EF[CO2] * (EF[SATIM Code]= $D1173) )</f>
        <v>0</v>
      </c>
      <c r="K1173" s="1389">
        <f t="array" ref="K1173">SUM( ($E$1016:$E$1039=$E$1107) * ($A$1016:$A$1039=$A1173) * ($D$1016:$D$1039= $D1173) * (K$1016:K$1039) ) * SUM(EF[CO2] * (EF[SATIM Code]= $D1173) )</f>
        <v>0</v>
      </c>
      <c r="L1173" s="1389">
        <f t="array" ref="L1173">SUM( ($E$1016:$E$1039=$E$1107) * ($A$1016:$A$1039=$A1173) * ($D$1016:$D$1039= $D1173) * (L$1016:L$1039) ) * SUM(EF[CO2] * (EF[SATIM Code]= $D1173) )</f>
        <v>0</v>
      </c>
      <c r="M1173" s="1389">
        <f t="array" ref="M1173">SUM( ($E$1016:$E$1039=$E$1107) * ($A$1016:$A$1039=$A1173) * ($D$1016:$D$1039= $D1173) * (M$1016:M$1039) ) * SUM(EF[CO2] * (EF[SATIM Code]= $D1173) )</f>
        <v>0</v>
      </c>
      <c r="N1173" s="1389">
        <f t="array" ref="N1173">SUM( ($E$1016:$E$1039=$E$1107) * ($A$1016:$A$1039=$A1173) * ($D$1016:$D$1039= $D1173) * (N$1016:N$1039) ) * SUM(EF[CO2] * (EF[SATIM Code]= $D1173) )</f>
        <v>0</v>
      </c>
      <c r="O1173" s="1389">
        <f t="array" ref="O1173">SUM( ($E$1016:$E$1039=$E$1107) * ($A$1016:$A$1039=$A1173) * ($D$1016:$D$1039= $D1173) * (O$1016:O$1039) ) * SUM(EF[CO2] * (EF[SATIM Code]= $D1173) )</f>
        <v>0</v>
      </c>
    </row>
    <row r="1174" spans="1:15" s="19" customFormat="1" hidden="1" outlineLevel="1">
      <c r="A1174" s="19" t="str">
        <f t="shared" si="254"/>
        <v>PP</v>
      </c>
      <c r="B1174" s="1400" t="str">
        <f>INDEX(EF[UK Vector],MATCH(D1174,EF[SATIM Code],0))</f>
        <v>V.04</v>
      </c>
      <c r="C1174" s="1401" t="str">
        <f>INDEX(Vectors[Description], MATCH($B1174, Vectors[Code], 0))</f>
        <v>Liquid hydrocarbons</v>
      </c>
      <c r="D1174" s="1406" t="s">
        <v>885</v>
      </c>
      <c r="E1174" s="1393"/>
      <c r="F1174" s="1389">
        <f t="array" ref="F1174">SUM( ($E$1016:$E$1039=$E$1107) * ($A$1016:$A$1039=$A1174) * ($D$1016:$D$1039= $D1174) * (F$1016:F$1039) ) * SUM(EF[CO2] * (EF[SATIM Code]= $D1174) )</f>
        <v>0</v>
      </c>
      <c r="G1174" s="1389">
        <f t="array" ref="G1174">SUM( ($E$1016:$E$1039=$E$1107) * ($A$1016:$A$1039=$A1174) * ($D$1016:$D$1039= $D1174) * (G$1016:G$1039) ) * SUM(EF[CO2] * (EF[SATIM Code]= $D1174) )</f>
        <v>0</v>
      </c>
      <c r="H1174" s="1389">
        <f t="array" ref="H1174">SUM( ($E$1016:$E$1039=$E$1107) * ($A$1016:$A$1039=$A1174) * ($D$1016:$D$1039= $D1174) * (H$1016:H$1039) ) * SUM(EF[CO2] * (EF[SATIM Code]= $D1174) )</f>
        <v>0</v>
      </c>
      <c r="I1174" s="1389">
        <f t="array" ref="I1174">SUM( ($E$1016:$E$1039=$E$1107) * ($A$1016:$A$1039=$A1174) * ($D$1016:$D$1039= $D1174) * (I$1016:I$1039) ) * SUM(EF[CO2] * (EF[SATIM Code]= $D1174) )</f>
        <v>0</v>
      </c>
      <c r="J1174" s="1389">
        <f t="array" ref="J1174">SUM( ($E$1016:$E$1039=$E$1107) * ($A$1016:$A$1039=$A1174) * ($D$1016:$D$1039= $D1174) * (J$1016:J$1039) ) * SUM(EF[CO2] * (EF[SATIM Code]= $D1174) )</f>
        <v>0</v>
      </c>
      <c r="K1174" s="1389">
        <f t="array" ref="K1174">SUM( ($E$1016:$E$1039=$E$1107) * ($A$1016:$A$1039=$A1174) * ($D$1016:$D$1039= $D1174) * (K$1016:K$1039) ) * SUM(EF[CO2] * (EF[SATIM Code]= $D1174) )</f>
        <v>0</v>
      </c>
      <c r="L1174" s="1389">
        <f t="array" ref="L1174">SUM( ($E$1016:$E$1039=$E$1107) * ($A$1016:$A$1039=$A1174) * ($D$1016:$D$1039= $D1174) * (L$1016:L$1039) ) * SUM(EF[CO2] * (EF[SATIM Code]= $D1174) )</f>
        <v>0</v>
      </c>
      <c r="M1174" s="1389">
        <f t="array" ref="M1174">SUM( ($E$1016:$E$1039=$E$1107) * ($A$1016:$A$1039=$A1174) * ($D$1016:$D$1039= $D1174) * (M$1016:M$1039) ) * SUM(EF[CO2] * (EF[SATIM Code]= $D1174) )</f>
        <v>0</v>
      </c>
      <c r="N1174" s="1389">
        <f t="array" ref="N1174">SUM( ($E$1016:$E$1039=$E$1107) * ($A$1016:$A$1039=$A1174) * ($D$1016:$D$1039= $D1174) * (N$1016:N$1039) ) * SUM(EF[CO2] * (EF[SATIM Code]= $D1174) )</f>
        <v>0</v>
      </c>
      <c r="O1174" s="1389">
        <f t="array" ref="O1174">SUM( ($E$1016:$E$1039=$E$1107) * ($A$1016:$A$1039=$A1174) * ($D$1016:$D$1039= $D1174) * (O$1016:O$1039) ) * SUM(EF[CO2] * (EF[SATIM Code]= $D1174) )</f>
        <v>0</v>
      </c>
    </row>
    <row r="1175" spans="1:15" s="19" customFormat="1" hidden="1" outlineLevel="1">
      <c r="A1175" s="19" t="str">
        <f t="shared" si="254"/>
        <v>PP</v>
      </c>
      <c r="B1175" s="1400" t="str">
        <f>INDEX(EF[UK Vector],MATCH(D1175,EF[SATIM Code],0))</f>
        <v>V.04</v>
      </c>
      <c r="C1175" s="1401" t="str">
        <f>INDEX(Vectors[Description], MATCH($B1175, Vectors[Code], 0))</f>
        <v>Liquid hydrocarbons</v>
      </c>
      <c r="D1175" s="1391" t="s">
        <v>886</v>
      </c>
      <c r="E1175" s="1393"/>
      <c r="F1175" s="1389">
        <f t="array" ref="F1175">SUM( ($E$1016:$E$1039=$E$1107) * ($A$1016:$A$1039=$A1175) * ($D$1016:$D$1039= $D1175) * (F$1016:F$1039) ) * SUM(EF[CO2] * (EF[SATIM Code]= $D1175) )</f>
        <v>0</v>
      </c>
      <c r="G1175" s="1389">
        <f t="array" ref="G1175">SUM( ($E$1016:$E$1039=$E$1107) * ($A$1016:$A$1039=$A1175) * ($D$1016:$D$1039= $D1175) * (G$1016:G$1039) ) * SUM(EF[CO2] * (EF[SATIM Code]= $D1175) )</f>
        <v>0</v>
      </c>
      <c r="H1175" s="1389">
        <f t="array" ref="H1175">SUM( ($E$1016:$E$1039=$E$1107) * ($A$1016:$A$1039=$A1175) * ($D$1016:$D$1039= $D1175) * (H$1016:H$1039) ) * SUM(EF[CO2] * (EF[SATIM Code]= $D1175) )</f>
        <v>0</v>
      </c>
      <c r="I1175" s="1389">
        <f t="array" ref="I1175">SUM( ($E$1016:$E$1039=$E$1107) * ($A$1016:$A$1039=$A1175) * ($D$1016:$D$1039= $D1175) * (I$1016:I$1039) ) * SUM(EF[CO2] * (EF[SATIM Code]= $D1175) )</f>
        <v>0</v>
      </c>
      <c r="J1175" s="1389">
        <f t="array" ref="J1175">SUM( ($E$1016:$E$1039=$E$1107) * ($A$1016:$A$1039=$A1175) * ($D$1016:$D$1039= $D1175) * (J$1016:J$1039) ) * SUM(EF[CO2] * (EF[SATIM Code]= $D1175) )</f>
        <v>0</v>
      </c>
      <c r="K1175" s="1389">
        <f t="array" ref="K1175">SUM( ($E$1016:$E$1039=$E$1107) * ($A$1016:$A$1039=$A1175) * ($D$1016:$D$1039= $D1175) * (K$1016:K$1039) ) * SUM(EF[CO2] * (EF[SATIM Code]= $D1175) )</f>
        <v>0</v>
      </c>
      <c r="L1175" s="1389">
        <f t="array" ref="L1175">SUM( ($E$1016:$E$1039=$E$1107) * ($A$1016:$A$1039=$A1175) * ($D$1016:$D$1039= $D1175) * (L$1016:L$1039) ) * SUM(EF[CO2] * (EF[SATIM Code]= $D1175) )</f>
        <v>0</v>
      </c>
      <c r="M1175" s="1389">
        <f t="array" ref="M1175">SUM( ($E$1016:$E$1039=$E$1107) * ($A$1016:$A$1039=$A1175) * ($D$1016:$D$1039= $D1175) * (M$1016:M$1039) ) * SUM(EF[CO2] * (EF[SATIM Code]= $D1175) )</f>
        <v>0</v>
      </c>
      <c r="N1175" s="1389">
        <f t="array" ref="N1175">SUM( ($E$1016:$E$1039=$E$1107) * ($A$1016:$A$1039=$A1175) * ($D$1016:$D$1039= $D1175) * (N$1016:N$1039) ) * SUM(EF[CO2] * (EF[SATIM Code]= $D1175) )</f>
        <v>0</v>
      </c>
      <c r="O1175" s="1389">
        <f t="array" ref="O1175">SUM( ($E$1016:$E$1039=$E$1107) * ($A$1016:$A$1039=$A1175) * ($D$1016:$D$1039= $D1175) * (O$1016:O$1039) ) * SUM(EF[CO2] * (EF[SATIM Code]= $D1175) )</f>
        <v>0</v>
      </c>
    </row>
    <row r="1176" spans="1:15" s="19" customFormat="1" hidden="1" outlineLevel="1">
      <c r="A1176" s="19" t="str">
        <f t="shared" si="254"/>
        <v>PP</v>
      </c>
      <c r="B1176" s="1400" t="str">
        <f>INDEX(EF[UK Vector],MATCH(D1176,EF[SATIM Code],0))</f>
        <v>V.04</v>
      </c>
      <c r="C1176" s="1401" t="str">
        <f>INDEX(Vectors[Description], MATCH($B1176, Vectors[Code], 0))</f>
        <v>Liquid hydrocarbons</v>
      </c>
      <c r="D1176" s="1406" t="s">
        <v>887</v>
      </c>
      <c r="E1176" s="1393"/>
      <c r="F1176" s="1389">
        <f t="array" ref="F1176">SUM( ($E$1016:$E$1039=$E$1107) * ($A$1016:$A$1039=$A1176) * ($D$1016:$D$1039= $D1176) * (F$1016:F$1039) ) * SUM(EF[CO2] * (EF[SATIM Code]= $D1176) )</f>
        <v>0</v>
      </c>
      <c r="G1176" s="1389">
        <f t="array" ref="G1176">SUM( ($E$1016:$E$1039=$E$1107) * ($A$1016:$A$1039=$A1176) * ($D$1016:$D$1039= $D1176) * (G$1016:G$1039) ) * SUM(EF[CO2] * (EF[SATIM Code]= $D1176) )</f>
        <v>0</v>
      </c>
      <c r="H1176" s="1389">
        <f t="array" ref="H1176">SUM( ($E$1016:$E$1039=$E$1107) * ($A$1016:$A$1039=$A1176) * ($D$1016:$D$1039= $D1176) * (H$1016:H$1039) ) * SUM(EF[CO2] * (EF[SATIM Code]= $D1176) )</f>
        <v>0</v>
      </c>
      <c r="I1176" s="1389">
        <f t="array" ref="I1176">SUM( ($E$1016:$E$1039=$E$1107) * ($A$1016:$A$1039=$A1176) * ($D$1016:$D$1039= $D1176) * (I$1016:I$1039) ) * SUM(EF[CO2] * (EF[SATIM Code]= $D1176) )</f>
        <v>0</v>
      </c>
      <c r="J1176" s="1389">
        <f t="array" ref="J1176">SUM( ($E$1016:$E$1039=$E$1107) * ($A$1016:$A$1039=$A1176) * ($D$1016:$D$1039= $D1176) * (J$1016:J$1039) ) * SUM(EF[CO2] * (EF[SATIM Code]= $D1176) )</f>
        <v>0</v>
      </c>
      <c r="K1176" s="1389">
        <f t="array" ref="K1176">SUM( ($E$1016:$E$1039=$E$1107) * ($A$1016:$A$1039=$A1176) * ($D$1016:$D$1039= $D1176) * (K$1016:K$1039) ) * SUM(EF[CO2] * (EF[SATIM Code]= $D1176) )</f>
        <v>0</v>
      </c>
      <c r="L1176" s="1389">
        <f t="array" ref="L1176">SUM( ($E$1016:$E$1039=$E$1107) * ($A$1016:$A$1039=$A1176) * ($D$1016:$D$1039= $D1176) * (L$1016:L$1039) ) * SUM(EF[CO2] * (EF[SATIM Code]= $D1176) )</f>
        <v>0</v>
      </c>
      <c r="M1176" s="1389">
        <f t="array" ref="M1176">SUM( ($E$1016:$E$1039=$E$1107) * ($A$1016:$A$1039=$A1176) * ($D$1016:$D$1039= $D1176) * (M$1016:M$1039) ) * SUM(EF[CO2] * (EF[SATIM Code]= $D1176) )</f>
        <v>0</v>
      </c>
      <c r="N1176" s="1389">
        <f t="array" ref="N1176">SUM( ($E$1016:$E$1039=$E$1107) * ($A$1016:$A$1039=$A1176) * ($D$1016:$D$1039= $D1176) * (N$1016:N$1039) ) * SUM(EF[CO2] * (EF[SATIM Code]= $D1176) )</f>
        <v>0</v>
      </c>
      <c r="O1176" s="1389">
        <f t="array" ref="O1176">SUM( ($E$1016:$E$1039=$E$1107) * ($A$1016:$A$1039=$A1176) * ($D$1016:$D$1039= $D1176) * (O$1016:O$1039) ) * SUM(EF[CO2] * (EF[SATIM Code]= $D1176) )</f>
        <v>0</v>
      </c>
    </row>
    <row r="1177" spans="1:15" s="19" customFormat="1" hidden="1" outlineLevel="1">
      <c r="A1177" s="19" t="str">
        <f t="shared" si="254"/>
        <v>PP</v>
      </c>
      <c r="B1177" s="1400" t="str">
        <f>INDEX(EF[UK Vector],MATCH(D1177,EF[SATIM Code],0))</f>
        <v>V.09</v>
      </c>
      <c r="C1177" s="1401" t="str">
        <f>INDEX(Vectors[Description], MATCH($B1177, Vectors[Code], 0))</f>
        <v>Dry biomass and waste</v>
      </c>
      <c r="D1177" s="1406" t="s">
        <v>888</v>
      </c>
      <c r="E1177" s="1393"/>
      <c r="F1177" s="1389">
        <f t="array" ref="F1177">SUM( ($E$1016:$E$1039=$E$1107) * ($A$1016:$A$1039=$A1177) * ($D$1016:$D$1039= $D1177) * (F$1016:F$1039) ) * SUM(EF[CO2] * (EF[SATIM Code]= $D1177) )</f>
        <v>0</v>
      </c>
      <c r="G1177" s="1389">
        <f t="array" ref="G1177">SUM( ($E$1016:$E$1039=$E$1107) * ($A$1016:$A$1039=$A1177) * ($D$1016:$D$1039= $D1177) * (G$1016:G$1039) ) * SUM(EF[CO2] * (EF[SATIM Code]= $D1177) )</f>
        <v>0</v>
      </c>
      <c r="H1177" s="1389">
        <f t="array" ref="H1177">SUM( ($E$1016:$E$1039=$E$1107) * ($A$1016:$A$1039=$A1177) * ($D$1016:$D$1039= $D1177) * (H$1016:H$1039) ) * SUM(EF[CO2] * (EF[SATIM Code]= $D1177) )</f>
        <v>0</v>
      </c>
      <c r="I1177" s="1389">
        <f t="array" ref="I1177">SUM( ($E$1016:$E$1039=$E$1107) * ($A$1016:$A$1039=$A1177) * ($D$1016:$D$1039= $D1177) * (I$1016:I$1039) ) * SUM(EF[CO2] * (EF[SATIM Code]= $D1177) )</f>
        <v>0</v>
      </c>
      <c r="J1177" s="1389">
        <f t="array" ref="J1177">SUM( ($E$1016:$E$1039=$E$1107) * ($A$1016:$A$1039=$A1177) * ($D$1016:$D$1039= $D1177) * (J$1016:J$1039) ) * SUM(EF[CO2] * (EF[SATIM Code]= $D1177) )</f>
        <v>0</v>
      </c>
      <c r="K1177" s="1389">
        <f t="array" ref="K1177">SUM( ($E$1016:$E$1039=$E$1107) * ($A$1016:$A$1039=$A1177) * ($D$1016:$D$1039= $D1177) * (K$1016:K$1039) ) * SUM(EF[CO2] * (EF[SATIM Code]= $D1177) )</f>
        <v>0</v>
      </c>
      <c r="L1177" s="1389">
        <f t="array" ref="L1177">SUM( ($E$1016:$E$1039=$E$1107) * ($A$1016:$A$1039=$A1177) * ($D$1016:$D$1039= $D1177) * (L$1016:L$1039) ) * SUM(EF[CO2] * (EF[SATIM Code]= $D1177) )</f>
        <v>0</v>
      </c>
      <c r="M1177" s="1389">
        <f t="array" ref="M1177">SUM( ($E$1016:$E$1039=$E$1107) * ($A$1016:$A$1039=$A1177) * ($D$1016:$D$1039= $D1177) * (M$1016:M$1039) ) * SUM(EF[CO2] * (EF[SATIM Code]= $D1177) )</f>
        <v>0</v>
      </c>
      <c r="N1177" s="1389">
        <f t="array" ref="N1177">SUM( ($E$1016:$E$1039=$E$1107) * ($A$1016:$A$1039=$A1177) * ($D$1016:$D$1039= $D1177) * (N$1016:N$1039) ) * SUM(EF[CO2] * (EF[SATIM Code]= $D1177) )</f>
        <v>0</v>
      </c>
      <c r="O1177" s="1389">
        <f t="array" ref="O1177">SUM( ($E$1016:$E$1039=$E$1107) * ($A$1016:$A$1039=$A1177) * ($D$1016:$D$1039= $D1177) * (O$1016:O$1039) ) * SUM(EF[CO2] * (EF[SATIM Code]= $D1177) )</f>
        <v>0</v>
      </c>
    </row>
    <row r="1178" spans="1:15" s="19" customFormat="1" hidden="1" outlineLevel="1">
      <c r="A1178" s="19" t="str">
        <f t="shared" si="254"/>
        <v>PP</v>
      </c>
      <c r="B1178" s="1400" t="str">
        <f>INDEX(EF[UK Vector],MATCH(D1178,EF[SATIM Code],0))</f>
        <v>V.09</v>
      </c>
      <c r="C1178" s="1401" t="str">
        <f>INDEX(Vectors[Description], MATCH($B1178, Vectors[Code], 0))</f>
        <v>Dry biomass and waste</v>
      </c>
      <c r="D1178" s="1388" t="s">
        <v>889</v>
      </c>
      <c r="E1178" s="1393"/>
      <c r="F1178" s="1389">
        <f t="array" ref="F1178">SUM( ($E$1016:$E$1039=$E$1107) * ($A$1016:$A$1039=$A1178) * ($D$1016:$D$1039= $D1178) * (F$1016:F$1039) ) * SUM(EF[CO2] * (EF[SATIM Code]= $D1178) )</f>
        <v>0</v>
      </c>
      <c r="G1178" s="1389">
        <f t="array" ref="G1178">SUM( ($E$1016:$E$1039=$E$1107) * ($A$1016:$A$1039=$A1178) * ($D$1016:$D$1039= $D1178) * (G$1016:G$1039) ) * SUM(EF[CO2] * (EF[SATIM Code]= $D1178) )</f>
        <v>0</v>
      </c>
      <c r="H1178" s="1389">
        <f t="array" ref="H1178">SUM( ($E$1016:$E$1039=$E$1107) * ($A$1016:$A$1039=$A1178) * ($D$1016:$D$1039= $D1178) * (H$1016:H$1039) ) * SUM(EF[CO2] * (EF[SATIM Code]= $D1178) )</f>
        <v>0</v>
      </c>
      <c r="I1178" s="1389">
        <f t="array" ref="I1178">SUM( ($E$1016:$E$1039=$E$1107) * ($A$1016:$A$1039=$A1178) * ($D$1016:$D$1039= $D1178) * (I$1016:I$1039) ) * SUM(EF[CO2] * (EF[SATIM Code]= $D1178) )</f>
        <v>0</v>
      </c>
      <c r="J1178" s="1389">
        <f t="array" ref="J1178">SUM( ($E$1016:$E$1039=$E$1107) * ($A$1016:$A$1039=$A1178) * ($D$1016:$D$1039= $D1178) * (J$1016:J$1039) ) * SUM(EF[CO2] * (EF[SATIM Code]= $D1178) )</f>
        <v>0</v>
      </c>
      <c r="K1178" s="1389">
        <f t="array" ref="K1178">SUM( ($E$1016:$E$1039=$E$1107) * ($A$1016:$A$1039=$A1178) * ($D$1016:$D$1039= $D1178) * (K$1016:K$1039) ) * SUM(EF[CO2] * (EF[SATIM Code]= $D1178) )</f>
        <v>0</v>
      </c>
      <c r="L1178" s="1389">
        <f t="array" ref="L1178">SUM( ($E$1016:$E$1039=$E$1107) * ($A$1016:$A$1039=$A1178) * ($D$1016:$D$1039= $D1178) * (L$1016:L$1039) ) * SUM(EF[CO2] * (EF[SATIM Code]= $D1178) )</f>
        <v>0</v>
      </c>
      <c r="M1178" s="1389">
        <f t="array" ref="M1178">SUM( ($E$1016:$E$1039=$E$1107) * ($A$1016:$A$1039=$A1178) * ($D$1016:$D$1039= $D1178) * (M$1016:M$1039) ) * SUM(EF[CO2] * (EF[SATIM Code]= $D1178) )</f>
        <v>0</v>
      </c>
      <c r="N1178" s="1389">
        <f t="array" ref="N1178">SUM( ($E$1016:$E$1039=$E$1107) * ($A$1016:$A$1039=$A1178) * ($D$1016:$D$1039= $D1178) * (N$1016:N$1039) ) * SUM(EF[CO2] * (EF[SATIM Code]= $D1178) )</f>
        <v>0</v>
      </c>
      <c r="O1178" s="1389">
        <f t="array" ref="O1178">SUM( ($E$1016:$E$1039=$E$1107) * ($A$1016:$A$1039=$A1178) * ($D$1016:$D$1039= $D1178) * (O$1016:O$1039) ) * SUM(EF[CO2] * (EF[SATIM Code]= $D1178) )</f>
        <v>0</v>
      </c>
    </row>
    <row r="1179" spans="1:15" s="19" customFormat="1" hidden="1" outlineLevel="1">
      <c r="A1179" s="19" t="str">
        <f t="shared" si="254"/>
        <v>PP</v>
      </c>
      <c r="B1179" s="1400" t="str">
        <f>INDEX(EF[UK Vector],MATCH(D1179,EF[SATIM Code],0))</f>
        <v>V.16</v>
      </c>
      <c r="C1179" s="1401" t="str">
        <f>INDEX(Vectors[Description], MATCH($B1179, Vectors[Code], 0))</f>
        <v>Other Waste</v>
      </c>
      <c r="D1179" s="1408" t="s">
        <v>890</v>
      </c>
      <c r="E1179" s="1393"/>
      <c r="F1179" s="1389">
        <f t="array" ref="F1179">SUM( ($E$1016:$E$1039=$E$1107) * ($A$1016:$A$1039=$A1179) * ($D$1016:$D$1039= $D1179) * (F$1016:F$1039) ) * SUM(EF[CO2] * (EF[SATIM Code]= $D1179) )</f>
        <v>0</v>
      </c>
      <c r="G1179" s="1389">
        <f t="array" ref="G1179">SUM( ($E$1016:$E$1039=$E$1107) * ($A$1016:$A$1039=$A1179) * ($D$1016:$D$1039= $D1179) * (G$1016:G$1039) ) * SUM(EF[CO2] * (EF[SATIM Code]= $D1179) )</f>
        <v>0</v>
      </c>
      <c r="H1179" s="1389">
        <f t="array" ref="H1179">SUM( ($E$1016:$E$1039=$E$1107) * ($A$1016:$A$1039=$A1179) * ($D$1016:$D$1039= $D1179) * (H$1016:H$1039) ) * SUM(EF[CO2] * (EF[SATIM Code]= $D1179) )</f>
        <v>0</v>
      </c>
      <c r="I1179" s="1389">
        <f t="array" ref="I1179">SUM( ($E$1016:$E$1039=$E$1107) * ($A$1016:$A$1039=$A1179) * ($D$1016:$D$1039= $D1179) * (I$1016:I$1039) ) * SUM(EF[CO2] * (EF[SATIM Code]= $D1179) )</f>
        <v>0</v>
      </c>
      <c r="J1179" s="1389">
        <f t="array" ref="J1179">SUM( ($E$1016:$E$1039=$E$1107) * ($A$1016:$A$1039=$A1179) * ($D$1016:$D$1039= $D1179) * (J$1016:J$1039) ) * SUM(EF[CO2] * (EF[SATIM Code]= $D1179) )</f>
        <v>0</v>
      </c>
      <c r="K1179" s="1389">
        <f t="array" ref="K1179">SUM( ($E$1016:$E$1039=$E$1107) * ($A$1016:$A$1039=$A1179) * ($D$1016:$D$1039= $D1179) * (K$1016:K$1039) ) * SUM(EF[CO2] * (EF[SATIM Code]= $D1179) )</f>
        <v>0</v>
      </c>
      <c r="L1179" s="1389">
        <f t="array" ref="L1179">SUM( ($E$1016:$E$1039=$E$1107) * ($A$1016:$A$1039=$A1179) * ($D$1016:$D$1039= $D1179) * (L$1016:L$1039) ) * SUM(EF[CO2] * (EF[SATIM Code]= $D1179) )</f>
        <v>0</v>
      </c>
      <c r="M1179" s="1389">
        <f t="array" ref="M1179">SUM( ($E$1016:$E$1039=$E$1107) * ($A$1016:$A$1039=$A1179) * ($D$1016:$D$1039= $D1179) * (M$1016:M$1039) ) * SUM(EF[CO2] * (EF[SATIM Code]= $D1179) )</f>
        <v>0</v>
      </c>
      <c r="N1179" s="1389">
        <f t="array" ref="N1179">SUM( ($E$1016:$E$1039=$E$1107) * ($A$1016:$A$1039=$A1179) * ($D$1016:$D$1039= $D1179) * (N$1016:N$1039) ) * SUM(EF[CO2] * (EF[SATIM Code]= $D1179) )</f>
        <v>0</v>
      </c>
      <c r="O1179" s="1389">
        <f t="array" ref="O1179">SUM( ($E$1016:$E$1039=$E$1107) * ($A$1016:$A$1039=$A1179) * ($D$1016:$D$1039= $D1179) * (O$1016:O$1039) ) * SUM(EF[CO2] * (EF[SATIM Code]= $D1179) )</f>
        <v>0</v>
      </c>
    </row>
    <row r="1180" spans="1:15" s="19" customFormat="1" hidden="1" outlineLevel="1">
      <c r="B1180" s="1393"/>
      <c r="C1180" s="1392" t="str">
        <f>D27</f>
        <v>Other</v>
      </c>
      <c r="D1180" s="1391"/>
      <c r="E1180" s="1393"/>
      <c r="F1180" s="1389">
        <f t="array" ref="F1180">SUM( ($E$1016:$E$1039=$E$1107) * ($A$1016:$A$1039=$A1180) * ($D$1016:$D$1039= $D1180) * (F$1016:F$1039) ) * SUM(EF[CO2] * (EF[SATIM Code]= $D1180) )</f>
        <v>0</v>
      </c>
      <c r="G1180" s="1389">
        <f t="array" ref="G1180">SUM( ($E$1016:$E$1039=$E$1107) * ($A$1016:$A$1039=$A1180) * ($D$1016:$D$1039= $D1180) * (G$1016:G$1039) ) * SUM(EF[CO2] * (EF[SATIM Code]= $D1180) )</f>
        <v>0</v>
      </c>
      <c r="H1180" s="1389">
        <f t="array" ref="H1180">SUM( ($E$1016:$E$1039=$E$1107) * ($A$1016:$A$1039=$A1180) * ($D$1016:$D$1039= $D1180) * (H$1016:H$1039) ) * SUM(EF[CO2] * (EF[SATIM Code]= $D1180) )</f>
        <v>0</v>
      </c>
      <c r="I1180" s="1389">
        <f t="array" ref="I1180">SUM( ($E$1016:$E$1039=$E$1107) * ($A$1016:$A$1039=$A1180) * ($D$1016:$D$1039= $D1180) * (I$1016:I$1039) ) * SUM(EF[CO2] * (EF[SATIM Code]= $D1180) )</f>
        <v>0</v>
      </c>
      <c r="J1180" s="1389">
        <f t="array" ref="J1180">SUM( ($E$1016:$E$1039=$E$1107) * ($A$1016:$A$1039=$A1180) * ($D$1016:$D$1039= $D1180) * (J$1016:J$1039) ) * SUM(EF[CO2] * (EF[SATIM Code]= $D1180) )</f>
        <v>0</v>
      </c>
      <c r="K1180" s="1389">
        <f t="array" ref="K1180">SUM( ($E$1016:$E$1039=$E$1107) * ($A$1016:$A$1039=$A1180) * ($D$1016:$D$1039= $D1180) * (K$1016:K$1039) ) * SUM(EF[CO2] * (EF[SATIM Code]= $D1180) )</f>
        <v>0</v>
      </c>
      <c r="L1180" s="1389">
        <f t="array" ref="L1180">SUM( ($E$1016:$E$1039=$E$1107) * ($A$1016:$A$1039=$A1180) * ($D$1016:$D$1039= $D1180) * (L$1016:L$1039) ) * SUM(EF[CO2] * (EF[SATIM Code]= $D1180) )</f>
        <v>0</v>
      </c>
      <c r="M1180" s="1389">
        <f t="array" ref="M1180">SUM( ($E$1016:$E$1039=$E$1107) * ($A$1016:$A$1039=$A1180) * ($D$1016:$D$1039= $D1180) * (M$1016:M$1039) ) * SUM(EF[CO2] * (EF[SATIM Code]= $D1180) )</f>
        <v>0</v>
      </c>
      <c r="N1180" s="1389">
        <f t="array" ref="N1180">SUM( ($E$1016:$E$1039=$E$1107) * ($A$1016:$A$1039=$A1180) * ($D$1016:$D$1039= $D1180) * (N$1016:N$1039) ) * SUM(EF[CO2] * (EF[SATIM Code]= $D1180) )</f>
        <v>0</v>
      </c>
      <c r="O1180" s="1389">
        <f t="array" ref="O1180">SUM( ($E$1016:$E$1039=$E$1107) * ($A$1016:$A$1039=$A1180) * ($D$1016:$D$1039= $D1180) * (O$1016:O$1039) ) * SUM(EF[CO2] * (EF[SATIM Code]= $D1180) )</f>
        <v>0</v>
      </c>
    </row>
    <row r="1181" spans="1:15" s="19" customFormat="1" hidden="1" outlineLevel="1">
      <c r="A1181" s="1438" t="str">
        <f>INDEX($C$20:$C$27,MATCH($C1180,$D$20:$D$27,0))</f>
        <v>OT</v>
      </c>
      <c r="B1181" s="1400" t="str">
        <f>INDEX(EF[UK Vector],MATCH(D1181,EF[SATIM Code],0))</f>
        <v>V.03</v>
      </c>
      <c r="C1181" s="1401" t="str">
        <f>INDEX(Vectors[Description], MATCH($B1181, Vectors[Code], 0))</f>
        <v>Solid hydrocarbons</v>
      </c>
      <c r="D1181" s="1391" t="s">
        <v>882</v>
      </c>
      <c r="E1181" s="1393"/>
      <c r="F1181" s="1389">
        <f t="array" ref="F1181">SUM( ($E$1016:$E$1039=$E$1107) * ($A$1016:$A$1039=$A1181) * ($D$1016:$D$1039= $D1181) * (F$1016:F$1039) ) * SUM(EF[CO2] * (EF[SATIM Code]= $D1181) )</f>
        <v>0</v>
      </c>
      <c r="G1181" s="1389">
        <f t="array" ref="G1181">SUM( ($E$1016:$E$1039=$E$1107) * ($A$1016:$A$1039=$A1181) * ($D$1016:$D$1039= $D1181) * (G$1016:G$1039) ) * SUM(EF[CO2] * (EF[SATIM Code]= $D1181) )</f>
        <v>0</v>
      </c>
      <c r="H1181" s="1389">
        <f t="array" ref="H1181">SUM( ($E$1016:$E$1039=$E$1107) * ($A$1016:$A$1039=$A1181) * ($D$1016:$D$1039= $D1181) * (H$1016:H$1039) ) * SUM(EF[CO2] * (EF[SATIM Code]= $D1181) )</f>
        <v>0</v>
      </c>
      <c r="I1181" s="1389">
        <f t="array" ref="I1181">SUM( ($E$1016:$E$1039=$E$1107) * ($A$1016:$A$1039=$A1181) * ($D$1016:$D$1039= $D1181) * (I$1016:I$1039) ) * SUM(EF[CO2] * (EF[SATIM Code]= $D1181) )</f>
        <v>0</v>
      </c>
      <c r="J1181" s="1389">
        <f t="array" ref="J1181">SUM( ($E$1016:$E$1039=$E$1107) * ($A$1016:$A$1039=$A1181) * ($D$1016:$D$1039= $D1181) * (J$1016:J$1039) ) * SUM(EF[CO2] * (EF[SATIM Code]= $D1181) )</f>
        <v>0</v>
      </c>
      <c r="K1181" s="1389">
        <f t="array" ref="K1181">SUM( ($E$1016:$E$1039=$E$1107) * ($A$1016:$A$1039=$A1181) * ($D$1016:$D$1039= $D1181) * (K$1016:K$1039) ) * SUM(EF[CO2] * (EF[SATIM Code]= $D1181) )</f>
        <v>0</v>
      </c>
      <c r="L1181" s="1389">
        <f t="array" ref="L1181">SUM( ($E$1016:$E$1039=$E$1107) * ($A$1016:$A$1039=$A1181) * ($D$1016:$D$1039= $D1181) * (L$1016:L$1039) ) * SUM(EF[CO2] * (EF[SATIM Code]= $D1181) )</f>
        <v>0</v>
      </c>
      <c r="M1181" s="1389">
        <f t="array" ref="M1181">SUM( ($E$1016:$E$1039=$E$1107) * ($A$1016:$A$1039=$A1181) * ($D$1016:$D$1039= $D1181) * (M$1016:M$1039) ) * SUM(EF[CO2] * (EF[SATIM Code]= $D1181) )</f>
        <v>0</v>
      </c>
      <c r="N1181" s="1389">
        <f t="array" ref="N1181">SUM( ($E$1016:$E$1039=$E$1107) * ($A$1016:$A$1039=$A1181) * ($D$1016:$D$1039= $D1181) * (N$1016:N$1039) ) * SUM(EF[CO2] * (EF[SATIM Code]= $D1181) )</f>
        <v>0</v>
      </c>
      <c r="O1181" s="1389">
        <f t="array" ref="O1181">SUM( ($E$1016:$E$1039=$E$1107) * ($A$1016:$A$1039=$A1181) * ($D$1016:$D$1039= $D1181) * (O$1016:O$1039) ) * SUM(EF[CO2] * (EF[SATIM Code]= $D1181) )</f>
        <v>0</v>
      </c>
    </row>
    <row r="1182" spans="1:15" s="19" customFormat="1" hidden="1" outlineLevel="1">
      <c r="A1182" s="19" t="str">
        <f t="shared" ref="A1182:A1189" si="255">A1181</f>
        <v>OT</v>
      </c>
      <c r="B1182" s="1400" t="str">
        <f>INDEX(EF[UK Vector],MATCH(D1182,EF[SATIM Code],0))</f>
        <v>V.03</v>
      </c>
      <c r="C1182" s="1401" t="str">
        <f>INDEX(Vectors[Description], MATCH($B1182, Vectors[Code], 0))</f>
        <v>Solid hydrocarbons</v>
      </c>
      <c r="D1182" s="1391" t="s">
        <v>883</v>
      </c>
      <c r="E1182" s="1393"/>
      <c r="F1182" s="1389">
        <f t="array" ref="F1182">SUM( ($E$1016:$E$1039=$E$1107) * ($A$1016:$A$1039=$A1182) * ($D$1016:$D$1039= $D1182) * (F$1016:F$1039) ) * SUM(EF[CO2] * (EF[SATIM Code]= $D1182) )</f>
        <v>0</v>
      </c>
      <c r="G1182" s="1389">
        <f t="array" ref="G1182">SUM( ($E$1016:$E$1039=$E$1107) * ($A$1016:$A$1039=$A1182) * ($D$1016:$D$1039= $D1182) * (G$1016:G$1039) ) * SUM(EF[CO2] * (EF[SATIM Code]= $D1182) )</f>
        <v>0</v>
      </c>
      <c r="H1182" s="1389">
        <f t="array" ref="H1182">SUM( ($E$1016:$E$1039=$E$1107) * ($A$1016:$A$1039=$A1182) * ($D$1016:$D$1039= $D1182) * (H$1016:H$1039) ) * SUM(EF[CO2] * (EF[SATIM Code]= $D1182) )</f>
        <v>0</v>
      </c>
      <c r="I1182" s="1389">
        <f t="array" ref="I1182">SUM( ($E$1016:$E$1039=$E$1107) * ($A$1016:$A$1039=$A1182) * ($D$1016:$D$1039= $D1182) * (I$1016:I$1039) ) * SUM(EF[CO2] * (EF[SATIM Code]= $D1182) )</f>
        <v>0</v>
      </c>
      <c r="J1182" s="1389">
        <f t="array" ref="J1182">SUM( ($E$1016:$E$1039=$E$1107) * ($A$1016:$A$1039=$A1182) * ($D$1016:$D$1039= $D1182) * (J$1016:J$1039) ) * SUM(EF[CO2] * (EF[SATIM Code]= $D1182) )</f>
        <v>0</v>
      </c>
      <c r="K1182" s="1389">
        <f t="array" ref="K1182">SUM( ($E$1016:$E$1039=$E$1107) * ($A$1016:$A$1039=$A1182) * ($D$1016:$D$1039= $D1182) * (K$1016:K$1039) ) * SUM(EF[CO2] * (EF[SATIM Code]= $D1182) )</f>
        <v>0</v>
      </c>
      <c r="L1182" s="1389">
        <f t="array" ref="L1182">SUM( ($E$1016:$E$1039=$E$1107) * ($A$1016:$A$1039=$A1182) * ($D$1016:$D$1039= $D1182) * (L$1016:L$1039) ) * SUM(EF[CO2] * (EF[SATIM Code]= $D1182) )</f>
        <v>0</v>
      </c>
      <c r="M1182" s="1389">
        <f t="array" ref="M1182">SUM( ($E$1016:$E$1039=$E$1107) * ($A$1016:$A$1039=$A1182) * ($D$1016:$D$1039= $D1182) * (M$1016:M$1039) ) * SUM(EF[CO2] * (EF[SATIM Code]= $D1182) )</f>
        <v>0</v>
      </c>
      <c r="N1182" s="1389">
        <f t="array" ref="N1182">SUM( ($E$1016:$E$1039=$E$1107) * ($A$1016:$A$1039=$A1182) * ($D$1016:$D$1039= $D1182) * (N$1016:N$1039) ) * SUM(EF[CO2] * (EF[SATIM Code]= $D1182) )</f>
        <v>0</v>
      </c>
      <c r="O1182" s="1389">
        <f t="array" ref="O1182">SUM( ($E$1016:$E$1039=$E$1107) * ($A$1016:$A$1039=$A1182) * ($D$1016:$D$1039= $D1182) * (O$1016:O$1039) ) * SUM(EF[CO2] * (EF[SATIM Code]= $D1182) )</f>
        <v>0</v>
      </c>
    </row>
    <row r="1183" spans="1:15" s="19" customFormat="1" hidden="1" outlineLevel="1">
      <c r="A1183" s="19" t="str">
        <f t="shared" si="255"/>
        <v>OT</v>
      </c>
      <c r="B1183" s="1400" t="str">
        <f>INDEX(EF[UK Vector],MATCH(D1183,EF[SATIM Code],0))</f>
        <v>V.05</v>
      </c>
      <c r="C1183" s="1401" t="str">
        <f>INDEX(Vectors[Description], MATCH($B1183, Vectors[Code], 0))</f>
        <v>Gaseous hydrocarbons</v>
      </c>
      <c r="D1183" s="1406" t="s">
        <v>869</v>
      </c>
      <c r="E1183" s="1393"/>
      <c r="F1183" s="1389">
        <f t="array" ref="F1183">SUM( ($E$1016:$E$1039=$E$1107) * ($A$1016:$A$1039=$A1183) * ($D$1016:$D$1039= $D1183) * (F$1016:F$1039) ) * SUM(EF[CO2] * (EF[SATIM Code]= $D1183) )</f>
        <v>0</v>
      </c>
      <c r="G1183" s="1389">
        <f t="array" ref="G1183">SUM( ($E$1016:$E$1039=$E$1107) * ($A$1016:$A$1039=$A1183) * ($D$1016:$D$1039= $D1183) * (G$1016:G$1039) ) * SUM(EF[CO2] * (EF[SATIM Code]= $D1183) )</f>
        <v>0</v>
      </c>
      <c r="H1183" s="1389">
        <f t="array" ref="H1183">SUM( ($E$1016:$E$1039=$E$1107) * ($A$1016:$A$1039=$A1183) * ($D$1016:$D$1039= $D1183) * (H$1016:H$1039) ) * SUM(EF[CO2] * (EF[SATIM Code]= $D1183) )</f>
        <v>0</v>
      </c>
      <c r="I1183" s="1389">
        <f t="array" ref="I1183">SUM( ($E$1016:$E$1039=$E$1107) * ($A$1016:$A$1039=$A1183) * ($D$1016:$D$1039= $D1183) * (I$1016:I$1039) ) * SUM(EF[CO2] * (EF[SATIM Code]= $D1183) )</f>
        <v>0</v>
      </c>
      <c r="J1183" s="1389">
        <f t="array" ref="J1183">SUM( ($E$1016:$E$1039=$E$1107) * ($A$1016:$A$1039=$A1183) * ($D$1016:$D$1039= $D1183) * (J$1016:J$1039) ) * SUM(EF[CO2] * (EF[SATIM Code]= $D1183) )</f>
        <v>0</v>
      </c>
      <c r="K1183" s="1389">
        <f t="array" ref="K1183">SUM( ($E$1016:$E$1039=$E$1107) * ($A$1016:$A$1039=$A1183) * ($D$1016:$D$1039= $D1183) * (K$1016:K$1039) ) * SUM(EF[CO2] * (EF[SATIM Code]= $D1183) )</f>
        <v>0</v>
      </c>
      <c r="L1183" s="1389">
        <f t="array" ref="L1183">SUM( ($E$1016:$E$1039=$E$1107) * ($A$1016:$A$1039=$A1183) * ($D$1016:$D$1039= $D1183) * (L$1016:L$1039) ) * SUM(EF[CO2] * (EF[SATIM Code]= $D1183) )</f>
        <v>0</v>
      </c>
      <c r="M1183" s="1389">
        <f t="array" ref="M1183">SUM( ($E$1016:$E$1039=$E$1107) * ($A$1016:$A$1039=$A1183) * ($D$1016:$D$1039= $D1183) * (M$1016:M$1039) ) * SUM(EF[CO2] * (EF[SATIM Code]= $D1183) )</f>
        <v>0</v>
      </c>
      <c r="N1183" s="1389">
        <f t="array" ref="N1183">SUM( ($E$1016:$E$1039=$E$1107) * ($A$1016:$A$1039=$A1183) * ($D$1016:$D$1039= $D1183) * (N$1016:N$1039) ) * SUM(EF[CO2] * (EF[SATIM Code]= $D1183) )</f>
        <v>0</v>
      </c>
      <c r="O1183" s="1389">
        <f t="array" ref="O1183">SUM( ($E$1016:$E$1039=$E$1107) * ($A$1016:$A$1039=$A1183) * ($D$1016:$D$1039= $D1183) * (O$1016:O$1039) ) * SUM(EF[CO2] * (EF[SATIM Code]= $D1183) )</f>
        <v>0</v>
      </c>
    </row>
    <row r="1184" spans="1:15" s="19" customFormat="1" hidden="1" outlineLevel="1">
      <c r="A1184" s="19" t="str">
        <f t="shared" si="255"/>
        <v>OT</v>
      </c>
      <c r="B1184" s="1400" t="str">
        <f>INDEX(EF[UK Vector],MATCH(D1184,EF[SATIM Code],0))</f>
        <v>V.04</v>
      </c>
      <c r="C1184" s="1401" t="str">
        <f>INDEX(Vectors[Description], MATCH($B1184, Vectors[Code], 0))</f>
        <v>Liquid hydrocarbons</v>
      </c>
      <c r="D1184" s="1406" t="s">
        <v>885</v>
      </c>
      <c r="E1184" s="1393"/>
      <c r="F1184" s="1389">
        <f t="array" ref="F1184">SUM( ($E$1016:$E$1039=$E$1107) * ($A$1016:$A$1039=$A1184) * ($D$1016:$D$1039= $D1184) * (F$1016:F$1039) ) * SUM(EF[CO2] * (EF[SATIM Code]= $D1184) )</f>
        <v>0</v>
      </c>
      <c r="G1184" s="1389">
        <f t="array" ref="G1184">SUM( ($E$1016:$E$1039=$E$1107) * ($A$1016:$A$1039=$A1184) * ($D$1016:$D$1039= $D1184) * (G$1016:G$1039) ) * SUM(EF[CO2] * (EF[SATIM Code]= $D1184) )</f>
        <v>0</v>
      </c>
      <c r="H1184" s="1389">
        <f t="array" ref="H1184">SUM( ($E$1016:$E$1039=$E$1107) * ($A$1016:$A$1039=$A1184) * ($D$1016:$D$1039= $D1184) * (H$1016:H$1039) ) * SUM(EF[CO2] * (EF[SATIM Code]= $D1184) )</f>
        <v>0</v>
      </c>
      <c r="I1184" s="1389">
        <f t="array" ref="I1184">SUM( ($E$1016:$E$1039=$E$1107) * ($A$1016:$A$1039=$A1184) * ($D$1016:$D$1039= $D1184) * (I$1016:I$1039) ) * SUM(EF[CO2] * (EF[SATIM Code]= $D1184) )</f>
        <v>0</v>
      </c>
      <c r="J1184" s="1389">
        <f t="array" ref="J1184">SUM( ($E$1016:$E$1039=$E$1107) * ($A$1016:$A$1039=$A1184) * ($D$1016:$D$1039= $D1184) * (J$1016:J$1039) ) * SUM(EF[CO2] * (EF[SATIM Code]= $D1184) )</f>
        <v>0</v>
      </c>
      <c r="K1184" s="1389">
        <f t="array" ref="K1184">SUM( ($E$1016:$E$1039=$E$1107) * ($A$1016:$A$1039=$A1184) * ($D$1016:$D$1039= $D1184) * (K$1016:K$1039) ) * SUM(EF[CO2] * (EF[SATIM Code]= $D1184) )</f>
        <v>0</v>
      </c>
      <c r="L1184" s="1389">
        <f t="array" ref="L1184">SUM( ($E$1016:$E$1039=$E$1107) * ($A$1016:$A$1039=$A1184) * ($D$1016:$D$1039= $D1184) * (L$1016:L$1039) ) * SUM(EF[CO2] * (EF[SATIM Code]= $D1184) )</f>
        <v>0</v>
      </c>
      <c r="M1184" s="1389">
        <f t="array" ref="M1184">SUM( ($E$1016:$E$1039=$E$1107) * ($A$1016:$A$1039=$A1184) * ($D$1016:$D$1039= $D1184) * (M$1016:M$1039) ) * SUM(EF[CO2] * (EF[SATIM Code]= $D1184) )</f>
        <v>0</v>
      </c>
      <c r="N1184" s="1389">
        <f t="array" ref="N1184">SUM( ($E$1016:$E$1039=$E$1107) * ($A$1016:$A$1039=$A1184) * ($D$1016:$D$1039= $D1184) * (N$1016:N$1039) ) * SUM(EF[CO2] * (EF[SATIM Code]= $D1184) )</f>
        <v>0</v>
      </c>
      <c r="O1184" s="1389">
        <f t="array" ref="O1184">SUM( ($E$1016:$E$1039=$E$1107) * ($A$1016:$A$1039=$A1184) * ($D$1016:$D$1039= $D1184) * (O$1016:O$1039) ) * SUM(EF[CO2] * (EF[SATIM Code]= $D1184) )</f>
        <v>0</v>
      </c>
    </row>
    <row r="1185" spans="1:15" s="19" customFormat="1" hidden="1" outlineLevel="1">
      <c r="A1185" s="19" t="str">
        <f t="shared" si="255"/>
        <v>OT</v>
      </c>
      <c r="B1185" s="1400" t="str">
        <f>INDEX(EF[UK Vector],MATCH(D1185,EF[SATIM Code],0))</f>
        <v>V.04</v>
      </c>
      <c r="C1185" s="1401" t="str">
        <f>INDEX(Vectors[Description], MATCH($B1185, Vectors[Code], 0))</f>
        <v>Liquid hydrocarbons</v>
      </c>
      <c r="D1185" s="1391" t="s">
        <v>886</v>
      </c>
      <c r="E1185" s="1393"/>
      <c r="F1185" s="1389">
        <f t="array" ref="F1185">SUM( ($E$1016:$E$1039=$E$1107) * ($A$1016:$A$1039=$A1185) * ($D$1016:$D$1039= $D1185) * (F$1016:F$1039) ) * SUM(EF[CO2] * (EF[SATIM Code]= $D1185) )</f>
        <v>0</v>
      </c>
      <c r="G1185" s="1389">
        <f t="array" ref="G1185">SUM( ($E$1016:$E$1039=$E$1107) * ($A$1016:$A$1039=$A1185) * ($D$1016:$D$1039= $D1185) * (G$1016:G$1039) ) * SUM(EF[CO2] * (EF[SATIM Code]= $D1185) )</f>
        <v>0</v>
      </c>
      <c r="H1185" s="1389">
        <f t="array" ref="H1185">SUM( ($E$1016:$E$1039=$E$1107) * ($A$1016:$A$1039=$A1185) * ($D$1016:$D$1039= $D1185) * (H$1016:H$1039) ) * SUM(EF[CO2] * (EF[SATIM Code]= $D1185) )</f>
        <v>0</v>
      </c>
      <c r="I1185" s="1389">
        <f t="array" ref="I1185">SUM( ($E$1016:$E$1039=$E$1107) * ($A$1016:$A$1039=$A1185) * ($D$1016:$D$1039= $D1185) * (I$1016:I$1039) ) * SUM(EF[CO2] * (EF[SATIM Code]= $D1185) )</f>
        <v>0</v>
      </c>
      <c r="J1185" s="1389">
        <f t="array" ref="J1185">SUM( ($E$1016:$E$1039=$E$1107) * ($A$1016:$A$1039=$A1185) * ($D$1016:$D$1039= $D1185) * (J$1016:J$1039) ) * SUM(EF[CO2] * (EF[SATIM Code]= $D1185) )</f>
        <v>0</v>
      </c>
      <c r="K1185" s="1389">
        <f t="array" ref="K1185">SUM( ($E$1016:$E$1039=$E$1107) * ($A$1016:$A$1039=$A1185) * ($D$1016:$D$1039= $D1185) * (K$1016:K$1039) ) * SUM(EF[CO2] * (EF[SATIM Code]= $D1185) )</f>
        <v>0</v>
      </c>
      <c r="L1185" s="1389">
        <f t="array" ref="L1185">SUM( ($E$1016:$E$1039=$E$1107) * ($A$1016:$A$1039=$A1185) * ($D$1016:$D$1039= $D1185) * (L$1016:L$1039) ) * SUM(EF[CO2] * (EF[SATIM Code]= $D1185) )</f>
        <v>0</v>
      </c>
      <c r="M1185" s="1389">
        <f t="array" ref="M1185">SUM( ($E$1016:$E$1039=$E$1107) * ($A$1016:$A$1039=$A1185) * ($D$1016:$D$1039= $D1185) * (M$1016:M$1039) ) * SUM(EF[CO2] * (EF[SATIM Code]= $D1185) )</f>
        <v>0</v>
      </c>
      <c r="N1185" s="1389">
        <f t="array" ref="N1185">SUM( ($E$1016:$E$1039=$E$1107) * ($A$1016:$A$1039=$A1185) * ($D$1016:$D$1039= $D1185) * (N$1016:N$1039) ) * SUM(EF[CO2] * (EF[SATIM Code]= $D1185) )</f>
        <v>0</v>
      </c>
      <c r="O1185" s="1389">
        <f t="array" ref="O1185">SUM( ($E$1016:$E$1039=$E$1107) * ($A$1016:$A$1039=$A1185) * ($D$1016:$D$1039= $D1185) * (O$1016:O$1039) ) * SUM(EF[CO2] * (EF[SATIM Code]= $D1185) )</f>
        <v>0</v>
      </c>
    </row>
    <row r="1186" spans="1:15" s="19" customFormat="1" hidden="1" outlineLevel="1">
      <c r="A1186" s="19" t="str">
        <f t="shared" si="255"/>
        <v>OT</v>
      </c>
      <c r="B1186" s="1400" t="str">
        <f>INDEX(EF[UK Vector],MATCH(D1186,EF[SATIM Code],0))</f>
        <v>V.04</v>
      </c>
      <c r="C1186" s="1401" t="str">
        <f>INDEX(Vectors[Description], MATCH($B1186, Vectors[Code], 0))</f>
        <v>Liquid hydrocarbons</v>
      </c>
      <c r="D1186" s="1406" t="s">
        <v>887</v>
      </c>
      <c r="E1186" s="1393"/>
      <c r="F1186" s="1389">
        <f t="array" ref="F1186">SUM( ($E$1016:$E$1039=$E$1107) * ($A$1016:$A$1039=$A1186) * ($D$1016:$D$1039= $D1186) * (F$1016:F$1039) ) * SUM(EF[CO2] * (EF[SATIM Code]= $D1186) )</f>
        <v>0</v>
      </c>
      <c r="G1186" s="1389">
        <f t="array" ref="G1186">SUM( ($E$1016:$E$1039=$E$1107) * ($A$1016:$A$1039=$A1186) * ($D$1016:$D$1039= $D1186) * (G$1016:G$1039) ) * SUM(EF[CO2] * (EF[SATIM Code]= $D1186) )</f>
        <v>0</v>
      </c>
      <c r="H1186" s="1389">
        <f t="array" ref="H1186">SUM( ($E$1016:$E$1039=$E$1107) * ($A$1016:$A$1039=$A1186) * ($D$1016:$D$1039= $D1186) * (H$1016:H$1039) ) * SUM(EF[CO2] * (EF[SATIM Code]= $D1186) )</f>
        <v>0</v>
      </c>
      <c r="I1186" s="1389">
        <f t="array" ref="I1186">SUM( ($E$1016:$E$1039=$E$1107) * ($A$1016:$A$1039=$A1186) * ($D$1016:$D$1039= $D1186) * (I$1016:I$1039) ) * SUM(EF[CO2] * (EF[SATIM Code]= $D1186) )</f>
        <v>0</v>
      </c>
      <c r="J1186" s="1389">
        <f t="array" ref="J1186">SUM( ($E$1016:$E$1039=$E$1107) * ($A$1016:$A$1039=$A1186) * ($D$1016:$D$1039= $D1186) * (J$1016:J$1039) ) * SUM(EF[CO2] * (EF[SATIM Code]= $D1186) )</f>
        <v>0</v>
      </c>
      <c r="K1186" s="1389">
        <f t="array" ref="K1186">SUM( ($E$1016:$E$1039=$E$1107) * ($A$1016:$A$1039=$A1186) * ($D$1016:$D$1039= $D1186) * (K$1016:K$1039) ) * SUM(EF[CO2] * (EF[SATIM Code]= $D1186) )</f>
        <v>0</v>
      </c>
      <c r="L1186" s="1389">
        <f t="array" ref="L1186">SUM( ($E$1016:$E$1039=$E$1107) * ($A$1016:$A$1039=$A1186) * ($D$1016:$D$1039= $D1186) * (L$1016:L$1039) ) * SUM(EF[CO2] * (EF[SATIM Code]= $D1186) )</f>
        <v>0</v>
      </c>
      <c r="M1186" s="1389">
        <f t="array" ref="M1186">SUM( ($E$1016:$E$1039=$E$1107) * ($A$1016:$A$1039=$A1186) * ($D$1016:$D$1039= $D1186) * (M$1016:M$1039) ) * SUM(EF[CO2] * (EF[SATIM Code]= $D1186) )</f>
        <v>0</v>
      </c>
      <c r="N1186" s="1389">
        <f t="array" ref="N1186">SUM( ($E$1016:$E$1039=$E$1107) * ($A$1016:$A$1039=$A1186) * ($D$1016:$D$1039= $D1186) * (N$1016:N$1039) ) * SUM(EF[CO2] * (EF[SATIM Code]= $D1186) )</f>
        <v>0</v>
      </c>
      <c r="O1186" s="1389">
        <f t="array" ref="O1186">SUM( ($E$1016:$E$1039=$E$1107) * ($A$1016:$A$1039=$A1186) * ($D$1016:$D$1039= $D1186) * (O$1016:O$1039) ) * SUM(EF[CO2] * (EF[SATIM Code]= $D1186) )</f>
        <v>0</v>
      </c>
    </row>
    <row r="1187" spans="1:15" s="19" customFormat="1" hidden="1" outlineLevel="1">
      <c r="A1187" s="19" t="str">
        <f t="shared" si="255"/>
        <v>OT</v>
      </c>
      <c r="B1187" s="1400" t="str">
        <f>INDEX(EF[UK Vector],MATCH(D1187,EF[SATIM Code],0))</f>
        <v>V.09</v>
      </c>
      <c r="C1187" s="1401" t="str">
        <f>INDEX(Vectors[Description], MATCH($B1187, Vectors[Code], 0))</f>
        <v>Dry biomass and waste</v>
      </c>
      <c r="D1187" s="1406" t="s">
        <v>888</v>
      </c>
      <c r="E1187" s="1385"/>
      <c r="F1187" s="1389">
        <f t="array" ref="F1187">SUM( ($E$1016:$E$1039=$E$1107) * ($A$1016:$A$1039=$A1187) * ($D$1016:$D$1039= $D1187) * (F$1016:F$1039) ) * SUM(EF[CO2] * (EF[SATIM Code]= $D1187) )</f>
        <v>0</v>
      </c>
      <c r="G1187" s="1389">
        <f t="array" ref="G1187">SUM( ($E$1016:$E$1039=$E$1107) * ($A$1016:$A$1039=$A1187) * ($D$1016:$D$1039= $D1187) * (G$1016:G$1039) ) * SUM(EF[CO2] * (EF[SATIM Code]= $D1187) )</f>
        <v>0</v>
      </c>
      <c r="H1187" s="1389">
        <f t="array" ref="H1187">SUM( ($E$1016:$E$1039=$E$1107) * ($A$1016:$A$1039=$A1187) * ($D$1016:$D$1039= $D1187) * (H$1016:H$1039) ) * SUM(EF[CO2] * (EF[SATIM Code]= $D1187) )</f>
        <v>0</v>
      </c>
      <c r="I1187" s="1389">
        <f t="array" ref="I1187">SUM( ($E$1016:$E$1039=$E$1107) * ($A$1016:$A$1039=$A1187) * ($D$1016:$D$1039= $D1187) * (I$1016:I$1039) ) * SUM(EF[CO2] * (EF[SATIM Code]= $D1187) )</f>
        <v>0</v>
      </c>
      <c r="J1187" s="1389">
        <f t="array" ref="J1187">SUM( ($E$1016:$E$1039=$E$1107) * ($A$1016:$A$1039=$A1187) * ($D$1016:$D$1039= $D1187) * (J$1016:J$1039) ) * SUM(EF[CO2] * (EF[SATIM Code]= $D1187) )</f>
        <v>0</v>
      </c>
      <c r="K1187" s="1389">
        <f t="array" ref="K1187">SUM( ($E$1016:$E$1039=$E$1107) * ($A$1016:$A$1039=$A1187) * ($D$1016:$D$1039= $D1187) * (K$1016:K$1039) ) * SUM(EF[CO2] * (EF[SATIM Code]= $D1187) )</f>
        <v>0</v>
      </c>
      <c r="L1187" s="1389">
        <f t="array" ref="L1187">SUM( ($E$1016:$E$1039=$E$1107) * ($A$1016:$A$1039=$A1187) * ($D$1016:$D$1039= $D1187) * (L$1016:L$1039) ) * SUM(EF[CO2] * (EF[SATIM Code]= $D1187) )</f>
        <v>0</v>
      </c>
      <c r="M1187" s="1389">
        <f t="array" ref="M1187">SUM( ($E$1016:$E$1039=$E$1107) * ($A$1016:$A$1039=$A1187) * ($D$1016:$D$1039= $D1187) * (M$1016:M$1039) ) * SUM(EF[CO2] * (EF[SATIM Code]= $D1187) )</f>
        <v>0</v>
      </c>
      <c r="N1187" s="1389">
        <f t="array" ref="N1187">SUM( ($E$1016:$E$1039=$E$1107) * ($A$1016:$A$1039=$A1187) * ($D$1016:$D$1039= $D1187) * (N$1016:N$1039) ) * SUM(EF[CO2] * (EF[SATIM Code]= $D1187) )</f>
        <v>0</v>
      </c>
      <c r="O1187" s="1389">
        <f t="array" ref="O1187">SUM( ($E$1016:$E$1039=$E$1107) * ($A$1016:$A$1039=$A1187) * ($D$1016:$D$1039= $D1187) * (O$1016:O$1039) ) * SUM(EF[CO2] * (EF[SATIM Code]= $D1187) )</f>
        <v>0</v>
      </c>
    </row>
    <row r="1188" spans="1:15" s="19" customFormat="1" hidden="1" outlineLevel="1">
      <c r="A1188" s="19" t="str">
        <f t="shared" si="255"/>
        <v>OT</v>
      </c>
      <c r="B1188" s="1400" t="str">
        <f>INDEX(EF[UK Vector],MATCH(D1188,EF[SATIM Code],0))</f>
        <v>V.09</v>
      </c>
      <c r="C1188" s="1401" t="str">
        <f>INDEX(Vectors[Description], MATCH($B1188, Vectors[Code], 0))</f>
        <v>Dry biomass and waste</v>
      </c>
      <c r="D1188" s="1388" t="s">
        <v>889</v>
      </c>
      <c r="E1188" s="1385"/>
      <c r="F1188" s="1389">
        <f t="array" ref="F1188">SUM( ($E$1016:$E$1039=$E$1107) * ($A$1016:$A$1039=$A1188) * ($D$1016:$D$1039= $D1188) * (F$1016:F$1039) ) * SUM(EF[CO2] * (EF[SATIM Code]= $D1188) )</f>
        <v>0</v>
      </c>
      <c r="G1188" s="1389">
        <f t="array" ref="G1188">SUM( ($E$1016:$E$1039=$E$1107) * ($A$1016:$A$1039=$A1188) * ($D$1016:$D$1039= $D1188) * (G$1016:G$1039) ) * SUM(EF[CO2] * (EF[SATIM Code]= $D1188) )</f>
        <v>0</v>
      </c>
      <c r="H1188" s="1389">
        <f t="array" ref="H1188">SUM( ($E$1016:$E$1039=$E$1107) * ($A$1016:$A$1039=$A1188) * ($D$1016:$D$1039= $D1188) * (H$1016:H$1039) ) * SUM(EF[CO2] * (EF[SATIM Code]= $D1188) )</f>
        <v>0</v>
      </c>
      <c r="I1188" s="1389">
        <f t="array" ref="I1188">SUM( ($E$1016:$E$1039=$E$1107) * ($A$1016:$A$1039=$A1188) * ($D$1016:$D$1039= $D1188) * (I$1016:I$1039) ) * SUM(EF[CO2] * (EF[SATIM Code]= $D1188) )</f>
        <v>0</v>
      </c>
      <c r="J1188" s="1389">
        <f t="array" ref="J1188">SUM( ($E$1016:$E$1039=$E$1107) * ($A$1016:$A$1039=$A1188) * ($D$1016:$D$1039= $D1188) * (J$1016:J$1039) ) * SUM(EF[CO2] * (EF[SATIM Code]= $D1188) )</f>
        <v>0</v>
      </c>
      <c r="K1188" s="1389">
        <f t="array" ref="K1188">SUM( ($E$1016:$E$1039=$E$1107) * ($A$1016:$A$1039=$A1188) * ($D$1016:$D$1039= $D1188) * (K$1016:K$1039) ) * SUM(EF[CO2] * (EF[SATIM Code]= $D1188) )</f>
        <v>0</v>
      </c>
      <c r="L1188" s="1389">
        <f t="array" ref="L1188">SUM( ($E$1016:$E$1039=$E$1107) * ($A$1016:$A$1039=$A1188) * ($D$1016:$D$1039= $D1188) * (L$1016:L$1039) ) * SUM(EF[CO2] * (EF[SATIM Code]= $D1188) )</f>
        <v>0</v>
      </c>
      <c r="M1188" s="1389">
        <f t="array" ref="M1188">SUM( ($E$1016:$E$1039=$E$1107) * ($A$1016:$A$1039=$A1188) * ($D$1016:$D$1039= $D1188) * (M$1016:M$1039) ) * SUM(EF[CO2] * (EF[SATIM Code]= $D1188) )</f>
        <v>0</v>
      </c>
      <c r="N1188" s="1389">
        <f t="array" ref="N1188">SUM( ($E$1016:$E$1039=$E$1107) * ($A$1016:$A$1039=$A1188) * ($D$1016:$D$1039= $D1188) * (N$1016:N$1039) ) * SUM(EF[CO2] * (EF[SATIM Code]= $D1188) )</f>
        <v>0</v>
      </c>
      <c r="O1188" s="1389">
        <f t="array" ref="O1188">SUM( ($E$1016:$E$1039=$E$1107) * ($A$1016:$A$1039=$A1188) * ($D$1016:$D$1039= $D1188) * (O$1016:O$1039) ) * SUM(EF[CO2] * (EF[SATIM Code]= $D1188) )</f>
        <v>0</v>
      </c>
    </row>
    <row r="1189" spans="1:15" s="19" customFormat="1" hidden="1" outlineLevel="1">
      <c r="A1189" s="166" t="str">
        <f t="shared" si="255"/>
        <v>OT</v>
      </c>
      <c r="B1189" s="1442" t="str">
        <f>INDEX(EF[UK Vector],MATCH(D1189,EF[SATIM Code],0))</f>
        <v>V.16</v>
      </c>
      <c r="C1189" s="1412" t="str">
        <f>INDEX(Vectors[Description], MATCH($B1189, Vectors[Code], 0))</f>
        <v>Other Waste</v>
      </c>
      <c r="D1189" s="1384" t="s">
        <v>890</v>
      </c>
      <c r="E1189" s="1383"/>
      <c r="F1189" s="1389">
        <f t="array" ref="F1189">SUM( ($E$1016:$E$1039=$E$1107) * ($A$1016:$A$1039=$A1189) * ($D$1016:$D$1039= $D1189) * (F$1016:F$1039) ) * SUM(EF[CO2] * (EF[SATIM Code]= $D1189) )</f>
        <v>0</v>
      </c>
      <c r="G1189" s="1389">
        <f t="array" ref="G1189">SUM( ($E$1016:$E$1039=$E$1107) * ($A$1016:$A$1039=$A1189) * ($D$1016:$D$1039= $D1189) * (G$1016:G$1039) ) * SUM(EF[CO2] * (EF[SATIM Code]= $D1189) )</f>
        <v>0</v>
      </c>
      <c r="H1189" s="1389">
        <f t="array" ref="H1189">SUM( ($E$1016:$E$1039=$E$1107) * ($A$1016:$A$1039=$A1189) * ($D$1016:$D$1039= $D1189) * (H$1016:H$1039) ) * SUM(EF[CO2] * (EF[SATIM Code]= $D1189) )</f>
        <v>0</v>
      </c>
      <c r="I1189" s="1389">
        <f t="array" ref="I1189">SUM( ($E$1016:$E$1039=$E$1107) * ($A$1016:$A$1039=$A1189) * ($D$1016:$D$1039= $D1189) * (I$1016:I$1039) ) * SUM(EF[CO2] * (EF[SATIM Code]= $D1189) )</f>
        <v>0</v>
      </c>
      <c r="J1189" s="1389">
        <f t="array" ref="J1189">SUM( ($E$1016:$E$1039=$E$1107) * ($A$1016:$A$1039=$A1189) * ($D$1016:$D$1039= $D1189) * (J$1016:J$1039) ) * SUM(EF[CO2] * (EF[SATIM Code]= $D1189) )</f>
        <v>0</v>
      </c>
      <c r="K1189" s="1389">
        <f t="array" ref="K1189">SUM( ($E$1016:$E$1039=$E$1107) * ($A$1016:$A$1039=$A1189) * ($D$1016:$D$1039= $D1189) * (K$1016:K$1039) ) * SUM(EF[CO2] * (EF[SATIM Code]= $D1189) )</f>
        <v>0</v>
      </c>
      <c r="L1189" s="1389">
        <f t="array" ref="L1189">SUM( ($E$1016:$E$1039=$E$1107) * ($A$1016:$A$1039=$A1189) * ($D$1016:$D$1039= $D1189) * (L$1016:L$1039) ) * SUM(EF[CO2] * (EF[SATIM Code]= $D1189) )</f>
        <v>0</v>
      </c>
      <c r="M1189" s="1389">
        <f t="array" ref="M1189">SUM( ($E$1016:$E$1039=$E$1107) * ($A$1016:$A$1039=$A1189) * ($D$1016:$D$1039= $D1189) * (M$1016:M$1039) ) * SUM(EF[CO2] * (EF[SATIM Code]= $D1189) )</f>
        <v>0</v>
      </c>
      <c r="N1189" s="1389">
        <f t="array" ref="N1189">SUM( ($E$1016:$E$1039=$E$1107) * ($A$1016:$A$1039=$A1189) * ($D$1016:$D$1039= $D1189) * (N$1016:N$1039) ) * SUM(EF[CO2] * (EF[SATIM Code]= $D1189) )</f>
        <v>0</v>
      </c>
      <c r="O1189" s="1389">
        <f t="array" ref="O1189">SUM( ($E$1016:$E$1039=$E$1107) * ($A$1016:$A$1039=$A1189) * ($D$1016:$D$1039= $D1189) * (O$1016:O$1039) ) * SUM(EF[CO2] * (EF[SATIM Code]= $D1189) )</f>
        <v>0</v>
      </c>
    </row>
    <row r="1190" spans="1:15" s="19" customFormat="1" hidden="1" outlineLevel="1">
      <c r="A1190" s="166"/>
      <c r="B1190" s="1442"/>
      <c r="C1190" s="1412"/>
      <c r="D1190" s="1384"/>
      <c r="E1190" s="1383"/>
      <c r="F1190" s="1382"/>
      <c r="G1190" s="1382"/>
      <c r="H1190" s="1382"/>
      <c r="I1190" s="1382"/>
      <c r="J1190" s="1382"/>
      <c r="K1190" s="1382"/>
      <c r="L1190" s="1382"/>
      <c r="M1190" s="1382"/>
      <c r="N1190" s="1382"/>
      <c r="O1190" s="1382"/>
    </row>
    <row r="1191" spans="1:15" s="19" customFormat="1" hidden="1" outlineLevel="1">
      <c r="B1191" s="347"/>
      <c r="D1191" s="17"/>
      <c r="E1191" s="154"/>
      <c r="F1191" s="71"/>
      <c r="G1191" s="71"/>
      <c r="H1191" s="71"/>
      <c r="I1191" s="71"/>
      <c r="J1191" s="71"/>
      <c r="K1191" s="71"/>
      <c r="L1191" s="71"/>
      <c r="M1191" s="71"/>
      <c r="N1191" s="71"/>
      <c r="O1191" s="71"/>
    </row>
    <row r="1192" spans="1:15" s="19" customFormat="1">
      <c r="A1192" s="348" t="str">
        <f t="shared" ref="A1192:A1199" si="256">C20</f>
        <v>MI</v>
      </c>
      <c r="B1192" s="76"/>
      <c r="C1192" s="348" t="str">
        <f t="shared" ref="C1192:C1199" si="257">D20</f>
        <v>Mining SIC2</v>
      </c>
      <c r="D1192" s="73"/>
      <c r="E1192" s="154"/>
      <c r="F1192" s="71">
        <f t="array" ref="F1192">SUM( ($A$1111:$A$1190=$A1192)  * (F$1111:F$1190) )</f>
        <v>0</v>
      </c>
      <c r="G1192" s="71">
        <f t="array" ref="G1192">SUM( ($A$1111:$A$1190=$A1192)  * (G$1111:G$1190) )</f>
        <v>0</v>
      </c>
      <c r="H1192" s="71">
        <f t="array" ref="H1192">SUM( ($A$1111:$A$1190=$A1192)  * (H$1111:H$1190) )</f>
        <v>0</v>
      </c>
      <c r="I1192" s="71">
        <f t="array" ref="I1192">SUM( ($A$1111:$A$1190=$A1192)  * (I$1111:I$1190) )</f>
        <v>0</v>
      </c>
      <c r="J1192" s="71">
        <f t="array" ref="J1192">SUM( ($A$1111:$A$1190=$A1192)  * (J$1111:J$1190) )</f>
        <v>0</v>
      </c>
      <c r="K1192" s="71">
        <f t="array" ref="K1192">SUM( ($A$1111:$A$1190=$A1192)  * (K$1111:K$1190) )</f>
        <v>0</v>
      </c>
      <c r="L1192" s="71">
        <f t="array" ref="L1192">SUM( ($A$1111:$A$1190=$A1192)  * (L$1111:L$1190) )</f>
        <v>0</v>
      </c>
      <c r="M1192" s="71">
        <f t="array" ref="M1192">SUM( ($A$1111:$A$1190=$A1192)  * (M$1111:M$1190) )</f>
        <v>0</v>
      </c>
      <c r="N1192" s="71">
        <f t="array" ref="N1192">SUM( ($A$1111:$A$1190=$A1192)  * (N$1111:N$1190) )</f>
        <v>0</v>
      </c>
      <c r="O1192" s="71">
        <f t="array" ref="O1192">SUM( ($A$1111:$A$1190=$A1192)  * (O$1111:O$1190) )</f>
        <v>0</v>
      </c>
    </row>
    <row r="1193" spans="1:15" s="19" customFormat="1">
      <c r="A1193" s="1459" t="str">
        <f t="shared" si="256"/>
        <v>IS</v>
      </c>
      <c r="B1193" s="76"/>
      <c r="C1193" s="1459" t="str">
        <f t="shared" si="257"/>
        <v>Iron  &amp; Steel  - 351</v>
      </c>
      <c r="D1193" s="73"/>
      <c r="E1193" s="154"/>
      <c r="F1193" s="71">
        <f t="array" ref="F1193">SUM( ($A$1111:$A$1190=$A1193)  * (F$1111:F$1190) )</f>
        <v>4.7536862412599996</v>
      </c>
      <c r="G1193" s="71">
        <f t="array" ref="G1193">SUM( ($A$1111:$A$1190=$A1193)  * (G$1111:G$1190) )</f>
        <v>5.5050361420568912</v>
      </c>
      <c r="H1193" s="71">
        <f t="array" ref="H1193">SUM( ($A$1111:$A$1190=$A1193)  * (H$1111:H$1190) )</f>
        <v>6.9178390618353491</v>
      </c>
      <c r="I1193" s="71">
        <f t="array" ref="I1193">SUM( ($A$1111:$A$1190=$A1193)  * (I$1111:I$1190) )</f>
        <v>8.7428562376714876</v>
      </c>
      <c r="J1193" s="71">
        <f t="array" ref="J1193">SUM( ($A$1111:$A$1190=$A1193)  * (J$1111:J$1190) )</f>
        <v>10.986591053088663</v>
      </c>
      <c r="K1193" s="71">
        <f t="array" ref="K1193">SUM( ($A$1111:$A$1190=$A1193)  * (K$1111:K$1190) )</f>
        <v>13.805864583798416</v>
      </c>
      <c r="L1193" s="71">
        <f t="array" ref="L1193">SUM( ($A$1111:$A$1190=$A1193)  * (L$1111:L$1190) )</f>
        <v>16.974353608129782</v>
      </c>
      <c r="M1193" s="71">
        <f t="array" ref="M1193">SUM( ($A$1111:$A$1190=$A1193)  * (M$1111:M$1190) )</f>
        <v>20.5065582813174</v>
      </c>
      <c r="N1193" s="71">
        <f t="array" ref="N1193">SUM( ($A$1111:$A$1190=$A1193)  * (N$1111:N$1190) )</f>
        <v>24.190150782925432</v>
      </c>
      <c r="O1193" s="71">
        <f t="array" ref="O1193">SUM( ($A$1111:$A$1190=$A1193)  * (O$1111:O$1190) )</f>
        <v>28.339250183504205</v>
      </c>
    </row>
    <row r="1194" spans="1:15" s="19" customFormat="1">
      <c r="A1194" s="1459" t="str">
        <f t="shared" si="256"/>
        <v>CP</v>
      </c>
      <c r="B1194" s="76"/>
      <c r="C1194" s="1459" t="str">
        <f t="shared" si="257"/>
        <v>Chemicals  -33</v>
      </c>
      <c r="D1194" s="73"/>
      <c r="E1194" s="154"/>
      <c r="F1194" s="71">
        <f t="array" ref="F1194">SUM( ($A$1111:$A$1190=$A1194)  * (F$1111:F$1190) )</f>
        <v>0</v>
      </c>
      <c r="G1194" s="71">
        <f t="array" ref="G1194">SUM( ($A$1111:$A$1190=$A1194)  * (G$1111:G$1190) )</f>
        <v>0</v>
      </c>
      <c r="H1194" s="71">
        <f t="array" ref="H1194">SUM( ($A$1111:$A$1190=$A1194)  * (H$1111:H$1190) )</f>
        <v>0</v>
      </c>
      <c r="I1194" s="71">
        <f t="array" ref="I1194">SUM( ($A$1111:$A$1190=$A1194)  * (I$1111:I$1190) )</f>
        <v>0</v>
      </c>
      <c r="J1194" s="71">
        <f t="array" ref="J1194">SUM( ($A$1111:$A$1190=$A1194)  * (J$1111:J$1190) )</f>
        <v>0</v>
      </c>
      <c r="K1194" s="71">
        <f t="array" ref="K1194">SUM( ($A$1111:$A$1190=$A1194)  * (K$1111:K$1190) )</f>
        <v>0</v>
      </c>
      <c r="L1194" s="71">
        <f t="array" ref="L1194">SUM( ($A$1111:$A$1190=$A1194)  * (L$1111:L$1190) )</f>
        <v>0</v>
      </c>
      <c r="M1194" s="71">
        <f t="array" ref="M1194">SUM( ($A$1111:$A$1190=$A1194)  * (M$1111:M$1190) )</f>
        <v>0</v>
      </c>
      <c r="N1194" s="71">
        <f t="array" ref="N1194">SUM( ($A$1111:$A$1190=$A1194)  * (N$1111:N$1190) )</f>
        <v>0</v>
      </c>
      <c r="O1194" s="71">
        <f t="array" ref="O1194">SUM( ($A$1111:$A$1190=$A1194)  * (O$1111:O$1190) )</f>
        <v>0</v>
      </c>
    </row>
    <row r="1195" spans="1:15" s="19" customFormat="1">
      <c r="A1195" s="1459" t="str">
        <f t="shared" si="256"/>
        <v>NF</v>
      </c>
      <c r="B1195" s="76"/>
      <c r="C1195" s="1459" t="str">
        <f t="shared" si="257"/>
        <v>Non-Ferrous metals  - 352</v>
      </c>
      <c r="D1195" s="73"/>
      <c r="E1195" s="154"/>
      <c r="F1195" s="71">
        <f t="array" ref="F1195">SUM( ($A$1111:$A$1190=$A1195)  * (F$1111:F$1190) )</f>
        <v>0</v>
      </c>
      <c r="G1195" s="71">
        <f t="array" ref="G1195">SUM( ($A$1111:$A$1190=$A1195)  * (G$1111:G$1190) )</f>
        <v>0</v>
      </c>
      <c r="H1195" s="71">
        <f t="array" ref="H1195">SUM( ($A$1111:$A$1190=$A1195)  * (H$1111:H$1190) )</f>
        <v>0</v>
      </c>
      <c r="I1195" s="71">
        <f t="array" ref="I1195">SUM( ($A$1111:$A$1190=$A1195)  * (I$1111:I$1190) )</f>
        <v>0</v>
      </c>
      <c r="J1195" s="71">
        <f t="array" ref="J1195">SUM( ($A$1111:$A$1190=$A1195)  * (J$1111:J$1190) )</f>
        <v>0</v>
      </c>
      <c r="K1195" s="71">
        <f t="array" ref="K1195">SUM( ($A$1111:$A$1190=$A1195)  * (K$1111:K$1190) )</f>
        <v>0</v>
      </c>
      <c r="L1195" s="71">
        <f t="array" ref="L1195">SUM( ($A$1111:$A$1190=$A1195)  * (L$1111:L$1190) )</f>
        <v>0</v>
      </c>
      <c r="M1195" s="71">
        <f t="array" ref="M1195">SUM( ($A$1111:$A$1190=$A1195)  * (M$1111:M$1190) )</f>
        <v>0</v>
      </c>
      <c r="N1195" s="71">
        <f t="array" ref="N1195">SUM( ($A$1111:$A$1190=$A1195)  * (N$1111:N$1190) )</f>
        <v>0</v>
      </c>
      <c r="O1195" s="71">
        <f t="array" ref="O1195">SUM( ($A$1111:$A$1190=$A1195)  * (O$1111:O$1190) )</f>
        <v>0</v>
      </c>
    </row>
    <row r="1196" spans="1:15" s="19" customFormat="1">
      <c r="A1196" s="1459" t="str">
        <f t="shared" si="256"/>
        <v>NM</v>
      </c>
      <c r="B1196" s="76"/>
      <c r="C1196" s="1459" t="str">
        <f t="shared" si="257"/>
        <v>N.M.M Products  -34</v>
      </c>
      <c r="D1196" s="73"/>
      <c r="E1196" s="154"/>
      <c r="F1196" s="71">
        <f t="array" ref="F1196">SUM( ($A$1111:$A$1190=$A1196)  * (F$1111:F$1190) )</f>
        <v>0</v>
      </c>
      <c r="G1196" s="71">
        <f t="array" ref="G1196">SUM( ($A$1111:$A$1190=$A1196)  * (G$1111:G$1190) )</f>
        <v>0</v>
      </c>
      <c r="H1196" s="71">
        <f t="array" ref="H1196">SUM( ($A$1111:$A$1190=$A1196)  * (H$1111:H$1190) )</f>
        <v>0</v>
      </c>
      <c r="I1196" s="71">
        <f t="array" ref="I1196">SUM( ($A$1111:$A$1190=$A1196)  * (I$1111:I$1190) )</f>
        <v>0</v>
      </c>
      <c r="J1196" s="71">
        <f t="array" ref="J1196">SUM( ($A$1111:$A$1190=$A1196)  * (J$1111:J$1190) )</f>
        <v>0</v>
      </c>
      <c r="K1196" s="71">
        <f t="array" ref="K1196">SUM( ($A$1111:$A$1190=$A1196)  * (K$1111:K$1190) )</f>
        <v>0</v>
      </c>
      <c r="L1196" s="71">
        <f t="array" ref="L1196">SUM( ($A$1111:$A$1190=$A1196)  * (L$1111:L$1190) )</f>
        <v>0</v>
      </c>
      <c r="M1196" s="71">
        <f t="array" ref="M1196">SUM( ($A$1111:$A$1190=$A1196)  * (M$1111:M$1190) )</f>
        <v>0</v>
      </c>
      <c r="N1196" s="71">
        <f t="array" ref="N1196">SUM( ($A$1111:$A$1190=$A1196)  * (N$1111:N$1190) )</f>
        <v>0</v>
      </c>
      <c r="O1196" s="71">
        <f t="array" ref="O1196">SUM( ($A$1111:$A$1190=$A1196)  * (O$1111:O$1190) )</f>
        <v>0</v>
      </c>
    </row>
    <row r="1197" spans="1:15" s="19" customFormat="1">
      <c r="A1197" s="1459" t="str">
        <f t="shared" si="256"/>
        <v>FB</v>
      </c>
      <c r="B1197" s="76"/>
      <c r="C1197" s="1459" t="str">
        <f t="shared" si="257"/>
        <v>Food, Beverage &amp; Tabacco  - 30</v>
      </c>
      <c r="D1197" s="73"/>
      <c r="E1197" s="154"/>
      <c r="F1197" s="71">
        <f t="array" ref="F1197">SUM( ($A$1111:$A$1190=$A1197)  * (F$1111:F$1190) )</f>
        <v>0</v>
      </c>
      <c r="G1197" s="71">
        <f t="array" ref="G1197">SUM( ($A$1111:$A$1190=$A1197)  * (G$1111:G$1190) )</f>
        <v>0</v>
      </c>
      <c r="H1197" s="71">
        <f t="array" ref="H1197">SUM( ($A$1111:$A$1190=$A1197)  * (H$1111:H$1190) )</f>
        <v>0</v>
      </c>
      <c r="I1197" s="71">
        <f t="array" ref="I1197">SUM( ($A$1111:$A$1190=$A1197)  * (I$1111:I$1190) )</f>
        <v>0</v>
      </c>
      <c r="J1197" s="71">
        <f t="array" ref="J1197">SUM( ($A$1111:$A$1190=$A1197)  * (J$1111:J$1190) )</f>
        <v>0</v>
      </c>
      <c r="K1197" s="71">
        <f t="array" ref="K1197">SUM( ($A$1111:$A$1190=$A1197)  * (K$1111:K$1190) )</f>
        <v>0</v>
      </c>
      <c r="L1197" s="71">
        <f t="array" ref="L1197">SUM( ($A$1111:$A$1190=$A1197)  * (L$1111:L$1190) )</f>
        <v>0</v>
      </c>
      <c r="M1197" s="71">
        <f t="array" ref="M1197">SUM( ($A$1111:$A$1190=$A1197)  * (M$1111:M$1190) )</f>
        <v>0</v>
      </c>
      <c r="N1197" s="71">
        <f t="array" ref="N1197">SUM( ($A$1111:$A$1190=$A1197)  * (N$1111:N$1190) )</f>
        <v>0</v>
      </c>
      <c r="O1197" s="71">
        <f t="array" ref="O1197">SUM( ($A$1111:$A$1190=$A1197)  * (O$1111:O$1190) )</f>
        <v>0</v>
      </c>
    </row>
    <row r="1198" spans="1:15" s="19" customFormat="1">
      <c r="A1198" s="1459" t="str">
        <f t="shared" si="256"/>
        <v>PP</v>
      </c>
      <c r="B1198" s="76"/>
      <c r="C1198" s="1459" t="str">
        <f t="shared" si="257"/>
        <v>Pulp &amp; Paper Products  -323</v>
      </c>
      <c r="D1198" s="73"/>
      <c r="E1198" s="154"/>
      <c r="F1198" s="71">
        <f t="array" ref="F1198">SUM( ($A$1111:$A$1190=$A1198)  * (F$1111:F$1190) )</f>
        <v>0</v>
      </c>
      <c r="G1198" s="71">
        <f t="array" ref="G1198">SUM( ($A$1111:$A$1190=$A1198)  * (G$1111:G$1190) )</f>
        <v>0</v>
      </c>
      <c r="H1198" s="71">
        <f t="array" ref="H1198">SUM( ($A$1111:$A$1190=$A1198)  * (H$1111:H$1190) )</f>
        <v>0</v>
      </c>
      <c r="I1198" s="71">
        <f t="array" ref="I1198">SUM( ($A$1111:$A$1190=$A1198)  * (I$1111:I$1190) )</f>
        <v>0</v>
      </c>
      <c r="J1198" s="71">
        <f t="array" ref="J1198">SUM( ($A$1111:$A$1190=$A1198)  * (J$1111:J$1190) )</f>
        <v>0</v>
      </c>
      <c r="K1198" s="71">
        <f t="array" ref="K1198">SUM( ($A$1111:$A$1190=$A1198)  * (K$1111:K$1190) )</f>
        <v>0</v>
      </c>
      <c r="L1198" s="71">
        <f t="array" ref="L1198">SUM( ($A$1111:$A$1190=$A1198)  * (L$1111:L$1190) )</f>
        <v>0</v>
      </c>
      <c r="M1198" s="71">
        <f t="array" ref="M1198">SUM( ($A$1111:$A$1190=$A1198)  * (M$1111:M$1190) )</f>
        <v>0</v>
      </c>
      <c r="N1198" s="71">
        <f t="array" ref="N1198">SUM( ($A$1111:$A$1190=$A1198)  * (N$1111:N$1190) )</f>
        <v>0</v>
      </c>
      <c r="O1198" s="71">
        <f t="array" ref="O1198">SUM( ($A$1111:$A$1190=$A1198)  * (O$1111:O$1190) )</f>
        <v>0</v>
      </c>
    </row>
    <row r="1199" spans="1:15" s="19" customFormat="1">
      <c r="A1199" s="1459" t="str">
        <f t="shared" si="256"/>
        <v>OT</v>
      </c>
      <c r="B1199" s="76"/>
      <c r="C1199" s="1459" t="str">
        <f t="shared" si="257"/>
        <v>Other</v>
      </c>
      <c r="D1199" s="654"/>
      <c r="E1199" s="154"/>
      <c r="F1199" s="71">
        <f t="array" ref="F1199">SUM( ($A$1111:$A$1190=$A1199)  * (F$1111:F$1190) )</f>
        <v>0</v>
      </c>
      <c r="G1199" s="71">
        <f t="array" ref="G1199">SUM( ($A$1111:$A$1190=$A1199)  * (G$1111:G$1190) )</f>
        <v>0</v>
      </c>
      <c r="H1199" s="71">
        <f t="array" ref="H1199">SUM( ($A$1111:$A$1190=$A1199)  * (H$1111:H$1190) )</f>
        <v>0</v>
      </c>
      <c r="I1199" s="71">
        <f t="array" ref="I1199">SUM( ($A$1111:$A$1190=$A1199)  * (I$1111:I$1190) )</f>
        <v>0</v>
      </c>
      <c r="J1199" s="71">
        <f t="array" ref="J1199">SUM( ($A$1111:$A$1190=$A1199)  * (J$1111:J$1190) )</f>
        <v>0</v>
      </c>
      <c r="K1199" s="71">
        <f t="array" ref="K1199">SUM( ($A$1111:$A$1190=$A1199)  * (K$1111:K$1190) )</f>
        <v>0</v>
      </c>
      <c r="L1199" s="71">
        <f t="array" ref="L1199">SUM( ($A$1111:$A$1190=$A1199)  * (L$1111:L$1190) )</f>
        <v>0</v>
      </c>
      <c r="M1199" s="71">
        <f t="array" ref="M1199">SUM( ($A$1111:$A$1190=$A1199)  * (M$1111:M$1190) )</f>
        <v>0</v>
      </c>
      <c r="N1199" s="71">
        <f t="array" ref="N1199">SUM( ($A$1111:$A$1190=$A1199)  * (N$1111:N$1190) )</f>
        <v>0</v>
      </c>
      <c r="O1199" s="71">
        <f t="array" ref="O1199">SUM( ($A$1111:$A$1190=$A1199)  * (O$1111:O$1190) )</f>
        <v>0</v>
      </c>
    </row>
    <row r="1200" spans="1:15" s="19" customFormat="1">
      <c r="B1200" s="347"/>
      <c r="D1200" s="644"/>
      <c r="E1200" s="154"/>
      <c r="F1200" s="22"/>
      <c r="G1200" s="22"/>
      <c r="H1200" s="22"/>
      <c r="I1200" s="22"/>
      <c r="J1200" s="22"/>
      <c r="K1200" s="22"/>
      <c r="L1200" s="22"/>
      <c r="M1200" s="22"/>
      <c r="N1200" s="22"/>
      <c r="O1200" s="22"/>
    </row>
    <row r="1201" spans="1:15" s="19" customFormat="1" ht="17">
      <c r="B1201" s="347"/>
      <c r="C1201" s="348" t="s">
        <v>427</v>
      </c>
      <c r="D1201" s="644"/>
      <c r="E1201" s="194" t="s">
        <v>413</v>
      </c>
      <c r="F1201" s="524">
        <f t="shared" ref="F1201:O1201" si="258">SUM(F1192:F1200)</f>
        <v>4.7536862412599996</v>
      </c>
      <c r="G1201" s="524">
        <f t="shared" si="258"/>
        <v>5.5050361420568912</v>
      </c>
      <c r="H1201" s="524">
        <f t="shared" si="258"/>
        <v>6.9178390618353491</v>
      </c>
      <c r="I1201" s="524">
        <f t="shared" si="258"/>
        <v>8.7428562376714876</v>
      </c>
      <c r="J1201" s="524">
        <f t="shared" si="258"/>
        <v>10.986591053088663</v>
      </c>
      <c r="K1201" s="524">
        <f t="shared" si="258"/>
        <v>13.805864583798416</v>
      </c>
      <c r="L1201" s="524">
        <f t="shared" si="258"/>
        <v>16.974353608129782</v>
      </c>
      <c r="M1201" s="524">
        <f t="shared" si="258"/>
        <v>20.5065582813174</v>
      </c>
      <c r="N1201" s="524">
        <f t="shared" si="258"/>
        <v>24.190150782925432</v>
      </c>
      <c r="O1201" s="524">
        <f t="shared" si="258"/>
        <v>28.339250183504205</v>
      </c>
    </row>
    <row r="1202" spans="1:15" s="19" customFormat="1">
      <c r="B1202" s="348"/>
      <c r="C1202" s="1086"/>
      <c r="D1202" s="644"/>
    </row>
    <row r="1203" spans="1:15" s="19" customFormat="1" collapsed="1">
      <c r="B1203" s="76" t="s">
        <v>350</v>
      </c>
      <c r="D1203" s="644"/>
      <c r="E1203" s="194"/>
    </row>
    <row r="1204" spans="1:15" s="19" customFormat="1" hidden="1" outlineLevel="1">
      <c r="B1204" s="1393"/>
      <c r="C1204" s="1407" t="str">
        <f>D20</f>
        <v>Mining SIC2</v>
      </c>
      <c r="D1204" s="1391"/>
      <c r="E1204" s="1393"/>
      <c r="F1204" s="1401"/>
      <c r="G1204" s="1401"/>
      <c r="H1204" s="1401"/>
      <c r="I1204" s="1401"/>
      <c r="J1204" s="1401"/>
      <c r="K1204" s="1401"/>
      <c r="L1204" s="1401"/>
      <c r="M1204" s="1401"/>
      <c r="N1204" s="1401"/>
      <c r="O1204" s="1401"/>
    </row>
    <row r="1205" spans="1:15" s="19" customFormat="1" hidden="1" outlineLevel="1">
      <c r="A1205" s="1438" t="str">
        <f>INDEX($C$20:$C$27,MATCH($C1204,$D$20:$D$27,0))</f>
        <v>MI</v>
      </c>
      <c r="B1205" s="1400" t="str">
        <f>INDEX(EF[UK Vector],MATCH(D1205,EF[SATIM Code],0))</f>
        <v>V.03</v>
      </c>
      <c r="C1205" s="1401" t="str">
        <f>INDEX(Vectors[Description], MATCH($B1205, Vectors[Code], 0))</f>
        <v>Solid hydrocarbons</v>
      </c>
      <c r="D1205" s="1391" t="s">
        <v>882</v>
      </c>
      <c r="E1205" s="1439" t="s">
        <v>1836</v>
      </c>
      <c r="F1205" s="1381">
        <f t="array" ref="F1205">SUM(($E$1016:$E$1039=$E$1107)* ($A$1016:$A$1039=$A1205) * ($D$1016:$D$1039= $D1205) * (F$1016:F$1039) ) * SUM(EF[CH4] * (EF[SATIM Code]= $D1205) )</f>
        <v>0</v>
      </c>
      <c r="G1205" s="1381">
        <f t="array" ref="G1205">SUM(($E$1016:$E$1039=$E$1107)* ($A$1016:$A$1039=$A1205) * ($D$1016:$D$1039= $D1205) * (G$1016:G$1039) ) * SUM(EF[CH4] * (EF[SATIM Code]= $D1205) )</f>
        <v>0</v>
      </c>
      <c r="H1205" s="1381">
        <f t="array" ref="H1205">SUM(($E$1016:$E$1039=$E$1107)* ($A$1016:$A$1039=$A1205) * ($D$1016:$D$1039= $D1205) * (H$1016:H$1039) ) * SUM(EF[CH4] * (EF[SATIM Code]= $D1205) )</f>
        <v>0</v>
      </c>
      <c r="I1205" s="1381">
        <f t="array" ref="I1205">SUM(($E$1016:$E$1039=$E$1107)* ($A$1016:$A$1039=$A1205) * ($D$1016:$D$1039= $D1205) * (I$1016:I$1039) ) * SUM(EF[CH4] * (EF[SATIM Code]= $D1205) )</f>
        <v>0</v>
      </c>
      <c r="J1205" s="1381">
        <f t="array" ref="J1205">SUM(($E$1016:$E$1039=$E$1107)* ($A$1016:$A$1039=$A1205) * ($D$1016:$D$1039= $D1205) * (J$1016:J$1039) ) * SUM(EF[CH4] * (EF[SATIM Code]= $D1205) )</f>
        <v>0</v>
      </c>
      <c r="K1205" s="1381">
        <f t="array" ref="K1205">SUM(($E$1016:$E$1039=$E$1107)* ($A$1016:$A$1039=$A1205) * ($D$1016:$D$1039= $D1205) * (K$1016:K$1039) ) * SUM(EF[CH4] * (EF[SATIM Code]= $D1205) )</f>
        <v>0</v>
      </c>
      <c r="L1205" s="1381">
        <f t="array" ref="L1205">SUM(($E$1016:$E$1039=$E$1107)* ($A$1016:$A$1039=$A1205) * ($D$1016:$D$1039= $D1205) * (L$1016:L$1039) ) * SUM(EF[CH4] * (EF[SATIM Code]= $D1205) )</f>
        <v>0</v>
      </c>
      <c r="M1205" s="1381">
        <f t="array" ref="M1205">SUM(($E$1016:$E$1039=$E$1107)* ($A$1016:$A$1039=$A1205) * ($D$1016:$D$1039= $D1205) * (M$1016:M$1039) ) * SUM(EF[CH4] * (EF[SATIM Code]= $D1205) )</f>
        <v>0</v>
      </c>
      <c r="N1205" s="1381">
        <f t="array" ref="N1205">SUM(($E$1016:$E$1039=$E$1107)* ($A$1016:$A$1039=$A1205) * ($D$1016:$D$1039= $D1205) * (N$1016:N$1039) ) * SUM(EF[CH4] * (EF[SATIM Code]= $D1205) )</f>
        <v>0</v>
      </c>
      <c r="O1205" s="1381">
        <f t="array" ref="O1205">SUM(($E$1016:$E$1039=$E$1107)* ($A$1016:$A$1039=$A1205) * ($D$1016:$D$1039= $D1205) * (O$1016:O$1039) ) * SUM(EF[CH4] * (EF[SATIM Code]= $D1205) )</f>
        <v>0</v>
      </c>
    </row>
    <row r="1206" spans="1:15" s="19" customFormat="1" hidden="1" outlineLevel="1">
      <c r="A1206" s="19" t="str">
        <f t="shared" ref="A1206:A1213" si="259">A1205</f>
        <v>MI</v>
      </c>
      <c r="B1206" s="1400" t="str">
        <f>INDEX(EF[UK Vector],MATCH(D1206,EF[SATIM Code],0))</f>
        <v>V.03</v>
      </c>
      <c r="C1206" s="1401" t="str">
        <f>INDEX(Vectors[Description], MATCH($B1206, Vectors[Code], 0))</f>
        <v>Solid hydrocarbons</v>
      </c>
      <c r="D1206" s="1391" t="s">
        <v>883</v>
      </c>
      <c r="E1206" s="1393"/>
      <c r="F1206" s="1381">
        <f t="array" ref="F1206">SUM(($E$1016:$E$1039=$E$1107)* ($A$1016:$A$1039=$A1206) * ($D$1016:$D$1039= $D1206) * (F$1016:F$1039) ) * SUM(EF[CH4] * (EF[SATIM Code]= $D1206) )</f>
        <v>0</v>
      </c>
      <c r="G1206" s="1381">
        <f t="array" ref="G1206">SUM(($E$1016:$E$1039=$E$1107)* ($A$1016:$A$1039=$A1206) * ($D$1016:$D$1039= $D1206) * (G$1016:G$1039) ) * SUM(EF[CH4] * (EF[SATIM Code]= $D1206) )</f>
        <v>0</v>
      </c>
      <c r="H1206" s="1381">
        <f t="array" ref="H1206">SUM(($E$1016:$E$1039=$E$1107)* ($A$1016:$A$1039=$A1206) * ($D$1016:$D$1039= $D1206) * (H$1016:H$1039) ) * SUM(EF[CH4] * (EF[SATIM Code]= $D1206) )</f>
        <v>0</v>
      </c>
      <c r="I1206" s="1381">
        <f t="array" ref="I1206">SUM(($E$1016:$E$1039=$E$1107)* ($A$1016:$A$1039=$A1206) * ($D$1016:$D$1039= $D1206) * (I$1016:I$1039) ) * SUM(EF[CH4] * (EF[SATIM Code]= $D1206) )</f>
        <v>0</v>
      </c>
      <c r="J1206" s="1381">
        <f t="array" ref="J1206">SUM(($E$1016:$E$1039=$E$1107)* ($A$1016:$A$1039=$A1206) * ($D$1016:$D$1039= $D1206) * (J$1016:J$1039) ) * SUM(EF[CH4] * (EF[SATIM Code]= $D1206) )</f>
        <v>0</v>
      </c>
      <c r="K1206" s="1381">
        <f t="array" ref="K1206">SUM(($E$1016:$E$1039=$E$1107)* ($A$1016:$A$1039=$A1206) * ($D$1016:$D$1039= $D1206) * (K$1016:K$1039) ) * SUM(EF[CH4] * (EF[SATIM Code]= $D1206) )</f>
        <v>0</v>
      </c>
      <c r="L1206" s="1381">
        <f t="array" ref="L1206">SUM(($E$1016:$E$1039=$E$1107)* ($A$1016:$A$1039=$A1206) * ($D$1016:$D$1039= $D1206) * (L$1016:L$1039) ) * SUM(EF[CH4] * (EF[SATIM Code]= $D1206) )</f>
        <v>0</v>
      </c>
      <c r="M1206" s="1381">
        <f t="array" ref="M1206">SUM(($E$1016:$E$1039=$E$1107)* ($A$1016:$A$1039=$A1206) * ($D$1016:$D$1039= $D1206) * (M$1016:M$1039) ) * SUM(EF[CH4] * (EF[SATIM Code]= $D1206) )</f>
        <v>0</v>
      </c>
      <c r="N1206" s="1381">
        <f t="array" ref="N1206">SUM(($E$1016:$E$1039=$E$1107)* ($A$1016:$A$1039=$A1206) * ($D$1016:$D$1039= $D1206) * (N$1016:N$1039) ) * SUM(EF[CH4] * (EF[SATIM Code]= $D1206) )</f>
        <v>0</v>
      </c>
      <c r="O1206" s="1381">
        <f t="array" ref="O1206">SUM(($E$1016:$E$1039=$E$1107)* ($A$1016:$A$1039=$A1206) * ($D$1016:$D$1039= $D1206) * (O$1016:O$1039) ) * SUM(EF[CH4] * (EF[SATIM Code]= $D1206) )</f>
        <v>0</v>
      </c>
    </row>
    <row r="1207" spans="1:15" s="19" customFormat="1" hidden="1" outlineLevel="1">
      <c r="A1207" s="19" t="str">
        <f t="shared" si="259"/>
        <v>MI</v>
      </c>
      <c r="B1207" s="1400" t="str">
        <f>INDEX(EF[UK Vector],MATCH(D1207,EF[SATIM Code],0))</f>
        <v>V.05</v>
      </c>
      <c r="C1207" s="1401" t="str">
        <f>INDEX(Vectors[Description], MATCH($B1207, Vectors[Code], 0))</f>
        <v>Gaseous hydrocarbons</v>
      </c>
      <c r="D1207" s="1406" t="s">
        <v>869</v>
      </c>
      <c r="E1207" s="1393"/>
      <c r="F1207" s="1381">
        <f t="array" ref="F1207">SUM(($E$1016:$E$1039=$E$1107)* ($A$1016:$A$1039=$A1207) * ($D$1016:$D$1039= $D1207) * (F$1016:F$1039) ) * SUM(EF[CH4] * (EF[SATIM Code]= $D1207) )</f>
        <v>0</v>
      </c>
      <c r="G1207" s="1381">
        <f t="array" ref="G1207">SUM(($E$1016:$E$1039=$E$1107)* ($A$1016:$A$1039=$A1207) * ($D$1016:$D$1039= $D1207) * (G$1016:G$1039) ) * SUM(EF[CH4] * (EF[SATIM Code]= $D1207) )</f>
        <v>0</v>
      </c>
      <c r="H1207" s="1381">
        <f t="array" ref="H1207">SUM(($E$1016:$E$1039=$E$1107)* ($A$1016:$A$1039=$A1207) * ($D$1016:$D$1039= $D1207) * (H$1016:H$1039) ) * SUM(EF[CH4] * (EF[SATIM Code]= $D1207) )</f>
        <v>0</v>
      </c>
      <c r="I1207" s="1381">
        <f t="array" ref="I1207">SUM(($E$1016:$E$1039=$E$1107)* ($A$1016:$A$1039=$A1207) * ($D$1016:$D$1039= $D1207) * (I$1016:I$1039) ) * SUM(EF[CH4] * (EF[SATIM Code]= $D1207) )</f>
        <v>0</v>
      </c>
      <c r="J1207" s="1381">
        <f t="array" ref="J1207">SUM(($E$1016:$E$1039=$E$1107)* ($A$1016:$A$1039=$A1207) * ($D$1016:$D$1039= $D1207) * (J$1016:J$1039) ) * SUM(EF[CH4] * (EF[SATIM Code]= $D1207) )</f>
        <v>0</v>
      </c>
      <c r="K1207" s="1381">
        <f t="array" ref="K1207">SUM(($E$1016:$E$1039=$E$1107)* ($A$1016:$A$1039=$A1207) * ($D$1016:$D$1039= $D1207) * (K$1016:K$1039) ) * SUM(EF[CH4] * (EF[SATIM Code]= $D1207) )</f>
        <v>0</v>
      </c>
      <c r="L1207" s="1381">
        <f t="array" ref="L1207">SUM(($E$1016:$E$1039=$E$1107)* ($A$1016:$A$1039=$A1207) * ($D$1016:$D$1039= $D1207) * (L$1016:L$1039) ) * SUM(EF[CH4] * (EF[SATIM Code]= $D1207) )</f>
        <v>0</v>
      </c>
      <c r="M1207" s="1381">
        <f t="array" ref="M1207">SUM(($E$1016:$E$1039=$E$1107)* ($A$1016:$A$1039=$A1207) * ($D$1016:$D$1039= $D1207) * (M$1016:M$1039) ) * SUM(EF[CH4] * (EF[SATIM Code]= $D1207) )</f>
        <v>0</v>
      </c>
      <c r="N1207" s="1381">
        <f t="array" ref="N1207">SUM(($E$1016:$E$1039=$E$1107)* ($A$1016:$A$1039=$A1207) * ($D$1016:$D$1039= $D1207) * (N$1016:N$1039) ) * SUM(EF[CH4] * (EF[SATIM Code]= $D1207) )</f>
        <v>0</v>
      </c>
      <c r="O1207" s="1381">
        <f t="array" ref="O1207">SUM(($E$1016:$E$1039=$E$1107)* ($A$1016:$A$1039=$A1207) * ($D$1016:$D$1039= $D1207) * (O$1016:O$1039) ) * SUM(EF[CH4] * (EF[SATIM Code]= $D1207) )</f>
        <v>0</v>
      </c>
    </row>
    <row r="1208" spans="1:15" s="19" customFormat="1" hidden="1" outlineLevel="1">
      <c r="A1208" s="19" t="str">
        <f t="shared" si="259"/>
        <v>MI</v>
      </c>
      <c r="B1208" s="1400" t="str">
        <f>INDEX(EF[UK Vector],MATCH(D1208,EF[SATIM Code],0))</f>
        <v>V.04</v>
      </c>
      <c r="C1208" s="1401" t="str">
        <f>INDEX(Vectors[Description], MATCH($B1208, Vectors[Code], 0))</f>
        <v>Liquid hydrocarbons</v>
      </c>
      <c r="D1208" s="1406" t="s">
        <v>885</v>
      </c>
      <c r="E1208" s="1393"/>
      <c r="F1208" s="1381">
        <f t="array" ref="F1208">SUM(($E$1016:$E$1039=$E$1107)* ($A$1016:$A$1039=$A1208) * ($D$1016:$D$1039= $D1208) * (F$1016:F$1039) ) * SUM(EF[CH4] * (EF[SATIM Code]= $D1208) )</f>
        <v>0</v>
      </c>
      <c r="G1208" s="1381">
        <f t="array" ref="G1208">SUM(($E$1016:$E$1039=$E$1107)* ($A$1016:$A$1039=$A1208) * ($D$1016:$D$1039= $D1208) * (G$1016:G$1039) ) * SUM(EF[CH4] * (EF[SATIM Code]= $D1208) )</f>
        <v>0</v>
      </c>
      <c r="H1208" s="1381">
        <f t="array" ref="H1208">SUM(($E$1016:$E$1039=$E$1107)* ($A$1016:$A$1039=$A1208) * ($D$1016:$D$1039= $D1208) * (H$1016:H$1039) ) * SUM(EF[CH4] * (EF[SATIM Code]= $D1208) )</f>
        <v>0</v>
      </c>
      <c r="I1208" s="1381">
        <f t="array" ref="I1208">SUM(($E$1016:$E$1039=$E$1107)* ($A$1016:$A$1039=$A1208) * ($D$1016:$D$1039= $D1208) * (I$1016:I$1039) ) * SUM(EF[CH4] * (EF[SATIM Code]= $D1208) )</f>
        <v>0</v>
      </c>
      <c r="J1208" s="1381">
        <f t="array" ref="J1208">SUM(($E$1016:$E$1039=$E$1107)* ($A$1016:$A$1039=$A1208) * ($D$1016:$D$1039= $D1208) * (J$1016:J$1039) ) * SUM(EF[CH4] * (EF[SATIM Code]= $D1208) )</f>
        <v>0</v>
      </c>
      <c r="K1208" s="1381">
        <f t="array" ref="K1208">SUM(($E$1016:$E$1039=$E$1107)* ($A$1016:$A$1039=$A1208) * ($D$1016:$D$1039= $D1208) * (K$1016:K$1039) ) * SUM(EF[CH4] * (EF[SATIM Code]= $D1208) )</f>
        <v>0</v>
      </c>
      <c r="L1208" s="1381">
        <f t="array" ref="L1208">SUM(($E$1016:$E$1039=$E$1107)* ($A$1016:$A$1039=$A1208) * ($D$1016:$D$1039= $D1208) * (L$1016:L$1039) ) * SUM(EF[CH4] * (EF[SATIM Code]= $D1208) )</f>
        <v>0</v>
      </c>
      <c r="M1208" s="1381">
        <f t="array" ref="M1208">SUM(($E$1016:$E$1039=$E$1107)* ($A$1016:$A$1039=$A1208) * ($D$1016:$D$1039= $D1208) * (M$1016:M$1039) ) * SUM(EF[CH4] * (EF[SATIM Code]= $D1208) )</f>
        <v>0</v>
      </c>
      <c r="N1208" s="1381">
        <f t="array" ref="N1208">SUM(($E$1016:$E$1039=$E$1107)* ($A$1016:$A$1039=$A1208) * ($D$1016:$D$1039= $D1208) * (N$1016:N$1039) ) * SUM(EF[CH4] * (EF[SATIM Code]= $D1208) )</f>
        <v>0</v>
      </c>
      <c r="O1208" s="1381">
        <f t="array" ref="O1208">SUM(($E$1016:$E$1039=$E$1107)* ($A$1016:$A$1039=$A1208) * ($D$1016:$D$1039= $D1208) * (O$1016:O$1039) ) * SUM(EF[CH4] * (EF[SATIM Code]= $D1208) )</f>
        <v>0</v>
      </c>
    </row>
    <row r="1209" spans="1:15" s="19" customFormat="1" hidden="1" outlineLevel="1">
      <c r="A1209" s="19" t="str">
        <f t="shared" si="259"/>
        <v>MI</v>
      </c>
      <c r="B1209" s="1400" t="str">
        <f>INDEX(EF[UK Vector],MATCH(D1209,EF[SATIM Code],0))</f>
        <v>V.04</v>
      </c>
      <c r="C1209" s="1401" t="str">
        <f>INDEX(Vectors[Description], MATCH($B1209, Vectors[Code], 0))</f>
        <v>Liquid hydrocarbons</v>
      </c>
      <c r="D1209" s="1391" t="s">
        <v>886</v>
      </c>
      <c r="E1209" s="1393"/>
      <c r="F1209" s="1381">
        <f t="array" ref="F1209">SUM(($E$1016:$E$1039=$E$1107)* ($A$1016:$A$1039=$A1209) * ($D$1016:$D$1039= $D1209) * (F$1016:F$1039) ) * SUM(EF[CH4] * (EF[SATIM Code]= $D1209) )</f>
        <v>0</v>
      </c>
      <c r="G1209" s="1381">
        <f t="array" ref="G1209">SUM(($E$1016:$E$1039=$E$1107)* ($A$1016:$A$1039=$A1209) * ($D$1016:$D$1039= $D1209) * (G$1016:G$1039) ) * SUM(EF[CH4] * (EF[SATIM Code]= $D1209) )</f>
        <v>0</v>
      </c>
      <c r="H1209" s="1381">
        <f t="array" ref="H1209">SUM(($E$1016:$E$1039=$E$1107)* ($A$1016:$A$1039=$A1209) * ($D$1016:$D$1039= $D1209) * (H$1016:H$1039) ) * SUM(EF[CH4] * (EF[SATIM Code]= $D1209) )</f>
        <v>0</v>
      </c>
      <c r="I1209" s="1381">
        <f t="array" ref="I1209">SUM(($E$1016:$E$1039=$E$1107)* ($A$1016:$A$1039=$A1209) * ($D$1016:$D$1039= $D1209) * (I$1016:I$1039) ) * SUM(EF[CH4] * (EF[SATIM Code]= $D1209) )</f>
        <v>0</v>
      </c>
      <c r="J1209" s="1381">
        <f t="array" ref="J1209">SUM(($E$1016:$E$1039=$E$1107)* ($A$1016:$A$1039=$A1209) * ($D$1016:$D$1039= $D1209) * (J$1016:J$1039) ) * SUM(EF[CH4] * (EF[SATIM Code]= $D1209) )</f>
        <v>0</v>
      </c>
      <c r="K1209" s="1381">
        <f t="array" ref="K1209">SUM(($E$1016:$E$1039=$E$1107)* ($A$1016:$A$1039=$A1209) * ($D$1016:$D$1039= $D1209) * (K$1016:K$1039) ) * SUM(EF[CH4] * (EF[SATIM Code]= $D1209) )</f>
        <v>0</v>
      </c>
      <c r="L1209" s="1381">
        <f t="array" ref="L1209">SUM(($E$1016:$E$1039=$E$1107)* ($A$1016:$A$1039=$A1209) * ($D$1016:$D$1039= $D1209) * (L$1016:L$1039) ) * SUM(EF[CH4] * (EF[SATIM Code]= $D1209) )</f>
        <v>0</v>
      </c>
      <c r="M1209" s="1381">
        <f t="array" ref="M1209">SUM(($E$1016:$E$1039=$E$1107)* ($A$1016:$A$1039=$A1209) * ($D$1016:$D$1039= $D1209) * (M$1016:M$1039) ) * SUM(EF[CH4] * (EF[SATIM Code]= $D1209) )</f>
        <v>0</v>
      </c>
      <c r="N1209" s="1381">
        <f t="array" ref="N1209">SUM(($E$1016:$E$1039=$E$1107)* ($A$1016:$A$1039=$A1209) * ($D$1016:$D$1039= $D1209) * (N$1016:N$1039) ) * SUM(EF[CH4] * (EF[SATIM Code]= $D1209) )</f>
        <v>0</v>
      </c>
      <c r="O1209" s="1381">
        <f t="array" ref="O1209">SUM(($E$1016:$E$1039=$E$1107)* ($A$1016:$A$1039=$A1209) * ($D$1016:$D$1039= $D1209) * (O$1016:O$1039) ) * SUM(EF[CH4] * (EF[SATIM Code]= $D1209) )</f>
        <v>0</v>
      </c>
    </row>
    <row r="1210" spans="1:15" s="19" customFormat="1" hidden="1" outlineLevel="1">
      <c r="A1210" s="19" t="str">
        <f t="shared" si="259"/>
        <v>MI</v>
      </c>
      <c r="B1210" s="1400" t="str">
        <f>INDEX(EF[UK Vector],MATCH(D1210,EF[SATIM Code],0))</f>
        <v>V.04</v>
      </c>
      <c r="C1210" s="1401" t="str">
        <f>INDEX(Vectors[Description], MATCH($B1210, Vectors[Code], 0))</f>
        <v>Liquid hydrocarbons</v>
      </c>
      <c r="D1210" s="1406" t="s">
        <v>887</v>
      </c>
      <c r="E1210" s="1401"/>
      <c r="F1210" s="1381">
        <f t="array" ref="F1210">SUM(($E$1016:$E$1039=$E$1107)* ($A$1016:$A$1039=$A1210) * ($D$1016:$D$1039= $D1210) * (F$1016:F$1039) ) * SUM(EF[CH4] * (EF[SATIM Code]= $D1210) )</f>
        <v>0</v>
      </c>
      <c r="G1210" s="1381">
        <f t="array" ref="G1210">SUM(($E$1016:$E$1039=$E$1107)* ($A$1016:$A$1039=$A1210) * ($D$1016:$D$1039= $D1210) * (G$1016:G$1039) ) * SUM(EF[CH4] * (EF[SATIM Code]= $D1210) )</f>
        <v>0</v>
      </c>
      <c r="H1210" s="1381">
        <f t="array" ref="H1210">SUM(($E$1016:$E$1039=$E$1107)* ($A$1016:$A$1039=$A1210) * ($D$1016:$D$1039= $D1210) * (H$1016:H$1039) ) * SUM(EF[CH4] * (EF[SATIM Code]= $D1210) )</f>
        <v>0</v>
      </c>
      <c r="I1210" s="1381">
        <f t="array" ref="I1210">SUM(($E$1016:$E$1039=$E$1107)* ($A$1016:$A$1039=$A1210) * ($D$1016:$D$1039= $D1210) * (I$1016:I$1039) ) * SUM(EF[CH4] * (EF[SATIM Code]= $D1210) )</f>
        <v>0</v>
      </c>
      <c r="J1210" s="1381">
        <f t="array" ref="J1210">SUM(($E$1016:$E$1039=$E$1107)* ($A$1016:$A$1039=$A1210) * ($D$1016:$D$1039= $D1210) * (J$1016:J$1039) ) * SUM(EF[CH4] * (EF[SATIM Code]= $D1210) )</f>
        <v>0</v>
      </c>
      <c r="K1210" s="1381">
        <f t="array" ref="K1210">SUM(($E$1016:$E$1039=$E$1107)* ($A$1016:$A$1039=$A1210) * ($D$1016:$D$1039= $D1210) * (K$1016:K$1039) ) * SUM(EF[CH4] * (EF[SATIM Code]= $D1210) )</f>
        <v>0</v>
      </c>
      <c r="L1210" s="1381">
        <f t="array" ref="L1210">SUM(($E$1016:$E$1039=$E$1107)* ($A$1016:$A$1039=$A1210) * ($D$1016:$D$1039= $D1210) * (L$1016:L$1039) ) * SUM(EF[CH4] * (EF[SATIM Code]= $D1210) )</f>
        <v>0</v>
      </c>
      <c r="M1210" s="1381">
        <f t="array" ref="M1210">SUM(($E$1016:$E$1039=$E$1107)* ($A$1016:$A$1039=$A1210) * ($D$1016:$D$1039= $D1210) * (M$1016:M$1039) ) * SUM(EF[CH4] * (EF[SATIM Code]= $D1210) )</f>
        <v>0</v>
      </c>
      <c r="N1210" s="1381">
        <f t="array" ref="N1210">SUM(($E$1016:$E$1039=$E$1107)* ($A$1016:$A$1039=$A1210) * ($D$1016:$D$1039= $D1210) * (N$1016:N$1039) ) * SUM(EF[CH4] * (EF[SATIM Code]= $D1210) )</f>
        <v>0</v>
      </c>
      <c r="O1210" s="1381">
        <f t="array" ref="O1210">SUM(($E$1016:$E$1039=$E$1107)* ($A$1016:$A$1039=$A1210) * ($D$1016:$D$1039= $D1210) * (O$1016:O$1039) ) * SUM(EF[CH4] * (EF[SATIM Code]= $D1210) )</f>
        <v>0</v>
      </c>
    </row>
    <row r="1211" spans="1:15" s="19" customFormat="1" hidden="1" outlineLevel="1">
      <c r="A1211" s="19" t="str">
        <f t="shared" si="259"/>
        <v>MI</v>
      </c>
      <c r="B1211" s="1400" t="str">
        <f>INDEX(EF[UK Vector],MATCH(D1211,EF[SATIM Code],0))</f>
        <v>V.09</v>
      </c>
      <c r="C1211" s="1401" t="str">
        <f>INDEX(Vectors[Description], MATCH($B1211, Vectors[Code], 0))</f>
        <v>Dry biomass and waste</v>
      </c>
      <c r="D1211" s="1406" t="s">
        <v>888</v>
      </c>
      <c r="E1211" s="1407"/>
      <c r="F1211" s="1381">
        <f t="array" ref="F1211">SUM(($E$1016:$E$1039=$E$1107)* ($A$1016:$A$1039=$A1211) * ($D$1016:$D$1039= $D1211) * (F$1016:F$1039) ) * SUM(EF[CH4] * (EF[SATIM Code]= $D1211) )</f>
        <v>0</v>
      </c>
      <c r="G1211" s="1381">
        <f t="array" ref="G1211">SUM(($E$1016:$E$1039=$E$1107)* ($A$1016:$A$1039=$A1211) * ($D$1016:$D$1039= $D1211) * (G$1016:G$1039) ) * SUM(EF[CH4] * (EF[SATIM Code]= $D1211) )</f>
        <v>0</v>
      </c>
      <c r="H1211" s="1381">
        <f t="array" ref="H1211">SUM(($E$1016:$E$1039=$E$1107)* ($A$1016:$A$1039=$A1211) * ($D$1016:$D$1039= $D1211) * (H$1016:H$1039) ) * SUM(EF[CH4] * (EF[SATIM Code]= $D1211) )</f>
        <v>0</v>
      </c>
      <c r="I1211" s="1381">
        <f t="array" ref="I1211">SUM(($E$1016:$E$1039=$E$1107)* ($A$1016:$A$1039=$A1211) * ($D$1016:$D$1039= $D1211) * (I$1016:I$1039) ) * SUM(EF[CH4] * (EF[SATIM Code]= $D1211) )</f>
        <v>0</v>
      </c>
      <c r="J1211" s="1381">
        <f t="array" ref="J1211">SUM(($E$1016:$E$1039=$E$1107)* ($A$1016:$A$1039=$A1211) * ($D$1016:$D$1039= $D1211) * (J$1016:J$1039) ) * SUM(EF[CH4] * (EF[SATIM Code]= $D1211) )</f>
        <v>0</v>
      </c>
      <c r="K1211" s="1381">
        <f t="array" ref="K1211">SUM(($E$1016:$E$1039=$E$1107)* ($A$1016:$A$1039=$A1211) * ($D$1016:$D$1039= $D1211) * (K$1016:K$1039) ) * SUM(EF[CH4] * (EF[SATIM Code]= $D1211) )</f>
        <v>0</v>
      </c>
      <c r="L1211" s="1381">
        <f t="array" ref="L1211">SUM(($E$1016:$E$1039=$E$1107)* ($A$1016:$A$1039=$A1211) * ($D$1016:$D$1039= $D1211) * (L$1016:L$1039) ) * SUM(EF[CH4] * (EF[SATIM Code]= $D1211) )</f>
        <v>0</v>
      </c>
      <c r="M1211" s="1381">
        <f t="array" ref="M1211">SUM(($E$1016:$E$1039=$E$1107)* ($A$1016:$A$1039=$A1211) * ($D$1016:$D$1039= $D1211) * (M$1016:M$1039) ) * SUM(EF[CH4] * (EF[SATIM Code]= $D1211) )</f>
        <v>0</v>
      </c>
      <c r="N1211" s="1381">
        <f t="array" ref="N1211">SUM(($E$1016:$E$1039=$E$1107)* ($A$1016:$A$1039=$A1211) * ($D$1016:$D$1039= $D1211) * (N$1016:N$1039) ) * SUM(EF[CH4] * (EF[SATIM Code]= $D1211) )</f>
        <v>0</v>
      </c>
      <c r="O1211" s="1381">
        <f t="array" ref="O1211">SUM(($E$1016:$E$1039=$E$1107)* ($A$1016:$A$1039=$A1211) * ($D$1016:$D$1039= $D1211) * (O$1016:O$1039) ) * SUM(EF[CH4] * (EF[SATIM Code]= $D1211) )</f>
        <v>0</v>
      </c>
    </row>
    <row r="1212" spans="1:15" s="19" customFormat="1" hidden="1" outlineLevel="1">
      <c r="A1212" s="19" t="str">
        <f t="shared" si="259"/>
        <v>MI</v>
      </c>
      <c r="B1212" s="1400" t="str">
        <f>INDEX(EF[UK Vector],MATCH(D1212,EF[SATIM Code],0))</f>
        <v>V.09</v>
      </c>
      <c r="C1212" s="1401" t="str">
        <f>INDEX(Vectors[Description], MATCH($B1212, Vectors[Code], 0))</f>
        <v>Dry biomass and waste</v>
      </c>
      <c r="D1212" s="1388" t="s">
        <v>889</v>
      </c>
      <c r="E1212" s="1401"/>
      <c r="F1212" s="1381">
        <f t="array" ref="F1212">SUM(($E$1016:$E$1039=$E$1107)* ($A$1016:$A$1039=$A1212) * ($D$1016:$D$1039= $D1212) * (F$1016:F$1039) ) * SUM(EF[CH4] * (EF[SATIM Code]= $D1212) )</f>
        <v>0</v>
      </c>
      <c r="G1212" s="1381">
        <f t="array" ref="G1212">SUM(($E$1016:$E$1039=$E$1107)* ($A$1016:$A$1039=$A1212) * ($D$1016:$D$1039= $D1212) * (G$1016:G$1039) ) * SUM(EF[CH4] * (EF[SATIM Code]= $D1212) )</f>
        <v>0</v>
      </c>
      <c r="H1212" s="1381">
        <f t="array" ref="H1212">SUM(($E$1016:$E$1039=$E$1107)* ($A$1016:$A$1039=$A1212) * ($D$1016:$D$1039= $D1212) * (H$1016:H$1039) ) * SUM(EF[CH4] * (EF[SATIM Code]= $D1212) )</f>
        <v>0</v>
      </c>
      <c r="I1212" s="1381">
        <f t="array" ref="I1212">SUM(($E$1016:$E$1039=$E$1107)* ($A$1016:$A$1039=$A1212) * ($D$1016:$D$1039= $D1212) * (I$1016:I$1039) ) * SUM(EF[CH4] * (EF[SATIM Code]= $D1212) )</f>
        <v>0</v>
      </c>
      <c r="J1212" s="1381">
        <f t="array" ref="J1212">SUM(($E$1016:$E$1039=$E$1107)* ($A$1016:$A$1039=$A1212) * ($D$1016:$D$1039= $D1212) * (J$1016:J$1039) ) * SUM(EF[CH4] * (EF[SATIM Code]= $D1212) )</f>
        <v>0</v>
      </c>
      <c r="K1212" s="1381">
        <f t="array" ref="K1212">SUM(($E$1016:$E$1039=$E$1107)* ($A$1016:$A$1039=$A1212) * ($D$1016:$D$1039= $D1212) * (K$1016:K$1039) ) * SUM(EF[CH4] * (EF[SATIM Code]= $D1212) )</f>
        <v>0</v>
      </c>
      <c r="L1212" s="1381">
        <f t="array" ref="L1212">SUM(($E$1016:$E$1039=$E$1107)* ($A$1016:$A$1039=$A1212) * ($D$1016:$D$1039= $D1212) * (L$1016:L$1039) ) * SUM(EF[CH4] * (EF[SATIM Code]= $D1212) )</f>
        <v>0</v>
      </c>
      <c r="M1212" s="1381">
        <f t="array" ref="M1212">SUM(($E$1016:$E$1039=$E$1107)* ($A$1016:$A$1039=$A1212) * ($D$1016:$D$1039= $D1212) * (M$1016:M$1039) ) * SUM(EF[CH4] * (EF[SATIM Code]= $D1212) )</f>
        <v>0</v>
      </c>
      <c r="N1212" s="1381">
        <f t="array" ref="N1212">SUM(($E$1016:$E$1039=$E$1107)* ($A$1016:$A$1039=$A1212) * ($D$1016:$D$1039= $D1212) * (N$1016:N$1039) ) * SUM(EF[CH4] * (EF[SATIM Code]= $D1212) )</f>
        <v>0</v>
      </c>
      <c r="O1212" s="1381">
        <f t="array" ref="O1212">SUM(($E$1016:$E$1039=$E$1107)* ($A$1016:$A$1039=$A1212) * ($D$1016:$D$1039= $D1212) * (O$1016:O$1039) ) * SUM(EF[CH4] * (EF[SATIM Code]= $D1212) )</f>
        <v>0</v>
      </c>
    </row>
    <row r="1213" spans="1:15" s="19" customFormat="1" hidden="1" outlineLevel="1">
      <c r="A1213" s="19" t="str">
        <f t="shared" si="259"/>
        <v>MI</v>
      </c>
      <c r="B1213" s="1400" t="str">
        <f>INDEX(EF[UK Vector],MATCH(D1213,EF[SATIM Code],0))</f>
        <v>V.16</v>
      </c>
      <c r="C1213" s="1401" t="str">
        <f>INDEX(Vectors[Description], MATCH($B1213, Vectors[Code], 0))</f>
        <v>Other Waste</v>
      </c>
      <c r="D1213" s="1408" t="s">
        <v>890</v>
      </c>
      <c r="E1213" s="1401"/>
      <c r="F1213" s="1381">
        <f t="array" ref="F1213">SUM(($E$1016:$E$1039=$E$1107)* ($A$1016:$A$1039=$A1213) * ($D$1016:$D$1039= $D1213) * (F$1016:F$1039) ) * SUM(EF[CH4] * (EF[SATIM Code]= $D1213) )</f>
        <v>0</v>
      </c>
      <c r="G1213" s="1381">
        <f t="array" ref="G1213">SUM(($E$1016:$E$1039=$E$1107)* ($A$1016:$A$1039=$A1213) * ($D$1016:$D$1039= $D1213) * (G$1016:G$1039) ) * SUM(EF[CH4] * (EF[SATIM Code]= $D1213) )</f>
        <v>0</v>
      </c>
      <c r="H1213" s="1381">
        <f t="array" ref="H1213">SUM(($E$1016:$E$1039=$E$1107)* ($A$1016:$A$1039=$A1213) * ($D$1016:$D$1039= $D1213) * (H$1016:H$1039) ) * SUM(EF[CH4] * (EF[SATIM Code]= $D1213) )</f>
        <v>0</v>
      </c>
      <c r="I1213" s="1381">
        <f t="array" ref="I1213">SUM(($E$1016:$E$1039=$E$1107)* ($A$1016:$A$1039=$A1213) * ($D$1016:$D$1039= $D1213) * (I$1016:I$1039) ) * SUM(EF[CH4] * (EF[SATIM Code]= $D1213) )</f>
        <v>0</v>
      </c>
      <c r="J1213" s="1381">
        <f t="array" ref="J1213">SUM(($E$1016:$E$1039=$E$1107)* ($A$1016:$A$1039=$A1213) * ($D$1016:$D$1039= $D1213) * (J$1016:J$1039) ) * SUM(EF[CH4] * (EF[SATIM Code]= $D1213) )</f>
        <v>0</v>
      </c>
      <c r="K1213" s="1381">
        <f t="array" ref="K1213">SUM(($E$1016:$E$1039=$E$1107)* ($A$1016:$A$1039=$A1213) * ($D$1016:$D$1039= $D1213) * (K$1016:K$1039) ) * SUM(EF[CH4] * (EF[SATIM Code]= $D1213) )</f>
        <v>0</v>
      </c>
      <c r="L1213" s="1381">
        <f t="array" ref="L1213">SUM(($E$1016:$E$1039=$E$1107)* ($A$1016:$A$1039=$A1213) * ($D$1016:$D$1039= $D1213) * (L$1016:L$1039) ) * SUM(EF[CH4] * (EF[SATIM Code]= $D1213) )</f>
        <v>0</v>
      </c>
      <c r="M1213" s="1381">
        <f t="array" ref="M1213">SUM(($E$1016:$E$1039=$E$1107)* ($A$1016:$A$1039=$A1213) * ($D$1016:$D$1039= $D1213) * (M$1016:M$1039) ) * SUM(EF[CH4] * (EF[SATIM Code]= $D1213) )</f>
        <v>0</v>
      </c>
      <c r="N1213" s="1381">
        <f t="array" ref="N1213">SUM(($E$1016:$E$1039=$E$1107)* ($A$1016:$A$1039=$A1213) * ($D$1016:$D$1039= $D1213) * (N$1016:N$1039) ) * SUM(EF[CH4] * (EF[SATIM Code]= $D1213) )</f>
        <v>0</v>
      </c>
      <c r="O1213" s="1381">
        <f t="array" ref="O1213">SUM(($E$1016:$E$1039=$E$1107)* ($A$1016:$A$1039=$A1213) * ($D$1016:$D$1039= $D1213) * (O$1016:O$1039) ) * SUM(EF[CH4] * (EF[SATIM Code]= $D1213) )</f>
        <v>0</v>
      </c>
    </row>
    <row r="1214" spans="1:15" s="19" customFormat="1" hidden="1" outlineLevel="1">
      <c r="B1214" s="1393"/>
      <c r="C1214" s="1407" t="str">
        <f>D21</f>
        <v>Iron  &amp; Steel  - 351</v>
      </c>
      <c r="D1214" s="1391"/>
      <c r="E1214" s="1401"/>
      <c r="F1214" s="1381">
        <f t="array" ref="F1214">SUM(($E$1016:$E$1039=$E$1107)* ($A$1016:$A$1039=$A1214) * ($D$1016:$D$1039= $D1214) * (F$1016:F$1039) ) * SUM(EF[CH4] * (EF[SATIM Code]= $D1214) )</f>
        <v>0</v>
      </c>
      <c r="G1214" s="1381">
        <f t="array" ref="G1214">SUM(($E$1016:$E$1039=$E$1107)* ($A$1016:$A$1039=$A1214) * ($D$1016:$D$1039= $D1214) * (G$1016:G$1039) ) * SUM(EF[CH4] * (EF[SATIM Code]= $D1214) )</f>
        <v>0</v>
      </c>
      <c r="H1214" s="1381">
        <f t="array" ref="H1214">SUM(($E$1016:$E$1039=$E$1107)* ($A$1016:$A$1039=$A1214) * ($D$1016:$D$1039= $D1214) * (H$1016:H$1039) ) * SUM(EF[CH4] * (EF[SATIM Code]= $D1214) )</f>
        <v>0</v>
      </c>
      <c r="I1214" s="1381">
        <f t="array" ref="I1214">SUM(($E$1016:$E$1039=$E$1107)* ($A$1016:$A$1039=$A1214) * ($D$1016:$D$1039= $D1214) * (I$1016:I$1039) ) * SUM(EF[CH4] * (EF[SATIM Code]= $D1214) )</f>
        <v>0</v>
      </c>
      <c r="J1214" s="1381">
        <f t="array" ref="J1214">SUM(($E$1016:$E$1039=$E$1107)* ($A$1016:$A$1039=$A1214) * ($D$1016:$D$1039= $D1214) * (J$1016:J$1039) ) * SUM(EF[CH4] * (EF[SATIM Code]= $D1214) )</f>
        <v>0</v>
      </c>
      <c r="K1214" s="1381">
        <f t="array" ref="K1214">SUM(($E$1016:$E$1039=$E$1107)* ($A$1016:$A$1039=$A1214) * ($D$1016:$D$1039= $D1214) * (K$1016:K$1039) ) * SUM(EF[CH4] * (EF[SATIM Code]= $D1214) )</f>
        <v>0</v>
      </c>
      <c r="L1214" s="1381">
        <f t="array" ref="L1214">SUM(($E$1016:$E$1039=$E$1107)* ($A$1016:$A$1039=$A1214) * ($D$1016:$D$1039= $D1214) * (L$1016:L$1039) ) * SUM(EF[CH4] * (EF[SATIM Code]= $D1214) )</f>
        <v>0</v>
      </c>
      <c r="M1214" s="1381">
        <f t="array" ref="M1214">SUM(($E$1016:$E$1039=$E$1107)* ($A$1016:$A$1039=$A1214) * ($D$1016:$D$1039= $D1214) * (M$1016:M$1039) ) * SUM(EF[CH4] * (EF[SATIM Code]= $D1214) )</f>
        <v>0</v>
      </c>
      <c r="N1214" s="1381">
        <f t="array" ref="N1214">SUM(($E$1016:$E$1039=$E$1107)* ($A$1016:$A$1039=$A1214) * ($D$1016:$D$1039= $D1214) * (N$1016:N$1039) ) * SUM(EF[CH4] * (EF[SATIM Code]= $D1214) )</f>
        <v>0</v>
      </c>
      <c r="O1214" s="1381">
        <f t="array" ref="O1214">SUM(($E$1016:$E$1039=$E$1107)* ($A$1016:$A$1039=$A1214) * ($D$1016:$D$1039= $D1214) * (O$1016:O$1039) ) * SUM(EF[CH4] * (EF[SATIM Code]= $D1214) )</f>
        <v>0</v>
      </c>
    </row>
    <row r="1215" spans="1:15" s="19" customFormat="1" hidden="1" outlineLevel="1">
      <c r="A1215" s="1438" t="str">
        <f>INDEX($C$20:$C$27,MATCH($C1214,$D$20:$D$27,0))</f>
        <v>IS</v>
      </c>
      <c r="B1215" s="1400" t="str">
        <f>INDEX(EF[UK Vector],MATCH(D1215,EF[SATIM Code],0))</f>
        <v>V.03</v>
      </c>
      <c r="C1215" s="1401" t="str">
        <f>INDEX(Vectors[Description], MATCH($B1215, Vectors[Code], 0))</f>
        <v>Solid hydrocarbons</v>
      </c>
      <c r="D1215" s="1391" t="s">
        <v>882</v>
      </c>
      <c r="E1215" s="1401"/>
      <c r="F1215" s="1381">
        <f t="array" ref="F1215">SUM(($E$1016:$E$1039=$E$1107)* ($A$1016:$A$1039=$A1215) * ($D$1016:$D$1039= $D1215) * (F$1016:F$1039) ) * SUM(EF[CH4] * (EF[SATIM Code]= $D1215) )</f>
        <v>0</v>
      </c>
      <c r="G1215" s="1381">
        <f t="array" ref="G1215">SUM(($E$1016:$E$1039=$E$1107)* ($A$1016:$A$1039=$A1215) * ($D$1016:$D$1039= $D1215) * (G$1016:G$1039) ) * SUM(EF[CH4] * (EF[SATIM Code]= $D1215) )</f>
        <v>0</v>
      </c>
      <c r="H1215" s="1381">
        <f t="array" ref="H1215">SUM(($E$1016:$E$1039=$E$1107)* ($A$1016:$A$1039=$A1215) * ($D$1016:$D$1039= $D1215) * (H$1016:H$1039) ) * SUM(EF[CH4] * (EF[SATIM Code]= $D1215) )</f>
        <v>0</v>
      </c>
      <c r="I1215" s="1381">
        <f t="array" ref="I1215">SUM(($E$1016:$E$1039=$E$1107)* ($A$1016:$A$1039=$A1215) * ($D$1016:$D$1039= $D1215) * (I$1016:I$1039) ) * SUM(EF[CH4] * (EF[SATIM Code]= $D1215) )</f>
        <v>0</v>
      </c>
      <c r="J1215" s="1381">
        <f t="array" ref="J1215">SUM(($E$1016:$E$1039=$E$1107)* ($A$1016:$A$1039=$A1215) * ($D$1016:$D$1039= $D1215) * (J$1016:J$1039) ) * SUM(EF[CH4] * (EF[SATIM Code]= $D1215) )</f>
        <v>0</v>
      </c>
      <c r="K1215" s="1381">
        <f t="array" ref="K1215">SUM(($E$1016:$E$1039=$E$1107)* ($A$1016:$A$1039=$A1215) * ($D$1016:$D$1039= $D1215) * (K$1016:K$1039) ) * SUM(EF[CH4] * (EF[SATIM Code]= $D1215) )</f>
        <v>0</v>
      </c>
      <c r="L1215" s="1381">
        <f t="array" ref="L1215">SUM(($E$1016:$E$1039=$E$1107)* ($A$1016:$A$1039=$A1215) * ($D$1016:$D$1039= $D1215) * (L$1016:L$1039) ) * SUM(EF[CH4] * (EF[SATIM Code]= $D1215) )</f>
        <v>0</v>
      </c>
      <c r="M1215" s="1381">
        <f t="array" ref="M1215">SUM(($E$1016:$E$1039=$E$1107)* ($A$1016:$A$1039=$A1215) * ($D$1016:$D$1039= $D1215) * (M$1016:M$1039) ) * SUM(EF[CH4] * (EF[SATIM Code]= $D1215) )</f>
        <v>0</v>
      </c>
      <c r="N1215" s="1381">
        <f t="array" ref="N1215">SUM(($E$1016:$E$1039=$E$1107)* ($A$1016:$A$1039=$A1215) * ($D$1016:$D$1039= $D1215) * (N$1016:N$1039) ) * SUM(EF[CH4] * (EF[SATIM Code]= $D1215) )</f>
        <v>0</v>
      </c>
      <c r="O1215" s="1381">
        <f t="array" ref="O1215">SUM(($E$1016:$E$1039=$E$1107)* ($A$1016:$A$1039=$A1215) * ($D$1016:$D$1039= $D1215) * (O$1016:O$1039) ) * SUM(EF[CH4] * (EF[SATIM Code]= $D1215) )</f>
        <v>0</v>
      </c>
    </row>
    <row r="1216" spans="1:15" s="19" customFormat="1" hidden="1" outlineLevel="1">
      <c r="A1216" s="19" t="str">
        <f t="shared" ref="A1216:A1223" si="260">A1215</f>
        <v>IS</v>
      </c>
      <c r="B1216" s="1400" t="str">
        <f>INDEX(EF[UK Vector],MATCH(D1216,EF[SATIM Code],0))</f>
        <v>V.03</v>
      </c>
      <c r="C1216" s="1401" t="str">
        <f>INDEX(Vectors[Description], MATCH($B1216, Vectors[Code], 0))</f>
        <v>Solid hydrocarbons</v>
      </c>
      <c r="D1216" s="1391" t="s">
        <v>883</v>
      </c>
      <c r="E1216" s="1401"/>
      <c r="F1216" s="1381">
        <f t="array" ref="F1216">SUM(($E$1016:$E$1039=$E$1107)* ($A$1016:$A$1039=$A1216) * ($D$1016:$D$1039= $D1216) * (F$1016:F$1039) ) * SUM(EF[CH4] * (EF[SATIM Code]= $D1216) )</f>
        <v>1.0552580450999998E-3</v>
      </c>
      <c r="G1216" s="1381">
        <f t="array" ref="G1216">SUM(($E$1016:$E$1039=$E$1107)* ($A$1016:$A$1039=$A1216) * ($D$1016:$D$1039= $D1216) * (G$1016:G$1039) ) * SUM(EF[CH4] * (EF[SATIM Code]= $D1216) )</f>
        <v>1.2220481922113604E-3</v>
      </c>
      <c r="H1216" s="1381">
        <f t="array" ref="H1216">SUM(($E$1016:$E$1039=$E$1107)* ($A$1016:$A$1039=$A1216) * ($D$1016:$D$1039= $D1216) * (H$1016:H$1039) ) * SUM(EF[CH4] * (EF[SATIM Code]= $D1216) )</f>
        <v>1.5356725190120754E-3</v>
      </c>
      <c r="I1216" s="1381">
        <f t="array" ref="I1216">SUM(($E$1016:$E$1039=$E$1107)* ($A$1016:$A$1039=$A1216) * ($D$1016:$D$1039= $D1216) * (I$1016:I$1039) ) * SUM(EF[CH4] * (EF[SATIM Code]= $D1216) )</f>
        <v>1.9408031817241145E-3</v>
      </c>
      <c r="J1216" s="1381">
        <f t="array" ref="J1216">SUM(($E$1016:$E$1039=$E$1107)* ($A$1016:$A$1039=$A1216) * ($D$1016:$D$1039= $D1216) * (J$1016:J$1039) ) * SUM(EF[CH4] * (EF[SATIM Code]= $D1216) )</f>
        <v>2.4388838489943121E-3</v>
      </c>
      <c r="K1216" s="1381">
        <f t="array" ref="K1216">SUM(($E$1016:$E$1039=$E$1107)* ($A$1016:$A$1039=$A1216) * ($D$1016:$D$1039= $D1216) * (K$1016:K$1039) ) * SUM(EF[CH4] * (EF[SATIM Code]= $D1216) )</f>
        <v>3.064726810356942E-3</v>
      </c>
      <c r="L1216" s="1381">
        <f t="array" ref="L1216">SUM(($E$1016:$E$1039=$E$1107)* ($A$1016:$A$1039=$A1216) * ($D$1016:$D$1039= $D1216) * (L$1016:L$1039) ) * SUM(EF[CH4] * (EF[SATIM Code]= $D1216) )</f>
        <v>3.768091181508725E-3</v>
      </c>
      <c r="M1216" s="1381">
        <f t="array" ref="M1216">SUM(($E$1016:$E$1039=$E$1107)* ($A$1016:$A$1039=$A1216) * ($D$1016:$D$1039= $D1216) * (M$1016:M$1039) ) * SUM(EF[CH4] * (EF[SATIM Code]= $D1216) )</f>
        <v>4.5521958129774347E-3</v>
      </c>
      <c r="N1216" s="1381">
        <f t="array" ref="N1216">SUM(($E$1016:$E$1039=$E$1107)* ($A$1016:$A$1039=$A1216) * ($D$1016:$D$1039= $D1216) * (N$1016:N$1039) ) * SUM(EF[CH4] * (EF[SATIM Code]= $D1216) )</f>
        <v>5.3699066220024736E-3</v>
      </c>
      <c r="O1216" s="1381">
        <f t="array" ref="O1216">SUM(($E$1016:$E$1039=$E$1107)* ($A$1016:$A$1039=$A1216) * ($D$1016:$D$1039= $D1216) * (O$1016:O$1039) ) * SUM(EF[CH4] * (EF[SATIM Code]= $D1216) )</f>
        <v>6.2909540576489243E-3</v>
      </c>
    </row>
    <row r="1217" spans="1:15" s="19" customFormat="1" hidden="1" outlineLevel="1">
      <c r="A1217" s="19" t="str">
        <f t="shared" si="260"/>
        <v>IS</v>
      </c>
      <c r="B1217" s="1400" t="str">
        <f>INDEX(EF[UK Vector],MATCH(D1217,EF[SATIM Code],0))</f>
        <v>V.05</v>
      </c>
      <c r="C1217" s="1401" t="str">
        <f>INDEX(Vectors[Description], MATCH($B1217, Vectors[Code], 0))</f>
        <v>Gaseous hydrocarbons</v>
      </c>
      <c r="D1217" s="1406" t="s">
        <v>869</v>
      </c>
      <c r="E1217" s="1401"/>
      <c r="F1217" s="1381">
        <f t="array" ref="F1217">SUM(($E$1016:$E$1039=$E$1107)* ($A$1016:$A$1039=$A1217) * ($D$1016:$D$1039= $D1217) * (F$1016:F$1039) ) * SUM(EF[CH4] * (EF[SATIM Code]= $D1217) )</f>
        <v>0</v>
      </c>
      <c r="G1217" s="1381">
        <f t="array" ref="G1217">SUM(($E$1016:$E$1039=$E$1107)* ($A$1016:$A$1039=$A1217) * ($D$1016:$D$1039= $D1217) * (G$1016:G$1039) ) * SUM(EF[CH4] * (EF[SATIM Code]= $D1217) )</f>
        <v>0</v>
      </c>
      <c r="H1217" s="1381">
        <f t="array" ref="H1217">SUM(($E$1016:$E$1039=$E$1107)* ($A$1016:$A$1039=$A1217) * ($D$1016:$D$1039= $D1217) * (H$1016:H$1039) ) * SUM(EF[CH4] * (EF[SATIM Code]= $D1217) )</f>
        <v>0</v>
      </c>
      <c r="I1217" s="1381">
        <f t="array" ref="I1217">SUM(($E$1016:$E$1039=$E$1107)* ($A$1016:$A$1039=$A1217) * ($D$1016:$D$1039= $D1217) * (I$1016:I$1039) ) * SUM(EF[CH4] * (EF[SATIM Code]= $D1217) )</f>
        <v>0</v>
      </c>
      <c r="J1217" s="1381">
        <f t="array" ref="J1217">SUM(($E$1016:$E$1039=$E$1107)* ($A$1016:$A$1039=$A1217) * ($D$1016:$D$1039= $D1217) * (J$1016:J$1039) ) * SUM(EF[CH4] * (EF[SATIM Code]= $D1217) )</f>
        <v>0</v>
      </c>
      <c r="K1217" s="1381">
        <f t="array" ref="K1217">SUM(($E$1016:$E$1039=$E$1107)* ($A$1016:$A$1039=$A1217) * ($D$1016:$D$1039= $D1217) * (K$1016:K$1039) ) * SUM(EF[CH4] * (EF[SATIM Code]= $D1217) )</f>
        <v>0</v>
      </c>
      <c r="L1217" s="1381">
        <f t="array" ref="L1217">SUM(($E$1016:$E$1039=$E$1107)* ($A$1016:$A$1039=$A1217) * ($D$1016:$D$1039= $D1217) * (L$1016:L$1039) ) * SUM(EF[CH4] * (EF[SATIM Code]= $D1217) )</f>
        <v>0</v>
      </c>
      <c r="M1217" s="1381">
        <f t="array" ref="M1217">SUM(($E$1016:$E$1039=$E$1107)* ($A$1016:$A$1039=$A1217) * ($D$1016:$D$1039= $D1217) * (M$1016:M$1039) ) * SUM(EF[CH4] * (EF[SATIM Code]= $D1217) )</f>
        <v>0</v>
      </c>
      <c r="N1217" s="1381">
        <f t="array" ref="N1217">SUM(($E$1016:$E$1039=$E$1107)* ($A$1016:$A$1039=$A1217) * ($D$1016:$D$1039= $D1217) * (N$1016:N$1039) ) * SUM(EF[CH4] * (EF[SATIM Code]= $D1217) )</f>
        <v>0</v>
      </c>
      <c r="O1217" s="1381">
        <f t="array" ref="O1217">SUM(($E$1016:$E$1039=$E$1107)* ($A$1016:$A$1039=$A1217) * ($D$1016:$D$1039= $D1217) * (O$1016:O$1039) ) * SUM(EF[CH4] * (EF[SATIM Code]= $D1217) )</f>
        <v>0</v>
      </c>
    </row>
    <row r="1218" spans="1:15" s="19" customFormat="1" hidden="1" outlineLevel="1">
      <c r="A1218" s="19" t="str">
        <f t="shared" si="260"/>
        <v>IS</v>
      </c>
      <c r="B1218" s="1400" t="str">
        <f>INDEX(EF[UK Vector],MATCH(D1218,EF[SATIM Code],0))</f>
        <v>V.04</v>
      </c>
      <c r="C1218" s="1401" t="str">
        <f>INDEX(Vectors[Description], MATCH($B1218, Vectors[Code], 0))</f>
        <v>Liquid hydrocarbons</v>
      </c>
      <c r="D1218" s="1406" t="s">
        <v>885</v>
      </c>
      <c r="E1218" s="1393"/>
      <c r="F1218" s="1381">
        <f t="array" ref="F1218">SUM(($E$1016:$E$1039=$E$1107)* ($A$1016:$A$1039=$A1218) * ($D$1016:$D$1039= $D1218) * (F$1016:F$1039) ) * SUM(EF[CH4] * (EF[SATIM Code]= $D1218) )</f>
        <v>0</v>
      </c>
      <c r="G1218" s="1381">
        <f t="array" ref="G1218">SUM(($E$1016:$E$1039=$E$1107)* ($A$1016:$A$1039=$A1218) * ($D$1016:$D$1039= $D1218) * (G$1016:G$1039) ) * SUM(EF[CH4] * (EF[SATIM Code]= $D1218) )</f>
        <v>0</v>
      </c>
      <c r="H1218" s="1381">
        <f t="array" ref="H1218">SUM(($E$1016:$E$1039=$E$1107)* ($A$1016:$A$1039=$A1218) * ($D$1016:$D$1039= $D1218) * (H$1016:H$1039) ) * SUM(EF[CH4] * (EF[SATIM Code]= $D1218) )</f>
        <v>0</v>
      </c>
      <c r="I1218" s="1381">
        <f t="array" ref="I1218">SUM(($E$1016:$E$1039=$E$1107)* ($A$1016:$A$1039=$A1218) * ($D$1016:$D$1039= $D1218) * (I$1016:I$1039) ) * SUM(EF[CH4] * (EF[SATIM Code]= $D1218) )</f>
        <v>0</v>
      </c>
      <c r="J1218" s="1381">
        <f t="array" ref="J1218">SUM(($E$1016:$E$1039=$E$1107)* ($A$1016:$A$1039=$A1218) * ($D$1016:$D$1039= $D1218) * (J$1016:J$1039) ) * SUM(EF[CH4] * (EF[SATIM Code]= $D1218) )</f>
        <v>0</v>
      </c>
      <c r="K1218" s="1381">
        <f t="array" ref="K1218">SUM(($E$1016:$E$1039=$E$1107)* ($A$1016:$A$1039=$A1218) * ($D$1016:$D$1039= $D1218) * (K$1016:K$1039) ) * SUM(EF[CH4] * (EF[SATIM Code]= $D1218) )</f>
        <v>0</v>
      </c>
      <c r="L1218" s="1381">
        <f t="array" ref="L1218">SUM(($E$1016:$E$1039=$E$1107)* ($A$1016:$A$1039=$A1218) * ($D$1016:$D$1039= $D1218) * (L$1016:L$1039) ) * SUM(EF[CH4] * (EF[SATIM Code]= $D1218) )</f>
        <v>0</v>
      </c>
      <c r="M1218" s="1381">
        <f t="array" ref="M1218">SUM(($E$1016:$E$1039=$E$1107)* ($A$1016:$A$1039=$A1218) * ($D$1016:$D$1039= $D1218) * (M$1016:M$1039) ) * SUM(EF[CH4] * (EF[SATIM Code]= $D1218) )</f>
        <v>0</v>
      </c>
      <c r="N1218" s="1381">
        <f t="array" ref="N1218">SUM(($E$1016:$E$1039=$E$1107)* ($A$1016:$A$1039=$A1218) * ($D$1016:$D$1039= $D1218) * (N$1016:N$1039) ) * SUM(EF[CH4] * (EF[SATIM Code]= $D1218) )</f>
        <v>0</v>
      </c>
      <c r="O1218" s="1381">
        <f t="array" ref="O1218">SUM(($E$1016:$E$1039=$E$1107)* ($A$1016:$A$1039=$A1218) * ($D$1016:$D$1039= $D1218) * (O$1016:O$1039) ) * SUM(EF[CH4] * (EF[SATIM Code]= $D1218) )</f>
        <v>0</v>
      </c>
    </row>
    <row r="1219" spans="1:15" s="19" customFormat="1" hidden="1" outlineLevel="1">
      <c r="A1219" s="19" t="str">
        <f t="shared" si="260"/>
        <v>IS</v>
      </c>
      <c r="B1219" s="1400" t="str">
        <f>INDEX(EF[UK Vector],MATCH(D1219,EF[SATIM Code],0))</f>
        <v>V.04</v>
      </c>
      <c r="C1219" s="1401" t="str">
        <f>INDEX(Vectors[Description], MATCH($B1219, Vectors[Code], 0))</f>
        <v>Liquid hydrocarbons</v>
      </c>
      <c r="D1219" s="1391" t="s">
        <v>886</v>
      </c>
      <c r="E1219" s="1393"/>
      <c r="F1219" s="1381">
        <f t="array" ref="F1219">SUM(($E$1016:$E$1039=$E$1107)* ($A$1016:$A$1039=$A1219) * ($D$1016:$D$1039= $D1219) * (F$1016:F$1039) ) * SUM(EF[CH4] * (EF[SATIM Code]= $D1219) )</f>
        <v>0</v>
      </c>
      <c r="G1219" s="1381">
        <f t="array" ref="G1219">SUM(($E$1016:$E$1039=$E$1107)* ($A$1016:$A$1039=$A1219) * ($D$1016:$D$1039= $D1219) * (G$1016:G$1039) ) * SUM(EF[CH4] * (EF[SATIM Code]= $D1219) )</f>
        <v>0</v>
      </c>
      <c r="H1219" s="1381">
        <f t="array" ref="H1219">SUM(($E$1016:$E$1039=$E$1107)* ($A$1016:$A$1039=$A1219) * ($D$1016:$D$1039= $D1219) * (H$1016:H$1039) ) * SUM(EF[CH4] * (EF[SATIM Code]= $D1219) )</f>
        <v>0</v>
      </c>
      <c r="I1219" s="1381">
        <f t="array" ref="I1219">SUM(($E$1016:$E$1039=$E$1107)* ($A$1016:$A$1039=$A1219) * ($D$1016:$D$1039= $D1219) * (I$1016:I$1039) ) * SUM(EF[CH4] * (EF[SATIM Code]= $D1219) )</f>
        <v>0</v>
      </c>
      <c r="J1219" s="1381">
        <f t="array" ref="J1219">SUM(($E$1016:$E$1039=$E$1107)* ($A$1016:$A$1039=$A1219) * ($D$1016:$D$1039= $D1219) * (J$1016:J$1039) ) * SUM(EF[CH4] * (EF[SATIM Code]= $D1219) )</f>
        <v>0</v>
      </c>
      <c r="K1219" s="1381">
        <f t="array" ref="K1219">SUM(($E$1016:$E$1039=$E$1107)* ($A$1016:$A$1039=$A1219) * ($D$1016:$D$1039= $D1219) * (K$1016:K$1039) ) * SUM(EF[CH4] * (EF[SATIM Code]= $D1219) )</f>
        <v>0</v>
      </c>
      <c r="L1219" s="1381">
        <f t="array" ref="L1219">SUM(($E$1016:$E$1039=$E$1107)* ($A$1016:$A$1039=$A1219) * ($D$1016:$D$1039= $D1219) * (L$1016:L$1039) ) * SUM(EF[CH4] * (EF[SATIM Code]= $D1219) )</f>
        <v>0</v>
      </c>
      <c r="M1219" s="1381">
        <f t="array" ref="M1219">SUM(($E$1016:$E$1039=$E$1107)* ($A$1016:$A$1039=$A1219) * ($D$1016:$D$1039= $D1219) * (M$1016:M$1039) ) * SUM(EF[CH4] * (EF[SATIM Code]= $D1219) )</f>
        <v>0</v>
      </c>
      <c r="N1219" s="1381">
        <f t="array" ref="N1219">SUM(($E$1016:$E$1039=$E$1107)* ($A$1016:$A$1039=$A1219) * ($D$1016:$D$1039= $D1219) * (N$1016:N$1039) ) * SUM(EF[CH4] * (EF[SATIM Code]= $D1219) )</f>
        <v>0</v>
      </c>
      <c r="O1219" s="1381">
        <f t="array" ref="O1219">SUM(($E$1016:$E$1039=$E$1107)* ($A$1016:$A$1039=$A1219) * ($D$1016:$D$1039= $D1219) * (O$1016:O$1039) ) * SUM(EF[CH4] * (EF[SATIM Code]= $D1219) )</f>
        <v>0</v>
      </c>
    </row>
    <row r="1220" spans="1:15" s="19" customFormat="1" hidden="1" outlineLevel="1">
      <c r="A1220" s="19" t="str">
        <f t="shared" si="260"/>
        <v>IS</v>
      </c>
      <c r="B1220" s="1400" t="str">
        <f>INDEX(EF[UK Vector],MATCH(D1220,EF[SATIM Code],0))</f>
        <v>V.04</v>
      </c>
      <c r="C1220" s="1401" t="str">
        <f>INDEX(Vectors[Description], MATCH($B1220, Vectors[Code], 0))</f>
        <v>Liquid hydrocarbons</v>
      </c>
      <c r="D1220" s="1406" t="s">
        <v>887</v>
      </c>
      <c r="E1220" s="1393"/>
      <c r="F1220" s="1381">
        <f t="array" ref="F1220">SUM(($E$1016:$E$1039=$E$1107)* ($A$1016:$A$1039=$A1220) * ($D$1016:$D$1039= $D1220) * (F$1016:F$1039) ) * SUM(EF[CH4] * (EF[SATIM Code]= $D1220) )</f>
        <v>0</v>
      </c>
      <c r="G1220" s="1381">
        <f t="array" ref="G1220">SUM(($E$1016:$E$1039=$E$1107)* ($A$1016:$A$1039=$A1220) * ($D$1016:$D$1039= $D1220) * (G$1016:G$1039) ) * SUM(EF[CH4] * (EF[SATIM Code]= $D1220) )</f>
        <v>0</v>
      </c>
      <c r="H1220" s="1381">
        <f t="array" ref="H1220">SUM(($E$1016:$E$1039=$E$1107)* ($A$1016:$A$1039=$A1220) * ($D$1016:$D$1039= $D1220) * (H$1016:H$1039) ) * SUM(EF[CH4] * (EF[SATIM Code]= $D1220) )</f>
        <v>0</v>
      </c>
      <c r="I1220" s="1381">
        <f t="array" ref="I1220">SUM(($E$1016:$E$1039=$E$1107)* ($A$1016:$A$1039=$A1220) * ($D$1016:$D$1039= $D1220) * (I$1016:I$1039) ) * SUM(EF[CH4] * (EF[SATIM Code]= $D1220) )</f>
        <v>0</v>
      </c>
      <c r="J1220" s="1381">
        <f t="array" ref="J1220">SUM(($E$1016:$E$1039=$E$1107)* ($A$1016:$A$1039=$A1220) * ($D$1016:$D$1039= $D1220) * (J$1016:J$1039) ) * SUM(EF[CH4] * (EF[SATIM Code]= $D1220) )</f>
        <v>0</v>
      </c>
      <c r="K1220" s="1381">
        <f t="array" ref="K1220">SUM(($E$1016:$E$1039=$E$1107)* ($A$1016:$A$1039=$A1220) * ($D$1016:$D$1039= $D1220) * (K$1016:K$1039) ) * SUM(EF[CH4] * (EF[SATIM Code]= $D1220) )</f>
        <v>0</v>
      </c>
      <c r="L1220" s="1381">
        <f t="array" ref="L1220">SUM(($E$1016:$E$1039=$E$1107)* ($A$1016:$A$1039=$A1220) * ($D$1016:$D$1039= $D1220) * (L$1016:L$1039) ) * SUM(EF[CH4] * (EF[SATIM Code]= $D1220) )</f>
        <v>0</v>
      </c>
      <c r="M1220" s="1381">
        <f t="array" ref="M1220">SUM(($E$1016:$E$1039=$E$1107)* ($A$1016:$A$1039=$A1220) * ($D$1016:$D$1039= $D1220) * (M$1016:M$1039) ) * SUM(EF[CH4] * (EF[SATIM Code]= $D1220) )</f>
        <v>0</v>
      </c>
      <c r="N1220" s="1381">
        <f t="array" ref="N1220">SUM(($E$1016:$E$1039=$E$1107)* ($A$1016:$A$1039=$A1220) * ($D$1016:$D$1039= $D1220) * (N$1016:N$1039) ) * SUM(EF[CH4] * (EF[SATIM Code]= $D1220) )</f>
        <v>0</v>
      </c>
      <c r="O1220" s="1381">
        <f t="array" ref="O1220">SUM(($E$1016:$E$1039=$E$1107)* ($A$1016:$A$1039=$A1220) * ($D$1016:$D$1039= $D1220) * (O$1016:O$1039) ) * SUM(EF[CH4] * (EF[SATIM Code]= $D1220) )</f>
        <v>0</v>
      </c>
    </row>
    <row r="1221" spans="1:15" s="19" customFormat="1" hidden="1" outlineLevel="1">
      <c r="A1221" s="19" t="str">
        <f t="shared" si="260"/>
        <v>IS</v>
      </c>
      <c r="B1221" s="1400" t="str">
        <f>INDEX(EF[UK Vector],MATCH(D1221,EF[SATIM Code],0))</f>
        <v>V.09</v>
      </c>
      <c r="C1221" s="1401" t="str">
        <f>INDEX(Vectors[Description], MATCH($B1221, Vectors[Code], 0))</f>
        <v>Dry biomass and waste</v>
      </c>
      <c r="D1221" s="1406" t="s">
        <v>888</v>
      </c>
      <c r="E1221" s="1393"/>
      <c r="F1221" s="1381">
        <f t="array" ref="F1221">SUM(($E$1016:$E$1039=$E$1107)* ($A$1016:$A$1039=$A1221) * ($D$1016:$D$1039= $D1221) * (F$1016:F$1039) ) * SUM(EF[CH4] * (EF[SATIM Code]= $D1221) )</f>
        <v>0</v>
      </c>
      <c r="G1221" s="1381">
        <f t="array" ref="G1221">SUM(($E$1016:$E$1039=$E$1107)* ($A$1016:$A$1039=$A1221) * ($D$1016:$D$1039= $D1221) * (G$1016:G$1039) ) * SUM(EF[CH4] * (EF[SATIM Code]= $D1221) )</f>
        <v>0</v>
      </c>
      <c r="H1221" s="1381">
        <f t="array" ref="H1221">SUM(($E$1016:$E$1039=$E$1107)* ($A$1016:$A$1039=$A1221) * ($D$1016:$D$1039= $D1221) * (H$1016:H$1039) ) * SUM(EF[CH4] * (EF[SATIM Code]= $D1221) )</f>
        <v>0</v>
      </c>
      <c r="I1221" s="1381">
        <f t="array" ref="I1221">SUM(($E$1016:$E$1039=$E$1107)* ($A$1016:$A$1039=$A1221) * ($D$1016:$D$1039= $D1221) * (I$1016:I$1039) ) * SUM(EF[CH4] * (EF[SATIM Code]= $D1221) )</f>
        <v>0</v>
      </c>
      <c r="J1221" s="1381">
        <f t="array" ref="J1221">SUM(($E$1016:$E$1039=$E$1107)* ($A$1016:$A$1039=$A1221) * ($D$1016:$D$1039= $D1221) * (J$1016:J$1039) ) * SUM(EF[CH4] * (EF[SATIM Code]= $D1221) )</f>
        <v>0</v>
      </c>
      <c r="K1221" s="1381">
        <f t="array" ref="K1221">SUM(($E$1016:$E$1039=$E$1107)* ($A$1016:$A$1039=$A1221) * ($D$1016:$D$1039= $D1221) * (K$1016:K$1039) ) * SUM(EF[CH4] * (EF[SATIM Code]= $D1221) )</f>
        <v>0</v>
      </c>
      <c r="L1221" s="1381">
        <f t="array" ref="L1221">SUM(($E$1016:$E$1039=$E$1107)* ($A$1016:$A$1039=$A1221) * ($D$1016:$D$1039= $D1221) * (L$1016:L$1039) ) * SUM(EF[CH4] * (EF[SATIM Code]= $D1221) )</f>
        <v>0</v>
      </c>
      <c r="M1221" s="1381">
        <f t="array" ref="M1221">SUM(($E$1016:$E$1039=$E$1107)* ($A$1016:$A$1039=$A1221) * ($D$1016:$D$1039= $D1221) * (M$1016:M$1039) ) * SUM(EF[CH4] * (EF[SATIM Code]= $D1221) )</f>
        <v>0</v>
      </c>
      <c r="N1221" s="1381">
        <f t="array" ref="N1221">SUM(($E$1016:$E$1039=$E$1107)* ($A$1016:$A$1039=$A1221) * ($D$1016:$D$1039= $D1221) * (N$1016:N$1039) ) * SUM(EF[CH4] * (EF[SATIM Code]= $D1221) )</f>
        <v>0</v>
      </c>
      <c r="O1221" s="1381">
        <f t="array" ref="O1221">SUM(($E$1016:$E$1039=$E$1107)* ($A$1016:$A$1039=$A1221) * ($D$1016:$D$1039= $D1221) * (O$1016:O$1039) ) * SUM(EF[CH4] * (EF[SATIM Code]= $D1221) )</f>
        <v>0</v>
      </c>
    </row>
    <row r="1222" spans="1:15" s="19" customFormat="1" hidden="1" outlineLevel="1">
      <c r="A1222" s="19" t="str">
        <f t="shared" si="260"/>
        <v>IS</v>
      </c>
      <c r="B1222" s="1400" t="str">
        <f>INDEX(EF[UK Vector],MATCH(D1222,EF[SATIM Code],0))</f>
        <v>V.09</v>
      </c>
      <c r="C1222" s="1401" t="str">
        <f>INDEX(Vectors[Description], MATCH($B1222, Vectors[Code], 0))</f>
        <v>Dry biomass and waste</v>
      </c>
      <c r="D1222" s="1388" t="s">
        <v>889</v>
      </c>
      <c r="E1222" s="1393"/>
      <c r="F1222" s="1381">
        <f t="array" ref="F1222">SUM(($E$1016:$E$1039=$E$1107)* ($A$1016:$A$1039=$A1222) * ($D$1016:$D$1039= $D1222) * (F$1016:F$1039) ) * SUM(EF[CH4] * (EF[SATIM Code]= $D1222) )</f>
        <v>0</v>
      </c>
      <c r="G1222" s="1381">
        <f t="array" ref="G1222">SUM(($E$1016:$E$1039=$E$1107)* ($A$1016:$A$1039=$A1222) * ($D$1016:$D$1039= $D1222) * (G$1016:G$1039) ) * SUM(EF[CH4] * (EF[SATIM Code]= $D1222) )</f>
        <v>0</v>
      </c>
      <c r="H1222" s="1381">
        <f t="array" ref="H1222">SUM(($E$1016:$E$1039=$E$1107)* ($A$1016:$A$1039=$A1222) * ($D$1016:$D$1039= $D1222) * (H$1016:H$1039) ) * SUM(EF[CH4] * (EF[SATIM Code]= $D1222) )</f>
        <v>0</v>
      </c>
      <c r="I1222" s="1381">
        <f t="array" ref="I1222">SUM(($E$1016:$E$1039=$E$1107)* ($A$1016:$A$1039=$A1222) * ($D$1016:$D$1039= $D1222) * (I$1016:I$1039) ) * SUM(EF[CH4] * (EF[SATIM Code]= $D1222) )</f>
        <v>0</v>
      </c>
      <c r="J1222" s="1381">
        <f t="array" ref="J1222">SUM(($E$1016:$E$1039=$E$1107)* ($A$1016:$A$1039=$A1222) * ($D$1016:$D$1039= $D1222) * (J$1016:J$1039) ) * SUM(EF[CH4] * (EF[SATIM Code]= $D1222) )</f>
        <v>0</v>
      </c>
      <c r="K1222" s="1381">
        <f t="array" ref="K1222">SUM(($E$1016:$E$1039=$E$1107)* ($A$1016:$A$1039=$A1222) * ($D$1016:$D$1039= $D1222) * (K$1016:K$1039) ) * SUM(EF[CH4] * (EF[SATIM Code]= $D1222) )</f>
        <v>0</v>
      </c>
      <c r="L1222" s="1381">
        <f t="array" ref="L1222">SUM(($E$1016:$E$1039=$E$1107)* ($A$1016:$A$1039=$A1222) * ($D$1016:$D$1039= $D1222) * (L$1016:L$1039) ) * SUM(EF[CH4] * (EF[SATIM Code]= $D1222) )</f>
        <v>0</v>
      </c>
      <c r="M1222" s="1381">
        <f t="array" ref="M1222">SUM(($E$1016:$E$1039=$E$1107)* ($A$1016:$A$1039=$A1222) * ($D$1016:$D$1039= $D1222) * (M$1016:M$1039) ) * SUM(EF[CH4] * (EF[SATIM Code]= $D1222) )</f>
        <v>0</v>
      </c>
      <c r="N1222" s="1381">
        <f t="array" ref="N1222">SUM(($E$1016:$E$1039=$E$1107)* ($A$1016:$A$1039=$A1222) * ($D$1016:$D$1039= $D1222) * (N$1016:N$1039) ) * SUM(EF[CH4] * (EF[SATIM Code]= $D1222) )</f>
        <v>0</v>
      </c>
      <c r="O1222" s="1381">
        <f t="array" ref="O1222">SUM(($E$1016:$E$1039=$E$1107)* ($A$1016:$A$1039=$A1222) * ($D$1016:$D$1039= $D1222) * (O$1016:O$1039) ) * SUM(EF[CH4] * (EF[SATIM Code]= $D1222) )</f>
        <v>0</v>
      </c>
    </row>
    <row r="1223" spans="1:15" s="19" customFormat="1" hidden="1" outlineLevel="1">
      <c r="A1223" s="19" t="str">
        <f t="shared" si="260"/>
        <v>IS</v>
      </c>
      <c r="B1223" s="1400" t="str">
        <f>INDEX(EF[UK Vector],MATCH(D1223,EF[SATIM Code],0))</f>
        <v>V.16</v>
      </c>
      <c r="C1223" s="1401" t="str">
        <f>INDEX(Vectors[Description], MATCH($B1223, Vectors[Code], 0))</f>
        <v>Other Waste</v>
      </c>
      <c r="D1223" s="1408" t="s">
        <v>890</v>
      </c>
      <c r="E1223" s="1393"/>
      <c r="F1223" s="1381">
        <f t="array" ref="F1223">SUM(($E$1016:$E$1039=$E$1107)* ($A$1016:$A$1039=$A1223) * ($D$1016:$D$1039= $D1223) * (F$1016:F$1039) ) * SUM(EF[CH4] * (EF[SATIM Code]= $D1223) )</f>
        <v>0</v>
      </c>
      <c r="G1223" s="1381">
        <f t="array" ref="G1223">SUM(($E$1016:$E$1039=$E$1107)* ($A$1016:$A$1039=$A1223) * ($D$1016:$D$1039= $D1223) * (G$1016:G$1039) ) * SUM(EF[CH4] * (EF[SATIM Code]= $D1223) )</f>
        <v>0</v>
      </c>
      <c r="H1223" s="1381">
        <f t="array" ref="H1223">SUM(($E$1016:$E$1039=$E$1107)* ($A$1016:$A$1039=$A1223) * ($D$1016:$D$1039= $D1223) * (H$1016:H$1039) ) * SUM(EF[CH4] * (EF[SATIM Code]= $D1223) )</f>
        <v>0</v>
      </c>
      <c r="I1223" s="1381">
        <f t="array" ref="I1223">SUM(($E$1016:$E$1039=$E$1107)* ($A$1016:$A$1039=$A1223) * ($D$1016:$D$1039= $D1223) * (I$1016:I$1039) ) * SUM(EF[CH4] * (EF[SATIM Code]= $D1223) )</f>
        <v>0</v>
      </c>
      <c r="J1223" s="1381">
        <f t="array" ref="J1223">SUM(($E$1016:$E$1039=$E$1107)* ($A$1016:$A$1039=$A1223) * ($D$1016:$D$1039= $D1223) * (J$1016:J$1039) ) * SUM(EF[CH4] * (EF[SATIM Code]= $D1223) )</f>
        <v>0</v>
      </c>
      <c r="K1223" s="1381">
        <f t="array" ref="K1223">SUM(($E$1016:$E$1039=$E$1107)* ($A$1016:$A$1039=$A1223) * ($D$1016:$D$1039= $D1223) * (K$1016:K$1039) ) * SUM(EF[CH4] * (EF[SATIM Code]= $D1223) )</f>
        <v>0</v>
      </c>
      <c r="L1223" s="1381">
        <f t="array" ref="L1223">SUM(($E$1016:$E$1039=$E$1107)* ($A$1016:$A$1039=$A1223) * ($D$1016:$D$1039= $D1223) * (L$1016:L$1039) ) * SUM(EF[CH4] * (EF[SATIM Code]= $D1223) )</f>
        <v>0</v>
      </c>
      <c r="M1223" s="1381">
        <f t="array" ref="M1223">SUM(($E$1016:$E$1039=$E$1107)* ($A$1016:$A$1039=$A1223) * ($D$1016:$D$1039= $D1223) * (M$1016:M$1039) ) * SUM(EF[CH4] * (EF[SATIM Code]= $D1223) )</f>
        <v>0</v>
      </c>
      <c r="N1223" s="1381">
        <f t="array" ref="N1223">SUM(($E$1016:$E$1039=$E$1107)* ($A$1016:$A$1039=$A1223) * ($D$1016:$D$1039= $D1223) * (N$1016:N$1039) ) * SUM(EF[CH4] * (EF[SATIM Code]= $D1223) )</f>
        <v>0</v>
      </c>
      <c r="O1223" s="1381">
        <f t="array" ref="O1223">SUM(($E$1016:$E$1039=$E$1107)* ($A$1016:$A$1039=$A1223) * ($D$1016:$D$1039= $D1223) * (O$1016:O$1039) ) * SUM(EF[CH4] * (EF[SATIM Code]= $D1223) )</f>
        <v>0</v>
      </c>
    </row>
    <row r="1224" spans="1:15" s="19" customFormat="1" hidden="1" outlineLevel="1">
      <c r="B1224" s="1393"/>
      <c r="C1224" s="1407" t="str">
        <f>D22</f>
        <v>Chemicals  -33</v>
      </c>
      <c r="D1224" s="1391"/>
      <c r="E1224" s="1393"/>
      <c r="F1224" s="1381">
        <f t="array" ref="F1224">SUM(($E$1016:$E$1039=$E$1107)* ($A$1016:$A$1039=$A1224) * ($D$1016:$D$1039= $D1224) * (F$1016:F$1039) ) * SUM(EF[CH4] * (EF[SATIM Code]= $D1224) )</f>
        <v>0</v>
      </c>
      <c r="G1224" s="1381">
        <f t="array" ref="G1224">SUM(($E$1016:$E$1039=$E$1107)* ($A$1016:$A$1039=$A1224) * ($D$1016:$D$1039= $D1224) * (G$1016:G$1039) ) * SUM(EF[CH4] * (EF[SATIM Code]= $D1224) )</f>
        <v>0</v>
      </c>
      <c r="H1224" s="1381">
        <f t="array" ref="H1224">SUM(($E$1016:$E$1039=$E$1107)* ($A$1016:$A$1039=$A1224) * ($D$1016:$D$1039= $D1224) * (H$1016:H$1039) ) * SUM(EF[CH4] * (EF[SATIM Code]= $D1224) )</f>
        <v>0</v>
      </c>
      <c r="I1224" s="1381">
        <f t="array" ref="I1224">SUM(($E$1016:$E$1039=$E$1107)* ($A$1016:$A$1039=$A1224) * ($D$1016:$D$1039= $D1224) * (I$1016:I$1039) ) * SUM(EF[CH4] * (EF[SATIM Code]= $D1224) )</f>
        <v>0</v>
      </c>
      <c r="J1224" s="1381">
        <f t="array" ref="J1224">SUM(($E$1016:$E$1039=$E$1107)* ($A$1016:$A$1039=$A1224) * ($D$1016:$D$1039= $D1224) * (J$1016:J$1039) ) * SUM(EF[CH4] * (EF[SATIM Code]= $D1224) )</f>
        <v>0</v>
      </c>
      <c r="K1224" s="1381">
        <f t="array" ref="K1224">SUM(($E$1016:$E$1039=$E$1107)* ($A$1016:$A$1039=$A1224) * ($D$1016:$D$1039= $D1224) * (K$1016:K$1039) ) * SUM(EF[CH4] * (EF[SATIM Code]= $D1224) )</f>
        <v>0</v>
      </c>
      <c r="L1224" s="1381">
        <f t="array" ref="L1224">SUM(($E$1016:$E$1039=$E$1107)* ($A$1016:$A$1039=$A1224) * ($D$1016:$D$1039= $D1224) * (L$1016:L$1039) ) * SUM(EF[CH4] * (EF[SATIM Code]= $D1224) )</f>
        <v>0</v>
      </c>
      <c r="M1224" s="1381">
        <f t="array" ref="M1224">SUM(($E$1016:$E$1039=$E$1107)* ($A$1016:$A$1039=$A1224) * ($D$1016:$D$1039= $D1224) * (M$1016:M$1039) ) * SUM(EF[CH4] * (EF[SATIM Code]= $D1224) )</f>
        <v>0</v>
      </c>
      <c r="N1224" s="1381">
        <f t="array" ref="N1224">SUM(($E$1016:$E$1039=$E$1107)* ($A$1016:$A$1039=$A1224) * ($D$1016:$D$1039= $D1224) * (N$1016:N$1039) ) * SUM(EF[CH4] * (EF[SATIM Code]= $D1224) )</f>
        <v>0</v>
      </c>
      <c r="O1224" s="1381">
        <f t="array" ref="O1224">SUM(($E$1016:$E$1039=$E$1107)* ($A$1016:$A$1039=$A1224) * ($D$1016:$D$1039= $D1224) * (O$1016:O$1039) ) * SUM(EF[CH4] * (EF[SATIM Code]= $D1224) )</f>
        <v>0</v>
      </c>
    </row>
    <row r="1225" spans="1:15" s="19" customFormat="1" hidden="1" outlineLevel="1">
      <c r="A1225" s="1438" t="str">
        <f>INDEX($C$20:$C$27,MATCH($C1224,$D$20:$D$27,0))</f>
        <v>CP</v>
      </c>
      <c r="B1225" s="1400" t="str">
        <f>INDEX(EF[UK Vector],MATCH(D1225,EF[SATIM Code],0))</f>
        <v>V.03</v>
      </c>
      <c r="C1225" s="1401" t="str">
        <f>INDEX(Vectors[Description], MATCH($B1225, Vectors[Code], 0))</f>
        <v>Solid hydrocarbons</v>
      </c>
      <c r="D1225" s="1391" t="s">
        <v>882</v>
      </c>
      <c r="E1225" s="1393"/>
      <c r="F1225" s="1381">
        <f t="array" ref="F1225">SUM(($E$1016:$E$1039=$E$1107)* ($A$1016:$A$1039=$A1225) * ($D$1016:$D$1039= $D1225) * (F$1016:F$1039) ) * SUM(EF[CH4] * (EF[SATIM Code]= $D1225) )</f>
        <v>0</v>
      </c>
      <c r="G1225" s="1381">
        <f t="array" ref="G1225">SUM(($E$1016:$E$1039=$E$1107)* ($A$1016:$A$1039=$A1225) * ($D$1016:$D$1039= $D1225) * (G$1016:G$1039) ) * SUM(EF[CH4] * (EF[SATIM Code]= $D1225) )</f>
        <v>0</v>
      </c>
      <c r="H1225" s="1381">
        <f t="array" ref="H1225">SUM(($E$1016:$E$1039=$E$1107)* ($A$1016:$A$1039=$A1225) * ($D$1016:$D$1039= $D1225) * (H$1016:H$1039) ) * SUM(EF[CH4] * (EF[SATIM Code]= $D1225) )</f>
        <v>0</v>
      </c>
      <c r="I1225" s="1381">
        <f t="array" ref="I1225">SUM(($E$1016:$E$1039=$E$1107)* ($A$1016:$A$1039=$A1225) * ($D$1016:$D$1039= $D1225) * (I$1016:I$1039) ) * SUM(EF[CH4] * (EF[SATIM Code]= $D1225) )</f>
        <v>0</v>
      </c>
      <c r="J1225" s="1381">
        <f t="array" ref="J1225">SUM(($E$1016:$E$1039=$E$1107)* ($A$1016:$A$1039=$A1225) * ($D$1016:$D$1039= $D1225) * (J$1016:J$1039) ) * SUM(EF[CH4] * (EF[SATIM Code]= $D1225) )</f>
        <v>0</v>
      </c>
      <c r="K1225" s="1381">
        <f t="array" ref="K1225">SUM(($E$1016:$E$1039=$E$1107)* ($A$1016:$A$1039=$A1225) * ($D$1016:$D$1039= $D1225) * (K$1016:K$1039) ) * SUM(EF[CH4] * (EF[SATIM Code]= $D1225) )</f>
        <v>0</v>
      </c>
      <c r="L1225" s="1381">
        <f t="array" ref="L1225">SUM(($E$1016:$E$1039=$E$1107)* ($A$1016:$A$1039=$A1225) * ($D$1016:$D$1039= $D1225) * (L$1016:L$1039) ) * SUM(EF[CH4] * (EF[SATIM Code]= $D1225) )</f>
        <v>0</v>
      </c>
      <c r="M1225" s="1381">
        <f t="array" ref="M1225">SUM(($E$1016:$E$1039=$E$1107)* ($A$1016:$A$1039=$A1225) * ($D$1016:$D$1039= $D1225) * (M$1016:M$1039) ) * SUM(EF[CH4] * (EF[SATIM Code]= $D1225) )</f>
        <v>0</v>
      </c>
      <c r="N1225" s="1381">
        <f t="array" ref="N1225">SUM(($E$1016:$E$1039=$E$1107)* ($A$1016:$A$1039=$A1225) * ($D$1016:$D$1039= $D1225) * (N$1016:N$1039) ) * SUM(EF[CH4] * (EF[SATIM Code]= $D1225) )</f>
        <v>0</v>
      </c>
      <c r="O1225" s="1381">
        <f t="array" ref="O1225">SUM(($E$1016:$E$1039=$E$1107)* ($A$1016:$A$1039=$A1225) * ($D$1016:$D$1039= $D1225) * (O$1016:O$1039) ) * SUM(EF[CH4] * (EF[SATIM Code]= $D1225) )</f>
        <v>0</v>
      </c>
    </row>
    <row r="1226" spans="1:15" s="19" customFormat="1" hidden="1" outlineLevel="1">
      <c r="A1226" s="19" t="str">
        <f t="shared" ref="A1226:A1233" si="261">A1225</f>
        <v>CP</v>
      </c>
      <c r="B1226" s="1400" t="str">
        <f>INDEX(EF[UK Vector],MATCH(D1226,EF[SATIM Code],0))</f>
        <v>V.03</v>
      </c>
      <c r="C1226" s="1401" t="str">
        <f>INDEX(Vectors[Description], MATCH($B1226, Vectors[Code], 0))</f>
        <v>Solid hydrocarbons</v>
      </c>
      <c r="D1226" s="1391" t="s">
        <v>883</v>
      </c>
      <c r="E1226" s="1393"/>
      <c r="F1226" s="1381">
        <f t="array" ref="F1226">SUM(($E$1016:$E$1039=$E$1107)* ($A$1016:$A$1039=$A1226) * ($D$1016:$D$1039= $D1226) * (F$1016:F$1039) ) * SUM(EF[CH4] * (EF[SATIM Code]= $D1226) )</f>
        <v>0</v>
      </c>
      <c r="G1226" s="1381">
        <f t="array" ref="G1226">SUM(($E$1016:$E$1039=$E$1107)* ($A$1016:$A$1039=$A1226) * ($D$1016:$D$1039= $D1226) * (G$1016:G$1039) ) * SUM(EF[CH4] * (EF[SATIM Code]= $D1226) )</f>
        <v>0</v>
      </c>
      <c r="H1226" s="1381">
        <f t="array" ref="H1226">SUM(($E$1016:$E$1039=$E$1107)* ($A$1016:$A$1039=$A1226) * ($D$1016:$D$1039= $D1226) * (H$1016:H$1039) ) * SUM(EF[CH4] * (EF[SATIM Code]= $D1226) )</f>
        <v>0</v>
      </c>
      <c r="I1226" s="1381">
        <f t="array" ref="I1226">SUM(($E$1016:$E$1039=$E$1107)* ($A$1016:$A$1039=$A1226) * ($D$1016:$D$1039= $D1226) * (I$1016:I$1039) ) * SUM(EF[CH4] * (EF[SATIM Code]= $D1226) )</f>
        <v>0</v>
      </c>
      <c r="J1226" s="1381">
        <f t="array" ref="J1226">SUM(($E$1016:$E$1039=$E$1107)* ($A$1016:$A$1039=$A1226) * ($D$1016:$D$1039= $D1226) * (J$1016:J$1039) ) * SUM(EF[CH4] * (EF[SATIM Code]= $D1226) )</f>
        <v>0</v>
      </c>
      <c r="K1226" s="1381">
        <f t="array" ref="K1226">SUM(($E$1016:$E$1039=$E$1107)* ($A$1016:$A$1039=$A1226) * ($D$1016:$D$1039= $D1226) * (K$1016:K$1039) ) * SUM(EF[CH4] * (EF[SATIM Code]= $D1226) )</f>
        <v>0</v>
      </c>
      <c r="L1226" s="1381">
        <f t="array" ref="L1226">SUM(($E$1016:$E$1039=$E$1107)* ($A$1016:$A$1039=$A1226) * ($D$1016:$D$1039= $D1226) * (L$1016:L$1039) ) * SUM(EF[CH4] * (EF[SATIM Code]= $D1226) )</f>
        <v>0</v>
      </c>
      <c r="M1226" s="1381">
        <f t="array" ref="M1226">SUM(($E$1016:$E$1039=$E$1107)* ($A$1016:$A$1039=$A1226) * ($D$1016:$D$1039= $D1226) * (M$1016:M$1039) ) * SUM(EF[CH4] * (EF[SATIM Code]= $D1226) )</f>
        <v>0</v>
      </c>
      <c r="N1226" s="1381">
        <f t="array" ref="N1226">SUM(($E$1016:$E$1039=$E$1107)* ($A$1016:$A$1039=$A1226) * ($D$1016:$D$1039= $D1226) * (N$1016:N$1039) ) * SUM(EF[CH4] * (EF[SATIM Code]= $D1226) )</f>
        <v>0</v>
      </c>
      <c r="O1226" s="1381">
        <f t="array" ref="O1226">SUM(($E$1016:$E$1039=$E$1107)* ($A$1016:$A$1039=$A1226) * ($D$1016:$D$1039= $D1226) * (O$1016:O$1039) ) * SUM(EF[CH4] * (EF[SATIM Code]= $D1226) )</f>
        <v>0</v>
      </c>
    </row>
    <row r="1227" spans="1:15" s="19" customFormat="1" hidden="1" outlineLevel="1">
      <c r="A1227" s="19" t="str">
        <f t="shared" si="261"/>
        <v>CP</v>
      </c>
      <c r="B1227" s="1400" t="str">
        <f>INDEX(EF[UK Vector],MATCH(D1227,EF[SATIM Code],0))</f>
        <v>V.05</v>
      </c>
      <c r="C1227" s="1401" t="str">
        <f>INDEX(Vectors[Description], MATCH($B1227, Vectors[Code], 0))</f>
        <v>Gaseous hydrocarbons</v>
      </c>
      <c r="D1227" s="1406" t="s">
        <v>869</v>
      </c>
      <c r="E1227" s="1393"/>
      <c r="F1227" s="1381">
        <f t="array" ref="F1227">SUM(($E$1016:$E$1039=$E$1107)* ($A$1016:$A$1039=$A1227) * ($D$1016:$D$1039= $D1227) * (F$1016:F$1039) ) * SUM(EF[CH4] * (EF[SATIM Code]= $D1227) )</f>
        <v>0</v>
      </c>
      <c r="G1227" s="1381">
        <f t="array" ref="G1227">SUM(($E$1016:$E$1039=$E$1107)* ($A$1016:$A$1039=$A1227) * ($D$1016:$D$1039= $D1227) * (G$1016:G$1039) ) * SUM(EF[CH4] * (EF[SATIM Code]= $D1227) )</f>
        <v>0</v>
      </c>
      <c r="H1227" s="1381">
        <f t="array" ref="H1227">SUM(($E$1016:$E$1039=$E$1107)* ($A$1016:$A$1039=$A1227) * ($D$1016:$D$1039= $D1227) * (H$1016:H$1039) ) * SUM(EF[CH4] * (EF[SATIM Code]= $D1227) )</f>
        <v>0</v>
      </c>
      <c r="I1227" s="1381">
        <f t="array" ref="I1227">SUM(($E$1016:$E$1039=$E$1107)* ($A$1016:$A$1039=$A1227) * ($D$1016:$D$1039= $D1227) * (I$1016:I$1039) ) * SUM(EF[CH4] * (EF[SATIM Code]= $D1227) )</f>
        <v>0</v>
      </c>
      <c r="J1227" s="1381">
        <f t="array" ref="J1227">SUM(($E$1016:$E$1039=$E$1107)* ($A$1016:$A$1039=$A1227) * ($D$1016:$D$1039= $D1227) * (J$1016:J$1039) ) * SUM(EF[CH4] * (EF[SATIM Code]= $D1227) )</f>
        <v>0</v>
      </c>
      <c r="K1227" s="1381">
        <f t="array" ref="K1227">SUM(($E$1016:$E$1039=$E$1107)* ($A$1016:$A$1039=$A1227) * ($D$1016:$D$1039= $D1227) * (K$1016:K$1039) ) * SUM(EF[CH4] * (EF[SATIM Code]= $D1227) )</f>
        <v>0</v>
      </c>
      <c r="L1227" s="1381">
        <f t="array" ref="L1227">SUM(($E$1016:$E$1039=$E$1107)* ($A$1016:$A$1039=$A1227) * ($D$1016:$D$1039= $D1227) * (L$1016:L$1039) ) * SUM(EF[CH4] * (EF[SATIM Code]= $D1227) )</f>
        <v>0</v>
      </c>
      <c r="M1227" s="1381">
        <f t="array" ref="M1227">SUM(($E$1016:$E$1039=$E$1107)* ($A$1016:$A$1039=$A1227) * ($D$1016:$D$1039= $D1227) * (M$1016:M$1039) ) * SUM(EF[CH4] * (EF[SATIM Code]= $D1227) )</f>
        <v>0</v>
      </c>
      <c r="N1227" s="1381">
        <f t="array" ref="N1227">SUM(($E$1016:$E$1039=$E$1107)* ($A$1016:$A$1039=$A1227) * ($D$1016:$D$1039= $D1227) * (N$1016:N$1039) ) * SUM(EF[CH4] * (EF[SATIM Code]= $D1227) )</f>
        <v>0</v>
      </c>
      <c r="O1227" s="1381">
        <f t="array" ref="O1227">SUM(($E$1016:$E$1039=$E$1107)* ($A$1016:$A$1039=$A1227) * ($D$1016:$D$1039= $D1227) * (O$1016:O$1039) ) * SUM(EF[CH4] * (EF[SATIM Code]= $D1227) )</f>
        <v>0</v>
      </c>
    </row>
    <row r="1228" spans="1:15" s="19" customFormat="1" hidden="1" outlineLevel="1">
      <c r="A1228" s="19" t="str">
        <f t="shared" si="261"/>
        <v>CP</v>
      </c>
      <c r="B1228" s="1400" t="str">
        <f>INDEX(EF[UK Vector],MATCH(D1228,EF[SATIM Code],0))</f>
        <v>V.04</v>
      </c>
      <c r="C1228" s="1401" t="str">
        <f>INDEX(Vectors[Description], MATCH($B1228, Vectors[Code], 0))</f>
        <v>Liquid hydrocarbons</v>
      </c>
      <c r="D1228" s="1406" t="s">
        <v>885</v>
      </c>
      <c r="E1228" s="1393"/>
      <c r="F1228" s="1381">
        <f t="array" ref="F1228">SUM(($E$1016:$E$1039=$E$1107)* ($A$1016:$A$1039=$A1228) * ($D$1016:$D$1039= $D1228) * (F$1016:F$1039) ) * SUM(EF[CH4] * (EF[SATIM Code]= $D1228) )</f>
        <v>0</v>
      </c>
      <c r="G1228" s="1381">
        <f t="array" ref="G1228">SUM(($E$1016:$E$1039=$E$1107)* ($A$1016:$A$1039=$A1228) * ($D$1016:$D$1039= $D1228) * (G$1016:G$1039) ) * SUM(EF[CH4] * (EF[SATIM Code]= $D1228) )</f>
        <v>0</v>
      </c>
      <c r="H1228" s="1381">
        <f t="array" ref="H1228">SUM(($E$1016:$E$1039=$E$1107)* ($A$1016:$A$1039=$A1228) * ($D$1016:$D$1039= $D1228) * (H$1016:H$1039) ) * SUM(EF[CH4] * (EF[SATIM Code]= $D1228) )</f>
        <v>0</v>
      </c>
      <c r="I1228" s="1381">
        <f t="array" ref="I1228">SUM(($E$1016:$E$1039=$E$1107)* ($A$1016:$A$1039=$A1228) * ($D$1016:$D$1039= $D1228) * (I$1016:I$1039) ) * SUM(EF[CH4] * (EF[SATIM Code]= $D1228) )</f>
        <v>0</v>
      </c>
      <c r="J1228" s="1381">
        <f t="array" ref="J1228">SUM(($E$1016:$E$1039=$E$1107)* ($A$1016:$A$1039=$A1228) * ($D$1016:$D$1039= $D1228) * (J$1016:J$1039) ) * SUM(EF[CH4] * (EF[SATIM Code]= $D1228) )</f>
        <v>0</v>
      </c>
      <c r="K1228" s="1381">
        <f t="array" ref="K1228">SUM(($E$1016:$E$1039=$E$1107)* ($A$1016:$A$1039=$A1228) * ($D$1016:$D$1039= $D1228) * (K$1016:K$1039) ) * SUM(EF[CH4] * (EF[SATIM Code]= $D1228) )</f>
        <v>0</v>
      </c>
      <c r="L1228" s="1381">
        <f t="array" ref="L1228">SUM(($E$1016:$E$1039=$E$1107)* ($A$1016:$A$1039=$A1228) * ($D$1016:$D$1039= $D1228) * (L$1016:L$1039) ) * SUM(EF[CH4] * (EF[SATIM Code]= $D1228) )</f>
        <v>0</v>
      </c>
      <c r="M1228" s="1381">
        <f t="array" ref="M1228">SUM(($E$1016:$E$1039=$E$1107)* ($A$1016:$A$1039=$A1228) * ($D$1016:$D$1039= $D1228) * (M$1016:M$1039) ) * SUM(EF[CH4] * (EF[SATIM Code]= $D1228) )</f>
        <v>0</v>
      </c>
      <c r="N1228" s="1381">
        <f t="array" ref="N1228">SUM(($E$1016:$E$1039=$E$1107)* ($A$1016:$A$1039=$A1228) * ($D$1016:$D$1039= $D1228) * (N$1016:N$1039) ) * SUM(EF[CH4] * (EF[SATIM Code]= $D1228) )</f>
        <v>0</v>
      </c>
      <c r="O1228" s="1381">
        <f t="array" ref="O1228">SUM(($E$1016:$E$1039=$E$1107)* ($A$1016:$A$1039=$A1228) * ($D$1016:$D$1039= $D1228) * (O$1016:O$1039) ) * SUM(EF[CH4] * (EF[SATIM Code]= $D1228) )</f>
        <v>0</v>
      </c>
    </row>
    <row r="1229" spans="1:15" s="19" customFormat="1" hidden="1" outlineLevel="1">
      <c r="A1229" s="19" t="str">
        <f t="shared" si="261"/>
        <v>CP</v>
      </c>
      <c r="B1229" s="1400" t="str">
        <f>INDEX(EF[UK Vector],MATCH(D1229,EF[SATIM Code],0))</f>
        <v>V.04</v>
      </c>
      <c r="C1229" s="1401" t="str">
        <f>INDEX(Vectors[Description], MATCH($B1229, Vectors[Code], 0))</f>
        <v>Liquid hydrocarbons</v>
      </c>
      <c r="D1229" s="1391" t="s">
        <v>886</v>
      </c>
      <c r="E1229" s="1393"/>
      <c r="F1229" s="1381">
        <f t="array" ref="F1229">SUM(($E$1016:$E$1039=$E$1107)* ($A$1016:$A$1039=$A1229) * ($D$1016:$D$1039= $D1229) * (F$1016:F$1039) ) * SUM(EF[CH4] * (EF[SATIM Code]= $D1229) )</f>
        <v>0</v>
      </c>
      <c r="G1229" s="1381">
        <f t="array" ref="G1229">SUM(($E$1016:$E$1039=$E$1107)* ($A$1016:$A$1039=$A1229) * ($D$1016:$D$1039= $D1229) * (G$1016:G$1039) ) * SUM(EF[CH4] * (EF[SATIM Code]= $D1229) )</f>
        <v>0</v>
      </c>
      <c r="H1229" s="1381">
        <f t="array" ref="H1229">SUM(($E$1016:$E$1039=$E$1107)* ($A$1016:$A$1039=$A1229) * ($D$1016:$D$1039= $D1229) * (H$1016:H$1039) ) * SUM(EF[CH4] * (EF[SATIM Code]= $D1229) )</f>
        <v>0</v>
      </c>
      <c r="I1229" s="1381">
        <f t="array" ref="I1229">SUM(($E$1016:$E$1039=$E$1107)* ($A$1016:$A$1039=$A1229) * ($D$1016:$D$1039= $D1229) * (I$1016:I$1039) ) * SUM(EF[CH4] * (EF[SATIM Code]= $D1229) )</f>
        <v>0</v>
      </c>
      <c r="J1229" s="1381">
        <f t="array" ref="J1229">SUM(($E$1016:$E$1039=$E$1107)* ($A$1016:$A$1039=$A1229) * ($D$1016:$D$1039= $D1229) * (J$1016:J$1039) ) * SUM(EF[CH4] * (EF[SATIM Code]= $D1229) )</f>
        <v>0</v>
      </c>
      <c r="K1229" s="1381">
        <f t="array" ref="K1229">SUM(($E$1016:$E$1039=$E$1107)* ($A$1016:$A$1039=$A1229) * ($D$1016:$D$1039= $D1229) * (K$1016:K$1039) ) * SUM(EF[CH4] * (EF[SATIM Code]= $D1229) )</f>
        <v>0</v>
      </c>
      <c r="L1229" s="1381">
        <f t="array" ref="L1229">SUM(($E$1016:$E$1039=$E$1107)* ($A$1016:$A$1039=$A1229) * ($D$1016:$D$1039= $D1229) * (L$1016:L$1039) ) * SUM(EF[CH4] * (EF[SATIM Code]= $D1229) )</f>
        <v>0</v>
      </c>
      <c r="M1229" s="1381">
        <f t="array" ref="M1229">SUM(($E$1016:$E$1039=$E$1107)* ($A$1016:$A$1039=$A1229) * ($D$1016:$D$1039= $D1229) * (M$1016:M$1039) ) * SUM(EF[CH4] * (EF[SATIM Code]= $D1229) )</f>
        <v>0</v>
      </c>
      <c r="N1229" s="1381">
        <f t="array" ref="N1229">SUM(($E$1016:$E$1039=$E$1107)* ($A$1016:$A$1039=$A1229) * ($D$1016:$D$1039= $D1229) * (N$1016:N$1039) ) * SUM(EF[CH4] * (EF[SATIM Code]= $D1229) )</f>
        <v>0</v>
      </c>
      <c r="O1229" s="1381">
        <f t="array" ref="O1229">SUM(($E$1016:$E$1039=$E$1107)* ($A$1016:$A$1039=$A1229) * ($D$1016:$D$1039= $D1229) * (O$1016:O$1039) ) * SUM(EF[CH4] * (EF[SATIM Code]= $D1229) )</f>
        <v>0</v>
      </c>
    </row>
    <row r="1230" spans="1:15" s="19" customFormat="1" hidden="1" outlineLevel="1">
      <c r="A1230" s="19" t="str">
        <f t="shared" si="261"/>
        <v>CP</v>
      </c>
      <c r="B1230" s="1400" t="str">
        <f>INDEX(EF[UK Vector],MATCH(D1230,EF[SATIM Code],0))</f>
        <v>V.04</v>
      </c>
      <c r="C1230" s="1401" t="str">
        <f>INDEX(Vectors[Description], MATCH($B1230, Vectors[Code], 0))</f>
        <v>Liquid hydrocarbons</v>
      </c>
      <c r="D1230" s="1406" t="s">
        <v>887</v>
      </c>
      <c r="E1230" s="1393"/>
      <c r="F1230" s="1381">
        <f t="array" ref="F1230">SUM(($E$1016:$E$1039=$E$1107)* ($A$1016:$A$1039=$A1230) * ($D$1016:$D$1039= $D1230) * (F$1016:F$1039) ) * SUM(EF[CH4] * (EF[SATIM Code]= $D1230) )</f>
        <v>0</v>
      </c>
      <c r="G1230" s="1381">
        <f t="array" ref="G1230">SUM(($E$1016:$E$1039=$E$1107)* ($A$1016:$A$1039=$A1230) * ($D$1016:$D$1039= $D1230) * (G$1016:G$1039) ) * SUM(EF[CH4] * (EF[SATIM Code]= $D1230) )</f>
        <v>0</v>
      </c>
      <c r="H1230" s="1381">
        <f t="array" ref="H1230">SUM(($E$1016:$E$1039=$E$1107)* ($A$1016:$A$1039=$A1230) * ($D$1016:$D$1039= $D1230) * (H$1016:H$1039) ) * SUM(EF[CH4] * (EF[SATIM Code]= $D1230) )</f>
        <v>0</v>
      </c>
      <c r="I1230" s="1381">
        <f t="array" ref="I1230">SUM(($E$1016:$E$1039=$E$1107)* ($A$1016:$A$1039=$A1230) * ($D$1016:$D$1039= $D1230) * (I$1016:I$1039) ) * SUM(EF[CH4] * (EF[SATIM Code]= $D1230) )</f>
        <v>0</v>
      </c>
      <c r="J1230" s="1381">
        <f t="array" ref="J1230">SUM(($E$1016:$E$1039=$E$1107)* ($A$1016:$A$1039=$A1230) * ($D$1016:$D$1039= $D1230) * (J$1016:J$1039) ) * SUM(EF[CH4] * (EF[SATIM Code]= $D1230) )</f>
        <v>0</v>
      </c>
      <c r="K1230" s="1381">
        <f t="array" ref="K1230">SUM(($E$1016:$E$1039=$E$1107)* ($A$1016:$A$1039=$A1230) * ($D$1016:$D$1039= $D1230) * (K$1016:K$1039) ) * SUM(EF[CH4] * (EF[SATIM Code]= $D1230) )</f>
        <v>0</v>
      </c>
      <c r="L1230" s="1381">
        <f t="array" ref="L1230">SUM(($E$1016:$E$1039=$E$1107)* ($A$1016:$A$1039=$A1230) * ($D$1016:$D$1039= $D1230) * (L$1016:L$1039) ) * SUM(EF[CH4] * (EF[SATIM Code]= $D1230) )</f>
        <v>0</v>
      </c>
      <c r="M1230" s="1381">
        <f t="array" ref="M1230">SUM(($E$1016:$E$1039=$E$1107)* ($A$1016:$A$1039=$A1230) * ($D$1016:$D$1039= $D1230) * (M$1016:M$1039) ) * SUM(EF[CH4] * (EF[SATIM Code]= $D1230) )</f>
        <v>0</v>
      </c>
      <c r="N1230" s="1381">
        <f t="array" ref="N1230">SUM(($E$1016:$E$1039=$E$1107)* ($A$1016:$A$1039=$A1230) * ($D$1016:$D$1039= $D1230) * (N$1016:N$1039) ) * SUM(EF[CH4] * (EF[SATIM Code]= $D1230) )</f>
        <v>0</v>
      </c>
      <c r="O1230" s="1381">
        <f t="array" ref="O1230">SUM(($E$1016:$E$1039=$E$1107)* ($A$1016:$A$1039=$A1230) * ($D$1016:$D$1039= $D1230) * (O$1016:O$1039) ) * SUM(EF[CH4] * (EF[SATIM Code]= $D1230) )</f>
        <v>0</v>
      </c>
    </row>
    <row r="1231" spans="1:15" s="19" customFormat="1" hidden="1" outlineLevel="1">
      <c r="A1231" s="19" t="str">
        <f t="shared" si="261"/>
        <v>CP</v>
      </c>
      <c r="B1231" s="1400" t="str">
        <f>INDEX(EF[UK Vector],MATCH(D1231,EF[SATIM Code],0))</f>
        <v>V.09</v>
      </c>
      <c r="C1231" s="1401" t="str">
        <f>INDEX(Vectors[Description], MATCH($B1231, Vectors[Code], 0))</f>
        <v>Dry biomass and waste</v>
      </c>
      <c r="D1231" s="1406" t="s">
        <v>888</v>
      </c>
      <c r="E1231" s="1393"/>
      <c r="F1231" s="1381">
        <f t="array" ref="F1231">SUM(($E$1016:$E$1039=$E$1107)* ($A$1016:$A$1039=$A1231) * ($D$1016:$D$1039= $D1231) * (F$1016:F$1039) ) * SUM(EF[CH4] * (EF[SATIM Code]= $D1231) )</f>
        <v>0</v>
      </c>
      <c r="G1231" s="1381">
        <f t="array" ref="G1231">SUM(($E$1016:$E$1039=$E$1107)* ($A$1016:$A$1039=$A1231) * ($D$1016:$D$1039= $D1231) * (G$1016:G$1039) ) * SUM(EF[CH4] * (EF[SATIM Code]= $D1231) )</f>
        <v>0</v>
      </c>
      <c r="H1231" s="1381">
        <f t="array" ref="H1231">SUM(($E$1016:$E$1039=$E$1107)* ($A$1016:$A$1039=$A1231) * ($D$1016:$D$1039= $D1231) * (H$1016:H$1039) ) * SUM(EF[CH4] * (EF[SATIM Code]= $D1231) )</f>
        <v>0</v>
      </c>
      <c r="I1231" s="1381">
        <f t="array" ref="I1231">SUM(($E$1016:$E$1039=$E$1107)* ($A$1016:$A$1039=$A1231) * ($D$1016:$D$1039= $D1231) * (I$1016:I$1039) ) * SUM(EF[CH4] * (EF[SATIM Code]= $D1231) )</f>
        <v>0</v>
      </c>
      <c r="J1231" s="1381">
        <f t="array" ref="J1231">SUM(($E$1016:$E$1039=$E$1107)* ($A$1016:$A$1039=$A1231) * ($D$1016:$D$1039= $D1231) * (J$1016:J$1039) ) * SUM(EF[CH4] * (EF[SATIM Code]= $D1231) )</f>
        <v>0</v>
      </c>
      <c r="K1231" s="1381">
        <f t="array" ref="K1231">SUM(($E$1016:$E$1039=$E$1107)* ($A$1016:$A$1039=$A1231) * ($D$1016:$D$1039= $D1231) * (K$1016:K$1039) ) * SUM(EF[CH4] * (EF[SATIM Code]= $D1231) )</f>
        <v>0</v>
      </c>
      <c r="L1231" s="1381">
        <f t="array" ref="L1231">SUM(($E$1016:$E$1039=$E$1107)* ($A$1016:$A$1039=$A1231) * ($D$1016:$D$1039= $D1231) * (L$1016:L$1039) ) * SUM(EF[CH4] * (EF[SATIM Code]= $D1231) )</f>
        <v>0</v>
      </c>
      <c r="M1231" s="1381">
        <f t="array" ref="M1231">SUM(($E$1016:$E$1039=$E$1107)* ($A$1016:$A$1039=$A1231) * ($D$1016:$D$1039= $D1231) * (M$1016:M$1039) ) * SUM(EF[CH4] * (EF[SATIM Code]= $D1231) )</f>
        <v>0</v>
      </c>
      <c r="N1231" s="1381">
        <f t="array" ref="N1231">SUM(($E$1016:$E$1039=$E$1107)* ($A$1016:$A$1039=$A1231) * ($D$1016:$D$1039= $D1231) * (N$1016:N$1039) ) * SUM(EF[CH4] * (EF[SATIM Code]= $D1231) )</f>
        <v>0</v>
      </c>
      <c r="O1231" s="1381">
        <f t="array" ref="O1231">SUM(($E$1016:$E$1039=$E$1107)* ($A$1016:$A$1039=$A1231) * ($D$1016:$D$1039= $D1231) * (O$1016:O$1039) ) * SUM(EF[CH4] * (EF[SATIM Code]= $D1231) )</f>
        <v>0</v>
      </c>
    </row>
    <row r="1232" spans="1:15" s="19" customFormat="1" hidden="1" outlineLevel="1">
      <c r="A1232" s="19" t="str">
        <f t="shared" si="261"/>
        <v>CP</v>
      </c>
      <c r="B1232" s="1400" t="str">
        <f>INDEX(EF[UK Vector],MATCH(D1232,EF[SATIM Code],0))</f>
        <v>V.09</v>
      </c>
      <c r="C1232" s="1401" t="str">
        <f>INDEX(Vectors[Description], MATCH($B1232, Vectors[Code], 0))</f>
        <v>Dry biomass and waste</v>
      </c>
      <c r="D1232" s="1388" t="s">
        <v>889</v>
      </c>
      <c r="E1232" s="1393"/>
      <c r="F1232" s="1381">
        <f t="array" ref="F1232">SUM(($E$1016:$E$1039=$E$1107)* ($A$1016:$A$1039=$A1232) * ($D$1016:$D$1039= $D1232) * (F$1016:F$1039) ) * SUM(EF[CH4] * (EF[SATIM Code]= $D1232) )</f>
        <v>0</v>
      </c>
      <c r="G1232" s="1381">
        <f t="array" ref="G1232">SUM(($E$1016:$E$1039=$E$1107)* ($A$1016:$A$1039=$A1232) * ($D$1016:$D$1039= $D1232) * (G$1016:G$1039) ) * SUM(EF[CH4] * (EF[SATIM Code]= $D1232) )</f>
        <v>0</v>
      </c>
      <c r="H1232" s="1381">
        <f t="array" ref="H1232">SUM(($E$1016:$E$1039=$E$1107)* ($A$1016:$A$1039=$A1232) * ($D$1016:$D$1039= $D1232) * (H$1016:H$1039) ) * SUM(EF[CH4] * (EF[SATIM Code]= $D1232) )</f>
        <v>0</v>
      </c>
      <c r="I1232" s="1381">
        <f t="array" ref="I1232">SUM(($E$1016:$E$1039=$E$1107)* ($A$1016:$A$1039=$A1232) * ($D$1016:$D$1039= $D1232) * (I$1016:I$1039) ) * SUM(EF[CH4] * (EF[SATIM Code]= $D1232) )</f>
        <v>0</v>
      </c>
      <c r="J1232" s="1381">
        <f t="array" ref="J1232">SUM(($E$1016:$E$1039=$E$1107)* ($A$1016:$A$1039=$A1232) * ($D$1016:$D$1039= $D1232) * (J$1016:J$1039) ) * SUM(EF[CH4] * (EF[SATIM Code]= $D1232) )</f>
        <v>0</v>
      </c>
      <c r="K1232" s="1381">
        <f t="array" ref="K1232">SUM(($E$1016:$E$1039=$E$1107)* ($A$1016:$A$1039=$A1232) * ($D$1016:$D$1039= $D1232) * (K$1016:K$1039) ) * SUM(EF[CH4] * (EF[SATIM Code]= $D1232) )</f>
        <v>0</v>
      </c>
      <c r="L1232" s="1381">
        <f t="array" ref="L1232">SUM(($E$1016:$E$1039=$E$1107)* ($A$1016:$A$1039=$A1232) * ($D$1016:$D$1039= $D1232) * (L$1016:L$1039) ) * SUM(EF[CH4] * (EF[SATIM Code]= $D1232) )</f>
        <v>0</v>
      </c>
      <c r="M1232" s="1381">
        <f t="array" ref="M1232">SUM(($E$1016:$E$1039=$E$1107)* ($A$1016:$A$1039=$A1232) * ($D$1016:$D$1039= $D1232) * (M$1016:M$1039) ) * SUM(EF[CH4] * (EF[SATIM Code]= $D1232) )</f>
        <v>0</v>
      </c>
      <c r="N1232" s="1381">
        <f t="array" ref="N1232">SUM(($E$1016:$E$1039=$E$1107)* ($A$1016:$A$1039=$A1232) * ($D$1016:$D$1039= $D1232) * (N$1016:N$1039) ) * SUM(EF[CH4] * (EF[SATIM Code]= $D1232) )</f>
        <v>0</v>
      </c>
      <c r="O1232" s="1381">
        <f t="array" ref="O1232">SUM(($E$1016:$E$1039=$E$1107)* ($A$1016:$A$1039=$A1232) * ($D$1016:$D$1039= $D1232) * (O$1016:O$1039) ) * SUM(EF[CH4] * (EF[SATIM Code]= $D1232) )</f>
        <v>0</v>
      </c>
    </row>
    <row r="1233" spans="1:15" s="19" customFormat="1" hidden="1" outlineLevel="1">
      <c r="A1233" s="19" t="str">
        <f t="shared" si="261"/>
        <v>CP</v>
      </c>
      <c r="B1233" s="1400" t="str">
        <f>INDEX(EF[UK Vector],MATCH(D1233,EF[SATIM Code],0))</f>
        <v>V.16</v>
      </c>
      <c r="C1233" s="1401" t="str">
        <f>INDEX(Vectors[Description], MATCH($B1233, Vectors[Code], 0))</f>
        <v>Other Waste</v>
      </c>
      <c r="D1233" s="1408" t="s">
        <v>890</v>
      </c>
      <c r="E1233" s="1393"/>
      <c r="F1233" s="1381">
        <f t="array" ref="F1233">SUM(($E$1016:$E$1039=$E$1107)* ($A$1016:$A$1039=$A1233) * ($D$1016:$D$1039= $D1233) * (F$1016:F$1039) ) * SUM(EF[CH4] * (EF[SATIM Code]= $D1233) )</f>
        <v>0</v>
      </c>
      <c r="G1233" s="1381">
        <f t="array" ref="G1233">SUM(($E$1016:$E$1039=$E$1107)* ($A$1016:$A$1039=$A1233) * ($D$1016:$D$1039= $D1233) * (G$1016:G$1039) ) * SUM(EF[CH4] * (EF[SATIM Code]= $D1233) )</f>
        <v>0</v>
      </c>
      <c r="H1233" s="1381">
        <f t="array" ref="H1233">SUM(($E$1016:$E$1039=$E$1107)* ($A$1016:$A$1039=$A1233) * ($D$1016:$D$1039= $D1233) * (H$1016:H$1039) ) * SUM(EF[CH4] * (EF[SATIM Code]= $D1233) )</f>
        <v>0</v>
      </c>
      <c r="I1233" s="1381">
        <f t="array" ref="I1233">SUM(($E$1016:$E$1039=$E$1107)* ($A$1016:$A$1039=$A1233) * ($D$1016:$D$1039= $D1233) * (I$1016:I$1039) ) * SUM(EF[CH4] * (EF[SATIM Code]= $D1233) )</f>
        <v>0</v>
      </c>
      <c r="J1233" s="1381">
        <f t="array" ref="J1233">SUM(($E$1016:$E$1039=$E$1107)* ($A$1016:$A$1039=$A1233) * ($D$1016:$D$1039= $D1233) * (J$1016:J$1039) ) * SUM(EF[CH4] * (EF[SATIM Code]= $D1233) )</f>
        <v>0</v>
      </c>
      <c r="K1233" s="1381">
        <f t="array" ref="K1233">SUM(($E$1016:$E$1039=$E$1107)* ($A$1016:$A$1039=$A1233) * ($D$1016:$D$1039= $D1233) * (K$1016:K$1039) ) * SUM(EF[CH4] * (EF[SATIM Code]= $D1233) )</f>
        <v>0</v>
      </c>
      <c r="L1233" s="1381">
        <f t="array" ref="L1233">SUM(($E$1016:$E$1039=$E$1107)* ($A$1016:$A$1039=$A1233) * ($D$1016:$D$1039= $D1233) * (L$1016:L$1039) ) * SUM(EF[CH4] * (EF[SATIM Code]= $D1233) )</f>
        <v>0</v>
      </c>
      <c r="M1233" s="1381">
        <f t="array" ref="M1233">SUM(($E$1016:$E$1039=$E$1107)* ($A$1016:$A$1039=$A1233) * ($D$1016:$D$1039= $D1233) * (M$1016:M$1039) ) * SUM(EF[CH4] * (EF[SATIM Code]= $D1233) )</f>
        <v>0</v>
      </c>
      <c r="N1233" s="1381">
        <f t="array" ref="N1233">SUM(($E$1016:$E$1039=$E$1107)* ($A$1016:$A$1039=$A1233) * ($D$1016:$D$1039= $D1233) * (N$1016:N$1039) ) * SUM(EF[CH4] * (EF[SATIM Code]= $D1233) )</f>
        <v>0</v>
      </c>
      <c r="O1233" s="1381">
        <f t="array" ref="O1233">SUM(($E$1016:$E$1039=$E$1107)* ($A$1016:$A$1039=$A1233) * ($D$1016:$D$1039= $D1233) * (O$1016:O$1039) ) * SUM(EF[CH4] * (EF[SATIM Code]= $D1233) )</f>
        <v>0</v>
      </c>
    </row>
    <row r="1234" spans="1:15" s="19" customFormat="1" hidden="1" outlineLevel="1">
      <c r="B1234" s="1393"/>
      <c r="C1234" s="1407" t="str">
        <f>D23</f>
        <v>Non-Ferrous metals  - 352</v>
      </c>
      <c r="D1234" s="1391"/>
      <c r="E1234" s="1393"/>
      <c r="F1234" s="1381">
        <f t="array" ref="F1234">SUM(($E$1016:$E$1039=$E$1107)* ($A$1016:$A$1039=$A1234) * ($D$1016:$D$1039= $D1234) * (F$1016:F$1039) ) * SUM(EF[CH4] * (EF[SATIM Code]= $D1234) )</f>
        <v>0</v>
      </c>
      <c r="G1234" s="1381">
        <f t="array" ref="G1234">SUM(($E$1016:$E$1039=$E$1107)* ($A$1016:$A$1039=$A1234) * ($D$1016:$D$1039= $D1234) * (G$1016:G$1039) ) * SUM(EF[CH4] * (EF[SATIM Code]= $D1234) )</f>
        <v>0</v>
      </c>
      <c r="H1234" s="1381">
        <f t="array" ref="H1234">SUM(($E$1016:$E$1039=$E$1107)* ($A$1016:$A$1039=$A1234) * ($D$1016:$D$1039= $D1234) * (H$1016:H$1039) ) * SUM(EF[CH4] * (EF[SATIM Code]= $D1234) )</f>
        <v>0</v>
      </c>
      <c r="I1234" s="1381">
        <f t="array" ref="I1234">SUM(($E$1016:$E$1039=$E$1107)* ($A$1016:$A$1039=$A1234) * ($D$1016:$D$1039= $D1234) * (I$1016:I$1039) ) * SUM(EF[CH4] * (EF[SATIM Code]= $D1234) )</f>
        <v>0</v>
      </c>
      <c r="J1234" s="1381">
        <f t="array" ref="J1234">SUM(($E$1016:$E$1039=$E$1107)* ($A$1016:$A$1039=$A1234) * ($D$1016:$D$1039= $D1234) * (J$1016:J$1039) ) * SUM(EF[CH4] * (EF[SATIM Code]= $D1234) )</f>
        <v>0</v>
      </c>
      <c r="K1234" s="1381">
        <f t="array" ref="K1234">SUM(($E$1016:$E$1039=$E$1107)* ($A$1016:$A$1039=$A1234) * ($D$1016:$D$1039= $D1234) * (K$1016:K$1039) ) * SUM(EF[CH4] * (EF[SATIM Code]= $D1234) )</f>
        <v>0</v>
      </c>
      <c r="L1234" s="1381">
        <f t="array" ref="L1234">SUM(($E$1016:$E$1039=$E$1107)* ($A$1016:$A$1039=$A1234) * ($D$1016:$D$1039= $D1234) * (L$1016:L$1039) ) * SUM(EF[CH4] * (EF[SATIM Code]= $D1234) )</f>
        <v>0</v>
      </c>
      <c r="M1234" s="1381">
        <f t="array" ref="M1234">SUM(($E$1016:$E$1039=$E$1107)* ($A$1016:$A$1039=$A1234) * ($D$1016:$D$1039= $D1234) * (M$1016:M$1039) ) * SUM(EF[CH4] * (EF[SATIM Code]= $D1234) )</f>
        <v>0</v>
      </c>
      <c r="N1234" s="1381">
        <f t="array" ref="N1234">SUM(($E$1016:$E$1039=$E$1107)* ($A$1016:$A$1039=$A1234) * ($D$1016:$D$1039= $D1234) * (N$1016:N$1039) ) * SUM(EF[CH4] * (EF[SATIM Code]= $D1234) )</f>
        <v>0</v>
      </c>
      <c r="O1234" s="1381">
        <f t="array" ref="O1234">SUM(($E$1016:$E$1039=$E$1107)* ($A$1016:$A$1039=$A1234) * ($D$1016:$D$1039= $D1234) * (O$1016:O$1039) ) * SUM(EF[CH4] * (EF[SATIM Code]= $D1234) )</f>
        <v>0</v>
      </c>
    </row>
    <row r="1235" spans="1:15" s="19" customFormat="1" hidden="1" outlineLevel="1">
      <c r="A1235" s="1438" t="str">
        <f>INDEX($C$20:$C$27,MATCH($C1234,$D$20:$D$27,0))</f>
        <v>NF</v>
      </c>
      <c r="B1235" s="1400" t="str">
        <f>INDEX(EF[UK Vector],MATCH(D1235,EF[SATIM Code],0))</f>
        <v>V.03</v>
      </c>
      <c r="C1235" s="1401" t="str">
        <f>INDEX(Vectors[Description], MATCH($B1235, Vectors[Code], 0))</f>
        <v>Solid hydrocarbons</v>
      </c>
      <c r="D1235" s="1391" t="s">
        <v>882</v>
      </c>
      <c r="E1235" s="1393"/>
      <c r="F1235" s="1381">
        <f t="array" ref="F1235">SUM(($E$1016:$E$1039=$E$1107)* ($A$1016:$A$1039=$A1235) * ($D$1016:$D$1039= $D1235) * (F$1016:F$1039) ) * SUM(EF[CH4] * (EF[SATIM Code]= $D1235) )</f>
        <v>0</v>
      </c>
      <c r="G1235" s="1381">
        <f t="array" ref="G1235">SUM(($E$1016:$E$1039=$E$1107)* ($A$1016:$A$1039=$A1235) * ($D$1016:$D$1039= $D1235) * (G$1016:G$1039) ) * SUM(EF[CH4] * (EF[SATIM Code]= $D1235) )</f>
        <v>0</v>
      </c>
      <c r="H1235" s="1381">
        <f t="array" ref="H1235">SUM(($E$1016:$E$1039=$E$1107)* ($A$1016:$A$1039=$A1235) * ($D$1016:$D$1039= $D1235) * (H$1016:H$1039) ) * SUM(EF[CH4] * (EF[SATIM Code]= $D1235) )</f>
        <v>0</v>
      </c>
      <c r="I1235" s="1381">
        <f t="array" ref="I1235">SUM(($E$1016:$E$1039=$E$1107)* ($A$1016:$A$1039=$A1235) * ($D$1016:$D$1039= $D1235) * (I$1016:I$1039) ) * SUM(EF[CH4] * (EF[SATIM Code]= $D1235) )</f>
        <v>0</v>
      </c>
      <c r="J1235" s="1381">
        <f t="array" ref="J1235">SUM(($E$1016:$E$1039=$E$1107)* ($A$1016:$A$1039=$A1235) * ($D$1016:$D$1039= $D1235) * (J$1016:J$1039) ) * SUM(EF[CH4] * (EF[SATIM Code]= $D1235) )</f>
        <v>0</v>
      </c>
      <c r="K1235" s="1381">
        <f t="array" ref="K1235">SUM(($E$1016:$E$1039=$E$1107)* ($A$1016:$A$1039=$A1235) * ($D$1016:$D$1039= $D1235) * (K$1016:K$1039) ) * SUM(EF[CH4] * (EF[SATIM Code]= $D1235) )</f>
        <v>0</v>
      </c>
      <c r="L1235" s="1381">
        <f t="array" ref="L1235">SUM(($E$1016:$E$1039=$E$1107)* ($A$1016:$A$1039=$A1235) * ($D$1016:$D$1039= $D1235) * (L$1016:L$1039) ) * SUM(EF[CH4] * (EF[SATIM Code]= $D1235) )</f>
        <v>0</v>
      </c>
      <c r="M1235" s="1381">
        <f t="array" ref="M1235">SUM(($E$1016:$E$1039=$E$1107)* ($A$1016:$A$1039=$A1235) * ($D$1016:$D$1039= $D1235) * (M$1016:M$1039) ) * SUM(EF[CH4] * (EF[SATIM Code]= $D1235) )</f>
        <v>0</v>
      </c>
      <c r="N1235" s="1381">
        <f t="array" ref="N1235">SUM(($E$1016:$E$1039=$E$1107)* ($A$1016:$A$1039=$A1235) * ($D$1016:$D$1039= $D1235) * (N$1016:N$1039) ) * SUM(EF[CH4] * (EF[SATIM Code]= $D1235) )</f>
        <v>0</v>
      </c>
      <c r="O1235" s="1381">
        <f t="array" ref="O1235">SUM(($E$1016:$E$1039=$E$1107)* ($A$1016:$A$1039=$A1235) * ($D$1016:$D$1039= $D1235) * (O$1016:O$1039) ) * SUM(EF[CH4] * (EF[SATIM Code]= $D1235) )</f>
        <v>0</v>
      </c>
    </row>
    <row r="1236" spans="1:15" s="19" customFormat="1" hidden="1" outlineLevel="1">
      <c r="A1236" s="19" t="str">
        <f t="shared" ref="A1236:A1243" si="262">A1235</f>
        <v>NF</v>
      </c>
      <c r="B1236" s="1400" t="str">
        <f>INDEX(EF[UK Vector],MATCH(D1236,EF[SATIM Code],0))</f>
        <v>V.03</v>
      </c>
      <c r="C1236" s="1401" t="str">
        <f>INDEX(Vectors[Description], MATCH($B1236, Vectors[Code], 0))</f>
        <v>Solid hydrocarbons</v>
      </c>
      <c r="D1236" s="1391" t="s">
        <v>883</v>
      </c>
      <c r="E1236" s="1393"/>
      <c r="F1236" s="1381">
        <f t="array" ref="F1236">SUM(($E$1016:$E$1039=$E$1107)* ($A$1016:$A$1039=$A1236) * ($D$1016:$D$1039= $D1236) * (F$1016:F$1039) ) * SUM(EF[CH4] * (EF[SATIM Code]= $D1236) )</f>
        <v>0</v>
      </c>
      <c r="G1236" s="1381">
        <f t="array" ref="G1236">SUM(($E$1016:$E$1039=$E$1107)* ($A$1016:$A$1039=$A1236) * ($D$1016:$D$1039= $D1236) * (G$1016:G$1039) ) * SUM(EF[CH4] * (EF[SATIM Code]= $D1236) )</f>
        <v>0</v>
      </c>
      <c r="H1236" s="1381">
        <f t="array" ref="H1236">SUM(($E$1016:$E$1039=$E$1107)* ($A$1016:$A$1039=$A1236) * ($D$1016:$D$1039= $D1236) * (H$1016:H$1039) ) * SUM(EF[CH4] * (EF[SATIM Code]= $D1236) )</f>
        <v>0</v>
      </c>
      <c r="I1236" s="1381">
        <f t="array" ref="I1236">SUM(($E$1016:$E$1039=$E$1107)* ($A$1016:$A$1039=$A1236) * ($D$1016:$D$1039= $D1236) * (I$1016:I$1039) ) * SUM(EF[CH4] * (EF[SATIM Code]= $D1236) )</f>
        <v>0</v>
      </c>
      <c r="J1236" s="1381">
        <f t="array" ref="J1236">SUM(($E$1016:$E$1039=$E$1107)* ($A$1016:$A$1039=$A1236) * ($D$1016:$D$1039= $D1236) * (J$1016:J$1039) ) * SUM(EF[CH4] * (EF[SATIM Code]= $D1236) )</f>
        <v>0</v>
      </c>
      <c r="K1236" s="1381">
        <f t="array" ref="K1236">SUM(($E$1016:$E$1039=$E$1107)* ($A$1016:$A$1039=$A1236) * ($D$1016:$D$1039= $D1236) * (K$1016:K$1039) ) * SUM(EF[CH4] * (EF[SATIM Code]= $D1236) )</f>
        <v>0</v>
      </c>
      <c r="L1236" s="1381">
        <f t="array" ref="L1236">SUM(($E$1016:$E$1039=$E$1107)* ($A$1016:$A$1039=$A1236) * ($D$1016:$D$1039= $D1236) * (L$1016:L$1039) ) * SUM(EF[CH4] * (EF[SATIM Code]= $D1236) )</f>
        <v>0</v>
      </c>
      <c r="M1236" s="1381">
        <f t="array" ref="M1236">SUM(($E$1016:$E$1039=$E$1107)* ($A$1016:$A$1039=$A1236) * ($D$1016:$D$1039= $D1236) * (M$1016:M$1039) ) * SUM(EF[CH4] * (EF[SATIM Code]= $D1236) )</f>
        <v>0</v>
      </c>
      <c r="N1236" s="1381">
        <f t="array" ref="N1236">SUM(($E$1016:$E$1039=$E$1107)* ($A$1016:$A$1039=$A1236) * ($D$1016:$D$1039= $D1236) * (N$1016:N$1039) ) * SUM(EF[CH4] * (EF[SATIM Code]= $D1236) )</f>
        <v>0</v>
      </c>
      <c r="O1236" s="1381">
        <f t="array" ref="O1236">SUM(($E$1016:$E$1039=$E$1107)* ($A$1016:$A$1039=$A1236) * ($D$1016:$D$1039= $D1236) * (O$1016:O$1039) ) * SUM(EF[CH4] * (EF[SATIM Code]= $D1236) )</f>
        <v>0</v>
      </c>
    </row>
    <row r="1237" spans="1:15" s="19" customFormat="1" hidden="1" outlineLevel="1">
      <c r="A1237" s="19" t="str">
        <f t="shared" si="262"/>
        <v>NF</v>
      </c>
      <c r="B1237" s="1400" t="str">
        <f>INDEX(EF[UK Vector],MATCH(D1237,EF[SATIM Code],0))</f>
        <v>V.05</v>
      </c>
      <c r="C1237" s="1401" t="str">
        <f>INDEX(Vectors[Description], MATCH($B1237, Vectors[Code], 0))</f>
        <v>Gaseous hydrocarbons</v>
      </c>
      <c r="D1237" s="1406" t="s">
        <v>869</v>
      </c>
      <c r="E1237" s="1393"/>
      <c r="F1237" s="1381">
        <f t="array" ref="F1237">SUM(($E$1016:$E$1039=$E$1107)* ($A$1016:$A$1039=$A1237) * ($D$1016:$D$1039= $D1237) * (F$1016:F$1039) ) * SUM(EF[CH4] * (EF[SATIM Code]= $D1237) )</f>
        <v>0</v>
      </c>
      <c r="G1237" s="1381">
        <f t="array" ref="G1237">SUM(($E$1016:$E$1039=$E$1107)* ($A$1016:$A$1039=$A1237) * ($D$1016:$D$1039= $D1237) * (G$1016:G$1039) ) * SUM(EF[CH4] * (EF[SATIM Code]= $D1237) )</f>
        <v>0</v>
      </c>
      <c r="H1237" s="1381">
        <f t="array" ref="H1237">SUM(($E$1016:$E$1039=$E$1107)* ($A$1016:$A$1039=$A1237) * ($D$1016:$D$1039= $D1237) * (H$1016:H$1039) ) * SUM(EF[CH4] * (EF[SATIM Code]= $D1237) )</f>
        <v>0</v>
      </c>
      <c r="I1237" s="1381">
        <f t="array" ref="I1237">SUM(($E$1016:$E$1039=$E$1107)* ($A$1016:$A$1039=$A1237) * ($D$1016:$D$1039= $D1237) * (I$1016:I$1039) ) * SUM(EF[CH4] * (EF[SATIM Code]= $D1237) )</f>
        <v>0</v>
      </c>
      <c r="J1237" s="1381">
        <f t="array" ref="J1237">SUM(($E$1016:$E$1039=$E$1107)* ($A$1016:$A$1039=$A1237) * ($D$1016:$D$1039= $D1237) * (J$1016:J$1039) ) * SUM(EF[CH4] * (EF[SATIM Code]= $D1237) )</f>
        <v>0</v>
      </c>
      <c r="K1237" s="1381">
        <f t="array" ref="K1237">SUM(($E$1016:$E$1039=$E$1107)* ($A$1016:$A$1039=$A1237) * ($D$1016:$D$1039= $D1237) * (K$1016:K$1039) ) * SUM(EF[CH4] * (EF[SATIM Code]= $D1237) )</f>
        <v>0</v>
      </c>
      <c r="L1237" s="1381">
        <f t="array" ref="L1237">SUM(($E$1016:$E$1039=$E$1107)* ($A$1016:$A$1039=$A1237) * ($D$1016:$D$1039= $D1237) * (L$1016:L$1039) ) * SUM(EF[CH4] * (EF[SATIM Code]= $D1237) )</f>
        <v>0</v>
      </c>
      <c r="M1237" s="1381">
        <f t="array" ref="M1237">SUM(($E$1016:$E$1039=$E$1107)* ($A$1016:$A$1039=$A1237) * ($D$1016:$D$1039= $D1237) * (M$1016:M$1039) ) * SUM(EF[CH4] * (EF[SATIM Code]= $D1237) )</f>
        <v>0</v>
      </c>
      <c r="N1237" s="1381">
        <f t="array" ref="N1237">SUM(($E$1016:$E$1039=$E$1107)* ($A$1016:$A$1039=$A1237) * ($D$1016:$D$1039= $D1237) * (N$1016:N$1039) ) * SUM(EF[CH4] * (EF[SATIM Code]= $D1237) )</f>
        <v>0</v>
      </c>
      <c r="O1237" s="1381">
        <f t="array" ref="O1237">SUM(($E$1016:$E$1039=$E$1107)* ($A$1016:$A$1039=$A1237) * ($D$1016:$D$1039= $D1237) * (O$1016:O$1039) ) * SUM(EF[CH4] * (EF[SATIM Code]= $D1237) )</f>
        <v>0</v>
      </c>
    </row>
    <row r="1238" spans="1:15" s="19" customFormat="1" hidden="1" outlineLevel="1">
      <c r="A1238" s="19" t="str">
        <f t="shared" si="262"/>
        <v>NF</v>
      </c>
      <c r="B1238" s="1400" t="str">
        <f>INDEX(EF[UK Vector],MATCH(D1238,EF[SATIM Code],0))</f>
        <v>V.04</v>
      </c>
      <c r="C1238" s="1401" t="str">
        <f>INDEX(Vectors[Description], MATCH($B1238, Vectors[Code], 0))</f>
        <v>Liquid hydrocarbons</v>
      </c>
      <c r="D1238" s="1406" t="s">
        <v>885</v>
      </c>
      <c r="E1238" s="1393"/>
      <c r="F1238" s="1381">
        <f t="array" ref="F1238">SUM(($E$1016:$E$1039=$E$1107)* ($A$1016:$A$1039=$A1238) * ($D$1016:$D$1039= $D1238) * (F$1016:F$1039) ) * SUM(EF[CH4] * (EF[SATIM Code]= $D1238) )</f>
        <v>0</v>
      </c>
      <c r="G1238" s="1381">
        <f t="array" ref="G1238">SUM(($E$1016:$E$1039=$E$1107)* ($A$1016:$A$1039=$A1238) * ($D$1016:$D$1039= $D1238) * (G$1016:G$1039) ) * SUM(EF[CH4] * (EF[SATIM Code]= $D1238) )</f>
        <v>0</v>
      </c>
      <c r="H1238" s="1381">
        <f t="array" ref="H1238">SUM(($E$1016:$E$1039=$E$1107)* ($A$1016:$A$1039=$A1238) * ($D$1016:$D$1039= $D1238) * (H$1016:H$1039) ) * SUM(EF[CH4] * (EF[SATIM Code]= $D1238) )</f>
        <v>0</v>
      </c>
      <c r="I1238" s="1381">
        <f t="array" ref="I1238">SUM(($E$1016:$E$1039=$E$1107)* ($A$1016:$A$1039=$A1238) * ($D$1016:$D$1039= $D1238) * (I$1016:I$1039) ) * SUM(EF[CH4] * (EF[SATIM Code]= $D1238) )</f>
        <v>0</v>
      </c>
      <c r="J1238" s="1381">
        <f t="array" ref="J1238">SUM(($E$1016:$E$1039=$E$1107)* ($A$1016:$A$1039=$A1238) * ($D$1016:$D$1039= $D1238) * (J$1016:J$1039) ) * SUM(EF[CH4] * (EF[SATIM Code]= $D1238) )</f>
        <v>0</v>
      </c>
      <c r="K1238" s="1381">
        <f t="array" ref="K1238">SUM(($E$1016:$E$1039=$E$1107)* ($A$1016:$A$1039=$A1238) * ($D$1016:$D$1039= $D1238) * (K$1016:K$1039) ) * SUM(EF[CH4] * (EF[SATIM Code]= $D1238) )</f>
        <v>0</v>
      </c>
      <c r="L1238" s="1381">
        <f t="array" ref="L1238">SUM(($E$1016:$E$1039=$E$1107)* ($A$1016:$A$1039=$A1238) * ($D$1016:$D$1039= $D1238) * (L$1016:L$1039) ) * SUM(EF[CH4] * (EF[SATIM Code]= $D1238) )</f>
        <v>0</v>
      </c>
      <c r="M1238" s="1381">
        <f t="array" ref="M1238">SUM(($E$1016:$E$1039=$E$1107)* ($A$1016:$A$1039=$A1238) * ($D$1016:$D$1039= $D1238) * (M$1016:M$1039) ) * SUM(EF[CH4] * (EF[SATIM Code]= $D1238) )</f>
        <v>0</v>
      </c>
      <c r="N1238" s="1381">
        <f t="array" ref="N1238">SUM(($E$1016:$E$1039=$E$1107)* ($A$1016:$A$1039=$A1238) * ($D$1016:$D$1039= $D1238) * (N$1016:N$1039) ) * SUM(EF[CH4] * (EF[SATIM Code]= $D1238) )</f>
        <v>0</v>
      </c>
      <c r="O1238" s="1381">
        <f t="array" ref="O1238">SUM(($E$1016:$E$1039=$E$1107)* ($A$1016:$A$1039=$A1238) * ($D$1016:$D$1039= $D1238) * (O$1016:O$1039) ) * SUM(EF[CH4] * (EF[SATIM Code]= $D1238) )</f>
        <v>0</v>
      </c>
    </row>
    <row r="1239" spans="1:15" s="19" customFormat="1" hidden="1" outlineLevel="1">
      <c r="A1239" s="19" t="str">
        <f t="shared" si="262"/>
        <v>NF</v>
      </c>
      <c r="B1239" s="1400" t="str">
        <f>INDEX(EF[UK Vector],MATCH(D1239,EF[SATIM Code],0))</f>
        <v>V.04</v>
      </c>
      <c r="C1239" s="1401" t="str">
        <f>INDEX(Vectors[Description], MATCH($B1239, Vectors[Code], 0))</f>
        <v>Liquid hydrocarbons</v>
      </c>
      <c r="D1239" s="1391" t="s">
        <v>886</v>
      </c>
      <c r="E1239" s="1393"/>
      <c r="F1239" s="1381">
        <f t="array" ref="F1239">SUM(($E$1016:$E$1039=$E$1107)* ($A$1016:$A$1039=$A1239) * ($D$1016:$D$1039= $D1239) * (F$1016:F$1039) ) * SUM(EF[CH4] * (EF[SATIM Code]= $D1239) )</f>
        <v>0</v>
      </c>
      <c r="G1239" s="1381">
        <f t="array" ref="G1239">SUM(($E$1016:$E$1039=$E$1107)* ($A$1016:$A$1039=$A1239) * ($D$1016:$D$1039= $D1239) * (G$1016:G$1039) ) * SUM(EF[CH4] * (EF[SATIM Code]= $D1239) )</f>
        <v>0</v>
      </c>
      <c r="H1239" s="1381">
        <f t="array" ref="H1239">SUM(($E$1016:$E$1039=$E$1107)* ($A$1016:$A$1039=$A1239) * ($D$1016:$D$1039= $D1239) * (H$1016:H$1039) ) * SUM(EF[CH4] * (EF[SATIM Code]= $D1239) )</f>
        <v>0</v>
      </c>
      <c r="I1239" s="1381">
        <f t="array" ref="I1239">SUM(($E$1016:$E$1039=$E$1107)* ($A$1016:$A$1039=$A1239) * ($D$1016:$D$1039= $D1239) * (I$1016:I$1039) ) * SUM(EF[CH4] * (EF[SATIM Code]= $D1239) )</f>
        <v>0</v>
      </c>
      <c r="J1239" s="1381">
        <f t="array" ref="J1239">SUM(($E$1016:$E$1039=$E$1107)* ($A$1016:$A$1039=$A1239) * ($D$1016:$D$1039= $D1239) * (J$1016:J$1039) ) * SUM(EF[CH4] * (EF[SATIM Code]= $D1239) )</f>
        <v>0</v>
      </c>
      <c r="K1239" s="1381">
        <f t="array" ref="K1239">SUM(($E$1016:$E$1039=$E$1107)* ($A$1016:$A$1039=$A1239) * ($D$1016:$D$1039= $D1239) * (K$1016:K$1039) ) * SUM(EF[CH4] * (EF[SATIM Code]= $D1239) )</f>
        <v>0</v>
      </c>
      <c r="L1239" s="1381">
        <f t="array" ref="L1239">SUM(($E$1016:$E$1039=$E$1107)* ($A$1016:$A$1039=$A1239) * ($D$1016:$D$1039= $D1239) * (L$1016:L$1039) ) * SUM(EF[CH4] * (EF[SATIM Code]= $D1239) )</f>
        <v>0</v>
      </c>
      <c r="M1239" s="1381">
        <f t="array" ref="M1239">SUM(($E$1016:$E$1039=$E$1107)* ($A$1016:$A$1039=$A1239) * ($D$1016:$D$1039= $D1239) * (M$1016:M$1039) ) * SUM(EF[CH4] * (EF[SATIM Code]= $D1239) )</f>
        <v>0</v>
      </c>
      <c r="N1239" s="1381">
        <f t="array" ref="N1239">SUM(($E$1016:$E$1039=$E$1107)* ($A$1016:$A$1039=$A1239) * ($D$1016:$D$1039= $D1239) * (N$1016:N$1039) ) * SUM(EF[CH4] * (EF[SATIM Code]= $D1239) )</f>
        <v>0</v>
      </c>
      <c r="O1239" s="1381">
        <f t="array" ref="O1239">SUM(($E$1016:$E$1039=$E$1107)* ($A$1016:$A$1039=$A1239) * ($D$1016:$D$1039= $D1239) * (O$1016:O$1039) ) * SUM(EF[CH4] * (EF[SATIM Code]= $D1239) )</f>
        <v>0</v>
      </c>
    </row>
    <row r="1240" spans="1:15" s="19" customFormat="1" hidden="1" outlineLevel="1">
      <c r="A1240" s="19" t="str">
        <f t="shared" si="262"/>
        <v>NF</v>
      </c>
      <c r="B1240" s="1400" t="str">
        <f>INDEX(EF[UK Vector],MATCH(D1240,EF[SATIM Code],0))</f>
        <v>V.04</v>
      </c>
      <c r="C1240" s="1401" t="str">
        <f>INDEX(Vectors[Description], MATCH($B1240, Vectors[Code], 0))</f>
        <v>Liquid hydrocarbons</v>
      </c>
      <c r="D1240" s="1406" t="s">
        <v>887</v>
      </c>
      <c r="E1240" s="1393"/>
      <c r="F1240" s="1381">
        <f t="array" ref="F1240">SUM(($E$1016:$E$1039=$E$1107)* ($A$1016:$A$1039=$A1240) * ($D$1016:$D$1039= $D1240) * (F$1016:F$1039) ) * SUM(EF[CH4] * (EF[SATIM Code]= $D1240) )</f>
        <v>0</v>
      </c>
      <c r="G1240" s="1381">
        <f t="array" ref="G1240">SUM(($E$1016:$E$1039=$E$1107)* ($A$1016:$A$1039=$A1240) * ($D$1016:$D$1039= $D1240) * (G$1016:G$1039) ) * SUM(EF[CH4] * (EF[SATIM Code]= $D1240) )</f>
        <v>0</v>
      </c>
      <c r="H1240" s="1381">
        <f t="array" ref="H1240">SUM(($E$1016:$E$1039=$E$1107)* ($A$1016:$A$1039=$A1240) * ($D$1016:$D$1039= $D1240) * (H$1016:H$1039) ) * SUM(EF[CH4] * (EF[SATIM Code]= $D1240) )</f>
        <v>0</v>
      </c>
      <c r="I1240" s="1381">
        <f t="array" ref="I1240">SUM(($E$1016:$E$1039=$E$1107)* ($A$1016:$A$1039=$A1240) * ($D$1016:$D$1039= $D1240) * (I$1016:I$1039) ) * SUM(EF[CH4] * (EF[SATIM Code]= $D1240) )</f>
        <v>0</v>
      </c>
      <c r="J1240" s="1381">
        <f t="array" ref="J1240">SUM(($E$1016:$E$1039=$E$1107)* ($A$1016:$A$1039=$A1240) * ($D$1016:$D$1039= $D1240) * (J$1016:J$1039) ) * SUM(EF[CH4] * (EF[SATIM Code]= $D1240) )</f>
        <v>0</v>
      </c>
      <c r="K1240" s="1381">
        <f t="array" ref="K1240">SUM(($E$1016:$E$1039=$E$1107)* ($A$1016:$A$1039=$A1240) * ($D$1016:$D$1039= $D1240) * (K$1016:K$1039) ) * SUM(EF[CH4] * (EF[SATIM Code]= $D1240) )</f>
        <v>0</v>
      </c>
      <c r="L1240" s="1381">
        <f t="array" ref="L1240">SUM(($E$1016:$E$1039=$E$1107)* ($A$1016:$A$1039=$A1240) * ($D$1016:$D$1039= $D1240) * (L$1016:L$1039) ) * SUM(EF[CH4] * (EF[SATIM Code]= $D1240) )</f>
        <v>0</v>
      </c>
      <c r="M1240" s="1381">
        <f t="array" ref="M1240">SUM(($E$1016:$E$1039=$E$1107)* ($A$1016:$A$1039=$A1240) * ($D$1016:$D$1039= $D1240) * (M$1016:M$1039) ) * SUM(EF[CH4] * (EF[SATIM Code]= $D1240) )</f>
        <v>0</v>
      </c>
      <c r="N1240" s="1381">
        <f t="array" ref="N1240">SUM(($E$1016:$E$1039=$E$1107)* ($A$1016:$A$1039=$A1240) * ($D$1016:$D$1039= $D1240) * (N$1016:N$1039) ) * SUM(EF[CH4] * (EF[SATIM Code]= $D1240) )</f>
        <v>0</v>
      </c>
      <c r="O1240" s="1381">
        <f t="array" ref="O1240">SUM(($E$1016:$E$1039=$E$1107)* ($A$1016:$A$1039=$A1240) * ($D$1016:$D$1039= $D1240) * (O$1016:O$1039) ) * SUM(EF[CH4] * (EF[SATIM Code]= $D1240) )</f>
        <v>0</v>
      </c>
    </row>
    <row r="1241" spans="1:15" s="19" customFormat="1" hidden="1" outlineLevel="1">
      <c r="A1241" s="19" t="str">
        <f t="shared" si="262"/>
        <v>NF</v>
      </c>
      <c r="B1241" s="1400" t="str">
        <f>INDEX(EF[UK Vector],MATCH(D1241,EF[SATIM Code],0))</f>
        <v>V.09</v>
      </c>
      <c r="C1241" s="1401" t="str">
        <f>INDEX(Vectors[Description], MATCH($B1241, Vectors[Code], 0))</f>
        <v>Dry biomass and waste</v>
      </c>
      <c r="D1241" s="1406" t="s">
        <v>888</v>
      </c>
      <c r="E1241" s="1393"/>
      <c r="F1241" s="1381">
        <f t="array" ref="F1241">SUM(($E$1016:$E$1039=$E$1107)* ($A$1016:$A$1039=$A1241) * ($D$1016:$D$1039= $D1241) * (F$1016:F$1039) ) * SUM(EF[CH4] * (EF[SATIM Code]= $D1241) )</f>
        <v>0</v>
      </c>
      <c r="G1241" s="1381">
        <f t="array" ref="G1241">SUM(($E$1016:$E$1039=$E$1107)* ($A$1016:$A$1039=$A1241) * ($D$1016:$D$1039= $D1241) * (G$1016:G$1039) ) * SUM(EF[CH4] * (EF[SATIM Code]= $D1241) )</f>
        <v>0</v>
      </c>
      <c r="H1241" s="1381">
        <f t="array" ref="H1241">SUM(($E$1016:$E$1039=$E$1107)* ($A$1016:$A$1039=$A1241) * ($D$1016:$D$1039= $D1241) * (H$1016:H$1039) ) * SUM(EF[CH4] * (EF[SATIM Code]= $D1241) )</f>
        <v>0</v>
      </c>
      <c r="I1241" s="1381">
        <f t="array" ref="I1241">SUM(($E$1016:$E$1039=$E$1107)* ($A$1016:$A$1039=$A1241) * ($D$1016:$D$1039= $D1241) * (I$1016:I$1039) ) * SUM(EF[CH4] * (EF[SATIM Code]= $D1241) )</f>
        <v>0</v>
      </c>
      <c r="J1241" s="1381">
        <f t="array" ref="J1241">SUM(($E$1016:$E$1039=$E$1107)* ($A$1016:$A$1039=$A1241) * ($D$1016:$D$1039= $D1241) * (J$1016:J$1039) ) * SUM(EF[CH4] * (EF[SATIM Code]= $D1241) )</f>
        <v>0</v>
      </c>
      <c r="K1241" s="1381">
        <f t="array" ref="K1241">SUM(($E$1016:$E$1039=$E$1107)* ($A$1016:$A$1039=$A1241) * ($D$1016:$D$1039= $D1241) * (K$1016:K$1039) ) * SUM(EF[CH4] * (EF[SATIM Code]= $D1241) )</f>
        <v>0</v>
      </c>
      <c r="L1241" s="1381">
        <f t="array" ref="L1241">SUM(($E$1016:$E$1039=$E$1107)* ($A$1016:$A$1039=$A1241) * ($D$1016:$D$1039= $D1241) * (L$1016:L$1039) ) * SUM(EF[CH4] * (EF[SATIM Code]= $D1241) )</f>
        <v>0</v>
      </c>
      <c r="M1241" s="1381">
        <f t="array" ref="M1241">SUM(($E$1016:$E$1039=$E$1107)* ($A$1016:$A$1039=$A1241) * ($D$1016:$D$1039= $D1241) * (M$1016:M$1039) ) * SUM(EF[CH4] * (EF[SATIM Code]= $D1241) )</f>
        <v>0</v>
      </c>
      <c r="N1241" s="1381">
        <f t="array" ref="N1241">SUM(($E$1016:$E$1039=$E$1107)* ($A$1016:$A$1039=$A1241) * ($D$1016:$D$1039= $D1241) * (N$1016:N$1039) ) * SUM(EF[CH4] * (EF[SATIM Code]= $D1241) )</f>
        <v>0</v>
      </c>
      <c r="O1241" s="1381">
        <f t="array" ref="O1241">SUM(($E$1016:$E$1039=$E$1107)* ($A$1016:$A$1039=$A1241) * ($D$1016:$D$1039= $D1241) * (O$1016:O$1039) ) * SUM(EF[CH4] * (EF[SATIM Code]= $D1241) )</f>
        <v>0</v>
      </c>
    </row>
    <row r="1242" spans="1:15" s="19" customFormat="1" hidden="1" outlineLevel="1">
      <c r="A1242" s="19" t="str">
        <f t="shared" si="262"/>
        <v>NF</v>
      </c>
      <c r="B1242" s="1400" t="str">
        <f>INDEX(EF[UK Vector],MATCH(D1242,EF[SATIM Code],0))</f>
        <v>V.09</v>
      </c>
      <c r="C1242" s="1401" t="str">
        <f>INDEX(Vectors[Description], MATCH($B1242, Vectors[Code], 0))</f>
        <v>Dry biomass and waste</v>
      </c>
      <c r="D1242" s="1388" t="s">
        <v>889</v>
      </c>
      <c r="E1242" s="1393"/>
      <c r="F1242" s="1381">
        <f t="array" ref="F1242">SUM(($E$1016:$E$1039=$E$1107)* ($A$1016:$A$1039=$A1242) * ($D$1016:$D$1039= $D1242) * (F$1016:F$1039) ) * SUM(EF[CH4] * (EF[SATIM Code]= $D1242) )</f>
        <v>0</v>
      </c>
      <c r="G1242" s="1381">
        <f t="array" ref="G1242">SUM(($E$1016:$E$1039=$E$1107)* ($A$1016:$A$1039=$A1242) * ($D$1016:$D$1039= $D1242) * (G$1016:G$1039) ) * SUM(EF[CH4] * (EF[SATIM Code]= $D1242) )</f>
        <v>0</v>
      </c>
      <c r="H1242" s="1381">
        <f t="array" ref="H1242">SUM(($E$1016:$E$1039=$E$1107)* ($A$1016:$A$1039=$A1242) * ($D$1016:$D$1039= $D1242) * (H$1016:H$1039) ) * SUM(EF[CH4] * (EF[SATIM Code]= $D1242) )</f>
        <v>0</v>
      </c>
      <c r="I1242" s="1381">
        <f t="array" ref="I1242">SUM(($E$1016:$E$1039=$E$1107)* ($A$1016:$A$1039=$A1242) * ($D$1016:$D$1039= $D1242) * (I$1016:I$1039) ) * SUM(EF[CH4] * (EF[SATIM Code]= $D1242) )</f>
        <v>0</v>
      </c>
      <c r="J1242" s="1381">
        <f t="array" ref="J1242">SUM(($E$1016:$E$1039=$E$1107)* ($A$1016:$A$1039=$A1242) * ($D$1016:$D$1039= $D1242) * (J$1016:J$1039) ) * SUM(EF[CH4] * (EF[SATIM Code]= $D1242) )</f>
        <v>0</v>
      </c>
      <c r="K1242" s="1381">
        <f t="array" ref="K1242">SUM(($E$1016:$E$1039=$E$1107)* ($A$1016:$A$1039=$A1242) * ($D$1016:$D$1039= $D1242) * (K$1016:K$1039) ) * SUM(EF[CH4] * (EF[SATIM Code]= $D1242) )</f>
        <v>0</v>
      </c>
      <c r="L1242" s="1381">
        <f t="array" ref="L1242">SUM(($E$1016:$E$1039=$E$1107)* ($A$1016:$A$1039=$A1242) * ($D$1016:$D$1039= $D1242) * (L$1016:L$1039) ) * SUM(EF[CH4] * (EF[SATIM Code]= $D1242) )</f>
        <v>0</v>
      </c>
      <c r="M1242" s="1381">
        <f t="array" ref="M1242">SUM(($E$1016:$E$1039=$E$1107)* ($A$1016:$A$1039=$A1242) * ($D$1016:$D$1039= $D1242) * (M$1016:M$1039) ) * SUM(EF[CH4] * (EF[SATIM Code]= $D1242) )</f>
        <v>0</v>
      </c>
      <c r="N1242" s="1381">
        <f t="array" ref="N1242">SUM(($E$1016:$E$1039=$E$1107)* ($A$1016:$A$1039=$A1242) * ($D$1016:$D$1039= $D1242) * (N$1016:N$1039) ) * SUM(EF[CH4] * (EF[SATIM Code]= $D1242) )</f>
        <v>0</v>
      </c>
      <c r="O1242" s="1381">
        <f t="array" ref="O1242">SUM(($E$1016:$E$1039=$E$1107)* ($A$1016:$A$1039=$A1242) * ($D$1016:$D$1039= $D1242) * (O$1016:O$1039) ) * SUM(EF[CH4] * (EF[SATIM Code]= $D1242) )</f>
        <v>0</v>
      </c>
    </row>
    <row r="1243" spans="1:15" s="19" customFormat="1" hidden="1" outlineLevel="1">
      <c r="A1243" s="19" t="str">
        <f t="shared" si="262"/>
        <v>NF</v>
      </c>
      <c r="B1243" s="1400" t="str">
        <f>INDEX(EF[UK Vector],MATCH(D1243,EF[SATIM Code],0))</f>
        <v>V.16</v>
      </c>
      <c r="C1243" s="1401" t="str">
        <f>INDEX(Vectors[Description], MATCH($B1243, Vectors[Code], 0))</f>
        <v>Other Waste</v>
      </c>
      <c r="D1243" s="1408" t="s">
        <v>890</v>
      </c>
      <c r="E1243" s="1393"/>
      <c r="F1243" s="1381">
        <f t="array" ref="F1243">SUM(($E$1016:$E$1039=$E$1107)* ($A$1016:$A$1039=$A1243) * ($D$1016:$D$1039= $D1243) * (F$1016:F$1039) ) * SUM(EF[CH4] * (EF[SATIM Code]= $D1243) )</f>
        <v>0</v>
      </c>
      <c r="G1243" s="1381">
        <f t="array" ref="G1243">SUM(($E$1016:$E$1039=$E$1107)* ($A$1016:$A$1039=$A1243) * ($D$1016:$D$1039= $D1243) * (G$1016:G$1039) ) * SUM(EF[CH4] * (EF[SATIM Code]= $D1243) )</f>
        <v>0</v>
      </c>
      <c r="H1243" s="1381">
        <f t="array" ref="H1243">SUM(($E$1016:$E$1039=$E$1107)* ($A$1016:$A$1039=$A1243) * ($D$1016:$D$1039= $D1243) * (H$1016:H$1039) ) * SUM(EF[CH4] * (EF[SATIM Code]= $D1243) )</f>
        <v>0</v>
      </c>
      <c r="I1243" s="1381">
        <f t="array" ref="I1243">SUM(($E$1016:$E$1039=$E$1107)* ($A$1016:$A$1039=$A1243) * ($D$1016:$D$1039= $D1243) * (I$1016:I$1039) ) * SUM(EF[CH4] * (EF[SATIM Code]= $D1243) )</f>
        <v>0</v>
      </c>
      <c r="J1243" s="1381">
        <f t="array" ref="J1243">SUM(($E$1016:$E$1039=$E$1107)* ($A$1016:$A$1039=$A1243) * ($D$1016:$D$1039= $D1243) * (J$1016:J$1039) ) * SUM(EF[CH4] * (EF[SATIM Code]= $D1243) )</f>
        <v>0</v>
      </c>
      <c r="K1243" s="1381">
        <f t="array" ref="K1243">SUM(($E$1016:$E$1039=$E$1107)* ($A$1016:$A$1039=$A1243) * ($D$1016:$D$1039= $D1243) * (K$1016:K$1039) ) * SUM(EF[CH4] * (EF[SATIM Code]= $D1243) )</f>
        <v>0</v>
      </c>
      <c r="L1243" s="1381">
        <f t="array" ref="L1243">SUM(($E$1016:$E$1039=$E$1107)* ($A$1016:$A$1039=$A1243) * ($D$1016:$D$1039= $D1243) * (L$1016:L$1039) ) * SUM(EF[CH4] * (EF[SATIM Code]= $D1243) )</f>
        <v>0</v>
      </c>
      <c r="M1243" s="1381">
        <f t="array" ref="M1243">SUM(($E$1016:$E$1039=$E$1107)* ($A$1016:$A$1039=$A1243) * ($D$1016:$D$1039= $D1243) * (M$1016:M$1039) ) * SUM(EF[CH4] * (EF[SATIM Code]= $D1243) )</f>
        <v>0</v>
      </c>
      <c r="N1243" s="1381">
        <f t="array" ref="N1243">SUM(($E$1016:$E$1039=$E$1107)* ($A$1016:$A$1039=$A1243) * ($D$1016:$D$1039= $D1243) * (N$1016:N$1039) ) * SUM(EF[CH4] * (EF[SATIM Code]= $D1243) )</f>
        <v>0</v>
      </c>
      <c r="O1243" s="1381">
        <f t="array" ref="O1243">SUM(($E$1016:$E$1039=$E$1107)* ($A$1016:$A$1039=$A1243) * ($D$1016:$D$1039= $D1243) * (O$1016:O$1039) ) * SUM(EF[CH4] * (EF[SATIM Code]= $D1243) )</f>
        <v>0</v>
      </c>
    </row>
    <row r="1244" spans="1:15" s="19" customFormat="1" hidden="1" outlineLevel="1">
      <c r="B1244" s="1393"/>
      <c r="C1244" s="1407" t="str">
        <f>D24</f>
        <v>N.M.M Products  -34</v>
      </c>
      <c r="D1244" s="1391"/>
      <c r="E1244" s="1393"/>
      <c r="F1244" s="1381">
        <f t="array" ref="F1244">SUM(($E$1016:$E$1039=$E$1107)* ($A$1016:$A$1039=$A1244) * ($D$1016:$D$1039= $D1244) * (F$1016:F$1039) ) * SUM(EF[CH4] * (EF[SATIM Code]= $D1244) )</f>
        <v>0</v>
      </c>
      <c r="G1244" s="1381">
        <f t="array" ref="G1244">SUM(($E$1016:$E$1039=$E$1107)* ($A$1016:$A$1039=$A1244) * ($D$1016:$D$1039= $D1244) * (G$1016:G$1039) ) * SUM(EF[CH4] * (EF[SATIM Code]= $D1244) )</f>
        <v>0</v>
      </c>
      <c r="H1244" s="1381">
        <f t="array" ref="H1244">SUM(($E$1016:$E$1039=$E$1107)* ($A$1016:$A$1039=$A1244) * ($D$1016:$D$1039= $D1244) * (H$1016:H$1039) ) * SUM(EF[CH4] * (EF[SATIM Code]= $D1244) )</f>
        <v>0</v>
      </c>
      <c r="I1244" s="1381">
        <f t="array" ref="I1244">SUM(($E$1016:$E$1039=$E$1107)* ($A$1016:$A$1039=$A1244) * ($D$1016:$D$1039= $D1244) * (I$1016:I$1039) ) * SUM(EF[CH4] * (EF[SATIM Code]= $D1244) )</f>
        <v>0</v>
      </c>
      <c r="J1244" s="1381">
        <f t="array" ref="J1244">SUM(($E$1016:$E$1039=$E$1107)* ($A$1016:$A$1039=$A1244) * ($D$1016:$D$1039= $D1244) * (J$1016:J$1039) ) * SUM(EF[CH4] * (EF[SATIM Code]= $D1244) )</f>
        <v>0</v>
      </c>
      <c r="K1244" s="1381">
        <f t="array" ref="K1244">SUM(($E$1016:$E$1039=$E$1107)* ($A$1016:$A$1039=$A1244) * ($D$1016:$D$1039= $D1244) * (K$1016:K$1039) ) * SUM(EF[CH4] * (EF[SATIM Code]= $D1244) )</f>
        <v>0</v>
      </c>
      <c r="L1244" s="1381">
        <f t="array" ref="L1244">SUM(($E$1016:$E$1039=$E$1107)* ($A$1016:$A$1039=$A1244) * ($D$1016:$D$1039= $D1244) * (L$1016:L$1039) ) * SUM(EF[CH4] * (EF[SATIM Code]= $D1244) )</f>
        <v>0</v>
      </c>
      <c r="M1244" s="1381">
        <f t="array" ref="M1244">SUM(($E$1016:$E$1039=$E$1107)* ($A$1016:$A$1039=$A1244) * ($D$1016:$D$1039= $D1244) * (M$1016:M$1039) ) * SUM(EF[CH4] * (EF[SATIM Code]= $D1244) )</f>
        <v>0</v>
      </c>
      <c r="N1244" s="1381">
        <f t="array" ref="N1244">SUM(($E$1016:$E$1039=$E$1107)* ($A$1016:$A$1039=$A1244) * ($D$1016:$D$1039= $D1244) * (N$1016:N$1039) ) * SUM(EF[CH4] * (EF[SATIM Code]= $D1244) )</f>
        <v>0</v>
      </c>
      <c r="O1244" s="1381">
        <f t="array" ref="O1244">SUM(($E$1016:$E$1039=$E$1107)* ($A$1016:$A$1039=$A1244) * ($D$1016:$D$1039= $D1244) * (O$1016:O$1039) ) * SUM(EF[CH4] * (EF[SATIM Code]= $D1244) )</f>
        <v>0</v>
      </c>
    </row>
    <row r="1245" spans="1:15" s="19" customFormat="1" hidden="1" outlineLevel="1">
      <c r="A1245" s="1438" t="str">
        <f>INDEX($C$20:$C$27,MATCH($C1244,$D$20:$D$27,0))</f>
        <v>NM</v>
      </c>
      <c r="B1245" s="1400" t="str">
        <f>INDEX(EF[UK Vector],MATCH(D1245,EF[SATIM Code],0))</f>
        <v>V.03</v>
      </c>
      <c r="C1245" s="1401" t="str">
        <f>INDEX(Vectors[Description], MATCH($B1245, Vectors[Code], 0))</f>
        <v>Solid hydrocarbons</v>
      </c>
      <c r="D1245" s="1391" t="s">
        <v>882</v>
      </c>
      <c r="E1245" s="1393"/>
      <c r="F1245" s="1381">
        <f t="array" ref="F1245">SUM(($E$1016:$E$1039=$E$1107)* ($A$1016:$A$1039=$A1245) * ($D$1016:$D$1039= $D1245) * (F$1016:F$1039) ) * SUM(EF[CH4] * (EF[SATIM Code]= $D1245) )</f>
        <v>0</v>
      </c>
      <c r="G1245" s="1381">
        <f t="array" ref="G1245">SUM(($E$1016:$E$1039=$E$1107)* ($A$1016:$A$1039=$A1245) * ($D$1016:$D$1039= $D1245) * (G$1016:G$1039) ) * SUM(EF[CH4] * (EF[SATIM Code]= $D1245) )</f>
        <v>0</v>
      </c>
      <c r="H1245" s="1381">
        <f t="array" ref="H1245">SUM(($E$1016:$E$1039=$E$1107)* ($A$1016:$A$1039=$A1245) * ($D$1016:$D$1039= $D1245) * (H$1016:H$1039) ) * SUM(EF[CH4] * (EF[SATIM Code]= $D1245) )</f>
        <v>0</v>
      </c>
      <c r="I1245" s="1381">
        <f t="array" ref="I1245">SUM(($E$1016:$E$1039=$E$1107)* ($A$1016:$A$1039=$A1245) * ($D$1016:$D$1039= $D1245) * (I$1016:I$1039) ) * SUM(EF[CH4] * (EF[SATIM Code]= $D1245) )</f>
        <v>0</v>
      </c>
      <c r="J1245" s="1381">
        <f t="array" ref="J1245">SUM(($E$1016:$E$1039=$E$1107)* ($A$1016:$A$1039=$A1245) * ($D$1016:$D$1039= $D1245) * (J$1016:J$1039) ) * SUM(EF[CH4] * (EF[SATIM Code]= $D1245) )</f>
        <v>0</v>
      </c>
      <c r="K1245" s="1381">
        <f t="array" ref="K1245">SUM(($E$1016:$E$1039=$E$1107)* ($A$1016:$A$1039=$A1245) * ($D$1016:$D$1039= $D1245) * (K$1016:K$1039) ) * SUM(EF[CH4] * (EF[SATIM Code]= $D1245) )</f>
        <v>0</v>
      </c>
      <c r="L1245" s="1381">
        <f t="array" ref="L1245">SUM(($E$1016:$E$1039=$E$1107)* ($A$1016:$A$1039=$A1245) * ($D$1016:$D$1039= $D1245) * (L$1016:L$1039) ) * SUM(EF[CH4] * (EF[SATIM Code]= $D1245) )</f>
        <v>0</v>
      </c>
      <c r="M1245" s="1381">
        <f t="array" ref="M1245">SUM(($E$1016:$E$1039=$E$1107)* ($A$1016:$A$1039=$A1245) * ($D$1016:$D$1039= $D1245) * (M$1016:M$1039) ) * SUM(EF[CH4] * (EF[SATIM Code]= $D1245) )</f>
        <v>0</v>
      </c>
      <c r="N1245" s="1381">
        <f t="array" ref="N1245">SUM(($E$1016:$E$1039=$E$1107)* ($A$1016:$A$1039=$A1245) * ($D$1016:$D$1039= $D1245) * (N$1016:N$1039) ) * SUM(EF[CH4] * (EF[SATIM Code]= $D1245) )</f>
        <v>0</v>
      </c>
      <c r="O1245" s="1381">
        <f t="array" ref="O1245">SUM(($E$1016:$E$1039=$E$1107)* ($A$1016:$A$1039=$A1245) * ($D$1016:$D$1039= $D1245) * (O$1016:O$1039) ) * SUM(EF[CH4] * (EF[SATIM Code]= $D1245) )</f>
        <v>0</v>
      </c>
    </row>
    <row r="1246" spans="1:15" s="19" customFormat="1" hidden="1" outlineLevel="1">
      <c r="A1246" s="19" t="str">
        <f t="shared" ref="A1246:A1253" si="263">A1245</f>
        <v>NM</v>
      </c>
      <c r="B1246" s="1400" t="str">
        <f>INDEX(EF[UK Vector],MATCH(D1246,EF[SATIM Code],0))</f>
        <v>V.03</v>
      </c>
      <c r="C1246" s="1401" t="str">
        <f>INDEX(Vectors[Description], MATCH($B1246, Vectors[Code], 0))</f>
        <v>Solid hydrocarbons</v>
      </c>
      <c r="D1246" s="1391" t="s">
        <v>883</v>
      </c>
      <c r="E1246" s="1393"/>
      <c r="F1246" s="1381">
        <f t="array" ref="F1246">SUM(($E$1016:$E$1039=$E$1107)* ($A$1016:$A$1039=$A1246) * ($D$1016:$D$1039= $D1246) * (F$1016:F$1039) ) * SUM(EF[CH4] * (EF[SATIM Code]= $D1246) )</f>
        <v>0</v>
      </c>
      <c r="G1246" s="1381">
        <f t="array" ref="G1246">SUM(($E$1016:$E$1039=$E$1107)* ($A$1016:$A$1039=$A1246) * ($D$1016:$D$1039= $D1246) * (G$1016:G$1039) ) * SUM(EF[CH4] * (EF[SATIM Code]= $D1246) )</f>
        <v>0</v>
      </c>
      <c r="H1246" s="1381">
        <f t="array" ref="H1246">SUM(($E$1016:$E$1039=$E$1107)* ($A$1016:$A$1039=$A1246) * ($D$1016:$D$1039= $D1246) * (H$1016:H$1039) ) * SUM(EF[CH4] * (EF[SATIM Code]= $D1246) )</f>
        <v>0</v>
      </c>
      <c r="I1246" s="1381">
        <f t="array" ref="I1246">SUM(($E$1016:$E$1039=$E$1107)* ($A$1016:$A$1039=$A1246) * ($D$1016:$D$1039= $D1246) * (I$1016:I$1039) ) * SUM(EF[CH4] * (EF[SATIM Code]= $D1246) )</f>
        <v>0</v>
      </c>
      <c r="J1246" s="1381">
        <f t="array" ref="J1246">SUM(($E$1016:$E$1039=$E$1107)* ($A$1016:$A$1039=$A1246) * ($D$1016:$D$1039= $D1246) * (J$1016:J$1039) ) * SUM(EF[CH4] * (EF[SATIM Code]= $D1246) )</f>
        <v>0</v>
      </c>
      <c r="K1246" s="1381">
        <f t="array" ref="K1246">SUM(($E$1016:$E$1039=$E$1107)* ($A$1016:$A$1039=$A1246) * ($D$1016:$D$1039= $D1246) * (K$1016:K$1039) ) * SUM(EF[CH4] * (EF[SATIM Code]= $D1246) )</f>
        <v>0</v>
      </c>
      <c r="L1246" s="1381">
        <f t="array" ref="L1246">SUM(($E$1016:$E$1039=$E$1107)* ($A$1016:$A$1039=$A1246) * ($D$1016:$D$1039= $D1246) * (L$1016:L$1039) ) * SUM(EF[CH4] * (EF[SATIM Code]= $D1246) )</f>
        <v>0</v>
      </c>
      <c r="M1246" s="1381">
        <f t="array" ref="M1246">SUM(($E$1016:$E$1039=$E$1107)* ($A$1016:$A$1039=$A1246) * ($D$1016:$D$1039= $D1246) * (M$1016:M$1039) ) * SUM(EF[CH4] * (EF[SATIM Code]= $D1246) )</f>
        <v>0</v>
      </c>
      <c r="N1246" s="1381">
        <f t="array" ref="N1246">SUM(($E$1016:$E$1039=$E$1107)* ($A$1016:$A$1039=$A1246) * ($D$1016:$D$1039= $D1246) * (N$1016:N$1039) ) * SUM(EF[CH4] * (EF[SATIM Code]= $D1246) )</f>
        <v>0</v>
      </c>
      <c r="O1246" s="1381">
        <f t="array" ref="O1246">SUM(($E$1016:$E$1039=$E$1107)* ($A$1016:$A$1039=$A1246) * ($D$1016:$D$1039= $D1246) * (O$1016:O$1039) ) * SUM(EF[CH4] * (EF[SATIM Code]= $D1246) )</f>
        <v>0</v>
      </c>
    </row>
    <row r="1247" spans="1:15" s="19" customFormat="1" hidden="1" outlineLevel="1">
      <c r="A1247" s="19" t="str">
        <f t="shared" si="263"/>
        <v>NM</v>
      </c>
      <c r="B1247" s="1400" t="str">
        <f>INDEX(EF[UK Vector],MATCH(D1247,EF[SATIM Code],0))</f>
        <v>V.05</v>
      </c>
      <c r="C1247" s="1401" t="str">
        <f>INDEX(Vectors[Description], MATCH($B1247, Vectors[Code], 0))</f>
        <v>Gaseous hydrocarbons</v>
      </c>
      <c r="D1247" s="1406" t="s">
        <v>869</v>
      </c>
      <c r="E1247" s="1393"/>
      <c r="F1247" s="1381">
        <f t="array" ref="F1247">SUM(($E$1016:$E$1039=$E$1107)* ($A$1016:$A$1039=$A1247) * ($D$1016:$D$1039= $D1247) * (F$1016:F$1039) ) * SUM(EF[CH4] * (EF[SATIM Code]= $D1247) )</f>
        <v>0</v>
      </c>
      <c r="G1247" s="1381">
        <f t="array" ref="G1247">SUM(($E$1016:$E$1039=$E$1107)* ($A$1016:$A$1039=$A1247) * ($D$1016:$D$1039= $D1247) * (G$1016:G$1039) ) * SUM(EF[CH4] * (EF[SATIM Code]= $D1247) )</f>
        <v>0</v>
      </c>
      <c r="H1247" s="1381">
        <f t="array" ref="H1247">SUM(($E$1016:$E$1039=$E$1107)* ($A$1016:$A$1039=$A1247) * ($D$1016:$D$1039= $D1247) * (H$1016:H$1039) ) * SUM(EF[CH4] * (EF[SATIM Code]= $D1247) )</f>
        <v>0</v>
      </c>
      <c r="I1247" s="1381">
        <f t="array" ref="I1247">SUM(($E$1016:$E$1039=$E$1107)* ($A$1016:$A$1039=$A1247) * ($D$1016:$D$1039= $D1247) * (I$1016:I$1039) ) * SUM(EF[CH4] * (EF[SATIM Code]= $D1247) )</f>
        <v>0</v>
      </c>
      <c r="J1247" s="1381">
        <f t="array" ref="J1247">SUM(($E$1016:$E$1039=$E$1107)* ($A$1016:$A$1039=$A1247) * ($D$1016:$D$1039= $D1247) * (J$1016:J$1039) ) * SUM(EF[CH4] * (EF[SATIM Code]= $D1247) )</f>
        <v>0</v>
      </c>
      <c r="K1247" s="1381">
        <f t="array" ref="K1247">SUM(($E$1016:$E$1039=$E$1107)* ($A$1016:$A$1039=$A1247) * ($D$1016:$D$1039= $D1247) * (K$1016:K$1039) ) * SUM(EF[CH4] * (EF[SATIM Code]= $D1247) )</f>
        <v>0</v>
      </c>
      <c r="L1247" s="1381">
        <f t="array" ref="L1247">SUM(($E$1016:$E$1039=$E$1107)* ($A$1016:$A$1039=$A1247) * ($D$1016:$D$1039= $D1247) * (L$1016:L$1039) ) * SUM(EF[CH4] * (EF[SATIM Code]= $D1247) )</f>
        <v>0</v>
      </c>
      <c r="M1247" s="1381">
        <f t="array" ref="M1247">SUM(($E$1016:$E$1039=$E$1107)* ($A$1016:$A$1039=$A1247) * ($D$1016:$D$1039= $D1247) * (M$1016:M$1039) ) * SUM(EF[CH4] * (EF[SATIM Code]= $D1247) )</f>
        <v>0</v>
      </c>
      <c r="N1247" s="1381">
        <f t="array" ref="N1247">SUM(($E$1016:$E$1039=$E$1107)* ($A$1016:$A$1039=$A1247) * ($D$1016:$D$1039= $D1247) * (N$1016:N$1039) ) * SUM(EF[CH4] * (EF[SATIM Code]= $D1247) )</f>
        <v>0</v>
      </c>
      <c r="O1247" s="1381">
        <f t="array" ref="O1247">SUM(($E$1016:$E$1039=$E$1107)* ($A$1016:$A$1039=$A1247) * ($D$1016:$D$1039= $D1247) * (O$1016:O$1039) ) * SUM(EF[CH4] * (EF[SATIM Code]= $D1247) )</f>
        <v>0</v>
      </c>
    </row>
    <row r="1248" spans="1:15" s="19" customFormat="1" hidden="1" outlineLevel="1">
      <c r="A1248" s="19" t="str">
        <f t="shared" si="263"/>
        <v>NM</v>
      </c>
      <c r="B1248" s="1400" t="str">
        <f>INDEX(EF[UK Vector],MATCH(D1248,EF[SATIM Code],0))</f>
        <v>V.04</v>
      </c>
      <c r="C1248" s="1401" t="str">
        <f>INDEX(Vectors[Description], MATCH($B1248, Vectors[Code], 0))</f>
        <v>Liquid hydrocarbons</v>
      </c>
      <c r="D1248" s="1406" t="s">
        <v>885</v>
      </c>
      <c r="E1248" s="1393"/>
      <c r="F1248" s="1381">
        <f t="array" ref="F1248">SUM(($E$1016:$E$1039=$E$1107)* ($A$1016:$A$1039=$A1248) * ($D$1016:$D$1039= $D1248) * (F$1016:F$1039) ) * SUM(EF[CH4] * (EF[SATIM Code]= $D1248) )</f>
        <v>0</v>
      </c>
      <c r="G1248" s="1381">
        <f t="array" ref="G1248">SUM(($E$1016:$E$1039=$E$1107)* ($A$1016:$A$1039=$A1248) * ($D$1016:$D$1039= $D1248) * (G$1016:G$1039) ) * SUM(EF[CH4] * (EF[SATIM Code]= $D1248) )</f>
        <v>0</v>
      </c>
      <c r="H1248" s="1381">
        <f t="array" ref="H1248">SUM(($E$1016:$E$1039=$E$1107)* ($A$1016:$A$1039=$A1248) * ($D$1016:$D$1039= $D1248) * (H$1016:H$1039) ) * SUM(EF[CH4] * (EF[SATIM Code]= $D1248) )</f>
        <v>0</v>
      </c>
      <c r="I1248" s="1381">
        <f t="array" ref="I1248">SUM(($E$1016:$E$1039=$E$1107)* ($A$1016:$A$1039=$A1248) * ($D$1016:$D$1039= $D1248) * (I$1016:I$1039) ) * SUM(EF[CH4] * (EF[SATIM Code]= $D1248) )</f>
        <v>0</v>
      </c>
      <c r="J1248" s="1381">
        <f t="array" ref="J1248">SUM(($E$1016:$E$1039=$E$1107)* ($A$1016:$A$1039=$A1248) * ($D$1016:$D$1039= $D1248) * (J$1016:J$1039) ) * SUM(EF[CH4] * (EF[SATIM Code]= $D1248) )</f>
        <v>0</v>
      </c>
      <c r="K1248" s="1381">
        <f t="array" ref="K1248">SUM(($E$1016:$E$1039=$E$1107)* ($A$1016:$A$1039=$A1248) * ($D$1016:$D$1039= $D1248) * (K$1016:K$1039) ) * SUM(EF[CH4] * (EF[SATIM Code]= $D1248) )</f>
        <v>0</v>
      </c>
      <c r="L1248" s="1381">
        <f t="array" ref="L1248">SUM(($E$1016:$E$1039=$E$1107)* ($A$1016:$A$1039=$A1248) * ($D$1016:$D$1039= $D1248) * (L$1016:L$1039) ) * SUM(EF[CH4] * (EF[SATIM Code]= $D1248) )</f>
        <v>0</v>
      </c>
      <c r="M1248" s="1381">
        <f t="array" ref="M1248">SUM(($E$1016:$E$1039=$E$1107)* ($A$1016:$A$1039=$A1248) * ($D$1016:$D$1039= $D1248) * (M$1016:M$1039) ) * SUM(EF[CH4] * (EF[SATIM Code]= $D1248) )</f>
        <v>0</v>
      </c>
      <c r="N1248" s="1381">
        <f t="array" ref="N1248">SUM(($E$1016:$E$1039=$E$1107)* ($A$1016:$A$1039=$A1248) * ($D$1016:$D$1039= $D1248) * (N$1016:N$1039) ) * SUM(EF[CH4] * (EF[SATIM Code]= $D1248) )</f>
        <v>0</v>
      </c>
      <c r="O1248" s="1381">
        <f t="array" ref="O1248">SUM(($E$1016:$E$1039=$E$1107)* ($A$1016:$A$1039=$A1248) * ($D$1016:$D$1039= $D1248) * (O$1016:O$1039) ) * SUM(EF[CH4] * (EF[SATIM Code]= $D1248) )</f>
        <v>0</v>
      </c>
    </row>
    <row r="1249" spans="1:15" s="19" customFormat="1" hidden="1" outlineLevel="1">
      <c r="A1249" s="19" t="str">
        <f t="shared" si="263"/>
        <v>NM</v>
      </c>
      <c r="B1249" s="1400" t="str">
        <f>INDEX(EF[UK Vector],MATCH(D1249,EF[SATIM Code],0))</f>
        <v>V.04</v>
      </c>
      <c r="C1249" s="1401" t="str">
        <f>INDEX(Vectors[Description], MATCH($B1249, Vectors[Code], 0))</f>
        <v>Liquid hydrocarbons</v>
      </c>
      <c r="D1249" s="1391" t="s">
        <v>886</v>
      </c>
      <c r="E1249" s="1393"/>
      <c r="F1249" s="1381">
        <f t="array" ref="F1249">SUM(($E$1016:$E$1039=$E$1107)* ($A$1016:$A$1039=$A1249) * ($D$1016:$D$1039= $D1249) * (F$1016:F$1039) ) * SUM(EF[CH4] * (EF[SATIM Code]= $D1249) )</f>
        <v>0</v>
      </c>
      <c r="G1249" s="1381">
        <f t="array" ref="G1249">SUM(($E$1016:$E$1039=$E$1107)* ($A$1016:$A$1039=$A1249) * ($D$1016:$D$1039= $D1249) * (G$1016:G$1039) ) * SUM(EF[CH4] * (EF[SATIM Code]= $D1249) )</f>
        <v>0</v>
      </c>
      <c r="H1249" s="1381">
        <f t="array" ref="H1249">SUM(($E$1016:$E$1039=$E$1107)* ($A$1016:$A$1039=$A1249) * ($D$1016:$D$1039= $D1249) * (H$1016:H$1039) ) * SUM(EF[CH4] * (EF[SATIM Code]= $D1249) )</f>
        <v>0</v>
      </c>
      <c r="I1249" s="1381">
        <f t="array" ref="I1249">SUM(($E$1016:$E$1039=$E$1107)* ($A$1016:$A$1039=$A1249) * ($D$1016:$D$1039= $D1249) * (I$1016:I$1039) ) * SUM(EF[CH4] * (EF[SATIM Code]= $D1249) )</f>
        <v>0</v>
      </c>
      <c r="J1249" s="1381">
        <f t="array" ref="J1249">SUM(($E$1016:$E$1039=$E$1107)* ($A$1016:$A$1039=$A1249) * ($D$1016:$D$1039= $D1249) * (J$1016:J$1039) ) * SUM(EF[CH4] * (EF[SATIM Code]= $D1249) )</f>
        <v>0</v>
      </c>
      <c r="K1249" s="1381">
        <f t="array" ref="K1249">SUM(($E$1016:$E$1039=$E$1107)* ($A$1016:$A$1039=$A1249) * ($D$1016:$D$1039= $D1249) * (K$1016:K$1039) ) * SUM(EF[CH4] * (EF[SATIM Code]= $D1249) )</f>
        <v>0</v>
      </c>
      <c r="L1249" s="1381">
        <f t="array" ref="L1249">SUM(($E$1016:$E$1039=$E$1107)* ($A$1016:$A$1039=$A1249) * ($D$1016:$D$1039= $D1249) * (L$1016:L$1039) ) * SUM(EF[CH4] * (EF[SATIM Code]= $D1249) )</f>
        <v>0</v>
      </c>
      <c r="M1249" s="1381">
        <f t="array" ref="M1249">SUM(($E$1016:$E$1039=$E$1107)* ($A$1016:$A$1039=$A1249) * ($D$1016:$D$1039= $D1249) * (M$1016:M$1039) ) * SUM(EF[CH4] * (EF[SATIM Code]= $D1249) )</f>
        <v>0</v>
      </c>
      <c r="N1249" s="1381">
        <f t="array" ref="N1249">SUM(($E$1016:$E$1039=$E$1107)* ($A$1016:$A$1039=$A1249) * ($D$1016:$D$1039= $D1249) * (N$1016:N$1039) ) * SUM(EF[CH4] * (EF[SATIM Code]= $D1249) )</f>
        <v>0</v>
      </c>
      <c r="O1249" s="1381">
        <f t="array" ref="O1249">SUM(($E$1016:$E$1039=$E$1107)* ($A$1016:$A$1039=$A1249) * ($D$1016:$D$1039= $D1249) * (O$1016:O$1039) ) * SUM(EF[CH4] * (EF[SATIM Code]= $D1249) )</f>
        <v>0</v>
      </c>
    </row>
    <row r="1250" spans="1:15" s="19" customFormat="1" hidden="1" outlineLevel="1">
      <c r="A1250" s="19" t="str">
        <f t="shared" si="263"/>
        <v>NM</v>
      </c>
      <c r="B1250" s="1400" t="str">
        <f>INDEX(EF[UK Vector],MATCH(D1250,EF[SATIM Code],0))</f>
        <v>V.04</v>
      </c>
      <c r="C1250" s="1401" t="str">
        <f>INDEX(Vectors[Description], MATCH($B1250, Vectors[Code], 0))</f>
        <v>Liquid hydrocarbons</v>
      </c>
      <c r="D1250" s="1406" t="s">
        <v>887</v>
      </c>
      <c r="E1250" s="1393"/>
      <c r="F1250" s="1381">
        <f t="array" ref="F1250">SUM(($E$1016:$E$1039=$E$1107)* ($A$1016:$A$1039=$A1250) * ($D$1016:$D$1039= $D1250) * (F$1016:F$1039) ) * SUM(EF[CH4] * (EF[SATIM Code]= $D1250) )</f>
        <v>0</v>
      </c>
      <c r="G1250" s="1381">
        <f t="array" ref="G1250">SUM(($E$1016:$E$1039=$E$1107)* ($A$1016:$A$1039=$A1250) * ($D$1016:$D$1039= $D1250) * (G$1016:G$1039) ) * SUM(EF[CH4] * (EF[SATIM Code]= $D1250) )</f>
        <v>0</v>
      </c>
      <c r="H1250" s="1381">
        <f t="array" ref="H1250">SUM(($E$1016:$E$1039=$E$1107)* ($A$1016:$A$1039=$A1250) * ($D$1016:$D$1039= $D1250) * (H$1016:H$1039) ) * SUM(EF[CH4] * (EF[SATIM Code]= $D1250) )</f>
        <v>0</v>
      </c>
      <c r="I1250" s="1381">
        <f t="array" ref="I1250">SUM(($E$1016:$E$1039=$E$1107)* ($A$1016:$A$1039=$A1250) * ($D$1016:$D$1039= $D1250) * (I$1016:I$1039) ) * SUM(EF[CH4] * (EF[SATIM Code]= $D1250) )</f>
        <v>0</v>
      </c>
      <c r="J1250" s="1381">
        <f t="array" ref="J1250">SUM(($E$1016:$E$1039=$E$1107)* ($A$1016:$A$1039=$A1250) * ($D$1016:$D$1039= $D1250) * (J$1016:J$1039) ) * SUM(EF[CH4] * (EF[SATIM Code]= $D1250) )</f>
        <v>0</v>
      </c>
      <c r="K1250" s="1381">
        <f t="array" ref="K1250">SUM(($E$1016:$E$1039=$E$1107)* ($A$1016:$A$1039=$A1250) * ($D$1016:$D$1039= $D1250) * (K$1016:K$1039) ) * SUM(EF[CH4] * (EF[SATIM Code]= $D1250) )</f>
        <v>0</v>
      </c>
      <c r="L1250" s="1381">
        <f t="array" ref="L1250">SUM(($E$1016:$E$1039=$E$1107)* ($A$1016:$A$1039=$A1250) * ($D$1016:$D$1039= $D1250) * (L$1016:L$1039) ) * SUM(EF[CH4] * (EF[SATIM Code]= $D1250) )</f>
        <v>0</v>
      </c>
      <c r="M1250" s="1381">
        <f t="array" ref="M1250">SUM(($E$1016:$E$1039=$E$1107)* ($A$1016:$A$1039=$A1250) * ($D$1016:$D$1039= $D1250) * (M$1016:M$1039) ) * SUM(EF[CH4] * (EF[SATIM Code]= $D1250) )</f>
        <v>0</v>
      </c>
      <c r="N1250" s="1381">
        <f t="array" ref="N1250">SUM(($E$1016:$E$1039=$E$1107)* ($A$1016:$A$1039=$A1250) * ($D$1016:$D$1039= $D1250) * (N$1016:N$1039) ) * SUM(EF[CH4] * (EF[SATIM Code]= $D1250) )</f>
        <v>0</v>
      </c>
      <c r="O1250" s="1381">
        <f t="array" ref="O1250">SUM(($E$1016:$E$1039=$E$1107)* ($A$1016:$A$1039=$A1250) * ($D$1016:$D$1039= $D1250) * (O$1016:O$1039) ) * SUM(EF[CH4] * (EF[SATIM Code]= $D1250) )</f>
        <v>0</v>
      </c>
    </row>
    <row r="1251" spans="1:15" s="19" customFormat="1" hidden="1" outlineLevel="1">
      <c r="A1251" s="19" t="str">
        <f t="shared" si="263"/>
        <v>NM</v>
      </c>
      <c r="B1251" s="1400" t="str">
        <f>INDEX(EF[UK Vector],MATCH(D1251,EF[SATIM Code],0))</f>
        <v>V.09</v>
      </c>
      <c r="C1251" s="1401" t="str">
        <f>INDEX(Vectors[Description], MATCH($B1251, Vectors[Code], 0))</f>
        <v>Dry biomass and waste</v>
      </c>
      <c r="D1251" s="1406" t="s">
        <v>888</v>
      </c>
      <c r="E1251" s="1393"/>
      <c r="F1251" s="1381">
        <f t="array" ref="F1251">SUM(($E$1016:$E$1039=$E$1107)* ($A$1016:$A$1039=$A1251) * ($D$1016:$D$1039= $D1251) * (F$1016:F$1039) ) * SUM(EF[CH4] * (EF[SATIM Code]= $D1251) )</f>
        <v>0</v>
      </c>
      <c r="G1251" s="1381">
        <f t="array" ref="G1251">SUM(($E$1016:$E$1039=$E$1107)* ($A$1016:$A$1039=$A1251) * ($D$1016:$D$1039= $D1251) * (G$1016:G$1039) ) * SUM(EF[CH4] * (EF[SATIM Code]= $D1251) )</f>
        <v>0</v>
      </c>
      <c r="H1251" s="1381">
        <f t="array" ref="H1251">SUM(($E$1016:$E$1039=$E$1107)* ($A$1016:$A$1039=$A1251) * ($D$1016:$D$1039= $D1251) * (H$1016:H$1039) ) * SUM(EF[CH4] * (EF[SATIM Code]= $D1251) )</f>
        <v>0</v>
      </c>
      <c r="I1251" s="1381">
        <f t="array" ref="I1251">SUM(($E$1016:$E$1039=$E$1107)* ($A$1016:$A$1039=$A1251) * ($D$1016:$D$1039= $D1251) * (I$1016:I$1039) ) * SUM(EF[CH4] * (EF[SATIM Code]= $D1251) )</f>
        <v>0</v>
      </c>
      <c r="J1251" s="1381">
        <f t="array" ref="J1251">SUM(($E$1016:$E$1039=$E$1107)* ($A$1016:$A$1039=$A1251) * ($D$1016:$D$1039= $D1251) * (J$1016:J$1039) ) * SUM(EF[CH4] * (EF[SATIM Code]= $D1251) )</f>
        <v>0</v>
      </c>
      <c r="K1251" s="1381">
        <f t="array" ref="K1251">SUM(($E$1016:$E$1039=$E$1107)* ($A$1016:$A$1039=$A1251) * ($D$1016:$D$1039= $D1251) * (K$1016:K$1039) ) * SUM(EF[CH4] * (EF[SATIM Code]= $D1251) )</f>
        <v>0</v>
      </c>
      <c r="L1251" s="1381">
        <f t="array" ref="L1251">SUM(($E$1016:$E$1039=$E$1107)* ($A$1016:$A$1039=$A1251) * ($D$1016:$D$1039= $D1251) * (L$1016:L$1039) ) * SUM(EF[CH4] * (EF[SATIM Code]= $D1251) )</f>
        <v>0</v>
      </c>
      <c r="M1251" s="1381">
        <f t="array" ref="M1251">SUM(($E$1016:$E$1039=$E$1107)* ($A$1016:$A$1039=$A1251) * ($D$1016:$D$1039= $D1251) * (M$1016:M$1039) ) * SUM(EF[CH4] * (EF[SATIM Code]= $D1251) )</f>
        <v>0</v>
      </c>
      <c r="N1251" s="1381">
        <f t="array" ref="N1251">SUM(($E$1016:$E$1039=$E$1107)* ($A$1016:$A$1039=$A1251) * ($D$1016:$D$1039= $D1251) * (N$1016:N$1039) ) * SUM(EF[CH4] * (EF[SATIM Code]= $D1251) )</f>
        <v>0</v>
      </c>
      <c r="O1251" s="1381">
        <f t="array" ref="O1251">SUM(($E$1016:$E$1039=$E$1107)* ($A$1016:$A$1039=$A1251) * ($D$1016:$D$1039= $D1251) * (O$1016:O$1039) ) * SUM(EF[CH4] * (EF[SATIM Code]= $D1251) )</f>
        <v>0</v>
      </c>
    </row>
    <row r="1252" spans="1:15" s="19" customFormat="1" hidden="1" outlineLevel="1">
      <c r="A1252" s="19" t="str">
        <f t="shared" si="263"/>
        <v>NM</v>
      </c>
      <c r="B1252" s="1400" t="str">
        <f>INDEX(EF[UK Vector],MATCH(D1252,EF[SATIM Code],0))</f>
        <v>V.09</v>
      </c>
      <c r="C1252" s="1401" t="str">
        <f>INDEX(Vectors[Description], MATCH($B1252, Vectors[Code], 0))</f>
        <v>Dry biomass and waste</v>
      </c>
      <c r="D1252" s="1388" t="s">
        <v>889</v>
      </c>
      <c r="E1252" s="1393"/>
      <c r="F1252" s="1381">
        <f t="array" ref="F1252">SUM(($E$1016:$E$1039=$E$1107)* ($A$1016:$A$1039=$A1252) * ($D$1016:$D$1039= $D1252) * (F$1016:F$1039) ) * SUM(EF[CH4] * (EF[SATIM Code]= $D1252) )</f>
        <v>0</v>
      </c>
      <c r="G1252" s="1381">
        <f t="array" ref="G1252">SUM(($E$1016:$E$1039=$E$1107)* ($A$1016:$A$1039=$A1252) * ($D$1016:$D$1039= $D1252) * (G$1016:G$1039) ) * SUM(EF[CH4] * (EF[SATIM Code]= $D1252) )</f>
        <v>0</v>
      </c>
      <c r="H1252" s="1381">
        <f t="array" ref="H1252">SUM(($E$1016:$E$1039=$E$1107)* ($A$1016:$A$1039=$A1252) * ($D$1016:$D$1039= $D1252) * (H$1016:H$1039) ) * SUM(EF[CH4] * (EF[SATIM Code]= $D1252) )</f>
        <v>0</v>
      </c>
      <c r="I1252" s="1381">
        <f t="array" ref="I1252">SUM(($E$1016:$E$1039=$E$1107)* ($A$1016:$A$1039=$A1252) * ($D$1016:$D$1039= $D1252) * (I$1016:I$1039) ) * SUM(EF[CH4] * (EF[SATIM Code]= $D1252) )</f>
        <v>0</v>
      </c>
      <c r="J1252" s="1381">
        <f t="array" ref="J1252">SUM(($E$1016:$E$1039=$E$1107)* ($A$1016:$A$1039=$A1252) * ($D$1016:$D$1039= $D1252) * (J$1016:J$1039) ) * SUM(EF[CH4] * (EF[SATIM Code]= $D1252) )</f>
        <v>0</v>
      </c>
      <c r="K1252" s="1381">
        <f t="array" ref="K1252">SUM(($E$1016:$E$1039=$E$1107)* ($A$1016:$A$1039=$A1252) * ($D$1016:$D$1039= $D1252) * (K$1016:K$1039) ) * SUM(EF[CH4] * (EF[SATIM Code]= $D1252) )</f>
        <v>0</v>
      </c>
      <c r="L1252" s="1381">
        <f t="array" ref="L1252">SUM(($E$1016:$E$1039=$E$1107)* ($A$1016:$A$1039=$A1252) * ($D$1016:$D$1039= $D1252) * (L$1016:L$1039) ) * SUM(EF[CH4] * (EF[SATIM Code]= $D1252) )</f>
        <v>0</v>
      </c>
      <c r="M1252" s="1381">
        <f t="array" ref="M1252">SUM(($E$1016:$E$1039=$E$1107)* ($A$1016:$A$1039=$A1252) * ($D$1016:$D$1039= $D1252) * (M$1016:M$1039) ) * SUM(EF[CH4] * (EF[SATIM Code]= $D1252) )</f>
        <v>0</v>
      </c>
      <c r="N1252" s="1381">
        <f t="array" ref="N1252">SUM(($E$1016:$E$1039=$E$1107)* ($A$1016:$A$1039=$A1252) * ($D$1016:$D$1039= $D1252) * (N$1016:N$1039) ) * SUM(EF[CH4] * (EF[SATIM Code]= $D1252) )</f>
        <v>0</v>
      </c>
      <c r="O1252" s="1381">
        <f t="array" ref="O1252">SUM(($E$1016:$E$1039=$E$1107)* ($A$1016:$A$1039=$A1252) * ($D$1016:$D$1039= $D1252) * (O$1016:O$1039) ) * SUM(EF[CH4] * (EF[SATIM Code]= $D1252) )</f>
        <v>0</v>
      </c>
    </row>
    <row r="1253" spans="1:15" s="19" customFormat="1" hidden="1" outlineLevel="1">
      <c r="A1253" s="19" t="str">
        <f t="shared" si="263"/>
        <v>NM</v>
      </c>
      <c r="B1253" s="1400" t="str">
        <f>INDEX(EF[UK Vector],MATCH(D1253,EF[SATIM Code],0))</f>
        <v>V.16</v>
      </c>
      <c r="C1253" s="1401" t="str">
        <f>INDEX(Vectors[Description], MATCH($B1253, Vectors[Code], 0))</f>
        <v>Other Waste</v>
      </c>
      <c r="D1253" s="1408" t="s">
        <v>890</v>
      </c>
      <c r="E1253" s="1393"/>
      <c r="F1253" s="1381">
        <f t="array" ref="F1253">SUM(($E$1016:$E$1039=$E$1107)* ($A$1016:$A$1039=$A1253) * ($D$1016:$D$1039= $D1253) * (F$1016:F$1039) ) * SUM(EF[CH4] * (EF[SATIM Code]= $D1253) )</f>
        <v>0</v>
      </c>
      <c r="G1253" s="1381">
        <f t="array" ref="G1253">SUM(($E$1016:$E$1039=$E$1107)* ($A$1016:$A$1039=$A1253) * ($D$1016:$D$1039= $D1253) * (G$1016:G$1039) ) * SUM(EF[CH4] * (EF[SATIM Code]= $D1253) )</f>
        <v>0</v>
      </c>
      <c r="H1253" s="1381">
        <f t="array" ref="H1253">SUM(($E$1016:$E$1039=$E$1107)* ($A$1016:$A$1039=$A1253) * ($D$1016:$D$1039= $D1253) * (H$1016:H$1039) ) * SUM(EF[CH4] * (EF[SATIM Code]= $D1253) )</f>
        <v>0</v>
      </c>
      <c r="I1253" s="1381">
        <f t="array" ref="I1253">SUM(($E$1016:$E$1039=$E$1107)* ($A$1016:$A$1039=$A1253) * ($D$1016:$D$1039= $D1253) * (I$1016:I$1039) ) * SUM(EF[CH4] * (EF[SATIM Code]= $D1253) )</f>
        <v>0</v>
      </c>
      <c r="J1253" s="1381">
        <f t="array" ref="J1253">SUM(($E$1016:$E$1039=$E$1107)* ($A$1016:$A$1039=$A1253) * ($D$1016:$D$1039= $D1253) * (J$1016:J$1039) ) * SUM(EF[CH4] * (EF[SATIM Code]= $D1253) )</f>
        <v>0</v>
      </c>
      <c r="K1253" s="1381">
        <f t="array" ref="K1253">SUM(($E$1016:$E$1039=$E$1107)* ($A$1016:$A$1039=$A1253) * ($D$1016:$D$1039= $D1253) * (K$1016:K$1039) ) * SUM(EF[CH4] * (EF[SATIM Code]= $D1253) )</f>
        <v>0</v>
      </c>
      <c r="L1253" s="1381">
        <f t="array" ref="L1253">SUM(($E$1016:$E$1039=$E$1107)* ($A$1016:$A$1039=$A1253) * ($D$1016:$D$1039= $D1253) * (L$1016:L$1039) ) * SUM(EF[CH4] * (EF[SATIM Code]= $D1253) )</f>
        <v>0</v>
      </c>
      <c r="M1253" s="1381">
        <f t="array" ref="M1253">SUM(($E$1016:$E$1039=$E$1107)* ($A$1016:$A$1039=$A1253) * ($D$1016:$D$1039= $D1253) * (M$1016:M$1039) ) * SUM(EF[CH4] * (EF[SATIM Code]= $D1253) )</f>
        <v>0</v>
      </c>
      <c r="N1253" s="1381">
        <f t="array" ref="N1253">SUM(($E$1016:$E$1039=$E$1107)* ($A$1016:$A$1039=$A1253) * ($D$1016:$D$1039= $D1253) * (N$1016:N$1039) ) * SUM(EF[CH4] * (EF[SATIM Code]= $D1253) )</f>
        <v>0</v>
      </c>
      <c r="O1253" s="1381">
        <f t="array" ref="O1253">SUM(($E$1016:$E$1039=$E$1107)* ($A$1016:$A$1039=$A1253) * ($D$1016:$D$1039= $D1253) * (O$1016:O$1039) ) * SUM(EF[CH4] * (EF[SATIM Code]= $D1253) )</f>
        <v>0</v>
      </c>
    </row>
    <row r="1254" spans="1:15" s="19" customFormat="1" hidden="1" outlineLevel="1">
      <c r="B1254" s="1393"/>
      <c r="C1254" s="1407" t="str">
        <f>D25</f>
        <v>Food, Beverage &amp; Tabacco  - 30</v>
      </c>
      <c r="D1254" s="1391"/>
      <c r="E1254" s="1393"/>
      <c r="F1254" s="1381">
        <f t="array" ref="F1254">SUM(($E$1016:$E$1039=$E$1107)* ($A$1016:$A$1039=$A1254) * ($D$1016:$D$1039= $D1254) * (F$1016:F$1039) ) * SUM(EF[CH4] * (EF[SATIM Code]= $D1254) )</f>
        <v>0</v>
      </c>
      <c r="G1254" s="1381">
        <f t="array" ref="G1254">SUM(($E$1016:$E$1039=$E$1107)* ($A$1016:$A$1039=$A1254) * ($D$1016:$D$1039= $D1254) * (G$1016:G$1039) ) * SUM(EF[CH4] * (EF[SATIM Code]= $D1254) )</f>
        <v>0</v>
      </c>
      <c r="H1254" s="1381">
        <f t="array" ref="H1254">SUM(($E$1016:$E$1039=$E$1107)* ($A$1016:$A$1039=$A1254) * ($D$1016:$D$1039= $D1254) * (H$1016:H$1039) ) * SUM(EF[CH4] * (EF[SATIM Code]= $D1254) )</f>
        <v>0</v>
      </c>
      <c r="I1254" s="1381">
        <f t="array" ref="I1254">SUM(($E$1016:$E$1039=$E$1107)* ($A$1016:$A$1039=$A1254) * ($D$1016:$D$1039= $D1254) * (I$1016:I$1039) ) * SUM(EF[CH4] * (EF[SATIM Code]= $D1254) )</f>
        <v>0</v>
      </c>
      <c r="J1254" s="1381">
        <f t="array" ref="J1254">SUM(($E$1016:$E$1039=$E$1107)* ($A$1016:$A$1039=$A1254) * ($D$1016:$D$1039= $D1254) * (J$1016:J$1039) ) * SUM(EF[CH4] * (EF[SATIM Code]= $D1254) )</f>
        <v>0</v>
      </c>
      <c r="K1254" s="1381">
        <f t="array" ref="K1254">SUM(($E$1016:$E$1039=$E$1107)* ($A$1016:$A$1039=$A1254) * ($D$1016:$D$1039= $D1254) * (K$1016:K$1039) ) * SUM(EF[CH4] * (EF[SATIM Code]= $D1254) )</f>
        <v>0</v>
      </c>
      <c r="L1254" s="1381">
        <f t="array" ref="L1254">SUM(($E$1016:$E$1039=$E$1107)* ($A$1016:$A$1039=$A1254) * ($D$1016:$D$1039= $D1254) * (L$1016:L$1039) ) * SUM(EF[CH4] * (EF[SATIM Code]= $D1254) )</f>
        <v>0</v>
      </c>
      <c r="M1254" s="1381">
        <f t="array" ref="M1254">SUM(($E$1016:$E$1039=$E$1107)* ($A$1016:$A$1039=$A1254) * ($D$1016:$D$1039= $D1254) * (M$1016:M$1039) ) * SUM(EF[CH4] * (EF[SATIM Code]= $D1254) )</f>
        <v>0</v>
      </c>
      <c r="N1254" s="1381">
        <f t="array" ref="N1254">SUM(($E$1016:$E$1039=$E$1107)* ($A$1016:$A$1039=$A1254) * ($D$1016:$D$1039= $D1254) * (N$1016:N$1039) ) * SUM(EF[CH4] * (EF[SATIM Code]= $D1254) )</f>
        <v>0</v>
      </c>
      <c r="O1254" s="1381">
        <f t="array" ref="O1254">SUM(($E$1016:$E$1039=$E$1107)* ($A$1016:$A$1039=$A1254) * ($D$1016:$D$1039= $D1254) * (O$1016:O$1039) ) * SUM(EF[CH4] * (EF[SATIM Code]= $D1254) )</f>
        <v>0</v>
      </c>
    </row>
    <row r="1255" spans="1:15" s="19" customFormat="1" hidden="1" outlineLevel="1">
      <c r="A1255" s="1438" t="str">
        <f>INDEX($C$20:$C$27,MATCH($C1254,$D$20:$D$27,0))</f>
        <v>FB</v>
      </c>
      <c r="B1255" s="1400" t="str">
        <f>INDEX(EF[UK Vector],MATCH(D1255,EF[SATIM Code],0))</f>
        <v>V.03</v>
      </c>
      <c r="C1255" s="1401" t="str">
        <f>INDEX(Vectors[Description], MATCH($B1255, Vectors[Code], 0))</f>
        <v>Solid hydrocarbons</v>
      </c>
      <c r="D1255" s="1391" t="s">
        <v>882</v>
      </c>
      <c r="E1255" s="1393"/>
      <c r="F1255" s="1381">
        <f t="array" ref="F1255">SUM(($E$1016:$E$1039=$E$1107)* ($A$1016:$A$1039=$A1255) * ($D$1016:$D$1039= $D1255) * (F$1016:F$1039) ) * SUM(EF[CH4] * (EF[SATIM Code]= $D1255) )</f>
        <v>0</v>
      </c>
      <c r="G1255" s="1381">
        <f t="array" ref="G1255">SUM(($E$1016:$E$1039=$E$1107)* ($A$1016:$A$1039=$A1255) * ($D$1016:$D$1039= $D1255) * (G$1016:G$1039) ) * SUM(EF[CH4] * (EF[SATIM Code]= $D1255) )</f>
        <v>0</v>
      </c>
      <c r="H1255" s="1381">
        <f t="array" ref="H1255">SUM(($E$1016:$E$1039=$E$1107)* ($A$1016:$A$1039=$A1255) * ($D$1016:$D$1039= $D1255) * (H$1016:H$1039) ) * SUM(EF[CH4] * (EF[SATIM Code]= $D1255) )</f>
        <v>0</v>
      </c>
      <c r="I1255" s="1381">
        <f t="array" ref="I1255">SUM(($E$1016:$E$1039=$E$1107)* ($A$1016:$A$1039=$A1255) * ($D$1016:$D$1039= $D1255) * (I$1016:I$1039) ) * SUM(EF[CH4] * (EF[SATIM Code]= $D1255) )</f>
        <v>0</v>
      </c>
      <c r="J1255" s="1381">
        <f t="array" ref="J1255">SUM(($E$1016:$E$1039=$E$1107)* ($A$1016:$A$1039=$A1255) * ($D$1016:$D$1039= $D1255) * (J$1016:J$1039) ) * SUM(EF[CH4] * (EF[SATIM Code]= $D1255) )</f>
        <v>0</v>
      </c>
      <c r="K1255" s="1381">
        <f t="array" ref="K1255">SUM(($E$1016:$E$1039=$E$1107)* ($A$1016:$A$1039=$A1255) * ($D$1016:$D$1039= $D1255) * (K$1016:K$1039) ) * SUM(EF[CH4] * (EF[SATIM Code]= $D1255) )</f>
        <v>0</v>
      </c>
      <c r="L1255" s="1381">
        <f t="array" ref="L1255">SUM(($E$1016:$E$1039=$E$1107)* ($A$1016:$A$1039=$A1255) * ($D$1016:$D$1039= $D1255) * (L$1016:L$1039) ) * SUM(EF[CH4] * (EF[SATIM Code]= $D1255) )</f>
        <v>0</v>
      </c>
      <c r="M1255" s="1381">
        <f t="array" ref="M1255">SUM(($E$1016:$E$1039=$E$1107)* ($A$1016:$A$1039=$A1255) * ($D$1016:$D$1039= $D1255) * (M$1016:M$1039) ) * SUM(EF[CH4] * (EF[SATIM Code]= $D1255) )</f>
        <v>0</v>
      </c>
      <c r="N1255" s="1381">
        <f t="array" ref="N1255">SUM(($E$1016:$E$1039=$E$1107)* ($A$1016:$A$1039=$A1255) * ($D$1016:$D$1039= $D1255) * (N$1016:N$1039) ) * SUM(EF[CH4] * (EF[SATIM Code]= $D1255) )</f>
        <v>0</v>
      </c>
      <c r="O1255" s="1381">
        <f t="array" ref="O1255">SUM(($E$1016:$E$1039=$E$1107)* ($A$1016:$A$1039=$A1255) * ($D$1016:$D$1039= $D1255) * (O$1016:O$1039) ) * SUM(EF[CH4] * (EF[SATIM Code]= $D1255) )</f>
        <v>0</v>
      </c>
    </row>
    <row r="1256" spans="1:15" s="19" customFormat="1" hidden="1" outlineLevel="1">
      <c r="A1256" s="19" t="str">
        <f t="shared" ref="A1256:A1263" si="264">A1255</f>
        <v>FB</v>
      </c>
      <c r="B1256" s="1400" t="str">
        <f>INDEX(EF[UK Vector],MATCH(D1256,EF[SATIM Code],0))</f>
        <v>V.03</v>
      </c>
      <c r="C1256" s="1401" t="str">
        <f>INDEX(Vectors[Description], MATCH($B1256, Vectors[Code], 0))</f>
        <v>Solid hydrocarbons</v>
      </c>
      <c r="D1256" s="1391" t="s">
        <v>883</v>
      </c>
      <c r="E1256" s="1393"/>
      <c r="F1256" s="1381">
        <f t="array" ref="F1256">SUM(($E$1016:$E$1039=$E$1107)* ($A$1016:$A$1039=$A1256) * ($D$1016:$D$1039= $D1256) * (F$1016:F$1039) ) * SUM(EF[CH4] * (EF[SATIM Code]= $D1256) )</f>
        <v>0</v>
      </c>
      <c r="G1256" s="1381">
        <f t="array" ref="G1256">SUM(($E$1016:$E$1039=$E$1107)* ($A$1016:$A$1039=$A1256) * ($D$1016:$D$1039= $D1256) * (G$1016:G$1039) ) * SUM(EF[CH4] * (EF[SATIM Code]= $D1256) )</f>
        <v>0</v>
      </c>
      <c r="H1256" s="1381">
        <f t="array" ref="H1256">SUM(($E$1016:$E$1039=$E$1107)* ($A$1016:$A$1039=$A1256) * ($D$1016:$D$1039= $D1256) * (H$1016:H$1039) ) * SUM(EF[CH4] * (EF[SATIM Code]= $D1256) )</f>
        <v>0</v>
      </c>
      <c r="I1256" s="1381">
        <f t="array" ref="I1256">SUM(($E$1016:$E$1039=$E$1107)* ($A$1016:$A$1039=$A1256) * ($D$1016:$D$1039= $D1256) * (I$1016:I$1039) ) * SUM(EF[CH4] * (EF[SATIM Code]= $D1256) )</f>
        <v>0</v>
      </c>
      <c r="J1256" s="1381">
        <f t="array" ref="J1256">SUM(($E$1016:$E$1039=$E$1107)* ($A$1016:$A$1039=$A1256) * ($D$1016:$D$1039= $D1256) * (J$1016:J$1039) ) * SUM(EF[CH4] * (EF[SATIM Code]= $D1256) )</f>
        <v>0</v>
      </c>
      <c r="K1256" s="1381">
        <f t="array" ref="K1256">SUM(($E$1016:$E$1039=$E$1107)* ($A$1016:$A$1039=$A1256) * ($D$1016:$D$1039= $D1256) * (K$1016:K$1039) ) * SUM(EF[CH4] * (EF[SATIM Code]= $D1256) )</f>
        <v>0</v>
      </c>
      <c r="L1256" s="1381">
        <f t="array" ref="L1256">SUM(($E$1016:$E$1039=$E$1107)* ($A$1016:$A$1039=$A1256) * ($D$1016:$D$1039= $D1256) * (L$1016:L$1039) ) * SUM(EF[CH4] * (EF[SATIM Code]= $D1256) )</f>
        <v>0</v>
      </c>
      <c r="M1256" s="1381">
        <f t="array" ref="M1256">SUM(($E$1016:$E$1039=$E$1107)* ($A$1016:$A$1039=$A1256) * ($D$1016:$D$1039= $D1256) * (M$1016:M$1039) ) * SUM(EF[CH4] * (EF[SATIM Code]= $D1256) )</f>
        <v>0</v>
      </c>
      <c r="N1256" s="1381">
        <f t="array" ref="N1256">SUM(($E$1016:$E$1039=$E$1107)* ($A$1016:$A$1039=$A1256) * ($D$1016:$D$1039= $D1256) * (N$1016:N$1039) ) * SUM(EF[CH4] * (EF[SATIM Code]= $D1256) )</f>
        <v>0</v>
      </c>
      <c r="O1256" s="1381">
        <f t="array" ref="O1256">SUM(($E$1016:$E$1039=$E$1107)* ($A$1016:$A$1039=$A1256) * ($D$1016:$D$1039= $D1256) * (O$1016:O$1039) ) * SUM(EF[CH4] * (EF[SATIM Code]= $D1256) )</f>
        <v>0</v>
      </c>
    </row>
    <row r="1257" spans="1:15" s="19" customFormat="1" hidden="1" outlineLevel="1">
      <c r="A1257" s="19" t="str">
        <f t="shared" si="264"/>
        <v>FB</v>
      </c>
      <c r="B1257" s="1400" t="str">
        <f>INDEX(EF[UK Vector],MATCH(D1257,EF[SATIM Code],0))</f>
        <v>V.05</v>
      </c>
      <c r="C1257" s="1401" t="str">
        <f>INDEX(Vectors[Description], MATCH($B1257, Vectors[Code], 0))</f>
        <v>Gaseous hydrocarbons</v>
      </c>
      <c r="D1257" s="1406" t="s">
        <v>869</v>
      </c>
      <c r="E1257" s="1393"/>
      <c r="F1257" s="1381">
        <f t="array" ref="F1257">SUM(($E$1016:$E$1039=$E$1107)* ($A$1016:$A$1039=$A1257) * ($D$1016:$D$1039= $D1257) * (F$1016:F$1039) ) * SUM(EF[CH4] * (EF[SATIM Code]= $D1257) )</f>
        <v>0</v>
      </c>
      <c r="G1257" s="1381">
        <f t="array" ref="G1257">SUM(($E$1016:$E$1039=$E$1107)* ($A$1016:$A$1039=$A1257) * ($D$1016:$D$1039= $D1257) * (G$1016:G$1039) ) * SUM(EF[CH4] * (EF[SATIM Code]= $D1257) )</f>
        <v>0</v>
      </c>
      <c r="H1257" s="1381">
        <f t="array" ref="H1257">SUM(($E$1016:$E$1039=$E$1107)* ($A$1016:$A$1039=$A1257) * ($D$1016:$D$1039= $D1257) * (H$1016:H$1039) ) * SUM(EF[CH4] * (EF[SATIM Code]= $D1257) )</f>
        <v>0</v>
      </c>
      <c r="I1257" s="1381">
        <f t="array" ref="I1257">SUM(($E$1016:$E$1039=$E$1107)* ($A$1016:$A$1039=$A1257) * ($D$1016:$D$1039= $D1257) * (I$1016:I$1039) ) * SUM(EF[CH4] * (EF[SATIM Code]= $D1257) )</f>
        <v>0</v>
      </c>
      <c r="J1257" s="1381">
        <f t="array" ref="J1257">SUM(($E$1016:$E$1039=$E$1107)* ($A$1016:$A$1039=$A1257) * ($D$1016:$D$1039= $D1257) * (J$1016:J$1039) ) * SUM(EF[CH4] * (EF[SATIM Code]= $D1257) )</f>
        <v>0</v>
      </c>
      <c r="K1257" s="1381">
        <f t="array" ref="K1257">SUM(($E$1016:$E$1039=$E$1107)* ($A$1016:$A$1039=$A1257) * ($D$1016:$D$1039= $D1257) * (K$1016:K$1039) ) * SUM(EF[CH4] * (EF[SATIM Code]= $D1257) )</f>
        <v>0</v>
      </c>
      <c r="L1257" s="1381">
        <f t="array" ref="L1257">SUM(($E$1016:$E$1039=$E$1107)* ($A$1016:$A$1039=$A1257) * ($D$1016:$D$1039= $D1257) * (L$1016:L$1039) ) * SUM(EF[CH4] * (EF[SATIM Code]= $D1257) )</f>
        <v>0</v>
      </c>
      <c r="M1257" s="1381">
        <f t="array" ref="M1257">SUM(($E$1016:$E$1039=$E$1107)* ($A$1016:$A$1039=$A1257) * ($D$1016:$D$1039= $D1257) * (M$1016:M$1039) ) * SUM(EF[CH4] * (EF[SATIM Code]= $D1257) )</f>
        <v>0</v>
      </c>
      <c r="N1257" s="1381">
        <f t="array" ref="N1257">SUM(($E$1016:$E$1039=$E$1107)* ($A$1016:$A$1039=$A1257) * ($D$1016:$D$1039= $D1257) * (N$1016:N$1039) ) * SUM(EF[CH4] * (EF[SATIM Code]= $D1257) )</f>
        <v>0</v>
      </c>
      <c r="O1257" s="1381">
        <f t="array" ref="O1257">SUM(($E$1016:$E$1039=$E$1107)* ($A$1016:$A$1039=$A1257) * ($D$1016:$D$1039= $D1257) * (O$1016:O$1039) ) * SUM(EF[CH4] * (EF[SATIM Code]= $D1257) )</f>
        <v>0</v>
      </c>
    </row>
    <row r="1258" spans="1:15" s="19" customFormat="1" hidden="1" outlineLevel="1">
      <c r="A1258" s="19" t="str">
        <f t="shared" si="264"/>
        <v>FB</v>
      </c>
      <c r="B1258" s="1400" t="str">
        <f>INDEX(EF[UK Vector],MATCH(D1258,EF[SATIM Code],0))</f>
        <v>V.04</v>
      </c>
      <c r="C1258" s="1401" t="str">
        <f>INDEX(Vectors[Description], MATCH($B1258, Vectors[Code], 0))</f>
        <v>Liquid hydrocarbons</v>
      </c>
      <c r="D1258" s="1406" t="s">
        <v>885</v>
      </c>
      <c r="E1258" s="1393"/>
      <c r="F1258" s="1381">
        <f t="array" ref="F1258">SUM(($E$1016:$E$1039=$E$1107)* ($A$1016:$A$1039=$A1258) * ($D$1016:$D$1039= $D1258) * (F$1016:F$1039) ) * SUM(EF[CH4] * (EF[SATIM Code]= $D1258) )</f>
        <v>0</v>
      </c>
      <c r="G1258" s="1381">
        <f t="array" ref="G1258">SUM(($E$1016:$E$1039=$E$1107)* ($A$1016:$A$1039=$A1258) * ($D$1016:$D$1039= $D1258) * (G$1016:G$1039) ) * SUM(EF[CH4] * (EF[SATIM Code]= $D1258) )</f>
        <v>0</v>
      </c>
      <c r="H1258" s="1381">
        <f t="array" ref="H1258">SUM(($E$1016:$E$1039=$E$1107)* ($A$1016:$A$1039=$A1258) * ($D$1016:$D$1039= $D1258) * (H$1016:H$1039) ) * SUM(EF[CH4] * (EF[SATIM Code]= $D1258) )</f>
        <v>0</v>
      </c>
      <c r="I1258" s="1381">
        <f t="array" ref="I1258">SUM(($E$1016:$E$1039=$E$1107)* ($A$1016:$A$1039=$A1258) * ($D$1016:$D$1039= $D1258) * (I$1016:I$1039) ) * SUM(EF[CH4] * (EF[SATIM Code]= $D1258) )</f>
        <v>0</v>
      </c>
      <c r="J1258" s="1381">
        <f t="array" ref="J1258">SUM(($E$1016:$E$1039=$E$1107)* ($A$1016:$A$1039=$A1258) * ($D$1016:$D$1039= $D1258) * (J$1016:J$1039) ) * SUM(EF[CH4] * (EF[SATIM Code]= $D1258) )</f>
        <v>0</v>
      </c>
      <c r="K1258" s="1381">
        <f t="array" ref="K1258">SUM(($E$1016:$E$1039=$E$1107)* ($A$1016:$A$1039=$A1258) * ($D$1016:$D$1039= $D1258) * (K$1016:K$1039) ) * SUM(EF[CH4] * (EF[SATIM Code]= $D1258) )</f>
        <v>0</v>
      </c>
      <c r="L1258" s="1381">
        <f t="array" ref="L1258">SUM(($E$1016:$E$1039=$E$1107)* ($A$1016:$A$1039=$A1258) * ($D$1016:$D$1039= $D1258) * (L$1016:L$1039) ) * SUM(EF[CH4] * (EF[SATIM Code]= $D1258) )</f>
        <v>0</v>
      </c>
      <c r="M1258" s="1381">
        <f t="array" ref="M1258">SUM(($E$1016:$E$1039=$E$1107)* ($A$1016:$A$1039=$A1258) * ($D$1016:$D$1039= $D1258) * (M$1016:M$1039) ) * SUM(EF[CH4] * (EF[SATIM Code]= $D1258) )</f>
        <v>0</v>
      </c>
      <c r="N1258" s="1381">
        <f t="array" ref="N1258">SUM(($E$1016:$E$1039=$E$1107)* ($A$1016:$A$1039=$A1258) * ($D$1016:$D$1039= $D1258) * (N$1016:N$1039) ) * SUM(EF[CH4] * (EF[SATIM Code]= $D1258) )</f>
        <v>0</v>
      </c>
      <c r="O1258" s="1381">
        <f t="array" ref="O1258">SUM(($E$1016:$E$1039=$E$1107)* ($A$1016:$A$1039=$A1258) * ($D$1016:$D$1039= $D1258) * (O$1016:O$1039) ) * SUM(EF[CH4] * (EF[SATIM Code]= $D1258) )</f>
        <v>0</v>
      </c>
    </row>
    <row r="1259" spans="1:15" s="19" customFormat="1" hidden="1" outlineLevel="1">
      <c r="A1259" s="19" t="str">
        <f t="shared" si="264"/>
        <v>FB</v>
      </c>
      <c r="B1259" s="1400" t="str">
        <f>INDEX(EF[UK Vector],MATCH(D1259,EF[SATIM Code],0))</f>
        <v>V.04</v>
      </c>
      <c r="C1259" s="1401" t="str">
        <f>INDEX(Vectors[Description], MATCH($B1259, Vectors[Code], 0))</f>
        <v>Liquid hydrocarbons</v>
      </c>
      <c r="D1259" s="1391" t="s">
        <v>886</v>
      </c>
      <c r="E1259" s="1393"/>
      <c r="F1259" s="1381">
        <f t="array" ref="F1259">SUM(($E$1016:$E$1039=$E$1107)* ($A$1016:$A$1039=$A1259) * ($D$1016:$D$1039= $D1259) * (F$1016:F$1039) ) * SUM(EF[CH4] * (EF[SATIM Code]= $D1259) )</f>
        <v>0</v>
      </c>
      <c r="G1259" s="1381">
        <f t="array" ref="G1259">SUM(($E$1016:$E$1039=$E$1107)* ($A$1016:$A$1039=$A1259) * ($D$1016:$D$1039= $D1259) * (G$1016:G$1039) ) * SUM(EF[CH4] * (EF[SATIM Code]= $D1259) )</f>
        <v>0</v>
      </c>
      <c r="H1259" s="1381">
        <f t="array" ref="H1259">SUM(($E$1016:$E$1039=$E$1107)* ($A$1016:$A$1039=$A1259) * ($D$1016:$D$1039= $D1259) * (H$1016:H$1039) ) * SUM(EF[CH4] * (EF[SATIM Code]= $D1259) )</f>
        <v>0</v>
      </c>
      <c r="I1259" s="1381">
        <f t="array" ref="I1259">SUM(($E$1016:$E$1039=$E$1107)* ($A$1016:$A$1039=$A1259) * ($D$1016:$D$1039= $D1259) * (I$1016:I$1039) ) * SUM(EF[CH4] * (EF[SATIM Code]= $D1259) )</f>
        <v>0</v>
      </c>
      <c r="J1259" s="1381">
        <f t="array" ref="J1259">SUM(($E$1016:$E$1039=$E$1107)* ($A$1016:$A$1039=$A1259) * ($D$1016:$D$1039= $D1259) * (J$1016:J$1039) ) * SUM(EF[CH4] * (EF[SATIM Code]= $D1259) )</f>
        <v>0</v>
      </c>
      <c r="K1259" s="1381">
        <f t="array" ref="K1259">SUM(($E$1016:$E$1039=$E$1107)* ($A$1016:$A$1039=$A1259) * ($D$1016:$D$1039= $D1259) * (K$1016:K$1039) ) * SUM(EF[CH4] * (EF[SATIM Code]= $D1259) )</f>
        <v>0</v>
      </c>
      <c r="L1259" s="1381">
        <f t="array" ref="L1259">SUM(($E$1016:$E$1039=$E$1107)* ($A$1016:$A$1039=$A1259) * ($D$1016:$D$1039= $D1259) * (L$1016:L$1039) ) * SUM(EF[CH4] * (EF[SATIM Code]= $D1259) )</f>
        <v>0</v>
      </c>
      <c r="M1259" s="1381">
        <f t="array" ref="M1259">SUM(($E$1016:$E$1039=$E$1107)* ($A$1016:$A$1039=$A1259) * ($D$1016:$D$1039= $D1259) * (M$1016:M$1039) ) * SUM(EF[CH4] * (EF[SATIM Code]= $D1259) )</f>
        <v>0</v>
      </c>
      <c r="N1259" s="1381">
        <f t="array" ref="N1259">SUM(($E$1016:$E$1039=$E$1107)* ($A$1016:$A$1039=$A1259) * ($D$1016:$D$1039= $D1259) * (N$1016:N$1039) ) * SUM(EF[CH4] * (EF[SATIM Code]= $D1259) )</f>
        <v>0</v>
      </c>
      <c r="O1259" s="1381">
        <f t="array" ref="O1259">SUM(($E$1016:$E$1039=$E$1107)* ($A$1016:$A$1039=$A1259) * ($D$1016:$D$1039= $D1259) * (O$1016:O$1039) ) * SUM(EF[CH4] * (EF[SATIM Code]= $D1259) )</f>
        <v>0</v>
      </c>
    </row>
    <row r="1260" spans="1:15" s="19" customFormat="1" hidden="1" outlineLevel="1">
      <c r="A1260" s="19" t="str">
        <f t="shared" si="264"/>
        <v>FB</v>
      </c>
      <c r="B1260" s="1400" t="str">
        <f>INDEX(EF[UK Vector],MATCH(D1260,EF[SATIM Code],0))</f>
        <v>V.04</v>
      </c>
      <c r="C1260" s="1401" t="str">
        <f>INDEX(Vectors[Description], MATCH($B1260, Vectors[Code], 0))</f>
        <v>Liquid hydrocarbons</v>
      </c>
      <c r="D1260" s="1406" t="s">
        <v>887</v>
      </c>
      <c r="E1260" s="1393"/>
      <c r="F1260" s="1381">
        <f t="array" ref="F1260">SUM(($E$1016:$E$1039=$E$1107)* ($A$1016:$A$1039=$A1260) * ($D$1016:$D$1039= $D1260) * (F$1016:F$1039) ) * SUM(EF[CH4] * (EF[SATIM Code]= $D1260) )</f>
        <v>0</v>
      </c>
      <c r="G1260" s="1381">
        <f t="array" ref="G1260">SUM(($E$1016:$E$1039=$E$1107)* ($A$1016:$A$1039=$A1260) * ($D$1016:$D$1039= $D1260) * (G$1016:G$1039) ) * SUM(EF[CH4] * (EF[SATIM Code]= $D1260) )</f>
        <v>0</v>
      </c>
      <c r="H1260" s="1381">
        <f t="array" ref="H1260">SUM(($E$1016:$E$1039=$E$1107)* ($A$1016:$A$1039=$A1260) * ($D$1016:$D$1039= $D1260) * (H$1016:H$1039) ) * SUM(EF[CH4] * (EF[SATIM Code]= $D1260) )</f>
        <v>0</v>
      </c>
      <c r="I1260" s="1381">
        <f t="array" ref="I1260">SUM(($E$1016:$E$1039=$E$1107)* ($A$1016:$A$1039=$A1260) * ($D$1016:$D$1039= $D1260) * (I$1016:I$1039) ) * SUM(EF[CH4] * (EF[SATIM Code]= $D1260) )</f>
        <v>0</v>
      </c>
      <c r="J1260" s="1381">
        <f t="array" ref="J1260">SUM(($E$1016:$E$1039=$E$1107)* ($A$1016:$A$1039=$A1260) * ($D$1016:$D$1039= $D1260) * (J$1016:J$1039) ) * SUM(EF[CH4] * (EF[SATIM Code]= $D1260) )</f>
        <v>0</v>
      </c>
      <c r="K1260" s="1381">
        <f t="array" ref="K1260">SUM(($E$1016:$E$1039=$E$1107)* ($A$1016:$A$1039=$A1260) * ($D$1016:$D$1039= $D1260) * (K$1016:K$1039) ) * SUM(EF[CH4] * (EF[SATIM Code]= $D1260) )</f>
        <v>0</v>
      </c>
      <c r="L1260" s="1381">
        <f t="array" ref="L1260">SUM(($E$1016:$E$1039=$E$1107)* ($A$1016:$A$1039=$A1260) * ($D$1016:$D$1039= $D1260) * (L$1016:L$1039) ) * SUM(EF[CH4] * (EF[SATIM Code]= $D1260) )</f>
        <v>0</v>
      </c>
      <c r="M1260" s="1381">
        <f t="array" ref="M1260">SUM(($E$1016:$E$1039=$E$1107)* ($A$1016:$A$1039=$A1260) * ($D$1016:$D$1039= $D1260) * (M$1016:M$1039) ) * SUM(EF[CH4] * (EF[SATIM Code]= $D1260) )</f>
        <v>0</v>
      </c>
      <c r="N1260" s="1381">
        <f t="array" ref="N1260">SUM(($E$1016:$E$1039=$E$1107)* ($A$1016:$A$1039=$A1260) * ($D$1016:$D$1039= $D1260) * (N$1016:N$1039) ) * SUM(EF[CH4] * (EF[SATIM Code]= $D1260) )</f>
        <v>0</v>
      </c>
      <c r="O1260" s="1381">
        <f t="array" ref="O1260">SUM(($E$1016:$E$1039=$E$1107)* ($A$1016:$A$1039=$A1260) * ($D$1016:$D$1039= $D1260) * (O$1016:O$1039) ) * SUM(EF[CH4] * (EF[SATIM Code]= $D1260) )</f>
        <v>0</v>
      </c>
    </row>
    <row r="1261" spans="1:15" s="19" customFormat="1" hidden="1" outlineLevel="1">
      <c r="A1261" s="19" t="str">
        <f t="shared" si="264"/>
        <v>FB</v>
      </c>
      <c r="B1261" s="1400" t="str">
        <f>INDEX(EF[UK Vector],MATCH(D1261,EF[SATIM Code],0))</f>
        <v>V.09</v>
      </c>
      <c r="C1261" s="1401" t="str">
        <f>INDEX(Vectors[Description], MATCH($B1261, Vectors[Code], 0))</f>
        <v>Dry biomass and waste</v>
      </c>
      <c r="D1261" s="1406" t="s">
        <v>888</v>
      </c>
      <c r="E1261" s="1393"/>
      <c r="F1261" s="1381">
        <f t="array" ref="F1261">SUM(($E$1016:$E$1039=$E$1107)* ($A$1016:$A$1039=$A1261) * ($D$1016:$D$1039= $D1261) * (F$1016:F$1039) ) * SUM(EF[CH4] * (EF[SATIM Code]= $D1261) )</f>
        <v>0</v>
      </c>
      <c r="G1261" s="1381">
        <f t="array" ref="G1261">SUM(($E$1016:$E$1039=$E$1107)* ($A$1016:$A$1039=$A1261) * ($D$1016:$D$1039= $D1261) * (G$1016:G$1039) ) * SUM(EF[CH4] * (EF[SATIM Code]= $D1261) )</f>
        <v>0</v>
      </c>
      <c r="H1261" s="1381">
        <f t="array" ref="H1261">SUM(($E$1016:$E$1039=$E$1107)* ($A$1016:$A$1039=$A1261) * ($D$1016:$D$1039= $D1261) * (H$1016:H$1039) ) * SUM(EF[CH4] * (EF[SATIM Code]= $D1261) )</f>
        <v>0</v>
      </c>
      <c r="I1261" s="1381">
        <f t="array" ref="I1261">SUM(($E$1016:$E$1039=$E$1107)* ($A$1016:$A$1039=$A1261) * ($D$1016:$D$1039= $D1261) * (I$1016:I$1039) ) * SUM(EF[CH4] * (EF[SATIM Code]= $D1261) )</f>
        <v>0</v>
      </c>
      <c r="J1261" s="1381">
        <f t="array" ref="J1261">SUM(($E$1016:$E$1039=$E$1107)* ($A$1016:$A$1039=$A1261) * ($D$1016:$D$1039= $D1261) * (J$1016:J$1039) ) * SUM(EF[CH4] * (EF[SATIM Code]= $D1261) )</f>
        <v>0</v>
      </c>
      <c r="K1261" s="1381">
        <f t="array" ref="K1261">SUM(($E$1016:$E$1039=$E$1107)* ($A$1016:$A$1039=$A1261) * ($D$1016:$D$1039= $D1261) * (K$1016:K$1039) ) * SUM(EF[CH4] * (EF[SATIM Code]= $D1261) )</f>
        <v>0</v>
      </c>
      <c r="L1261" s="1381">
        <f t="array" ref="L1261">SUM(($E$1016:$E$1039=$E$1107)* ($A$1016:$A$1039=$A1261) * ($D$1016:$D$1039= $D1261) * (L$1016:L$1039) ) * SUM(EF[CH4] * (EF[SATIM Code]= $D1261) )</f>
        <v>0</v>
      </c>
      <c r="M1261" s="1381">
        <f t="array" ref="M1261">SUM(($E$1016:$E$1039=$E$1107)* ($A$1016:$A$1039=$A1261) * ($D$1016:$D$1039= $D1261) * (M$1016:M$1039) ) * SUM(EF[CH4] * (EF[SATIM Code]= $D1261) )</f>
        <v>0</v>
      </c>
      <c r="N1261" s="1381">
        <f t="array" ref="N1261">SUM(($E$1016:$E$1039=$E$1107)* ($A$1016:$A$1039=$A1261) * ($D$1016:$D$1039= $D1261) * (N$1016:N$1039) ) * SUM(EF[CH4] * (EF[SATIM Code]= $D1261) )</f>
        <v>0</v>
      </c>
      <c r="O1261" s="1381">
        <f t="array" ref="O1261">SUM(($E$1016:$E$1039=$E$1107)* ($A$1016:$A$1039=$A1261) * ($D$1016:$D$1039= $D1261) * (O$1016:O$1039) ) * SUM(EF[CH4] * (EF[SATIM Code]= $D1261) )</f>
        <v>0</v>
      </c>
    </row>
    <row r="1262" spans="1:15" s="19" customFormat="1" hidden="1" outlineLevel="1">
      <c r="A1262" s="19" t="str">
        <f t="shared" si="264"/>
        <v>FB</v>
      </c>
      <c r="B1262" s="1400" t="str">
        <f>INDEX(EF[UK Vector],MATCH(D1262,EF[SATIM Code],0))</f>
        <v>V.09</v>
      </c>
      <c r="C1262" s="1401" t="str">
        <f>INDEX(Vectors[Description], MATCH($B1262, Vectors[Code], 0))</f>
        <v>Dry biomass and waste</v>
      </c>
      <c r="D1262" s="1388" t="s">
        <v>889</v>
      </c>
      <c r="E1262" s="1393"/>
      <c r="F1262" s="1381">
        <f t="array" ref="F1262">SUM(($E$1016:$E$1039=$E$1107)* ($A$1016:$A$1039=$A1262) * ($D$1016:$D$1039= $D1262) * (F$1016:F$1039) ) * SUM(EF[CH4] * (EF[SATIM Code]= $D1262) )</f>
        <v>0</v>
      </c>
      <c r="G1262" s="1381">
        <f t="array" ref="G1262">SUM(($E$1016:$E$1039=$E$1107)* ($A$1016:$A$1039=$A1262) * ($D$1016:$D$1039= $D1262) * (G$1016:G$1039) ) * SUM(EF[CH4] * (EF[SATIM Code]= $D1262) )</f>
        <v>0</v>
      </c>
      <c r="H1262" s="1381">
        <f t="array" ref="H1262">SUM(($E$1016:$E$1039=$E$1107)* ($A$1016:$A$1039=$A1262) * ($D$1016:$D$1039= $D1262) * (H$1016:H$1039) ) * SUM(EF[CH4] * (EF[SATIM Code]= $D1262) )</f>
        <v>0</v>
      </c>
      <c r="I1262" s="1381">
        <f t="array" ref="I1262">SUM(($E$1016:$E$1039=$E$1107)* ($A$1016:$A$1039=$A1262) * ($D$1016:$D$1039= $D1262) * (I$1016:I$1039) ) * SUM(EF[CH4] * (EF[SATIM Code]= $D1262) )</f>
        <v>0</v>
      </c>
      <c r="J1262" s="1381">
        <f t="array" ref="J1262">SUM(($E$1016:$E$1039=$E$1107)* ($A$1016:$A$1039=$A1262) * ($D$1016:$D$1039= $D1262) * (J$1016:J$1039) ) * SUM(EF[CH4] * (EF[SATIM Code]= $D1262) )</f>
        <v>0</v>
      </c>
      <c r="K1262" s="1381">
        <f t="array" ref="K1262">SUM(($E$1016:$E$1039=$E$1107)* ($A$1016:$A$1039=$A1262) * ($D$1016:$D$1039= $D1262) * (K$1016:K$1039) ) * SUM(EF[CH4] * (EF[SATIM Code]= $D1262) )</f>
        <v>0</v>
      </c>
      <c r="L1262" s="1381">
        <f t="array" ref="L1262">SUM(($E$1016:$E$1039=$E$1107)* ($A$1016:$A$1039=$A1262) * ($D$1016:$D$1039= $D1262) * (L$1016:L$1039) ) * SUM(EF[CH4] * (EF[SATIM Code]= $D1262) )</f>
        <v>0</v>
      </c>
      <c r="M1262" s="1381">
        <f t="array" ref="M1262">SUM(($E$1016:$E$1039=$E$1107)* ($A$1016:$A$1039=$A1262) * ($D$1016:$D$1039= $D1262) * (M$1016:M$1039) ) * SUM(EF[CH4] * (EF[SATIM Code]= $D1262) )</f>
        <v>0</v>
      </c>
      <c r="N1262" s="1381">
        <f t="array" ref="N1262">SUM(($E$1016:$E$1039=$E$1107)* ($A$1016:$A$1039=$A1262) * ($D$1016:$D$1039= $D1262) * (N$1016:N$1039) ) * SUM(EF[CH4] * (EF[SATIM Code]= $D1262) )</f>
        <v>0</v>
      </c>
      <c r="O1262" s="1381">
        <f t="array" ref="O1262">SUM(($E$1016:$E$1039=$E$1107)* ($A$1016:$A$1039=$A1262) * ($D$1016:$D$1039= $D1262) * (O$1016:O$1039) ) * SUM(EF[CH4] * (EF[SATIM Code]= $D1262) )</f>
        <v>0</v>
      </c>
    </row>
    <row r="1263" spans="1:15" s="19" customFormat="1" hidden="1" outlineLevel="1">
      <c r="A1263" s="19" t="str">
        <f t="shared" si="264"/>
        <v>FB</v>
      </c>
      <c r="B1263" s="1400" t="str">
        <f>INDEX(EF[UK Vector],MATCH(D1263,EF[SATIM Code],0))</f>
        <v>V.16</v>
      </c>
      <c r="C1263" s="1401" t="str">
        <f>INDEX(Vectors[Description], MATCH($B1263, Vectors[Code], 0))</f>
        <v>Other Waste</v>
      </c>
      <c r="D1263" s="1408" t="s">
        <v>890</v>
      </c>
      <c r="E1263" s="1393"/>
      <c r="F1263" s="1381">
        <f t="array" ref="F1263">SUM(($E$1016:$E$1039=$E$1107)* ($A$1016:$A$1039=$A1263) * ($D$1016:$D$1039= $D1263) * (F$1016:F$1039) ) * SUM(EF[CH4] * (EF[SATIM Code]= $D1263) )</f>
        <v>0</v>
      </c>
      <c r="G1263" s="1381">
        <f t="array" ref="G1263">SUM(($E$1016:$E$1039=$E$1107)* ($A$1016:$A$1039=$A1263) * ($D$1016:$D$1039= $D1263) * (G$1016:G$1039) ) * SUM(EF[CH4] * (EF[SATIM Code]= $D1263) )</f>
        <v>0</v>
      </c>
      <c r="H1263" s="1381">
        <f t="array" ref="H1263">SUM(($E$1016:$E$1039=$E$1107)* ($A$1016:$A$1039=$A1263) * ($D$1016:$D$1039= $D1263) * (H$1016:H$1039) ) * SUM(EF[CH4] * (EF[SATIM Code]= $D1263) )</f>
        <v>0</v>
      </c>
      <c r="I1263" s="1381">
        <f t="array" ref="I1263">SUM(($E$1016:$E$1039=$E$1107)* ($A$1016:$A$1039=$A1263) * ($D$1016:$D$1039= $D1263) * (I$1016:I$1039) ) * SUM(EF[CH4] * (EF[SATIM Code]= $D1263) )</f>
        <v>0</v>
      </c>
      <c r="J1263" s="1381">
        <f t="array" ref="J1263">SUM(($E$1016:$E$1039=$E$1107)* ($A$1016:$A$1039=$A1263) * ($D$1016:$D$1039= $D1263) * (J$1016:J$1039) ) * SUM(EF[CH4] * (EF[SATIM Code]= $D1263) )</f>
        <v>0</v>
      </c>
      <c r="K1263" s="1381">
        <f t="array" ref="K1263">SUM(($E$1016:$E$1039=$E$1107)* ($A$1016:$A$1039=$A1263) * ($D$1016:$D$1039= $D1263) * (K$1016:K$1039) ) * SUM(EF[CH4] * (EF[SATIM Code]= $D1263) )</f>
        <v>0</v>
      </c>
      <c r="L1263" s="1381">
        <f t="array" ref="L1263">SUM(($E$1016:$E$1039=$E$1107)* ($A$1016:$A$1039=$A1263) * ($D$1016:$D$1039= $D1263) * (L$1016:L$1039) ) * SUM(EF[CH4] * (EF[SATIM Code]= $D1263) )</f>
        <v>0</v>
      </c>
      <c r="M1263" s="1381">
        <f t="array" ref="M1263">SUM(($E$1016:$E$1039=$E$1107)* ($A$1016:$A$1039=$A1263) * ($D$1016:$D$1039= $D1263) * (M$1016:M$1039) ) * SUM(EF[CH4] * (EF[SATIM Code]= $D1263) )</f>
        <v>0</v>
      </c>
      <c r="N1263" s="1381">
        <f t="array" ref="N1263">SUM(($E$1016:$E$1039=$E$1107)* ($A$1016:$A$1039=$A1263) * ($D$1016:$D$1039= $D1263) * (N$1016:N$1039) ) * SUM(EF[CH4] * (EF[SATIM Code]= $D1263) )</f>
        <v>0</v>
      </c>
      <c r="O1263" s="1381">
        <f t="array" ref="O1263">SUM(($E$1016:$E$1039=$E$1107)* ($A$1016:$A$1039=$A1263) * ($D$1016:$D$1039= $D1263) * (O$1016:O$1039) ) * SUM(EF[CH4] * (EF[SATIM Code]= $D1263) )</f>
        <v>0</v>
      </c>
    </row>
    <row r="1264" spans="1:15" s="19" customFormat="1" hidden="1" outlineLevel="1">
      <c r="B1264" s="1393"/>
      <c r="C1264" s="1407" t="str">
        <f>D26</f>
        <v>Pulp &amp; Paper Products  -323</v>
      </c>
      <c r="D1264" s="1391"/>
      <c r="E1264" s="1393"/>
      <c r="F1264" s="1381">
        <f t="array" ref="F1264">SUM(($E$1016:$E$1039=$E$1107)* ($A$1016:$A$1039=$A1264) * ($D$1016:$D$1039= $D1264) * (F$1016:F$1039) ) * SUM(EF[CH4] * (EF[SATIM Code]= $D1264) )</f>
        <v>0</v>
      </c>
      <c r="G1264" s="1381">
        <f t="array" ref="G1264">SUM(($E$1016:$E$1039=$E$1107)* ($A$1016:$A$1039=$A1264) * ($D$1016:$D$1039= $D1264) * (G$1016:G$1039) ) * SUM(EF[CH4] * (EF[SATIM Code]= $D1264) )</f>
        <v>0</v>
      </c>
      <c r="H1264" s="1381">
        <f t="array" ref="H1264">SUM(($E$1016:$E$1039=$E$1107)* ($A$1016:$A$1039=$A1264) * ($D$1016:$D$1039= $D1264) * (H$1016:H$1039) ) * SUM(EF[CH4] * (EF[SATIM Code]= $D1264) )</f>
        <v>0</v>
      </c>
      <c r="I1264" s="1381">
        <f t="array" ref="I1264">SUM(($E$1016:$E$1039=$E$1107)* ($A$1016:$A$1039=$A1264) * ($D$1016:$D$1039= $D1264) * (I$1016:I$1039) ) * SUM(EF[CH4] * (EF[SATIM Code]= $D1264) )</f>
        <v>0</v>
      </c>
      <c r="J1264" s="1381">
        <f t="array" ref="J1264">SUM(($E$1016:$E$1039=$E$1107)* ($A$1016:$A$1039=$A1264) * ($D$1016:$D$1039= $D1264) * (J$1016:J$1039) ) * SUM(EF[CH4] * (EF[SATIM Code]= $D1264) )</f>
        <v>0</v>
      </c>
      <c r="K1264" s="1381">
        <f t="array" ref="K1264">SUM(($E$1016:$E$1039=$E$1107)* ($A$1016:$A$1039=$A1264) * ($D$1016:$D$1039= $D1264) * (K$1016:K$1039) ) * SUM(EF[CH4] * (EF[SATIM Code]= $D1264) )</f>
        <v>0</v>
      </c>
      <c r="L1264" s="1381">
        <f t="array" ref="L1264">SUM(($E$1016:$E$1039=$E$1107)* ($A$1016:$A$1039=$A1264) * ($D$1016:$D$1039= $D1264) * (L$1016:L$1039) ) * SUM(EF[CH4] * (EF[SATIM Code]= $D1264) )</f>
        <v>0</v>
      </c>
      <c r="M1264" s="1381">
        <f t="array" ref="M1264">SUM(($E$1016:$E$1039=$E$1107)* ($A$1016:$A$1039=$A1264) * ($D$1016:$D$1039= $D1264) * (M$1016:M$1039) ) * SUM(EF[CH4] * (EF[SATIM Code]= $D1264) )</f>
        <v>0</v>
      </c>
      <c r="N1264" s="1381">
        <f t="array" ref="N1264">SUM(($E$1016:$E$1039=$E$1107)* ($A$1016:$A$1039=$A1264) * ($D$1016:$D$1039= $D1264) * (N$1016:N$1039) ) * SUM(EF[CH4] * (EF[SATIM Code]= $D1264) )</f>
        <v>0</v>
      </c>
      <c r="O1264" s="1381">
        <f t="array" ref="O1264">SUM(($E$1016:$E$1039=$E$1107)* ($A$1016:$A$1039=$A1264) * ($D$1016:$D$1039= $D1264) * (O$1016:O$1039) ) * SUM(EF[CH4] * (EF[SATIM Code]= $D1264) )</f>
        <v>0</v>
      </c>
    </row>
    <row r="1265" spans="1:15" s="19" customFormat="1" hidden="1" outlineLevel="1">
      <c r="A1265" s="1438" t="str">
        <f>INDEX($C$20:$C$27,MATCH($C1264,$D$20:$D$27,0))</f>
        <v>PP</v>
      </c>
      <c r="B1265" s="1400" t="str">
        <f>INDEX(EF[UK Vector],MATCH(D1265,EF[SATIM Code],0))</f>
        <v>V.03</v>
      </c>
      <c r="C1265" s="1401" t="str">
        <f>INDEX(Vectors[Description], MATCH($B1265, Vectors[Code], 0))</f>
        <v>Solid hydrocarbons</v>
      </c>
      <c r="D1265" s="1391" t="s">
        <v>882</v>
      </c>
      <c r="E1265" s="1393"/>
      <c r="F1265" s="1381">
        <f t="array" ref="F1265">SUM(($E$1016:$E$1039=$E$1107)* ($A$1016:$A$1039=$A1265) * ($D$1016:$D$1039= $D1265) * (F$1016:F$1039) ) * SUM(EF[CH4] * (EF[SATIM Code]= $D1265) )</f>
        <v>0</v>
      </c>
      <c r="G1265" s="1381">
        <f t="array" ref="G1265">SUM(($E$1016:$E$1039=$E$1107)* ($A$1016:$A$1039=$A1265) * ($D$1016:$D$1039= $D1265) * (G$1016:G$1039) ) * SUM(EF[CH4] * (EF[SATIM Code]= $D1265) )</f>
        <v>0</v>
      </c>
      <c r="H1265" s="1381">
        <f t="array" ref="H1265">SUM(($E$1016:$E$1039=$E$1107)* ($A$1016:$A$1039=$A1265) * ($D$1016:$D$1039= $D1265) * (H$1016:H$1039) ) * SUM(EF[CH4] * (EF[SATIM Code]= $D1265) )</f>
        <v>0</v>
      </c>
      <c r="I1265" s="1381">
        <f t="array" ref="I1265">SUM(($E$1016:$E$1039=$E$1107)* ($A$1016:$A$1039=$A1265) * ($D$1016:$D$1039= $D1265) * (I$1016:I$1039) ) * SUM(EF[CH4] * (EF[SATIM Code]= $D1265) )</f>
        <v>0</v>
      </c>
      <c r="J1265" s="1381">
        <f t="array" ref="J1265">SUM(($E$1016:$E$1039=$E$1107)* ($A$1016:$A$1039=$A1265) * ($D$1016:$D$1039= $D1265) * (J$1016:J$1039) ) * SUM(EF[CH4] * (EF[SATIM Code]= $D1265) )</f>
        <v>0</v>
      </c>
      <c r="K1265" s="1381">
        <f t="array" ref="K1265">SUM(($E$1016:$E$1039=$E$1107)* ($A$1016:$A$1039=$A1265) * ($D$1016:$D$1039= $D1265) * (K$1016:K$1039) ) * SUM(EF[CH4] * (EF[SATIM Code]= $D1265) )</f>
        <v>0</v>
      </c>
      <c r="L1265" s="1381">
        <f t="array" ref="L1265">SUM(($E$1016:$E$1039=$E$1107)* ($A$1016:$A$1039=$A1265) * ($D$1016:$D$1039= $D1265) * (L$1016:L$1039) ) * SUM(EF[CH4] * (EF[SATIM Code]= $D1265) )</f>
        <v>0</v>
      </c>
      <c r="M1265" s="1381">
        <f t="array" ref="M1265">SUM(($E$1016:$E$1039=$E$1107)* ($A$1016:$A$1039=$A1265) * ($D$1016:$D$1039= $D1265) * (M$1016:M$1039) ) * SUM(EF[CH4] * (EF[SATIM Code]= $D1265) )</f>
        <v>0</v>
      </c>
      <c r="N1265" s="1381">
        <f t="array" ref="N1265">SUM(($E$1016:$E$1039=$E$1107)* ($A$1016:$A$1039=$A1265) * ($D$1016:$D$1039= $D1265) * (N$1016:N$1039) ) * SUM(EF[CH4] * (EF[SATIM Code]= $D1265) )</f>
        <v>0</v>
      </c>
      <c r="O1265" s="1381">
        <f t="array" ref="O1265">SUM(($E$1016:$E$1039=$E$1107)* ($A$1016:$A$1039=$A1265) * ($D$1016:$D$1039= $D1265) * (O$1016:O$1039) ) * SUM(EF[CH4] * (EF[SATIM Code]= $D1265) )</f>
        <v>0</v>
      </c>
    </row>
    <row r="1266" spans="1:15" s="19" customFormat="1" hidden="1" outlineLevel="1">
      <c r="A1266" s="19" t="str">
        <f t="shared" ref="A1266:A1273" si="265">A1265</f>
        <v>PP</v>
      </c>
      <c r="B1266" s="1400" t="str">
        <f>INDEX(EF[UK Vector],MATCH(D1266,EF[SATIM Code],0))</f>
        <v>V.03</v>
      </c>
      <c r="C1266" s="1401" t="str">
        <f>INDEX(Vectors[Description], MATCH($B1266, Vectors[Code], 0))</f>
        <v>Solid hydrocarbons</v>
      </c>
      <c r="D1266" s="1391" t="s">
        <v>883</v>
      </c>
      <c r="E1266" s="1393"/>
      <c r="F1266" s="1381">
        <f t="array" ref="F1266">SUM(($E$1016:$E$1039=$E$1107)* ($A$1016:$A$1039=$A1266) * ($D$1016:$D$1039= $D1266) * (F$1016:F$1039) ) * SUM(EF[CH4] * (EF[SATIM Code]= $D1266) )</f>
        <v>0</v>
      </c>
      <c r="G1266" s="1381">
        <f t="array" ref="G1266">SUM(($E$1016:$E$1039=$E$1107)* ($A$1016:$A$1039=$A1266) * ($D$1016:$D$1039= $D1266) * (G$1016:G$1039) ) * SUM(EF[CH4] * (EF[SATIM Code]= $D1266) )</f>
        <v>0</v>
      </c>
      <c r="H1266" s="1381">
        <f t="array" ref="H1266">SUM(($E$1016:$E$1039=$E$1107)* ($A$1016:$A$1039=$A1266) * ($D$1016:$D$1039= $D1266) * (H$1016:H$1039) ) * SUM(EF[CH4] * (EF[SATIM Code]= $D1266) )</f>
        <v>0</v>
      </c>
      <c r="I1266" s="1381">
        <f t="array" ref="I1266">SUM(($E$1016:$E$1039=$E$1107)* ($A$1016:$A$1039=$A1266) * ($D$1016:$D$1039= $D1266) * (I$1016:I$1039) ) * SUM(EF[CH4] * (EF[SATIM Code]= $D1266) )</f>
        <v>0</v>
      </c>
      <c r="J1266" s="1381">
        <f t="array" ref="J1266">SUM(($E$1016:$E$1039=$E$1107)* ($A$1016:$A$1039=$A1266) * ($D$1016:$D$1039= $D1266) * (J$1016:J$1039) ) * SUM(EF[CH4] * (EF[SATIM Code]= $D1266) )</f>
        <v>0</v>
      </c>
      <c r="K1266" s="1381">
        <f t="array" ref="K1266">SUM(($E$1016:$E$1039=$E$1107)* ($A$1016:$A$1039=$A1266) * ($D$1016:$D$1039= $D1266) * (K$1016:K$1039) ) * SUM(EF[CH4] * (EF[SATIM Code]= $D1266) )</f>
        <v>0</v>
      </c>
      <c r="L1266" s="1381">
        <f t="array" ref="L1266">SUM(($E$1016:$E$1039=$E$1107)* ($A$1016:$A$1039=$A1266) * ($D$1016:$D$1039= $D1266) * (L$1016:L$1039) ) * SUM(EF[CH4] * (EF[SATIM Code]= $D1266) )</f>
        <v>0</v>
      </c>
      <c r="M1266" s="1381">
        <f t="array" ref="M1266">SUM(($E$1016:$E$1039=$E$1107)* ($A$1016:$A$1039=$A1266) * ($D$1016:$D$1039= $D1266) * (M$1016:M$1039) ) * SUM(EF[CH4] * (EF[SATIM Code]= $D1266) )</f>
        <v>0</v>
      </c>
      <c r="N1266" s="1381">
        <f t="array" ref="N1266">SUM(($E$1016:$E$1039=$E$1107)* ($A$1016:$A$1039=$A1266) * ($D$1016:$D$1039= $D1266) * (N$1016:N$1039) ) * SUM(EF[CH4] * (EF[SATIM Code]= $D1266) )</f>
        <v>0</v>
      </c>
      <c r="O1266" s="1381">
        <f t="array" ref="O1266">SUM(($E$1016:$E$1039=$E$1107)* ($A$1016:$A$1039=$A1266) * ($D$1016:$D$1039= $D1266) * (O$1016:O$1039) ) * SUM(EF[CH4] * (EF[SATIM Code]= $D1266) )</f>
        <v>0</v>
      </c>
    </row>
    <row r="1267" spans="1:15" s="19" customFormat="1" hidden="1" outlineLevel="1">
      <c r="A1267" s="19" t="str">
        <f t="shared" si="265"/>
        <v>PP</v>
      </c>
      <c r="B1267" s="1400" t="str">
        <f>INDEX(EF[UK Vector],MATCH(D1267,EF[SATIM Code],0))</f>
        <v>V.05</v>
      </c>
      <c r="C1267" s="1401" t="str">
        <f>INDEX(Vectors[Description], MATCH($B1267, Vectors[Code], 0))</f>
        <v>Gaseous hydrocarbons</v>
      </c>
      <c r="D1267" s="1406" t="s">
        <v>869</v>
      </c>
      <c r="E1267" s="1393"/>
      <c r="F1267" s="1381">
        <f t="array" ref="F1267">SUM(($E$1016:$E$1039=$E$1107)* ($A$1016:$A$1039=$A1267) * ($D$1016:$D$1039= $D1267) * (F$1016:F$1039) ) * SUM(EF[CH4] * (EF[SATIM Code]= $D1267) )</f>
        <v>0</v>
      </c>
      <c r="G1267" s="1381">
        <f t="array" ref="G1267">SUM(($E$1016:$E$1039=$E$1107)* ($A$1016:$A$1039=$A1267) * ($D$1016:$D$1039= $D1267) * (G$1016:G$1039) ) * SUM(EF[CH4] * (EF[SATIM Code]= $D1267) )</f>
        <v>0</v>
      </c>
      <c r="H1267" s="1381">
        <f t="array" ref="H1267">SUM(($E$1016:$E$1039=$E$1107)* ($A$1016:$A$1039=$A1267) * ($D$1016:$D$1039= $D1267) * (H$1016:H$1039) ) * SUM(EF[CH4] * (EF[SATIM Code]= $D1267) )</f>
        <v>0</v>
      </c>
      <c r="I1267" s="1381">
        <f t="array" ref="I1267">SUM(($E$1016:$E$1039=$E$1107)* ($A$1016:$A$1039=$A1267) * ($D$1016:$D$1039= $D1267) * (I$1016:I$1039) ) * SUM(EF[CH4] * (EF[SATIM Code]= $D1267) )</f>
        <v>0</v>
      </c>
      <c r="J1267" s="1381">
        <f t="array" ref="J1267">SUM(($E$1016:$E$1039=$E$1107)* ($A$1016:$A$1039=$A1267) * ($D$1016:$D$1039= $D1267) * (J$1016:J$1039) ) * SUM(EF[CH4] * (EF[SATIM Code]= $D1267) )</f>
        <v>0</v>
      </c>
      <c r="K1267" s="1381">
        <f t="array" ref="K1267">SUM(($E$1016:$E$1039=$E$1107)* ($A$1016:$A$1039=$A1267) * ($D$1016:$D$1039= $D1267) * (K$1016:K$1039) ) * SUM(EF[CH4] * (EF[SATIM Code]= $D1267) )</f>
        <v>0</v>
      </c>
      <c r="L1267" s="1381">
        <f t="array" ref="L1267">SUM(($E$1016:$E$1039=$E$1107)* ($A$1016:$A$1039=$A1267) * ($D$1016:$D$1039= $D1267) * (L$1016:L$1039) ) * SUM(EF[CH4] * (EF[SATIM Code]= $D1267) )</f>
        <v>0</v>
      </c>
      <c r="M1267" s="1381">
        <f t="array" ref="M1267">SUM(($E$1016:$E$1039=$E$1107)* ($A$1016:$A$1039=$A1267) * ($D$1016:$D$1039= $D1267) * (M$1016:M$1039) ) * SUM(EF[CH4] * (EF[SATIM Code]= $D1267) )</f>
        <v>0</v>
      </c>
      <c r="N1267" s="1381">
        <f t="array" ref="N1267">SUM(($E$1016:$E$1039=$E$1107)* ($A$1016:$A$1039=$A1267) * ($D$1016:$D$1039= $D1267) * (N$1016:N$1039) ) * SUM(EF[CH4] * (EF[SATIM Code]= $D1267) )</f>
        <v>0</v>
      </c>
      <c r="O1267" s="1381">
        <f t="array" ref="O1267">SUM(($E$1016:$E$1039=$E$1107)* ($A$1016:$A$1039=$A1267) * ($D$1016:$D$1039= $D1267) * (O$1016:O$1039) ) * SUM(EF[CH4] * (EF[SATIM Code]= $D1267) )</f>
        <v>0</v>
      </c>
    </row>
    <row r="1268" spans="1:15" s="19" customFormat="1" hidden="1" outlineLevel="1">
      <c r="A1268" s="19" t="str">
        <f t="shared" si="265"/>
        <v>PP</v>
      </c>
      <c r="B1268" s="1400" t="str">
        <f>INDEX(EF[UK Vector],MATCH(D1268,EF[SATIM Code],0))</f>
        <v>V.04</v>
      </c>
      <c r="C1268" s="1401" t="str">
        <f>INDEX(Vectors[Description], MATCH($B1268, Vectors[Code], 0))</f>
        <v>Liquid hydrocarbons</v>
      </c>
      <c r="D1268" s="1406" t="s">
        <v>885</v>
      </c>
      <c r="E1268" s="1393"/>
      <c r="F1268" s="1381">
        <f t="array" ref="F1268">SUM(($E$1016:$E$1039=$E$1107)* ($A$1016:$A$1039=$A1268) * ($D$1016:$D$1039= $D1268) * (F$1016:F$1039) ) * SUM(EF[CH4] * (EF[SATIM Code]= $D1268) )</f>
        <v>0</v>
      </c>
      <c r="G1268" s="1381">
        <f t="array" ref="G1268">SUM(($E$1016:$E$1039=$E$1107)* ($A$1016:$A$1039=$A1268) * ($D$1016:$D$1039= $D1268) * (G$1016:G$1039) ) * SUM(EF[CH4] * (EF[SATIM Code]= $D1268) )</f>
        <v>0</v>
      </c>
      <c r="H1268" s="1381">
        <f t="array" ref="H1268">SUM(($E$1016:$E$1039=$E$1107)* ($A$1016:$A$1039=$A1268) * ($D$1016:$D$1039= $D1268) * (H$1016:H$1039) ) * SUM(EF[CH4] * (EF[SATIM Code]= $D1268) )</f>
        <v>0</v>
      </c>
      <c r="I1268" s="1381">
        <f t="array" ref="I1268">SUM(($E$1016:$E$1039=$E$1107)* ($A$1016:$A$1039=$A1268) * ($D$1016:$D$1039= $D1268) * (I$1016:I$1039) ) * SUM(EF[CH4] * (EF[SATIM Code]= $D1268) )</f>
        <v>0</v>
      </c>
      <c r="J1268" s="1381">
        <f t="array" ref="J1268">SUM(($E$1016:$E$1039=$E$1107)* ($A$1016:$A$1039=$A1268) * ($D$1016:$D$1039= $D1268) * (J$1016:J$1039) ) * SUM(EF[CH4] * (EF[SATIM Code]= $D1268) )</f>
        <v>0</v>
      </c>
      <c r="K1268" s="1381">
        <f t="array" ref="K1268">SUM(($E$1016:$E$1039=$E$1107)* ($A$1016:$A$1039=$A1268) * ($D$1016:$D$1039= $D1268) * (K$1016:K$1039) ) * SUM(EF[CH4] * (EF[SATIM Code]= $D1268) )</f>
        <v>0</v>
      </c>
      <c r="L1268" s="1381">
        <f t="array" ref="L1268">SUM(($E$1016:$E$1039=$E$1107)* ($A$1016:$A$1039=$A1268) * ($D$1016:$D$1039= $D1268) * (L$1016:L$1039) ) * SUM(EF[CH4] * (EF[SATIM Code]= $D1268) )</f>
        <v>0</v>
      </c>
      <c r="M1268" s="1381">
        <f t="array" ref="M1268">SUM(($E$1016:$E$1039=$E$1107)* ($A$1016:$A$1039=$A1268) * ($D$1016:$D$1039= $D1268) * (M$1016:M$1039) ) * SUM(EF[CH4] * (EF[SATIM Code]= $D1268) )</f>
        <v>0</v>
      </c>
      <c r="N1268" s="1381">
        <f t="array" ref="N1268">SUM(($E$1016:$E$1039=$E$1107)* ($A$1016:$A$1039=$A1268) * ($D$1016:$D$1039= $D1268) * (N$1016:N$1039) ) * SUM(EF[CH4] * (EF[SATIM Code]= $D1268) )</f>
        <v>0</v>
      </c>
      <c r="O1268" s="1381">
        <f t="array" ref="O1268">SUM(($E$1016:$E$1039=$E$1107)* ($A$1016:$A$1039=$A1268) * ($D$1016:$D$1039= $D1268) * (O$1016:O$1039) ) * SUM(EF[CH4] * (EF[SATIM Code]= $D1268) )</f>
        <v>0</v>
      </c>
    </row>
    <row r="1269" spans="1:15" s="19" customFormat="1" hidden="1" outlineLevel="1">
      <c r="A1269" s="19" t="str">
        <f t="shared" si="265"/>
        <v>PP</v>
      </c>
      <c r="B1269" s="1400" t="str">
        <f>INDEX(EF[UK Vector],MATCH(D1269,EF[SATIM Code],0))</f>
        <v>V.04</v>
      </c>
      <c r="C1269" s="1401" t="str">
        <f>INDEX(Vectors[Description], MATCH($B1269, Vectors[Code], 0))</f>
        <v>Liquid hydrocarbons</v>
      </c>
      <c r="D1269" s="1391" t="s">
        <v>886</v>
      </c>
      <c r="E1269" s="1393"/>
      <c r="F1269" s="1381">
        <f t="array" ref="F1269">SUM(($E$1016:$E$1039=$E$1107)* ($A$1016:$A$1039=$A1269) * ($D$1016:$D$1039= $D1269) * (F$1016:F$1039) ) * SUM(EF[CH4] * (EF[SATIM Code]= $D1269) )</f>
        <v>0</v>
      </c>
      <c r="G1269" s="1381">
        <f t="array" ref="G1269">SUM(($E$1016:$E$1039=$E$1107)* ($A$1016:$A$1039=$A1269) * ($D$1016:$D$1039= $D1269) * (G$1016:G$1039) ) * SUM(EF[CH4] * (EF[SATIM Code]= $D1269) )</f>
        <v>0</v>
      </c>
      <c r="H1269" s="1381">
        <f t="array" ref="H1269">SUM(($E$1016:$E$1039=$E$1107)* ($A$1016:$A$1039=$A1269) * ($D$1016:$D$1039= $D1269) * (H$1016:H$1039) ) * SUM(EF[CH4] * (EF[SATIM Code]= $D1269) )</f>
        <v>0</v>
      </c>
      <c r="I1269" s="1381">
        <f t="array" ref="I1269">SUM(($E$1016:$E$1039=$E$1107)* ($A$1016:$A$1039=$A1269) * ($D$1016:$D$1039= $D1269) * (I$1016:I$1039) ) * SUM(EF[CH4] * (EF[SATIM Code]= $D1269) )</f>
        <v>0</v>
      </c>
      <c r="J1269" s="1381">
        <f t="array" ref="J1269">SUM(($E$1016:$E$1039=$E$1107)* ($A$1016:$A$1039=$A1269) * ($D$1016:$D$1039= $D1269) * (J$1016:J$1039) ) * SUM(EF[CH4] * (EF[SATIM Code]= $D1269) )</f>
        <v>0</v>
      </c>
      <c r="K1269" s="1381">
        <f t="array" ref="K1269">SUM(($E$1016:$E$1039=$E$1107)* ($A$1016:$A$1039=$A1269) * ($D$1016:$D$1039= $D1269) * (K$1016:K$1039) ) * SUM(EF[CH4] * (EF[SATIM Code]= $D1269) )</f>
        <v>0</v>
      </c>
      <c r="L1269" s="1381">
        <f t="array" ref="L1269">SUM(($E$1016:$E$1039=$E$1107)* ($A$1016:$A$1039=$A1269) * ($D$1016:$D$1039= $D1269) * (L$1016:L$1039) ) * SUM(EF[CH4] * (EF[SATIM Code]= $D1269) )</f>
        <v>0</v>
      </c>
      <c r="M1269" s="1381">
        <f t="array" ref="M1269">SUM(($E$1016:$E$1039=$E$1107)* ($A$1016:$A$1039=$A1269) * ($D$1016:$D$1039= $D1269) * (M$1016:M$1039) ) * SUM(EF[CH4] * (EF[SATIM Code]= $D1269) )</f>
        <v>0</v>
      </c>
      <c r="N1269" s="1381">
        <f t="array" ref="N1269">SUM(($E$1016:$E$1039=$E$1107)* ($A$1016:$A$1039=$A1269) * ($D$1016:$D$1039= $D1269) * (N$1016:N$1039) ) * SUM(EF[CH4] * (EF[SATIM Code]= $D1269) )</f>
        <v>0</v>
      </c>
      <c r="O1269" s="1381">
        <f t="array" ref="O1269">SUM(($E$1016:$E$1039=$E$1107)* ($A$1016:$A$1039=$A1269) * ($D$1016:$D$1039= $D1269) * (O$1016:O$1039) ) * SUM(EF[CH4] * (EF[SATIM Code]= $D1269) )</f>
        <v>0</v>
      </c>
    </row>
    <row r="1270" spans="1:15" s="19" customFormat="1" hidden="1" outlineLevel="1">
      <c r="A1270" s="19" t="str">
        <f t="shared" si="265"/>
        <v>PP</v>
      </c>
      <c r="B1270" s="1400" t="str">
        <f>INDEX(EF[UK Vector],MATCH(D1270,EF[SATIM Code],0))</f>
        <v>V.04</v>
      </c>
      <c r="C1270" s="1401" t="str">
        <f>INDEX(Vectors[Description], MATCH($B1270, Vectors[Code], 0))</f>
        <v>Liquid hydrocarbons</v>
      </c>
      <c r="D1270" s="1406" t="s">
        <v>887</v>
      </c>
      <c r="E1270" s="1393"/>
      <c r="F1270" s="1381">
        <f t="array" ref="F1270">SUM(($E$1016:$E$1039=$E$1107)* ($A$1016:$A$1039=$A1270) * ($D$1016:$D$1039= $D1270) * (F$1016:F$1039) ) * SUM(EF[CH4] * (EF[SATIM Code]= $D1270) )</f>
        <v>0</v>
      </c>
      <c r="G1270" s="1381">
        <f t="array" ref="G1270">SUM(($E$1016:$E$1039=$E$1107)* ($A$1016:$A$1039=$A1270) * ($D$1016:$D$1039= $D1270) * (G$1016:G$1039) ) * SUM(EF[CH4] * (EF[SATIM Code]= $D1270) )</f>
        <v>0</v>
      </c>
      <c r="H1270" s="1381">
        <f t="array" ref="H1270">SUM(($E$1016:$E$1039=$E$1107)* ($A$1016:$A$1039=$A1270) * ($D$1016:$D$1039= $D1270) * (H$1016:H$1039) ) * SUM(EF[CH4] * (EF[SATIM Code]= $D1270) )</f>
        <v>0</v>
      </c>
      <c r="I1270" s="1381">
        <f t="array" ref="I1270">SUM(($E$1016:$E$1039=$E$1107)* ($A$1016:$A$1039=$A1270) * ($D$1016:$D$1039= $D1270) * (I$1016:I$1039) ) * SUM(EF[CH4] * (EF[SATIM Code]= $D1270) )</f>
        <v>0</v>
      </c>
      <c r="J1270" s="1381">
        <f t="array" ref="J1270">SUM(($E$1016:$E$1039=$E$1107)* ($A$1016:$A$1039=$A1270) * ($D$1016:$D$1039= $D1270) * (J$1016:J$1039) ) * SUM(EF[CH4] * (EF[SATIM Code]= $D1270) )</f>
        <v>0</v>
      </c>
      <c r="K1270" s="1381">
        <f t="array" ref="K1270">SUM(($E$1016:$E$1039=$E$1107)* ($A$1016:$A$1039=$A1270) * ($D$1016:$D$1039= $D1270) * (K$1016:K$1039) ) * SUM(EF[CH4] * (EF[SATIM Code]= $D1270) )</f>
        <v>0</v>
      </c>
      <c r="L1270" s="1381">
        <f t="array" ref="L1270">SUM(($E$1016:$E$1039=$E$1107)* ($A$1016:$A$1039=$A1270) * ($D$1016:$D$1039= $D1270) * (L$1016:L$1039) ) * SUM(EF[CH4] * (EF[SATIM Code]= $D1270) )</f>
        <v>0</v>
      </c>
      <c r="M1270" s="1381">
        <f t="array" ref="M1270">SUM(($E$1016:$E$1039=$E$1107)* ($A$1016:$A$1039=$A1270) * ($D$1016:$D$1039= $D1270) * (M$1016:M$1039) ) * SUM(EF[CH4] * (EF[SATIM Code]= $D1270) )</f>
        <v>0</v>
      </c>
      <c r="N1270" s="1381">
        <f t="array" ref="N1270">SUM(($E$1016:$E$1039=$E$1107)* ($A$1016:$A$1039=$A1270) * ($D$1016:$D$1039= $D1270) * (N$1016:N$1039) ) * SUM(EF[CH4] * (EF[SATIM Code]= $D1270) )</f>
        <v>0</v>
      </c>
      <c r="O1270" s="1381">
        <f t="array" ref="O1270">SUM(($E$1016:$E$1039=$E$1107)* ($A$1016:$A$1039=$A1270) * ($D$1016:$D$1039= $D1270) * (O$1016:O$1039) ) * SUM(EF[CH4] * (EF[SATIM Code]= $D1270) )</f>
        <v>0</v>
      </c>
    </row>
    <row r="1271" spans="1:15" s="19" customFormat="1" hidden="1" outlineLevel="1">
      <c r="A1271" s="19" t="str">
        <f t="shared" si="265"/>
        <v>PP</v>
      </c>
      <c r="B1271" s="1400" t="str">
        <f>INDEX(EF[UK Vector],MATCH(D1271,EF[SATIM Code],0))</f>
        <v>V.09</v>
      </c>
      <c r="C1271" s="1401" t="str">
        <f>INDEX(Vectors[Description], MATCH($B1271, Vectors[Code], 0))</f>
        <v>Dry biomass and waste</v>
      </c>
      <c r="D1271" s="1406" t="s">
        <v>888</v>
      </c>
      <c r="E1271" s="1393"/>
      <c r="F1271" s="1381">
        <f t="array" ref="F1271">SUM(($E$1016:$E$1039=$E$1107)* ($A$1016:$A$1039=$A1271) * ($D$1016:$D$1039= $D1271) * (F$1016:F$1039) ) * SUM(EF[CH4] * (EF[SATIM Code]= $D1271) )</f>
        <v>0</v>
      </c>
      <c r="G1271" s="1381">
        <f t="array" ref="G1271">SUM(($E$1016:$E$1039=$E$1107)* ($A$1016:$A$1039=$A1271) * ($D$1016:$D$1039= $D1271) * (G$1016:G$1039) ) * SUM(EF[CH4] * (EF[SATIM Code]= $D1271) )</f>
        <v>0</v>
      </c>
      <c r="H1271" s="1381">
        <f t="array" ref="H1271">SUM(($E$1016:$E$1039=$E$1107)* ($A$1016:$A$1039=$A1271) * ($D$1016:$D$1039= $D1271) * (H$1016:H$1039) ) * SUM(EF[CH4] * (EF[SATIM Code]= $D1271) )</f>
        <v>0</v>
      </c>
      <c r="I1271" s="1381">
        <f t="array" ref="I1271">SUM(($E$1016:$E$1039=$E$1107)* ($A$1016:$A$1039=$A1271) * ($D$1016:$D$1039= $D1271) * (I$1016:I$1039) ) * SUM(EF[CH4] * (EF[SATIM Code]= $D1271) )</f>
        <v>0</v>
      </c>
      <c r="J1271" s="1381">
        <f t="array" ref="J1271">SUM(($E$1016:$E$1039=$E$1107)* ($A$1016:$A$1039=$A1271) * ($D$1016:$D$1039= $D1271) * (J$1016:J$1039) ) * SUM(EF[CH4] * (EF[SATIM Code]= $D1271) )</f>
        <v>0</v>
      </c>
      <c r="K1271" s="1381">
        <f t="array" ref="K1271">SUM(($E$1016:$E$1039=$E$1107)* ($A$1016:$A$1039=$A1271) * ($D$1016:$D$1039= $D1271) * (K$1016:K$1039) ) * SUM(EF[CH4] * (EF[SATIM Code]= $D1271) )</f>
        <v>0</v>
      </c>
      <c r="L1271" s="1381">
        <f t="array" ref="L1271">SUM(($E$1016:$E$1039=$E$1107)* ($A$1016:$A$1039=$A1271) * ($D$1016:$D$1039= $D1271) * (L$1016:L$1039) ) * SUM(EF[CH4] * (EF[SATIM Code]= $D1271) )</f>
        <v>0</v>
      </c>
      <c r="M1271" s="1381">
        <f t="array" ref="M1271">SUM(($E$1016:$E$1039=$E$1107)* ($A$1016:$A$1039=$A1271) * ($D$1016:$D$1039= $D1271) * (M$1016:M$1039) ) * SUM(EF[CH4] * (EF[SATIM Code]= $D1271) )</f>
        <v>0</v>
      </c>
      <c r="N1271" s="1381">
        <f t="array" ref="N1271">SUM(($E$1016:$E$1039=$E$1107)* ($A$1016:$A$1039=$A1271) * ($D$1016:$D$1039= $D1271) * (N$1016:N$1039) ) * SUM(EF[CH4] * (EF[SATIM Code]= $D1271) )</f>
        <v>0</v>
      </c>
      <c r="O1271" s="1381">
        <f t="array" ref="O1271">SUM(($E$1016:$E$1039=$E$1107)* ($A$1016:$A$1039=$A1271) * ($D$1016:$D$1039= $D1271) * (O$1016:O$1039) ) * SUM(EF[CH4] * (EF[SATIM Code]= $D1271) )</f>
        <v>0</v>
      </c>
    </row>
    <row r="1272" spans="1:15" s="19" customFormat="1" hidden="1" outlineLevel="1">
      <c r="A1272" s="19" t="str">
        <f t="shared" si="265"/>
        <v>PP</v>
      </c>
      <c r="B1272" s="1400" t="str">
        <f>INDEX(EF[UK Vector],MATCH(D1272,EF[SATIM Code],0))</f>
        <v>V.09</v>
      </c>
      <c r="C1272" s="1401" t="str">
        <f>INDEX(Vectors[Description], MATCH($B1272, Vectors[Code], 0))</f>
        <v>Dry biomass and waste</v>
      </c>
      <c r="D1272" s="1388" t="s">
        <v>889</v>
      </c>
      <c r="E1272" s="1393"/>
      <c r="F1272" s="1381">
        <f t="array" ref="F1272">SUM(($E$1016:$E$1039=$E$1107)* ($A$1016:$A$1039=$A1272) * ($D$1016:$D$1039= $D1272) * (F$1016:F$1039) ) * SUM(EF[CH4] * (EF[SATIM Code]= $D1272) )</f>
        <v>0</v>
      </c>
      <c r="G1272" s="1381">
        <f t="array" ref="G1272">SUM(($E$1016:$E$1039=$E$1107)* ($A$1016:$A$1039=$A1272) * ($D$1016:$D$1039= $D1272) * (G$1016:G$1039) ) * SUM(EF[CH4] * (EF[SATIM Code]= $D1272) )</f>
        <v>0</v>
      </c>
      <c r="H1272" s="1381">
        <f t="array" ref="H1272">SUM(($E$1016:$E$1039=$E$1107)* ($A$1016:$A$1039=$A1272) * ($D$1016:$D$1039= $D1272) * (H$1016:H$1039) ) * SUM(EF[CH4] * (EF[SATIM Code]= $D1272) )</f>
        <v>0</v>
      </c>
      <c r="I1272" s="1381">
        <f t="array" ref="I1272">SUM(($E$1016:$E$1039=$E$1107)* ($A$1016:$A$1039=$A1272) * ($D$1016:$D$1039= $D1272) * (I$1016:I$1039) ) * SUM(EF[CH4] * (EF[SATIM Code]= $D1272) )</f>
        <v>0</v>
      </c>
      <c r="J1272" s="1381">
        <f t="array" ref="J1272">SUM(($E$1016:$E$1039=$E$1107)* ($A$1016:$A$1039=$A1272) * ($D$1016:$D$1039= $D1272) * (J$1016:J$1039) ) * SUM(EF[CH4] * (EF[SATIM Code]= $D1272) )</f>
        <v>0</v>
      </c>
      <c r="K1272" s="1381">
        <f t="array" ref="K1272">SUM(($E$1016:$E$1039=$E$1107)* ($A$1016:$A$1039=$A1272) * ($D$1016:$D$1039= $D1272) * (K$1016:K$1039) ) * SUM(EF[CH4] * (EF[SATIM Code]= $D1272) )</f>
        <v>0</v>
      </c>
      <c r="L1272" s="1381">
        <f t="array" ref="L1272">SUM(($E$1016:$E$1039=$E$1107)* ($A$1016:$A$1039=$A1272) * ($D$1016:$D$1039= $D1272) * (L$1016:L$1039) ) * SUM(EF[CH4] * (EF[SATIM Code]= $D1272) )</f>
        <v>0</v>
      </c>
      <c r="M1272" s="1381">
        <f t="array" ref="M1272">SUM(($E$1016:$E$1039=$E$1107)* ($A$1016:$A$1039=$A1272) * ($D$1016:$D$1039= $D1272) * (M$1016:M$1039) ) * SUM(EF[CH4] * (EF[SATIM Code]= $D1272) )</f>
        <v>0</v>
      </c>
      <c r="N1272" s="1381">
        <f t="array" ref="N1272">SUM(($E$1016:$E$1039=$E$1107)* ($A$1016:$A$1039=$A1272) * ($D$1016:$D$1039= $D1272) * (N$1016:N$1039) ) * SUM(EF[CH4] * (EF[SATIM Code]= $D1272) )</f>
        <v>0</v>
      </c>
      <c r="O1272" s="1381">
        <f t="array" ref="O1272">SUM(($E$1016:$E$1039=$E$1107)* ($A$1016:$A$1039=$A1272) * ($D$1016:$D$1039= $D1272) * (O$1016:O$1039) ) * SUM(EF[CH4] * (EF[SATIM Code]= $D1272) )</f>
        <v>0</v>
      </c>
    </row>
    <row r="1273" spans="1:15" s="19" customFormat="1" hidden="1" outlineLevel="1">
      <c r="A1273" s="19" t="str">
        <f t="shared" si="265"/>
        <v>PP</v>
      </c>
      <c r="B1273" s="1400" t="str">
        <f>INDEX(EF[UK Vector],MATCH(D1273,EF[SATIM Code],0))</f>
        <v>V.16</v>
      </c>
      <c r="C1273" s="1401" t="str">
        <f>INDEX(Vectors[Description], MATCH($B1273, Vectors[Code], 0))</f>
        <v>Other Waste</v>
      </c>
      <c r="D1273" s="1408" t="s">
        <v>890</v>
      </c>
      <c r="E1273" s="1393"/>
      <c r="F1273" s="1381">
        <f t="array" ref="F1273">SUM(($E$1016:$E$1039=$E$1107)* ($A$1016:$A$1039=$A1273) * ($D$1016:$D$1039= $D1273) * (F$1016:F$1039) ) * SUM(EF[CH4] * (EF[SATIM Code]= $D1273) )</f>
        <v>0</v>
      </c>
      <c r="G1273" s="1381">
        <f t="array" ref="G1273">SUM(($E$1016:$E$1039=$E$1107)* ($A$1016:$A$1039=$A1273) * ($D$1016:$D$1039= $D1273) * (G$1016:G$1039) ) * SUM(EF[CH4] * (EF[SATIM Code]= $D1273) )</f>
        <v>0</v>
      </c>
      <c r="H1273" s="1381">
        <f t="array" ref="H1273">SUM(($E$1016:$E$1039=$E$1107)* ($A$1016:$A$1039=$A1273) * ($D$1016:$D$1039= $D1273) * (H$1016:H$1039) ) * SUM(EF[CH4] * (EF[SATIM Code]= $D1273) )</f>
        <v>0</v>
      </c>
      <c r="I1273" s="1381">
        <f t="array" ref="I1273">SUM(($E$1016:$E$1039=$E$1107)* ($A$1016:$A$1039=$A1273) * ($D$1016:$D$1039= $D1273) * (I$1016:I$1039) ) * SUM(EF[CH4] * (EF[SATIM Code]= $D1273) )</f>
        <v>0</v>
      </c>
      <c r="J1273" s="1381">
        <f t="array" ref="J1273">SUM(($E$1016:$E$1039=$E$1107)* ($A$1016:$A$1039=$A1273) * ($D$1016:$D$1039= $D1273) * (J$1016:J$1039) ) * SUM(EF[CH4] * (EF[SATIM Code]= $D1273) )</f>
        <v>0</v>
      </c>
      <c r="K1273" s="1381">
        <f t="array" ref="K1273">SUM(($E$1016:$E$1039=$E$1107)* ($A$1016:$A$1039=$A1273) * ($D$1016:$D$1039= $D1273) * (K$1016:K$1039) ) * SUM(EF[CH4] * (EF[SATIM Code]= $D1273) )</f>
        <v>0</v>
      </c>
      <c r="L1273" s="1381">
        <f t="array" ref="L1273">SUM(($E$1016:$E$1039=$E$1107)* ($A$1016:$A$1039=$A1273) * ($D$1016:$D$1039= $D1273) * (L$1016:L$1039) ) * SUM(EF[CH4] * (EF[SATIM Code]= $D1273) )</f>
        <v>0</v>
      </c>
      <c r="M1273" s="1381">
        <f t="array" ref="M1273">SUM(($E$1016:$E$1039=$E$1107)* ($A$1016:$A$1039=$A1273) * ($D$1016:$D$1039= $D1273) * (M$1016:M$1039) ) * SUM(EF[CH4] * (EF[SATIM Code]= $D1273) )</f>
        <v>0</v>
      </c>
      <c r="N1273" s="1381">
        <f t="array" ref="N1273">SUM(($E$1016:$E$1039=$E$1107)* ($A$1016:$A$1039=$A1273) * ($D$1016:$D$1039= $D1273) * (N$1016:N$1039) ) * SUM(EF[CH4] * (EF[SATIM Code]= $D1273) )</f>
        <v>0</v>
      </c>
      <c r="O1273" s="1381">
        <f t="array" ref="O1273">SUM(($E$1016:$E$1039=$E$1107)* ($A$1016:$A$1039=$A1273) * ($D$1016:$D$1039= $D1273) * (O$1016:O$1039) ) * SUM(EF[CH4] * (EF[SATIM Code]= $D1273) )</f>
        <v>0</v>
      </c>
    </row>
    <row r="1274" spans="1:15" s="19" customFormat="1" hidden="1" outlineLevel="1">
      <c r="B1274" s="1393"/>
      <c r="C1274" s="1407" t="str">
        <f>D27</f>
        <v>Other</v>
      </c>
      <c r="D1274" s="1391"/>
      <c r="E1274" s="1393"/>
      <c r="F1274" s="1381">
        <f t="array" ref="F1274">SUM(($E$1016:$E$1039=$E$1107)* ($A$1016:$A$1039=$A1274) * ($D$1016:$D$1039= $D1274) * (F$1016:F$1039) ) * SUM(EF[CH4] * (EF[SATIM Code]= $D1274) )</f>
        <v>0</v>
      </c>
      <c r="G1274" s="1381">
        <f t="array" ref="G1274">SUM(($E$1016:$E$1039=$E$1107)* ($A$1016:$A$1039=$A1274) * ($D$1016:$D$1039= $D1274) * (G$1016:G$1039) ) * SUM(EF[CH4] * (EF[SATIM Code]= $D1274) )</f>
        <v>0</v>
      </c>
      <c r="H1274" s="1381">
        <f t="array" ref="H1274">SUM(($E$1016:$E$1039=$E$1107)* ($A$1016:$A$1039=$A1274) * ($D$1016:$D$1039= $D1274) * (H$1016:H$1039) ) * SUM(EF[CH4] * (EF[SATIM Code]= $D1274) )</f>
        <v>0</v>
      </c>
      <c r="I1274" s="1381">
        <f t="array" ref="I1274">SUM(($E$1016:$E$1039=$E$1107)* ($A$1016:$A$1039=$A1274) * ($D$1016:$D$1039= $D1274) * (I$1016:I$1039) ) * SUM(EF[CH4] * (EF[SATIM Code]= $D1274) )</f>
        <v>0</v>
      </c>
      <c r="J1274" s="1381">
        <f t="array" ref="J1274">SUM(($E$1016:$E$1039=$E$1107)* ($A$1016:$A$1039=$A1274) * ($D$1016:$D$1039= $D1274) * (J$1016:J$1039) ) * SUM(EF[CH4] * (EF[SATIM Code]= $D1274) )</f>
        <v>0</v>
      </c>
      <c r="K1274" s="1381">
        <f t="array" ref="K1274">SUM(($E$1016:$E$1039=$E$1107)* ($A$1016:$A$1039=$A1274) * ($D$1016:$D$1039= $D1274) * (K$1016:K$1039) ) * SUM(EF[CH4] * (EF[SATIM Code]= $D1274) )</f>
        <v>0</v>
      </c>
      <c r="L1274" s="1381">
        <f t="array" ref="L1274">SUM(($E$1016:$E$1039=$E$1107)* ($A$1016:$A$1039=$A1274) * ($D$1016:$D$1039= $D1274) * (L$1016:L$1039) ) * SUM(EF[CH4] * (EF[SATIM Code]= $D1274) )</f>
        <v>0</v>
      </c>
      <c r="M1274" s="1381">
        <f t="array" ref="M1274">SUM(($E$1016:$E$1039=$E$1107)* ($A$1016:$A$1039=$A1274) * ($D$1016:$D$1039= $D1274) * (M$1016:M$1039) ) * SUM(EF[CH4] * (EF[SATIM Code]= $D1274) )</f>
        <v>0</v>
      </c>
      <c r="N1274" s="1381">
        <f t="array" ref="N1274">SUM(($E$1016:$E$1039=$E$1107)* ($A$1016:$A$1039=$A1274) * ($D$1016:$D$1039= $D1274) * (N$1016:N$1039) ) * SUM(EF[CH4] * (EF[SATIM Code]= $D1274) )</f>
        <v>0</v>
      </c>
      <c r="O1274" s="1381">
        <f t="array" ref="O1274">SUM(($E$1016:$E$1039=$E$1107)* ($A$1016:$A$1039=$A1274) * ($D$1016:$D$1039= $D1274) * (O$1016:O$1039) ) * SUM(EF[CH4] * (EF[SATIM Code]= $D1274) )</f>
        <v>0</v>
      </c>
    </row>
    <row r="1275" spans="1:15" s="19" customFormat="1" hidden="1" outlineLevel="1">
      <c r="A1275" s="1438" t="str">
        <f>INDEX($C$20:$C$27,MATCH($C1274,$D$20:$D$27,0))</f>
        <v>OT</v>
      </c>
      <c r="B1275" s="1400" t="str">
        <f>INDEX(EF[UK Vector],MATCH(D1275,EF[SATIM Code],0))</f>
        <v>V.03</v>
      </c>
      <c r="C1275" s="1401" t="str">
        <f>INDEX(Vectors[Description], MATCH($B1275, Vectors[Code], 0))</f>
        <v>Solid hydrocarbons</v>
      </c>
      <c r="D1275" s="1391" t="s">
        <v>882</v>
      </c>
      <c r="E1275" s="1393"/>
      <c r="F1275" s="1381">
        <f t="array" ref="F1275">SUM(($E$1016:$E$1039=$E$1107)* ($A$1016:$A$1039=$A1275) * ($D$1016:$D$1039= $D1275) * (F$1016:F$1039) ) * SUM(EF[CH4] * (EF[SATIM Code]= $D1275) )</f>
        <v>0</v>
      </c>
      <c r="G1275" s="1381">
        <f t="array" ref="G1275">SUM(($E$1016:$E$1039=$E$1107)* ($A$1016:$A$1039=$A1275) * ($D$1016:$D$1039= $D1275) * (G$1016:G$1039) ) * SUM(EF[CH4] * (EF[SATIM Code]= $D1275) )</f>
        <v>0</v>
      </c>
      <c r="H1275" s="1381">
        <f t="array" ref="H1275">SUM(($E$1016:$E$1039=$E$1107)* ($A$1016:$A$1039=$A1275) * ($D$1016:$D$1039= $D1275) * (H$1016:H$1039) ) * SUM(EF[CH4] * (EF[SATIM Code]= $D1275) )</f>
        <v>0</v>
      </c>
      <c r="I1275" s="1381">
        <f t="array" ref="I1275">SUM(($E$1016:$E$1039=$E$1107)* ($A$1016:$A$1039=$A1275) * ($D$1016:$D$1039= $D1275) * (I$1016:I$1039) ) * SUM(EF[CH4] * (EF[SATIM Code]= $D1275) )</f>
        <v>0</v>
      </c>
      <c r="J1275" s="1381">
        <f t="array" ref="J1275">SUM(($E$1016:$E$1039=$E$1107)* ($A$1016:$A$1039=$A1275) * ($D$1016:$D$1039= $D1275) * (J$1016:J$1039) ) * SUM(EF[CH4] * (EF[SATIM Code]= $D1275) )</f>
        <v>0</v>
      </c>
      <c r="K1275" s="1381">
        <f t="array" ref="K1275">SUM(($E$1016:$E$1039=$E$1107)* ($A$1016:$A$1039=$A1275) * ($D$1016:$D$1039= $D1275) * (K$1016:K$1039) ) * SUM(EF[CH4] * (EF[SATIM Code]= $D1275) )</f>
        <v>0</v>
      </c>
      <c r="L1275" s="1381">
        <f t="array" ref="L1275">SUM(($E$1016:$E$1039=$E$1107)* ($A$1016:$A$1039=$A1275) * ($D$1016:$D$1039= $D1275) * (L$1016:L$1039) ) * SUM(EF[CH4] * (EF[SATIM Code]= $D1275) )</f>
        <v>0</v>
      </c>
      <c r="M1275" s="1381">
        <f t="array" ref="M1275">SUM(($E$1016:$E$1039=$E$1107)* ($A$1016:$A$1039=$A1275) * ($D$1016:$D$1039= $D1275) * (M$1016:M$1039) ) * SUM(EF[CH4] * (EF[SATIM Code]= $D1275) )</f>
        <v>0</v>
      </c>
      <c r="N1275" s="1381">
        <f t="array" ref="N1275">SUM(($E$1016:$E$1039=$E$1107)* ($A$1016:$A$1039=$A1275) * ($D$1016:$D$1039= $D1275) * (N$1016:N$1039) ) * SUM(EF[CH4] * (EF[SATIM Code]= $D1275) )</f>
        <v>0</v>
      </c>
      <c r="O1275" s="1381">
        <f t="array" ref="O1275">SUM(($E$1016:$E$1039=$E$1107)* ($A$1016:$A$1039=$A1275) * ($D$1016:$D$1039= $D1275) * (O$1016:O$1039) ) * SUM(EF[CH4] * (EF[SATIM Code]= $D1275) )</f>
        <v>0</v>
      </c>
    </row>
    <row r="1276" spans="1:15" s="19" customFormat="1" hidden="1" outlineLevel="1">
      <c r="A1276" s="19" t="str">
        <f t="shared" ref="A1276:A1283" si="266">A1275</f>
        <v>OT</v>
      </c>
      <c r="B1276" s="1400" t="str">
        <f>INDEX(EF[UK Vector],MATCH(D1276,EF[SATIM Code],0))</f>
        <v>V.03</v>
      </c>
      <c r="C1276" s="1401" t="str">
        <f>INDEX(Vectors[Description], MATCH($B1276, Vectors[Code], 0))</f>
        <v>Solid hydrocarbons</v>
      </c>
      <c r="D1276" s="1391" t="s">
        <v>883</v>
      </c>
      <c r="E1276" s="1393"/>
      <c r="F1276" s="1381">
        <f t="array" ref="F1276">SUM(($E$1016:$E$1039=$E$1107)* ($A$1016:$A$1039=$A1276) * ($D$1016:$D$1039= $D1276) * (F$1016:F$1039) ) * SUM(EF[CH4] * (EF[SATIM Code]= $D1276) )</f>
        <v>0</v>
      </c>
      <c r="G1276" s="1381">
        <f t="array" ref="G1276">SUM(($E$1016:$E$1039=$E$1107)* ($A$1016:$A$1039=$A1276) * ($D$1016:$D$1039= $D1276) * (G$1016:G$1039) ) * SUM(EF[CH4] * (EF[SATIM Code]= $D1276) )</f>
        <v>0</v>
      </c>
      <c r="H1276" s="1381">
        <f t="array" ref="H1276">SUM(($E$1016:$E$1039=$E$1107)* ($A$1016:$A$1039=$A1276) * ($D$1016:$D$1039= $D1276) * (H$1016:H$1039) ) * SUM(EF[CH4] * (EF[SATIM Code]= $D1276) )</f>
        <v>0</v>
      </c>
      <c r="I1276" s="1381">
        <f t="array" ref="I1276">SUM(($E$1016:$E$1039=$E$1107)* ($A$1016:$A$1039=$A1276) * ($D$1016:$D$1039= $D1276) * (I$1016:I$1039) ) * SUM(EF[CH4] * (EF[SATIM Code]= $D1276) )</f>
        <v>0</v>
      </c>
      <c r="J1276" s="1381">
        <f t="array" ref="J1276">SUM(($E$1016:$E$1039=$E$1107)* ($A$1016:$A$1039=$A1276) * ($D$1016:$D$1039= $D1276) * (J$1016:J$1039) ) * SUM(EF[CH4] * (EF[SATIM Code]= $D1276) )</f>
        <v>0</v>
      </c>
      <c r="K1276" s="1381">
        <f t="array" ref="K1276">SUM(($E$1016:$E$1039=$E$1107)* ($A$1016:$A$1039=$A1276) * ($D$1016:$D$1039= $D1276) * (K$1016:K$1039) ) * SUM(EF[CH4] * (EF[SATIM Code]= $D1276) )</f>
        <v>0</v>
      </c>
      <c r="L1276" s="1381">
        <f t="array" ref="L1276">SUM(($E$1016:$E$1039=$E$1107)* ($A$1016:$A$1039=$A1276) * ($D$1016:$D$1039= $D1276) * (L$1016:L$1039) ) * SUM(EF[CH4] * (EF[SATIM Code]= $D1276) )</f>
        <v>0</v>
      </c>
      <c r="M1276" s="1381">
        <f t="array" ref="M1276">SUM(($E$1016:$E$1039=$E$1107)* ($A$1016:$A$1039=$A1276) * ($D$1016:$D$1039= $D1276) * (M$1016:M$1039) ) * SUM(EF[CH4] * (EF[SATIM Code]= $D1276) )</f>
        <v>0</v>
      </c>
      <c r="N1276" s="1381">
        <f t="array" ref="N1276">SUM(($E$1016:$E$1039=$E$1107)* ($A$1016:$A$1039=$A1276) * ($D$1016:$D$1039= $D1276) * (N$1016:N$1039) ) * SUM(EF[CH4] * (EF[SATIM Code]= $D1276) )</f>
        <v>0</v>
      </c>
      <c r="O1276" s="1381">
        <f t="array" ref="O1276">SUM(($E$1016:$E$1039=$E$1107)* ($A$1016:$A$1039=$A1276) * ($D$1016:$D$1039= $D1276) * (O$1016:O$1039) ) * SUM(EF[CH4] * (EF[SATIM Code]= $D1276) )</f>
        <v>0</v>
      </c>
    </row>
    <row r="1277" spans="1:15" s="19" customFormat="1" hidden="1" outlineLevel="1">
      <c r="A1277" s="19" t="str">
        <f t="shared" si="266"/>
        <v>OT</v>
      </c>
      <c r="B1277" s="1400" t="str">
        <f>INDEX(EF[UK Vector],MATCH(D1277,EF[SATIM Code],0))</f>
        <v>V.05</v>
      </c>
      <c r="C1277" s="1401" t="str">
        <f>INDEX(Vectors[Description], MATCH($B1277, Vectors[Code], 0))</f>
        <v>Gaseous hydrocarbons</v>
      </c>
      <c r="D1277" s="1406" t="s">
        <v>869</v>
      </c>
      <c r="E1277" s="1393"/>
      <c r="F1277" s="1381">
        <f t="array" ref="F1277">SUM(($E$1016:$E$1039=$E$1107)* ($A$1016:$A$1039=$A1277) * ($D$1016:$D$1039= $D1277) * (F$1016:F$1039) ) * SUM(EF[CH4] * (EF[SATIM Code]= $D1277) )</f>
        <v>0</v>
      </c>
      <c r="G1277" s="1381">
        <f t="array" ref="G1277">SUM(($E$1016:$E$1039=$E$1107)* ($A$1016:$A$1039=$A1277) * ($D$1016:$D$1039= $D1277) * (G$1016:G$1039) ) * SUM(EF[CH4] * (EF[SATIM Code]= $D1277) )</f>
        <v>0</v>
      </c>
      <c r="H1277" s="1381">
        <f t="array" ref="H1277">SUM(($E$1016:$E$1039=$E$1107)* ($A$1016:$A$1039=$A1277) * ($D$1016:$D$1039= $D1277) * (H$1016:H$1039) ) * SUM(EF[CH4] * (EF[SATIM Code]= $D1277) )</f>
        <v>0</v>
      </c>
      <c r="I1277" s="1381">
        <f t="array" ref="I1277">SUM(($E$1016:$E$1039=$E$1107)* ($A$1016:$A$1039=$A1277) * ($D$1016:$D$1039= $D1277) * (I$1016:I$1039) ) * SUM(EF[CH4] * (EF[SATIM Code]= $D1277) )</f>
        <v>0</v>
      </c>
      <c r="J1277" s="1381">
        <f t="array" ref="J1277">SUM(($E$1016:$E$1039=$E$1107)* ($A$1016:$A$1039=$A1277) * ($D$1016:$D$1039= $D1277) * (J$1016:J$1039) ) * SUM(EF[CH4] * (EF[SATIM Code]= $D1277) )</f>
        <v>0</v>
      </c>
      <c r="K1277" s="1381">
        <f t="array" ref="K1277">SUM(($E$1016:$E$1039=$E$1107)* ($A$1016:$A$1039=$A1277) * ($D$1016:$D$1039= $D1277) * (K$1016:K$1039) ) * SUM(EF[CH4] * (EF[SATIM Code]= $D1277) )</f>
        <v>0</v>
      </c>
      <c r="L1277" s="1381">
        <f t="array" ref="L1277">SUM(($E$1016:$E$1039=$E$1107)* ($A$1016:$A$1039=$A1277) * ($D$1016:$D$1039= $D1277) * (L$1016:L$1039) ) * SUM(EF[CH4] * (EF[SATIM Code]= $D1277) )</f>
        <v>0</v>
      </c>
      <c r="M1277" s="1381">
        <f t="array" ref="M1277">SUM(($E$1016:$E$1039=$E$1107)* ($A$1016:$A$1039=$A1277) * ($D$1016:$D$1039= $D1277) * (M$1016:M$1039) ) * SUM(EF[CH4] * (EF[SATIM Code]= $D1277) )</f>
        <v>0</v>
      </c>
      <c r="N1277" s="1381">
        <f t="array" ref="N1277">SUM(($E$1016:$E$1039=$E$1107)* ($A$1016:$A$1039=$A1277) * ($D$1016:$D$1039= $D1277) * (N$1016:N$1039) ) * SUM(EF[CH4] * (EF[SATIM Code]= $D1277) )</f>
        <v>0</v>
      </c>
      <c r="O1277" s="1381">
        <f t="array" ref="O1277">SUM(($E$1016:$E$1039=$E$1107)* ($A$1016:$A$1039=$A1277) * ($D$1016:$D$1039= $D1277) * (O$1016:O$1039) ) * SUM(EF[CH4] * (EF[SATIM Code]= $D1277) )</f>
        <v>0</v>
      </c>
    </row>
    <row r="1278" spans="1:15" s="19" customFormat="1" hidden="1" outlineLevel="1">
      <c r="A1278" s="19" t="str">
        <f t="shared" si="266"/>
        <v>OT</v>
      </c>
      <c r="B1278" s="1400" t="str">
        <f>INDEX(EF[UK Vector],MATCH(D1278,EF[SATIM Code],0))</f>
        <v>V.04</v>
      </c>
      <c r="C1278" s="1401" t="str">
        <f>INDEX(Vectors[Description], MATCH($B1278, Vectors[Code], 0))</f>
        <v>Liquid hydrocarbons</v>
      </c>
      <c r="D1278" s="1406" t="s">
        <v>885</v>
      </c>
      <c r="E1278" s="1393"/>
      <c r="F1278" s="1381">
        <f t="array" ref="F1278">SUM(($E$1016:$E$1039=$E$1107)* ($A$1016:$A$1039=$A1278) * ($D$1016:$D$1039= $D1278) * (F$1016:F$1039) ) * SUM(EF[CH4] * (EF[SATIM Code]= $D1278) )</f>
        <v>0</v>
      </c>
      <c r="G1278" s="1381">
        <f t="array" ref="G1278">SUM(($E$1016:$E$1039=$E$1107)* ($A$1016:$A$1039=$A1278) * ($D$1016:$D$1039= $D1278) * (G$1016:G$1039) ) * SUM(EF[CH4] * (EF[SATIM Code]= $D1278) )</f>
        <v>0</v>
      </c>
      <c r="H1278" s="1381">
        <f t="array" ref="H1278">SUM(($E$1016:$E$1039=$E$1107)* ($A$1016:$A$1039=$A1278) * ($D$1016:$D$1039= $D1278) * (H$1016:H$1039) ) * SUM(EF[CH4] * (EF[SATIM Code]= $D1278) )</f>
        <v>0</v>
      </c>
      <c r="I1278" s="1381">
        <f t="array" ref="I1278">SUM(($E$1016:$E$1039=$E$1107)* ($A$1016:$A$1039=$A1278) * ($D$1016:$D$1039= $D1278) * (I$1016:I$1039) ) * SUM(EF[CH4] * (EF[SATIM Code]= $D1278) )</f>
        <v>0</v>
      </c>
      <c r="J1278" s="1381">
        <f t="array" ref="J1278">SUM(($E$1016:$E$1039=$E$1107)* ($A$1016:$A$1039=$A1278) * ($D$1016:$D$1039= $D1278) * (J$1016:J$1039) ) * SUM(EF[CH4] * (EF[SATIM Code]= $D1278) )</f>
        <v>0</v>
      </c>
      <c r="K1278" s="1381">
        <f t="array" ref="K1278">SUM(($E$1016:$E$1039=$E$1107)* ($A$1016:$A$1039=$A1278) * ($D$1016:$D$1039= $D1278) * (K$1016:K$1039) ) * SUM(EF[CH4] * (EF[SATIM Code]= $D1278) )</f>
        <v>0</v>
      </c>
      <c r="L1278" s="1381">
        <f t="array" ref="L1278">SUM(($E$1016:$E$1039=$E$1107)* ($A$1016:$A$1039=$A1278) * ($D$1016:$D$1039= $D1278) * (L$1016:L$1039) ) * SUM(EF[CH4] * (EF[SATIM Code]= $D1278) )</f>
        <v>0</v>
      </c>
      <c r="M1278" s="1381">
        <f t="array" ref="M1278">SUM(($E$1016:$E$1039=$E$1107)* ($A$1016:$A$1039=$A1278) * ($D$1016:$D$1039= $D1278) * (M$1016:M$1039) ) * SUM(EF[CH4] * (EF[SATIM Code]= $D1278) )</f>
        <v>0</v>
      </c>
      <c r="N1278" s="1381">
        <f t="array" ref="N1278">SUM(($E$1016:$E$1039=$E$1107)* ($A$1016:$A$1039=$A1278) * ($D$1016:$D$1039= $D1278) * (N$1016:N$1039) ) * SUM(EF[CH4] * (EF[SATIM Code]= $D1278) )</f>
        <v>0</v>
      </c>
      <c r="O1278" s="1381">
        <f t="array" ref="O1278">SUM(($E$1016:$E$1039=$E$1107)* ($A$1016:$A$1039=$A1278) * ($D$1016:$D$1039= $D1278) * (O$1016:O$1039) ) * SUM(EF[CH4] * (EF[SATIM Code]= $D1278) )</f>
        <v>0</v>
      </c>
    </row>
    <row r="1279" spans="1:15" s="19" customFormat="1" hidden="1" outlineLevel="1">
      <c r="A1279" s="19" t="str">
        <f t="shared" si="266"/>
        <v>OT</v>
      </c>
      <c r="B1279" s="1400" t="str">
        <f>INDEX(EF[UK Vector],MATCH(D1279,EF[SATIM Code],0))</f>
        <v>V.04</v>
      </c>
      <c r="C1279" s="1401" t="str">
        <f>INDEX(Vectors[Description], MATCH($B1279, Vectors[Code], 0))</f>
        <v>Liquid hydrocarbons</v>
      </c>
      <c r="D1279" s="1391" t="s">
        <v>886</v>
      </c>
      <c r="E1279" s="1393"/>
      <c r="F1279" s="1381">
        <f t="array" ref="F1279">SUM(($E$1016:$E$1039=$E$1107)* ($A$1016:$A$1039=$A1279) * ($D$1016:$D$1039= $D1279) * (F$1016:F$1039) ) * SUM(EF[CH4] * (EF[SATIM Code]= $D1279) )</f>
        <v>0</v>
      </c>
      <c r="G1279" s="1381">
        <f t="array" ref="G1279">SUM(($E$1016:$E$1039=$E$1107)* ($A$1016:$A$1039=$A1279) * ($D$1016:$D$1039= $D1279) * (G$1016:G$1039) ) * SUM(EF[CH4] * (EF[SATIM Code]= $D1279) )</f>
        <v>0</v>
      </c>
      <c r="H1279" s="1381">
        <f t="array" ref="H1279">SUM(($E$1016:$E$1039=$E$1107)* ($A$1016:$A$1039=$A1279) * ($D$1016:$D$1039= $D1279) * (H$1016:H$1039) ) * SUM(EF[CH4] * (EF[SATIM Code]= $D1279) )</f>
        <v>0</v>
      </c>
      <c r="I1279" s="1381">
        <f t="array" ref="I1279">SUM(($E$1016:$E$1039=$E$1107)* ($A$1016:$A$1039=$A1279) * ($D$1016:$D$1039= $D1279) * (I$1016:I$1039) ) * SUM(EF[CH4] * (EF[SATIM Code]= $D1279) )</f>
        <v>0</v>
      </c>
      <c r="J1279" s="1381">
        <f t="array" ref="J1279">SUM(($E$1016:$E$1039=$E$1107)* ($A$1016:$A$1039=$A1279) * ($D$1016:$D$1039= $D1279) * (J$1016:J$1039) ) * SUM(EF[CH4] * (EF[SATIM Code]= $D1279) )</f>
        <v>0</v>
      </c>
      <c r="K1279" s="1381">
        <f t="array" ref="K1279">SUM(($E$1016:$E$1039=$E$1107)* ($A$1016:$A$1039=$A1279) * ($D$1016:$D$1039= $D1279) * (K$1016:K$1039) ) * SUM(EF[CH4] * (EF[SATIM Code]= $D1279) )</f>
        <v>0</v>
      </c>
      <c r="L1279" s="1381">
        <f t="array" ref="L1279">SUM(($E$1016:$E$1039=$E$1107)* ($A$1016:$A$1039=$A1279) * ($D$1016:$D$1039= $D1279) * (L$1016:L$1039) ) * SUM(EF[CH4] * (EF[SATIM Code]= $D1279) )</f>
        <v>0</v>
      </c>
      <c r="M1279" s="1381">
        <f t="array" ref="M1279">SUM(($E$1016:$E$1039=$E$1107)* ($A$1016:$A$1039=$A1279) * ($D$1016:$D$1039= $D1279) * (M$1016:M$1039) ) * SUM(EF[CH4] * (EF[SATIM Code]= $D1279) )</f>
        <v>0</v>
      </c>
      <c r="N1279" s="1381">
        <f t="array" ref="N1279">SUM(($E$1016:$E$1039=$E$1107)* ($A$1016:$A$1039=$A1279) * ($D$1016:$D$1039= $D1279) * (N$1016:N$1039) ) * SUM(EF[CH4] * (EF[SATIM Code]= $D1279) )</f>
        <v>0</v>
      </c>
      <c r="O1279" s="1381">
        <f t="array" ref="O1279">SUM(($E$1016:$E$1039=$E$1107)* ($A$1016:$A$1039=$A1279) * ($D$1016:$D$1039= $D1279) * (O$1016:O$1039) ) * SUM(EF[CH4] * (EF[SATIM Code]= $D1279) )</f>
        <v>0</v>
      </c>
    </row>
    <row r="1280" spans="1:15" s="19" customFormat="1" hidden="1" outlineLevel="1">
      <c r="A1280" s="19" t="str">
        <f t="shared" si="266"/>
        <v>OT</v>
      </c>
      <c r="B1280" s="1400" t="str">
        <f>INDEX(EF[UK Vector],MATCH(D1280,EF[SATIM Code],0))</f>
        <v>V.04</v>
      </c>
      <c r="C1280" s="1401" t="str">
        <f>INDEX(Vectors[Description], MATCH($B1280, Vectors[Code], 0))</f>
        <v>Liquid hydrocarbons</v>
      </c>
      <c r="D1280" s="1406" t="s">
        <v>887</v>
      </c>
      <c r="E1280" s="1393"/>
      <c r="F1280" s="1381">
        <f t="array" ref="F1280">SUM(($E$1016:$E$1039=$E$1107)* ($A$1016:$A$1039=$A1280) * ($D$1016:$D$1039= $D1280) * (F$1016:F$1039) ) * SUM(EF[CH4] * (EF[SATIM Code]= $D1280) )</f>
        <v>0</v>
      </c>
      <c r="G1280" s="1381">
        <f t="array" ref="G1280">SUM(($E$1016:$E$1039=$E$1107)* ($A$1016:$A$1039=$A1280) * ($D$1016:$D$1039= $D1280) * (G$1016:G$1039) ) * SUM(EF[CH4] * (EF[SATIM Code]= $D1280) )</f>
        <v>0</v>
      </c>
      <c r="H1280" s="1381">
        <f t="array" ref="H1280">SUM(($E$1016:$E$1039=$E$1107)* ($A$1016:$A$1039=$A1280) * ($D$1016:$D$1039= $D1280) * (H$1016:H$1039) ) * SUM(EF[CH4] * (EF[SATIM Code]= $D1280) )</f>
        <v>0</v>
      </c>
      <c r="I1280" s="1381">
        <f t="array" ref="I1280">SUM(($E$1016:$E$1039=$E$1107)* ($A$1016:$A$1039=$A1280) * ($D$1016:$D$1039= $D1280) * (I$1016:I$1039) ) * SUM(EF[CH4] * (EF[SATIM Code]= $D1280) )</f>
        <v>0</v>
      </c>
      <c r="J1280" s="1381">
        <f t="array" ref="J1280">SUM(($E$1016:$E$1039=$E$1107)* ($A$1016:$A$1039=$A1280) * ($D$1016:$D$1039= $D1280) * (J$1016:J$1039) ) * SUM(EF[CH4] * (EF[SATIM Code]= $D1280) )</f>
        <v>0</v>
      </c>
      <c r="K1280" s="1381">
        <f t="array" ref="K1280">SUM(($E$1016:$E$1039=$E$1107)* ($A$1016:$A$1039=$A1280) * ($D$1016:$D$1039= $D1280) * (K$1016:K$1039) ) * SUM(EF[CH4] * (EF[SATIM Code]= $D1280) )</f>
        <v>0</v>
      </c>
      <c r="L1280" s="1381">
        <f t="array" ref="L1280">SUM(($E$1016:$E$1039=$E$1107)* ($A$1016:$A$1039=$A1280) * ($D$1016:$D$1039= $D1280) * (L$1016:L$1039) ) * SUM(EF[CH4] * (EF[SATIM Code]= $D1280) )</f>
        <v>0</v>
      </c>
      <c r="M1280" s="1381">
        <f t="array" ref="M1280">SUM(($E$1016:$E$1039=$E$1107)* ($A$1016:$A$1039=$A1280) * ($D$1016:$D$1039= $D1280) * (M$1016:M$1039) ) * SUM(EF[CH4] * (EF[SATIM Code]= $D1280) )</f>
        <v>0</v>
      </c>
      <c r="N1280" s="1381">
        <f t="array" ref="N1280">SUM(($E$1016:$E$1039=$E$1107)* ($A$1016:$A$1039=$A1280) * ($D$1016:$D$1039= $D1280) * (N$1016:N$1039) ) * SUM(EF[CH4] * (EF[SATIM Code]= $D1280) )</f>
        <v>0</v>
      </c>
      <c r="O1280" s="1381">
        <f t="array" ref="O1280">SUM(($E$1016:$E$1039=$E$1107)* ($A$1016:$A$1039=$A1280) * ($D$1016:$D$1039= $D1280) * (O$1016:O$1039) ) * SUM(EF[CH4] * (EF[SATIM Code]= $D1280) )</f>
        <v>0</v>
      </c>
    </row>
    <row r="1281" spans="1:28" s="19" customFormat="1" hidden="1" outlineLevel="1">
      <c r="A1281" s="19" t="str">
        <f t="shared" si="266"/>
        <v>OT</v>
      </c>
      <c r="B1281" s="1400" t="str">
        <f>INDEX(EF[UK Vector],MATCH(D1281,EF[SATIM Code],0))</f>
        <v>V.09</v>
      </c>
      <c r="C1281" s="1401" t="str">
        <f>INDEX(Vectors[Description], MATCH($B1281, Vectors[Code], 0))</f>
        <v>Dry biomass and waste</v>
      </c>
      <c r="D1281" s="1406" t="s">
        <v>888</v>
      </c>
      <c r="E1281" s="1393"/>
      <c r="F1281" s="1381">
        <f t="array" ref="F1281">SUM(($E$1016:$E$1039=$E$1107)* ($A$1016:$A$1039=$A1281) * ($D$1016:$D$1039= $D1281) * (F$1016:F$1039) ) * SUM(EF[CH4] * (EF[SATIM Code]= $D1281) )</f>
        <v>0</v>
      </c>
      <c r="G1281" s="1381">
        <f t="array" ref="G1281">SUM(($E$1016:$E$1039=$E$1107)* ($A$1016:$A$1039=$A1281) * ($D$1016:$D$1039= $D1281) * (G$1016:G$1039) ) * SUM(EF[CH4] * (EF[SATIM Code]= $D1281) )</f>
        <v>0</v>
      </c>
      <c r="H1281" s="1381">
        <f t="array" ref="H1281">SUM(($E$1016:$E$1039=$E$1107)* ($A$1016:$A$1039=$A1281) * ($D$1016:$D$1039= $D1281) * (H$1016:H$1039) ) * SUM(EF[CH4] * (EF[SATIM Code]= $D1281) )</f>
        <v>0</v>
      </c>
      <c r="I1281" s="1381">
        <f t="array" ref="I1281">SUM(($E$1016:$E$1039=$E$1107)* ($A$1016:$A$1039=$A1281) * ($D$1016:$D$1039= $D1281) * (I$1016:I$1039) ) * SUM(EF[CH4] * (EF[SATIM Code]= $D1281) )</f>
        <v>0</v>
      </c>
      <c r="J1281" s="1381">
        <f t="array" ref="J1281">SUM(($E$1016:$E$1039=$E$1107)* ($A$1016:$A$1039=$A1281) * ($D$1016:$D$1039= $D1281) * (J$1016:J$1039) ) * SUM(EF[CH4] * (EF[SATIM Code]= $D1281) )</f>
        <v>0</v>
      </c>
      <c r="K1281" s="1381">
        <f t="array" ref="K1281">SUM(($E$1016:$E$1039=$E$1107)* ($A$1016:$A$1039=$A1281) * ($D$1016:$D$1039= $D1281) * (K$1016:K$1039) ) * SUM(EF[CH4] * (EF[SATIM Code]= $D1281) )</f>
        <v>0</v>
      </c>
      <c r="L1281" s="1381">
        <f t="array" ref="L1281">SUM(($E$1016:$E$1039=$E$1107)* ($A$1016:$A$1039=$A1281) * ($D$1016:$D$1039= $D1281) * (L$1016:L$1039) ) * SUM(EF[CH4] * (EF[SATIM Code]= $D1281) )</f>
        <v>0</v>
      </c>
      <c r="M1281" s="1381">
        <f t="array" ref="M1281">SUM(($E$1016:$E$1039=$E$1107)* ($A$1016:$A$1039=$A1281) * ($D$1016:$D$1039= $D1281) * (M$1016:M$1039) ) * SUM(EF[CH4] * (EF[SATIM Code]= $D1281) )</f>
        <v>0</v>
      </c>
      <c r="N1281" s="1381">
        <f t="array" ref="N1281">SUM(($E$1016:$E$1039=$E$1107)* ($A$1016:$A$1039=$A1281) * ($D$1016:$D$1039= $D1281) * (N$1016:N$1039) ) * SUM(EF[CH4] * (EF[SATIM Code]= $D1281) )</f>
        <v>0</v>
      </c>
      <c r="O1281" s="1381">
        <f t="array" ref="O1281">SUM(($E$1016:$E$1039=$E$1107)* ($A$1016:$A$1039=$A1281) * ($D$1016:$D$1039= $D1281) * (O$1016:O$1039) ) * SUM(EF[CH4] * (EF[SATIM Code]= $D1281) )</f>
        <v>0</v>
      </c>
    </row>
    <row r="1282" spans="1:28" s="19" customFormat="1" hidden="1" outlineLevel="1">
      <c r="A1282" s="19" t="str">
        <f t="shared" si="266"/>
        <v>OT</v>
      </c>
      <c r="B1282" s="1400" t="str">
        <f>INDEX(EF[UK Vector],MATCH(D1282,EF[SATIM Code],0))</f>
        <v>V.09</v>
      </c>
      <c r="C1282" s="1401" t="str">
        <f>INDEX(Vectors[Description], MATCH($B1282, Vectors[Code], 0))</f>
        <v>Dry biomass and waste</v>
      </c>
      <c r="D1282" s="1388" t="s">
        <v>889</v>
      </c>
      <c r="E1282" s="1393"/>
      <c r="F1282" s="1381">
        <f t="array" ref="F1282">SUM(($E$1016:$E$1039=$E$1107)* ($A$1016:$A$1039=$A1282) * ($D$1016:$D$1039= $D1282) * (F$1016:F$1039) ) * SUM(EF[CH4] * (EF[SATIM Code]= $D1282) )</f>
        <v>0</v>
      </c>
      <c r="G1282" s="1381">
        <f t="array" ref="G1282">SUM(($E$1016:$E$1039=$E$1107)* ($A$1016:$A$1039=$A1282) * ($D$1016:$D$1039= $D1282) * (G$1016:G$1039) ) * SUM(EF[CH4] * (EF[SATIM Code]= $D1282) )</f>
        <v>0</v>
      </c>
      <c r="H1282" s="1381">
        <f t="array" ref="H1282">SUM(($E$1016:$E$1039=$E$1107)* ($A$1016:$A$1039=$A1282) * ($D$1016:$D$1039= $D1282) * (H$1016:H$1039) ) * SUM(EF[CH4] * (EF[SATIM Code]= $D1282) )</f>
        <v>0</v>
      </c>
      <c r="I1282" s="1381">
        <f t="array" ref="I1282">SUM(($E$1016:$E$1039=$E$1107)* ($A$1016:$A$1039=$A1282) * ($D$1016:$D$1039= $D1282) * (I$1016:I$1039) ) * SUM(EF[CH4] * (EF[SATIM Code]= $D1282) )</f>
        <v>0</v>
      </c>
      <c r="J1282" s="1381">
        <f t="array" ref="J1282">SUM(($E$1016:$E$1039=$E$1107)* ($A$1016:$A$1039=$A1282) * ($D$1016:$D$1039= $D1282) * (J$1016:J$1039) ) * SUM(EF[CH4] * (EF[SATIM Code]= $D1282) )</f>
        <v>0</v>
      </c>
      <c r="K1282" s="1381">
        <f t="array" ref="K1282">SUM(($E$1016:$E$1039=$E$1107)* ($A$1016:$A$1039=$A1282) * ($D$1016:$D$1039= $D1282) * (K$1016:K$1039) ) * SUM(EF[CH4] * (EF[SATIM Code]= $D1282) )</f>
        <v>0</v>
      </c>
      <c r="L1282" s="1381">
        <f t="array" ref="L1282">SUM(($E$1016:$E$1039=$E$1107)* ($A$1016:$A$1039=$A1282) * ($D$1016:$D$1039= $D1282) * (L$1016:L$1039) ) * SUM(EF[CH4] * (EF[SATIM Code]= $D1282) )</f>
        <v>0</v>
      </c>
      <c r="M1282" s="1381">
        <f t="array" ref="M1282">SUM(($E$1016:$E$1039=$E$1107)* ($A$1016:$A$1039=$A1282) * ($D$1016:$D$1039= $D1282) * (M$1016:M$1039) ) * SUM(EF[CH4] * (EF[SATIM Code]= $D1282) )</f>
        <v>0</v>
      </c>
      <c r="N1282" s="1381">
        <f t="array" ref="N1282">SUM(($E$1016:$E$1039=$E$1107)* ($A$1016:$A$1039=$A1282) * ($D$1016:$D$1039= $D1282) * (N$1016:N$1039) ) * SUM(EF[CH4] * (EF[SATIM Code]= $D1282) )</f>
        <v>0</v>
      </c>
      <c r="O1282" s="1381">
        <f t="array" ref="O1282">SUM(($E$1016:$E$1039=$E$1107)* ($A$1016:$A$1039=$A1282) * ($D$1016:$D$1039= $D1282) * (O$1016:O$1039) ) * SUM(EF[CH4] * (EF[SATIM Code]= $D1282) )</f>
        <v>0</v>
      </c>
    </row>
    <row r="1283" spans="1:28" s="19" customFormat="1" hidden="1" outlineLevel="1">
      <c r="A1283" s="166" t="str">
        <f t="shared" si="266"/>
        <v>OT</v>
      </c>
      <c r="B1283" s="1442" t="str">
        <f>INDEX(EF[UK Vector],MATCH(D1283,EF[SATIM Code],0))</f>
        <v>V.16</v>
      </c>
      <c r="C1283" s="1412" t="str">
        <f>INDEX(Vectors[Description], MATCH($B1283, Vectors[Code], 0))</f>
        <v>Other Waste</v>
      </c>
      <c r="D1283" s="1384" t="s">
        <v>890</v>
      </c>
      <c r="E1283" s="1393"/>
      <c r="F1283" s="1381">
        <f t="array" ref="F1283">SUM(($E$1016:$E$1039=$E$1107)* ($A$1016:$A$1039=$A1283) * ($D$1016:$D$1039= $D1283) * (F$1016:F$1039) ) * SUM(EF[CH4] * (EF[SATIM Code]= $D1283) )</f>
        <v>0</v>
      </c>
      <c r="G1283" s="1381">
        <f t="array" ref="G1283">SUM(($E$1016:$E$1039=$E$1107)* ($A$1016:$A$1039=$A1283) * ($D$1016:$D$1039= $D1283) * (G$1016:G$1039) ) * SUM(EF[CH4] * (EF[SATIM Code]= $D1283) )</f>
        <v>0</v>
      </c>
      <c r="H1283" s="1381">
        <f t="array" ref="H1283">SUM(($E$1016:$E$1039=$E$1107)* ($A$1016:$A$1039=$A1283) * ($D$1016:$D$1039= $D1283) * (H$1016:H$1039) ) * SUM(EF[CH4] * (EF[SATIM Code]= $D1283) )</f>
        <v>0</v>
      </c>
      <c r="I1283" s="1381">
        <f t="array" ref="I1283">SUM(($E$1016:$E$1039=$E$1107)* ($A$1016:$A$1039=$A1283) * ($D$1016:$D$1039= $D1283) * (I$1016:I$1039) ) * SUM(EF[CH4] * (EF[SATIM Code]= $D1283) )</f>
        <v>0</v>
      </c>
      <c r="J1283" s="1381">
        <f t="array" ref="J1283">SUM(($E$1016:$E$1039=$E$1107)* ($A$1016:$A$1039=$A1283) * ($D$1016:$D$1039= $D1283) * (J$1016:J$1039) ) * SUM(EF[CH4] * (EF[SATIM Code]= $D1283) )</f>
        <v>0</v>
      </c>
      <c r="K1283" s="1381">
        <f t="array" ref="K1283">SUM(($E$1016:$E$1039=$E$1107)* ($A$1016:$A$1039=$A1283) * ($D$1016:$D$1039= $D1283) * (K$1016:K$1039) ) * SUM(EF[CH4] * (EF[SATIM Code]= $D1283) )</f>
        <v>0</v>
      </c>
      <c r="L1283" s="1381">
        <f t="array" ref="L1283">SUM(($E$1016:$E$1039=$E$1107)* ($A$1016:$A$1039=$A1283) * ($D$1016:$D$1039= $D1283) * (L$1016:L$1039) ) * SUM(EF[CH4] * (EF[SATIM Code]= $D1283) )</f>
        <v>0</v>
      </c>
      <c r="M1283" s="1381">
        <f t="array" ref="M1283">SUM(($E$1016:$E$1039=$E$1107)* ($A$1016:$A$1039=$A1283) * ($D$1016:$D$1039= $D1283) * (M$1016:M$1039) ) * SUM(EF[CH4] * (EF[SATIM Code]= $D1283) )</f>
        <v>0</v>
      </c>
      <c r="N1283" s="1381">
        <f t="array" ref="N1283">SUM(($E$1016:$E$1039=$E$1107)* ($A$1016:$A$1039=$A1283) * ($D$1016:$D$1039= $D1283) * (N$1016:N$1039) ) * SUM(EF[CH4] * (EF[SATIM Code]= $D1283) )</f>
        <v>0</v>
      </c>
      <c r="O1283" s="1381">
        <f t="array" ref="O1283">SUM(($E$1016:$E$1039=$E$1107)* ($A$1016:$A$1039=$A1283) * ($D$1016:$D$1039= $D1283) * (O$1016:O$1039) ) * SUM(EF[CH4] * (EF[SATIM Code]= $D1283) )</f>
        <v>0</v>
      </c>
    </row>
    <row r="1284" spans="1:28" s="19" customFormat="1" hidden="1" outlineLevel="1">
      <c r="A1284" s="166"/>
      <c r="B1284" s="1442"/>
      <c r="C1284" s="1412"/>
      <c r="D1284" s="1384"/>
      <c r="E1284" s="1393"/>
      <c r="F1284" s="1380"/>
      <c r="G1284" s="1380"/>
      <c r="H1284" s="1380"/>
      <c r="I1284" s="1380"/>
      <c r="J1284" s="1380"/>
      <c r="K1284" s="1380"/>
      <c r="L1284" s="1380"/>
      <c r="M1284" s="1380"/>
      <c r="N1284" s="1380"/>
      <c r="O1284" s="1380"/>
    </row>
    <row r="1285" spans="1:28" s="19" customFormat="1" hidden="1" outlineLevel="1">
      <c r="B1285" s="347"/>
      <c r="D1285" s="17"/>
      <c r="E1285" s="76"/>
      <c r="F1285" s="71"/>
      <c r="G1285" s="71"/>
      <c r="H1285" s="71"/>
      <c r="I1285" s="71"/>
      <c r="J1285" s="71"/>
      <c r="K1285" s="71"/>
      <c r="L1285" s="71"/>
      <c r="M1285" s="71"/>
      <c r="N1285" s="71"/>
      <c r="O1285" s="71"/>
    </row>
    <row r="1286" spans="1:28" s="19" customFormat="1">
      <c r="A1286" s="348" t="str">
        <f t="shared" ref="A1286:A1293" si="267">C20</f>
        <v>MI</v>
      </c>
      <c r="B1286" s="76"/>
      <c r="C1286" s="348" t="str">
        <f t="shared" ref="C1286:C1293" si="268">D20</f>
        <v>Mining SIC2</v>
      </c>
      <c r="D1286" s="73"/>
      <c r="E1286" s="76"/>
      <c r="F1286" s="71">
        <f t="array" ref="F1286">SUM( ($A$1205:$A$1284=$A1286)  * (F$1205:F$1284) )</f>
        <v>0</v>
      </c>
      <c r="G1286" s="71">
        <f t="array" ref="G1286">SUM( ($A$1205:$A$1284=$A1286)  * (G$1205:G$1284) )</f>
        <v>0</v>
      </c>
      <c r="H1286" s="71">
        <f t="array" ref="H1286">SUM( ($A$1205:$A$1284=$A1286)  * (H$1205:H$1284) )</f>
        <v>0</v>
      </c>
      <c r="I1286" s="71">
        <f t="array" ref="I1286">SUM( ($A$1205:$A$1284=$A1286)  * (I$1205:I$1284) )</f>
        <v>0</v>
      </c>
      <c r="J1286" s="71">
        <f t="array" ref="J1286">SUM( ($A$1205:$A$1284=$A1286)  * (J$1205:J$1284) )</f>
        <v>0</v>
      </c>
      <c r="K1286" s="71">
        <f t="array" ref="K1286">SUM( ($A$1205:$A$1284=$A1286)  * (K$1205:K$1284) )</f>
        <v>0</v>
      </c>
      <c r="L1286" s="71">
        <f t="array" ref="L1286">SUM( ($A$1205:$A$1284=$A1286)  * (L$1205:L$1284) )</f>
        <v>0</v>
      </c>
      <c r="M1286" s="71">
        <f t="array" ref="M1286">SUM( ($A$1205:$A$1284=$A1286)  * (M$1205:M$1284) )</f>
        <v>0</v>
      </c>
      <c r="N1286" s="71">
        <f t="array" ref="N1286">SUM( ($A$1205:$A$1284=$A1286)  * (N$1205:N$1284) )</f>
        <v>0</v>
      </c>
      <c r="O1286" s="71">
        <f t="array" ref="O1286">SUM( ($A$1205:$A$1284=$A1286)  * (O$1205:O$1284) )</f>
        <v>0</v>
      </c>
    </row>
    <row r="1287" spans="1:28" s="19" customFormat="1">
      <c r="A1287" s="1459" t="str">
        <f t="shared" si="267"/>
        <v>IS</v>
      </c>
      <c r="B1287" s="76"/>
      <c r="C1287" s="1459" t="str">
        <f t="shared" si="268"/>
        <v>Iron  &amp; Steel  - 351</v>
      </c>
      <c r="D1287" s="73"/>
      <c r="E1287" s="76"/>
      <c r="F1287" s="71">
        <f t="array" ref="F1287">SUM( ($A$1205:$A$1284=$A1287)  * (F$1205:F$1284) )</f>
        <v>1.0552580450999998E-3</v>
      </c>
      <c r="G1287" s="71">
        <f t="array" ref="G1287">SUM( ($A$1205:$A$1284=$A1287)  * (G$1205:G$1284) )</f>
        <v>1.2220481922113604E-3</v>
      </c>
      <c r="H1287" s="71">
        <f t="array" ref="H1287">SUM( ($A$1205:$A$1284=$A1287)  * (H$1205:H$1284) )</f>
        <v>1.5356725190120754E-3</v>
      </c>
      <c r="I1287" s="71">
        <f t="array" ref="I1287">SUM( ($A$1205:$A$1284=$A1287)  * (I$1205:I$1284) )</f>
        <v>1.9408031817241145E-3</v>
      </c>
      <c r="J1287" s="71">
        <f t="array" ref="J1287">SUM( ($A$1205:$A$1284=$A1287)  * (J$1205:J$1284) )</f>
        <v>2.4388838489943121E-3</v>
      </c>
      <c r="K1287" s="71">
        <f t="array" ref="K1287">SUM( ($A$1205:$A$1284=$A1287)  * (K$1205:K$1284) )</f>
        <v>3.064726810356942E-3</v>
      </c>
      <c r="L1287" s="71">
        <f t="array" ref="L1287">SUM( ($A$1205:$A$1284=$A1287)  * (L$1205:L$1284) )</f>
        <v>3.768091181508725E-3</v>
      </c>
      <c r="M1287" s="71">
        <f t="array" ref="M1287">SUM( ($A$1205:$A$1284=$A1287)  * (M$1205:M$1284) )</f>
        <v>4.5521958129774347E-3</v>
      </c>
      <c r="N1287" s="71">
        <f t="array" ref="N1287">SUM( ($A$1205:$A$1284=$A1287)  * (N$1205:N$1284) )</f>
        <v>5.3699066220024736E-3</v>
      </c>
      <c r="O1287" s="71">
        <f t="array" ref="O1287">SUM( ($A$1205:$A$1284=$A1287)  * (O$1205:O$1284) )</f>
        <v>6.2909540576489243E-3</v>
      </c>
    </row>
    <row r="1288" spans="1:28" s="19" customFormat="1">
      <c r="A1288" s="1459" t="str">
        <f t="shared" si="267"/>
        <v>CP</v>
      </c>
      <c r="B1288" s="76"/>
      <c r="C1288" s="1459" t="str">
        <f t="shared" si="268"/>
        <v>Chemicals  -33</v>
      </c>
      <c r="D1288" s="73"/>
      <c r="E1288" s="76"/>
      <c r="F1288" s="71">
        <f t="array" ref="F1288">SUM( ($A$1205:$A$1284=$A1288)  * (F$1205:F$1284) )</f>
        <v>0</v>
      </c>
      <c r="G1288" s="71">
        <f t="array" ref="G1288">SUM( ($A$1205:$A$1284=$A1288)  * (G$1205:G$1284) )</f>
        <v>0</v>
      </c>
      <c r="H1288" s="71">
        <f t="array" ref="H1288">SUM( ($A$1205:$A$1284=$A1288)  * (H$1205:H$1284) )</f>
        <v>0</v>
      </c>
      <c r="I1288" s="71">
        <f t="array" ref="I1288">SUM( ($A$1205:$A$1284=$A1288)  * (I$1205:I$1284) )</f>
        <v>0</v>
      </c>
      <c r="J1288" s="71">
        <f t="array" ref="J1288">SUM( ($A$1205:$A$1284=$A1288)  * (J$1205:J$1284) )</f>
        <v>0</v>
      </c>
      <c r="K1288" s="71">
        <f t="array" ref="K1288">SUM( ($A$1205:$A$1284=$A1288)  * (K$1205:K$1284) )</f>
        <v>0</v>
      </c>
      <c r="L1288" s="71">
        <f t="array" ref="L1288">SUM( ($A$1205:$A$1284=$A1288)  * (L$1205:L$1284) )</f>
        <v>0</v>
      </c>
      <c r="M1288" s="71">
        <f t="array" ref="M1288">SUM( ($A$1205:$A$1284=$A1288)  * (M$1205:M$1284) )</f>
        <v>0</v>
      </c>
      <c r="N1288" s="71">
        <f t="array" ref="N1288">SUM( ($A$1205:$A$1284=$A1288)  * (N$1205:N$1284) )</f>
        <v>0</v>
      </c>
      <c r="O1288" s="71">
        <f t="array" ref="O1288">SUM( ($A$1205:$A$1284=$A1288)  * (O$1205:O$1284) )</f>
        <v>0</v>
      </c>
    </row>
    <row r="1289" spans="1:28" s="19" customFormat="1">
      <c r="A1289" s="1459" t="str">
        <f t="shared" si="267"/>
        <v>NF</v>
      </c>
      <c r="B1289" s="76"/>
      <c r="C1289" s="1459" t="str">
        <f t="shared" si="268"/>
        <v>Non-Ferrous metals  - 352</v>
      </c>
      <c r="D1289" s="73"/>
      <c r="E1289" s="76"/>
      <c r="F1289" s="71">
        <f t="array" ref="F1289">SUM( ($A$1205:$A$1284=$A1289)  * (F$1205:F$1284) )</f>
        <v>0</v>
      </c>
      <c r="G1289" s="71">
        <f t="array" ref="G1289">SUM( ($A$1205:$A$1284=$A1289)  * (G$1205:G$1284) )</f>
        <v>0</v>
      </c>
      <c r="H1289" s="71">
        <f t="array" ref="H1289">SUM( ($A$1205:$A$1284=$A1289)  * (H$1205:H$1284) )</f>
        <v>0</v>
      </c>
      <c r="I1289" s="71">
        <f t="array" ref="I1289">SUM( ($A$1205:$A$1284=$A1289)  * (I$1205:I$1284) )</f>
        <v>0</v>
      </c>
      <c r="J1289" s="71">
        <f t="array" ref="J1289">SUM( ($A$1205:$A$1284=$A1289)  * (J$1205:J$1284) )</f>
        <v>0</v>
      </c>
      <c r="K1289" s="71">
        <f t="array" ref="K1289">SUM( ($A$1205:$A$1284=$A1289)  * (K$1205:K$1284) )</f>
        <v>0</v>
      </c>
      <c r="L1289" s="71">
        <f t="array" ref="L1289">SUM( ($A$1205:$A$1284=$A1289)  * (L$1205:L$1284) )</f>
        <v>0</v>
      </c>
      <c r="M1289" s="71">
        <f t="array" ref="M1289">SUM( ($A$1205:$A$1284=$A1289)  * (M$1205:M$1284) )</f>
        <v>0</v>
      </c>
      <c r="N1289" s="71">
        <f t="array" ref="N1289">SUM( ($A$1205:$A$1284=$A1289)  * (N$1205:N$1284) )</f>
        <v>0</v>
      </c>
      <c r="O1289" s="71">
        <f t="array" ref="O1289">SUM( ($A$1205:$A$1284=$A1289)  * (O$1205:O$1284) )</f>
        <v>0</v>
      </c>
    </row>
    <row r="1290" spans="1:28" s="19" customFormat="1">
      <c r="A1290" s="1459" t="str">
        <f t="shared" si="267"/>
        <v>NM</v>
      </c>
      <c r="B1290" s="76"/>
      <c r="C1290" s="1459" t="str">
        <f t="shared" si="268"/>
        <v>N.M.M Products  -34</v>
      </c>
      <c r="D1290" s="73"/>
      <c r="E1290" s="76"/>
      <c r="F1290" s="71">
        <f t="array" ref="F1290">SUM( ($A$1205:$A$1284=$A1290)  * (F$1205:F$1284) )</f>
        <v>0</v>
      </c>
      <c r="G1290" s="71">
        <f t="array" ref="G1290">SUM( ($A$1205:$A$1284=$A1290)  * (G$1205:G$1284) )</f>
        <v>0</v>
      </c>
      <c r="H1290" s="71">
        <f t="array" ref="H1290">SUM( ($A$1205:$A$1284=$A1290)  * (H$1205:H$1284) )</f>
        <v>0</v>
      </c>
      <c r="I1290" s="71">
        <f t="array" ref="I1290">SUM( ($A$1205:$A$1284=$A1290)  * (I$1205:I$1284) )</f>
        <v>0</v>
      </c>
      <c r="J1290" s="71">
        <f t="array" ref="J1290">SUM( ($A$1205:$A$1284=$A1290)  * (J$1205:J$1284) )</f>
        <v>0</v>
      </c>
      <c r="K1290" s="71">
        <f t="array" ref="K1290">SUM( ($A$1205:$A$1284=$A1290)  * (K$1205:K$1284) )</f>
        <v>0</v>
      </c>
      <c r="L1290" s="71">
        <f t="array" ref="L1290">SUM( ($A$1205:$A$1284=$A1290)  * (L$1205:L$1284) )</f>
        <v>0</v>
      </c>
      <c r="M1290" s="71">
        <f t="array" ref="M1290">SUM( ($A$1205:$A$1284=$A1290)  * (M$1205:M$1284) )</f>
        <v>0</v>
      </c>
      <c r="N1290" s="71">
        <f t="array" ref="N1290">SUM( ($A$1205:$A$1284=$A1290)  * (N$1205:N$1284) )</f>
        <v>0</v>
      </c>
      <c r="O1290" s="71">
        <f t="array" ref="O1290">SUM( ($A$1205:$A$1284=$A1290)  * (O$1205:O$1284) )</f>
        <v>0</v>
      </c>
    </row>
    <row r="1291" spans="1:28" s="19" customFormat="1">
      <c r="A1291" s="1459" t="str">
        <f t="shared" si="267"/>
        <v>FB</v>
      </c>
      <c r="B1291" s="76"/>
      <c r="C1291" s="1459" t="str">
        <f t="shared" si="268"/>
        <v>Food, Beverage &amp; Tabacco  - 30</v>
      </c>
      <c r="D1291" s="73"/>
      <c r="E1291" s="76"/>
      <c r="F1291" s="71">
        <f t="array" ref="F1291">SUM( ($A$1205:$A$1284=$A1291)  * (F$1205:F$1284) )</f>
        <v>0</v>
      </c>
      <c r="G1291" s="71">
        <f t="array" ref="G1291">SUM( ($A$1205:$A$1284=$A1291)  * (G$1205:G$1284) )</f>
        <v>0</v>
      </c>
      <c r="H1291" s="71">
        <f t="array" ref="H1291">SUM( ($A$1205:$A$1284=$A1291)  * (H$1205:H$1284) )</f>
        <v>0</v>
      </c>
      <c r="I1291" s="71">
        <f t="array" ref="I1291">SUM( ($A$1205:$A$1284=$A1291)  * (I$1205:I$1284) )</f>
        <v>0</v>
      </c>
      <c r="J1291" s="71">
        <f t="array" ref="J1291">SUM( ($A$1205:$A$1284=$A1291)  * (J$1205:J$1284) )</f>
        <v>0</v>
      </c>
      <c r="K1291" s="71">
        <f t="array" ref="K1291">SUM( ($A$1205:$A$1284=$A1291)  * (K$1205:K$1284) )</f>
        <v>0</v>
      </c>
      <c r="L1291" s="71">
        <f t="array" ref="L1291">SUM( ($A$1205:$A$1284=$A1291)  * (L$1205:L$1284) )</f>
        <v>0</v>
      </c>
      <c r="M1291" s="71">
        <f t="array" ref="M1291">SUM( ($A$1205:$A$1284=$A1291)  * (M$1205:M$1284) )</f>
        <v>0</v>
      </c>
      <c r="N1291" s="71">
        <f t="array" ref="N1291">SUM( ($A$1205:$A$1284=$A1291)  * (N$1205:N$1284) )</f>
        <v>0</v>
      </c>
      <c r="O1291" s="71">
        <f t="array" ref="O1291">SUM( ($A$1205:$A$1284=$A1291)  * (O$1205:O$1284) )</f>
        <v>0</v>
      </c>
    </row>
    <row r="1292" spans="1:28" s="19" customFormat="1">
      <c r="A1292" s="1459" t="str">
        <f t="shared" si="267"/>
        <v>PP</v>
      </c>
      <c r="B1292" s="76"/>
      <c r="C1292" s="1459" t="str">
        <f t="shared" si="268"/>
        <v>Pulp &amp; Paper Products  -323</v>
      </c>
      <c r="D1292" s="73"/>
      <c r="E1292" s="76"/>
      <c r="F1292" s="71">
        <f t="array" ref="F1292">SUM( ($A$1205:$A$1284=$A1292)  * (F$1205:F$1284) )</f>
        <v>0</v>
      </c>
      <c r="G1292" s="71">
        <f t="array" ref="G1292">SUM( ($A$1205:$A$1284=$A1292)  * (G$1205:G$1284) )</f>
        <v>0</v>
      </c>
      <c r="H1292" s="71">
        <f t="array" ref="H1292">SUM( ($A$1205:$A$1284=$A1292)  * (H$1205:H$1284) )</f>
        <v>0</v>
      </c>
      <c r="I1292" s="71">
        <f t="array" ref="I1292">SUM( ($A$1205:$A$1284=$A1292)  * (I$1205:I$1284) )</f>
        <v>0</v>
      </c>
      <c r="J1292" s="71">
        <f t="array" ref="J1292">SUM( ($A$1205:$A$1284=$A1292)  * (J$1205:J$1284) )</f>
        <v>0</v>
      </c>
      <c r="K1292" s="71">
        <f t="array" ref="K1292">SUM( ($A$1205:$A$1284=$A1292)  * (K$1205:K$1284) )</f>
        <v>0</v>
      </c>
      <c r="L1292" s="71">
        <f t="array" ref="L1292">SUM( ($A$1205:$A$1284=$A1292)  * (L$1205:L$1284) )</f>
        <v>0</v>
      </c>
      <c r="M1292" s="71">
        <f t="array" ref="M1292">SUM( ($A$1205:$A$1284=$A1292)  * (M$1205:M$1284) )</f>
        <v>0</v>
      </c>
      <c r="N1292" s="71">
        <f t="array" ref="N1292">SUM( ($A$1205:$A$1284=$A1292)  * (N$1205:N$1284) )</f>
        <v>0</v>
      </c>
      <c r="O1292" s="71">
        <f t="array" ref="O1292">SUM( ($A$1205:$A$1284=$A1292)  * (O$1205:O$1284) )</f>
        <v>0</v>
      </c>
    </row>
    <row r="1293" spans="1:28" s="19" customFormat="1">
      <c r="A1293" s="1459" t="str">
        <f t="shared" si="267"/>
        <v>OT</v>
      </c>
      <c r="B1293" s="76"/>
      <c r="C1293" s="1459" t="str">
        <f t="shared" si="268"/>
        <v>Other</v>
      </c>
      <c r="D1293" s="654"/>
      <c r="E1293" s="154"/>
      <c r="F1293" s="71">
        <f t="array" ref="F1293">SUM( ($A$1205:$A$1284=$A1293)  * (F$1205:F$1284) )</f>
        <v>0</v>
      </c>
      <c r="G1293" s="71">
        <f t="array" ref="G1293">SUM( ($A$1205:$A$1284=$A1293)  * (G$1205:G$1284) )</f>
        <v>0</v>
      </c>
      <c r="H1293" s="71">
        <f t="array" ref="H1293">SUM( ($A$1205:$A$1284=$A1293)  * (H$1205:H$1284) )</f>
        <v>0</v>
      </c>
      <c r="I1293" s="71">
        <f t="array" ref="I1293">SUM( ($A$1205:$A$1284=$A1293)  * (I$1205:I$1284) )</f>
        <v>0</v>
      </c>
      <c r="J1293" s="71">
        <f t="array" ref="J1293">SUM( ($A$1205:$A$1284=$A1293)  * (J$1205:J$1284) )</f>
        <v>0</v>
      </c>
      <c r="K1293" s="71">
        <f t="array" ref="K1293">SUM( ($A$1205:$A$1284=$A1293)  * (K$1205:K$1284) )</f>
        <v>0</v>
      </c>
      <c r="L1293" s="71">
        <f t="array" ref="L1293">SUM( ($A$1205:$A$1284=$A1293)  * (L$1205:L$1284) )</f>
        <v>0</v>
      </c>
      <c r="M1293" s="71">
        <f t="array" ref="M1293">SUM( ($A$1205:$A$1284=$A1293)  * (M$1205:M$1284) )</f>
        <v>0</v>
      </c>
      <c r="N1293" s="71">
        <f t="array" ref="N1293">SUM( ($A$1205:$A$1284=$A1293)  * (N$1205:N$1284) )</f>
        <v>0</v>
      </c>
      <c r="O1293" s="71">
        <f t="array" ref="O1293">SUM( ($A$1205:$A$1284=$A1293)  * (O$1205:O$1284) )</f>
        <v>0</v>
      </c>
      <c r="S1293" s="253"/>
      <c r="T1293" s="253"/>
      <c r="U1293" s="253"/>
      <c r="V1293" s="253"/>
      <c r="W1293" s="253"/>
      <c r="X1293" s="253"/>
      <c r="Y1293" s="253"/>
      <c r="Z1293" s="253"/>
      <c r="AA1293" s="253"/>
      <c r="AB1293" s="253"/>
    </row>
    <row r="1294" spans="1:28" s="19" customFormat="1">
      <c r="B1294" s="347"/>
      <c r="C1294" s="1086"/>
      <c r="D1294" s="644"/>
      <c r="E1294" s="154"/>
      <c r="F1294" s="22"/>
      <c r="G1294" s="22"/>
      <c r="H1294" s="22"/>
      <c r="I1294" s="22"/>
      <c r="J1294" s="22"/>
      <c r="K1294" s="22"/>
      <c r="L1294" s="22"/>
      <c r="M1294" s="22"/>
      <c r="N1294" s="22"/>
      <c r="O1294" s="22"/>
      <c r="S1294" s="253"/>
      <c r="T1294" s="253"/>
      <c r="U1294" s="253"/>
      <c r="V1294" s="253"/>
      <c r="W1294" s="253"/>
      <c r="X1294" s="253"/>
      <c r="Y1294" s="253"/>
      <c r="Z1294" s="253"/>
      <c r="AA1294" s="253"/>
      <c r="AB1294" s="253"/>
    </row>
    <row r="1295" spans="1:28" s="19" customFormat="1" ht="17">
      <c r="B1295" s="347"/>
      <c r="C1295" s="348" t="s">
        <v>426</v>
      </c>
      <c r="D1295" s="644"/>
      <c r="E1295" s="194" t="s">
        <v>413</v>
      </c>
      <c r="F1295" s="524">
        <f t="shared" ref="F1295:O1295" si="269">SUM(F1286:F1294)</f>
        <v>1.0552580450999998E-3</v>
      </c>
      <c r="G1295" s="524">
        <f t="shared" si="269"/>
        <v>1.2220481922113604E-3</v>
      </c>
      <c r="H1295" s="524">
        <f t="shared" si="269"/>
        <v>1.5356725190120754E-3</v>
      </c>
      <c r="I1295" s="524">
        <f t="shared" si="269"/>
        <v>1.9408031817241145E-3</v>
      </c>
      <c r="J1295" s="524">
        <f t="shared" si="269"/>
        <v>2.4388838489943121E-3</v>
      </c>
      <c r="K1295" s="524">
        <f t="shared" si="269"/>
        <v>3.064726810356942E-3</v>
      </c>
      <c r="L1295" s="524">
        <f t="shared" si="269"/>
        <v>3.768091181508725E-3</v>
      </c>
      <c r="M1295" s="524">
        <f t="shared" si="269"/>
        <v>4.5521958129774347E-3</v>
      </c>
      <c r="N1295" s="524">
        <f t="shared" si="269"/>
        <v>5.3699066220024736E-3</v>
      </c>
      <c r="O1295" s="524">
        <f t="shared" si="269"/>
        <v>6.2909540576489243E-3</v>
      </c>
      <c r="S1295" s="293"/>
      <c r="T1295" s="293"/>
      <c r="U1295" s="293"/>
      <c r="V1295" s="293"/>
      <c r="W1295" s="293"/>
      <c r="X1295" s="293"/>
      <c r="Y1295" s="293"/>
      <c r="Z1295" s="293"/>
      <c r="AA1295" s="293"/>
      <c r="AB1295" s="293"/>
    </row>
    <row r="1296" spans="1:28" s="19" customFormat="1">
      <c r="B1296" s="348"/>
      <c r="C1296" s="1086"/>
      <c r="D1296" s="644"/>
      <c r="S1296" s="166"/>
      <c r="T1296" s="166"/>
      <c r="U1296" s="166"/>
      <c r="V1296" s="166"/>
      <c r="W1296" s="166"/>
      <c r="X1296" s="166"/>
      <c r="Y1296" s="166"/>
      <c r="Z1296" s="166"/>
      <c r="AA1296" s="166"/>
      <c r="AB1296" s="166"/>
    </row>
    <row r="1297" spans="1:28" s="19" customFormat="1" collapsed="1">
      <c r="B1297" s="76" t="s">
        <v>351</v>
      </c>
      <c r="C1297" s="1086"/>
      <c r="D1297" s="644"/>
      <c r="E1297" s="76"/>
      <c r="S1297" s="166"/>
      <c r="T1297" s="166"/>
      <c r="U1297" s="166"/>
      <c r="V1297" s="166"/>
      <c r="W1297" s="166"/>
      <c r="X1297" s="166"/>
      <c r="Y1297" s="166"/>
      <c r="Z1297" s="166"/>
      <c r="AA1297" s="166"/>
      <c r="AB1297" s="166"/>
    </row>
    <row r="1298" spans="1:28" s="19" customFormat="1" hidden="1" outlineLevel="1">
      <c r="B1298" s="1393"/>
      <c r="C1298" s="1407" t="str">
        <f>D20</f>
        <v>Mining SIC2</v>
      </c>
      <c r="D1298" s="1391"/>
      <c r="E1298" s="1393"/>
      <c r="F1298" s="1401"/>
      <c r="G1298" s="1401"/>
      <c r="H1298" s="1401"/>
      <c r="I1298" s="1401"/>
      <c r="J1298" s="1401"/>
      <c r="K1298" s="1401"/>
      <c r="L1298" s="1401"/>
      <c r="M1298" s="1401"/>
      <c r="N1298" s="1401"/>
      <c r="O1298" s="1401"/>
      <c r="S1298" s="166"/>
      <c r="T1298" s="166"/>
      <c r="U1298" s="166"/>
      <c r="V1298" s="166"/>
      <c r="W1298" s="166"/>
      <c r="X1298" s="166"/>
      <c r="Y1298" s="166"/>
      <c r="Z1298" s="166"/>
      <c r="AA1298" s="166"/>
      <c r="AB1298" s="166"/>
    </row>
    <row r="1299" spans="1:28" s="19" customFormat="1" hidden="1" outlineLevel="1">
      <c r="A1299" s="1438" t="str">
        <f>INDEX($C$20:$C$27,MATCH($C1298,$D$20:$D$27,0))</f>
        <v>MI</v>
      </c>
      <c r="B1299" s="1400" t="str">
        <f>INDEX(EF[UK Vector],MATCH(D1299,EF[SATIM Code],0))</f>
        <v>V.03</v>
      </c>
      <c r="C1299" s="1401" t="str">
        <f>INDEX(Vectors[Description], MATCH($B1299, Vectors[Code], 0))</f>
        <v>Solid hydrocarbons</v>
      </c>
      <c r="D1299" s="1391" t="s">
        <v>882</v>
      </c>
      <c r="E1299" s="1439" t="s">
        <v>1836</v>
      </c>
      <c r="F1299" s="1381">
        <f t="array" ref="F1299">SUM( ($E$1016:$E$1039=$E$1107)* ($A$1016:$A$1039=$A1299) * ($D$1016:$D$1039= $D1299) * (F$1016:F$1039) ) * SUM(EF[N2O] * (EF[SATIM Code]= $D1299) )</f>
        <v>0</v>
      </c>
      <c r="G1299" s="1381">
        <f t="array" ref="G1299">SUM( ($E$1016:$E$1039=$E$1107)* ($A$1016:$A$1039=$A1299) * ($D$1016:$D$1039= $D1299) * (G$1016:G$1039) ) * SUM(EF[N2O] * (EF[SATIM Code]= $D1299) )</f>
        <v>0</v>
      </c>
      <c r="H1299" s="1381">
        <f t="array" ref="H1299">SUM( ($E$1016:$E$1039=$E$1107)* ($A$1016:$A$1039=$A1299) * ($D$1016:$D$1039= $D1299) * (H$1016:H$1039) ) * SUM(EF[N2O] * (EF[SATIM Code]= $D1299) )</f>
        <v>0</v>
      </c>
      <c r="I1299" s="1381">
        <f t="array" ref="I1299">SUM( ($E$1016:$E$1039=$E$1107)* ($A$1016:$A$1039=$A1299) * ($D$1016:$D$1039= $D1299) * (I$1016:I$1039) ) * SUM(EF[N2O] * (EF[SATIM Code]= $D1299) )</f>
        <v>0</v>
      </c>
      <c r="J1299" s="1381">
        <f t="array" ref="J1299">SUM( ($E$1016:$E$1039=$E$1107)* ($A$1016:$A$1039=$A1299) * ($D$1016:$D$1039= $D1299) * (J$1016:J$1039) ) * SUM(EF[N2O] * (EF[SATIM Code]= $D1299) )</f>
        <v>0</v>
      </c>
      <c r="K1299" s="1381">
        <f t="array" ref="K1299">SUM( ($E$1016:$E$1039=$E$1107)* ($A$1016:$A$1039=$A1299) * ($D$1016:$D$1039= $D1299) * (K$1016:K$1039) ) * SUM(EF[N2O] * (EF[SATIM Code]= $D1299) )</f>
        <v>0</v>
      </c>
      <c r="L1299" s="1381">
        <f t="array" ref="L1299">SUM( ($E$1016:$E$1039=$E$1107)* ($A$1016:$A$1039=$A1299) * ($D$1016:$D$1039= $D1299) * (L$1016:L$1039) ) * SUM(EF[N2O] * (EF[SATIM Code]= $D1299) )</f>
        <v>0</v>
      </c>
      <c r="M1299" s="1381">
        <f t="array" ref="M1299">SUM( ($E$1016:$E$1039=$E$1107)* ($A$1016:$A$1039=$A1299) * ($D$1016:$D$1039= $D1299) * (M$1016:M$1039) ) * SUM(EF[N2O] * (EF[SATIM Code]= $D1299) )</f>
        <v>0</v>
      </c>
      <c r="N1299" s="1381">
        <f t="array" ref="N1299">SUM( ($E$1016:$E$1039=$E$1107)* ($A$1016:$A$1039=$A1299) * ($D$1016:$D$1039= $D1299) * (N$1016:N$1039) ) * SUM(EF[N2O] * (EF[SATIM Code]= $D1299) )</f>
        <v>0</v>
      </c>
      <c r="O1299" s="1381">
        <f t="array" ref="O1299">SUM( ($E$1016:$E$1039=$E$1107)* ($A$1016:$A$1039=$A1299) * ($D$1016:$D$1039= $D1299) * (O$1016:O$1039) ) * SUM(EF[N2O] * (EF[SATIM Code]= $D1299) )</f>
        <v>0</v>
      </c>
      <c r="S1299" s="166"/>
      <c r="T1299" s="166"/>
      <c r="U1299" s="166"/>
      <c r="V1299" s="166"/>
      <c r="W1299" s="166"/>
      <c r="X1299" s="166"/>
      <c r="Y1299" s="166"/>
      <c r="Z1299" s="166"/>
      <c r="AA1299" s="166"/>
      <c r="AB1299" s="166"/>
    </row>
    <row r="1300" spans="1:28" s="19" customFormat="1" hidden="1" outlineLevel="1">
      <c r="A1300" s="19" t="str">
        <f t="shared" ref="A1300:A1307" si="270">A1299</f>
        <v>MI</v>
      </c>
      <c r="B1300" s="1400" t="str">
        <f>INDEX(EF[UK Vector],MATCH(D1300,EF[SATIM Code],0))</f>
        <v>V.03</v>
      </c>
      <c r="C1300" s="1401" t="str">
        <f>INDEX(Vectors[Description], MATCH($B1300, Vectors[Code], 0))</f>
        <v>Solid hydrocarbons</v>
      </c>
      <c r="D1300" s="1391" t="s">
        <v>883</v>
      </c>
      <c r="E1300" s="1393"/>
      <c r="F1300" s="1381">
        <f t="array" ref="F1300">SUM( ($E$1016:$E$1039=$E$1107)* ($A$1016:$A$1039=$A1300) * ($D$1016:$D$1039= $D1300) * (F$1016:F$1039) ) * SUM(EF[N2O] * (EF[SATIM Code]= $D1300) )</f>
        <v>0</v>
      </c>
      <c r="G1300" s="1381">
        <f t="array" ref="G1300">SUM( ($E$1016:$E$1039=$E$1107)* ($A$1016:$A$1039=$A1300) * ($D$1016:$D$1039= $D1300) * (G$1016:G$1039) ) * SUM(EF[N2O] * (EF[SATIM Code]= $D1300) )</f>
        <v>0</v>
      </c>
      <c r="H1300" s="1381">
        <f t="array" ref="H1300">SUM( ($E$1016:$E$1039=$E$1107)* ($A$1016:$A$1039=$A1300) * ($D$1016:$D$1039= $D1300) * (H$1016:H$1039) ) * SUM(EF[N2O] * (EF[SATIM Code]= $D1300) )</f>
        <v>0</v>
      </c>
      <c r="I1300" s="1381">
        <f t="array" ref="I1300">SUM( ($E$1016:$E$1039=$E$1107)* ($A$1016:$A$1039=$A1300) * ($D$1016:$D$1039= $D1300) * (I$1016:I$1039) ) * SUM(EF[N2O] * (EF[SATIM Code]= $D1300) )</f>
        <v>0</v>
      </c>
      <c r="J1300" s="1381">
        <f t="array" ref="J1300">SUM( ($E$1016:$E$1039=$E$1107)* ($A$1016:$A$1039=$A1300) * ($D$1016:$D$1039= $D1300) * (J$1016:J$1039) ) * SUM(EF[N2O] * (EF[SATIM Code]= $D1300) )</f>
        <v>0</v>
      </c>
      <c r="K1300" s="1381">
        <f t="array" ref="K1300">SUM( ($E$1016:$E$1039=$E$1107)* ($A$1016:$A$1039=$A1300) * ($D$1016:$D$1039= $D1300) * (K$1016:K$1039) ) * SUM(EF[N2O] * (EF[SATIM Code]= $D1300) )</f>
        <v>0</v>
      </c>
      <c r="L1300" s="1381">
        <f t="array" ref="L1300">SUM( ($E$1016:$E$1039=$E$1107)* ($A$1016:$A$1039=$A1300) * ($D$1016:$D$1039= $D1300) * (L$1016:L$1039) ) * SUM(EF[N2O] * (EF[SATIM Code]= $D1300) )</f>
        <v>0</v>
      </c>
      <c r="M1300" s="1381">
        <f t="array" ref="M1300">SUM( ($E$1016:$E$1039=$E$1107)* ($A$1016:$A$1039=$A1300) * ($D$1016:$D$1039= $D1300) * (M$1016:M$1039) ) * SUM(EF[N2O] * (EF[SATIM Code]= $D1300) )</f>
        <v>0</v>
      </c>
      <c r="N1300" s="1381">
        <f t="array" ref="N1300">SUM( ($E$1016:$E$1039=$E$1107)* ($A$1016:$A$1039=$A1300) * ($D$1016:$D$1039= $D1300) * (N$1016:N$1039) ) * SUM(EF[N2O] * (EF[SATIM Code]= $D1300) )</f>
        <v>0</v>
      </c>
      <c r="O1300" s="1381">
        <f t="array" ref="O1300">SUM( ($E$1016:$E$1039=$E$1107)* ($A$1016:$A$1039=$A1300) * ($D$1016:$D$1039= $D1300) * (O$1016:O$1039) ) * SUM(EF[N2O] * (EF[SATIM Code]= $D1300) )</f>
        <v>0</v>
      </c>
      <c r="S1300" s="166"/>
      <c r="T1300" s="166"/>
      <c r="U1300" s="166"/>
      <c r="V1300" s="166"/>
      <c r="W1300" s="166"/>
      <c r="X1300" s="166"/>
      <c r="Y1300" s="166"/>
      <c r="Z1300" s="166"/>
      <c r="AA1300" s="166"/>
      <c r="AB1300" s="166"/>
    </row>
    <row r="1301" spans="1:28" s="19" customFormat="1" hidden="1" outlineLevel="1">
      <c r="A1301" s="19" t="str">
        <f t="shared" si="270"/>
        <v>MI</v>
      </c>
      <c r="B1301" s="1400" t="str">
        <f>INDEX(EF[UK Vector],MATCH(D1301,EF[SATIM Code],0))</f>
        <v>V.05</v>
      </c>
      <c r="C1301" s="1401" t="str">
        <f>INDEX(Vectors[Description], MATCH($B1301, Vectors[Code], 0))</f>
        <v>Gaseous hydrocarbons</v>
      </c>
      <c r="D1301" s="1406" t="s">
        <v>869</v>
      </c>
      <c r="E1301" s="1393"/>
      <c r="F1301" s="1381">
        <f t="array" ref="F1301">SUM( ($E$1016:$E$1039=$E$1107)* ($A$1016:$A$1039=$A1301) * ($D$1016:$D$1039= $D1301) * (F$1016:F$1039) ) * SUM(EF[N2O] * (EF[SATIM Code]= $D1301) )</f>
        <v>0</v>
      </c>
      <c r="G1301" s="1381">
        <f t="array" ref="G1301">SUM( ($E$1016:$E$1039=$E$1107)* ($A$1016:$A$1039=$A1301) * ($D$1016:$D$1039= $D1301) * (G$1016:G$1039) ) * SUM(EF[N2O] * (EF[SATIM Code]= $D1301) )</f>
        <v>0</v>
      </c>
      <c r="H1301" s="1381">
        <f t="array" ref="H1301">SUM( ($E$1016:$E$1039=$E$1107)* ($A$1016:$A$1039=$A1301) * ($D$1016:$D$1039= $D1301) * (H$1016:H$1039) ) * SUM(EF[N2O] * (EF[SATIM Code]= $D1301) )</f>
        <v>0</v>
      </c>
      <c r="I1301" s="1381">
        <f t="array" ref="I1301">SUM( ($E$1016:$E$1039=$E$1107)* ($A$1016:$A$1039=$A1301) * ($D$1016:$D$1039= $D1301) * (I$1016:I$1039) ) * SUM(EF[N2O] * (EF[SATIM Code]= $D1301) )</f>
        <v>0</v>
      </c>
      <c r="J1301" s="1381">
        <f t="array" ref="J1301">SUM( ($E$1016:$E$1039=$E$1107)* ($A$1016:$A$1039=$A1301) * ($D$1016:$D$1039= $D1301) * (J$1016:J$1039) ) * SUM(EF[N2O] * (EF[SATIM Code]= $D1301) )</f>
        <v>0</v>
      </c>
      <c r="K1301" s="1381">
        <f t="array" ref="K1301">SUM( ($E$1016:$E$1039=$E$1107)* ($A$1016:$A$1039=$A1301) * ($D$1016:$D$1039= $D1301) * (K$1016:K$1039) ) * SUM(EF[N2O] * (EF[SATIM Code]= $D1301) )</f>
        <v>0</v>
      </c>
      <c r="L1301" s="1381">
        <f t="array" ref="L1301">SUM( ($E$1016:$E$1039=$E$1107)* ($A$1016:$A$1039=$A1301) * ($D$1016:$D$1039= $D1301) * (L$1016:L$1039) ) * SUM(EF[N2O] * (EF[SATIM Code]= $D1301) )</f>
        <v>0</v>
      </c>
      <c r="M1301" s="1381">
        <f t="array" ref="M1301">SUM( ($E$1016:$E$1039=$E$1107)* ($A$1016:$A$1039=$A1301) * ($D$1016:$D$1039= $D1301) * (M$1016:M$1039) ) * SUM(EF[N2O] * (EF[SATIM Code]= $D1301) )</f>
        <v>0</v>
      </c>
      <c r="N1301" s="1381">
        <f t="array" ref="N1301">SUM( ($E$1016:$E$1039=$E$1107)* ($A$1016:$A$1039=$A1301) * ($D$1016:$D$1039= $D1301) * (N$1016:N$1039) ) * SUM(EF[N2O] * (EF[SATIM Code]= $D1301) )</f>
        <v>0</v>
      </c>
      <c r="O1301" s="1381">
        <f t="array" ref="O1301">SUM( ($E$1016:$E$1039=$E$1107)* ($A$1016:$A$1039=$A1301) * ($D$1016:$D$1039= $D1301) * (O$1016:O$1039) ) * SUM(EF[N2O] * (EF[SATIM Code]= $D1301) )</f>
        <v>0</v>
      </c>
      <c r="S1301" s="166"/>
      <c r="T1301" s="166"/>
      <c r="U1301" s="166"/>
      <c r="V1301" s="166"/>
      <c r="W1301" s="166"/>
      <c r="X1301" s="166"/>
      <c r="Y1301" s="166"/>
      <c r="Z1301" s="166"/>
      <c r="AA1301" s="166"/>
      <c r="AB1301" s="166"/>
    </row>
    <row r="1302" spans="1:28" s="19" customFormat="1" hidden="1" outlineLevel="1">
      <c r="A1302" s="19" t="str">
        <f t="shared" si="270"/>
        <v>MI</v>
      </c>
      <c r="B1302" s="1400" t="str">
        <f>INDEX(EF[UK Vector],MATCH(D1302,EF[SATIM Code],0))</f>
        <v>V.04</v>
      </c>
      <c r="C1302" s="1401" t="str">
        <f>INDEX(Vectors[Description], MATCH($B1302, Vectors[Code], 0))</f>
        <v>Liquid hydrocarbons</v>
      </c>
      <c r="D1302" s="1406" t="s">
        <v>885</v>
      </c>
      <c r="E1302" s="1393"/>
      <c r="F1302" s="1381">
        <f t="array" ref="F1302">SUM( ($E$1016:$E$1039=$E$1107)* ($A$1016:$A$1039=$A1302) * ($D$1016:$D$1039= $D1302) * (F$1016:F$1039) ) * SUM(EF[N2O] * (EF[SATIM Code]= $D1302) )</f>
        <v>0</v>
      </c>
      <c r="G1302" s="1381">
        <f t="array" ref="G1302">SUM( ($E$1016:$E$1039=$E$1107)* ($A$1016:$A$1039=$A1302) * ($D$1016:$D$1039= $D1302) * (G$1016:G$1039) ) * SUM(EF[N2O] * (EF[SATIM Code]= $D1302) )</f>
        <v>0</v>
      </c>
      <c r="H1302" s="1381">
        <f t="array" ref="H1302">SUM( ($E$1016:$E$1039=$E$1107)* ($A$1016:$A$1039=$A1302) * ($D$1016:$D$1039= $D1302) * (H$1016:H$1039) ) * SUM(EF[N2O] * (EF[SATIM Code]= $D1302) )</f>
        <v>0</v>
      </c>
      <c r="I1302" s="1381">
        <f t="array" ref="I1302">SUM( ($E$1016:$E$1039=$E$1107)* ($A$1016:$A$1039=$A1302) * ($D$1016:$D$1039= $D1302) * (I$1016:I$1039) ) * SUM(EF[N2O] * (EF[SATIM Code]= $D1302) )</f>
        <v>0</v>
      </c>
      <c r="J1302" s="1381">
        <f t="array" ref="J1302">SUM( ($E$1016:$E$1039=$E$1107)* ($A$1016:$A$1039=$A1302) * ($D$1016:$D$1039= $D1302) * (J$1016:J$1039) ) * SUM(EF[N2O] * (EF[SATIM Code]= $D1302) )</f>
        <v>0</v>
      </c>
      <c r="K1302" s="1381">
        <f t="array" ref="K1302">SUM( ($E$1016:$E$1039=$E$1107)* ($A$1016:$A$1039=$A1302) * ($D$1016:$D$1039= $D1302) * (K$1016:K$1039) ) * SUM(EF[N2O] * (EF[SATIM Code]= $D1302) )</f>
        <v>0</v>
      </c>
      <c r="L1302" s="1381">
        <f t="array" ref="L1302">SUM( ($E$1016:$E$1039=$E$1107)* ($A$1016:$A$1039=$A1302) * ($D$1016:$D$1039= $D1302) * (L$1016:L$1039) ) * SUM(EF[N2O] * (EF[SATIM Code]= $D1302) )</f>
        <v>0</v>
      </c>
      <c r="M1302" s="1381">
        <f t="array" ref="M1302">SUM( ($E$1016:$E$1039=$E$1107)* ($A$1016:$A$1039=$A1302) * ($D$1016:$D$1039= $D1302) * (M$1016:M$1039) ) * SUM(EF[N2O] * (EF[SATIM Code]= $D1302) )</f>
        <v>0</v>
      </c>
      <c r="N1302" s="1381">
        <f t="array" ref="N1302">SUM( ($E$1016:$E$1039=$E$1107)* ($A$1016:$A$1039=$A1302) * ($D$1016:$D$1039= $D1302) * (N$1016:N$1039) ) * SUM(EF[N2O] * (EF[SATIM Code]= $D1302) )</f>
        <v>0</v>
      </c>
      <c r="O1302" s="1381">
        <f t="array" ref="O1302">SUM( ($E$1016:$E$1039=$E$1107)* ($A$1016:$A$1039=$A1302) * ($D$1016:$D$1039= $D1302) * (O$1016:O$1039) ) * SUM(EF[N2O] * (EF[SATIM Code]= $D1302) )</f>
        <v>0</v>
      </c>
      <c r="S1302" s="166"/>
      <c r="T1302" s="166"/>
      <c r="U1302" s="166"/>
      <c r="V1302" s="166"/>
      <c r="W1302" s="166"/>
      <c r="X1302" s="166"/>
      <c r="Y1302" s="166"/>
      <c r="Z1302" s="166"/>
      <c r="AA1302" s="166"/>
      <c r="AB1302" s="166"/>
    </row>
    <row r="1303" spans="1:28" s="19" customFormat="1" hidden="1" outlineLevel="1">
      <c r="A1303" s="19" t="str">
        <f t="shared" si="270"/>
        <v>MI</v>
      </c>
      <c r="B1303" s="1400" t="str">
        <f>INDEX(EF[UK Vector],MATCH(D1303,EF[SATIM Code],0))</f>
        <v>V.04</v>
      </c>
      <c r="C1303" s="1401" t="str">
        <f>INDEX(Vectors[Description], MATCH($B1303, Vectors[Code], 0))</f>
        <v>Liquid hydrocarbons</v>
      </c>
      <c r="D1303" s="1391" t="s">
        <v>886</v>
      </c>
      <c r="E1303" s="1393"/>
      <c r="F1303" s="1381">
        <f t="array" ref="F1303">SUM( ($E$1016:$E$1039=$E$1107)* ($A$1016:$A$1039=$A1303) * ($D$1016:$D$1039= $D1303) * (F$1016:F$1039) ) * SUM(EF[N2O] * (EF[SATIM Code]= $D1303) )</f>
        <v>0</v>
      </c>
      <c r="G1303" s="1381">
        <f t="array" ref="G1303">SUM( ($E$1016:$E$1039=$E$1107)* ($A$1016:$A$1039=$A1303) * ($D$1016:$D$1039= $D1303) * (G$1016:G$1039) ) * SUM(EF[N2O] * (EF[SATIM Code]= $D1303) )</f>
        <v>0</v>
      </c>
      <c r="H1303" s="1381">
        <f t="array" ref="H1303">SUM( ($E$1016:$E$1039=$E$1107)* ($A$1016:$A$1039=$A1303) * ($D$1016:$D$1039= $D1303) * (H$1016:H$1039) ) * SUM(EF[N2O] * (EF[SATIM Code]= $D1303) )</f>
        <v>0</v>
      </c>
      <c r="I1303" s="1381">
        <f t="array" ref="I1303">SUM( ($E$1016:$E$1039=$E$1107)* ($A$1016:$A$1039=$A1303) * ($D$1016:$D$1039= $D1303) * (I$1016:I$1039) ) * SUM(EF[N2O] * (EF[SATIM Code]= $D1303) )</f>
        <v>0</v>
      </c>
      <c r="J1303" s="1381">
        <f t="array" ref="J1303">SUM( ($E$1016:$E$1039=$E$1107)* ($A$1016:$A$1039=$A1303) * ($D$1016:$D$1039= $D1303) * (J$1016:J$1039) ) * SUM(EF[N2O] * (EF[SATIM Code]= $D1303) )</f>
        <v>0</v>
      </c>
      <c r="K1303" s="1381">
        <f t="array" ref="K1303">SUM( ($E$1016:$E$1039=$E$1107)* ($A$1016:$A$1039=$A1303) * ($D$1016:$D$1039= $D1303) * (K$1016:K$1039) ) * SUM(EF[N2O] * (EF[SATIM Code]= $D1303) )</f>
        <v>0</v>
      </c>
      <c r="L1303" s="1381">
        <f t="array" ref="L1303">SUM( ($E$1016:$E$1039=$E$1107)* ($A$1016:$A$1039=$A1303) * ($D$1016:$D$1039= $D1303) * (L$1016:L$1039) ) * SUM(EF[N2O] * (EF[SATIM Code]= $D1303) )</f>
        <v>0</v>
      </c>
      <c r="M1303" s="1381">
        <f t="array" ref="M1303">SUM( ($E$1016:$E$1039=$E$1107)* ($A$1016:$A$1039=$A1303) * ($D$1016:$D$1039= $D1303) * (M$1016:M$1039) ) * SUM(EF[N2O] * (EF[SATIM Code]= $D1303) )</f>
        <v>0</v>
      </c>
      <c r="N1303" s="1381">
        <f t="array" ref="N1303">SUM( ($E$1016:$E$1039=$E$1107)* ($A$1016:$A$1039=$A1303) * ($D$1016:$D$1039= $D1303) * (N$1016:N$1039) ) * SUM(EF[N2O] * (EF[SATIM Code]= $D1303) )</f>
        <v>0</v>
      </c>
      <c r="O1303" s="1381">
        <f t="array" ref="O1303">SUM( ($E$1016:$E$1039=$E$1107)* ($A$1016:$A$1039=$A1303) * ($D$1016:$D$1039= $D1303) * (O$1016:O$1039) ) * SUM(EF[N2O] * (EF[SATIM Code]= $D1303) )</f>
        <v>0</v>
      </c>
      <c r="S1303" s="166"/>
      <c r="T1303" s="166"/>
      <c r="U1303" s="166"/>
      <c r="V1303" s="166"/>
      <c r="W1303" s="166"/>
      <c r="X1303" s="166"/>
      <c r="Y1303" s="166"/>
      <c r="Z1303" s="166"/>
      <c r="AA1303" s="166"/>
      <c r="AB1303" s="166"/>
    </row>
    <row r="1304" spans="1:28" s="19" customFormat="1" hidden="1" outlineLevel="1">
      <c r="A1304" s="19" t="str">
        <f t="shared" si="270"/>
        <v>MI</v>
      </c>
      <c r="B1304" s="1400" t="str">
        <f>INDEX(EF[UK Vector],MATCH(D1304,EF[SATIM Code],0))</f>
        <v>V.04</v>
      </c>
      <c r="C1304" s="1401" t="str">
        <f>INDEX(Vectors[Description], MATCH($B1304, Vectors[Code], 0))</f>
        <v>Liquid hydrocarbons</v>
      </c>
      <c r="D1304" s="1406" t="s">
        <v>887</v>
      </c>
      <c r="E1304" s="1401"/>
      <c r="F1304" s="1381">
        <f t="array" ref="F1304">SUM( ($E$1016:$E$1039=$E$1107)* ($A$1016:$A$1039=$A1304) * ($D$1016:$D$1039= $D1304) * (F$1016:F$1039) ) * SUM(EF[N2O] * (EF[SATIM Code]= $D1304) )</f>
        <v>0</v>
      </c>
      <c r="G1304" s="1381">
        <f t="array" ref="G1304">SUM( ($E$1016:$E$1039=$E$1107)* ($A$1016:$A$1039=$A1304) * ($D$1016:$D$1039= $D1304) * (G$1016:G$1039) ) * SUM(EF[N2O] * (EF[SATIM Code]= $D1304) )</f>
        <v>0</v>
      </c>
      <c r="H1304" s="1381">
        <f t="array" ref="H1304">SUM( ($E$1016:$E$1039=$E$1107)* ($A$1016:$A$1039=$A1304) * ($D$1016:$D$1039= $D1304) * (H$1016:H$1039) ) * SUM(EF[N2O] * (EF[SATIM Code]= $D1304) )</f>
        <v>0</v>
      </c>
      <c r="I1304" s="1381">
        <f t="array" ref="I1304">SUM( ($E$1016:$E$1039=$E$1107)* ($A$1016:$A$1039=$A1304) * ($D$1016:$D$1039= $D1304) * (I$1016:I$1039) ) * SUM(EF[N2O] * (EF[SATIM Code]= $D1304) )</f>
        <v>0</v>
      </c>
      <c r="J1304" s="1381">
        <f t="array" ref="J1304">SUM( ($E$1016:$E$1039=$E$1107)* ($A$1016:$A$1039=$A1304) * ($D$1016:$D$1039= $D1304) * (J$1016:J$1039) ) * SUM(EF[N2O] * (EF[SATIM Code]= $D1304) )</f>
        <v>0</v>
      </c>
      <c r="K1304" s="1381">
        <f t="array" ref="K1304">SUM( ($E$1016:$E$1039=$E$1107)* ($A$1016:$A$1039=$A1304) * ($D$1016:$D$1039= $D1304) * (K$1016:K$1039) ) * SUM(EF[N2O] * (EF[SATIM Code]= $D1304) )</f>
        <v>0</v>
      </c>
      <c r="L1304" s="1381">
        <f t="array" ref="L1304">SUM( ($E$1016:$E$1039=$E$1107)* ($A$1016:$A$1039=$A1304) * ($D$1016:$D$1039= $D1304) * (L$1016:L$1039) ) * SUM(EF[N2O] * (EF[SATIM Code]= $D1304) )</f>
        <v>0</v>
      </c>
      <c r="M1304" s="1381">
        <f t="array" ref="M1304">SUM( ($E$1016:$E$1039=$E$1107)* ($A$1016:$A$1039=$A1304) * ($D$1016:$D$1039= $D1304) * (M$1016:M$1039) ) * SUM(EF[N2O] * (EF[SATIM Code]= $D1304) )</f>
        <v>0</v>
      </c>
      <c r="N1304" s="1381">
        <f t="array" ref="N1304">SUM( ($E$1016:$E$1039=$E$1107)* ($A$1016:$A$1039=$A1304) * ($D$1016:$D$1039= $D1304) * (N$1016:N$1039) ) * SUM(EF[N2O] * (EF[SATIM Code]= $D1304) )</f>
        <v>0</v>
      </c>
      <c r="O1304" s="1381">
        <f t="array" ref="O1304">SUM( ($E$1016:$E$1039=$E$1107)* ($A$1016:$A$1039=$A1304) * ($D$1016:$D$1039= $D1304) * (O$1016:O$1039) ) * SUM(EF[N2O] * (EF[SATIM Code]= $D1304) )</f>
        <v>0</v>
      </c>
      <c r="S1304" s="166"/>
      <c r="T1304" s="166"/>
      <c r="U1304" s="166"/>
      <c r="V1304" s="166"/>
      <c r="W1304" s="166"/>
      <c r="X1304" s="166"/>
      <c r="Y1304" s="166"/>
      <c r="Z1304" s="166"/>
      <c r="AA1304" s="166"/>
      <c r="AB1304" s="166"/>
    </row>
    <row r="1305" spans="1:28" s="19" customFormat="1" hidden="1" outlineLevel="1">
      <c r="A1305" s="19" t="str">
        <f t="shared" si="270"/>
        <v>MI</v>
      </c>
      <c r="B1305" s="1400" t="str">
        <f>INDEX(EF[UK Vector],MATCH(D1305,EF[SATIM Code],0))</f>
        <v>V.09</v>
      </c>
      <c r="C1305" s="1401" t="str">
        <f>INDEX(Vectors[Description], MATCH($B1305, Vectors[Code], 0))</f>
        <v>Dry biomass and waste</v>
      </c>
      <c r="D1305" s="1406" t="s">
        <v>888</v>
      </c>
      <c r="E1305" s="1407"/>
      <c r="F1305" s="1381">
        <f t="array" ref="F1305">SUM( ($E$1016:$E$1039=$E$1107)* ($A$1016:$A$1039=$A1305) * ($D$1016:$D$1039= $D1305) * (F$1016:F$1039) ) * SUM(EF[N2O] * (EF[SATIM Code]= $D1305) )</f>
        <v>0</v>
      </c>
      <c r="G1305" s="1381">
        <f t="array" ref="G1305">SUM( ($E$1016:$E$1039=$E$1107)* ($A$1016:$A$1039=$A1305) * ($D$1016:$D$1039= $D1305) * (G$1016:G$1039) ) * SUM(EF[N2O] * (EF[SATIM Code]= $D1305) )</f>
        <v>0</v>
      </c>
      <c r="H1305" s="1381">
        <f t="array" ref="H1305">SUM( ($E$1016:$E$1039=$E$1107)* ($A$1016:$A$1039=$A1305) * ($D$1016:$D$1039= $D1305) * (H$1016:H$1039) ) * SUM(EF[N2O] * (EF[SATIM Code]= $D1305) )</f>
        <v>0</v>
      </c>
      <c r="I1305" s="1381">
        <f t="array" ref="I1305">SUM( ($E$1016:$E$1039=$E$1107)* ($A$1016:$A$1039=$A1305) * ($D$1016:$D$1039= $D1305) * (I$1016:I$1039) ) * SUM(EF[N2O] * (EF[SATIM Code]= $D1305) )</f>
        <v>0</v>
      </c>
      <c r="J1305" s="1381">
        <f t="array" ref="J1305">SUM( ($E$1016:$E$1039=$E$1107)* ($A$1016:$A$1039=$A1305) * ($D$1016:$D$1039= $D1305) * (J$1016:J$1039) ) * SUM(EF[N2O] * (EF[SATIM Code]= $D1305) )</f>
        <v>0</v>
      </c>
      <c r="K1305" s="1381">
        <f t="array" ref="K1305">SUM( ($E$1016:$E$1039=$E$1107)* ($A$1016:$A$1039=$A1305) * ($D$1016:$D$1039= $D1305) * (K$1016:K$1039) ) * SUM(EF[N2O] * (EF[SATIM Code]= $D1305) )</f>
        <v>0</v>
      </c>
      <c r="L1305" s="1381">
        <f t="array" ref="L1305">SUM( ($E$1016:$E$1039=$E$1107)* ($A$1016:$A$1039=$A1305) * ($D$1016:$D$1039= $D1305) * (L$1016:L$1039) ) * SUM(EF[N2O] * (EF[SATIM Code]= $D1305) )</f>
        <v>0</v>
      </c>
      <c r="M1305" s="1381">
        <f t="array" ref="M1305">SUM( ($E$1016:$E$1039=$E$1107)* ($A$1016:$A$1039=$A1305) * ($D$1016:$D$1039= $D1305) * (M$1016:M$1039) ) * SUM(EF[N2O] * (EF[SATIM Code]= $D1305) )</f>
        <v>0</v>
      </c>
      <c r="N1305" s="1381">
        <f t="array" ref="N1305">SUM( ($E$1016:$E$1039=$E$1107)* ($A$1016:$A$1039=$A1305) * ($D$1016:$D$1039= $D1305) * (N$1016:N$1039) ) * SUM(EF[N2O] * (EF[SATIM Code]= $D1305) )</f>
        <v>0</v>
      </c>
      <c r="O1305" s="1381">
        <f t="array" ref="O1305">SUM( ($E$1016:$E$1039=$E$1107)* ($A$1016:$A$1039=$A1305) * ($D$1016:$D$1039= $D1305) * (O$1016:O$1039) ) * SUM(EF[N2O] * (EF[SATIM Code]= $D1305) )</f>
        <v>0</v>
      </c>
      <c r="S1305" s="166"/>
      <c r="T1305" s="166"/>
      <c r="U1305" s="166"/>
      <c r="V1305" s="166"/>
      <c r="W1305" s="166"/>
      <c r="X1305" s="166"/>
      <c r="Y1305" s="166"/>
      <c r="Z1305" s="166"/>
      <c r="AA1305" s="166"/>
      <c r="AB1305" s="166"/>
    </row>
    <row r="1306" spans="1:28" s="19" customFormat="1" hidden="1" outlineLevel="1">
      <c r="A1306" s="19" t="str">
        <f t="shared" si="270"/>
        <v>MI</v>
      </c>
      <c r="B1306" s="1400" t="str">
        <f>INDEX(EF[UK Vector],MATCH(D1306,EF[SATIM Code],0))</f>
        <v>V.09</v>
      </c>
      <c r="C1306" s="1401" t="str">
        <f>INDEX(Vectors[Description], MATCH($B1306, Vectors[Code], 0))</f>
        <v>Dry biomass and waste</v>
      </c>
      <c r="D1306" s="1388" t="s">
        <v>889</v>
      </c>
      <c r="E1306" s="1401"/>
      <c r="F1306" s="1381">
        <f t="array" ref="F1306">SUM( ($E$1016:$E$1039=$E$1107)* ($A$1016:$A$1039=$A1306) * ($D$1016:$D$1039= $D1306) * (F$1016:F$1039) ) * SUM(EF[N2O] * (EF[SATIM Code]= $D1306) )</f>
        <v>0</v>
      </c>
      <c r="G1306" s="1381">
        <f t="array" ref="G1306">SUM( ($E$1016:$E$1039=$E$1107)* ($A$1016:$A$1039=$A1306) * ($D$1016:$D$1039= $D1306) * (G$1016:G$1039) ) * SUM(EF[N2O] * (EF[SATIM Code]= $D1306) )</f>
        <v>0</v>
      </c>
      <c r="H1306" s="1381">
        <f t="array" ref="H1306">SUM( ($E$1016:$E$1039=$E$1107)* ($A$1016:$A$1039=$A1306) * ($D$1016:$D$1039= $D1306) * (H$1016:H$1039) ) * SUM(EF[N2O] * (EF[SATIM Code]= $D1306) )</f>
        <v>0</v>
      </c>
      <c r="I1306" s="1381">
        <f t="array" ref="I1306">SUM( ($E$1016:$E$1039=$E$1107)* ($A$1016:$A$1039=$A1306) * ($D$1016:$D$1039= $D1306) * (I$1016:I$1039) ) * SUM(EF[N2O] * (EF[SATIM Code]= $D1306) )</f>
        <v>0</v>
      </c>
      <c r="J1306" s="1381">
        <f t="array" ref="J1306">SUM( ($E$1016:$E$1039=$E$1107)* ($A$1016:$A$1039=$A1306) * ($D$1016:$D$1039= $D1306) * (J$1016:J$1039) ) * SUM(EF[N2O] * (EF[SATIM Code]= $D1306) )</f>
        <v>0</v>
      </c>
      <c r="K1306" s="1381">
        <f t="array" ref="K1306">SUM( ($E$1016:$E$1039=$E$1107)* ($A$1016:$A$1039=$A1306) * ($D$1016:$D$1039= $D1306) * (K$1016:K$1039) ) * SUM(EF[N2O] * (EF[SATIM Code]= $D1306) )</f>
        <v>0</v>
      </c>
      <c r="L1306" s="1381">
        <f t="array" ref="L1306">SUM( ($E$1016:$E$1039=$E$1107)* ($A$1016:$A$1039=$A1306) * ($D$1016:$D$1039= $D1306) * (L$1016:L$1039) ) * SUM(EF[N2O] * (EF[SATIM Code]= $D1306) )</f>
        <v>0</v>
      </c>
      <c r="M1306" s="1381">
        <f t="array" ref="M1306">SUM( ($E$1016:$E$1039=$E$1107)* ($A$1016:$A$1039=$A1306) * ($D$1016:$D$1039= $D1306) * (M$1016:M$1039) ) * SUM(EF[N2O] * (EF[SATIM Code]= $D1306) )</f>
        <v>0</v>
      </c>
      <c r="N1306" s="1381">
        <f t="array" ref="N1306">SUM( ($E$1016:$E$1039=$E$1107)* ($A$1016:$A$1039=$A1306) * ($D$1016:$D$1039= $D1306) * (N$1016:N$1039) ) * SUM(EF[N2O] * (EF[SATIM Code]= $D1306) )</f>
        <v>0</v>
      </c>
      <c r="O1306" s="1381">
        <f t="array" ref="O1306">SUM( ($E$1016:$E$1039=$E$1107)* ($A$1016:$A$1039=$A1306) * ($D$1016:$D$1039= $D1306) * (O$1016:O$1039) ) * SUM(EF[N2O] * (EF[SATIM Code]= $D1306) )</f>
        <v>0</v>
      </c>
      <c r="S1306" s="166"/>
      <c r="T1306" s="166"/>
      <c r="U1306" s="166"/>
      <c r="V1306" s="166"/>
      <c r="W1306" s="166"/>
      <c r="X1306" s="166"/>
      <c r="Y1306" s="166"/>
      <c r="Z1306" s="166"/>
      <c r="AA1306" s="166"/>
      <c r="AB1306" s="166"/>
    </row>
    <row r="1307" spans="1:28" s="19" customFormat="1" hidden="1" outlineLevel="1">
      <c r="A1307" s="19" t="str">
        <f t="shared" si="270"/>
        <v>MI</v>
      </c>
      <c r="B1307" s="1400" t="str">
        <f>INDEX(EF[UK Vector],MATCH(D1307,EF[SATIM Code],0))</f>
        <v>V.16</v>
      </c>
      <c r="C1307" s="1401" t="str">
        <f>INDEX(Vectors[Description], MATCH($B1307, Vectors[Code], 0))</f>
        <v>Other Waste</v>
      </c>
      <c r="D1307" s="1408" t="s">
        <v>890</v>
      </c>
      <c r="E1307" s="1401"/>
      <c r="F1307" s="1381">
        <f t="array" ref="F1307">SUM( ($E$1016:$E$1039=$E$1107)* ($A$1016:$A$1039=$A1307) * ($D$1016:$D$1039= $D1307) * (F$1016:F$1039) ) * SUM(EF[N2O] * (EF[SATIM Code]= $D1307) )</f>
        <v>0</v>
      </c>
      <c r="G1307" s="1381">
        <f t="array" ref="G1307">SUM( ($E$1016:$E$1039=$E$1107)* ($A$1016:$A$1039=$A1307) * ($D$1016:$D$1039= $D1307) * (G$1016:G$1039) ) * SUM(EF[N2O] * (EF[SATIM Code]= $D1307) )</f>
        <v>0</v>
      </c>
      <c r="H1307" s="1381">
        <f t="array" ref="H1307">SUM( ($E$1016:$E$1039=$E$1107)* ($A$1016:$A$1039=$A1307) * ($D$1016:$D$1039= $D1307) * (H$1016:H$1039) ) * SUM(EF[N2O] * (EF[SATIM Code]= $D1307) )</f>
        <v>0</v>
      </c>
      <c r="I1307" s="1381">
        <f t="array" ref="I1307">SUM( ($E$1016:$E$1039=$E$1107)* ($A$1016:$A$1039=$A1307) * ($D$1016:$D$1039= $D1307) * (I$1016:I$1039) ) * SUM(EF[N2O] * (EF[SATIM Code]= $D1307) )</f>
        <v>0</v>
      </c>
      <c r="J1307" s="1381">
        <f t="array" ref="J1307">SUM( ($E$1016:$E$1039=$E$1107)* ($A$1016:$A$1039=$A1307) * ($D$1016:$D$1039= $D1307) * (J$1016:J$1039) ) * SUM(EF[N2O] * (EF[SATIM Code]= $D1307) )</f>
        <v>0</v>
      </c>
      <c r="K1307" s="1381">
        <f t="array" ref="K1307">SUM( ($E$1016:$E$1039=$E$1107)* ($A$1016:$A$1039=$A1307) * ($D$1016:$D$1039= $D1307) * (K$1016:K$1039) ) * SUM(EF[N2O] * (EF[SATIM Code]= $D1307) )</f>
        <v>0</v>
      </c>
      <c r="L1307" s="1381">
        <f t="array" ref="L1307">SUM( ($E$1016:$E$1039=$E$1107)* ($A$1016:$A$1039=$A1307) * ($D$1016:$D$1039= $D1307) * (L$1016:L$1039) ) * SUM(EF[N2O] * (EF[SATIM Code]= $D1307) )</f>
        <v>0</v>
      </c>
      <c r="M1307" s="1381">
        <f t="array" ref="M1307">SUM( ($E$1016:$E$1039=$E$1107)* ($A$1016:$A$1039=$A1307) * ($D$1016:$D$1039= $D1307) * (M$1016:M$1039) ) * SUM(EF[N2O] * (EF[SATIM Code]= $D1307) )</f>
        <v>0</v>
      </c>
      <c r="N1307" s="1381">
        <f t="array" ref="N1307">SUM( ($E$1016:$E$1039=$E$1107)* ($A$1016:$A$1039=$A1307) * ($D$1016:$D$1039= $D1307) * (N$1016:N$1039) ) * SUM(EF[N2O] * (EF[SATIM Code]= $D1307) )</f>
        <v>0</v>
      </c>
      <c r="O1307" s="1381">
        <f t="array" ref="O1307">SUM( ($E$1016:$E$1039=$E$1107)* ($A$1016:$A$1039=$A1307) * ($D$1016:$D$1039= $D1307) * (O$1016:O$1039) ) * SUM(EF[N2O] * (EF[SATIM Code]= $D1307) )</f>
        <v>0</v>
      </c>
      <c r="S1307" s="166"/>
      <c r="T1307" s="166"/>
      <c r="U1307" s="166"/>
      <c r="V1307" s="166"/>
      <c r="W1307" s="166"/>
      <c r="X1307" s="166"/>
      <c r="Y1307" s="166"/>
      <c r="Z1307" s="166"/>
      <c r="AA1307" s="166"/>
      <c r="AB1307" s="166"/>
    </row>
    <row r="1308" spans="1:28" s="19" customFormat="1" hidden="1" outlineLevel="1">
      <c r="B1308" s="1393"/>
      <c r="C1308" s="1407" t="str">
        <f>D21</f>
        <v>Iron  &amp; Steel  - 351</v>
      </c>
      <c r="D1308" s="1391"/>
      <c r="E1308" s="1401"/>
      <c r="F1308" s="1381">
        <f t="array" ref="F1308">SUM( ($E$1016:$E$1039=$E$1107)* ($A$1016:$A$1039=$A1308) * ($D$1016:$D$1039= $D1308) * (F$1016:F$1039) ) * SUM(EF[N2O] * (EF[SATIM Code]= $D1308) )</f>
        <v>0</v>
      </c>
      <c r="G1308" s="1381">
        <f t="array" ref="G1308">SUM( ($E$1016:$E$1039=$E$1107)* ($A$1016:$A$1039=$A1308) * ($D$1016:$D$1039= $D1308) * (G$1016:G$1039) ) * SUM(EF[N2O] * (EF[SATIM Code]= $D1308) )</f>
        <v>0</v>
      </c>
      <c r="H1308" s="1381">
        <f t="array" ref="H1308">SUM( ($E$1016:$E$1039=$E$1107)* ($A$1016:$A$1039=$A1308) * ($D$1016:$D$1039= $D1308) * (H$1016:H$1039) ) * SUM(EF[N2O] * (EF[SATIM Code]= $D1308) )</f>
        <v>0</v>
      </c>
      <c r="I1308" s="1381">
        <f t="array" ref="I1308">SUM( ($E$1016:$E$1039=$E$1107)* ($A$1016:$A$1039=$A1308) * ($D$1016:$D$1039= $D1308) * (I$1016:I$1039) ) * SUM(EF[N2O] * (EF[SATIM Code]= $D1308) )</f>
        <v>0</v>
      </c>
      <c r="J1308" s="1381">
        <f t="array" ref="J1308">SUM( ($E$1016:$E$1039=$E$1107)* ($A$1016:$A$1039=$A1308) * ($D$1016:$D$1039= $D1308) * (J$1016:J$1039) ) * SUM(EF[N2O] * (EF[SATIM Code]= $D1308) )</f>
        <v>0</v>
      </c>
      <c r="K1308" s="1381">
        <f t="array" ref="K1308">SUM( ($E$1016:$E$1039=$E$1107)* ($A$1016:$A$1039=$A1308) * ($D$1016:$D$1039= $D1308) * (K$1016:K$1039) ) * SUM(EF[N2O] * (EF[SATIM Code]= $D1308) )</f>
        <v>0</v>
      </c>
      <c r="L1308" s="1381">
        <f t="array" ref="L1308">SUM( ($E$1016:$E$1039=$E$1107)* ($A$1016:$A$1039=$A1308) * ($D$1016:$D$1039= $D1308) * (L$1016:L$1039) ) * SUM(EF[N2O] * (EF[SATIM Code]= $D1308) )</f>
        <v>0</v>
      </c>
      <c r="M1308" s="1381">
        <f t="array" ref="M1308">SUM( ($E$1016:$E$1039=$E$1107)* ($A$1016:$A$1039=$A1308) * ($D$1016:$D$1039= $D1308) * (M$1016:M$1039) ) * SUM(EF[N2O] * (EF[SATIM Code]= $D1308) )</f>
        <v>0</v>
      </c>
      <c r="N1308" s="1381">
        <f t="array" ref="N1308">SUM( ($E$1016:$E$1039=$E$1107)* ($A$1016:$A$1039=$A1308) * ($D$1016:$D$1039= $D1308) * (N$1016:N$1039) ) * SUM(EF[N2O] * (EF[SATIM Code]= $D1308) )</f>
        <v>0</v>
      </c>
      <c r="O1308" s="1381">
        <f t="array" ref="O1308">SUM( ($E$1016:$E$1039=$E$1107)* ($A$1016:$A$1039=$A1308) * ($D$1016:$D$1039= $D1308) * (O$1016:O$1039) ) * SUM(EF[N2O] * (EF[SATIM Code]= $D1308) )</f>
        <v>0</v>
      </c>
      <c r="S1308" s="166"/>
      <c r="T1308" s="166"/>
      <c r="U1308" s="166"/>
      <c r="V1308" s="166"/>
      <c r="W1308" s="166"/>
      <c r="X1308" s="166"/>
      <c r="Y1308" s="166"/>
      <c r="Z1308" s="166"/>
      <c r="AA1308" s="166"/>
      <c r="AB1308" s="166"/>
    </row>
    <row r="1309" spans="1:28" s="19" customFormat="1" hidden="1" outlineLevel="1">
      <c r="A1309" s="1438" t="str">
        <f>INDEX($C$20:$C$27,MATCH($C1308,$D$20:$D$27,0))</f>
        <v>IS</v>
      </c>
      <c r="B1309" s="1400" t="str">
        <f>INDEX(EF[UK Vector],MATCH(D1309,EF[SATIM Code],0))</f>
        <v>V.03</v>
      </c>
      <c r="C1309" s="1401" t="str">
        <f>INDEX(Vectors[Description], MATCH($B1309, Vectors[Code], 0))</f>
        <v>Solid hydrocarbons</v>
      </c>
      <c r="D1309" s="1391" t="s">
        <v>882</v>
      </c>
      <c r="E1309" s="1401"/>
      <c r="F1309" s="1381">
        <f t="array" ref="F1309">SUM( ($E$1016:$E$1039=$E$1107)* ($A$1016:$A$1039=$A1309) * ($D$1016:$D$1039= $D1309) * (F$1016:F$1039) ) * SUM(EF[N2O] * (EF[SATIM Code]= $D1309) )</f>
        <v>0</v>
      </c>
      <c r="G1309" s="1381">
        <f t="array" ref="G1309">SUM( ($E$1016:$E$1039=$E$1107)* ($A$1016:$A$1039=$A1309) * ($D$1016:$D$1039= $D1309) * (G$1016:G$1039) ) * SUM(EF[N2O] * (EF[SATIM Code]= $D1309) )</f>
        <v>0</v>
      </c>
      <c r="H1309" s="1381">
        <f t="array" ref="H1309">SUM( ($E$1016:$E$1039=$E$1107)* ($A$1016:$A$1039=$A1309) * ($D$1016:$D$1039= $D1309) * (H$1016:H$1039) ) * SUM(EF[N2O] * (EF[SATIM Code]= $D1309) )</f>
        <v>0</v>
      </c>
      <c r="I1309" s="1381">
        <f t="array" ref="I1309">SUM( ($E$1016:$E$1039=$E$1107)* ($A$1016:$A$1039=$A1309) * ($D$1016:$D$1039= $D1309) * (I$1016:I$1039) ) * SUM(EF[N2O] * (EF[SATIM Code]= $D1309) )</f>
        <v>0</v>
      </c>
      <c r="J1309" s="1381">
        <f t="array" ref="J1309">SUM( ($E$1016:$E$1039=$E$1107)* ($A$1016:$A$1039=$A1309) * ($D$1016:$D$1039= $D1309) * (J$1016:J$1039) ) * SUM(EF[N2O] * (EF[SATIM Code]= $D1309) )</f>
        <v>0</v>
      </c>
      <c r="K1309" s="1381">
        <f t="array" ref="K1309">SUM( ($E$1016:$E$1039=$E$1107)* ($A$1016:$A$1039=$A1309) * ($D$1016:$D$1039= $D1309) * (K$1016:K$1039) ) * SUM(EF[N2O] * (EF[SATIM Code]= $D1309) )</f>
        <v>0</v>
      </c>
      <c r="L1309" s="1381">
        <f t="array" ref="L1309">SUM( ($E$1016:$E$1039=$E$1107)* ($A$1016:$A$1039=$A1309) * ($D$1016:$D$1039= $D1309) * (L$1016:L$1039) ) * SUM(EF[N2O] * (EF[SATIM Code]= $D1309) )</f>
        <v>0</v>
      </c>
      <c r="M1309" s="1381">
        <f t="array" ref="M1309">SUM( ($E$1016:$E$1039=$E$1107)* ($A$1016:$A$1039=$A1309) * ($D$1016:$D$1039= $D1309) * (M$1016:M$1039) ) * SUM(EF[N2O] * (EF[SATIM Code]= $D1309) )</f>
        <v>0</v>
      </c>
      <c r="N1309" s="1381">
        <f t="array" ref="N1309">SUM( ($E$1016:$E$1039=$E$1107)* ($A$1016:$A$1039=$A1309) * ($D$1016:$D$1039= $D1309) * (N$1016:N$1039) ) * SUM(EF[N2O] * (EF[SATIM Code]= $D1309) )</f>
        <v>0</v>
      </c>
      <c r="O1309" s="1381">
        <f t="array" ref="O1309">SUM( ($E$1016:$E$1039=$E$1107)* ($A$1016:$A$1039=$A1309) * ($D$1016:$D$1039= $D1309) * (O$1016:O$1039) ) * SUM(EF[N2O] * (EF[SATIM Code]= $D1309) )</f>
        <v>0</v>
      </c>
      <c r="S1309" s="166"/>
      <c r="T1309" s="166"/>
      <c r="U1309" s="166"/>
      <c r="V1309" s="166"/>
      <c r="W1309" s="166"/>
      <c r="X1309" s="166"/>
      <c r="Y1309" s="166"/>
      <c r="Z1309" s="166"/>
      <c r="AA1309" s="166"/>
      <c r="AB1309" s="166"/>
    </row>
    <row r="1310" spans="1:28" s="19" customFormat="1" hidden="1" outlineLevel="1">
      <c r="A1310" s="19" t="str">
        <f t="shared" ref="A1310:A1317" si="271">A1309</f>
        <v>IS</v>
      </c>
      <c r="B1310" s="1400" t="str">
        <f>INDEX(EF[UK Vector],MATCH(D1310,EF[SATIM Code],0))</f>
        <v>V.03</v>
      </c>
      <c r="C1310" s="1401" t="str">
        <f>INDEX(Vectors[Description], MATCH($B1310, Vectors[Code], 0))</f>
        <v>Solid hydrocarbons</v>
      </c>
      <c r="D1310" s="1391" t="s">
        <v>883</v>
      </c>
      <c r="E1310" s="1401"/>
      <c r="F1310" s="1381">
        <f t="array" ref="F1310">SUM( ($E$1016:$E$1039=$E$1107)* ($A$1016:$A$1039=$A1310) * ($D$1016:$D$1039= $D1310) * (F$1016:F$1039) ) * SUM(EF[N2O] * (EF[SATIM Code]= $D1310) )</f>
        <v>2.3366428141499997E-2</v>
      </c>
      <c r="G1310" s="1381">
        <f t="array" ref="G1310">SUM( ($E$1016:$E$1039=$E$1107)* ($A$1016:$A$1039=$A1310) * ($D$1016:$D$1039= $D1310) * (G$1016:G$1039) ) * SUM(EF[N2O] * (EF[SATIM Code]= $D1310) )</f>
        <v>2.7059638541822986E-2</v>
      </c>
      <c r="H1310" s="1381">
        <f t="array" ref="H1310">SUM( ($E$1016:$E$1039=$E$1107)* ($A$1016:$A$1039=$A1310) * ($D$1016:$D$1039= $D1310) * (H$1016:H$1039) ) * SUM(EF[N2O] * (EF[SATIM Code]= $D1310) )</f>
        <v>3.4004177206695956E-2</v>
      </c>
      <c r="I1310" s="1381">
        <f t="array" ref="I1310">SUM( ($E$1016:$E$1039=$E$1107)* ($A$1016:$A$1039=$A1310) * ($D$1016:$D$1039= $D1310) * (I$1016:I$1039) ) * SUM(EF[N2O] * (EF[SATIM Code]= $D1310) )</f>
        <v>4.2974927595319685E-2</v>
      </c>
      <c r="J1310" s="1381">
        <f t="array" ref="J1310">SUM( ($E$1016:$E$1039=$E$1107)* ($A$1016:$A$1039=$A1310) * ($D$1016:$D$1039= $D1310) * (J$1016:J$1039) ) * SUM(EF[N2O] * (EF[SATIM Code]= $D1310) )</f>
        <v>5.4003856656302626E-2</v>
      </c>
      <c r="K1310" s="1381">
        <f t="array" ref="K1310">SUM( ($E$1016:$E$1039=$E$1107)* ($A$1016:$A$1039=$A1310) * ($D$1016:$D$1039= $D1310) * (K$1016:K$1039) ) * SUM(EF[N2O] * (EF[SATIM Code]= $D1310) )</f>
        <v>6.7861807943618013E-2</v>
      </c>
      <c r="L1310" s="1381">
        <f t="array" ref="L1310">SUM( ($E$1016:$E$1039=$E$1107)* ($A$1016:$A$1039=$A1310) * ($D$1016:$D$1039= $D1310) * (L$1016:L$1039) ) * SUM(EF[N2O] * (EF[SATIM Code]= $D1310) )</f>
        <v>8.343630473340749E-2</v>
      </c>
      <c r="M1310" s="1381">
        <f t="array" ref="M1310">SUM( ($E$1016:$E$1039=$E$1107)* ($A$1016:$A$1039=$A1310) * ($D$1016:$D$1039= $D1310) * (M$1016:M$1039) ) * SUM(EF[N2O] * (EF[SATIM Code]= $D1310) )</f>
        <v>0.10079862157307179</v>
      </c>
      <c r="N1310" s="1381">
        <f t="array" ref="N1310">SUM( ($E$1016:$E$1039=$E$1107)* ($A$1016:$A$1039=$A1310) * ($D$1016:$D$1039= $D1310) * (N$1016:N$1039) ) * SUM(EF[N2O] * (EF[SATIM Code]= $D1310) )</f>
        <v>0.11890507520148336</v>
      </c>
      <c r="O1310" s="1381">
        <f t="array" ref="O1310">SUM( ($E$1016:$E$1039=$E$1107)* ($A$1016:$A$1039=$A1310) * ($D$1016:$D$1039= $D1310) * (O$1016:O$1039) ) * SUM(EF[N2O] * (EF[SATIM Code]= $D1310) )</f>
        <v>0.13929969699079761</v>
      </c>
      <c r="S1310" s="166"/>
      <c r="T1310" s="166"/>
      <c r="U1310" s="166"/>
      <c r="V1310" s="166"/>
      <c r="W1310" s="166"/>
      <c r="X1310" s="166"/>
      <c r="Y1310" s="166"/>
      <c r="Z1310" s="166"/>
      <c r="AA1310" s="166"/>
      <c r="AB1310" s="166"/>
    </row>
    <row r="1311" spans="1:28" s="19" customFormat="1" hidden="1" outlineLevel="1">
      <c r="A1311" s="19" t="str">
        <f t="shared" si="271"/>
        <v>IS</v>
      </c>
      <c r="B1311" s="1400" t="str">
        <f>INDEX(EF[UK Vector],MATCH(D1311,EF[SATIM Code],0))</f>
        <v>V.05</v>
      </c>
      <c r="C1311" s="1401" t="str">
        <f>INDEX(Vectors[Description], MATCH($B1311, Vectors[Code], 0))</f>
        <v>Gaseous hydrocarbons</v>
      </c>
      <c r="D1311" s="1406" t="s">
        <v>869</v>
      </c>
      <c r="E1311" s="1401"/>
      <c r="F1311" s="1381">
        <f t="array" ref="F1311">SUM( ($E$1016:$E$1039=$E$1107)* ($A$1016:$A$1039=$A1311) * ($D$1016:$D$1039= $D1311) * (F$1016:F$1039) ) * SUM(EF[N2O] * (EF[SATIM Code]= $D1311) )</f>
        <v>0</v>
      </c>
      <c r="G1311" s="1381">
        <f t="array" ref="G1311">SUM( ($E$1016:$E$1039=$E$1107)* ($A$1016:$A$1039=$A1311) * ($D$1016:$D$1039= $D1311) * (G$1016:G$1039) ) * SUM(EF[N2O] * (EF[SATIM Code]= $D1311) )</f>
        <v>0</v>
      </c>
      <c r="H1311" s="1381">
        <f t="array" ref="H1311">SUM( ($E$1016:$E$1039=$E$1107)* ($A$1016:$A$1039=$A1311) * ($D$1016:$D$1039= $D1311) * (H$1016:H$1039) ) * SUM(EF[N2O] * (EF[SATIM Code]= $D1311) )</f>
        <v>0</v>
      </c>
      <c r="I1311" s="1381">
        <f t="array" ref="I1311">SUM( ($E$1016:$E$1039=$E$1107)* ($A$1016:$A$1039=$A1311) * ($D$1016:$D$1039= $D1311) * (I$1016:I$1039) ) * SUM(EF[N2O] * (EF[SATIM Code]= $D1311) )</f>
        <v>0</v>
      </c>
      <c r="J1311" s="1381">
        <f t="array" ref="J1311">SUM( ($E$1016:$E$1039=$E$1107)* ($A$1016:$A$1039=$A1311) * ($D$1016:$D$1039= $D1311) * (J$1016:J$1039) ) * SUM(EF[N2O] * (EF[SATIM Code]= $D1311) )</f>
        <v>0</v>
      </c>
      <c r="K1311" s="1381">
        <f t="array" ref="K1311">SUM( ($E$1016:$E$1039=$E$1107)* ($A$1016:$A$1039=$A1311) * ($D$1016:$D$1039= $D1311) * (K$1016:K$1039) ) * SUM(EF[N2O] * (EF[SATIM Code]= $D1311) )</f>
        <v>0</v>
      </c>
      <c r="L1311" s="1381">
        <f t="array" ref="L1311">SUM( ($E$1016:$E$1039=$E$1107)* ($A$1016:$A$1039=$A1311) * ($D$1016:$D$1039= $D1311) * (L$1016:L$1039) ) * SUM(EF[N2O] * (EF[SATIM Code]= $D1311) )</f>
        <v>0</v>
      </c>
      <c r="M1311" s="1381">
        <f t="array" ref="M1311">SUM( ($E$1016:$E$1039=$E$1107)* ($A$1016:$A$1039=$A1311) * ($D$1016:$D$1039= $D1311) * (M$1016:M$1039) ) * SUM(EF[N2O] * (EF[SATIM Code]= $D1311) )</f>
        <v>0</v>
      </c>
      <c r="N1311" s="1381">
        <f t="array" ref="N1311">SUM( ($E$1016:$E$1039=$E$1107)* ($A$1016:$A$1039=$A1311) * ($D$1016:$D$1039= $D1311) * (N$1016:N$1039) ) * SUM(EF[N2O] * (EF[SATIM Code]= $D1311) )</f>
        <v>0</v>
      </c>
      <c r="O1311" s="1381">
        <f t="array" ref="O1311">SUM( ($E$1016:$E$1039=$E$1107)* ($A$1016:$A$1039=$A1311) * ($D$1016:$D$1039= $D1311) * (O$1016:O$1039) ) * SUM(EF[N2O] * (EF[SATIM Code]= $D1311) )</f>
        <v>0</v>
      </c>
      <c r="S1311" s="166"/>
      <c r="T1311" s="166"/>
      <c r="U1311" s="166"/>
      <c r="V1311" s="166"/>
      <c r="W1311" s="166"/>
      <c r="X1311" s="166"/>
      <c r="Y1311" s="166"/>
      <c r="Z1311" s="166"/>
      <c r="AA1311" s="166"/>
      <c r="AB1311" s="166"/>
    </row>
    <row r="1312" spans="1:28" s="19" customFormat="1" hidden="1" outlineLevel="1">
      <c r="A1312" s="19" t="str">
        <f t="shared" si="271"/>
        <v>IS</v>
      </c>
      <c r="B1312" s="1400" t="str">
        <f>INDEX(EF[UK Vector],MATCH(D1312,EF[SATIM Code],0))</f>
        <v>V.04</v>
      </c>
      <c r="C1312" s="1401" t="str">
        <f>INDEX(Vectors[Description], MATCH($B1312, Vectors[Code], 0))</f>
        <v>Liquid hydrocarbons</v>
      </c>
      <c r="D1312" s="1406" t="s">
        <v>885</v>
      </c>
      <c r="E1312" s="1393"/>
      <c r="F1312" s="1381">
        <f t="array" ref="F1312">SUM( ($E$1016:$E$1039=$E$1107)* ($A$1016:$A$1039=$A1312) * ($D$1016:$D$1039= $D1312) * (F$1016:F$1039) ) * SUM(EF[N2O] * (EF[SATIM Code]= $D1312) )</f>
        <v>0</v>
      </c>
      <c r="G1312" s="1381">
        <f t="array" ref="G1312">SUM( ($E$1016:$E$1039=$E$1107)* ($A$1016:$A$1039=$A1312) * ($D$1016:$D$1039= $D1312) * (G$1016:G$1039) ) * SUM(EF[N2O] * (EF[SATIM Code]= $D1312) )</f>
        <v>0</v>
      </c>
      <c r="H1312" s="1381">
        <f t="array" ref="H1312">SUM( ($E$1016:$E$1039=$E$1107)* ($A$1016:$A$1039=$A1312) * ($D$1016:$D$1039= $D1312) * (H$1016:H$1039) ) * SUM(EF[N2O] * (EF[SATIM Code]= $D1312) )</f>
        <v>0</v>
      </c>
      <c r="I1312" s="1381">
        <f t="array" ref="I1312">SUM( ($E$1016:$E$1039=$E$1107)* ($A$1016:$A$1039=$A1312) * ($D$1016:$D$1039= $D1312) * (I$1016:I$1039) ) * SUM(EF[N2O] * (EF[SATIM Code]= $D1312) )</f>
        <v>0</v>
      </c>
      <c r="J1312" s="1381">
        <f t="array" ref="J1312">SUM( ($E$1016:$E$1039=$E$1107)* ($A$1016:$A$1039=$A1312) * ($D$1016:$D$1039= $D1312) * (J$1016:J$1039) ) * SUM(EF[N2O] * (EF[SATIM Code]= $D1312) )</f>
        <v>0</v>
      </c>
      <c r="K1312" s="1381">
        <f t="array" ref="K1312">SUM( ($E$1016:$E$1039=$E$1107)* ($A$1016:$A$1039=$A1312) * ($D$1016:$D$1039= $D1312) * (K$1016:K$1039) ) * SUM(EF[N2O] * (EF[SATIM Code]= $D1312) )</f>
        <v>0</v>
      </c>
      <c r="L1312" s="1381">
        <f t="array" ref="L1312">SUM( ($E$1016:$E$1039=$E$1107)* ($A$1016:$A$1039=$A1312) * ($D$1016:$D$1039= $D1312) * (L$1016:L$1039) ) * SUM(EF[N2O] * (EF[SATIM Code]= $D1312) )</f>
        <v>0</v>
      </c>
      <c r="M1312" s="1381">
        <f t="array" ref="M1312">SUM( ($E$1016:$E$1039=$E$1107)* ($A$1016:$A$1039=$A1312) * ($D$1016:$D$1039= $D1312) * (M$1016:M$1039) ) * SUM(EF[N2O] * (EF[SATIM Code]= $D1312) )</f>
        <v>0</v>
      </c>
      <c r="N1312" s="1381">
        <f t="array" ref="N1312">SUM( ($E$1016:$E$1039=$E$1107)* ($A$1016:$A$1039=$A1312) * ($D$1016:$D$1039= $D1312) * (N$1016:N$1039) ) * SUM(EF[N2O] * (EF[SATIM Code]= $D1312) )</f>
        <v>0</v>
      </c>
      <c r="O1312" s="1381">
        <f t="array" ref="O1312">SUM( ($E$1016:$E$1039=$E$1107)* ($A$1016:$A$1039=$A1312) * ($D$1016:$D$1039= $D1312) * (O$1016:O$1039) ) * SUM(EF[N2O] * (EF[SATIM Code]= $D1312) )</f>
        <v>0</v>
      </c>
      <c r="S1312" s="166"/>
      <c r="T1312" s="166"/>
      <c r="U1312" s="166"/>
      <c r="V1312" s="166"/>
      <c r="W1312" s="166"/>
      <c r="X1312" s="166"/>
      <c r="Y1312" s="166"/>
      <c r="Z1312" s="166"/>
      <c r="AA1312" s="166"/>
      <c r="AB1312" s="166"/>
    </row>
    <row r="1313" spans="1:28" s="19" customFormat="1" hidden="1" outlineLevel="1">
      <c r="A1313" s="19" t="str">
        <f t="shared" si="271"/>
        <v>IS</v>
      </c>
      <c r="B1313" s="1400" t="str">
        <f>INDEX(EF[UK Vector],MATCH(D1313,EF[SATIM Code],0))</f>
        <v>V.04</v>
      </c>
      <c r="C1313" s="1401" t="str">
        <f>INDEX(Vectors[Description], MATCH($B1313, Vectors[Code], 0))</f>
        <v>Liquid hydrocarbons</v>
      </c>
      <c r="D1313" s="1391" t="s">
        <v>886</v>
      </c>
      <c r="E1313" s="1393"/>
      <c r="F1313" s="1381">
        <f t="array" ref="F1313">SUM( ($E$1016:$E$1039=$E$1107)* ($A$1016:$A$1039=$A1313) * ($D$1016:$D$1039= $D1313) * (F$1016:F$1039) ) * SUM(EF[N2O] * (EF[SATIM Code]= $D1313) )</f>
        <v>0</v>
      </c>
      <c r="G1313" s="1381">
        <f t="array" ref="G1313">SUM( ($E$1016:$E$1039=$E$1107)* ($A$1016:$A$1039=$A1313) * ($D$1016:$D$1039= $D1313) * (G$1016:G$1039) ) * SUM(EF[N2O] * (EF[SATIM Code]= $D1313) )</f>
        <v>0</v>
      </c>
      <c r="H1313" s="1381">
        <f t="array" ref="H1313">SUM( ($E$1016:$E$1039=$E$1107)* ($A$1016:$A$1039=$A1313) * ($D$1016:$D$1039= $D1313) * (H$1016:H$1039) ) * SUM(EF[N2O] * (EF[SATIM Code]= $D1313) )</f>
        <v>0</v>
      </c>
      <c r="I1313" s="1381">
        <f t="array" ref="I1313">SUM( ($E$1016:$E$1039=$E$1107)* ($A$1016:$A$1039=$A1313) * ($D$1016:$D$1039= $D1313) * (I$1016:I$1039) ) * SUM(EF[N2O] * (EF[SATIM Code]= $D1313) )</f>
        <v>0</v>
      </c>
      <c r="J1313" s="1381">
        <f t="array" ref="J1313">SUM( ($E$1016:$E$1039=$E$1107)* ($A$1016:$A$1039=$A1313) * ($D$1016:$D$1039= $D1313) * (J$1016:J$1039) ) * SUM(EF[N2O] * (EF[SATIM Code]= $D1313) )</f>
        <v>0</v>
      </c>
      <c r="K1313" s="1381">
        <f t="array" ref="K1313">SUM( ($E$1016:$E$1039=$E$1107)* ($A$1016:$A$1039=$A1313) * ($D$1016:$D$1039= $D1313) * (K$1016:K$1039) ) * SUM(EF[N2O] * (EF[SATIM Code]= $D1313) )</f>
        <v>0</v>
      </c>
      <c r="L1313" s="1381">
        <f t="array" ref="L1313">SUM( ($E$1016:$E$1039=$E$1107)* ($A$1016:$A$1039=$A1313) * ($D$1016:$D$1039= $D1313) * (L$1016:L$1039) ) * SUM(EF[N2O] * (EF[SATIM Code]= $D1313) )</f>
        <v>0</v>
      </c>
      <c r="M1313" s="1381">
        <f t="array" ref="M1313">SUM( ($E$1016:$E$1039=$E$1107)* ($A$1016:$A$1039=$A1313) * ($D$1016:$D$1039= $D1313) * (M$1016:M$1039) ) * SUM(EF[N2O] * (EF[SATIM Code]= $D1313) )</f>
        <v>0</v>
      </c>
      <c r="N1313" s="1381">
        <f t="array" ref="N1313">SUM( ($E$1016:$E$1039=$E$1107)* ($A$1016:$A$1039=$A1313) * ($D$1016:$D$1039= $D1313) * (N$1016:N$1039) ) * SUM(EF[N2O] * (EF[SATIM Code]= $D1313) )</f>
        <v>0</v>
      </c>
      <c r="O1313" s="1381">
        <f t="array" ref="O1313">SUM( ($E$1016:$E$1039=$E$1107)* ($A$1016:$A$1039=$A1313) * ($D$1016:$D$1039= $D1313) * (O$1016:O$1039) ) * SUM(EF[N2O] * (EF[SATIM Code]= $D1313) )</f>
        <v>0</v>
      </c>
      <c r="S1313" s="166"/>
      <c r="T1313" s="166"/>
      <c r="U1313" s="166"/>
      <c r="V1313" s="166"/>
      <c r="W1313" s="166"/>
      <c r="X1313" s="166"/>
      <c r="Y1313" s="166"/>
      <c r="Z1313" s="166"/>
      <c r="AA1313" s="166"/>
      <c r="AB1313" s="166"/>
    </row>
    <row r="1314" spans="1:28" s="19" customFormat="1" hidden="1" outlineLevel="1">
      <c r="A1314" s="19" t="str">
        <f t="shared" si="271"/>
        <v>IS</v>
      </c>
      <c r="B1314" s="1400" t="str">
        <f>INDEX(EF[UK Vector],MATCH(D1314,EF[SATIM Code],0))</f>
        <v>V.04</v>
      </c>
      <c r="C1314" s="1401" t="str">
        <f>INDEX(Vectors[Description], MATCH($B1314, Vectors[Code], 0))</f>
        <v>Liquid hydrocarbons</v>
      </c>
      <c r="D1314" s="1406" t="s">
        <v>887</v>
      </c>
      <c r="E1314" s="1393"/>
      <c r="F1314" s="1381">
        <f t="array" ref="F1314">SUM( ($E$1016:$E$1039=$E$1107)* ($A$1016:$A$1039=$A1314) * ($D$1016:$D$1039= $D1314) * (F$1016:F$1039) ) * SUM(EF[N2O] * (EF[SATIM Code]= $D1314) )</f>
        <v>0</v>
      </c>
      <c r="G1314" s="1381">
        <f t="array" ref="G1314">SUM( ($E$1016:$E$1039=$E$1107)* ($A$1016:$A$1039=$A1314) * ($D$1016:$D$1039= $D1314) * (G$1016:G$1039) ) * SUM(EF[N2O] * (EF[SATIM Code]= $D1314) )</f>
        <v>0</v>
      </c>
      <c r="H1314" s="1381">
        <f t="array" ref="H1314">SUM( ($E$1016:$E$1039=$E$1107)* ($A$1016:$A$1039=$A1314) * ($D$1016:$D$1039= $D1314) * (H$1016:H$1039) ) * SUM(EF[N2O] * (EF[SATIM Code]= $D1314) )</f>
        <v>0</v>
      </c>
      <c r="I1314" s="1381">
        <f t="array" ref="I1314">SUM( ($E$1016:$E$1039=$E$1107)* ($A$1016:$A$1039=$A1314) * ($D$1016:$D$1039= $D1314) * (I$1016:I$1039) ) * SUM(EF[N2O] * (EF[SATIM Code]= $D1314) )</f>
        <v>0</v>
      </c>
      <c r="J1314" s="1381">
        <f t="array" ref="J1314">SUM( ($E$1016:$E$1039=$E$1107)* ($A$1016:$A$1039=$A1314) * ($D$1016:$D$1039= $D1314) * (J$1016:J$1039) ) * SUM(EF[N2O] * (EF[SATIM Code]= $D1314) )</f>
        <v>0</v>
      </c>
      <c r="K1314" s="1381">
        <f t="array" ref="K1314">SUM( ($E$1016:$E$1039=$E$1107)* ($A$1016:$A$1039=$A1314) * ($D$1016:$D$1039= $D1314) * (K$1016:K$1039) ) * SUM(EF[N2O] * (EF[SATIM Code]= $D1314) )</f>
        <v>0</v>
      </c>
      <c r="L1314" s="1381">
        <f t="array" ref="L1314">SUM( ($E$1016:$E$1039=$E$1107)* ($A$1016:$A$1039=$A1314) * ($D$1016:$D$1039= $D1314) * (L$1016:L$1039) ) * SUM(EF[N2O] * (EF[SATIM Code]= $D1314) )</f>
        <v>0</v>
      </c>
      <c r="M1314" s="1381">
        <f t="array" ref="M1314">SUM( ($E$1016:$E$1039=$E$1107)* ($A$1016:$A$1039=$A1314) * ($D$1016:$D$1039= $D1314) * (M$1016:M$1039) ) * SUM(EF[N2O] * (EF[SATIM Code]= $D1314) )</f>
        <v>0</v>
      </c>
      <c r="N1314" s="1381">
        <f t="array" ref="N1314">SUM( ($E$1016:$E$1039=$E$1107)* ($A$1016:$A$1039=$A1314) * ($D$1016:$D$1039= $D1314) * (N$1016:N$1039) ) * SUM(EF[N2O] * (EF[SATIM Code]= $D1314) )</f>
        <v>0</v>
      </c>
      <c r="O1314" s="1381">
        <f t="array" ref="O1314">SUM( ($E$1016:$E$1039=$E$1107)* ($A$1016:$A$1039=$A1314) * ($D$1016:$D$1039= $D1314) * (O$1016:O$1039) ) * SUM(EF[N2O] * (EF[SATIM Code]= $D1314) )</f>
        <v>0</v>
      </c>
      <c r="S1314" s="166"/>
      <c r="T1314" s="166"/>
      <c r="U1314" s="166"/>
      <c r="V1314" s="166"/>
      <c r="W1314" s="166"/>
      <c r="X1314" s="166"/>
      <c r="Y1314" s="166"/>
      <c r="Z1314" s="166"/>
      <c r="AA1314" s="166"/>
      <c r="AB1314" s="166"/>
    </row>
    <row r="1315" spans="1:28" s="19" customFormat="1" hidden="1" outlineLevel="1">
      <c r="A1315" s="19" t="str">
        <f t="shared" si="271"/>
        <v>IS</v>
      </c>
      <c r="B1315" s="1400" t="str">
        <f>INDEX(EF[UK Vector],MATCH(D1315,EF[SATIM Code],0))</f>
        <v>V.09</v>
      </c>
      <c r="C1315" s="1401" t="str">
        <f>INDEX(Vectors[Description], MATCH($B1315, Vectors[Code], 0))</f>
        <v>Dry biomass and waste</v>
      </c>
      <c r="D1315" s="1406" t="s">
        <v>888</v>
      </c>
      <c r="E1315" s="1393"/>
      <c r="F1315" s="1381">
        <f t="array" ref="F1315">SUM( ($E$1016:$E$1039=$E$1107)* ($A$1016:$A$1039=$A1315) * ($D$1016:$D$1039= $D1315) * (F$1016:F$1039) ) * SUM(EF[N2O] * (EF[SATIM Code]= $D1315) )</f>
        <v>0</v>
      </c>
      <c r="G1315" s="1381">
        <f t="array" ref="G1315">SUM( ($E$1016:$E$1039=$E$1107)* ($A$1016:$A$1039=$A1315) * ($D$1016:$D$1039= $D1315) * (G$1016:G$1039) ) * SUM(EF[N2O] * (EF[SATIM Code]= $D1315) )</f>
        <v>0</v>
      </c>
      <c r="H1315" s="1381">
        <f t="array" ref="H1315">SUM( ($E$1016:$E$1039=$E$1107)* ($A$1016:$A$1039=$A1315) * ($D$1016:$D$1039= $D1315) * (H$1016:H$1039) ) * SUM(EF[N2O] * (EF[SATIM Code]= $D1315) )</f>
        <v>0</v>
      </c>
      <c r="I1315" s="1381">
        <f t="array" ref="I1315">SUM( ($E$1016:$E$1039=$E$1107)* ($A$1016:$A$1039=$A1315) * ($D$1016:$D$1039= $D1315) * (I$1016:I$1039) ) * SUM(EF[N2O] * (EF[SATIM Code]= $D1315) )</f>
        <v>0</v>
      </c>
      <c r="J1315" s="1381">
        <f t="array" ref="J1315">SUM( ($E$1016:$E$1039=$E$1107)* ($A$1016:$A$1039=$A1315) * ($D$1016:$D$1039= $D1315) * (J$1016:J$1039) ) * SUM(EF[N2O] * (EF[SATIM Code]= $D1315) )</f>
        <v>0</v>
      </c>
      <c r="K1315" s="1381">
        <f t="array" ref="K1315">SUM( ($E$1016:$E$1039=$E$1107)* ($A$1016:$A$1039=$A1315) * ($D$1016:$D$1039= $D1315) * (K$1016:K$1039) ) * SUM(EF[N2O] * (EF[SATIM Code]= $D1315) )</f>
        <v>0</v>
      </c>
      <c r="L1315" s="1381">
        <f t="array" ref="L1315">SUM( ($E$1016:$E$1039=$E$1107)* ($A$1016:$A$1039=$A1315) * ($D$1016:$D$1039= $D1315) * (L$1016:L$1039) ) * SUM(EF[N2O] * (EF[SATIM Code]= $D1315) )</f>
        <v>0</v>
      </c>
      <c r="M1315" s="1381">
        <f t="array" ref="M1315">SUM( ($E$1016:$E$1039=$E$1107)* ($A$1016:$A$1039=$A1315) * ($D$1016:$D$1039= $D1315) * (M$1016:M$1039) ) * SUM(EF[N2O] * (EF[SATIM Code]= $D1315) )</f>
        <v>0</v>
      </c>
      <c r="N1315" s="1381">
        <f t="array" ref="N1315">SUM( ($E$1016:$E$1039=$E$1107)* ($A$1016:$A$1039=$A1315) * ($D$1016:$D$1039= $D1315) * (N$1016:N$1039) ) * SUM(EF[N2O] * (EF[SATIM Code]= $D1315) )</f>
        <v>0</v>
      </c>
      <c r="O1315" s="1381">
        <f t="array" ref="O1315">SUM( ($E$1016:$E$1039=$E$1107)* ($A$1016:$A$1039=$A1315) * ($D$1016:$D$1039= $D1315) * (O$1016:O$1039) ) * SUM(EF[N2O] * (EF[SATIM Code]= $D1315) )</f>
        <v>0</v>
      </c>
      <c r="S1315" s="166"/>
      <c r="T1315" s="166"/>
      <c r="U1315" s="166"/>
      <c r="V1315" s="166"/>
      <c r="W1315" s="166"/>
      <c r="X1315" s="166"/>
      <c r="Y1315" s="166"/>
      <c r="Z1315" s="166"/>
      <c r="AA1315" s="166"/>
      <c r="AB1315" s="166"/>
    </row>
    <row r="1316" spans="1:28" s="19" customFormat="1" hidden="1" outlineLevel="1">
      <c r="A1316" s="19" t="str">
        <f t="shared" si="271"/>
        <v>IS</v>
      </c>
      <c r="B1316" s="1400" t="str">
        <f>INDEX(EF[UK Vector],MATCH(D1316,EF[SATIM Code],0))</f>
        <v>V.09</v>
      </c>
      <c r="C1316" s="1401" t="str">
        <f>INDEX(Vectors[Description], MATCH($B1316, Vectors[Code], 0))</f>
        <v>Dry biomass and waste</v>
      </c>
      <c r="D1316" s="1388" t="s">
        <v>889</v>
      </c>
      <c r="E1316" s="1393"/>
      <c r="F1316" s="1381">
        <f t="array" ref="F1316">SUM( ($E$1016:$E$1039=$E$1107)* ($A$1016:$A$1039=$A1316) * ($D$1016:$D$1039= $D1316) * (F$1016:F$1039) ) * SUM(EF[N2O] * (EF[SATIM Code]= $D1316) )</f>
        <v>0</v>
      </c>
      <c r="G1316" s="1381">
        <f t="array" ref="G1316">SUM( ($E$1016:$E$1039=$E$1107)* ($A$1016:$A$1039=$A1316) * ($D$1016:$D$1039= $D1316) * (G$1016:G$1039) ) * SUM(EF[N2O] * (EF[SATIM Code]= $D1316) )</f>
        <v>0</v>
      </c>
      <c r="H1316" s="1381">
        <f t="array" ref="H1316">SUM( ($E$1016:$E$1039=$E$1107)* ($A$1016:$A$1039=$A1316) * ($D$1016:$D$1039= $D1316) * (H$1016:H$1039) ) * SUM(EF[N2O] * (EF[SATIM Code]= $D1316) )</f>
        <v>0</v>
      </c>
      <c r="I1316" s="1381">
        <f t="array" ref="I1316">SUM( ($E$1016:$E$1039=$E$1107)* ($A$1016:$A$1039=$A1316) * ($D$1016:$D$1039= $D1316) * (I$1016:I$1039) ) * SUM(EF[N2O] * (EF[SATIM Code]= $D1316) )</f>
        <v>0</v>
      </c>
      <c r="J1316" s="1381">
        <f t="array" ref="J1316">SUM( ($E$1016:$E$1039=$E$1107)* ($A$1016:$A$1039=$A1316) * ($D$1016:$D$1039= $D1316) * (J$1016:J$1039) ) * SUM(EF[N2O] * (EF[SATIM Code]= $D1316) )</f>
        <v>0</v>
      </c>
      <c r="K1316" s="1381">
        <f t="array" ref="K1316">SUM( ($E$1016:$E$1039=$E$1107)* ($A$1016:$A$1039=$A1316) * ($D$1016:$D$1039= $D1316) * (K$1016:K$1039) ) * SUM(EF[N2O] * (EF[SATIM Code]= $D1316) )</f>
        <v>0</v>
      </c>
      <c r="L1316" s="1381">
        <f t="array" ref="L1316">SUM( ($E$1016:$E$1039=$E$1107)* ($A$1016:$A$1039=$A1316) * ($D$1016:$D$1039= $D1316) * (L$1016:L$1039) ) * SUM(EF[N2O] * (EF[SATIM Code]= $D1316) )</f>
        <v>0</v>
      </c>
      <c r="M1316" s="1381">
        <f t="array" ref="M1316">SUM( ($E$1016:$E$1039=$E$1107)* ($A$1016:$A$1039=$A1316) * ($D$1016:$D$1039= $D1316) * (M$1016:M$1039) ) * SUM(EF[N2O] * (EF[SATIM Code]= $D1316) )</f>
        <v>0</v>
      </c>
      <c r="N1316" s="1381">
        <f t="array" ref="N1316">SUM( ($E$1016:$E$1039=$E$1107)* ($A$1016:$A$1039=$A1316) * ($D$1016:$D$1039= $D1316) * (N$1016:N$1039) ) * SUM(EF[N2O] * (EF[SATIM Code]= $D1316) )</f>
        <v>0</v>
      </c>
      <c r="O1316" s="1381">
        <f t="array" ref="O1316">SUM( ($E$1016:$E$1039=$E$1107)* ($A$1016:$A$1039=$A1316) * ($D$1016:$D$1039= $D1316) * (O$1016:O$1039) ) * SUM(EF[N2O] * (EF[SATIM Code]= $D1316) )</f>
        <v>0</v>
      </c>
      <c r="S1316" s="166"/>
      <c r="T1316" s="166"/>
      <c r="U1316" s="166"/>
      <c r="V1316" s="166"/>
      <c r="W1316" s="166"/>
      <c r="X1316" s="166"/>
      <c r="Y1316" s="166"/>
      <c r="Z1316" s="166"/>
      <c r="AA1316" s="166"/>
      <c r="AB1316" s="166"/>
    </row>
    <row r="1317" spans="1:28" s="19" customFormat="1" hidden="1" outlineLevel="1">
      <c r="A1317" s="19" t="str">
        <f t="shared" si="271"/>
        <v>IS</v>
      </c>
      <c r="B1317" s="1400" t="str">
        <f>INDEX(EF[UK Vector],MATCH(D1317,EF[SATIM Code],0))</f>
        <v>V.16</v>
      </c>
      <c r="C1317" s="1401" t="str">
        <f>INDEX(Vectors[Description], MATCH($B1317, Vectors[Code], 0))</f>
        <v>Other Waste</v>
      </c>
      <c r="D1317" s="1408" t="s">
        <v>890</v>
      </c>
      <c r="E1317" s="1393"/>
      <c r="F1317" s="1381">
        <f t="array" ref="F1317">SUM( ($E$1016:$E$1039=$E$1107)* ($A$1016:$A$1039=$A1317) * ($D$1016:$D$1039= $D1317) * (F$1016:F$1039) ) * SUM(EF[N2O] * (EF[SATIM Code]= $D1317) )</f>
        <v>0</v>
      </c>
      <c r="G1317" s="1381">
        <f t="array" ref="G1317">SUM( ($E$1016:$E$1039=$E$1107)* ($A$1016:$A$1039=$A1317) * ($D$1016:$D$1039= $D1317) * (G$1016:G$1039) ) * SUM(EF[N2O] * (EF[SATIM Code]= $D1317) )</f>
        <v>0</v>
      </c>
      <c r="H1317" s="1381">
        <f t="array" ref="H1317">SUM( ($E$1016:$E$1039=$E$1107)* ($A$1016:$A$1039=$A1317) * ($D$1016:$D$1039= $D1317) * (H$1016:H$1039) ) * SUM(EF[N2O] * (EF[SATIM Code]= $D1317) )</f>
        <v>0</v>
      </c>
      <c r="I1317" s="1381">
        <f t="array" ref="I1317">SUM( ($E$1016:$E$1039=$E$1107)* ($A$1016:$A$1039=$A1317) * ($D$1016:$D$1039= $D1317) * (I$1016:I$1039) ) * SUM(EF[N2O] * (EF[SATIM Code]= $D1317) )</f>
        <v>0</v>
      </c>
      <c r="J1317" s="1381">
        <f t="array" ref="J1317">SUM( ($E$1016:$E$1039=$E$1107)* ($A$1016:$A$1039=$A1317) * ($D$1016:$D$1039= $D1317) * (J$1016:J$1039) ) * SUM(EF[N2O] * (EF[SATIM Code]= $D1317) )</f>
        <v>0</v>
      </c>
      <c r="K1317" s="1381">
        <f t="array" ref="K1317">SUM( ($E$1016:$E$1039=$E$1107)* ($A$1016:$A$1039=$A1317) * ($D$1016:$D$1039= $D1317) * (K$1016:K$1039) ) * SUM(EF[N2O] * (EF[SATIM Code]= $D1317) )</f>
        <v>0</v>
      </c>
      <c r="L1317" s="1381">
        <f t="array" ref="L1317">SUM( ($E$1016:$E$1039=$E$1107)* ($A$1016:$A$1039=$A1317) * ($D$1016:$D$1039= $D1317) * (L$1016:L$1039) ) * SUM(EF[N2O] * (EF[SATIM Code]= $D1317) )</f>
        <v>0</v>
      </c>
      <c r="M1317" s="1381">
        <f t="array" ref="M1317">SUM( ($E$1016:$E$1039=$E$1107)* ($A$1016:$A$1039=$A1317) * ($D$1016:$D$1039= $D1317) * (M$1016:M$1039) ) * SUM(EF[N2O] * (EF[SATIM Code]= $D1317) )</f>
        <v>0</v>
      </c>
      <c r="N1317" s="1381">
        <f t="array" ref="N1317">SUM( ($E$1016:$E$1039=$E$1107)* ($A$1016:$A$1039=$A1317) * ($D$1016:$D$1039= $D1317) * (N$1016:N$1039) ) * SUM(EF[N2O] * (EF[SATIM Code]= $D1317) )</f>
        <v>0</v>
      </c>
      <c r="O1317" s="1381">
        <f t="array" ref="O1317">SUM( ($E$1016:$E$1039=$E$1107)* ($A$1016:$A$1039=$A1317) * ($D$1016:$D$1039= $D1317) * (O$1016:O$1039) ) * SUM(EF[N2O] * (EF[SATIM Code]= $D1317) )</f>
        <v>0</v>
      </c>
      <c r="S1317" s="166"/>
      <c r="T1317" s="166"/>
      <c r="U1317" s="166"/>
      <c r="V1317" s="166"/>
      <c r="W1317" s="166"/>
      <c r="X1317" s="166"/>
      <c r="Y1317" s="166"/>
      <c r="Z1317" s="166"/>
      <c r="AA1317" s="166"/>
      <c r="AB1317" s="166"/>
    </row>
    <row r="1318" spans="1:28" s="19" customFormat="1" hidden="1" outlineLevel="1">
      <c r="B1318" s="1393"/>
      <c r="C1318" s="1407" t="str">
        <f>D22</f>
        <v>Chemicals  -33</v>
      </c>
      <c r="D1318" s="1391"/>
      <c r="E1318" s="1393"/>
      <c r="F1318" s="1381">
        <f t="array" ref="F1318">SUM( ($E$1016:$E$1039=$E$1107)* ($A$1016:$A$1039=$A1318) * ($D$1016:$D$1039= $D1318) * (F$1016:F$1039) ) * SUM(EF[N2O] * (EF[SATIM Code]= $D1318) )</f>
        <v>0</v>
      </c>
      <c r="G1318" s="1381">
        <f t="array" ref="G1318">SUM( ($E$1016:$E$1039=$E$1107)* ($A$1016:$A$1039=$A1318) * ($D$1016:$D$1039= $D1318) * (G$1016:G$1039) ) * SUM(EF[N2O] * (EF[SATIM Code]= $D1318) )</f>
        <v>0</v>
      </c>
      <c r="H1318" s="1381">
        <f t="array" ref="H1318">SUM( ($E$1016:$E$1039=$E$1107)* ($A$1016:$A$1039=$A1318) * ($D$1016:$D$1039= $D1318) * (H$1016:H$1039) ) * SUM(EF[N2O] * (EF[SATIM Code]= $D1318) )</f>
        <v>0</v>
      </c>
      <c r="I1318" s="1381">
        <f t="array" ref="I1318">SUM( ($E$1016:$E$1039=$E$1107)* ($A$1016:$A$1039=$A1318) * ($D$1016:$D$1039= $D1318) * (I$1016:I$1039) ) * SUM(EF[N2O] * (EF[SATIM Code]= $D1318) )</f>
        <v>0</v>
      </c>
      <c r="J1318" s="1381">
        <f t="array" ref="J1318">SUM( ($E$1016:$E$1039=$E$1107)* ($A$1016:$A$1039=$A1318) * ($D$1016:$D$1039= $D1318) * (J$1016:J$1039) ) * SUM(EF[N2O] * (EF[SATIM Code]= $D1318) )</f>
        <v>0</v>
      </c>
      <c r="K1318" s="1381">
        <f t="array" ref="K1318">SUM( ($E$1016:$E$1039=$E$1107)* ($A$1016:$A$1039=$A1318) * ($D$1016:$D$1039= $D1318) * (K$1016:K$1039) ) * SUM(EF[N2O] * (EF[SATIM Code]= $D1318) )</f>
        <v>0</v>
      </c>
      <c r="L1318" s="1381">
        <f t="array" ref="L1318">SUM( ($E$1016:$E$1039=$E$1107)* ($A$1016:$A$1039=$A1318) * ($D$1016:$D$1039= $D1318) * (L$1016:L$1039) ) * SUM(EF[N2O] * (EF[SATIM Code]= $D1318) )</f>
        <v>0</v>
      </c>
      <c r="M1318" s="1381">
        <f t="array" ref="M1318">SUM( ($E$1016:$E$1039=$E$1107)* ($A$1016:$A$1039=$A1318) * ($D$1016:$D$1039= $D1318) * (M$1016:M$1039) ) * SUM(EF[N2O] * (EF[SATIM Code]= $D1318) )</f>
        <v>0</v>
      </c>
      <c r="N1318" s="1381">
        <f t="array" ref="N1318">SUM( ($E$1016:$E$1039=$E$1107)* ($A$1016:$A$1039=$A1318) * ($D$1016:$D$1039= $D1318) * (N$1016:N$1039) ) * SUM(EF[N2O] * (EF[SATIM Code]= $D1318) )</f>
        <v>0</v>
      </c>
      <c r="O1318" s="1381">
        <f t="array" ref="O1318">SUM( ($E$1016:$E$1039=$E$1107)* ($A$1016:$A$1039=$A1318) * ($D$1016:$D$1039= $D1318) * (O$1016:O$1039) ) * SUM(EF[N2O] * (EF[SATIM Code]= $D1318) )</f>
        <v>0</v>
      </c>
      <c r="S1318" s="166"/>
      <c r="T1318" s="166"/>
      <c r="U1318" s="166"/>
      <c r="V1318" s="166"/>
      <c r="W1318" s="166"/>
      <c r="X1318" s="166"/>
      <c r="Y1318" s="166"/>
      <c r="Z1318" s="166"/>
      <c r="AA1318" s="166"/>
      <c r="AB1318" s="166"/>
    </row>
    <row r="1319" spans="1:28" s="19" customFormat="1" hidden="1" outlineLevel="1">
      <c r="A1319" s="1438" t="str">
        <f>INDEX($C$20:$C$27,MATCH($C1318,$D$20:$D$27,0))</f>
        <v>CP</v>
      </c>
      <c r="B1319" s="1400" t="str">
        <f>INDEX(EF[UK Vector],MATCH(D1319,EF[SATIM Code],0))</f>
        <v>V.03</v>
      </c>
      <c r="C1319" s="1401" t="str">
        <f>INDEX(Vectors[Description], MATCH($B1319, Vectors[Code], 0))</f>
        <v>Solid hydrocarbons</v>
      </c>
      <c r="D1319" s="1391" t="s">
        <v>882</v>
      </c>
      <c r="E1319" s="1393"/>
      <c r="F1319" s="1381">
        <f t="array" ref="F1319">SUM( ($E$1016:$E$1039=$E$1107)* ($A$1016:$A$1039=$A1319) * ($D$1016:$D$1039= $D1319) * (F$1016:F$1039) ) * SUM(EF[N2O] * (EF[SATIM Code]= $D1319) )</f>
        <v>0</v>
      </c>
      <c r="G1319" s="1381">
        <f t="array" ref="G1319">SUM( ($E$1016:$E$1039=$E$1107)* ($A$1016:$A$1039=$A1319) * ($D$1016:$D$1039= $D1319) * (G$1016:G$1039) ) * SUM(EF[N2O] * (EF[SATIM Code]= $D1319) )</f>
        <v>0</v>
      </c>
      <c r="H1319" s="1381">
        <f t="array" ref="H1319">SUM( ($E$1016:$E$1039=$E$1107)* ($A$1016:$A$1039=$A1319) * ($D$1016:$D$1039= $D1319) * (H$1016:H$1039) ) * SUM(EF[N2O] * (EF[SATIM Code]= $D1319) )</f>
        <v>0</v>
      </c>
      <c r="I1319" s="1381">
        <f t="array" ref="I1319">SUM( ($E$1016:$E$1039=$E$1107)* ($A$1016:$A$1039=$A1319) * ($D$1016:$D$1039= $D1319) * (I$1016:I$1039) ) * SUM(EF[N2O] * (EF[SATIM Code]= $D1319) )</f>
        <v>0</v>
      </c>
      <c r="J1319" s="1381">
        <f t="array" ref="J1319">SUM( ($E$1016:$E$1039=$E$1107)* ($A$1016:$A$1039=$A1319) * ($D$1016:$D$1039= $D1319) * (J$1016:J$1039) ) * SUM(EF[N2O] * (EF[SATIM Code]= $D1319) )</f>
        <v>0</v>
      </c>
      <c r="K1319" s="1381">
        <f t="array" ref="K1319">SUM( ($E$1016:$E$1039=$E$1107)* ($A$1016:$A$1039=$A1319) * ($D$1016:$D$1039= $D1319) * (K$1016:K$1039) ) * SUM(EF[N2O] * (EF[SATIM Code]= $D1319) )</f>
        <v>0</v>
      </c>
      <c r="L1319" s="1381">
        <f t="array" ref="L1319">SUM( ($E$1016:$E$1039=$E$1107)* ($A$1016:$A$1039=$A1319) * ($D$1016:$D$1039= $D1319) * (L$1016:L$1039) ) * SUM(EF[N2O] * (EF[SATIM Code]= $D1319) )</f>
        <v>0</v>
      </c>
      <c r="M1319" s="1381">
        <f t="array" ref="M1319">SUM( ($E$1016:$E$1039=$E$1107)* ($A$1016:$A$1039=$A1319) * ($D$1016:$D$1039= $D1319) * (M$1016:M$1039) ) * SUM(EF[N2O] * (EF[SATIM Code]= $D1319) )</f>
        <v>0</v>
      </c>
      <c r="N1319" s="1381">
        <f t="array" ref="N1319">SUM( ($E$1016:$E$1039=$E$1107)* ($A$1016:$A$1039=$A1319) * ($D$1016:$D$1039= $D1319) * (N$1016:N$1039) ) * SUM(EF[N2O] * (EF[SATIM Code]= $D1319) )</f>
        <v>0</v>
      </c>
      <c r="O1319" s="1381">
        <f t="array" ref="O1319">SUM( ($E$1016:$E$1039=$E$1107)* ($A$1016:$A$1039=$A1319) * ($D$1016:$D$1039= $D1319) * (O$1016:O$1039) ) * SUM(EF[N2O] * (EF[SATIM Code]= $D1319) )</f>
        <v>0</v>
      </c>
      <c r="S1319" s="166"/>
      <c r="T1319" s="166"/>
      <c r="U1319" s="166"/>
      <c r="V1319" s="166"/>
      <c r="W1319" s="166"/>
      <c r="X1319" s="166"/>
      <c r="Y1319" s="166"/>
      <c r="Z1319" s="166"/>
      <c r="AA1319" s="166"/>
      <c r="AB1319" s="166"/>
    </row>
    <row r="1320" spans="1:28" s="19" customFormat="1" hidden="1" outlineLevel="1">
      <c r="A1320" s="19" t="str">
        <f t="shared" ref="A1320:A1327" si="272">A1319</f>
        <v>CP</v>
      </c>
      <c r="B1320" s="1400" t="str">
        <f>INDEX(EF[UK Vector],MATCH(D1320,EF[SATIM Code],0))</f>
        <v>V.03</v>
      </c>
      <c r="C1320" s="1401" t="str">
        <f>INDEX(Vectors[Description], MATCH($B1320, Vectors[Code], 0))</f>
        <v>Solid hydrocarbons</v>
      </c>
      <c r="D1320" s="1391" t="s">
        <v>883</v>
      </c>
      <c r="E1320" s="1393"/>
      <c r="F1320" s="1381">
        <f t="array" ref="F1320">SUM( ($E$1016:$E$1039=$E$1107)* ($A$1016:$A$1039=$A1320) * ($D$1016:$D$1039= $D1320) * (F$1016:F$1039) ) * SUM(EF[N2O] * (EF[SATIM Code]= $D1320) )</f>
        <v>0</v>
      </c>
      <c r="G1320" s="1381">
        <f t="array" ref="G1320">SUM( ($E$1016:$E$1039=$E$1107)* ($A$1016:$A$1039=$A1320) * ($D$1016:$D$1039= $D1320) * (G$1016:G$1039) ) * SUM(EF[N2O] * (EF[SATIM Code]= $D1320) )</f>
        <v>0</v>
      </c>
      <c r="H1320" s="1381">
        <f t="array" ref="H1320">SUM( ($E$1016:$E$1039=$E$1107)* ($A$1016:$A$1039=$A1320) * ($D$1016:$D$1039= $D1320) * (H$1016:H$1039) ) * SUM(EF[N2O] * (EF[SATIM Code]= $D1320) )</f>
        <v>0</v>
      </c>
      <c r="I1320" s="1381">
        <f t="array" ref="I1320">SUM( ($E$1016:$E$1039=$E$1107)* ($A$1016:$A$1039=$A1320) * ($D$1016:$D$1039= $D1320) * (I$1016:I$1039) ) * SUM(EF[N2O] * (EF[SATIM Code]= $D1320) )</f>
        <v>0</v>
      </c>
      <c r="J1320" s="1381">
        <f t="array" ref="J1320">SUM( ($E$1016:$E$1039=$E$1107)* ($A$1016:$A$1039=$A1320) * ($D$1016:$D$1039= $D1320) * (J$1016:J$1039) ) * SUM(EF[N2O] * (EF[SATIM Code]= $D1320) )</f>
        <v>0</v>
      </c>
      <c r="K1320" s="1381">
        <f t="array" ref="K1320">SUM( ($E$1016:$E$1039=$E$1107)* ($A$1016:$A$1039=$A1320) * ($D$1016:$D$1039= $D1320) * (K$1016:K$1039) ) * SUM(EF[N2O] * (EF[SATIM Code]= $D1320) )</f>
        <v>0</v>
      </c>
      <c r="L1320" s="1381">
        <f t="array" ref="L1320">SUM( ($E$1016:$E$1039=$E$1107)* ($A$1016:$A$1039=$A1320) * ($D$1016:$D$1039= $D1320) * (L$1016:L$1039) ) * SUM(EF[N2O] * (EF[SATIM Code]= $D1320) )</f>
        <v>0</v>
      </c>
      <c r="M1320" s="1381">
        <f t="array" ref="M1320">SUM( ($E$1016:$E$1039=$E$1107)* ($A$1016:$A$1039=$A1320) * ($D$1016:$D$1039= $D1320) * (M$1016:M$1039) ) * SUM(EF[N2O] * (EF[SATIM Code]= $D1320) )</f>
        <v>0</v>
      </c>
      <c r="N1320" s="1381">
        <f t="array" ref="N1320">SUM( ($E$1016:$E$1039=$E$1107)* ($A$1016:$A$1039=$A1320) * ($D$1016:$D$1039= $D1320) * (N$1016:N$1039) ) * SUM(EF[N2O] * (EF[SATIM Code]= $D1320) )</f>
        <v>0</v>
      </c>
      <c r="O1320" s="1381">
        <f t="array" ref="O1320">SUM( ($E$1016:$E$1039=$E$1107)* ($A$1016:$A$1039=$A1320) * ($D$1016:$D$1039= $D1320) * (O$1016:O$1039) ) * SUM(EF[N2O] * (EF[SATIM Code]= $D1320) )</f>
        <v>0</v>
      </c>
      <c r="S1320" s="166"/>
      <c r="T1320" s="166"/>
      <c r="U1320" s="166"/>
      <c r="V1320" s="166"/>
      <c r="W1320" s="166"/>
      <c r="X1320" s="166"/>
      <c r="Y1320" s="166"/>
      <c r="Z1320" s="166"/>
      <c r="AA1320" s="166"/>
      <c r="AB1320" s="166"/>
    </row>
    <row r="1321" spans="1:28" s="19" customFormat="1" hidden="1" outlineLevel="1">
      <c r="A1321" s="19" t="str">
        <f t="shared" si="272"/>
        <v>CP</v>
      </c>
      <c r="B1321" s="1400" t="str">
        <f>INDEX(EF[UK Vector],MATCH(D1321,EF[SATIM Code],0))</f>
        <v>V.05</v>
      </c>
      <c r="C1321" s="1401" t="str">
        <f>INDEX(Vectors[Description], MATCH($B1321, Vectors[Code], 0))</f>
        <v>Gaseous hydrocarbons</v>
      </c>
      <c r="D1321" s="1406" t="s">
        <v>869</v>
      </c>
      <c r="E1321" s="1393"/>
      <c r="F1321" s="1381">
        <f t="array" ref="F1321">SUM( ($E$1016:$E$1039=$E$1107)* ($A$1016:$A$1039=$A1321) * ($D$1016:$D$1039= $D1321) * (F$1016:F$1039) ) * SUM(EF[N2O] * (EF[SATIM Code]= $D1321) )</f>
        <v>0</v>
      </c>
      <c r="G1321" s="1381">
        <f t="array" ref="G1321">SUM( ($E$1016:$E$1039=$E$1107)* ($A$1016:$A$1039=$A1321) * ($D$1016:$D$1039= $D1321) * (G$1016:G$1039) ) * SUM(EF[N2O] * (EF[SATIM Code]= $D1321) )</f>
        <v>0</v>
      </c>
      <c r="H1321" s="1381">
        <f t="array" ref="H1321">SUM( ($E$1016:$E$1039=$E$1107)* ($A$1016:$A$1039=$A1321) * ($D$1016:$D$1039= $D1321) * (H$1016:H$1039) ) * SUM(EF[N2O] * (EF[SATIM Code]= $D1321) )</f>
        <v>0</v>
      </c>
      <c r="I1321" s="1381">
        <f t="array" ref="I1321">SUM( ($E$1016:$E$1039=$E$1107)* ($A$1016:$A$1039=$A1321) * ($D$1016:$D$1039= $D1321) * (I$1016:I$1039) ) * SUM(EF[N2O] * (EF[SATIM Code]= $D1321) )</f>
        <v>0</v>
      </c>
      <c r="J1321" s="1381">
        <f t="array" ref="J1321">SUM( ($E$1016:$E$1039=$E$1107)* ($A$1016:$A$1039=$A1321) * ($D$1016:$D$1039= $D1321) * (J$1016:J$1039) ) * SUM(EF[N2O] * (EF[SATIM Code]= $D1321) )</f>
        <v>0</v>
      </c>
      <c r="K1321" s="1381">
        <f t="array" ref="K1321">SUM( ($E$1016:$E$1039=$E$1107)* ($A$1016:$A$1039=$A1321) * ($D$1016:$D$1039= $D1321) * (K$1016:K$1039) ) * SUM(EF[N2O] * (EF[SATIM Code]= $D1321) )</f>
        <v>0</v>
      </c>
      <c r="L1321" s="1381">
        <f t="array" ref="L1321">SUM( ($E$1016:$E$1039=$E$1107)* ($A$1016:$A$1039=$A1321) * ($D$1016:$D$1039= $D1321) * (L$1016:L$1039) ) * SUM(EF[N2O] * (EF[SATIM Code]= $D1321) )</f>
        <v>0</v>
      </c>
      <c r="M1321" s="1381">
        <f t="array" ref="M1321">SUM( ($E$1016:$E$1039=$E$1107)* ($A$1016:$A$1039=$A1321) * ($D$1016:$D$1039= $D1321) * (M$1016:M$1039) ) * SUM(EF[N2O] * (EF[SATIM Code]= $D1321) )</f>
        <v>0</v>
      </c>
      <c r="N1321" s="1381">
        <f t="array" ref="N1321">SUM( ($E$1016:$E$1039=$E$1107)* ($A$1016:$A$1039=$A1321) * ($D$1016:$D$1039= $D1321) * (N$1016:N$1039) ) * SUM(EF[N2O] * (EF[SATIM Code]= $D1321) )</f>
        <v>0</v>
      </c>
      <c r="O1321" s="1381">
        <f t="array" ref="O1321">SUM( ($E$1016:$E$1039=$E$1107)* ($A$1016:$A$1039=$A1321) * ($D$1016:$D$1039= $D1321) * (O$1016:O$1039) ) * SUM(EF[N2O] * (EF[SATIM Code]= $D1321) )</f>
        <v>0</v>
      </c>
      <c r="S1321" s="166"/>
      <c r="T1321" s="166"/>
      <c r="U1321" s="166"/>
      <c r="V1321" s="166"/>
      <c r="W1321" s="166"/>
      <c r="X1321" s="166"/>
      <c r="Y1321" s="166"/>
      <c r="Z1321" s="166"/>
      <c r="AA1321" s="166"/>
      <c r="AB1321" s="166"/>
    </row>
    <row r="1322" spans="1:28" s="19" customFormat="1" hidden="1" outlineLevel="1">
      <c r="A1322" s="19" t="str">
        <f t="shared" si="272"/>
        <v>CP</v>
      </c>
      <c r="B1322" s="1400" t="str">
        <f>INDEX(EF[UK Vector],MATCH(D1322,EF[SATIM Code],0))</f>
        <v>V.04</v>
      </c>
      <c r="C1322" s="1401" t="str">
        <f>INDEX(Vectors[Description], MATCH($B1322, Vectors[Code], 0))</f>
        <v>Liquid hydrocarbons</v>
      </c>
      <c r="D1322" s="1406" t="s">
        <v>885</v>
      </c>
      <c r="E1322" s="1393"/>
      <c r="F1322" s="1381">
        <f t="array" ref="F1322">SUM( ($E$1016:$E$1039=$E$1107)* ($A$1016:$A$1039=$A1322) * ($D$1016:$D$1039= $D1322) * (F$1016:F$1039) ) * SUM(EF[N2O] * (EF[SATIM Code]= $D1322) )</f>
        <v>0</v>
      </c>
      <c r="G1322" s="1381">
        <f t="array" ref="G1322">SUM( ($E$1016:$E$1039=$E$1107)* ($A$1016:$A$1039=$A1322) * ($D$1016:$D$1039= $D1322) * (G$1016:G$1039) ) * SUM(EF[N2O] * (EF[SATIM Code]= $D1322) )</f>
        <v>0</v>
      </c>
      <c r="H1322" s="1381">
        <f t="array" ref="H1322">SUM( ($E$1016:$E$1039=$E$1107)* ($A$1016:$A$1039=$A1322) * ($D$1016:$D$1039= $D1322) * (H$1016:H$1039) ) * SUM(EF[N2O] * (EF[SATIM Code]= $D1322) )</f>
        <v>0</v>
      </c>
      <c r="I1322" s="1381">
        <f t="array" ref="I1322">SUM( ($E$1016:$E$1039=$E$1107)* ($A$1016:$A$1039=$A1322) * ($D$1016:$D$1039= $D1322) * (I$1016:I$1039) ) * SUM(EF[N2O] * (EF[SATIM Code]= $D1322) )</f>
        <v>0</v>
      </c>
      <c r="J1322" s="1381">
        <f t="array" ref="J1322">SUM( ($E$1016:$E$1039=$E$1107)* ($A$1016:$A$1039=$A1322) * ($D$1016:$D$1039= $D1322) * (J$1016:J$1039) ) * SUM(EF[N2O] * (EF[SATIM Code]= $D1322) )</f>
        <v>0</v>
      </c>
      <c r="K1322" s="1381">
        <f t="array" ref="K1322">SUM( ($E$1016:$E$1039=$E$1107)* ($A$1016:$A$1039=$A1322) * ($D$1016:$D$1039= $D1322) * (K$1016:K$1039) ) * SUM(EF[N2O] * (EF[SATIM Code]= $D1322) )</f>
        <v>0</v>
      </c>
      <c r="L1322" s="1381">
        <f t="array" ref="L1322">SUM( ($E$1016:$E$1039=$E$1107)* ($A$1016:$A$1039=$A1322) * ($D$1016:$D$1039= $D1322) * (L$1016:L$1039) ) * SUM(EF[N2O] * (EF[SATIM Code]= $D1322) )</f>
        <v>0</v>
      </c>
      <c r="M1322" s="1381">
        <f t="array" ref="M1322">SUM( ($E$1016:$E$1039=$E$1107)* ($A$1016:$A$1039=$A1322) * ($D$1016:$D$1039= $D1322) * (M$1016:M$1039) ) * SUM(EF[N2O] * (EF[SATIM Code]= $D1322) )</f>
        <v>0</v>
      </c>
      <c r="N1322" s="1381">
        <f t="array" ref="N1322">SUM( ($E$1016:$E$1039=$E$1107)* ($A$1016:$A$1039=$A1322) * ($D$1016:$D$1039= $D1322) * (N$1016:N$1039) ) * SUM(EF[N2O] * (EF[SATIM Code]= $D1322) )</f>
        <v>0</v>
      </c>
      <c r="O1322" s="1381">
        <f t="array" ref="O1322">SUM( ($E$1016:$E$1039=$E$1107)* ($A$1016:$A$1039=$A1322) * ($D$1016:$D$1039= $D1322) * (O$1016:O$1039) ) * SUM(EF[N2O] * (EF[SATIM Code]= $D1322) )</f>
        <v>0</v>
      </c>
      <c r="S1322" s="166"/>
      <c r="T1322" s="166"/>
      <c r="U1322" s="166"/>
      <c r="V1322" s="166"/>
      <c r="W1322" s="166"/>
      <c r="X1322" s="166"/>
      <c r="Y1322" s="166"/>
      <c r="Z1322" s="166"/>
      <c r="AA1322" s="166"/>
      <c r="AB1322" s="166"/>
    </row>
    <row r="1323" spans="1:28" s="19" customFormat="1" hidden="1" outlineLevel="1">
      <c r="A1323" s="19" t="str">
        <f t="shared" si="272"/>
        <v>CP</v>
      </c>
      <c r="B1323" s="1400" t="str">
        <f>INDEX(EF[UK Vector],MATCH(D1323,EF[SATIM Code],0))</f>
        <v>V.04</v>
      </c>
      <c r="C1323" s="1401" t="str">
        <f>INDEX(Vectors[Description], MATCH($B1323, Vectors[Code], 0))</f>
        <v>Liquid hydrocarbons</v>
      </c>
      <c r="D1323" s="1391" t="s">
        <v>886</v>
      </c>
      <c r="E1323" s="1393"/>
      <c r="F1323" s="1381">
        <f t="array" ref="F1323">SUM( ($E$1016:$E$1039=$E$1107)* ($A$1016:$A$1039=$A1323) * ($D$1016:$D$1039= $D1323) * (F$1016:F$1039) ) * SUM(EF[N2O] * (EF[SATIM Code]= $D1323) )</f>
        <v>0</v>
      </c>
      <c r="G1323" s="1381">
        <f t="array" ref="G1323">SUM( ($E$1016:$E$1039=$E$1107)* ($A$1016:$A$1039=$A1323) * ($D$1016:$D$1039= $D1323) * (G$1016:G$1039) ) * SUM(EF[N2O] * (EF[SATIM Code]= $D1323) )</f>
        <v>0</v>
      </c>
      <c r="H1323" s="1381">
        <f t="array" ref="H1323">SUM( ($E$1016:$E$1039=$E$1107)* ($A$1016:$A$1039=$A1323) * ($D$1016:$D$1039= $D1323) * (H$1016:H$1039) ) * SUM(EF[N2O] * (EF[SATIM Code]= $D1323) )</f>
        <v>0</v>
      </c>
      <c r="I1323" s="1381">
        <f t="array" ref="I1323">SUM( ($E$1016:$E$1039=$E$1107)* ($A$1016:$A$1039=$A1323) * ($D$1016:$D$1039= $D1323) * (I$1016:I$1039) ) * SUM(EF[N2O] * (EF[SATIM Code]= $D1323) )</f>
        <v>0</v>
      </c>
      <c r="J1323" s="1381">
        <f t="array" ref="J1323">SUM( ($E$1016:$E$1039=$E$1107)* ($A$1016:$A$1039=$A1323) * ($D$1016:$D$1039= $D1323) * (J$1016:J$1039) ) * SUM(EF[N2O] * (EF[SATIM Code]= $D1323) )</f>
        <v>0</v>
      </c>
      <c r="K1323" s="1381">
        <f t="array" ref="K1323">SUM( ($E$1016:$E$1039=$E$1107)* ($A$1016:$A$1039=$A1323) * ($D$1016:$D$1039= $D1323) * (K$1016:K$1039) ) * SUM(EF[N2O] * (EF[SATIM Code]= $D1323) )</f>
        <v>0</v>
      </c>
      <c r="L1323" s="1381">
        <f t="array" ref="L1323">SUM( ($E$1016:$E$1039=$E$1107)* ($A$1016:$A$1039=$A1323) * ($D$1016:$D$1039= $D1323) * (L$1016:L$1039) ) * SUM(EF[N2O] * (EF[SATIM Code]= $D1323) )</f>
        <v>0</v>
      </c>
      <c r="M1323" s="1381">
        <f t="array" ref="M1323">SUM( ($E$1016:$E$1039=$E$1107)* ($A$1016:$A$1039=$A1323) * ($D$1016:$D$1039= $D1323) * (M$1016:M$1039) ) * SUM(EF[N2O] * (EF[SATIM Code]= $D1323) )</f>
        <v>0</v>
      </c>
      <c r="N1323" s="1381">
        <f t="array" ref="N1323">SUM( ($E$1016:$E$1039=$E$1107)* ($A$1016:$A$1039=$A1323) * ($D$1016:$D$1039= $D1323) * (N$1016:N$1039) ) * SUM(EF[N2O] * (EF[SATIM Code]= $D1323) )</f>
        <v>0</v>
      </c>
      <c r="O1323" s="1381">
        <f t="array" ref="O1323">SUM( ($E$1016:$E$1039=$E$1107)* ($A$1016:$A$1039=$A1323) * ($D$1016:$D$1039= $D1323) * (O$1016:O$1039) ) * SUM(EF[N2O] * (EF[SATIM Code]= $D1323) )</f>
        <v>0</v>
      </c>
      <c r="S1323" s="166"/>
      <c r="T1323" s="166"/>
      <c r="U1323" s="166"/>
      <c r="V1323" s="166"/>
      <c r="W1323" s="166"/>
      <c r="X1323" s="166"/>
      <c r="Y1323" s="166"/>
      <c r="Z1323" s="166"/>
      <c r="AA1323" s="166"/>
      <c r="AB1323" s="166"/>
    </row>
    <row r="1324" spans="1:28" s="19" customFormat="1" hidden="1" outlineLevel="1">
      <c r="A1324" s="19" t="str">
        <f t="shared" si="272"/>
        <v>CP</v>
      </c>
      <c r="B1324" s="1400" t="str">
        <f>INDEX(EF[UK Vector],MATCH(D1324,EF[SATIM Code],0))</f>
        <v>V.04</v>
      </c>
      <c r="C1324" s="1401" t="str">
        <f>INDEX(Vectors[Description], MATCH($B1324, Vectors[Code], 0))</f>
        <v>Liquid hydrocarbons</v>
      </c>
      <c r="D1324" s="1406" t="s">
        <v>887</v>
      </c>
      <c r="E1324" s="1393"/>
      <c r="F1324" s="1381">
        <f t="array" ref="F1324">SUM( ($E$1016:$E$1039=$E$1107)* ($A$1016:$A$1039=$A1324) * ($D$1016:$D$1039= $D1324) * (F$1016:F$1039) ) * SUM(EF[N2O] * (EF[SATIM Code]= $D1324) )</f>
        <v>0</v>
      </c>
      <c r="G1324" s="1381">
        <f t="array" ref="G1324">SUM( ($E$1016:$E$1039=$E$1107)* ($A$1016:$A$1039=$A1324) * ($D$1016:$D$1039= $D1324) * (G$1016:G$1039) ) * SUM(EF[N2O] * (EF[SATIM Code]= $D1324) )</f>
        <v>0</v>
      </c>
      <c r="H1324" s="1381">
        <f t="array" ref="H1324">SUM( ($E$1016:$E$1039=$E$1107)* ($A$1016:$A$1039=$A1324) * ($D$1016:$D$1039= $D1324) * (H$1016:H$1039) ) * SUM(EF[N2O] * (EF[SATIM Code]= $D1324) )</f>
        <v>0</v>
      </c>
      <c r="I1324" s="1381">
        <f t="array" ref="I1324">SUM( ($E$1016:$E$1039=$E$1107)* ($A$1016:$A$1039=$A1324) * ($D$1016:$D$1039= $D1324) * (I$1016:I$1039) ) * SUM(EF[N2O] * (EF[SATIM Code]= $D1324) )</f>
        <v>0</v>
      </c>
      <c r="J1324" s="1381">
        <f t="array" ref="J1324">SUM( ($E$1016:$E$1039=$E$1107)* ($A$1016:$A$1039=$A1324) * ($D$1016:$D$1039= $D1324) * (J$1016:J$1039) ) * SUM(EF[N2O] * (EF[SATIM Code]= $D1324) )</f>
        <v>0</v>
      </c>
      <c r="K1324" s="1381">
        <f t="array" ref="K1324">SUM( ($E$1016:$E$1039=$E$1107)* ($A$1016:$A$1039=$A1324) * ($D$1016:$D$1039= $D1324) * (K$1016:K$1039) ) * SUM(EF[N2O] * (EF[SATIM Code]= $D1324) )</f>
        <v>0</v>
      </c>
      <c r="L1324" s="1381">
        <f t="array" ref="L1324">SUM( ($E$1016:$E$1039=$E$1107)* ($A$1016:$A$1039=$A1324) * ($D$1016:$D$1039= $D1324) * (L$1016:L$1039) ) * SUM(EF[N2O] * (EF[SATIM Code]= $D1324) )</f>
        <v>0</v>
      </c>
      <c r="M1324" s="1381">
        <f t="array" ref="M1324">SUM( ($E$1016:$E$1039=$E$1107)* ($A$1016:$A$1039=$A1324) * ($D$1016:$D$1039= $D1324) * (M$1016:M$1039) ) * SUM(EF[N2O] * (EF[SATIM Code]= $D1324) )</f>
        <v>0</v>
      </c>
      <c r="N1324" s="1381">
        <f t="array" ref="N1324">SUM( ($E$1016:$E$1039=$E$1107)* ($A$1016:$A$1039=$A1324) * ($D$1016:$D$1039= $D1324) * (N$1016:N$1039) ) * SUM(EF[N2O] * (EF[SATIM Code]= $D1324) )</f>
        <v>0</v>
      </c>
      <c r="O1324" s="1381">
        <f t="array" ref="O1324">SUM( ($E$1016:$E$1039=$E$1107)* ($A$1016:$A$1039=$A1324) * ($D$1016:$D$1039= $D1324) * (O$1016:O$1039) ) * SUM(EF[N2O] * (EF[SATIM Code]= $D1324) )</f>
        <v>0</v>
      </c>
      <c r="S1324" s="166"/>
      <c r="T1324" s="166"/>
      <c r="U1324" s="166"/>
      <c r="V1324" s="166"/>
      <c r="W1324" s="166"/>
      <c r="X1324" s="166"/>
      <c r="Y1324" s="166"/>
      <c r="Z1324" s="166"/>
      <c r="AA1324" s="166"/>
      <c r="AB1324" s="166"/>
    </row>
    <row r="1325" spans="1:28" s="19" customFormat="1" hidden="1" outlineLevel="1">
      <c r="A1325" s="19" t="str">
        <f t="shared" si="272"/>
        <v>CP</v>
      </c>
      <c r="B1325" s="1400" t="str">
        <f>INDEX(EF[UK Vector],MATCH(D1325,EF[SATIM Code],0))</f>
        <v>V.09</v>
      </c>
      <c r="C1325" s="1401" t="str">
        <f>INDEX(Vectors[Description], MATCH($B1325, Vectors[Code], 0))</f>
        <v>Dry biomass and waste</v>
      </c>
      <c r="D1325" s="1406" t="s">
        <v>888</v>
      </c>
      <c r="E1325" s="1393"/>
      <c r="F1325" s="1381">
        <f t="array" ref="F1325">SUM( ($E$1016:$E$1039=$E$1107)* ($A$1016:$A$1039=$A1325) * ($D$1016:$D$1039= $D1325) * (F$1016:F$1039) ) * SUM(EF[N2O] * (EF[SATIM Code]= $D1325) )</f>
        <v>0</v>
      </c>
      <c r="G1325" s="1381">
        <f t="array" ref="G1325">SUM( ($E$1016:$E$1039=$E$1107)* ($A$1016:$A$1039=$A1325) * ($D$1016:$D$1039= $D1325) * (G$1016:G$1039) ) * SUM(EF[N2O] * (EF[SATIM Code]= $D1325) )</f>
        <v>0</v>
      </c>
      <c r="H1325" s="1381">
        <f t="array" ref="H1325">SUM( ($E$1016:$E$1039=$E$1107)* ($A$1016:$A$1039=$A1325) * ($D$1016:$D$1039= $D1325) * (H$1016:H$1039) ) * SUM(EF[N2O] * (EF[SATIM Code]= $D1325) )</f>
        <v>0</v>
      </c>
      <c r="I1325" s="1381">
        <f t="array" ref="I1325">SUM( ($E$1016:$E$1039=$E$1107)* ($A$1016:$A$1039=$A1325) * ($D$1016:$D$1039= $D1325) * (I$1016:I$1039) ) * SUM(EF[N2O] * (EF[SATIM Code]= $D1325) )</f>
        <v>0</v>
      </c>
      <c r="J1325" s="1381">
        <f t="array" ref="J1325">SUM( ($E$1016:$E$1039=$E$1107)* ($A$1016:$A$1039=$A1325) * ($D$1016:$D$1039= $D1325) * (J$1016:J$1039) ) * SUM(EF[N2O] * (EF[SATIM Code]= $D1325) )</f>
        <v>0</v>
      </c>
      <c r="K1325" s="1381">
        <f t="array" ref="K1325">SUM( ($E$1016:$E$1039=$E$1107)* ($A$1016:$A$1039=$A1325) * ($D$1016:$D$1039= $D1325) * (K$1016:K$1039) ) * SUM(EF[N2O] * (EF[SATIM Code]= $D1325) )</f>
        <v>0</v>
      </c>
      <c r="L1325" s="1381">
        <f t="array" ref="L1325">SUM( ($E$1016:$E$1039=$E$1107)* ($A$1016:$A$1039=$A1325) * ($D$1016:$D$1039= $D1325) * (L$1016:L$1039) ) * SUM(EF[N2O] * (EF[SATIM Code]= $D1325) )</f>
        <v>0</v>
      </c>
      <c r="M1325" s="1381">
        <f t="array" ref="M1325">SUM( ($E$1016:$E$1039=$E$1107)* ($A$1016:$A$1039=$A1325) * ($D$1016:$D$1039= $D1325) * (M$1016:M$1039) ) * SUM(EF[N2O] * (EF[SATIM Code]= $D1325) )</f>
        <v>0</v>
      </c>
      <c r="N1325" s="1381">
        <f t="array" ref="N1325">SUM( ($E$1016:$E$1039=$E$1107)* ($A$1016:$A$1039=$A1325) * ($D$1016:$D$1039= $D1325) * (N$1016:N$1039) ) * SUM(EF[N2O] * (EF[SATIM Code]= $D1325) )</f>
        <v>0</v>
      </c>
      <c r="O1325" s="1381">
        <f t="array" ref="O1325">SUM( ($E$1016:$E$1039=$E$1107)* ($A$1016:$A$1039=$A1325) * ($D$1016:$D$1039= $D1325) * (O$1016:O$1039) ) * SUM(EF[N2O] * (EF[SATIM Code]= $D1325) )</f>
        <v>0</v>
      </c>
      <c r="S1325" s="166"/>
      <c r="T1325" s="166"/>
      <c r="U1325" s="166"/>
      <c r="V1325" s="166"/>
      <c r="W1325" s="166"/>
      <c r="X1325" s="166"/>
      <c r="Y1325" s="166"/>
      <c r="Z1325" s="166"/>
      <c r="AA1325" s="166"/>
      <c r="AB1325" s="166"/>
    </row>
    <row r="1326" spans="1:28" s="19" customFormat="1" hidden="1" outlineLevel="1">
      <c r="A1326" s="19" t="str">
        <f t="shared" si="272"/>
        <v>CP</v>
      </c>
      <c r="B1326" s="1400" t="str">
        <f>INDEX(EF[UK Vector],MATCH(D1326,EF[SATIM Code],0))</f>
        <v>V.09</v>
      </c>
      <c r="C1326" s="1401" t="str">
        <f>INDEX(Vectors[Description], MATCH($B1326, Vectors[Code], 0))</f>
        <v>Dry biomass and waste</v>
      </c>
      <c r="D1326" s="1388" t="s">
        <v>889</v>
      </c>
      <c r="E1326" s="1393"/>
      <c r="F1326" s="1381">
        <f t="array" ref="F1326">SUM( ($E$1016:$E$1039=$E$1107)* ($A$1016:$A$1039=$A1326) * ($D$1016:$D$1039= $D1326) * (F$1016:F$1039) ) * SUM(EF[N2O] * (EF[SATIM Code]= $D1326) )</f>
        <v>0</v>
      </c>
      <c r="G1326" s="1381">
        <f t="array" ref="G1326">SUM( ($E$1016:$E$1039=$E$1107)* ($A$1016:$A$1039=$A1326) * ($D$1016:$D$1039= $D1326) * (G$1016:G$1039) ) * SUM(EF[N2O] * (EF[SATIM Code]= $D1326) )</f>
        <v>0</v>
      </c>
      <c r="H1326" s="1381">
        <f t="array" ref="H1326">SUM( ($E$1016:$E$1039=$E$1107)* ($A$1016:$A$1039=$A1326) * ($D$1016:$D$1039= $D1326) * (H$1016:H$1039) ) * SUM(EF[N2O] * (EF[SATIM Code]= $D1326) )</f>
        <v>0</v>
      </c>
      <c r="I1326" s="1381">
        <f t="array" ref="I1326">SUM( ($E$1016:$E$1039=$E$1107)* ($A$1016:$A$1039=$A1326) * ($D$1016:$D$1039= $D1326) * (I$1016:I$1039) ) * SUM(EF[N2O] * (EF[SATIM Code]= $D1326) )</f>
        <v>0</v>
      </c>
      <c r="J1326" s="1381">
        <f t="array" ref="J1326">SUM( ($E$1016:$E$1039=$E$1107)* ($A$1016:$A$1039=$A1326) * ($D$1016:$D$1039= $D1326) * (J$1016:J$1039) ) * SUM(EF[N2O] * (EF[SATIM Code]= $D1326) )</f>
        <v>0</v>
      </c>
      <c r="K1326" s="1381">
        <f t="array" ref="K1326">SUM( ($E$1016:$E$1039=$E$1107)* ($A$1016:$A$1039=$A1326) * ($D$1016:$D$1039= $D1326) * (K$1016:K$1039) ) * SUM(EF[N2O] * (EF[SATIM Code]= $D1326) )</f>
        <v>0</v>
      </c>
      <c r="L1326" s="1381">
        <f t="array" ref="L1326">SUM( ($E$1016:$E$1039=$E$1107)* ($A$1016:$A$1039=$A1326) * ($D$1016:$D$1039= $D1326) * (L$1016:L$1039) ) * SUM(EF[N2O] * (EF[SATIM Code]= $D1326) )</f>
        <v>0</v>
      </c>
      <c r="M1326" s="1381">
        <f t="array" ref="M1326">SUM( ($E$1016:$E$1039=$E$1107)* ($A$1016:$A$1039=$A1326) * ($D$1016:$D$1039= $D1326) * (M$1016:M$1039) ) * SUM(EF[N2O] * (EF[SATIM Code]= $D1326) )</f>
        <v>0</v>
      </c>
      <c r="N1326" s="1381">
        <f t="array" ref="N1326">SUM( ($E$1016:$E$1039=$E$1107)* ($A$1016:$A$1039=$A1326) * ($D$1016:$D$1039= $D1326) * (N$1016:N$1039) ) * SUM(EF[N2O] * (EF[SATIM Code]= $D1326) )</f>
        <v>0</v>
      </c>
      <c r="O1326" s="1381">
        <f t="array" ref="O1326">SUM( ($E$1016:$E$1039=$E$1107)* ($A$1016:$A$1039=$A1326) * ($D$1016:$D$1039= $D1326) * (O$1016:O$1039) ) * SUM(EF[N2O] * (EF[SATIM Code]= $D1326) )</f>
        <v>0</v>
      </c>
      <c r="S1326" s="166"/>
      <c r="T1326" s="166"/>
      <c r="U1326" s="166"/>
      <c r="V1326" s="166"/>
      <c r="W1326" s="166"/>
      <c r="X1326" s="166"/>
      <c r="Y1326" s="166"/>
      <c r="Z1326" s="166"/>
      <c r="AA1326" s="166"/>
      <c r="AB1326" s="166"/>
    </row>
    <row r="1327" spans="1:28" s="19" customFormat="1" hidden="1" outlineLevel="1">
      <c r="A1327" s="19" t="str">
        <f t="shared" si="272"/>
        <v>CP</v>
      </c>
      <c r="B1327" s="1400" t="str">
        <f>INDEX(EF[UK Vector],MATCH(D1327,EF[SATIM Code],0))</f>
        <v>V.16</v>
      </c>
      <c r="C1327" s="1401" t="str">
        <f>INDEX(Vectors[Description], MATCH($B1327, Vectors[Code], 0))</f>
        <v>Other Waste</v>
      </c>
      <c r="D1327" s="1408" t="s">
        <v>890</v>
      </c>
      <c r="E1327" s="1393"/>
      <c r="F1327" s="1381">
        <f t="array" ref="F1327">SUM( ($E$1016:$E$1039=$E$1107)* ($A$1016:$A$1039=$A1327) * ($D$1016:$D$1039= $D1327) * (F$1016:F$1039) ) * SUM(EF[N2O] * (EF[SATIM Code]= $D1327) )</f>
        <v>0</v>
      </c>
      <c r="G1327" s="1381">
        <f t="array" ref="G1327">SUM( ($E$1016:$E$1039=$E$1107)* ($A$1016:$A$1039=$A1327) * ($D$1016:$D$1039= $D1327) * (G$1016:G$1039) ) * SUM(EF[N2O] * (EF[SATIM Code]= $D1327) )</f>
        <v>0</v>
      </c>
      <c r="H1327" s="1381">
        <f t="array" ref="H1327">SUM( ($E$1016:$E$1039=$E$1107)* ($A$1016:$A$1039=$A1327) * ($D$1016:$D$1039= $D1327) * (H$1016:H$1039) ) * SUM(EF[N2O] * (EF[SATIM Code]= $D1327) )</f>
        <v>0</v>
      </c>
      <c r="I1327" s="1381">
        <f t="array" ref="I1327">SUM( ($E$1016:$E$1039=$E$1107)* ($A$1016:$A$1039=$A1327) * ($D$1016:$D$1039= $D1327) * (I$1016:I$1039) ) * SUM(EF[N2O] * (EF[SATIM Code]= $D1327) )</f>
        <v>0</v>
      </c>
      <c r="J1327" s="1381">
        <f t="array" ref="J1327">SUM( ($E$1016:$E$1039=$E$1107)* ($A$1016:$A$1039=$A1327) * ($D$1016:$D$1039= $D1327) * (J$1016:J$1039) ) * SUM(EF[N2O] * (EF[SATIM Code]= $D1327) )</f>
        <v>0</v>
      </c>
      <c r="K1327" s="1381">
        <f t="array" ref="K1327">SUM( ($E$1016:$E$1039=$E$1107)* ($A$1016:$A$1039=$A1327) * ($D$1016:$D$1039= $D1327) * (K$1016:K$1039) ) * SUM(EF[N2O] * (EF[SATIM Code]= $D1327) )</f>
        <v>0</v>
      </c>
      <c r="L1327" s="1381">
        <f t="array" ref="L1327">SUM( ($E$1016:$E$1039=$E$1107)* ($A$1016:$A$1039=$A1327) * ($D$1016:$D$1039= $D1327) * (L$1016:L$1039) ) * SUM(EF[N2O] * (EF[SATIM Code]= $D1327) )</f>
        <v>0</v>
      </c>
      <c r="M1327" s="1381">
        <f t="array" ref="M1327">SUM( ($E$1016:$E$1039=$E$1107)* ($A$1016:$A$1039=$A1327) * ($D$1016:$D$1039= $D1327) * (M$1016:M$1039) ) * SUM(EF[N2O] * (EF[SATIM Code]= $D1327) )</f>
        <v>0</v>
      </c>
      <c r="N1327" s="1381">
        <f t="array" ref="N1327">SUM( ($E$1016:$E$1039=$E$1107)* ($A$1016:$A$1039=$A1327) * ($D$1016:$D$1039= $D1327) * (N$1016:N$1039) ) * SUM(EF[N2O] * (EF[SATIM Code]= $D1327) )</f>
        <v>0</v>
      </c>
      <c r="O1327" s="1381">
        <f t="array" ref="O1327">SUM( ($E$1016:$E$1039=$E$1107)* ($A$1016:$A$1039=$A1327) * ($D$1016:$D$1039= $D1327) * (O$1016:O$1039) ) * SUM(EF[N2O] * (EF[SATIM Code]= $D1327) )</f>
        <v>0</v>
      </c>
      <c r="S1327" s="166"/>
      <c r="T1327" s="166"/>
      <c r="U1327" s="166"/>
      <c r="V1327" s="166"/>
      <c r="W1327" s="166"/>
      <c r="X1327" s="166"/>
      <c r="Y1327" s="166"/>
      <c r="Z1327" s="166"/>
      <c r="AA1327" s="166"/>
      <c r="AB1327" s="166"/>
    </row>
    <row r="1328" spans="1:28" s="19" customFormat="1" hidden="1" outlineLevel="1">
      <c r="B1328" s="1393"/>
      <c r="C1328" s="1407" t="str">
        <f>D23</f>
        <v>Non-Ferrous metals  - 352</v>
      </c>
      <c r="D1328" s="1391"/>
      <c r="E1328" s="1393"/>
      <c r="F1328" s="1381">
        <f t="array" ref="F1328">SUM( ($E$1016:$E$1039=$E$1107)* ($A$1016:$A$1039=$A1328) * ($D$1016:$D$1039= $D1328) * (F$1016:F$1039) ) * SUM(EF[N2O] * (EF[SATIM Code]= $D1328) )</f>
        <v>0</v>
      </c>
      <c r="G1328" s="1381">
        <f t="array" ref="G1328">SUM( ($E$1016:$E$1039=$E$1107)* ($A$1016:$A$1039=$A1328) * ($D$1016:$D$1039= $D1328) * (G$1016:G$1039) ) * SUM(EF[N2O] * (EF[SATIM Code]= $D1328) )</f>
        <v>0</v>
      </c>
      <c r="H1328" s="1381">
        <f t="array" ref="H1328">SUM( ($E$1016:$E$1039=$E$1107)* ($A$1016:$A$1039=$A1328) * ($D$1016:$D$1039= $D1328) * (H$1016:H$1039) ) * SUM(EF[N2O] * (EF[SATIM Code]= $D1328) )</f>
        <v>0</v>
      </c>
      <c r="I1328" s="1381">
        <f t="array" ref="I1328">SUM( ($E$1016:$E$1039=$E$1107)* ($A$1016:$A$1039=$A1328) * ($D$1016:$D$1039= $D1328) * (I$1016:I$1039) ) * SUM(EF[N2O] * (EF[SATIM Code]= $D1328) )</f>
        <v>0</v>
      </c>
      <c r="J1328" s="1381">
        <f t="array" ref="J1328">SUM( ($E$1016:$E$1039=$E$1107)* ($A$1016:$A$1039=$A1328) * ($D$1016:$D$1039= $D1328) * (J$1016:J$1039) ) * SUM(EF[N2O] * (EF[SATIM Code]= $D1328) )</f>
        <v>0</v>
      </c>
      <c r="K1328" s="1381">
        <f t="array" ref="K1328">SUM( ($E$1016:$E$1039=$E$1107)* ($A$1016:$A$1039=$A1328) * ($D$1016:$D$1039= $D1328) * (K$1016:K$1039) ) * SUM(EF[N2O] * (EF[SATIM Code]= $D1328) )</f>
        <v>0</v>
      </c>
      <c r="L1328" s="1381">
        <f t="array" ref="L1328">SUM( ($E$1016:$E$1039=$E$1107)* ($A$1016:$A$1039=$A1328) * ($D$1016:$D$1039= $D1328) * (L$1016:L$1039) ) * SUM(EF[N2O] * (EF[SATIM Code]= $D1328) )</f>
        <v>0</v>
      </c>
      <c r="M1328" s="1381">
        <f t="array" ref="M1328">SUM( ($E$1016:$E$1039=$E$1107)* ($A$1016:$A$1039=$A1328) * ($D$1016:$D$1039= $D1328) * (M$1016:M$1039) ) * SUM(EF[N2O] * (EF[SATIM Code]= $D1328) )</f>
        <v>0</v>
      </c>
      <c r="N1328" s="1381">
        <f t="array" ref="N1328">SUM( ($E$1016:$E$1039=$E$1107)* ($A$1016:$A$1039=$A1328) * ($D$1016:$D$1039= $D1328) * (N$1016:N$1039) ) * SUM(EF[N2O] * (EF[SATIM Code]= $D1328) )</f>
        <v>0</v>
      </c>
      <c r="O1328" s="1381">
        <f t="array" ref="O1328">SUM( ($E$1016:$E$1039=$E$1107)* ($A$1016:$A$1039=$A1328) * ($D$1016:$D$1039= $D1328) * (O$1016:O$1039) ) * SUM(EF[N2O] * (EF[SATIM Code]= $D1328) )</f>
        <v>0</v>
      </c>
      <c r="S1328" s="166"/>
      <c r="T1328" s="166"/>
      <c r="U1328" s="166"/>
      <c r="V1328" s="166"/>
      <c r="W1328" s="166"/>
      <c r="X1328" s="166"/>
      <c r="Y1328" s="166"/>
      <c r="Z1328" s="166"/>
      <c r="AA1328" s="166"/>
      <c r="AB1328" s="166"/>
    </row>
    <row r="1329" spans="1:28" s="19" customFormat="1" hidden="1" outlineLevel="1">
      <c r="A1329" s="1438" t="str">
        <f>INDEX($C$20:$C$27,MATCH($C1328,$D$20:$D$27,0))</f>
        <v>NF</v>
      </c>
      <c r="B1329" s="1400" t="str">
        <f>INDEX(EF[UK Vector],MATCH(D1329,EF[SATIM Code],0))</f>
        <v>V.03</v>
      </c>
      <c r="C1329" s="1401" t="str">
        <f>INDEX(Vectors[Description], MATCH($B1329, Vectors[Code], 0))</f>
        <v>Solid hydrocarbons</v>
      </c>
      <c r="D1329" s="1391" t="s">
        <v>882</v>
      </c>
      <c r="E1329" s="1393"/>
      <c r="F1329" s="1381">
        <f t="array" ref="F1329">SUM( ($E$1016:$E$1039=$E$1107)* ($A$1016:$A$1039=$A1329) * ($D$1016:$D$1039= $D1329) * (F$1016:F$1039) ) * SUM(EF[N2O] * (EF[SATIM Code]= $D1329) )</f>
        <v>0</v>
      </c>
      <c r="G1329" s="1381">
        <f t="array" ref="G1329">SUM( ($E$1016:$E$1039=$E$1107)* ($A$1016:$A$1039=$A1329) * ($D$1016:$D$1039= $D1329) * (G$1016:G$1039) ) * SUM(EF[N2O] * (EF[SATIM Code]= $D1329) )</f>
        <v>0</v>
      </c>
      <c r="H1329" s="1381">
        <f t="array" ref="H1329">SUM( ($E$1016:$E$1039=$E$1107)* ($A$1016:$A$1039=$A1329) * ($D$1016:$D$1039= $D1329) * (H$1016:H$1039) ) * SUM(EF[N2O] * (EF[SATIM Code]= $D1329) )</f>
        <v>0</v>
      </c>
      <c r="I1329" s="1381">
        <f t="array" ref="I1329">SUM( ($E$1016:$E$1039=$E$1107)* ($A$1016:$A$1039=$A1329) * ($D$1016:$D$1039= $D1329) * (I$1016:I$1039) ) * SUM(EF[N2O] * (EF[SATIM Code]= $D1329) )</f>
        <v>0</v>
      </c>
      <c r="J1329" s="1381">
        <f t="array" ref="J1329">SUM( ($E$1016:$E$1039=$E$1107)* ($A$1016:$A$1039=$A1329) * ($D$1016:$D$1039= $D1329) * (J$1016:J$1039) ) * SUM(EF[N2O] * (EF[SATIM Code]= $D1329) )</f>
        <v>0</v>
      </c>
      <c r="K1329" s="1381">
        <f t="array" ref="K1329">SUM( ($E$1016:$E$1039=$E$1107)* ($A$1016:$A$1039=$A1329) * ($D$1016:$D$1039= $D1329) * (K$1016:K$1039) ) * SUM(EF[N2O] * (EF[SATIM Code]= $D1329) )</f>
        <v>0</v>
      </c>
      <c r="L1329" s="1381">
        <f t="array" ref="L1329">SUM( ($E$1016:$E$1039=$E$1107)* ($A$1016:$A$1039=$A1329) * ($D$1016:$D$1039= $D1329) * (L$1016:L$1039) ) * SUM(EF[N2O] * (EF[SATIM Code]= $D1329) )</f>
        <v>0</v>
      </c>
      <c r="M1329" s="1381">
        <f t="array" ref="M1329">SUM( ($E$1016:$E$1039=$E$1107)* ($A$1016:$A$1039=$A1329) * ($D$1016:$D$1039= $D1329) * (M$1016:M$1039) ) * SUM(EF[N2O] * (EF[SATIM Code]= $D1329) )</f>
        <v>0</v>
      </c>
      <c r="N1329" s="1381">
        <f t="array" ref="N1329">SUM( ($E$1016:$E$1039=$E$1107)* ($A$1016:$A$1039=$A1329) * ($D$1016:$D$1039= $D1329) * (N$1016:N$1039) ) * SUM(EF[N2O] * (EF[SATIM Code]= $D1329) )</f>
        <v>0</v>
      </c>
      <c r="O1329" s="1381">
        <f t="array" ref="O1329">SUM( ($E$1016:$E$1039=$E$1107)* ($A$1016:$A$1039=$A1329) * ($D$1016:$D$1039= $D1329) * (O$1016:O$1039) ) * SUM(EF[N2O] * (EF[SATIM Code]= $D1329) )</f>
        <v>0</v>
      </c>
      <c r="S1329" s="166"/>
      <c r="T1329" s="166"/>
      <c r="U1329" s="166"/>
      <c r="V1329" s="166"/>
      <c r="W1329" s="166"/>
      <c r="X1329" s="166"/>
      <c r="Y1329" s="166"/>
      <c r="Z1329" s="166"/>
      <c r="AA1329" s="166"/>
      <c r="AB1329" s="166"/>
    </row>
    <row r="1330" spans="1:28" s="19" customFormat="1" hidden="1" outlineLevel="1">
      <c r="A1330" s="19" t="str">
        <f t="shared" ref="A1330:A1337" si="273">A1329</f>
        <v>NF</v>
      </c>
      <c r="B1330" s="1400" t="str">
        <f>INDEX(EF[UK Vector],MATCH(D1330,EF[SATIM Code],0))</f>
        <v>V.03</v>
      </c>
      <c r="C1330" s="1401" t="str">
        <f>INDEX(Vectors[Description], MATCH($B1330, Vectors[Code], 0))</f>
        <v>Solid hydrocarbons</v>
      </c>
      <c r="D1330" s="1391" t="s">
        <v>883</v>
      </c>
      <c r="E1330" s="1393"/>
      <c r="F1330" s="1381">
        <f t="array" ref="F1330">SUM( ($E$1016:$E$1039=$E$1107)* ($A$1016:$A$1039=$A1330) * ($D$1016:$D$1039= $D1330) * (F$1016:F$1039) ) * SUM(EF[N2O] * (EF[SATIM Code]= $D1330) )</f>
        <v>0</v>
      </c>
      <c r="G1330" s="1381">
        <f t="array" ref="G1330">SUM( ($E$1016:$E$1039=$E$1107)* ($A$1016:$A$1039=$A1330) * ($D$1016:$D$1039= $D1330) * (G$1016:G$1039) ) * SUM(EF[N2O] * (EF[SATIM Code]= $D1330) )</f>
        <v>0</v>
      </c>
      <c r="H1330" s="1381">
        <f t="array" ref="H1330">SUM( ($E$1016:$E$1039=$E$1107)* ($A$1016:$A$1039=$A1330) * ($D$1016:$D$1039= $D1330) * (H$1016:H$1039) ) * SUM(EF[N2O] * (EF[SATIM Code]= $D1330) )</f>
        <v>0</v>
      </c>
      <c r="I1330" s="1381">
        <f t="array" ref="I1330">SUM( ($E$1016:$E$1039=$E$1107)* ($A$1016:$A$1039=$A1330) * ($D$1016:$D$1039= $D1330) * (I$1016:I$1039) ) * SUM(EF[N2O] * (EF[SATIM Code]= $D1330) )</f>
        <v>0</v>
      </c>
      <c r="J1330" s="1381">
        <f t="array" ref="J1330">SUM( ($E$1016:$E$1039=$E$1107)* ($A$1016:$A$1039=$A1330) * ($D$1016:$D$1039= $D1330) * (J$1016:J$1039) ) * SUM(EF[N2O] * (EF[SATIM Code]= $D1330) )</f>
        <v>0</v>
      </c>
      <c r="K1330" s="1381">
        <f t="array" ref="K1330">SUM( ($E$1016:$E$1039=$E$1107)* ($A$1016:$A$1039=$A1330) * ($D$1016:$D$1039= $D1330) * (K$1016:K$1039) ) * SUM(EF[N2O] * (EF[SATIM Code]= $D1330) )</f>
        <v>0</v>
      </c>
      <c r="L1330" s="1381">
        <f t="array" ref="L1330">SUM( ($E$1016:$E$1039=$E$1107)* ($A$1016:$A$1039=$A1330) * ($D$1016:$D$1039= $D1330) * (L$1016:L$1039) ) * SUM(EF[N2O] * (EF[SATIM Code]= $D1330) )</f>
        <v>0</v>
      </c>
      <c r="M1330" s="1381">
        <f t="array" ref="M1330">SUM( ($E$1016:$E$1039=$E$1107)* ($A$1016:$A$1039=$A1330) * ($D$1016:$D$1039= $D1330) * (M$1016:M$1039) ) * SUM(EF[N2O] * (EF[SATIM Code]= $D1330) )</f>
        <v>0</v>
      </c>
      <c r="N1330" s="1381">
        <f t="array" ref="N1330">SUM( ($E$1016:$E$1039=$E$1107)* ($A$1016:$A$1039=$A1330) * ($D$1016:$D$1039= $D1330) * (N$1016:N$1039) ) * SUM(EF[N2O] * (EF[SATIM Code]= $D1330) )</f>
        <v>0</v>
      </c>
      <c r="O1330" s="1381">
        <f t="array" ref="O1330">SUM( ($E$1016:$E$1039=$E$1107)* ($A$1016:$A$1039=$A1330) * ($D$1016:$D$1039= $D1330) * (O$1016:O$1039) ) * SUM(EF[N2O] * (EF[SATIM Code]= $D1330) )</f>
        <v>0</v>
      </c>
      <c r="S1330" s="166"/>
      <c r="T1330" s="166"/>
      <c r="U1330" s="166"/>
      <c r="V1330" s="166"/>
      <c r="W1330" s="166"/>
      <c r="X1330" s="166"/>
      <c r="Y1330" s="166"/>
      <c r="Z1330" s="166"/>
      <c r="AA1330" s="166"/>
      <c r="AB1330" s="166"/>
    </row>
    <row r="1331" spans="1:28" s="19" customFormat="1" hidden="1" outlineLevel="1">
      <c r="A1331" s="19" t="str">
        <f t="shared" si="273"/>
        <v>NF</v>
      </c>
      <c r="B1331" s="1400" t="str">
        <f>INDEX(EF[UK Vector],MATCH(D1331,EF[SATIM Code],0))</f>
        <v>V.05</v>
      </c>
      <c r="C1331" s="1401" t="str">
        <f>INDEX(Vectors[Description], MATCH($B1331, Vectors[Code], 0))</f>
        <v>Gaseous hydrocarbons</v>
      </c>
      <c r="D1331" s="1406" t="s">
        <v>869</v>
      </c>
      <c r="E1331" s="1393"/>
      <c r="F1331" s="1381">
        <f t="array" ref="F1331">SUM( ($E$1016:$E$1039=$E$1107)* ($A$1016:$A$1039=$A1331) * ($D$1016:$D$1039= $D1331) * (F$1016:F$1039) ) * SUM(EF[N2O] * (EF[SATIM Code]= $D1331) )</f>
        <v>0</v>
      </c>
      <c r="G1331" s="1381">
        <f t="array" ref="G1331">SUM( ($E$1016:$E$1039=$E$1107)* ($A$1016:$A$1039=$A1331) * ($D$1016:$D$1039= $D1331) * (G$1016:G$1039) ) * SUM(EF[N2O] * (EF[SATIM Code]= $D1331) )</f>
        <v>0</v>
      </c>
      <c r="H1331" s="1381">
        <f t="array" ref="H1331">SUM( ($E$1016:$E$1039=$E$1107)* ($A$1016:$A$1039=$A1331) * ($D$1016:$D$1039= $D1331) * (H$1016:H$1039) ) * SUM(EF[N2O] * (EF[SATIM Code]= $D1331) )</f>
        <v>0</v>
      </c>
      <c r="I1331" s="1381">
        <f t="array" ref="I1331">SUM( ($E$1016:$E$1039=$E$1107)* ($A$1016:$A$1039=$A1331) * ($D$1016:$D$1039= $D1331) * (I$1016:I$1039) ) * SUM(EF[N2O] * (EF[SATIM Code]= $D1331) )</f>
        <v>0</v>
      </c>
      <c r="J1331" s="1381">
        <f t="array" ref="J1331">SUM( ($E$1016:$E$1039=$E$1107)* ($A$1016:$A$1039=$A1331) * ($D$1016:$D$1039= $D1331) * (J$1016:J$1039) ) * SUM(EF[N2O] * (EF[SATIM Code]= $D1331) )</f>
        <v>0</v>
      </c>
      <c r="K1331" s="1381">
        <f t="array" ref="K1331">SUM( ($E$1016:$E$1039=$E$1107)* ($A$1016:$A$1039=$A1331) * ($D$1016:$D$1039= $D1331) * (K$1016:K$1039) ) * SUM(EF[N2O] * (EF[SATIM Code]= $D1331) )</f>
        <v>0</v>
      </c>
      <c r="L1331" s="1381">
        <f t="array" ref="L1331">SUM( ($E$1016:$E$1039=$E$1107)* ($A$1016:$A$1039=$A1331) * ($D$1016:$D$1039= $D1331) * (L$1016:L$1039) ) * SUM(EF[N2O] * (EF[SATIM Code]= $D1331) )</f>
        <v>0</v>
      </c>
      <c r="M1331" s="1381">
        <f t="array" ref="M1331">SUM( ($E$1016:$E$1039=$E$1107)* ($A$1016:$A$1039=$A1331) * ($D$1016:$D$1039= $D1331) * (M$1016:M$1039) ) * SUM(EF[N2O] * (EF[SATIM Code]= $D1331) )</f>
        <v>0</v>
      </c>
      <c r="N1331" s="1381">
        <f t="array" ref="N1331">SUM( ($E$1016:$E$1039=$E$1107)* ($A$1016:$A$1039=$A1331) * ($D$1016:$D$1039= $D1331) * (N$1016:N$1039) ) * SUM(EF[N2O] * (EF[SATIM Code]= $D1331) )</f>
        <v>0</v>
      </c>
      <c r="O1331" s="1381">
        <f t="array" ref="O1331">SUM( ($E$1016:$E$1039=$E$1107)* ($A$1016:$A$1039=$A1331) * ($D$1016:$D$1039= $D1331) * (O$1016:O$1039) ) * SUM(EF[N2O] * (EF[SATIM Code]= $D1331) )</f>
        <v>0</v>
      </c>
      <c r="S1331" s="166"/>
      <c r="T1331" s="166"/>
      <c r="U1331" s="166"/>
      <c r="V1331" s="166"/>
      <c r="W1331" s="166"/>
      <c r="X1331" s="166"/>
      <c r="Y1331" s="166"/>
      <c r="Z1331" s="166"/>
      <c r="AA1331" s="166"/>
      <c r="AB1331" s="166"/>
    </row>
    <row r="1332" spans="1:28" s="19" customFormat="1" hidden="1" outlineLevel="1">
      <c r="A1332" s="19" t="str">
        <f t="shared" si="273"/>
        <v>NF</v>
      </c>
      <c r="B1332" s="1400" t="str">
        <f>INDEX(EF[UK Vector],MATCH(D1332,EF[SATIM Code],0))</f>
        <v>V.04</v>
      </c>
      <c r="C1332" s="1401" t="str">
        <f>INDEX(Vectors[Description], MATCH($B1332, Vectors[Code], 0))</f>
        <v>Liquid hydrocarbons</v>
      </c>
      <c r="D1332" s="1406" t="s">
        <v>885</v>
      </c>
      <c r="E1332" s="1393"/>
      <c r="F1332" s="1381">
        <f t="array" ref="F1332">SUM( ($E$1016:$E$1039=$E$1107)* ($A$1016:$A$1039=$A1332) * ($D$1016:$D$1039= $D1332) * (F$1016:F$1039) ) * SUM(EF[N2O] * (EF[SATIM Code]= $D1332) )</f>
        <v>0</v>
      </c>
      <c r="G1332" s="1381">
        <f t="array" ref="G1332">SUM( ($E$1016:$E$1039=$E$1107)* ($A$1016:$A$1039=$A1332) * ($D$1016:$D$1039= $D1332) * (G$1016:G$1039) ) * SUM(EF[N2O] * (EF[SATIM Code]= $D1332) )</f>
        <v>0</v>
      </c>
      <c r="H1332" s="1381">
        <f t="array" ref="H1332">SUM( ($E$1016:$E$1039=$E$1107)* ($A$1016:$A$1039=$A1332) * ($D$1016:$D$1039= $D1332) * (H$1016:H$1039) ) * SUM(EF[N2O] * (EF[SATIM Code]= $D1332) )</f>
        <v>0</v>
      </c>
      <c r="I1332" s="1381">
        <f t="array" ref="I1332">SUM( ($E$1016:$E$1039=$E$1107)* ($A$1016:$A$1039=$A1332) * ($D$1016:$D$1039= $D1332) * (I$1016:I$1039) ) * SUM(EF[N2O] * (EF[SATIM Code]= $D1332) )</f>
        <v>0</v>
      </c>
      <c r="J1332" s="1381">
        <f t="array" ref="J1332">SUM( ($E$1016:$E$1039=$E$1107)* ($A$1016:$A$1039=$A1332) * ($D$1016:$D$1039= $D1332) * (J$1016:J$1039) ) * SUM(EF[N2O] * (EF[SATIM Code]= $D1332) )</f>
        <v>0</v>
      </c>
      <c r="K1332" s="1381">
        <f t="array" ref="K1332">SUM( ($E$1016:$E$1039=$E$1107)* ($A$1016:$A$1039=$A1332) * ($D$1016:$D$1039= $D1332) * (K$1016:K$1039) ) * SUM(EF[N2O] * (EF[SATIM Code]= $D1332) )</f>
        <v>0</v>
      </c>
      <c r="L1332" s="1381">
        <f t="array" ref="L1332">SUM( ($E$1016:$E$1039=$E$1107)* ($A$1016:$A$1039=$A1332) * ($D$1016:$D$1039= $D1332) * (L$1016:L$1039) ) * SUM(EF[N2O] * (EF[SATIM Code]= $D1332) )</f>
        <v>0</v>
      </c>
      <c r="M1332" s="1381">
        <f t="array" ref="M1332">SUM( ($E$1016:$E$1039=$E$1107)* ($A$1016:$A$1039=$A1332) * ($D$1016:$D$1039= $D1332) * (M$1016:M$1039) ) * SUM(EF[N2O] * (EF[SATIM Code]= $D1332) )</f>
        <v>0</v>
      </c>
      <c r="N1332" s="1381">
        <f t="array" ref="N1332">SUM( ($E$1016:$E$1039=$E$1107)* ($A$1016:$A$1039=$A1332) * ($D$1016:$D$1039= $D1332) * (N$1016:N$1039) ) * SUM(EF[N2O] * (EF[SATIM Code]= $D1332) )</f>
        <v>0</v>
      </c>
      <c r="O1332" s="1381">
        <f t="array" ref="O1332">SUM( ($E$1016:$E$1039=$E$1107)* ($A$1016:$A$1039=$A1332) * ($D$1016:$D$1039= $D1332) * (O$1016:O$1039) ) * SUM(EF[N2O] * (EF[SATIM Code]= $D1332) )</f>
        <v>0</v>
      </c>
      <c r="S1332" s="166"/>
      <c r="T1332" s="166"/>
      <c r="U1332" s="166"/>
      <c r="V1332" s="166"/>
      <c r="W1332" s="166"/>
      <c r="X1332" s="166"/>
      <c r="Y1332" s="166"/>
      <c r="Z1332" s="166"/>
      <c r="AA1332" s="166"/>
      <c r="AB1332" s="166"/>
    </row>
    <row r="1333" spans="1:28" s="19" customFormat="1" hidden="1" outlineLevel="1">
      <c r="A1333" s="19" t="str">
        <f t="shared" si="273"/>
        <v>NF</v>
      </c>
      <c r="B1333" s="1400" t="str">
        <f>INDEX(EF[UK Vector],MATCH(D1333,EF[SATIM Code],0))</f>
        <v>V.04</v>
      </c>
      <c r="C1333" s="1401" t="str">
        <f>INDEX(Vectors[Description], MATCH($B1333, Vectors[Code], 0))</f>
        <v>Liquid hydrocarbons</v>
      </c>
      <c r="D1333" s="1391" t="s">
        <v>886</v>
      </c>
      <c r="E1333" s="1393"/>
      <c r="F1333" s="1381">
        <f t="array" ref="F1333">SUM( ($E$1016:$E$1039=$E$1107)* ($A$1016:$A$1039=$A1333) * ($D$1016:$D$1039= $D1333) * (F$1016:F$1039) ) * SUM(EF[N2O] * (EF[SATIM Code]= $D1333) )</f>
        <v>0</v>
      </c>
      <c r="G1333" s="1381">
        <f t="array" ref="G1333">SUM( ($E$1016:$E$1039=$E$1107)* ($A$1016:$A$1039=$A1333) * ($D$1016:$D$1039= $D1333) * (G$1016:G$1039) ) * SUM(EF[N2O] * (EF[SATIM Code]= $D1333) )</f>
        <v>0</v>
      </c>
      <c r="H1333" s="1381">
        <f t="array" ref="H1333">SUM( ($E$1016:$E$1039=$E$1107)* ($A$1016:$A$1039=$A1333) * ($D$1016:$D$1039= $D1333) * (H$1016:H$1039) ) * SUM(EF[N2O] * (EF[SATIM Code]= $D1333) )</f>
        <v>0</v>
      </c>
      <c r="I1333" s="1381">
        <f t="array" ref="I1333">SUM( ($E$1016:$E$1039=$E$1107)* ($A$1016:$A$1039=$A1333) * ($D$1016:$D$1039= $D1333) * (I$1016:I$1039) ) * SUM(EF[N2O] * (EF[SATIM Code]= $D1333) )</f>
        <v>0</v>
      </c>
      <c r="J1333" s="1381">
        <f t="array" ref="J1333">SUM( ($E$1016:$E$1039=$E$1107)* ($A$1016:$A$1039=$A1333) * ($D$1016:$D$1039= $D1333) * (J$1016:J$1039) ) * SUM(EF[N2O] * (EF[SATIM Code]= $D1333) )</f>
        <v>0</v>
      </c>
      <c r="K1333" s="1381">
        <f t="array" ref="K1333">SUM( ($E$1016:$E$1039=$E$1107)* ($A$1016:$A$1039=$A1333) * ($D$1016:$D$1039= $D1333) * (K$1016:K$1039) ) * SUM(EF[N2O] * (EF[SATIM Code]= $D1333) )</f>
        <v>0</v>
      </c>
      <c r="L1333" s="1381">
        <f t="array" ref="L1333">SUM( ($E$1016:$E$1039=$E$1107)* ($A$1016:$A$1039=$A1333) * ($D$1016:$D$1039= $D1333) * (L$1016:L$1039) ) * SUM(EF[N2O] * (EF[SATIM Code]= $D1333) )</f>
        <v>0</v>
      </c>
      <c r="M1333" s="1381">
        <f t="array" ref="M1333">SUM( ($E$1016:$E$1039=$E$1107)* ($A$1016:$A$1039=$A1333) * ($D$1016:$D$1039= $D1333) * (M$1016:M$1039) ) * SUM(EF[N2O] * (EF[SATIM Code]= $D1333) )</f>
        <v>0</v>
      </c>
      <c r="N1333" s="1381">
        <f t="array" ref="N1333">SUM( ($E$1016:$E$1039=$E$1107)* ($A$1016:$A$1039=$A1333) * ($D$1016:$D$1039= $D1333) * (N$1016:N$1039) ) * SUM(EF[N2O] * (EF[SATIM Code]= $D1333) )</f>
        <v>0</v>
      </c>
      <c r="O1333" s="1381">
        <f t="array" ref="O1333">SUM( ($E$1016:$E$1039=$E$1107)* ($A$1016:$A$1039=$A1333) * ($D$1016:$D$1039= $D1333) * (O$1016:O$1039) ) * SUM(EF[N2O] * (EF[SATIM Code]= $D1333) )</f>
        <v>0</v>
      </c>
      <c r="S1333" s="166"/>
      <c r="T1333" s="166"/>
      <c r="U1333" s="166"/>
      <c r="V1333" s="166"/>
      <c r="W1333" s="166"/>
      <c r="X1333" s="166"/>
      <c r="Y1333" s="166"/>
      <c r="Z1333" s="166"/>
      <c r="AA1333" s="166"/>
      <c r="AB1333" s="166"/>
    </row>
    <row r="1334" spans="1:28" s="19" customFormat="1" hidden="1" outlineLevel="1">
      <c r="A1334" s="19" t="str">
        <f t="shared" si="273"/>
        <v>NF</v>
      </c>
      <c r="B1334" s="1400" t="str">
        <f>INDEX(EF[UK Vector],MATCH(D1334,EF[SATIM Code],0))</f>
        <v>V.04</v>
      </c>
      <c r="C1334" s="1401" t="str">
        <f>INDEX(Vectors[Description], MATCH($B1334, Vectors[Code], 0))</f>
        <v>Liquid hydrocarbons</v>
      </c>
      <c r="D1334" s="1406" t="s">
        <v>887</v>
      </c>
      <c r="E1334" s="1393"/>
      <c r="F1334" s="1381">
        <f t="array" ref="F1334">SUM( ($E$1016:$E$1039=$E$1107)* ($A$1016:$A$1039=$A1334) * ($D$1016:$D$1039= $D1334) * (F$1016:F$1039) ) * SUM(EF[N2O] * (EF[SATIM Code]= $D1334) )</f>
        <v>0</v>
      </c>
      <c r="G1334" s="1381">
        <f t="array" ref="G1334">SUM( ($E$1016:$E$1039=$E$1107)* ($A$1016:$A$1039=$A1334) * ($D$1016:$D$1039= $D1334) * (G$1016:G$1039) ) * SUM(EF[N2O] * (EF[SATIM Code]= $D1334) )</f>
        <v>0</v>
      </c>
      <c r="H1334" s="1381">
        <f t="array" ref="H1334">SUM( ($E$1016:$E$1039=$E$1107)* ($A$1016:$A$1039=$A1334) * ($D$1016:$D$1039= $D1334) * (H$1016:H$1039) ) * SUM(EF[N2O] * (EF[SATIM Code]= $D1334) )</f>
        <v>0</v>
      </c>
      <c r="I1334" s="1381">
        <f t="array" ref="I1334">SUM( ($E$1016:$E$1039=$E$1107)* ($A$1016:$A$1039=$A1334) * ($D$1016:$D$1039= $D1334) * (I$1016:I$1039) ) * SUM(EF[N2O] * (EF[SATIM Code]= $D1334) )</f>
        <v>0</v>
      </c>
      <c r="J1334" s="1381">
        <f t="array" ref="J1334">SUM( ($E$1016:$E$1039=$E$1107)* ($A$1016:$A$1039=$A1334) * ($D$1016:$D$1039= $D1334) * (J$1016:J$1039) ) * SUM(EF[N2O] * (EF[SATIM Code]= $D1334) )</f>
        <v>0</v>
      </c>
      <c r="K1334" s="1381">
        <f t="array" ref="K1334">SUM( ($E$1016:$E$1039=$E$1107)* ($A$1016:$A$1039=$A1334) * ($D$1016:$D$1039= $D1334) * (K$1016:K$1039) ) * SUM(EF[N2O] * (EF[SATIM Code]= $D1334) )</f>
        <v>0</v>
      </c>
      <c r="L1334" s="1381">
        <f t="array" ref="L1334">SUM( ($E$1016:$E$1039=$E$1107)* ($A$1016:$A$1039=$A1334) * ($D$1016:$D$1039= $D1334) * (L$1016:L$1039) ) * SUM(EF[N2O] * (EF[SATIM Code]= $D1334) )</f>
        <v>0</v>
      </c>
      <c r="M1334" s="1381">
        <f t="array" ref="M1334">SUM( ($E$1016:$E$1039=$E$1107)* ($A$1016:$A$1039=$A1334) * ($D$1016:$D$1039= $D1334) * (M$1016:M$1039) ) * SUM(EF[N2O] * (EF[SATIM Code]= $D1334) )</f>
        <v>0</v>
      </c>
      <c r="N1334" s="1381">
        <f t="array" ref="N1334">SUM( ($E$1016:$E$1039=$E$1107)* ($A$1016:$A$1039=$A1334) * ($D$1016:$D$1039= $D1334) * (N$1016:N$1039) ) * SUM(EF[N2O] * (EF[SATIM Code]= $D1334) )</f>
        <v>0</v>
      </c>
      <c r="O1334" s="1381">
        <f t="array" ref="O1334">SUM( ($E$1016:$E$1039=$E$1107)* ($A$1016:$A$1039=$A1334) * ($D$1016:$D$1039= $D1334) * (O$1016:O$1039) ) * SUM(EF[N2O] * (EF[SATIM Code]= $D1334) )</f>
        <v>0</v>
      </c>
      <c r="S1334" s="166"/>
      <c r="T1334" s="166"/>
      <c r="U1334" s="166"/>
      <c r="V1334" s="166"/>
      <c r="W1334" s="166"/>
      <c r="X1334" s="166"/>
      <c r="Y1334" s="166"/>
      <c r="Z1334" s="166"/>
      <c r="AA1334" s="166"/>
      <c r="AB1334" s="166"/>
    </row>
    <row r="1335" spans="1:28" s="19" customFormat="1" hidden="1" outlineLevel="1">
      <c r="A1335" s="19" t="str">
        <f t="shared" si="273"/>
        <v>NF</v>
      </c>
      <c r="B1335" s="1400" t="str">
        <f>INDEX(EF[UK Vector],MATCH(D1335,EF[SATIM Code],0))</f>
        <v>V.09</v>
      </c>
      <c r="C1335" s="1401" t="str">
        <f>INDEX(Vectors[Description], MATCH($B1335, Vectors[Code], 0))</f>
        <v>Dry biomass and waste</v>
      </c>
      <c r="D1335" s="1406" t="s">
        <v>888</v>
      </c>
      <c r="E1335" s="1393"/>
      <c r="F1335" s="1381">
        <f t="array" ref="F1335">SUM( ($E$1016:$E$1039=$E$1107)* ($A$1016:$A$1039=$A1335) * ($D$1016:$D$1039= $D1335) * (F$1016:F$1039) ) * SUM(EF[N2O] * (EF[SATIM Code]= $D1335) )</f>
        <v>0</v>
      </c>
      <c r="G1335" s="1381">
        <f t="array" ref="G1335">SUM( ($E$1016:$E$1039=$E$1107)* ($A$1016:$A$1039=$A1335) * ($D$1016:$D$1039= $D1335) * (G$1016:G$1039) ) * SUM(EF[N2O] * (EF[SATIM Code]= $D1335) )</f>
        <v>0</v>
      </c>
      <c r="H1335" s="1381">
        <f t="array" ref="H1335">SUM( ($E$1016:$E$1039=$E$1107)* ($A$1016:$A$1039=$A1335) * ($D$1016:$D$1039= $D1335) * (H$1016:H$1039) ) * SUM(EF[N2O] * (EF[SATIM Code]= $D1335) )</f>
        <v>0</v>
      </c>
      <c r="I1335" s="1381">
        <f t="array" ref="I1335">SUM( ($E$1016:$E$1039=$E$1107)* ($A$1016:$A$1039=$A1335) * ($D$1016:$D$1039= $D1335) * (I$1016:I$1039) ) * SUM(EF[N2O] * (EF[SATIM Code]= $D1335) )</f>
        <v>0</v>
      </c>
      <c r="J1335" s="1381">
        <f t="array" ref="J1335">SUM( ($E$1016:$E$1039=$E$1107)* ($A$1016:$A$1039=$A1335) * ($D$1016:$D$1039= $D1335) * (J$1016:J$1039) ) * SUM(EF[N2O] * (EF[SATIM Code]= $D1335) )</f>
        <v>0</v>
      </c>
      <c r="K1335" s="1381">
        <f t="array" ref="K1335">SUM( ($E$1016:$E$1039=$E$1107)* ($A$1016:$A$1039=$A1335) * ($D$1016:$D$1039= $D1335) * (K$1016:K$1039) ) * SUM(EF[N2O] * (EF[SATIM Code]= $D1335) )</f>
        <v>0</v>
      </c>
      <c r="L1335" s="1381">
        <f t="array" ref="L1335">SUM( ($E$1016:$E$1039=$E$1107)* ($A$1016:$A$1039=$A1335) * ($D$1016:$D$1039= $D1335) * (L$1016:L$1039) ) * SUM(EF[N2O] * (EF[SATIM Code]= $D1335) )</f>
        <v>0</v>
      </c>
      <c r="M1335" s="1381">
        <f t="array" ref="M1335">SUM( ($E$1016:$E$1039=$E$1107)* ($A$1016:$A$1039=$A1335) * ($D$1016:$D$1039= $D1335) * (M$1016:M$1039) ) * SUM(EF[N2O] * (EF[SATIM Code]= $D1335) )</f>
        <v>0</v>
      </c>
      <c r="N1335" s="1381">
        <f t="array" ref="N1335">SUM( ($E$1016:$E$1039=$E$1107)* ($A$1016:$A$1039=$A1335) * ($D$1016:$D$1039= $D1335) * (N$1016:N$1039) ) * SUM(EF[N2O] * (EF[SATIM Code]= $D1335) )</f>
        <v>0</v>
      </c>
      <c r="O1335" s="1381">
        <f t="array" ref="O1335">SUM( ($E$1016:$E$1039=$E$1107)* ($A$1016:$A$1039=$A1335) * ($D$1016:$D$1039= $D1335) * (O$1016:O$1039) ) * SUM(EF[N2O] * (EF[SATIM Code]= $D1335) )</f>
        <v>0</v>
      </c>
      <c r="S1335" s="166"/>
      <c r="T1335" s="166"/>
      <c r="U1335" s="166"/>
      <c r="V1335" s="166"/>
      <c r="W1335" s="166"/>
      <c r="X1335" s="166"/>
      <c r="Y1335" s="166"/>
      <c r="Z1335" s="166"/>
      <c r="AA1335" s="166"/>
      <c r="AB1335" s="166"/>
    </row>
    <row r="1336" spans="1:28" s="19" customFormat="1" hidden="1" outlineLevel="1">
      <c r="A1336" s="19" t="str">
        <f t="shared" si="273"/>
        <v>NF</v>
      </c>
      <c r="B1336" s="1400" t="str">
        <f>INDEX(EF[UK Vector],MATCH(D1336,EF[SATIM Code],0))</f>
        <v>V.09</v>
      </c>
      <c r="C1336" s="1401" t="str">
        <f>INDEX(Vectors[Description], MATCH($B1336, Vectors[Code], 0))</f>
        <v>Dry biomass and waste</v>
      </c>
      <c r="D1336" s="1388" t="s">
        <v>889</v>
      </c>
      <c r="E1336" s="1393"/>
      <c r="F1336" s="1381">
        <f t="array" ref="F1336">SUM( ($E$1016:$E$1039=$E$1107)* ($A$1016:$A$1039=$A1336) * ($D$1016:$D$1039= $D1336) * (F$1016:F$1039) ) * SUM(EF[N2O] * (EF[SATIM Code]= $D1336) )</f>
        <v>0</v>
      </c>
      <c r="G1336" s="1381">
        <f t="array" ref="G1336">SUM( ($E$1016:$E$1039=$E$1107)* ($A$1016:$A$1039=$A1336) * ($D$1016:$D$1039= $D1336) * (G$1016:G$1039) ) * SUM(EF[N2O] * (EF[SATIM Code]= $D1336) )</f>
        <v>0</v>
      </c>
      <c r="H1336" s="1381">
        <f t="array" ref="H1336">SUM( ($E$1016:$E$1039=$E$1107)* ($A$1016:$A$1039=$A1336) * ($D$1016:$D$1039= $D1336) * (H$1016:H$1039) ) * SUM(EF[N2O] * (EF[SATIM Code]= $D1336) )</f>
        <v>0</v>
      </c>
      <c r="I1336" s="1381">
        <f t="array" ref="I1336">SUM( ($E$1016:$E$1039=$E$1107)* ($A$1016:$A$1039=$A1336) * ($D$1016:$D$1039= $D1336) * (I$1016:I$1039) ) * SUM(EF[N2O] * (EF[SATIM Code]= $D1336) )</f>
        <v>0</v>
      </c>
      <c r="J1336" s="1381">
        <f t="array" ref="J1336">SUM( ($E$1016:$E$1039=$E$1107)* ($A$1016:$A$1039=$A1336) * ($D$1016:$D$1039= $D1336) * (J$1016:J$1039) ) * SUM(EF[N2O] * (EF[SATIM Code]= $D1336) )</f>
        <v>0</v>
      </c>
      <c r="K1336" s="1381">
        <f t="array" ref="K1336">SUM( ($E$1016:$E$1039=$E$1107)* ($A$1016:$A$1039=$A1336) * ($D$1016:$D$1039= $D1336) * (K$1016:K$1039) ) * SUM(EF[N2O] * (EF[SATIM Code]= $D1336) )</f>
        <v>0</v>
      </c>
      <c r="L1336" s="1381">
        <f t="array" ref="L1336">SUM( ($E$1016:$E$1039=$E$1107)* ($A$1016:$A$1039=$A1336) * ($D$1016:$D$1039= $D1336) * (L$1016:L$1039) ) * SUM(EF[N2O] * (EF[SATIM Code]= $D1336) )</f>
        <v>0</v>
      </c>
      <c r="M1336" s="1381">
        <f t="array" ref="M1336">SUM( ($E$1016:$E$1039=$E$1107)* ($A$1016:$A$1039=$A1336) * ($D$1016:$D$1039= $D1336) * (M$1016:M$1039) ) * SUM(EF[N2O] * (EF[SATIM Code]= $D1336) )</f>
        <v>0</v>
      </c>
      <c r="N1336" s="1381">
        <f t="array" ref="N1336">SUM( ($E$1016:$E$1039=$E$1107)* ($A$1016:$A$1039=$A1336) * ($D$1016:$D$1039= $D1336) * (N$1016:N$1039) ) * SUM(EF[N2O] * (EF[SATIM Code]= $D1336) )</f>
        <v>0</v>
      </c>
      <c r="O1336" s="1381">
        <f t="array" ref="O1336">SUM( ($E$1016:$E$1039=$E$1107)* ($A$1016:$A$1039=$A1336) * ($D$1016:$D$1039= $D1336) * (O$1016:O$1039) ) * SUM(EF[N2O] * (EF[SATIM Code]= $D1336) )</f>
        <v>0</v>
      </c>
      <c r="S1336" s="166"/>
      <c r="T1336" s="166"/>
      <c r="U1336" s="166"/>
      <c r="V1336" s="166"/>
      <c r="W1336" s="166"/>
      <c r="X1336" s="166"/>
      <c r="Y1336" s="166"/>
      <c r="Z1336" s="166"/>
      <c r="AA1336" s="166"/>
      <c r="AB1336" s="166"/>
    </row>
    <row r="1337" spans="1:28" s="19" customFormat="1" hidden="1" outlineLevel="1">
      <c r="A1337" s="19" t="str">
        <f t="shared" si="273"/>
        <v>NF</v>
      </c>
      <c r="B1337" s="1400" t="str">
        <f>INDEX(EF[UK Vector],MATCH(D1337,EF[SATIM Code],0))</f>
        <v>V.16</v>
      </c>
      <c r="C1337" s="1401" t="str">
        <f>INDEX(Vectors[Description], MATCH($B1337, Vectors[Code], 0))</f>
        <v>Other Waste</v>
      </c>
      <c r="D1337" s="1408" t="s">
        <v>890</v>
      </c>
      <c r="E1337" s="1393"/>
      <c r="F1337" s="1381">
        <f t="array" ref="F1337">SUM( ($E$1016:$E$1039=$E$1107)* ($A$1016:$A$1039=$A1337) * ($D$1016:$D$1039= $D1337) * (F$1016:F$1039) ) * SUM(EF[N2O] * (EF[SATIM Code]= $D1337) )</f>
        <v>0</v>
      </c>
      <c r="G1337" s="1381">
        <f t="array" ref="G1337">SUM( ($E$1016:$E$1039=$E$1107)* ($A$1016:$A$1039=$A1337) * ($D$1016:$D$1039= $D1337) * (G$1016:G$1039) ) * SUM(EF[N2O] * (EF[SATIM Code]= $D1337) )</f>
        <v>0</v>
      </c>
      <c r="H1337" s="1381">
        <f t="array" ref="H1337">SUM( ($E$1016:$E$1039=$E$1107)* ($A$1016:$A$1039=$A1337) * ($D$1016:$D$1039= $D1337) * (H$1016:H$1039) ) * SUM(EF[N2O] * (EF[SATIM Code]= $D1337) )</f>
        <v>0</v>
      </c>
      <c r="I1337" s="1381">
        <f t="array" ref="I1337">SUM( ($E$1016:$E$1039=$E$1107)* ($A$1016:$A$1039=$A1337) * ($D$1016:$D$1039= $D1337) * (I$1016:I$1039) ) * SUM(EF[N2O] * (EF[SATIM Code]= $D1337) )</f>
        <v>0</v>
      </c>
      <c r="J1337" s="1381">
        <f t="array" ref="J1337">SUM( ($E$1016:$E$1039=$E$1107)* ($A$1016:$A$1039=$A1337) * ($D$1016:$D$1039= $D1337) * (J$1016:J$1039) ) * SUM(EF[N2O] * (EF[SATIM Code]= $D1337) )</f>
        <v>0</v>
      </c>
      <c r="K1337" s="1381">
        <f t="array" ref="K1337">SUM( ($E$1016:$E$1039=$E$1107)* ($A$1016:$A$1039=$A1337) * ($D$1016:$D$1039= $D1337) * (K$1016:K$1039) ) * SUM(EF[N2O] * (EF[SATIM Code]= $D1337) )</f>
        <v>0</v>
      </c>
      <c r="L1337" s="1381">
        <f t="array" ref="L1337">SUM( ($E$1016:$E$1039=$E$1107)* ($A$1016:$A$1039=$A1337) * ($D$1016:$D$1039= $D1337) * (L$1016:L$1039) ) * SUM(EF[N2O] * (EF[SATIM Code]= $D1337) )</f>
        <v>0</v>
      </c>
      <c r="M1337" s="1381">
        <f t="array" ref="M1337">SUM( ($E$1016:$E$1039=$E$1107)* ($A$1016:$A$1039=$A1337) * ($D$1016:$D$1039= $D1337) * (M$1016:M$1039) ) * SUM(EF[N2O] * (EF[SATIM Code]= $D1337) )</f>
        <v>0</v>
      </c>
      <c r="N1337" s="1381">
        <f t="array" ref="N1337">SUM( ($E$1016:$E$1039=$E$1107)* ($A$1016:$A$1039=$A1337) * ($D$1016:$D$1039= $D1337) * (N$1016:N$1039) ) * SUM(EF[N2O] * (EF[SATIM Code]= $D1337) )</f>
        <v>0</v>
      </c>
      <c r="O1337" s="1381">
        <f t="array" ref="O1337">SUM( ($E$1016:$E$1039=$E$1107)* ($A$1016:$A$1039=$A1337) * ($D$1016:$D$1039= $D1337) * (O$1016:O$1039) ) * SUM(EF[N2O] * (EF[SATIM Code]= $D1337) )</f>
        <v>0</v>
      </c>
      <c r="S1337" s="166"/>
      <c r="T1337" s="166"/>
      <c r="U1337" s="166"/>
      <c r="V1337" s="166"/>
      <c r="W1337" s="166"/>
      <c r="X1337" s="166"/>
      <c r="Y1337" s="166"/>
      <c r="Z1337" s="166"/>
      <c r="AA1337" s="166"/>
      <c r="AB1337" s="166"/>
    </row>
    <row r="1338" spans="1:28" s="19" customFormat="1" hidden="1" outlineLevel="1">
      <c r="B1338" s="1393"/>
      <c r="C1338" s="1407" t="str">
        <f>D24</f>
        <v>N.M.M Products  -34</v>
      </c>
      <c r="D1338" s="1391"/>
      <c r="E1338" s="1393"/>
      <c r="F1338" s="1381">
        <f t="array" ref="F1338">SUM( ($E$1016:$E$1039=$E$1107)* ($A$1016:$A$1039=$A1338) * ($D$1016:$D$1039= $D1338) * (F$1016:F$1039) ) * SUM(EF[N2O] * (EF[SATIM Code]= $D1338) )</f>
        <v>0</v>
      </c>
      <c r="G1338" s="1381">
        <f t="array" ref="G1338">SUM( ($E$1016:$E$1039=$E$1107)* ($A$1016:$A$1039=$A1338) * ($D$1016:$D$1039= $D1338) * (G$1016:G$1039) ) * SUM(EF[N2O] * (EF[SATIM Code]= $D1338) )</f>
        <v>0</v>
      </c>
      <c r="H1338" s="1381">
        <f t="array" ref="H1338">SUM( ($E$1016:$E$1039=$E$1107)* ($A$1016:$A$1039=$A1338) * ($D$1016:$D$1039= $D1338) * (H$1016:H$1039) ) * SUM(EF[N2O] * (EF[SATIM Code]= $D1338) )</f>
        <v>0</v>
      </c>
      <c r="I1338" s="1381">
        <f t="array" ref="I1338">SUM( ($E$1016:$E$1039=$E$1107)* ($A$1016:$A$1039=$A1338) * ($D$1016:$D$1039= $D1338) * (I$1016:I$1039) ) * SUM(EF[N2O] * (EF[SATIM Code]= $D1338) )</f>
        <v>0</v>
      </c>
      <c r="J1338" s="1381">
        <f t="array" ref="J1338">SUM( ($E$1016:$E$1039=$E$1107)* ($A$1016:$A$1039=$A1338) * ($D$1016:$D$1039= $D1338) * (J$1016:J$1039) ) * SUM(EF[N2O] * (EF[SATIM Code]= $D1338) )</f>
        <v>0</v>
      </c>
      <c r="K1338" s="1381">
        <f t="array" ref="K1338">SUM( ($E$1016:$E$1039=$E$1107)* ($A$1016:$A$1039=$A1338) * ($D$1016:$D$1039= $D1338) * (K$1016:K$1039) ) * SUM(EF[N2O] * (EF[SATIM Code]= $D1338) )</f>
        <v>0</v>
      </c>
      <c r="L1338" s="1381">
        <f t="array" ref="L1338">SUM( ($E$1016:$E$1039=$E$1107)* ($A$1016:$A$1039=$A1338) * ($D$1016:$D$1039= $D1338) * (L$1016:L$1039) ) * SUM(EF[N2O] * (EF[SATIM Code]= $D1338) )</f>
        <v>0</v>
      </c>
      <c r="M1338" s="1381">
        <f t="array" ref="M1338">SUM( ($E$1016:$E$1039=$E$1107)* ($A$1016:$A$1039=$A1338) * ($D$1016:$D$1039= $D1338) * (M$1016:M$1039) ) * SUM(EF[N2O] * (EF[SATIM Code]= $D1338) )</f>
        <v>0</v>
      </c>
      <c r="N1338" s="1381">
        <f t="array" ref="N1338">SUM( ($E$1016:$E$1039=$E$1107)* ($A$1016:$A$1039=$A1338) * ($D$1016:$D$1039= $D1338) * (N$1016:N$1039) ) * SUM(EF[N2O] * (EF[SATIM Code]= $D1338) )</f>
        <v>0</v>
      </c>
      <c r="O1338" s="1381">
        <f t="array" ref="O1338">SUM( ($E$1016:$E$1039=$E$1107)* ($A$1016:$A$1039=$A1338) * ($D$1016:$D$1039= $D1338) * (O$1016:O$1039) ) * SUM(EF[N2O] * (EF[SATIM Code]= $D1338) )</f>
        <v>0</v>
      </c>
      <c r="S1338" s="166"/>
      <c r="T1338" s="166"/>
      <c r="U1338" s="166"/>
      <c r="V1338" s="166"/>
      <c r="W1338" s="166"/>
      <c r="X1338" s="166"/>
      <c r="Y1338" s="166"/>
      <c r="Z1338" s="166"/>
      <c r="AA1338" s="166"/>
      <c r="AB1338" s="166"/>
    </row>
    <row r="1339" spans="1:28" s="19" customFormat="1" hidden="1" outlineLevel="1">
      <c r="A1339" s="1438" t="str">
        <f>INDEX($C$20:$C$27,MATCH($C1338,$D$20:$D$27,0))</f>
        <v>NM</v>
      </c>
      <c r="B1339" s="1400" t="str">
        <f>INDEX(EF[UK Vector],MATCH(D1339,EF[SATIM Code],0))</f>
        <v>V.03</v>
      </c>
      <c r="C1339" s="1401" t="str">
        <f>INDEX(Vectors[Description], MATCH($B1339, Vectors[Code], 0))</f>
        <v>Solid hydrocarbons</v>
      </c>
      <c r="D1339" s="1391" t="s">
        <v>882</v>
      </c>
      <c r="E1339" s="1393"/>
      <c r="F1339" s="1381">
        <f t="array" ref="F1339">SUM( ($E$1016:$E$1039=$E$1107)* ($A$1016:$A$1039=$A1339) * ($D$1016:$D$1039= $D1339) * (F$1016:F$1039) ) * SUM(EF[N2O] * (EF[SATIM Code]= $D1339) )</f>
        <v>0</v>
      </c>
      <c r="G1339" s="1381">
        <f t="array" ref="G1339">SUM( ($E$1016:$E$1039=$E$1107)* ($A$1016:$A$1039=$A1339) * ($D$1016:$D$1039= $D1339) * (G$1016:G$1039) ) * SUM(EF[N2O] * (EF[SATIM Code]= $D1339) )</f>
        <v>0</v>
      </c>
      <c r="H1339" s="1381">
        <f t="array" ref="H1339">SUM( ($E$1016:$E$1039=$E$1107)* ($A$1016:$A$1039=$A1339) * ($D$1016:$D$1039= $D1339) * (H$1016:H$1039) ) * SUM(EF[N2O] * (EF[SATIM Code]= $D1339) )</f>
        <v>0</v>
      </c>
      <c r="I1339" s="1381">
        <f t="array" ref="I1339">SUM( ($E$1016:$E$1039=$E$1107)* ($A$1016:$A$1039=$A1339) * ($D$1016:$D$1039= $D1339) * (I$1016:I$1039) ) * SUM(EF[N2O] * (EF[SATIM Code]= $D1339) )</f>
        <v>0</v>
      </c>
      <c r="J1339" s="1381">
        <f t="array" ref="J1339">SUM( ($E$1016:$E$1039=$E$1107)* ($A$1016:$A$1039=$A1339) * ($D$1016:$D$1039= $D1339) * (J$1016:J$1039) ) * SUM(EF[N2O] * (EF[SATIM Code]= $D1339) )</f>
        <v>0</v>
      </c>
      <c r="K1339" s="1381">
        <f t="array" ref="K1339">SUM( ($E$1016:$E$1039=$E$1107)* ($A$1016:$A$1039=$A1339) * ($D$1016:$D$1039= $D1339) * (K$1016:K$1039) ) * SUM(EF[N2O] * (EF[SATIM Code]= $D1339) )</f>
        <v>0</v>
      </c>
      <c r="L1339" s="1381">
        <f t="array" ref="L1339">SUM( ($E$1016:$E$1039=$E$1107)* ($A$1016:$A$1039=$A1339) * ($D$1016:$D$1039= $D1339) * (L$1016:L$1039) ) * SUM(EF[N2O] * (EF[SATIM Code]= $D1339) )</f>
        <v>0</v>
      </c>
      <c r="M1339" s="1381">
        <f t="array" ref="M1339">SUM( ($E$1016:$E$1039=$E$1107)* ($A$1016:$A$1039=$A1339) * ($D$1016:$D$1039= $D1339) * (M$1016:M$1039) ) * SUM(EF[N2O] * (EF[SATIM Code]= $D1339) )</f>
        <v>0</v>
      </c>
      <c r="N1339" s="1381">
        <f t="array" ref="N1339">SUM( ($E$1016:$E$1039=$E$1107)* ($A$1016:$A$1039=$A1339) * ($D$1016:$D$1039= $D1339) * (N$1016:N$1039) ) * SUM(EF[N2O] * (EF[SATIM Code]= $D1339) )</f>
        <v>0</v>
      </c>
      <c r="O1339" s="1381">
        <f t="array" ref="O1339">SUM( ($E$1016:$E$1039=$E$1107)* ($A$1016:$A$1039=$A1339) * ($D$1016:$D$1039= $D1339) * (O$1016:O$1039) ) * SUM(EF[N2O] * (EF[SATIM Code]= $D1339) )</f>
        <v>0</v>
      </c>
      <c r="S1339" s="166"/>
      <c r="T1339" s="166"/>
      <c r="U1339" s="166"/>
      <c r="V1339" s="166"/>
      <c r="W1339" s="166"/>
      <c r="X1339" s="166"/>
      <c r="Y1339" s="166"/>
      <c r="Z1339" s="166"/>
      <c r="AA1339" s="166"/>
      <c r="AB1339" s="166"/>
    </row>
    <row r="1340" spans="1:28" s="19" customFormat="1" hidden="1" outlineLevel="1">
      <c r="A1340" s="19" t="str">
        <f t="shared" ref="A1340:A1347" si="274">A1339</f>
        <v>NM</v>
      </c>
      <c r="B1340" s="1400" t="str">
        <f>INDEX(EF[UK Vector],MATCH(D1340,EF[SATIM Code],0))</f>
        <v>V.03</v>
      </c>
      <c r="C1340" s="1401" t="str">
        <f>INDEX(Vectors[Description], MATCH($B1340, Vectors[Code], 0))</f>
        <v>Solid hydrocarbons</v>
      </c>
      <c r="D1340" s="1391" t="s">
        <v>883</v>
      </c>
      <c r="E1340" s="1393"/>
      <c r="F1340" s="1381">
        <f t="array" ref="F1340">SUM( ($E$1016:$E$1039=$E$1107)* ($A$1016:$A$1039=$A1340) * ($D$1016:$D$1039= $D1340) * (F$1016:F$1039) ) * SUM(EF[N2O] * (EF[SATIM Code]= $D1340) )</f>
        <v>0</v>
      </c>
      <c r="G1340" s="1381">
        <f t="array" ref="G1340">SUM( ($E$1016:$E$1039=$E$1107)* ($A$1016:$A$1039=$A1340) * ($D$1016:$D$1039= $D1340) * (G$1016:G$1039) ) * SUM(EF[N2O] * (EF[SATIM Code]= $D1340) )</f>
        <v>0</v>
      </c>
      <c r="H1340" s="1381">
        <f t="array" ref="H1340">SUM( ($E$1016:$E$1039=$E$1107)* ($A$1016:$A$1039=$A1340) * ($D$1016:$D$1039= $D1340) * (H$1016:H$1039) ) * SUM(EF[N2O] * (EF[SATIM Code]= $D1340) )</f>
        <v>0</v>
      </c>
      <c r="I1340" s="1381">
        <f t="array" ref="I1340">SUM( ($E$1016:$E$1039=$E$1107)* ($A$1016:$A$1039=$A1340) * ($D$1016:$D$1039= $D1340) * (I$1016:I$1039) ) * SUM(EF[N2O] * (EF[SATIM Code]= $D1340) )</f>
        <v>0</v>
      </c>
      <c r="J1340" s="1381">
        <f t="array" ref="J1340">SUM( ($E$1016:$E$1039=$E$1107)* ($A$1016:$A$1039=$A1340) * ($D$1016:$D$1039= $D1340) * (J$1016:J$1039) ) * SUM(EF[N2O] * (EF[SATIM Code]= $D1340) )</f>
        <v>0</v>
      </c>
      <c r="K1340" s="1381">
        <f t="array" ref="K1340">SUM( ($E$1016:$E$1039=$E$1107)* ($A$1016:$A$1039=$A1340) * ($D$1016:$D$1039= $D1340) * (K$1016:K$1039) ) * SUM(EF[N2O] * (EF[SATIM Code]= $D1340) )</f>
        <v>0</v>
      </c>
      <c r="L1340" s="1381">
        <f t="array" ref="L1340">SUM( ($E$1016:$E$1039=$E$1107)* ($A$1016:$A$1039=$A1340) * ($D$1016:$D$1039= $D1340) * (L$1016:L$1039) ) * SUM(EF[N2O] * (EF[SATIM Code]= $D1340) )</f>
        <v>0</v>
      </c>
      <c r="M1340" s="1381">
        <f t="array" ref="M1340">SUM( ($E$1016:$E$1039=$E$1107)* ($A$1016:$A$1039=$A1340) * ($D$1016:$D$1039= $D1340) * (M$1016:M$1039) ) * SUM(EF[N2O] * (EF[SATIM Code]= $D1340) )</f>
        <v>0</v>
      </c>
      <c r="N1340" s="1381">
        <f t="array" ref="N1340">SUM( ($E$1016:$E$1039=$E$1107)* ($A$1016:$A$1039=$A1340) * ($D$1016:$D$1039= $D1340) * (N$1016:N$1039) ) * SUM(EF[N2O] * (EF[SATIM Code]= $D1340) )</f>
        <v>0</v>
      </c>
      <c r="O1340" s="1381">
        <f t="array" ref="O1340">SUM( ($E$1016:$E$1039=$E$1107)* ($A$1016:$A$1039=$A1340) * ($D$1016:$D$1039= $D1340) * (O$1016:O$1039) ) * SUM(EF[N2O] * (EF[SATIM Code]= $D1340) )</f>
        <v>0</v>
      </c>
      <c r="S1340" s="166"/>
      <c r="T1340" s="166"/>
      <c r="U1340" s="166"/>
      <c r="V1340" s="166"/>
      <c r="W1340" s="166"/>
      <c r="X1340" s="166"/>
      <c r="Y1340" s="166"/>
      <c r="Z1340" s="166"/>
      <c r="AA1340" s="166"/>
      <c r="AB1340" s="166"/>
    </row>
    <row r="1341" spans="1:28" s="19" customFormat="1" hidden="1" outlineLevel="1">
      <c r="A1341" s="19" t="str">
        <f t="shared" si="274"/>
        <v>NM</v>
      </c>
      <c r="B1341" s="1400" t="str">
        <f>INDEX(EF[UK Vector],MATCH(D1341,EF[SATIM Code],0))</f>
        <v>V.05</v>
      </c>
      <c r="C1341" s="1401" t="str">
        <f>INDEX(Vectors[Description], MATCH($B1341, Vectors[Code], 0))</f>
        <v>Gaseous hydrocarbons</v>
      </c>
      <c r="D1341" s="1406" t="s">
        <v>869</v>
      </c>
      <c r="E1341" s="1393"/>
      <c r="F1341" s="1381">
        <f t="array" ref="F1341">SUM( ($E$1016:$E$1039=$E$1107)* ($A$1016:$A$1039=$A1341) * ($D$1016:$D$1039= $D1341) * (F$1016:F$1039) ) * SUM(EF[N2O] * (EF[SATIM Code]= $D1341) )</f>
        <v>0</v>
      </c>
      <c r="G1341" s="1381">
        <f t="array" ref="G1341">SUM( ($E$1016:$E$1039=$E$1107)* ($A$1016:$A$1039=$A1341) * ($D$1016:$D$1039= $D1341) * (G$1016:G$1039) ) * SUM(EF[N2O] * (EF[SATIM Code]= $D1341) )</f>
        <v>0</v>
      </c>
      <c r="H1341" s="1381">
        <f t="array" ref="H1341">SUM( ($E$1016:$E$1039=$E$1107)* ($A$1016:$A$1039=$A1341) * ($D$1016:$D$1039= $D1341) * (H$1016:H$1039) ) * SUM(EF[N2O] * (EF[SATIM Code]= $D1341) )</f>
        <v>0</v>
      </c>
      <c r="I1341" s="1381">
        <f t="array" ref="I1341">SUM( ($E$1016:$E$1039=$E$1107)* ($A$1016:$A$1039=$A1341) * ($D$1016:$D$1039= $D1341) * (I$1016:I$1039) ) * SUM(EF[N2O] * (EF[SATIM Code]= $D1341) )</f>
        <v>0</v>
      </c>
      <c r="J1341" s="1381">
        <f t="array" ref="J1341">SUM( ($E$1016:$E$1039=$E$1107)* ($A$1016:$A$1039=$A1341) * ($D$1016:$D$1039= $D1341) * (J$1016:J$1039) ) * SUM(EF[N2O] * (EF[SATIM Code]= $D1341) )</f>
        <v>0</v>
      </c>
      <c r="K1341" s="1381">
        <f t="array" ref="K1341">SUM( ($E$1016:$E$1039=$E$1107)* ($A$1016:$A$1039=$A1341) * ($D$1016:$D$1039= $D1341) * (K$1016:K$1039) ) * SUM(EF[N2O] * (EF[SATIM Code]= $D1341) )</f>
        <v>0</v>
      </c>
      <c r="L1341" s="1381">
        <f t="array" ref="L1341">SUM( ($E$1016:$E$1039=$E$1107)* ($A$1016:$A$1039=$A1341) * ($D$1016:$D$1039= $D1341) * (L$1016:L$1039) ) * SUM(EF[N2O] * (EF[SATIM Code]= $D1341) )</f>
        <v>0</v>
      </c>
      <c r="M1341" s="1381">
        <f t="array" ref="M1341">SUM( ($E$1016:$E$1039=$E$1107)* ($A$1016:$A$1039=$A1341) * ($D$1016:$D$1039= $D1341) * (M$1016:M$1039) ) * SUM(EF[N2O] * (EF[SATIM Code]= $D1341) )</f>
        <v>0</v>
      </c>
      <c r="N1341" s="1381">
        <f t="array" ref="N1341">SUM( ($E$1016:$E$1039=$E$1107)* ($A$1016:$A$1039=$A1341) * ($D$1016:$D$1039= $D1341) * (N$1016:N$1039) ) * SUM(EF[N2O] * (EF[SATIM Code]= $D1341) )</f>
        <v>0</v>
      </c>
      <c r="O1341" s="1381">
        <f t="array" ref="O1341">SUM( ($E$1016:$E$1039=$E$1107)* ($A$1016:$A$1039=$A1341) * ($D$1016:$D$1039= $D1341) * (O$1016:O$1039) ) * SUM(EF[N2O] * (EF[SATIM Code]= $D1341) )</f>
        <v>0</v>
      </c>
      <c r="S1341" s="166"/>
      <c r="T1341" s="166"/>
      <c r="U1341" s="166"/>
      <c r="V1341" s="166"/>
      <c r="W1341" s="166"/>
      <c r="X1341" s="166"/>
      <c r="Y1341" s="166"/>
      <c r="Z1341" s="166"/>
      <c r="AA1341" s="166"/>
      <c r="AB1341" s="166"/>
    </row>
    <row r="1342" spans="1:28" s="19" customFormat="1" hidden="1" outlineLevel="1">
      <c r="A1342" s="19" t="str">
        <f t="shared" si="274"/>
        <v>NM</v>
      </c>
      <c r="B1342" s="1400" t="str">
        <f>INDEX(EF[UK Vector],MATCH(D1342,EF[SATIM Code],0))</f>
        <v>V.04</v>
      </c>
      <c r="C1342" s="1401" t="str">
        <f>INDEX(Vectors[Description], MATCH($B1342, Vectors[Code], 0))</f>
        <v>Liquid hydrocarbons</v>
      </c>
      <c r="D1342" s="1406" t="s">
        <v>885</v>
      </c>
      <c r="E1342" s="1393"/>
      <c r="F1342" s="1381">
        <f t="array" ref="F1342">SUM( ($E$1016:$E$1039=$E$1107)* ($A$1016:$A$1039=$A1342) * ($D$1016:$D$1039= $D1342) * (F$1016:F$1039) ) * SUM(EF[N2O] * (EF[SATIM Code]= $D1342) )</f>
        <v>0</v>
      </c>
      <c r="G1342" s="1381">
        <f t="array" ref="G1342">SUM( ($E$1016:$E$1039=$E$1107)* ($A$1016:$A$1039=$A1342) * ($D$1016:$D$1039= $D1342) * (G$1016:G$1039) ) * SUM(EF[N2O] * (EF[SATIM Code]= $D1342) )</f>
        <v>0</v>
      </c>
      <c r="H1342" s="1381">
        <f t="array" ref="H1342">SUM( ($E$1016:$E$1039=$E$1107)* ($A$1016:$A$1039=$A1342) * ($D$1016:$D$1039= $D1342) * (H$1016:H$1039) ) * SUM(EF[N2O] * (EF[SATIM Code]= $D1342) )</f>
        <v>0</v>
      </c>
      <c r="I1342" s="1381">
        <f t="array" ref="I1342">SUM( ($E$1016:$E$1039=$E$1107)* ($A$1016:$A$1039=$A1342) * ($D$1016:$D$1039= $D1342) * (I$1016:I$1039) ) * SUM(EF[N2O] * (EF[SATIM Code]= $D1342) )</f>
        <v>0</v>
      </c>
      <c r="J1342" s="1381">
        <f t="array" ref="J1342">SUM( ($E$1016:$E$1039=$E$1107)* ($A$1016:$A$1039=$A1342) * ($D$1016:$D$1039= $D1342) * (J$1016:J$1039) ) * SUM(EF[N2O] * (EF[SATIM Code]= $D1342) )</f>
        <v>0</v>
      </c>
      <c r="K1342" s="1381">
        <f t="array" ref="K1342">SUM( ($E$1016:$E$1039=$E$1107)* ($A$1016:$A$1039=$A1342) * ($D$1016:$D$1039= $D1342) * (K$1016:K$1039) ) * SUM(EF[N2O] * (EF[SATIM Code]= $D1342) )</f>
        <v>0</v>
      </c>
      <c r="L1342" s="1381">
        <f t="array" ref="L1342">SUM( ($E$1016:$E$1039=$E$1107)* ($A$1016:$A$1039=$A1342) * ($D$1016:$D$1039= $D1342) * (L$1016:L$1039) ) * SUM(EF[N2O] * (EF[SATIM Code]= $D1342) )</f>
        <v>0</v>
      </c>
      <c r="M1342" s="1381">
        <f t="array" ref="M1342">SUM( ($E$1016:$E$1039=$E$1107)* ($A$1016:$A$1039=$A1342) * ($D$1016:$D$1039= $D1342) * (M$1016:M$1039) ) * SUM(EF[N2O] * (EF[SATIM Code]= $D1342) )</f>
        <v>0</v>
      </c>
      <c r="N1342" s="1381">
        <f t="array" ref="N1342">SUM( ($E$1016:$E$1039=$E$1107)* ($A$1016:$A$1039=$A1342) * ($D$1016:$D$1039= $D1342) * (N$1016:N$1039) ) * SUM(EF[N2O] * (EF[SATIM Code]= $D1342) )</f>
        <v>0</v>
      </c>
      <c r="O1342" s="1381">
        <f t="array" ref="O1342">SUM( ($E$1016:$E$1039=$E$1107)* ($A$1016:$A$1039=$A1342) * ($D$1016:$D$1039= $D1342) * (O$1016:O$1039) ) * SUM(EF[N2O] * (EF[SATIM Code]= $D1342) )</f>
        <v>0</v>
      </c>
      <c r="S1342" s="166"/>
      <c r="T1342" s="166"/>
      <c r="U1342" s="166"/>
      <c r="V1342" s="166"/>
      <c r="W1342" s="166"/>
      <c r="X1342" s="166"/>
      <c r="Y1342" s="166"/>
      <c r="Z1342" s="166"/>
      <c r="AA1342" s="166"/>
      <c r="AB1342" s="166"/>
    </row>
    <row r="1343" spans="1:28" s="19" customFormat="1" hidden="1" outlineLevel="1">
      <c r="A1343" s="19" t="str">
        <f t="shared" si="274"/>
        <v>NM</v>
      </c>
      <c r="B1343" s="1400" t="str">
        <f>INDEX(EF[UK Vector],MATCH(D1343,EF[SATIM Code],0))</f>
        <v>V.04</v>
      </c>
      <c r="C1343" s="1401" t="str">
        <f>INDEX(Vectors[Description], MATCH($B1343, Vectors[Code], 0))</f>
        <v>Liquid hydrocarbons</v>
      </c>
      <c r="D1343" s="1391" t="s">
        <v>886</v>
      </c>
      <c r="E1343" s="1393"/>
      <c r="F1343" s="1381">
        <f t="array" ref="F1343">SUM( ($E$1016:$E$1039=$E$1107)* ($A$1016:$A$1039=$A1343) * ($D$1016:$D$1039= $D1343) * (F$1016:F$1039) ) * SUM(EF[N2O] * (EF[SATIM Code]= $D1343) )</f>
        <v>0</v>
      </c>
      <c r="G1343" s="1381">
        <f t="array" ref="G1343">SUM( ($E$1016:$E$1039=$E$1107)* ($A$1016:$A$1039=$A1343) * ($D$1016:$D$1039= $D1343) * (G$1016:G$1039) ) * SUM(EF[N2O] * (EF[SATIM Code]= $D1343) )</f>
        <v>0</v>
      </c>
      <c r="H1343" s="1381">
        <f t="array" ref="H1343">SUM( ($E$1016:$E$1039=$E$1107)* ($A$1016:$A$1039=$A1343) * ($D$1016:$D$1039= $D1343) * (H$1016:H$1039) ) * SUM(EF[N2O] * (EF[SATIM Code]= $D1343) )</f>
        <v>0</v>
      </c>
      <c r="I1343" s="1381">
        <f t="array" ref="I1343">SUM( ($E$1016:$E$1039=$E$1107)* ($A$1016:$A$1039=$A1343) * ($D$1016:$D$1039= $D1343) * (I$1016:I$1039) ) * SUM(EF[N2O] * (EF[SATIM Code]= $D1343) )</f>
        <v>0</v>
      </c>
      <c r="J1343" s="1381">
        <f t="array" ref="J1343">SUM( ($E$1016:$E$1039=$E$1107)* ($A$1016:$A$1039=$A1343) * ($D$1016:$D$1039= $D1343) * (J$1016:J$1039) ) * SUM(EF[N2O] * (EF[SATIM Code]= $D1343) )</f>
        <v>0</v>
      </c>
      <c r="K1343" s="1381">
        <f t="array" ref="K1343">SUM( ($E$1016:$E$1039=$E$1107)* ($A$1016:$A$1039=$A1343) * ($D$1016:$D$1039= $D1343) * (K$1016:K$1039) ) * SUM(EF[N2O] * (EF[SATIM Code]= $D1343) )</f>
        <v>0</v>
      </c>
      <c r="L1343" s="1381">
        <f t="array" ref="L1343">SUM( ($E$1016:$E$1039=$E$1107)* ($A$1016:$A$1039=$A1343) * ($D$1016:$D$1039= $D1343) * (L$1016:L$1039) ) * SUM(EF[N2O] * (EF[SATIM Code]= $D1343) )</f>
        <v>0</v>
      </c>
      <c r="M1343" s="1381">
        <f t="array" ref="M1343">SUM( ($E$1016:$E$1039=$E$1107)* ($A$1016:$A$1039=$A1343) * ($D$1016:$D$1039= $D1343) * (M$1016:M$1039) ) * SUM(EF[N2O] * (EF[SATIM Code]= $D1343) )</f>
        <v>0</v>
      </c>
      <c r="N1343" s="1381">
        <f t="array" ref="N1343">SUM( ($E$1016:$E$1039=$E$1107)* ($A$1016:$A$1039=$A1343) * ($D$1016:$D$1039= $D1343) * (N$1016:N$1039) ) * SUM(EF[N2O] * (EF[SATIM Code]= $D1343) )</f>
        <v>0</v>
      </c>
      <c r="O1343" s="1381">
        <f t="array" ref="O1343">SUM( ($E$1016:$E$1039=$E$1107)* ($A$1016:$A$1039=$A1343) * ($D$1016:$D$1039= $D1343) * (O$1016:O$1039) ) * SUM(EF[N2O] * (EF[SATIM Code]= $D1343) )</f>
        <v>0</v>
      </c>
      <c r="S1343" s="166"/>
      <c r="T1343" s="166"/>
      <c r="U1343" s="166"/>
      <c r="V1343" s="166"/>
      <c r="W1343" s="166"/>
      <c r="X1343" s="166"/>
      <c r="Y1343" s="166"/>
      <c r="Z1343" s="166"/>
      <c r="AA1343" s="166"/>
      <c r="AB1343" s="166"/>
    </row>
    <row r="1344" spans="1:28" s="19" customFormat="1" hidden="1" outlineLevel="1">
      <c r="A1344" s="19" t="str">
        <f t="shared" si="274"/>
        <v>NM</v>
      </c>
      <c r="B1344" s="1400" t="str">
        <f>INDEX(EF[UK Vector],MATCH(D1344,EF[SATIM Code],0))</f>
        <v>V.04</v>
      </c>
      <c r="C1344" s="1401" t="str">
        <f>INDEX(Vectors[Description], MATCH($B1344, Vectors[Code], 0))</f>
        <v>Liquid hydrocarbons</v>
      </c>
      <c r="D1344" s="1406" t="s">
        <v>887</v>
      </c>
      <c r="E1344" s="1393"/>
      <c r="F1344" s="1381">
        <f t="array" ref="F1344">SUM( ($E$1016:$E$1039=$E$1107)* ($A$1016:$A$1039=$A1344) * ($D$1016:$D$1039= $D1344) * (F$1016:F$1039) ) * SUM(EF[N2O] * (EF[SATIM Code]= $D1344) )</f>
        <v>0</v>
      </c>
      <c r="G1344" s="1381">
        <f t="array" ref="G1344">SUM( ($E$1016:$E$1039=$E$1107)* ($A$1016:$A$1039=$A1344) * ($D$1016:$D$1039= $D1344) * (G$1016:G$1039) ) * SUM(EF[N2O] * (EF[SATIM Code]= $D1344) )</f>
        <v>0</v>
      </c>
      <c r="H1344" s="1381">
        <f t="array" ref="H1344">SUM( ($E$1016:$E$1039=$E$1107)* ($A$1016:$A$1039=$A1344) * ($D$1016:$D$1039= $D1344) * (H$1016:H$1039) ) * SUM(EF[N2O] * (EF[SATIM Code]= $D1344) )</f>
        <v>0</v>
      </c>
      <c r="I1344" s="1381">
        <f t="array" ref="I1344">SUM( ($E$1016:$E$1039=$E$1107)* ($A$1016:$A$1039=$A1344) * ($D$1016:$D$1039= $D1344) * (I$1016:I$1039) ) * SUM(EF[N2O] * (EF[SATIM Code]= $D1344) )</f>
        <v>0</v>
      </c>
      <c r="J1344" s="1381">
        <f t="array" ref="J1344">SUM( ($E$1016:$E$1039=$E$1107)* ($A$1016:$A$1039=$A1344) * ($D$1016:$D$1039= $D1344) * (J$1016:J$1039) ) * SUM(EF[N2O] * (EF[SATIM Code]= $D1344) )</f>
        <v>0</v>
      </c>
      <c r="K1344" s="1381">
        <f t="array" ref="K1344">SUM( ($E$1016:$E$1039=$E$1107)* ($A$1016:$A$1039=$A1344) * ($D$1016:$D$1039= $D1344) * (K$1016:K$1039) ) * SUM(EF[N2O] * (EF[SATIM Code]= $D1344) )</f>
        <v>0</v>
      </c>
      <c r="L1344" s="1381">
        <f t="array" ref="L1344">SUM( ($E$1016:$E$1039=$E$1107)* ($A$1016:$A$1039=$A1344) * ($D$1016:$D$1039= $D1344) * (L$1016:L$1039) ) * SUM(EF[N2O] * (EF[SATIM Code]= $D1344) )</f>
        <v>0</v>
      </c>
      <c r="M1344" s="1381">
        <f t="array" ref="M1344">SUM( ($E$1016:$E$1039=$E$1107)* ($A$1016:$A$1039=$A1344) * ($D$1016:$D$1039= $D1344) * (M$1016:M$1039) ) * SUM(EF[N2O] * (EF[SATIM Code]= $D1344) )</f>
        <v>0</v>
      </c>
      <c r="N1344" s="1381">
        <f t="array" ref="N1344">SUM( ($E$1016:$E$1039=$E$1107)* ($A$1016:$A$1039=$A1344) * ($D$1016:$D$1039= $D1344) * (N$1016:N$1039) ) * SUM(EF[N2O] * (EF[SATIM Code]= $D1344) )</f>
        <v>0</v>
      </c>
      <c r="O1344" s="1381">
        <f t="array" ref="O1344">SUM( ($E$1016:$E$1039=$E$1107)* ($A$1016:$A$1039=$A1344) * ($D$1016:$D$1039= $D1344) * (O$1016:O$1039) ) * SUM(EF[N2O] * (EF[SATIM Code]= $D1344) )</f>
        <v>0</v>
      </c>
      <c r="S1344" s="166"/>
      <c r="T1344" s="166"/>
      <c r="U1344" s="166"/>
      <c r="V1344" s="166"/>
      <c r="W1344" s="166"/>
      <c r="X1344" s="166"/>
      <c r="Y1344" s="166"/>
      <c r="Z1344" s="166"/>
      <c r="AA1344" s="166"/>
      <c r="AB1344" s="166"/>
    </row>
    <row r="1345" spans="1:28" s="19" customFormat="1" hidden="1" outlineLevel="1">
      <c r="A1345" s="19" t="str">
        <f t="shared" si="274"/>
        <v>NM</v>
      </c>
      <c r="B1345" s="1400" t="str">
        <f>INDEX(EF[UK Vector],MATCH(D1345,EF[SATIM Code],0))</f>
        <v>V.09</v>
      </c>
      <c r="C1345" s="1401" t="str">
        <f>INDEX(Vectors[Description], MATCH($B1345, Vectors[Code], 0))</f>
        <v>Dry biomass and waste</v>
      </c>
      <c r="D1345" s="1406" t="s">
        <v>888</v>
      </c>
      <c r="E1345" s="1393"/>
      <c r="F1345" s="1381">
        <f t="array" ref="F1345">SUM( ($E$1016:$E$1039=$E$1107)* ($A$1016:$A$1039=$A1345) * ($D$1016:$D$1039= $D1345) * (F$1016:F$1039) ) * SUM(EF[N2O] * (EF[SATIM Code]= $D1345) )</f>
        <v>0</v>
      </c>
      <c r="G1345" s="1381">
        <f t="array" ref="G1345">SUM( ($E$1016:$E$1039=$E$1107)* ($A$1016:$A$1039=$A1345) * ($D$1016:$D$1039= $D1345) * (G$1016:G$1039) ) * SUM(EF[N2O] * (EF[SATIM Code]= $D1345) )</f>
        <v>0</v>
      </c>
      <c r="H1345" s="1381">
        <f t="array" ref="H1345">SUM( ($E$1016:$E$1039=$E$1107)* ($A$1016:$A$1039=$A1345) * ($D$1016:$D$1039= $D1345) * (H$1016:H$1039) ) * SUM(EF[N2O] * (EF[SATIM Code]= $D1345) )</f>
        <v>0</v>
      </c>
      <c r="I1345" s="1381">
        <f t="array" ref="I1345">SUM( ($E$1016:$E$1039=$E$1107)* ($A$1016:$A$1039=$A1345) * ($D$1016:$D$1039= $D1345) * (I$1016:I$1039) ) * SUM(EF[N2O] * (EF[SATIM Code]= $D1345) )</f>
        <v>0</v>
      </c>
      <c r="J1345" s="1381">
        <f t="array" ref="J1345">SUM( ($E$1016:$E$1039=$E$1107)* ($A$1016:$A$1039=$A1345) * ($D$1016:$D$1039= $D1345) * (J$1016:J$1039) ) * SUM(EF[N2O] * (EF[SATIM Code]= $D1345) )</f>
        <v>0</v>
      </c>
      <c r="K1345" s="1381">
        <f t="array" ref="K1345">SUM( ($E$1016:$E$1039=$E$1107)* ($A$1016:$A$1039=$A1345) * ($D$1016:$D$1039= $D1345) * (K$1016:K$1039) ) * SUM(EF[N2O] * (EF[SATIM Code]= $D1345) )</f>
        <v>0</v>
      </c>
      <c r="L1345" s="1381">
        <f t="array" ref="L1345">SUM( ($E$1016:$E$1039=$E$1107)* ($A$1016:$A$1039=$A1345) * ($D$1016:$D$1039= $D1345) * (L$1016:L$1039) ) * SUM(EF[N2O] * (EF[SATIM Code]= $D1345) )</f>
        <v>0</v>
      </c>
      <c r="M1345" s="1381">
        <f t="array" ref="M1345">SUM( ($E$1016:$E$1039=$E$1107)* ($A$1016:$A$1039=$A1345) * ($D$1016:$D$1039= $D1345) * (M$1016:M$1039) ) * SUM(EF[N2O] * (EF[SATIM Code]= $D1345) )</f>
        <v>0</v>
      </c>
      <c r="N1345" s="1381">
        <f t="array" ref="N1345">SUM( ($E$1016:$E$1039=$E$1107)* ($A$1016:$A$1039=$A1345) * ($D$1016:$D$1039= $D1345) * (N$1016:N$1039) ) * SUM(EF[N2O] * (EF[SATIM Code]= $D1345) )</f>
        <v>0</v>
      </c>
      <c r="O1345" s="1381">
        <f t="array" ref="O1345">SUM( ($E$1016:$E$1039=$E$1107)* ($A$1016:$A$1039=$A1345) * ($D$1016:$D$1039= $D1345) * (O$1016:O$1039) ) * SUM(EF[N2O] * (EF[SATIM Code]= $D1345) )</f>
        <v>0</v>
      </c>
      <c r="S1345" s="166"/>
      <c r="T1345" s="166"/>
      <c r="U1345" s="166"/>
      <c r="V1345" s="166"/>
      <c r="W1345" s="166"/>
      <c r="X1345" s="166"/>
      <c r="Y1345" s="166"/>
      <c r="Z1345" s="166"/>
      <c r="AA1345" s="166"/>
      <c r="AB1345" s="166"/>
    </row>
    <row r="1346" spans="1:28" s="19" customFormat="1" hidden="1" outlineLevel="1">
      <c r="A1346" s="19" t="str">
        <f t="shared" si="274"/>
        <v>NM</v>
      </c>
      <c r="B1346" s="1400" t="str">
        <f>INDEX(EF[UK Vector],MATCH(D1346,EF[SATIM Code],0))</f>
        <v>V.09</v>
      </c>
      <c r="C1346" s="1401" t="str">
        <f>INDEX(Vectors[Description], MATCH($B1346, Vectors[Code], 0))</f>
        <v>Dry biomass and waste</v>
      </c>
      <c r="D1346" s="1388" t="s">
        <v>889</v>
      </c>
      <c r="E1346" s="1393"/>
      <c r="F1346" s="1381">
        <f t="array" ref="F1346">SUM( ($E$1016:$E$1039=$E$1107)* ($A$1016:$A$1039=$A1346) * ($D$1016:$D$1039= $D1346) * (F$1016:F$1039) ) * SUM(EF[N2O] * (EF[SATIM Code]= $D1346) )</f>
        <v>0</v>
      </c>
      <c r="G1346" s="1381">
        <f t="array" ref="G1346">SUM( ($E$1016:$E$1039=$E$1107)* ($A$1016:$A$1039=$A1346) * ($D$1016:$D$1039= $D1346) * (G$1016:G$1039) ) * SUM(EF[N2O] * (EF[SATIM Code]= $D1346) )</f>
        <v>0</v>
      </c>
      <c r="H1346" s="1381">
        <f t="array" ref="H1346">SUM( ($E$1016:$E$1039=$E$1107)* ($A$1016:$A$1039=$A1346) * ($D$1016:$D$1039= $D1346) * (H$1016:H$1039) ) * SUM(EF[N2O] * (EF[SATIM Code]= $D1346) )</f>
        <v>0</v>
      </c>
      <c r="I1346" s="1381">
        <f t="array" ref="I1346">SUM( ($E$1016:$E$1039=$E$1107)* ($A$1016:$A$1039=$A1346) * ($D$1016:$D$1039= $D1346) * (I$1016:I$1039) ) * SUM(EF[N2O] * (EF[SATIM Code]= $D1346) )</f>
        <v>0</v>
      </c>
      <c r="J1346" s="1381">
        <f t="array" ref="J1346">SUM( ($E$1016:$E$1039=$E$1107)* ($A$1016:$A$1039=$A1346) * ($D$1016:$D$1039= $D1346) * (J$1016:J$1039) ) * SUM(EF[N2O] * (EF[SATIM Code]= $D1346) )</f>
        <v>0</v>
      </c>
      <c r="K1346" s="1381">
        <f t="array" ref="K1346">SUM( ($E$1016:$E$1039=$E$1107)* ($A$1016:$A$1039=$A1346) * ($D$1016:$D$1039= $D1346) * (K$1016:K$1039) ) * SUM(EF[N2O] * (EF[SATIM Code]= $D1346) )</f>
        <v>0</v>
      </c>
      <c r="L1346" s="1381">
        <f t="array" ref="L1346">SUM( ($E$1016:$E$1039=$E$1107)* ($A$1016:$A$1039=$A1346) * ($D$1016:$D$1039= $D1346) * (L$1016:L$1039) ) * SUM(EF[N2O] * (EF[SATIM Code]= $D1346) )</f>
        <v>0</v>
      </c>
      <c r="M1346" s="1381">
        <f t="array" ref="M1346">SUM( ($E$1016:$E$1039=$E$1107)* ($A$1016:$A$1039=$A1346) * ($D$1016:$D$1039= $D1346) * (M$1016:M$1039) ) * SUM(EF[N2O] * (EF[SATIM Code]= $D1346) )</f>
        <v>0</v>
      </c>
      <c r="N1346" s="1381">
        <f t="array" ref="N1346">SUM( ($E$1016:$E$1039=$E$1107)* ($A$1016:$A$1039=$A1346) * ($D$1016:$D$1039= $D1346) * (N$1016:N$1039) ) * SUM(EF[N2O] * (EF[SATIM Code]= $D1346) )</f>
        <v>0</v>
      </c>
      <c r="O1346" s="1381">
        <f t="array" ref="O1346">SUM( ($E$1016:$E$1039=$E$1107)* ($A$1016:$A$1039=$A1346) * ($D$1016:$D$1039= $D1346) * (O$1016:O$1039) ) * SUM(EF[N2O] * (EF[SATIM Code]= $D1346) )</f>
        <v>0</v>
      </c>
      <c r="S1346" s="166"/>
      <c r="T1346" s="166"/>
      <c r="U1346" s="166"/>
      <c r="V1346" s="166"/>
      <c r="W1346" s="166"/>
      <c r="X1346" s="166"/>
      <c r="Y1346" s="166"/>
      <c r="Z1346" s="166"/>
      <c r="AA1346" s="166"/>
      <c r="AB1346" s="166"/>
    </row>
    <row r="1347" spans="1:28" s="19" customFormat="1" hidden="1" outlineLevel="1">
      <c r="A1347" s="19" t="str">
        <f t="shared" si="274"/>
        <v>NM</v>
      </c>
      <c r="B1347" s="1400" t="str">
        <f>INDEX(EF[UK Vector],MATCH(D1347,EF[SATIM Code],0))</f>
        <v>V.16</v>
      </c>
      <c r="C1347" s="1401" t="str">
        <f>INDEX(Vectors[Description], MATCH($B1347, Vectors[Code], 0))</f>
        <v>Other Waste</v>
      </c>
      <c r="D1347" s="1408" t="s">
        <v>890</v>
      </c>
      <c r="E1347" s="1393"/>
      <c r="F1347" s="1381">
        <f t="array" ref="F1347">SUM( ($E$1016:$E$1039=$E$1107)* ($A$1016:$A$1039=$A1347) * ($D$1016:$D$1039= $D1347) * (F$1016:F$1039) ) * SUM(EF[N2O] * (EF[SATIM Code]= $D1347) )</f>
        <v>0</v>
      </c>
      <c r="G1347" s="1381">
        <f t="array" ref="G1347">SUM( ($E$1016:$E$1039=$E$1107)* ($A$1016:$A$1039=$A1347) * ($D$1016:$D$1039= $D1347) * (G$1016:G$1039) ) * SUM(EF[N2O] * (EF[SATIM Code]= $D1347) )</f>
        <v>0</v>
      </c>
      <c r="H1347" s="1381">
        <f t="array" ref="H1347">SUM( ($E$1016:$E$1039=$E$1107)* ($A$1016:$A$1039=$A1347) * ($D$1016:$D$1039= $D1347) * (H$1016:H$1039) ) * SUM(EF[N2O] * (EF[SATIM Code]= $D1347) )</f>
        <v>0</v>
      </c>
      <c r="I1347" s="1381">
        <f t="array" ref="I1347">SUM( ($E$1016:$E$1039=$E$1107)* ($A$1016:$A$1039=$A1347) * ($D$1016:$D$1039= $D1347) * (I$1016:I$1039) ) * SUM(EF[N2O] * (EF[SATIM Code]= $D1347) )</f>
        <v>0</v>
      </c>
      <c r="J1347" s="1381">
        <f t="array" ref="J1347">SUM( ($E$1016:$E$1039=$E$1107)* ($A$1016:$A$1039=$A1347) * ($D$1016:$D$1039= $D1347) * (J$1016:J$1039) ) * SUM(EF[N2O] * (EF[SATIM Code]= $D1347) )</f>
        <v>0</v>
      </c>
      <c r="K1347" s="1381">
        <f t="array" ref="K1347">SUM( ($E$1016:$E$1039=$E$1107)* ($A$1016:$A$1039=$A1347) * ($D$1016:$D$1039= $D1347) * (K$1016:K$1039) ) * SUM(EF[N2O] * (EF[SATIM Code]= $D1347) )</f>
        <v>0</v>
      </c>
      <c r="L1347" s="1381">
        <f t="array" ref="L1347">SUM( ($E$1016:$E$1039=$E$1107)* ($A$1016:$A$1039=$A1347) * ($D$1016:$D$1039= $D1347) * (L$1016:L$1039) ) * SUM(EF[N2O] * (EF[SATIM Code]= $D1347) )</f>
        <v>0</v>
      </c>
      <c r="M1347" s="1381">
        <f t="array" ref="M1347">SUM( ($E$1016:$E$1039=$E$1107)* ($A$1016:$A$1039=$A1347) * ($D$1016:$D$1039= $D1347) * (M$1016:M$1039) ) * SUM(EF[N2O] * (EF[SATIM Code]= $D1347) )</f>
        <v>0</v>
      </c>
      <c r="N1347" s="1381">
        <f t="array" ref="N1347">SUM( ($E$1016:$E$1039=$E$1107)* ($A$1016:$A$1039=$A1347) * ($D$1016:$D$1039= $D1347) * (N$1016:N$1039) ) * SUM(EF[N2O] * (EF[SATIM Code]= $D1347) )</f>
        <v>0</v>
      </c>
      <c r="O1347" s="1381">
        <f t="array" ref="O1347">SUM( ($E$1016:$E$1039=$E$1107)* ($A$1016:$A$1039=$A1347) * ($D$1016:$D$1039= $D1347) * (O$1016:O$1039) ) * SUM(EF[N2O] * (EF[SATIM Code]= $D1347) )</f>
        <v>0</v>
      </c>
      <c r="S1347" s="166"/>
      <c r="T1347" s="166"/>
      <c r="U1347" s="166"/>
      <c r="V1347" s="166"/>
      <c r="W1347" s="166"/>
      <c r="X1347" s="166"/>
      <c r="Y1347" s="166"/>
      <c r="Z1347" s="166"/>
      <c r="AA1347" s="166"/>
      <c r="AB1347" s="166"/>
    </row>
    <row r="1348" spans="1:28" s="19" customFormat="1" hidden="1" outlineLevel="1">
      <c r="B1348" s="1393"/>
      <c r="C1348" s="1407" t="str">
        <f>D25</f>
        <v>Food, Beverage &amp; Tabacco  - 30</v>
      </c>
      <c r="D1348" s="1391"/>
      <c r="E1348" s="1393"/>
      <c r="F1348" s="1381">
        <f t="array" ref="F1348">SUM( ($E$1016:$E$1039=$E$1107)* ($A$1016:$A$1039=$A1348) * ($D$1016:$D$1039= $D1348) * (F$1016:F$1039) ) * SUM(EF[N2O] * (EF[SATIM Code]= $D1348) )</f>
        <v>0</v>
      </c>
      <c r="G1348" s="1381">
        <f t="array" ref="G1348">SUM( ($E$1016:$E$1039=$E$1107)* ($A$1016:$A$1039=$A1348) * ($D$1016:$D$1039= $D1348) * (G$1016:G$1039) ) * SUM(EF[N2O] * (EF[SATIM Code]= $D1348) )</f>
        <v>0</v>
      </c>
      <c r="H1348" s="1381">
        <f t="array" ref="H1348">SUM( ($E$1016:$E$1039=$E$1107)* ($A$1016:$A$1039=$A1348) * ($D$1016:$D$1039= $D1348) * (H$1016:H$1039) ) * SUM(EF[N2O] * (EF[SATIM Code]= $D1348) )</f>
        <v>0</v>
      </c>
      <c r="I1348" s="1381">
        <f t="array" ref="I1348">SUM( ($E$1016:$E$1039=$E$1107)* ($A$1016:$A$1039=$A1348) * ($D$1016:$D$1039= $D1348) * (I$1016:I$1039) ) * SUM(EF[N2O] * (EF[SATIM Code]= $D1348) )</f>
        <v>0</v>
      </c>
      <c r="J1348" s="1381">
        <f t="array" ref="J1348">SUM( ($E$1016:$E$1039=$E$1107)* ($A$1016:$A$1039=$A1348) * ($D$1016:$D$1039= $D1348) * (J$1016:J$1039) ) * SUM(EF[N2O] * (EF[SATIM Code]= $D1348) )</f>
        <v>0</v>
      </c>
      <c r="K1348" s="1381">
        <f t="array" ref="K1348">SUM( ($E$1016:$E$1039=$E$1107)* ($A$1016:$A$1039=$A1348) * ($D$1016:$D$1039= $D1348) * (K$1016:K$1039) ) * SUM(EF[N2O] * (EF[SATIM Code]= $D1348) )</f>
        <v>0</v>
      </c>
      <c r="L1348" s="1381">
        <f t="array" ref="L1348">SUM( ($E$1016:$E$1039=$E$1107)* ($A$1016:$A$1039=$A1348) * ($D$1016:$D$1039= $D1348) * (L$1016:L$1039) ) * SUM(EF[N2O] * (EF[SATIM Code]= $D1348) )</f>
        <v>0</v>
      </c>
      <c r="M1348" s="1381">
        <f t="array" ref="M1348">SUM( ($E$1016:$E$1039=$E$1107)* ($A$1016:$A$1039=$A1348) * ($D$1016:$D$1039= $D1348) * (M$1016:M$1039) ) * SUM(EF[N2O] * (EF[SATIM Code]= $D1348) )</f>
        <v>0</v>
      </c>
      <c r="N1348" s="1381">
        <f t="array" ref="N1348">SUM( ($E$1016:$E$1039=$E$1107)* ($A$1016:$A$1039=$A1348) * ($D$1016:$D$1039= $D1348) * (N$1016:N$1039) ) * SUM(EF[N2O] * (EF[SATIM Code]= $D1348) )</f>
        <v>0</v>
      </c>
      <c r="O1348" s="1381">
        <f t="array" ref="O1348">SUM( ($E$1016:$E$1039=$E$1107)* ($A$1016:$A$1039=$A1348) * ($D$1016:$D$1039= $D1348) * (O$1016:O$1039) ) * SUM(EF[N2O] * (EF[SATIM Code]= $D1348) )</f>
        <v>0</v>
      </c>
      <c r="S1348" s="166"/>
      <c r="T1348" s="166"/>
      <c r="U1348" s="166"/>
      <c r="V1348" s="166"/>
      <c r="W1348" s="166"/>
      <c r="X1348" s="166"/>
      <c r="Y1348" s="166"/>
      <c r="Z1348" s="166"/>
      <c r="AA1348" s="166"/>
      <c r="AB1348" s="166"/>
    </row>
    <row r="1349" spans="1:28" s="19" customFormat="1" hidden="1" outlineLevel="1">
      <c r="A1349" s="1438" t="str">
        <f>INDEX($C$20:$C$27,MATCH($C1348,$D$20:$D$27,0))</f>
        <v>FB</v>
      </c>
      <c r="B1349" s="1400" t="str">
        <f>INDEX(EF[UK Vector],MATCH(D1349,EF[SATIM Code],0))</f>
        <v>V.03</v>
      </c>
      <c r="C1349" s="1401" t="str">
        <f>INDEX(Vectors[Description], MATCH($B1349, Vectors[Code], 0))</f>
        <v>Solid hydrocarbons</v>
      </c>
      <c r="D1349" s="1391" t="s">
        <v>882</v>
      </c>
      <c r="E1349" s="1393"/>
      <c r="F1349" s="1381">
        <f t="array" ref="F1349">SUM( ($E$1016:$E$1039=$E$1107)* ($A$1016:$A$1039=$A1349) * ($D$1016:$D$1039= $D1349) * (F$1016:F$1039) ) * SUM(EF[N2O] * (EF[SATIM Code]= $D1349) )</f>
        <v>0</v>
      </c>
      <c r="G1349" s="1381">
        <f t="array" ref="G1349">SUM( ($E$1016:$E$1039=$E$1107)* ($A$1016:$A$1039=$A1349) * ($D$1016:$D$1039= $D1349) * (G$1016:G$1039) ) * SUM(EF[N2O] * (EF[SATIM Code]= $D1349) )</f>
        <v>0</v>
      </c>
      <c r="H1349" s="1381">
        <f t="array" ref="H1349">SUM( ($E$1016:$E$1039=$E$1107)* ($A$1016:$A$1039=$A1349) * ($D$1016:$D$1039= $D1349) * (H$1016:H$1039) ) * SUM(EF[N2O] * (EF[SATIM Code]= $D1349) )</f>
        <v>0</v>
      </c>
      <c r="I1349" s="1381">
        <f t="array" ref="I1349">SUM( ($E$1016:$E$1039=$E$1107)* ($A$1016:$A$1039=$A1349) * ($D$1016:$D$1039= $D1349) * (I$1016:I$1039) ) * SUM(EF[N2O] * (EF[SATIM Code]= $D1349) )</f>
        <v>0</v>
      </c>
      <c r="J1349" s="1381">
        <f t="array" ref="J1349">SUM( ($E$1016:$E$1039=$E$1107)* ($A$1016:$A$1039=$A1349) * ($D$1016:$D$1039= $D1349) * (J$1016:J$1039) ) * SUM(EF[N2O] * (EF[SATIM Code]= $D1349) )</f>
        <v>0</v>
      </c>
      <c r="K1349" s="1381">
        <f t="array" ref="K1349">SUM( ($E$1016:$E$1039=$E$1107)* ($A$1016:$A$1039=$A1349) * ($D$1016:$D$1039= $D1349) * (K$1016:K$1039) ) * SUM(EF[N2O] * (EF[SATIM Code]= $D1349) )</f>
        <v>0</v>
      </c>
      <c r="L1349" s="1381">
        <f t="array" ref="L1349">SUM( ($E$1016:$E$1039=$E$1107)* ($A$1016:$A$1039=$A1349) * ($D$1016:$D$1039= $D1349) * (L$1016:L$1039) ) * SUM(EF[N2O] * (EF[SATIM Code]= $D1349) )</f>
        <v>0</v>
      </c>
      <c r="M1349" s="1381">
        <f t="array" ref="M1349">SUM( ($E$1016:$E$1039=$E$1107)* ($A$1016:$A$1039=$A1349) * ($D$1016:$D$1039= $D1349) * (M$1016:M$1039) ) * SUM(EF[N2O] * (EF[SATIM Code]= $D1349) )</f>
        <v>0</v>
      </c>
      <c r="N1349" s="1381">
        <f t="array" ref="N1349">SUM( ($E$1016:$E$1039=$E$1107)* ($A$1016:$A$1039=$A1349) * ($D$1016:$D$1039= $D1349) * (N$1016:N$1039) ) * SUM(EF[N2O] * (EF[SATIM Code]= $D1349) )</f>
        <v>0</v>
      </c>
      <c r="O1349" s="1381">
        <f t="array" ref="O1349">SUM( ($E$1016:$E$1039=$E$1107)* ($A$1016:$A$1039=$A1349) * ($D$1016:$D$1039= $D1349) * (O$1016:O$1039) ) * SUM(EF[N2O] * (EF[SATIM Code]= $D1349) )</f>
        <v>0</v>
      </c>
      <c r="S1349" s="166"/>
      <c r="T1349" s="166"/>
      <c r="U1349" s="166"/>
      <c r="V1349" s="166"/>
      <c r="W1349" s="166"/>
      <c r="X1349" s="166"/>
      <c r="Y1349" s="166"/>
      <c r="Z1349" s="166"/>
      <c r="AA1349" s="166"/>
      <c r="AB1349" s="166"/>
    </row>
    <row r="1350" spans="1:28" s="19" customFormat="1" hidden="1" outlineLevel="1">
      <c r="A1350" s="19" t="str">
        <f t="shared" ref="A1350:A1357" si="275">A1349</f>
        <v>FB</v>
      </c>
      <c r="B1350" s="1400" t="str">
        <f>INDEX(EF[UK Vector],MATCH(D1350,EF[SATIM Code],0))</f>
        <v>V.03</v>
      </c>
      <c r="C1350" s="1401" t="str">
        <f>INDEX(Vectors[Description], MATCH($B1350, Vectors[Code], 0))</f>
        <v>Solid hydrocarbons</v>
      </c>
      <c r="D1350" s="1391" t="s">
        <v>883</v>
      </c>
      <c r="E1350" s="1393"/>
      <c r="F1350" s="1381">
        <f t="array" ref="F1350">SUM( ($E$1016:$E$1039=$E$1107)* ($A$1016:$A$1039=$A1350) * ($D$1016:$D$1039= $D1350) * (F$1016:F$1039) ) * SUM(EF[N2O] * (EF[SATIM Code]= $D1350) )</f>
        <v>0</v>
      </c>
      <c r="G1350" s="1381">
        <f t="array" ref="G1350">SUM( ($E$1016:$E$1039=$E$1107)* ($A$1016:$A$1039=$A1350) * ($D$1016:$D$1039= $D1350) * (G$1016:G$1039) ) * SUM(EF[N2O] * (EF[SATIM Code]= $D1350) )</f>
        <v>0</v>
      </c>
      <c r="H1350" s="1381">
        <f t="array" ref="H1350">SUM( ($E$1016:$E$1039=$E$1107)* ($A$1016:$A$1039=$A1350) * ($D$1016:$D$1039= $D1350) * (H$1016:H$1039) ) * SUM(EF[N2O] * (EF[SATIM Code]= $D1350) )</f>
        <v>0</v>
      </c>
      <c r="I1350" s="1381">
        <f t="array" ref="I1350">SUM( ($E$1016:$E$1039=$E$1107)* ($A$1016:$A$1039=$A1350) * ($D$1016:$D$1039= $D1350) * (I$1016:I$1039) ) * SUM(EF[N2O] * (EF[SATIM Code]= $D1350) )</f>
        <v>0</v>
      </c>
      <c r="J1350" s="1381">
        <f t="array" ref="J1350">SUM( ($E$1016:$E$1039=$E$1107)* ($A$1016:$A$1039=$A1350) * ($D$1016:$D$1039= $D1350) * (J$1016:J$1039) ) * SUM(EF[N2O] * (EF[SATIM Code]= $D1350) )</f>
        <v>0</v>
      </c>
      <c r="K1350" s="1381">
        <f t="array" ref="K1350">SUM( ($E$1016:$E$1039=$E$1107)* ($A$1016:$A$1039=$A1350) * ($D$1016:$D$1039= $D1350) * (K$1016:K$1039) ) * SUM(EF[N2O] * (EF[SATIM Code]= $D1350) )</f>
        <v>0</v>
      </c>
      <c r="L1350" s="1381">
        <f t="array" ref="L1350">SUM( ($E$1016:$E$1039=$E$1107)* ($A$1016:$A$1039=$A1350) * ($D$1016:$D$1039= $D1350) * (L$1016:L$1039) ) * SUM(EF[N2O] * (EF[SATIM Code]= $D1350) )</f>
        <v>0</v>
      </c>
      <c r="M1350" s="1381">
        <f t="array" ref="M1350">SUM( ($E$1016:$E$1039=$E$1107)* ($A$1016:$A$1039=$A1350) * ($D$1016:$D$1039= $D1350) * (M$1016:M$1039) ) * SUM(EF[N2O] * (EF[SATIM Code]= $D1350) )</f>
        <v>0</v>
      </c>
      <c r="N1350" s="1381">
        <f t="array" ref="N1350">SUM( ($E$1016:$E$1039=$E$1107)* ($A$1016:$A$1039=$A1350) * ($D$1016:$D$1039= $D1350) * (N$1016:N$1039) ) * SUM(EF[N2O] * (EF[SATIM Code]= $D1350) )</f>
        <v>0</v>
      </c>
      <c r="O1350" s="1381">
        <f t="array" ref="O1350">SUM( ($E$1016:$E$1039=$E$1107)* ($A$1016:$A$1039=$A1350) * ($D$1016:$D$1039= $D1350) * (O$1016:O$1039) ) * SUM(EF[N2O] * (EF[SATIM Code]= $D1350) )</f>
        <v>0</v>
      </c>
      <c r="S1350" s="166"/>
      <c r="T1350" s="166"/>
      <c r="U1350" s="166"/>
      <c r="V1350" s="166"/>
      <c r="W1350" s="166"/>
      <c r="X1350" s="166"/>
      <c r="Y1350" s="166"/>
      <c r="Z1350" s="166"/>
      <c r="AA1350" s="166"/>
      <c r="AB1350" s="166"/>
    </row>
    <row r="1351" spans="1:28" s="19" customFormat="1" hidden="1" outlineLevel="1">
      <c r="A1351" s="19" t="str">
        <f t="shared" si="275"/>
        <v>FB</v>
      </c>
      <c r="B1351" s="1400" t="str">
        <f>INDEX(EF[UK Vector],MATCH(D1351,EF[SATIM Code],0))</f>
        <v>V.05</v>
      </c>
      <c r="C1351" s="1401" t="str">
        <f>INDEX(Vectors[Description], MATCH($B1351, Vectors[Code], 0))</f>
        <v>Gaseous hydrocarbons</v>
      </c>
      <c r="D1351" s="1406" t="s">
        <v>869</v>
      </c>
      <c r="E1351" s="1393"/>
      <c r="F1351" s="1381">
        <f t="array" ref="F1351">SUM( ($E$1016:$E$1039=$E$1107)* ($A$1016:$A$1039=$A1351) * ($D$1016:$D$1039= $D1351) * (F$1016:F$1039) ) * SUM(EF[N2O] * (EF[SATIM Code]= $D1351) )</f>
        <v>0</v>
      </c>
      <c r="G1351" s="1381">
        <f t="array" ref="G1351">SUM( ($E$1016:$E$1039=$E$1107)* ($A$1016:$A$1039=$A1351) * ($D$1016:$D$1039= $D1351) * (G$1016:G$1039) ) * SUM(EF[N2O] * (EF[SATIM Code]= $D1351) )</f>
        <v>0</v>
      </c>
      <c r="H1351" s="1381">
        <f t="array" ref="H1351">SUM( ($E$1016:$E$1039=$E$1107)* ($A$1016:$A$1039=$A1351) * ($D$1016:$D$1039= $D1351) * (H$1016:H$1039) ) * SUM(EF[N2O] * (EF[SATIM Code]= $D1351) )</f>
        <v>0</v>
      </c>
      <c r="I1351" s="1381">
        <f t="array" ref="I1351">SUM( ($E$1016:$E$1039=$E$1107)* ($A$1016:$A$1039=$A1351) * ($D$1016:$D$1039= $D1351) * (I$1016:I$1039) ) * SUM(EF[N2O] * (EF[SATIM Code]= $D1351) )</f>
        <v>0</v>
      </c>
      <c r="J1351" s="1381">
        <f t="array" ref="J1351">SUM( ($E$1016:$E$1039=$E$1107)* ($A$1016:$A$1039=$A1351) * ($D$1016:$D$1039= $D1351) * (J$1016:J$1039) ) * SUM(EF[N2O] * (EF[SATIM Code]= $D1351) )</f>
        <v>0</v>
      </c>
      <c r="K1351" s="1381">
        <f t="array" ref="K1351">SUM( ($E$1016:$E$1039=$E$1107)* ($A$1016:$A$1039=$A1351) * ($D$1016:$D$1039= $D1351) * (K$1016:K$1039) ) * SUM(EF[N2O] * (EF[SATIM Code]= $D1351) )</f>
        <v>0</v>
      </c>
      <c r="L1351" s="1381">
        <f t="array" ref="L1351">SUM( ($E$1016:$E$1039=$E$1107)* ($A$1016:$A$1039=$A1351) * ($D$1016:$D$1039= $D1351) * (L$1016:L$1039) ) * SUM(EF[N2O] * (EF[SATIM Code]= $D1351) )</f>
        <v>0</v>
      </c>
      <c r="M1351" s="1381">
        <f t="array" ref="M1351">SUM( ($E$1016:$E$1039=$E$1107)* ($A$1016:$A$1039=$A1351) * ($D$1016:$D$1039= $D1351) * (M$1016:M$1039) ) * SUM(EF[N2O] * (EF[SATIM Code]= $D1351) )</f>
        <v>0</v>
      </c>
      <c r="N1351" s="1381">
        <f t="array" ref="N1351">SUM( ($E$1016:$E$1039=$E$1107)* ($A$1016:$A$1039=$A1351) * ($D$1016:$D$1039= $D1351) * (N$1016:N$1039) ) * SUM(EF[N2O] * (EF[SATIM Code]= $D1351) )</f>
        <v>0</v>
      </c>
      <c r="O1351" s="1381">
        <f t="array" ref="O1351">SUM( ($E$1016:$E$1039=$E$1107)* ($A$1016:$A$1039=$A1351) * ($D$1016:$D$1039= $D1351) * (O$1016:O$1039) ) * SUM(EF[N2O] * (EF[SATIM Code]= $D1351) )</f>
        <v>0</v>
      </c>
      <c r="S1351" s="166"/>
      <c r="T1351" s="166"/>
      <c r="U1351" s="166"/>
      <c r="V1351" s="166"/>
      <c r="W1351" s="166"/>
      <c r="X1351" s="166"/>
      <c r="Y1351" s="166"/>
      <c r="Z1351" s="166"/>
      <c r="AA1351" s="166"/>
      <c r="AB1351" s="166"/>
    </row>
    <row r="1352" spans="1:28" s="19" customFormat="1" hidden="1" outlineLevel="1">
      <c r="A1352" s="19" t="str">
        <f t="shared" si="275"/>
        <v>FB</v>
      </c>
      <c r="B1352" s="1400" t="str">
        <f>INDEX(EF[UK Vector],MATCH(D1352,EF[SATIM Code],0))</f>
        <v>V.04</v>
      </c>
      <c r="C1352" s="1401" t="str">
        <f>INDEX(Vectors[Description], MATCH($B1352, Vectors[Code], 0))</f>
        <v>Liquid hydrocarbons</v>
      </c>
      <c r="D1352" s="1406" t="s">
        <v>885</v>
      </c>
      <c r="E1352" s="1393"/>
      <c r="F1352" s="1381">
        <f t="array" ref="F1352">SUM( ($E$1016:$E$1039=$E$1107)* ($A$1016:$A$1039=$A1352) * ($D$1016:$D$1039= $D1352) * (F$1016:F$1039) ) * SUM(EF[N2O] * (EF[SATIM Code]= $D1352) )</f>
        <v>0</v>
      </c>
      <c r="G1352" s="1381">
        <f t="array" ref="G1352">SUM( ($E$1016:$E$1039=$E$1107)* ($A$1016:$A$1039=$A1352) * ($D$1016:$D$1039= $D1352) * (G$1016:G$1039) ) * SUM(EF[N2O] * (EF[SATIM Code]= $D1352) )</f>
        <v>0</v>
      </c>
      <c r="H1352" s="1381">
        <f t="array" ref="H1352">SUM( ($E$1016:$E$1039=$E$1107)* ($A$1016:$A$1039=$A1352) * ($D$1016:$D$1039= $D1352) * (H$1016:H$1039) ) * SUM(EF[N2O] * (EF[SATIM Code]= $D1352) )</f>
        <v>0</v>
      </c>
      <c r="I1352" s="1381">
        <f t="array" ref="I1352">SUM( ($E$1016:$E$1039=$E$1107)* ($A$1016:$A$1039=$A1352) * ($D$1016:$D$1039= $D1352) * (I$1016:I$1039) ) * SUM(EF[N2O] * (EF[SATIM Code]= $D1352) )</f>
        <v>0</v>
      </c>
      <c r="J1352" s="1381">
        <f t="array" ref="J1352">SUM( ($E$1016:$E$1039=$E$1107)* ($A$1016:$A$1039=$A1352) * ($D$1016:$D$1039= $D1352) * (J$1016:J$1039) ) * SUM(EF[N2O] * (EF[SATIM Code]= $D1352) )</f>
        <v>0</v>
      </c>
      <c r="K1352" s="1381">
        <f t="array" ref="K1352">SUM( ($E$1016:$E$1039=$E$1107)* ($A$1016:$A$1039=$A1352) * ($D$1016:$D$1039= $D1352) * (K$1016:K$1039) ) * SUM(EF[N2O] * (EF[SATIM Code]= $D1352) )</f>
        <v>0</v>
      </c>
      <c r="L1352" s="1381">
        <f t="array" ref="L1352">SUM( ($E$1016:$E$1039=$E$1107)* ($A$1016:$A$1039=$A1352) * ($D$1016:$D$1039= $D1352) * (L$1016:L$1039) ) * SUM(EF[N2O] * (EF[SATIM Code]= $D1352) )</f>
        <v>0</v>
      </c>
      <c r="M1352" s="1381">
        <f t="array" ref="M1352">SUM( ($E$1016:$E$1039=$E$1107)* ($A$1016:$A$1039=$A1352) * ($D$1016:$D$1039= $D1352) * (M$1016:M$1039) ) * SUM(EF[N2O] * (EF[SATIM Code]= $D1352) )</f>
        <v>0</v>
      </c>
      <c r="N1352" s="1381">
        <f t="array" ref="N1352">SUM( ($E$1016:$E$1039=$E$1107)* ($A$1016:$A$1039=$A1352) * ($D$1016:$D$1039= $D1352) * (N$1016:N$1039) ) * SUM(EF[N2O] * (EF[SATIM Code]= $D1352) )</f>
        <v>0</v>
      </c>
      <c r="O1352" s="1381">
        <f t="array" ref="O1352">SUM( ($E$1016:$E$1039=$E$1107)* ($A$1016:$A$1039=$A1352) * ($D$1016:$D$1039= $D1352) * (O$1016:O$1039) ) * SUM(EF[N2O] * (EF[SATIM Code]= $D1352) )</f>
        <v>0</v>
      </c>
      <c r="S1352" s="166"/>
      <c r="T1352" s="166"/>
      <c r="U1352" s="166"/>
      <c r="V1352" s="166"/>
      <c r="W1352" s="166"/>
      <c r="X1352" s="166"/>
      <c r="Y1352" s="166"/>
      <c r="Z1352" s="166"/>
      <c r="AA1352" s="166"/>
      <c r="AB1352" s="166"/>
    </row>
    <row r="1353" spans="1:28" s="19" customFormat="1" hidden="1" outlineLevel="1">
      <c r="A1353" s="19" t="str">
        <f t="shared" si="275"/>
        <v>FB</v>
      </c>
      <c r="B1353" s="1400" t="str">
        <f>INDEX(EF[UK Vector],MATCH(D1353,EF[SATIM Code],0))</f>
        <v>V.04</v>
      </c>
      <c r="C1353" s="1401" t="str">
        <f>INDEX(Vectors[Description], MATCH($B1353, Vectors[Code], 0))</f>
        <v>Liquid hydrocarbons</v>
      </c>
      <c r="D1353" s="1391" t="s">
        <v>886</v>
      </c>
      <c r="E1353" s="1393"/>
      <c r="F1353" s="1381">
        <f t="array" ref="F1353">SUM( ($E$1016:$E$1039=$E$1107)* ($A$1016:$A$1039=$A1353) * ($D$1016:$D$1039= $D1353) * (F$1016:F$1039) ) * SUM(EF[N2O] * (EF[SATIM Code]= $D1353) )</f>
        <v>0</v>
      </c>
      <c r="G1353" s="1381">
        <f t="array" ref="G1353">SUM( ($E$1016:$E$1039=$E$1107)* ($A$1016:$A$1039=$A1353) * ($D$1016:$D$1039= $D1353) * (G$1016:G$1039) ) * SUM(EF[N2O] * (EF[SATIM Code]= $D1353) )</f>
        <v>0</v>
      </c>
      <c r="H1353" s="1381">
        <f t="array" ref="H1353">SUM( ($E$1016:$E$1039=$E$1107)* ($A$1016:$A$1039=$A1353) * ($D$1016:$D$1039= $D1353) * (H$1016:H$1039) ) * SUM(EF[N2O] * (EF[SATIM Code]= $D1353) )</f>
        <v>0</v>
      </c>
      <c r="I1353" s="1381">
        <f t="array" ref="I1353">SUM( ($E$1016:$E$1039=$E$1107)* ($A$1016:$A$1039=$A1353) * ($D$1016:$D$1039= $D1353) * (I$1016:I$1039) ) * SUM(EF[N2O] * (EF[SATIM Code]= $D1353) )</f>
        <v>0</v>
      </c>
      <c r="J1353" s="1381">
        <f t="array" ref="J1353">SUM( ($E$1016:$E$1039=$E$1107)* ($A$1016:$A$1039=$A1353) * ($D$1016:$D$1039= $D1353) * (J$1016:J$1039) ) * SUM(EF[N2O] * (EF[SATIM Code]= $D1353) )</f>
        <v>0</v>
      </c>
      <c r="K1353" s="1381">
        <f t="array" ref="K1353">SUM( ($E$1016:$E$1039=$E$1107)* ($A$1016:$A$1039=$A1353) * ($D$1016:$D$1039= $D1353) * (K$1016:K$1039) ) * SUM(EF[N2O] * (EF[SATIM Code]= $D1353) )</f>
        <v>0</v>
      </c>
      <c r="L1353" s="1381">
        <f t="array" ref="L1353">SUM( ($E$1016:$E$1039=$E$1107)* ($A$1016:$A$1039=$A1353) * ($D$1016:$D$1039= $D1353) * (L$1016:L$1039) ) * SUM(EF[N2O] * (EF[SATIM Code]= $D1353) )</f>
        <v>0</v>
      </c>
      <c r="M1353" s="1381">
        <f t="array" ref="M1353">SUM( ($E$1016:$E$1039=$E$1107)* ($A$1016:$A$1039=$A1353) * ($D$1016:$D$1039= $D1353) * (M$1016:M$1039) ) * SUM(EF[N2O] * (EF[SATIM Code]= $D1353) )</f>
        <v>0</v>
      </c>
      <c r="N1353" s="1381">
        <f t="array" ref="N1353">SUM( ($E$1016:$E$1039=$E$1107)* ($A$1016:$A$1039=$A1353) * ($D$1016:$D$1039= $D1353) * (N$1016:N$1039) ) * SUM(EF[N2O] * (EF[SATIM Code]= $D1353) )</f>
        <v>0</v>
      </c>
      <c r="O1353" s="1381">
        <f t="array" ref="O1353">SUM( ($E$1016:$E$1039=$E$1107)* ($A$1016:$A$1039=$A1353) * ($D$1016:$D$1039= $D1353) * (O$1016:O$1039) ) * SUM(EF[N2O] * (EF[SATIM Code]= $D1353) )</f>
        <v>0</v>
      </c>
      <c r="S1353" s="166"/>
      <c r="T1353" s="166"/>
      <c r="U1353" s="166"/>
      <c r="V1353" s="166"/>
      <c r="W1353" s="166"/>
      <c r="X1353" s="166"/>
      <c r="Y1353" s="166"/>
      <c r="Z1353" s="166"/>
      <c r="AA1353" s="166"/>
      <c r="AB1353" s="166"/>
    </row>
    <row r="1354" spans="1:28" s="19" customFormat="1" hidden="1" outlineLevel="1">
      <c r="A1354" s="19" t="str">
        <f t="shared" si="275"/>
        <v>FB</v>
      </c>
      <c r="B1354" s="1400" t="str">
        <f>INDEX(EF[UK Vector],MATCH(D1354,EF[SATIM Code],0))</f>
        <v>V.04</v>
      </c>
      <c r="C1354" s="1401" t="str">
        <f>INDEX(Vectors[Description], MATCH($B1354, Vectors[Code], 0))</f>
        <v>Liquid hydrocarbons</v>
      </c>
      <c r="D1354" s="1406" t="s">
        <v>887</v>
      </c>
      <c r="E1354" s="1393"/>
      <c r="F1354" s="1381">
        <f t="array" ref="F1354">SUM( ($E$1016:$E$1039=$E$1107)* ($A$1016:$A$1039=$A1354) * ($D$1016:$D$1039= $D1354) * (F$1016:F$1039) ) * SUM(EF[N2O] * (EF[SATIM Code]= $D1354) )</f>
        <v>0</v>
      </c>
      <c r="G1354" s="1381">
        <f t="array" ref="G1354">SUM( ($E$1016:$E$1039=$E$1107)* ($A$1016:$A$1039=$A1354) * ($D$1016:$D$1039= $D1354) * (G$1016:G$1039) ) * SUM(EF[N2O] * (EF[SATIM Code]= $D1354) )</f>
        <v>0</v>
      </c>
      <c r="H1354" s="1381">
        <f t="array" ref="H1354">SUM( ($E$1016:$E$1039=$E$1107)* ($A$1016:$A$1039=$A1354) * ($D$1016:$D$1039= $D1354) * (H$1016:H$1039) ) * SUM(EF[N2O] * (EF[SATIM Code]= $D1354) )</f>
        <v>0</v>
      </c>
      <c r="I1354" s="1381">
        <f t="array" ref="I1354">SUM( ($E$1016:$E$1039=$E$1107)* ($A$1016:$A$1039=$A1354) * ($D$1016:$D$1039= $D1354) * (I$1016:I$1039) ) * SUM(EF[N2O] * (EF[SATIM Code]= $D1354) )</f>
        <v>0</v>
      </c>
      <c r="J1354" s="1381">
        <f t="array" ref="J1354">SUM( ($E$1016:$E$1039=$E$1107)* ($A$1016:$A$1039=$A1354) * ($D$1016:$D$1039= $D1354) * (J$1016:J$1039) ) * SUM(EF[N2O] * (EF[SATIM Code]= $D1354) )</f>
        <v>0</v>
      </c>
      <c r="K1354" s="1381">
        <f t="array" ref="K1354">SUM( ($E$1016:$E$1039=$E$1107)* ($A$1016:$A$1039=$A1354) * ($D$1016:$D$1039= $D1354) * (K$1016:K$1039) ) * SUM(EF[N2O] * (EF[SATIM Code]= $D1354) )</f>
        <v>0</v>
      </c>
      <c r="L1354" s="1381">
        <f t="array" ref="L1354">SUM( ($E$1016:$E$1039=$E$1107)* ($A$1016:$A$1039=$A1354) * ($D$1016:$D$1039= $D1354) * (L$1016:L$1039) ) * SUM(EF[N2O] * (EF[SATIM Code]= $D1354) )</f>
        <v>0</v>
      </c>
      <c r="M1354" s="1381">
        <f t="array" ref="M1354">SUM( ($E$1016:$E$1039=$E$1107)* ($A$1016:$A$1039=$A1354) * ($D$1016:$D$1039= $D1354) * (M$1016:M$1039) ) * SUM(EF[N2O] * (EF[SATIM Code]= $D1354) )</f>
        <v>0</v>
      </c>
      <c r="N1354" s="1381">
        <f t="array" ref="N1354">SUM( ($E$1016:$E$1039=$E$1107)* ($A$1016:$A$1039=$A1354) * ($D$1016:$D$1039= $D1354) * (N$1016:N$1039) ) * SUM(EF[N2O] * (EF[SATIM Code]= $D1354) )</f>
        <v>0</v>
      </c>
      <c r="O1354" s="1381">
        <f t="array" ref="O1354">SUM( ($E$1016:$E$1039=$E$1107)* ($A$1016:$A$1039=$A1354) * ($D$1016:$D$1039= $D1354) * (O$1016:O$1039) ) * SUM(EF[N2O] * (EF[SATIM Code]= $D1354) )</f>
        <v>0</v>
      </c>
      <c r="S1354" s="166"/>
      <c r="T1354" s="166"/>
      <c r="U1354" s="166"/>
      <c r="V1354" s="166"/>
      <c r="W1354" s="166"/>
      <c r="X1354" s="166"/>
      <c r="Y1354" s="166"/>
      <c r="Z1354" s="166"/>
      <c r="AA1354" s="166"/>
      <c r="AB1354" s="166"/>
    </row>
    <row r="1355" spans="1:28" s="19" customFormat="1" hidden="1" outlineLevel="1">
      <c r="A1355" s="19" t="str">
        <f t="shared" si="275"/>
        <v>FB</v>
      </c>
      <c r="B1355" s="1400" t="str">
        <f>INDEX(EF[UK Vector],MATCH(D1355,EF[SATIM Code],0))</f>
        <v>V.09</v>
      </c>
      <c r="C1355" s="1401" t="str">
        <f>INDEX(Vectors[Description], MATCH($B1355, Vectors[Code], 0))</f>
        <v>Dry biomass and waste</v>
      </c>
      <c r="D1355" s="1406" t="s">
        <v>888</v>
      </c>
      <c r="E1355" s="1393"/>
      <c r="F1355" s="1381">
        <f t="array" ref="F1355">SUM( ($E$1016:$E$1039=$E$1107)* ($A$1016:$A$1039=$A1355) * ($D$1016:$D$1039= $D1355) * (F$1016:F$1039) ) * SUM(EF[N2O] * (EF[SATIM Code]= $D1355) )</f>
        <v>0</v>
      </c>
      <c r="G1355" s="1381">
        <f t="array" ref="G1355">SUM( ($E$1016:$E$1039=$E$1107)* ($A$1016:$A$1039=$A1355) * ($D$1016:$D$1039= $D1355) * (G$1016:G$1039) ) * SUM(EF[N2O] * (EF[SATIM Code]= $D1355) )</f>
        <v>0</v>
      </c>
      <c r="H1355" s="1381">
        <f t="array" ref="H1355">SUM( ($E$1016:$E$1039=$E$1107)* ($A$1016:$A$1039=$A1355) * ($D$1016:$D$1039= $D1355) * (H$1016:H$1039) ) * SUM(EF[N2O] * (EF[SATIM Code]= $D1355) )</f>
        <v>0</v>
      </c>
      <c r="I1355" s="1381">
        <f t="array" ref="I1355">SUM( ($E$1016:$E$1039=$E$1107)* ($A$1016:$A$1039=$A1355) * ($D$1016:$D$1039= $D1355) * (I$1016:I$1039) ) * SUM(EF[N2O] * (EF[SATIM Code]= $D1355) )</f>
        <v>0</v>
      </c>
      <c r="J1355" s="1381">
        <f t="array" ref="J1355">SUM( ($E$1016:$E$1039=$E$1107)* ($A$1016:$A$1039=$A1355) * ($D$1016:$D$1039= $D1355) * (J$1016:J$1039) ) * SUM(EF[N2O] * (EF[SATIM Code]= $D1355) )</f>
        <v>0</v>
      </c>
      <c r="K1355" s="1381">
        <f t="array" ref="K1355">SUM( ($E$1016:$E$1039=$E$1107)* ($A$1016:$A$1039=$A1355) * ($D$1016:$D$1039= $D1355) * (K$1016:K$1039) ) * SUM(EF[N2O] * (EF[SATIM Code]= $D1355) )</f>
        <v>0</v>
      </c>
      <c r="L1355" s="1381">
        <f t="array" ref="L1355">SUM( ($E$1016:$E$1039=$E$1107)* ($A$1016:$A$1039=$A1355) * ($D$1016:$D$1039= $D1355) * (L$1016:L$1039) ) * SUM(EF[N2O] * (EF[SATIM Code]= $D1355) )</f>
        <v>0</v>
      </c>
      <c r="M1355" s="1381">
        <f t="array" ref="M1355">SUM( ($E$1016:$E$1039=$E$1107)* ($A$1016:$A$1039=$A1355) * ($D$1016:$D$1039= $D1355) * (M$1016:M$1039) ) * SUM(EF[N2O] * (EF[SATIM Code]= $D1355) )</f>
        <v>0</v>
      </c>
      <c r="N1355" s="1381">
        <f t="array" ref="N1355">SUM( ($E$1016:$E$1039=$E$1107)* ($A$1016:$A$1039=$A1355) * ($D$1016:$D$1039= $D1355) * (N$1016:N$1039) ) * SUM(EF[N2O] * (EF[SATIM Code]= $D1355) )</f>
        <v>0</v>
      </c>
      <c r="O1355" s="1381">
        <f t="array" ref="O1355">SUM( ($E$1016:$E$1039=$E$1107)* ($A$1016:$A$1039=$A1355) * ($D$1016:$D$1039= $D1355) * (O$1016:O$1039) ) * SUM(EF[N2O] * (EF[SATIM Code]= $D1355) )</f>
        <v>0</v>
      </c>
      <c r="S1355" s="166"/>
      <c r="T1355" s="166"/>
      <c r="U1355" s="166"/>
      <c r="V1355" s="166"/>
      <c r="W1355" s="166"/>
      <c r="X1355" s="166"/>
      <c r="Y1355" s="166"/>
      <c r="Z1355" s="166"/>
      <c r="AA1355" s="166"/>
      <c r="AB1355" s="166"/>
    </row>
    <row r="1356" spans="1:28" s="19" customFormat="1" hidden="1" outlineLevel="1">
      <c r="A1356" s="19" t="str">
        <f t="shared" si="275"/>
        <v>FB</v>
      </c>
      <c r="B1356" s="1400" t="str">
        <f>INDEX(EF[UK Vector],MATCH(D1356,EF[SATIM Code],0))</f>
        <v>V.09</v>
      </c>
      <c r="C1356" s="1401" t="str">
        <f>INDEX(Vectors[Description], MATCH($B1356, Vectors[Code], 0))</f>
        <v>Dry biomass and waste</v>
      </c>
      <c r="D1356" s="1388" t="s">
        <v>889</v>
      </c>
      <c r="E1356" s="1393"/>
      <c r="F1356" s="1381">
        <f t="array" ref="F1356">SUM( ($E$1016:$E$1039=$E$1107)* ($A$1016:$A$1039=$A1356) * ($D$1016:$D$1039= $D1356) * (F$1016:F$1039) ) * SUM(EF[N2O] * (EF[SATIM Code]= $D1356) )</f>
        <v>0</v>
      </c>
      <c r="G1356" s="1381">
        <f t="array" ref="G1356">SUM( ($E$1016:$E$1039=$E$1107)* ($A$1016:$A$1039=$A1356) * ($D$1016:$D$1039= $D1356) * (G$1016:G$1039) ) * SUM(EF[N2O] * (EF[SATIM Code]= $D1356) )</f>
        <v>0</v>
      </c>
      <c r="H1356" s="1381">
        <f t="array" ref="H1356">SUM( ($E$1016:$E$1039=$E$1107)* ($A$1016:$A$1039=$A1356) * ($D$1016:$D$1039= $D1356) * (H$1016:H$1039) ) * SUM(EF[N2O] * (EF[SATIM Code]= $D1356) )</f>
        <v>0</v>
      </c>
      <c r="I1356" s="1381">
        <f t="array" ref="I1356">SUM( ($E$1016:$E$1039=$E$1107)* ($A$1016:$A$1039=$A1356) * ($D$1016:$D$1039= $D1356) * (I$1016:I$1039) ) * SUM(EF[N2O] * (EF[SATIM Code]= $D1356) )</f>
        <v>0</v>
      </c>
      <c r="J1356" s="1381">
        <f t="array" ref="J1356">SUM( ($E$1016:$E$1039=$E$1107)* ($A$1016:$A$1039=$A1356) * ($D$1016:$D$1039= $D1356) * (J$1016:J$1039) ) * SUM(EF[N2O] * (EF[SATIM Code]= $D1356) )</f>
        <v>0</v>
      </c>
      <c r="K1356" s="1381">
        <f t="array" ref="K1356">SUM( ($E$1016:$E$1039=$E$1107)* ($A$1016:$A$1039=$A1356) * ($D$1016:$D$1039= $D1356) * (K$1016:K$1039) ) * SUM(EF[N2O] * (EF[SATIM Code]= $D1356) )</f>
        <v>0</v>
      </c>
      <c r="L1356" s="1381">
        <f t="array" ref="L1356">SUM( ($E$1016:$E$1039=$E$1107)* ($A$1016:$A$1039=$A1356) * ($D$1016:$D$1039= $D1356) * (L$1016:L$1039) ) * SUM(EF[N2O] * (EF[SATIM Code]= $D1356) )</f>
        <v>0</v>
      </c>
      <c r="M1356" s="1381">
        <f t="array" ref="M1356">SUM( ($E$1016:$E$1039=$E$1107)* ($A$1016:$A$1039=$A1356) * ($D$1016:$D$1039= $D1356) * (M$1016:M$1039) ) * SUM(EF[N2O] * (EF[SATIM Code]= $D1356) )</f>
        <v>0</v>
      </c>
      <c r="N1356" s="1381">
        <f t="array" ref="N1356">SUM( ($E$1016:$E$1039=$E$1107)* ($A$1016:$A$1039=$A1356) * ($D$1016:$D$1039= $D1356) * (N$1016:N$1039) ) * SUM(EF[N2O] * (EF[SATIM Code]= $D1356) )</f>
        <v>0</v>
      </c>
      <c r="O1356" s="1381">
        <f t="array" ref="O1356">SUM( ($E$1016:$E$1039=$E$1107)* ($A$1016:$A$1039=$A1356) * ($D$1016:$D$1039= $D1356) * (O$1016:O$1039) ) * SUM(EF[N2O] * (EF[SATIM Code]= $D1356) )</f>
        <v>0</v>
      </c>
      <c r="S1356" s="166"/>
      <c r="T1356" s="166"/>
      <c r="U1356" s="166"/>
      <c r="V1356" s="166"/>
      <c r="W1356" s="166"/>
      <c r="X1356" s="166"/>
      <c r="Y1356" s="166"/>
      <c r="Z1356" s="166"/>
      <c r="AA1356" s="166"/>
      <c r="AB1356" s="166"/>
    </row>
    <row r="1357" spans="1:28" s="19" customFormat="1" hidden="1" outlineLevel="1">
      <c r="A1357" s="19" t="str">
        <f t="shared" si="275"/>
        <v>FB</v>
      </c>
      <c r="B1357" s="1400" t="str">
        <f>INDEX(EF[UK Vector],MATCH(D1357,EF[SATIM Code],0))</f>
        <v>V.16</v>
      </c>
      <c r="C1357" s="1401" t="str">
        <f>INDEX(Vectors[Description], MATCH($B1357, Vectors[Code], 0))</f>
        <v>Other Waste</v>
      </c>
      <c r="D1357" s="1408" t="s">
        <v>890</v>
      </c>
      <c r="E1357" s="1393"/>
      <c r="F1357" s="1381">
        <f t="array" ref="F1357">SUM( ($E$1016:$E$1039=$E$1107)* ($A$1016:$A$1039=$A1357) * ($D$1016:$D$1039= $D1357) * (F$1016:F$1039) ) * SUM(EF[N2O] * (EF[SATIM Code]= $D1357) )</f>
        <v>0</v>
      </c>
      <c r="G1357" s="1381">
        <f t="array" ref="G1357">SUM( ($E$1016:$E$1039=$E$1107)* ($A$1016:$A$1039=$A1357) * ($D$1016:$D$1039= $D1357) * (G$1016:G$1039) ) * SUM(EF[N2O] * (EF[SATIM Code]= $D1357) )</f>
        <v>0</v>
      </c>
      <c r="H1357" s="1381">
        <f t="array" ref="H1357">SUM( ($E$1016:$E$1039=$E$1107)* ($A$1016:$A$1039=$A1357) * ($D$1016:$D$1039= $D1357) * (H$1016:H$1039) ) * SUM(EF[N2O] * (EF[SATIM Code]= $D1357) )</f>
        <v>0</v>
      </c>
      <c r="I1357" s="1381">
        <f t="array" ref="I1357">SUM( ($E$1016:$E$1039=$E$1107)* ($A$1016:$A$1039=$A1357) * ($D$1016:$D$1039= $D1357) * (I$1016:I$1039) ) * SUM(EF[N2O] * (EF[SATIM Code]= $D1357) )</f>
        <v>0</v>
      </c>
      <c r="J1357" s="1381">
        <f t="array" ref="J1357">SUM( ($E$1016:$E$1039=$E$1107)* ($A$1016:$A$1039=$A1357) * ($D$1016:$D$1039= $D1357) * (J$1016:J$1039) ) * SUM(EF[N2O] * (EF[SATIM Code]= $D1357) )</f>
        <v>0</v>
      </c>
      <c r="K1357" s="1381">
        <f t="array" ref="K1357">SUM( ($E$1016:$E$1039=$E$1107)* ($A$1016:$A$1039=$A1357) * ($D$1016:$D$1039= $D1357) * (K$1016:K$1039) ) * SUM(EF[N2O] * (EF[SATIM Code]= $D1357) )</f>
        <v>0</v>
      </c>
      <c r="L1357" s="1381">
        <f t="array" ref="L1357">SUM( ($E$1016:$E$1039=$E$1107)* ($A$1016:$A$1039=$A1357) * ($D$1016:$D$1039= $D1357) * (L$1016:L$1039) ) * SUM(EF[N2O] * (EF[SATIM Code]= $D1357) )</f>
        <v>0</v>
      </c>
      <c r="M1357" s="1381">
        <f t="array" ref="M1357">SUM( ($E$1016:$E$1039=$E$1107)* ($A$1016:$A$1039=$A1357) * ($D$1016:$D$1039= $D1357) * (M$1016:M$1039) ) * SUM(EF[N2O] * (EF[SATIM Code]= $D1357) )</f>
        <v>0</v>
      </c>
      <c r="N1357" s="1381">
        <f t="array" ref="N1357">SUM( ($E$1016:$E$1039=$E$1107)* ($A$1016:$A$1039=$A1357) * ($D$1016:$D$1039= $D1357) * (N$1016:N$1039) ) * SUM(EF[N2O] * (EF[SATIM Code]= $D1357) )</f>
        <v>0</v>
      </c>
      <c r="O1357" s="1381">
        <f t="array" ref="O1357">SUM( ($E$1016:$E$1039=$E$1107)* ($A$1016:$A$1039=$A1357) * ($D$1016:$D$1039= $D1357) * (O$1016:O$1039) ) * SUM(EF[N2O] * (EF[SATIM Code]= $D1357) )</f>
        <v>0</v>
      </c>
      <c r="S1357" s="166"/>
      <c r="T1357" s="166"/>
      <c r="U1357" s="166"/>
      <c r="V1357" s="166"/>
      <c r="W1357" s="166"/>
      <c r="X1357" s="166"/>
      <c r="Y1357" s="166"/>
      <c r="Z1357" s="166"/>
      <c r="AA1357" s="166"/>
      <c r="AB1357" s="166"/>
    </row>
    <row r="1358" spans="1:28" s="19" customFormat="1" hidden="1" outlineLevel="1">
      <c r="B1358" s="1393"/>
      <c r="C1358" s="1407" t="str">
        <f>D26</f>
        <v>Pulp &amp; Paper Products  -323</v>
      </c>
      <c r="D1358" s="1391"/>
      <c r="E1358" s="1393"/>
      <c r="F1358" s="1381">
        <f t="array" ref="F1358">SUM( ($E$1016:$E$1039=$E$1107)* ($A$1016:$A$1039=$A1358) * ($D$1016:$D$1039= $D1358) * (F$1016:F$1039) ) * SUM(EF[N2O] * (EF[SATIM Code]= $D1358) )</f>
        <v>0</v>
      </c>
      <c r="G1358" s="1381">
        <f t="array" ref="G1358">SUM( ($E$1016:$E$1039=$E$1107)* ($A$1016:$A$1039=$A1358) * ($D$1016:$D$1039= $D1358) * (G$1016:G$1039) ) * SUM(EF[N2O] * (EF[SATIM Code]= $D1358) )</f>
        <v>0</v>
      </c>
      <c r="H1358" s="1381">
        <f t="array" ref="H1358">SUM( ($E$1016:$E$1039=$E$1107)* ($A$1016:$A$1039=$A1358) * ($D$1016:$D$1039= $D1358) * (H$1016:H$1039) ) * SUM(EF[N2O] * (EF[SATIM Code]= $D1358) )</f>
        <v>0</v>
      </c>
      <c r="I1358" s="1381">
        <f t="array" ref="I1358">SUM( ($E$1016:$E$1039=$E$1107)* ($A$1016:$A$1039=$A1358) * ($D$1016:$D$1039= $D1358) * (I$1016:I$1039) ) * SUM(EF[N2O] * (EF[SATIM Code]= $D1358) )</f>
        <v>0</v>
      </c>
      <c r="J1358" s="1381">
        <f t="array" ref="J1358">SUM( ($E$1016:$E$1039=$E$1107)* ($A$1016:$A$1039=$A1358) * ($D$1016:$D$1039= $D1358) * (J$1016:J$1039) ) * SUM(EF[N2O] * (EF[SATIM Code]= $D1358) )</f>
        <v>0</v>
      </c>
      <c r="K1358" s="1381">
        <f t="array" ref="K1358">SUM( ($E$1016:$E$1039=$E$1107)* ($A$1016:$A$1039=$A1358) * ($D$1016:$D$1039= $D1358) * (K$1016:K$1039) ) * SUM(EF[N2O] * (EF[SATIM Code]= $D1358) )</f>
        <v>0</v>
      </c>
      <c r="L1358" s="1381">
        <f t="array" ref="L1358">SUM( ($E$1016:$E$1039=$E$1107)* ($A$1016:$A$1039=$A1358) * ($D$1016:$D$1039= $D1358) * (L$1016:L$1039) ) * SUM(EF[N2O] * (EF[SATIM Code]= $D1358) )</f>
        <v>0</v>
      </c>
      <c r="M1358" s="1381">
        <f t="array" ref="M1358">SUM( ($E$1016:$E$1039=$E$1107)* ($A$1016:$A$1039=$A1358) * ($D$1016:$D$1039= $D1358) * (M$1016:M$1039) ) * SUM(EF[N2O] * (EF[SATIM Code]= $D1358) )</f>
        <v>0</v>
      </c>
      <c r="N1358" s="1381">
        <f t="array" ref="N1358">SUM( ($E$1016:$E$1039=$E$1107)* ($A$1016:$A$1039=$A1358) * ($D$1016:$D$1039= $D1358) * (N$1016:N$1039) ) * SUM(EF[N2O] * (EF[SATIM Code]= $D1358) )</f>
        <v>0</v>
      </c>
      <c r="O1358" s="1381">
        <f t="array" ref="O1358">SUM( ($E$1016:$E$1039=$E$1107)* ($A$1016:$A$1039=$A1358) * ($D$1016:$D$1039= $D1358) * (O$1016:O$1039) ) * SUM(EF[N2O] * (EF[SATIM Code]= $D1358) )</f>
        <v>0</v>
      </c>
      <c r="S1358" s="166"/>
      <c r="T1358" s="166"/>
      <c r="U1358" s="166"/>
      <c r="V1358" s="166"/>
      <c r="W1358" s="166"/>
      <c r="X1358" s="166"/>
      <c r="Y1358" s="166"/>
      <c r="Z1358" s="166"/>
      <c r="AA1358" s="166"/>
      <c r="AB1358" s="166"/>
    </row>
    <row r="1359" spans="1:28" s="19" customFormat="1" hidden="1" outlineLevel="1">
      <c r="A1359" s="1438" t="str">
        <f>INDEX($C$20:$C$27,MATCH($C1358,$D$20:$D$27,0))</f>
        <v>PP</v>
      </c>
      <c r="B1359" s="1400" t="str">
        <f>INDEX(EF[UK Vector],MATCH(D1359,EF[SATIM Code],0))</f>
        <v>V.03</v>
      </c>
      <c r="C1359" s="1401" t="str">
        <f>INDEX(Vectors[Description], MATCH($B1359, Vectors[Code], 0))</f>
        <v>Solid hydrocarbons</v>
      </c>
      <c r="D1359" s="1391" t="s">
        <v>882</v>
      </c>
      <c r="E1359" s="1393"/>
      <c r="F1359" s="1381">
        <f t="array" ref="F1359">SUM( ($E$1016:$E$1039=$E$1107)* ($A$1016:$A$1039=$A1359) * ($D$1016:$D$1039= $D1359) * (F$1016:F$1039) ) * SUM(EF[N2O] * (EF[SATIM Code]= $D1359) )</f>
        <v>0</v>
      </c>
      <c r="G1359" s="1381">
        <f t="array" ref="G1359">SUM( ($E$1016:$E$1039=$E$1107)* ($A$1016:$A$1039=$A1359) * ($D$1016:$D$1039= $D1359) * (G$1016:G$1039) ) * SUM(EF[N2O] * (EF[SATIM Code]= $D1359) )</f>
        <v>0</v>
      </c>
      <c r="H1359" s="1381">
        <f t="array" ref="H1359">SUM( ($E$1016:$E$1039=$E$1107)* ($A$1016:$A$1039=$A1359) * ($D$1016:$D$1039= $D1359) * (H$1016:H$1039) ) * SUM(EF[N2O] * (EF[SATIM Code]= $D1359) )</f>
        <v>0</v>
      </c>
      <c r="I1359" s="1381">
        <f t="array" ref="I1359">SUM( ($E$1016:$E$1039=$E$1107)* ($A$1016:$A$1039=$A1359) * ($D$1016:$D$1039= $D1359) * (I$1016:I$1039) ) * SUM(EF[N2O] * (EF[SATIM Code]= $D1359) )</f>
        <v>0</v>
      </c>
      <c r="J1359" s="1381">
        <f t="array" ref="J1359">SUM( ($E$1016:$E$1039=$E$1107)* ($A$1016:$A$1039=$A1359) * ($D$1016:$D$1039= $D1359) * (J$1016:J$1039) ) * SUM(EF[N2O] * (EF[SATIM Code]= $D1359) )</f>
        <v>0</v>
      </c>
      <c r="K1359" s="1381">
        <f t="array" ref="K1359">SUM( ($E$1016:$E$1039=$E$1107)* ($A$1016:$A$1039=$A1359) * ($D$1016:$D$1039= $D1359) * (K$1016:K$1039) ) * SUM(EF[N2O] * (EF[SATIM Code]= $D1359) )</f>
        <v>0</v>
      </c>
      <c r="L1359" s="1381">
        <f t="array" ref="L1359">SUM( ($E$1016:$E$1039=$E$1107)* ($A$1016:$A$1039=$A1359) * ($D$1016:$D$1039= $D1359) * (L$1016:L$1039) ) * SUM(EF[N2O] * (EF[SATIM Code]= $D1359) )</f>
        <v>0</v>
      </c>
      <c r="M1359" s="1381">
        <f t="array" ref="M1359">SUM( ($E$1016:$E$1039=$E$1107)* ($A$1016:$A$1039=$A1359) * ($D$1016:$D$1039= $D1359) * (M$1016:M$1039) ) * SUM(EF[N2O] * (EF[SATIM Code]= $D1359) )</f>
        <v>0</v>
      </c>
      <c r="N1359" s="1381">
        <f t="array" ref="N1359">SUM( ($E$1016:$E$1039=$E$1107)* ($A$1016:$A$1039=$A1359) * ($D$1016:$D$1039= $D1359) * (N$1016:N$1039) ) * SUM(EF[N2O] * (EF[SATIM Code]= $D1359) )</f>
        <v>0</v>
      </c>
      <c r="O1359" s="1381">
        <f t="array" ref="O1359">SUM( ($E$1016:$E$1039=$E$1107)* ($A$1016:$A$1039=$A1359) * ($D$1016:$D$1039= $D1359) * (O$1016:O$1039) ) * SUM(EF[N2O] * (EF[SATIM Code]= $D1359) )</f>
        <v>0</v>
      </c>
      <c r="S1359" s="166"/>
      <c r="T1359" s="166"/>
      <c r="U1359" s="166"/>
      <c r="V1359" s="166"/>
      <c r="W1359" s="166"/>
      <c r="X1359" s="166"/>
      <c r="Y1359" s="166"/>
      <c r="Z1359" s="166"/>
      <c r="AA1359" s="166"/>
      <c r="AB1359" s="166"/>
    </row>
    <row r="1360" spans="1:28" s="19" customFormat="1" hidden="1" outlineLevel="1">
      <c r="A1360" s="19" t="str">
        <f t="shared" ref="A1360:A1367" si="276">A1359</f>
        <v>PP</v>
      </c>
      <c r="B1360" s="1400" t="str">
        <f>INDEX(EF[UK Vector],MATCH(D1360,EF[SATIM Code],0))</f>
        <v>V.03</v>
      </c>
      <c r="C1360" s="1401" t="str">
        <f>INDEX(Vectors[Description], MATCH($B1360, Vectors[Code], 0))</f>
        <v>Solid hydrocarbons</v>
      </c>
      <c r="D1360" s="1391" t="s">
        <v>883</v>
      </c>
      <c r="E1360" s="1393"/>
      <c r="F1360" s="1381">
        <f t="array" ref="F1360">SUM( ($E$1016:$E$1039=$E$1107)* ($A$1016:$A$1039=$A1360) * ($D$1016:$D$1039= $D1360) * (F$1016:F$1039) ) * SUM(EF[N2O] * (EF[SATIM Code]= $D1360) )</f>
        <v>0</v>
      </c>
      <c r="G1360" s="1381">
        <f t="array" ref="G1360">SUM( ($E$1016:$E$1039=$E$1107)* ($A$1016:$A$1039=$A1360) * ($D$1016:$D$1039= $D1360) * (G$1016:G$1039) ) * SUM(EF[N2O] * (EF[SATIM Code]= $D1360) )</f>
        <v>0</v>
      </c>
      <c r="H1360" s="1381">
        <f t="array" ref="H1360">SUM( ($E$1016:$E$1039=$E$1107)* ($A$1016:$A$1039=$A1360) * ($D$1016:$D$1039= $D1360) * (H$1016:H$1039) ) * SUM(EF[N2O] * (EF[SATIM Code]= $D1360) )</f>
        <v>0</v>
      </c>
      <c r="I1360" s="1381">
        <f t="array" ref="I1360">SUM( ($E$1016:$E$1039=$E$1107)* ($A$1016:$A$1039=$A1360) * ($D$1016:$D$1039= $D1360) * (I$1016:I$1039) ) * SUM(EF[N2O] * (EF[SATIM Code]= $D1360) )</f>
        <v>0</v>
      </c>
      <c r="J1360" s="1381">
        <f t="array" ref="J1360">SUM( ($E$1016:$E$1039=$E$1107)* ($A$1016:$A$1039=$A1360) * ($D$1016:$D$1039= $D1360) * (J$1016:J$1039) ) * SUM(EF[N2O] * (EF[SATIM Code]= $D1360) )</f>
        <v>0</v>
      </c>
      <c r="K1360" s="1381">
        <f t="array" ref="K1360">SUM( ($E$1016:$E$1039=$E$1107)* ($A$1016:$A$1039=$A1360) * ($D$1016:$D$1039= $D1360) * (K$1016:K$1039) ) * SUM(EF[N2O] * (EF[SATIM Code]= $D1360) )</f>
        <v>0</v>
      </c>
      <c r="L1360" s="1381">
        <f t="array" ref="L1360">SUM( ($E$1016:$E$1039=$E$1107)* ($A$1016:$A$1039=$A1360) * ($D$1016:$D$1039= $D1360) * (L$1016:L$1039) ) * SUM(EF[N2O] * (EF[SATIM Code]= $D1360) )</f>
        <v>0</v>
      </c>
      <c r="M1360" s="1381">
        <f t="array" ref="M1360">SUM( ($E$1016:$E$1039=$E$1107)* ($A$1016:$A$1039=$A1360) * ($D$1016:$D$1039= $D1360) * (M$1016:M$1039) ) * SUM(EF[N2O] * (EF[SATIM Code]= $D1360) )</f>
        <v>0</v>
      </c>
      <c r="N1360" s="1381">
        <f t="array" ref="N1360">SUM( ($E$1016:$E$1039=$E$1107)* ($A$1016:$A$1039=$A1360) * ($D$1016:$D$1039= $D1360) * (N$1016:N$1039) ) * SUM(EF[N2O] * (EF[SATIM Code]= $D1360) )</f>
        <v>0</v>
      </c>
      <c r="O1360" s="1381">
        <f t="array" ref="O1360">SUM( ($E$1016:$E$1039=$E$1107)* ($A$1016:$A$1039=$A1360) * ($D$1016:$D$1039= $D1360) * (O$1016:O$1039) ) * SUM(EF[N2O] * (EF[SATIM Code]= $D1360) )</f>
        <v>0</v>
      </c>
      <c r="S1360" s="166"/>
      <c r="T1360" s="166"/>
      <c r="U1360" s="166"/>
      <c r="V1360" s="166"/>
      <c r="W1360" s="166"/>
      <c r="X1360" s="166"/>
      <c r="Y1360" s="166"/>
      <c r="Z1360" s="166"/>
      <c r="AA1360" s="166"/>
      <c r="AB1360" s="166"/>
    </row>
    <row r="1361" spans="1:28" s="19" customFormat="1" hidden="1" outlineLevel="1">
      <c r="A1361" s="19" t="str">
        <f t="shared" si="276"/>
        <v>PP</v>
      </c>
      <c r="B1361" s="1400" t="str">
        <f>INDEX(EF[UK Vector],MATCH(D1361,EF[SATIM Code],0))</f>
        <v>V.05</v>
      </c>
      <c r="C1361" s="1401" t="str">
        <f>INDEX(Vectors[Description], MATCH($B1361, Vectors[Code], 0))</f>
        <v>Gaseous hydrocarbons</v>
      </c>
      <c r="D1361" s="1406" t="s">
        <v>869</v>
      </c>
      <c r="E1361" s="1393"/>
      <c r="F1361" s="1381">
        <f t="array" ref="F1361">SUM( ($E$1016:$E$1039=$E$1107)* ($A$1016:$A$1039=$A1361) * ($D$1016:$D$1039= $D1361) * (F$1016:F$1039) ) * SUM(EF[N2O] * (EF[SATIM Code]= $D1361) )</f>
        <v>0</v>
      </c>
      <c r="G1361" s="1381">
        <f t="array" ref="G1361">SUM( ($E$1016:$E$1039=$E$1107)* ($A$1016:$A$1039=$A1361) * ($D$1016:$D$1039= $D1361) * (G$1016:G$1039) ) * SUM(EF[N2O] * (EF[SATIM Code]= $D1361) )</f>
        <v>0</v>
      </c>
      <c r="H1361" s="1381">
        <f t="array" ref="H1361">SUM( ($E$1016:$E$1039=$E$1107)* ($A$1016:$A$1039=$A1361) * ($D$1016:$D$1039= $D1361) * (H$1016:H$1039) ) * SUM(EF[N2O] * (EF[SATIM Code]= $D1361) )</f>
        <v>0</v>
      </c>
      <c r="I1361" s="1381">
        <f t="array" ref="I1361">SUM( ($E$1016:$E$1039=$E$1107)* ($A$1016:$A$1039=$A1361) * ($D$1016:$D$1039= $D1361) * (I$1016:I$1039) ) * SUM(EF[N2O] * (EF[SATIM Code]= $D1361) )</f>
        <v>0</v>
      </c>
      <c r="J1361" s="1381">
        <f t="array" ref="J1361">SUM( ($E$1016:$E$1039=$E$1107)* ($A$1016:$A$1039=$A1361) * ($D$1016:$D$1039= $D1361) * (J$1016:J$1039) ) * SUM(EF[N2O] * (EF[SATIM Code]= $D1361) )</f>
        <v>0</v>
      </c>
      <c r="K1361" s="1381">
        <f t="array" ref="K1361">SUM( ($E$1016:$E$1039=$E$1107)* ($A$1016:$A$1039=$A1361) * ($D$1016:$D$1039= $D1361) * (K$1016:K$1039) ) * SUM(EF[N2O] * (EF[SATIM Code]= $D1361) )</f>
        <v>0</v>
      </c>
      <c r="L1361" s="1381">
        <f t="array" ref="L1361">SUM( ($E$1016:$E$1039=$E$1107)* ($A$1016:$A$1039=$A1361) * ($D$1016:$D$1039= $D1361) * (L$1016:L$1039) ) * SUM(EF[N2O] * (EF[SATIM Code]= $D1361) )</f>
        <v>0</v>
      </c>
      <c r="M1361" s="1381">
        <f t="array" ref="M1361">SUM( ($E$1016:$E$1039=$E$1107)* ($A$1016:$A$1039=$A1361) * ($D$1016:$D$1039= $D1361) * (M$1016:M$1039) ) * SUM(EF[N2O] * (EF[SATIM Code]= $D1361) )</f>
        <v>0</v>
      </c>
      <c r="N1361" s="1381">
        <f t="array" ref="N1361">SUM( ($E$1016:$E$1039=$E$1107)* ($A$1016:$A$1039=$A1361) * ($D$1016:$D$1039= $D1361) * (N$1016:N$1039) ) * SUM(EF[N2O] * (EF[SATIM Code]= $D1361) )</f>
        <v>0</v>
      </c>
      <c r="O1361" s="1381">
        <f t="array" ref="O1361">SUM( ($E$1016:$E$1039=$E$1107)* ($A$1016:$A$1039=$A1361) * ($D$1016:$D$1039= $D1361) * (O$1016:O$1039) ) * SUM(EF[N2O] * (EF[SATIM Code]= $D1361) )</f>
        <v>0</v>
      </c>
      <c r="S1361" s="166"/>
      <c r="T1361" s="166"/>
      <c r="U1361" s="166"/>
      <c r="V1361" s="166"/>
      <c r="W1361" s="166"/>
      <c r="X1361" s="166"/>
      <c r="Y1361" s="166"/>
      <c r="Z1361" s="166"/>
      <c r="AA1361" s="166"/>
      <c r="AB1361" s="166"/>
    </row>
    <row r="1362" spans="1:28" s="19" customFormat="1" hidden="1" outlineLevel="1">
      <c r="A1362" s="19" t="str">
        <f t="shared" si="276"/>
        <v>PP</v>
      </c>
      <c r="B1362" s="1400" t="str">
        <f>INDEX(EF[UK Vector],MATCH(D1362,EF[SATIM Code],0))</f>
        <v>V.04</v>
      </c>
      <c r="C1362" s="1401" t="str">
        <f>INDEX(Vectors[Description], MATCH($B1362, Vectors[Code], 0))</f>
        <v>Liquid hydrocarbons</v>
      </c>
      <c r="D1362" s="1406" t="s">
        <v>885</v>
      </c>
      <c r="E1362" s="1393"/>
      <c r="F1362" s="1381">
        <f t="array" ref="F1362">SUM( ($E$1016:$E$1039=$E$1107)* ($A$1016:$A$1039=$A1362) * ($D$1016:$D$1039= $D1362) * (F$1016:F$1039) ) * SUM(EF[N2O] * (EF[SATIM Code]= $D1362) )</f>
        <v>0</v>
      </c>
      <c r="G1362" s="1381">
        <f t="array" ref="G1362">SUM( ($E$1016:$E$1039=$E$1107)* ($A$1016:$A$1039=$A1362) * ($D$1016:$D$1039= $D1362) * (G$1016:G$1039) ) * SUM(EF[N2O] * (EF[SATIM Code]= $D1362) )</f>
        <v>0</v>
      </c>
      <c r="H1362" s="1381">
        <f t="array" ref="H1362">SUM( ($E$1016:$E$1039=$E$1107)* ($A$1016:$A$1039=$A1362) * ($D$1016:$D$1039= $D1362) * (H$1016:H$1039) ) * SUM(EF[N2O] * (EF[SATIM Code]= $D1362) )</f>
        <v>0</v>
      </c>
      <c r="I1362" s="1381">
        <f t="array" ref="I1362">SUM( ($E$1016:$E$1039=$E$1107)* ($A$1016:$A$1039=$A1362) * ($D$1016:$D$1039= $D1362) * (I$1016:I$1039) ) * SUM(EF[N2O] * (EF[SATIM Code]= $D1362) )</f>
        <v>0</v>
      </c>
      <c r="J1362" s="1381">
        <f t="array" ref="J1362">SUM( ($E$1016:$E$1039=$E$1107)* ($A$1016:$A$1039=$A1362) * ($D$1016:$D$1039= $D1362) * (J$1016:J$1039) ) * SUM(EF[N2O] * (EF[SATIM Code]= $D1362) )</f>
        <v>0</v>
      </c>
      <c r="K1362" s="1381">
        <f t="array" ref="K1362">SUM( ($E$1016:$E$1039=$E$1107)* ($A$1016:$A$1039=$A1362) * ($D$1016:$D$1039= $D1362) * (K$1016:K$1039) ) * SUM(EF[N2O] * (EF[SATIM Code]= $D1362) )</f>
        <v>0</v>
      </c>
      <c r="L1362" s="1381">
        <f t="array" ref="L1362">SUM( ($E$1016:$E$1039=$E$1107)* ($A$1016:$A$1039=$A1362) * ($D$1016:$D$1039= $D1362) * (L$1016:L$1039) ) * SUM(EF[N2O] * (EF[SATIM Code]= $D1362) )</f>
        <v>0</v>
      </c>
      <c r="M1362" s="1381">
        <f t="array" ref="M1362">SUM( ($E$1016:$E$1039=$E$1107)* ($A$1016:$A$1039=$A1362) * ($D$1016:$D$1039= $D1362) * (M$1016:M$1039) ) * SUM(EF[N2O] * (EF[SATIM Code]= $D1362) )</f>
        <v>0</v>
      </c>
      <c r="N1362" s="1381">
        <f t="array" ref="N1362">SUM( ($E$1016:$E$1039=$E$1107)* ($A$1016:$A$1039=$A1362) * ($D$1016:$D$1039= $D1362) * (N$1016:N$1039) ) * SUM(EF[N2O] * (EF[SATIM Code]= $D1362) )</f>
        <v>0</v>
      </c>
      <c r="O1362" s="1381">
        <f t="array" ref="O1362">SUM( ($E$1016:$E$1039=$E$1107)* ($A$1016:$A$1039=$A1362) * ($D$1016:$D$1039= $D1362) * (O$1016:O$1039) ) * SUM(EF[N2O] * (EF[SATIM Code]= $D1362) )</f>
        <v>0</v>
      </c>
      <c r="S1362" s="166"/>
      <c r="T1362" s="166"/>
      <c r="U1362" s="166"/>
      <c r="V1362" s="166"/>
      <c r="W1362" s="166"/>
      <c r="X1362" s="166"/>
      <c r="Y1362" s="166"/>
      <c r="Z1362" s="166"/>
      <c r="AA1362" s="166"/>
      <c r="AB1362" s="166"/>
    </row>
    <row r="1363" spans="1:28" s="19" customFormat="1" hidden="1" outlineLevel="1">
      <c r="A1363" s="19" t="str">
        <f t="shared" si="276"/>
        <v>PP</v>
      </c>
      <c r="B1363" s="1400" t="str">
        <f>INDEX(EF[UK Vector],MATCH(D1363,EF[SATIM Code],0))</f>
        <v>V.04</v>
      </c>
      <c r="C1363" s="1401" t="str">
        <f>INDEX(Vectors[Description], MATCH($B1363, Vectors[Code], 0))</f>
        <v>Liquid hydrocarbons</v>
      </c>
      <c r="D1363" s="1391" t="s">
        <v>886</v>
      </c>
      <c r="E1363" s="1393"/>
      <c r="F1363" s="1381">
        <f t="array" ref="F1363">SUM( ($E$1016:$E$1039=$E$1107)* ($A$1016:$A$1039=$A1363) * ($D$1016:$D$1039= $D1363) * (F$1016:F$1039) ) * SUM(EF[N2O] * (EF[SATIM Code]= $D1363) )</f>
        <v>0</v>
      </c>
      <c r="G1363" s="1381">
        <f t="array" ref="G1363">SUM( ($E$1016:$E$1039=$E$1107)* ($A$1016:$A$1039=$A1363) * ($D$1016:$D$1039= $D1363) * (G$1016:G$1039) ) * SUM(EF[N2O] * (EF[SATIM Code]= $D1363) )</f>
        <v>0</v>
      </c>
      <c r="H1363" s="1381">
        <f t="array" ref="H1363">SUM( ($E$1016:$E$1039=$E$1107)* ($A$1016:$A$1039=$A1363) * ($D$1016:$D$1039= $D1363) * (H$1016:H$1039) ) * SUM(EF[N2O] * (EF[SATIM Code]= $D1363) )</f>
        <v>0</v>
      </c>
      <c r="I1363" s="1381">
        <f t="array" ref="I1363">SUM( ($E$1016:$E$1039=$E$1107)* ($A$1016:$A$1039=$A1363) * ($D$1016:$D$1039= $D1363) * (I$1016:I$1039) ) * SUM(EF[N2O] * (EF[SATIM Code]= $D1363) )</f>
        <v>0</v>
      </c>
      <c r="J1363" s="1381">
        <f t="array" ref="J1363">SUM( ($E$1016:$E$1039=$E$1107)* ($A$1016:$A$1039=$A1363) * ($D$1016:$D$1039= $D1363) * (J$1016:J$1039) ) * SUM(EF[N2O] * (EF[SATIM Code]= $D1363) )</f>
        <v>0</v>
      </c>
      <c r="K1363" s="1381">
        <f t="array" ref="K1363">SUM( ($E$1016:$E$1039=$E$1107)* ($A$1016:$A$1039=$A1363) * ($D$1016:$D$1039= $D1363) * (K$1016:K$1039) ) * SUM(EF[N2O] * (EF[SATIM Code]= $D1363) )</f>
        <v>0</v>
      </c>
      <c r="L1363" s="1381">
        <f t="array" ref="L1363">SUM( ($E$1016:$E$1039=$E$1107)* ($A$1016:$A$1039=$A1363) * ($D$1016:$D$1039= $D1363) * (L$1016:L$1039) ) * SUM(EF[N2O] * (EF[SATIM Code]= $D1363) )</f>
        <v>0</v>
      </c>
      <c r="M1363" s="1381">
        <f t="array" ref="M1363">SUM( ($E$1016:$E$1039=$E$1107)* ($A$1016:$A$1039=$A1363) * ($D$1016:$D$1039= $D1363) * (M$1016:M$1039) ) * SUM(EF[N2O] * (EF[SATIM Code]= $D1363) )</f>
        <v>0</v>
      </c>
      <c r="N1363" s="1381">
        <f t="array" ref="N1363">SUM( ($E$1016:$E$1039=$E$1107)* ($A$1016:$A$1039=$A1363) * ($D$1016:$D$1039= $D1363) * (N$1016:N$1039) ) * SUM(EF[N2O] * (EF[SATIM Code]= $D1363) )</f>
        <v>0</v>
      </c>
      <c r="O1363" s="1381">
        <f t="array" ref="O1363">SUM( ($E$1016:$E$1039=$E$1107)* ($A$1016:$A$1039=$A1363) * ($D$1016:$D$1039= $D1363) * (O$1016:O$1039) ) * SUM(EF[N2O] * (EF[SATIM Code]= $D1363) )</f>
        <v>0</v>
      </c>
      <c r="S1363" s="166"/>
      <c r="T1363" s="166"/>
      <c r="U1363" s="166"/>
      <c r="V1363" s="166"/>
      <c r="W1363" s="166"/>
      <c r="X1363" s="166"/>
      <c r="Y1363" s="166"/>
      <c r="Z1363" s="166"/>
      <c r="AA1363" s="166"/>
      <c r="AB1363" s="166"/>
    </row>
    <row r="1364" spans="1:28" s="19" customFormat="1" hidden="1" outlineLevel="1">
      <c r="A1364" s="19" t="str">
        <f t="shared" si="276"/>
        <v>PP</v>
      </c>
      <c r="B1364" s="1400" t="str">
        <f>INDEX(EF[UK Vector],MATCH(D1364,EF[SATIM Code],0))</f>
        <v>V.04</v>
      </c>
      <c r="C1364" s="1401" t="str">
        <f>INDEX(Vectors[Description], MATCH($B1364, Vectors[Code], 0))</f>
        <v>Liquid hydrocarbons</v>
      </c>
      <c r="D1364" s="1406" t="s">
        <v>887</v>
      </c>
      <c r="E1364" s="1393"/>
      <c r="F1364" s="1381">
        <f t="array" ref="F1364">SUM( ($E$1016:$E$1039=$E$1107)* ($A$1016:$A$1039=$A1364) * ($D$1016:$D$1039= $D1364) * (F$1016:F$1039) ) * SUM(EF[N2O] * (EF[SATIM Code]= $D1364) )</f>
        <v>0</v>
      </c>
      <c r="G1364" s="1381">
        <f t="array" ref="G1364">SUM( ($E$1016:$E$1039=$E$1107)* ($A$1016:$A$1039=$A1364) * ($D$1016:$D$1039= $D1364) * (G$1016:G$1039) ) * SUM(EF[N2O] * (EF[SATIM Code]= $D1364) )</f>
        <v>0</v>
      </c>
      <c r="H1364" s="1381">
        <f t="array" ref="H1364">SUM( ($E$1016:$E$1039=$E$1107)* ($A$1016:$A$1039=$A1364) * ($D$1016:$D$1039= $D1364) * (H$1016:H$1039) ) * SUM(EF[N2O] * (EF[SATIM Code]= $D1364) )</f>
        <v>0</v>
      </c>
      <c r="I1364" s="1381">
        <f t="array" ref="I1364">SUM( ($E$1016:$E$1039=$E$1107)* ($A$1016:$A$1039=$A1364) * ($D$1016:$D$1039= $D1364) * (I$1016:I$1039) ) * SUM(EF[N2O] * (EF[SATIM Code]= $D1364) )</f>
        <v>0</v>
      </c>
      <c r="J1364" s="1381">
        <f t="array" ref="J1364">SUM( ($E$1016:$E$1039=$E$1107)* ($A$1016:$A$1039=$A1364) * ($D$1016:$D$1039= $D1364) * (J$1016:J$1039) ) * SUM(EF[N2O] * (EF[SATIM Code]= $D1364) )</f>
        <v>0</v>
      </c>
      <c r="K1364" s="1381">
        <f t="array" ref="K1364">SUM( ($E$1016:$E$1039=$E$1107)* ($A$1016:$A$1039=$A1364) * ($D$1016:$D$1039= $D1364) * (K$1016:K$1039) ) * SUM(EF[N2O] * (EF[SATIM Code]= $D1364) )</f>
        <v>0</v>
      </c>
      <c r="L1364" s="1381">
        <f t="array" ref="L1364">SUM( ($E$1016:$E$1039=$E$1107)* ($A$1016:$A$1039=$A1364) * ($D$1016:$D$1039= $D1364) * (L$1016:L$1039) ) * SUM(EF[N2O] * (EF[SATIM Code]= $D1364) )</f>
        <v>0</v>
      </c>
      <c r="M1364" s="1381">
        <f t="array" ref="M1364">SUM( ($E$1016:$E$1039=$E$1107)* ($A$1016:$A$1039=$A1364) * ($D$1016:$D$1039= $D1364) * (M$1016:M$1039) ) * SUM(EF[N2O] * (EF[SATIM Code]= $D1364) )</f>
        <v>0</v>
      </c>
      <c r="N1364" s="1381">
        <f t="array" ref="N1364">SUM( ($E$1016:$E$1039=$E$1107)* ($A$1016:$A$1039=$A1364) * ($D$1016:$D$1039= $D1364) * (N$1016:N$1039) ) * SUM(EF[N2O] * (EF[SATIM Code]= $D1364) )</f>
        <v>0</v>
      </c>
      <c r="O1364" s="1381">
        <f t="array" ref="O1364">SUM( ($E$1016:$E$1039=$E$1107)* ($A$1016:$A$1039=$A1364) * ($D$1016:$D$1039= $D1364) * (O$1016:O$1039) ) * SUM(EF[N2O] * (EF[SATIM Code]= $D1364) )</f>
        <v>0</v>
      </c>
      <c r="S1364" s="166"/>
      <c r="T1364" s="166"/>
      <c r="U1364" s="166"/>
      <c r="V1364" s="166"/>
      <c r="W1364" s="166"/>
      <c r="X1364" s="166"/>
      <c r="Y1364" s="166"/>
      <c r="Z1364" s="166"/>
      <c r="AA1364" s="166"/>
      <c r="AB1364" s="166"/>
    </row>
    <row r="1365" spans="1:28" s="19" customFormat="1" hidden="1" outlineLevel="1">
      <c r="A1365" s="19" t="str">
        <f t="shared" si="276"/>
        <v>PP</v>
      </c>
      <c r="B1365" s="1400" t="str">
        <f>INDEX(EF[UK Vector],MATCH(D1365,EF[SATIM Code],0))</f>
        <v>V.09</v>
      </c>
      <c r="C1365" s="1401" t="str">
        <f>INDEX(Vectors[Description], MATCH($B1365, Vectors[Code], 0))</f>
        <v>Dry biomass and waste</v>
      </c>
      <c r="D1365" s="1406" t="s">
        <v>888</v>
      </c>
      <c r="E1365" s="1393"/>
      <c r="F1365" s="1381">
        <f t="array" ref="F1365">SUM( ($E$1016:$E$1039=$E$1107)* ($A$1016:$A$1039=$A1365) * ($D$1016:$D$1039= $D1365) * (F$1016:F$1039) ) * SUM(EF[N2O] * (EF[SATIM Code]= $D1365) )</f>
        <v>0</v>
      </c>
      <c r="G1365" s="1381">
        <f t="array" ref="G1365">SUM( ($E$1016:$E$1039=$E$1107)* ($A$1016:$A$1039=$A1365) * ($D$1016:$D$1039= $D1365) * (G$1016:G$1039) ) * SUM(EF[N2O] * (EF[SATIM Code]= $D1365) )</f>
        <v>0</v>
      </c>
      <c r="H1365" s="1381">
        <f t="array" ref="H1365">SUM( ($E$1016:$E$1039=$E$1107)* ($A$1016:$A$1039=$A1365) * ($D$1016:$D$1039= $D1365) * (H$1016:H$1039) ) * SUM(EF[N2O] * (EF[SATIM Code]= $D1365) )</f>
        <v>0</v>
      </c>
      <c r="I1365" s="1381">
        <f t="array" ref="I1365">SUM( ($E$1016:$E$1039=$E$1107)* ($A$1016:$A$1039=$A1365) * ($D$1016:$D$1039= $D1365) * (I$1016:I$1039) ) * SUM(EF[N2O] * (EF[SATIM Code]= $D1365) )</f>
        <v>0</v>
      </c>
      <c r="J1365" s="1381">
        <f t="array" ref="J1365">SUM( ($E$1016:$E$1039=$E$1107)* ($A$1016:$A$1039=$A1365) * ($D$1016:$D$1039= $D1365) * (J$1016:J$1039) ) * SUM(EF[N2O] * (EF[SATIM Code]= $D1365) )</f>
        <v>0</v>
      </c>
      <c r="K1365" s="1381">
        <f t="array" ref="K1365">SUM( ($E$1016:$E$1039=$E$1107)* ($A$1016:$A$1039=$A1365) * ($D$1016:$D$1039= $D1365) * (K$1016:K$1039) ) * SUM(EF[N2O] * (EF[SATIM Code]= $D1365) )</f>
        <v>0</v>
      </c>
      <c r="L1365" s="1381">
        <f t="array" ref="L1365">SUM( ($E$1016:$E$1039=$E$1107)* ($A$1016:$A$1039=$A1365) * ($D$1016:$D$1039= $D1365) * (L$1016:L$1039) ) * SUM(EF[N2O] * (EF[SATIM Code]= $D1365) )</f>
        <v>0</v>
      </c>
      <c r="M1365" s="1381">
        <f t="array" ref="M1365">SUM( ($E$1016:$E$1039=$E$1107)* ($A$1016:$A$1039=$A1365) * ($D$1016:$D$1039= $D1365) * (M$1016:M$1039) ) * SUM(EF[N2O] * (EF[SATIM Code]= $D1365) )</f>
        <v>0</v>
      </c>
      <c r="N1365" s="1381">
        <f t="array" ref="N1365">SUM( ($E$1016:$E$1039=$E$1107)* ($A$1016:$A$1039=$A1365) * ($D$1016:$D$1039= $D1365) * (N$1016:N$1039) ) * SUM(EF[N2O] * (EF[SATIM Code]= $D1365) )</f>
        <v>0</v>
      </c>
      <c r="O1365" s="1381">
        <f t="array" ref="O1365">SUM( ($E$1016:$E$1039=$E$1107)* ($A$1016:$A$1039=$A1365) * ($D$1016:$D$1039= $D1365) * (O$1016:O$1039) ) * SUM(EF[N2O] * (EF[SATIM Code]= $D1365) )</f>
        <v>0</v>
      </c>
      <c r="S1365" s="166"/>
      <c r="T1365" s="166"/>
      <c r="U1365" s="166"/>
      <c r="V1365" s="166"/>
      <c r="W1365" s="166"/>
      <c r="X1365" s="166"/>
      <c r="Y1365" s="166"/>
      <c r="Z1365" s="166"/>
      <c r="AA1365" s="166"/>
      <c r="AB1365" s="166"/>
    </row>
    <row r="1366" spans="1:28" s="19" customFormat="1" hidden="1" outlineLevel="1">
      <c r="A1366" s="19" t="str">
        <f t="shared" si="276"/>
        <v>PP</v>
      </c>
      <c r="B1366" s="1400" t="str">
        <f>INDEX(EF[UK Vector],MATCH(D1366,EF[SATIM Code],0))</f>
        <v>V.09</v>
      </c>
      <c r="C1366" s="1401" t="str">
        <f>INDEX(Vectors[Description], MATCH($B1366, Vectors[Code], 0))</f>
        <v>Dry biomass and waste</v>
      </c>
      <c r="D1366" s="1388" t="s">
        <v>889</v>
      </c>
      <c r="E1366" s="1393"/>
      <c r="F1366" s="1381">
        <f t="array" ref="F1366">SUM( ($E$1016:$E$1039=$E$1107)* ($A$1016:$A$1039=$A1366) * ($D$1016:$D$1039= $D1366) * (F$1016:F$1039) ) * SUM(EF[N2O] * (EF[SATIM Code]= $D1366) )</f>
        <v>0</v>
      </c>
      <c r="G1366" s="1381">
        <f t="array" ref="G1366">SUM( ($E$1016:$E$1039=$E$1107)* ($A$1016:$A$1039=$A1366) * ($D$1016:$D$1039= $D1366) * (G$1016:G$1039) ) * SUM(EF[N2O] * (EF[SATIM Code]= $D1366) )</f>
        <v>0</v>
      </c>
      <c r="H1366" s="1381">
        <f t="array" ref="H1366">SUM( ($E$1016:$E$1039=$E$1107)* ($A$1016:$A$1039=$A1366) * ($D$1016:$D$1039= $D1366) * (H$1016:H$1039) ) * SUM(EF[N2O] * (EF[SATIM Code]= $D1366) )</f>
        <v>0</v>
      </c>
      <c r="I1366" s="1381">
        <f t="array" ref="I1366">SUM( ($E$1016:$E$1039=$E$1107)* ($A$1016:$A$1039=$A1366) * ($D$1016:$D$1039= $D1366) * (I$1016:I$1039) ) * SUM(EF[N2O] * (EF[SATIM Code]= $D1366) )</f>
        <v>0</v>
      </c>
      <c r="J1366" s="1381">
        <f t="array" ref="J1366">SUM( ($E$1016:$E$1039=$E$1107)* ($A$1016:$A$1039=$A1366) * ($D$1016:$D$1039= $D1366) * (J$1016:J$1039) ) * SUM(EF[N2O] * (EF[SATIM Code]= $D1366) )</f>
        <v>0</v>
      </c>
      <c r="K1366" s="1381">
        <f t="array" ref="K1366">SUM( ($E$1016:$E$1039=$E$1107)* ($A$1016:$A$1039=$A1366) * ($D$1016:$D$1039= $D1366) * (K$1016:K$1039) ) * SUM(EF[N2O] * (EF[SATIM Code]= $D1366) )</f>
        <v>0</v>
      </c>
      <c r="L1366" s="1381">
        <f t="array" ref="L1366">SUM( ($E$1016:$E$1039=$E$1107)* ($A$1016:$A$1039=$A1366) * ($D$1016:$D$1039= $D1366) * (L$1016:L$1039) ) * SUM(EF[N2O] * (EF[SATIM Code]= $D1366) )</f>
        <v>0</v>
      </c>
      <c r="M1366" s="1381">
        <f t="array" ref="M1366">SUM( ($E$1016:$E$1039=$E$1107)* ($A$1016:$A$1039=$A1366) * ($D$1016:$D$1039= $D1366) * (M$1016:M$1039) ) * SUM(EF[N2O] * (EF[SATIM Code]= $D1366) )</f>
        <v>0</v>
      </c>
      <c r="N1366" s="1381">
        <f t="array" ref="N1366">SUM( ($E$1016:$E$1039=$E$1107)* ($A$1016:$A$1039=$A1366) * ($D$1016:$D$1039= $D1366) * (N$1016:N$1039) ) * SUM(EF[N2O] * (EF[SATIM Code]= $D1366) )</f>
        <v>0</v>
      </c>
      <c r="O1366" s="1381">
        <f t="array" ref="O1366">SUM( ($E$1016:$E$1039=$E$1107)* ($A$1016:$A$1039=$A1366) * ($D$1016:$D$1039= $D1366) * (O$1016:O$1039) ) * SUM(EF[N2O] * (EF[SATIM Code]= $D1366) )</f>
        <v>0</v>
      </c>
      <c r="S1366" s="166"/>
      <c r="T1366" s="166"/>
      <c r="U1366" s="166"/>
      <c r="V1366" s="166"/>
      <c r="W1366" s="166"/>
      <c r="X1366" s="166"/>
      <c r="Y1366" s="166"/>
      <c r="Z1366" s="166"/>
      <c r="AA1366" s="166"/>
      <c r="AB1366" s="166"/>
    </row>
    <row r="1367" spans="1:28" s="19" customFormat="1" hidden="1" outlineLevel="1">
      <c r="A1367" s="19" t="str">
        <f t="shared" si="276"/>
        <v>PP</v>
      </c>
      <c r="B1367" s="1400" t="str">
        <f>INDEX(EF[UK Vector],MATCH(D1367,EF[SATIM Code],0))</f>
        <v>V.16</v>
      </c>
      <c r="C1367" s="1401" t="str">
        <f>INDEX(Vectors[Description], MATCH($B1367, Vectors[Code], 0))</f>
        <v>Other Waste</v>
      </c>
      <c r="D1367" s="1408" t="s">
        <v>890</v>
      </c>
      <c r="E1367" s="1393"/>
      <c r="F1367" s="1381">
        <f t="array" ref="F1367">SUM( ($E$1016:$E$1039=$E$1107)* ($A$1016:$A$1039=$A1367) * ($D$1016:$D$1039= $D1367) * (F$1016:F$1039) ) * SUM(EF[N2O] * (EF[SATIM Code]= $D1367) )</f>
        <v>0</v>
      </c>
      <c r="G1367" s="1381">
        <f t="array" ref="G1367">SUM( ($E$1016:$E$1039=$E$1107)* ($A$1016:$A$1039=$A1367) * ($D$1016:$D$1039= $D1367) * (G$1016:G$1039) ) * SUM(EF[N2O] * (EF[SATIM Code]= $D1367) )</f>
        <v>0</v>
      </c>
      <c r="H1367" s="1381">
        <f t="array" ref="H1367">SUM( ($E$1016:$E$1039=$E$1107)* ($A$1016:$A$1039=$A1367) * ($D$1016:$D$1039= $D1367) * (H$1016:H$1039) ) * SUM(EF[N2O] * (EF[SATIM Code]= $D1367) )</f>
        <v>0</v>
      </c>
      <c r="I1367" s="1381">
        <f t="array" ref="I1367">SUM( ($E$1016:$E$1039=$E$1107)* ($A$1016:$A$1039=$A1367) * ($D$1016:$D$1039= $D1367) * (I$1016:I$1039) ) * SUM(EF[N2O] * (EF[SATIM Code]= $D1367) )</f>
        <v>0</v>
      </c>
      <c r="J1367" s="1381">
        <f t="array" ref="J1367">SUM( ($E$1016:$E$1039=$E$1107)* ($A$1016:$A$1039=$A1367) * ($D$1016:$D$1039= $D1367) * (J$1016:J$1039) ) * SUM(EF[N2O] * (EF[SATIM Code]= $D1367) )</f>
        <v>0</v>
      </c>
      <c r="K1367" s="1381">
        <f t="array" ref="K1367">SUM( ($E$1016:$E$1039=$E$1107)* ($A$1016:$A$1039=$A1367) * ($D$1016:$D$1039= $D1367) * (K$1016:K$1039) ) * SUM(EF[N2O] * (EF[SATIM Code]= $D1367) )</f>
        <v>0</v>
      </c>
      <c r="L1367" s="1381">
        <f t="array" ref="L1367">SUM( ($E$1016:$E$1039=$E$1107)* ($A$1016:$A$1039=$A1367) * ($D$1016:$D$1039= $D1367) * (L$1016:L$1039) ) * SUM(EF[N2O] * (EF[SATIM Code]= $D1367) )</f>
        <v>0</v>
      </c>
      <c r="M1367" s="1381">
        <f t="array" ref="M1367">SUM( ($E$1016:$E$1039=$E$1107)* ($A$1016:$A$1039=$A1367) * ($D$1016:$D$1039= $D1367) * (M$1016:M$1039) ) * SUM(EF[N2O] * (EF[SATIM Code]= $D1367) )</f>
        <v>0</v>
      </c>
      <c r="N1367" s="1381">
        <f t="array" ref="N1367">SUM( ($E$1016:$E$1039=$E$1107)* ($A$1016:$A$1039=$A1367) * ($D$1016:$D$1039= $D1367) * (N$1016:N$1039) ) * SUM(EF[N2O] * (EF[SATIM Code]= $D1367) )</f>
        <v>0</v>
      </c>
      <c r="O1367" s="1381">
        <f t="array" ref="O1367">SUM( ($E$1016:$E$1039=$E$1107)* ($A$1016:$A$1039=$A1367) * ($D$1016:$D$1039= $D1367) * (O$1016:O$1039) ) * SUM(EF[N2O] * (EF[SATIM Code]= $D1367) )</f>
        <v>0</v>
      </c>
      <c r="S1367" s="166"/>
      <c r="T1367" s="166"/>
      <c r="U1367" s="166"/>
      <c r="V1367" s="166"/>
      <c r="W1367" s="166"/>
      <c r="X1367" s="166"/>
      <c r="Y1367" s="166"/>
      <c r="Z1367" s="166"/>
      <c r="AA1367" s="166"/>
      <c r="AB1367" s="166"/>
    </row>
    <row r="1368" spans="1:28" s="19" customFormat="1" hidden="1" outlineLevel="1">
      <c r="B1368" s="1393"/>
      <c r="C1368" s="1407" t="str">
        <f>D27</f>
        <v>Other</v>
      </c>
      <c r="D1368" s="1391"/>
      <c r="E1368" s="1393"/>
      <c r="F1368" s="1381">
        <f t="array" ref="F1368">SUM( ($E$1016:$E$1039=$E$1107)* ($A$1016:$A$1039=$A1368) * ($D$1016:$D$1039= $D1368) * (F$1016:F$1039) ) * SUM(EF[N2O] * (EF[SATIM Code]= $D1368) )</f>
        <v>0</v>
      </c>
      <c r="G1368" s="1381">
        <f t="array" ref="G1368">SUM( ($E$1016:$E$1039=$E$1107)* ($A$1016:$A$1039=$A1368) * ($D$1016:$D$1039= $D1368) * (G$1016:G$1039) ) * SUM(EF[N2O] * (EF[SATIM Code]= $D1368) )</f>
        <v>0</v>
      </c>
      <c r="H1368" s="1381">
        <f t="array" ref="H1368">SUM( ($E$1016:$E$1039=$E$1107)* ($A$1016:$A$1039=$A1368) * ($D$1016:$D$1039= $D1368) * (H$1016:H$1039) ) * SUM(EF[N2O] * (EF[SATIM Code]= $D1368) )</f>
        <v>0</v>
      </c>
      <c r="I1368" s="1381">
        <f t="array" ref="I1368">SUM( ($E$1016:$E$1039=$E$1107)* ($A$1016:$A$1039=$A1368) * ($D$1016:$D$1039= $D1368) * (I$1016:I$1039) ) * SUM(EF[N2O] * (EF[SATIM Code]= $D1368) )</f>
        <v>0</v>
      </c>
      <c r="J1368" s="1381">
        <f t="array" ref="J1368">SUM( ($E$1016:$E$1039=$E$1107)* ($A$1016:$A$1039=$A1368) * ($D$1016:$D$1039= $D1368) * (J$1016:J$1039) ) * SUM(EF[N2O] * (EF[SATIM Code]= $D1368) )</f>
        <v>0</v>
      </c>
      <c r="K1368" s="1381">
        <f t="array" ref="K1368">SUM( ($E$1016:$E$1039=$E$1107)* ($A$1016:$A$1039=$A1368) * ($D$1016:$D$1039= $D1368) * (K$1016:K$1039) ) * SUM(EF[N2O] * (EF[SATIM Code]= $D1368) )</f>
        <v>0</v>
      </c>
      <c r="L1368" s="1381">
        <f t="array" ref="L1368">SUM( ($E$1016:$E$1039=$E$1107)* ($A$1016:$A$1039=$A1368) * ($D$1016:$D$1039= $D1368) * (L$1016:L$1039) ) * SUM(EF[N2O] * (EF[SATIM Code]= $D1368) )</f>
        <v>0</v>
      </c>
      <c r="M1368" s="1381">
        <f t="array" ref="M1368">SUM( ($E$1016:$E$1039=$E$1107)* ($A$1016:$A$1039=$A1368) * ($D$1016:$D$1039= $D1368) * (M$1016:M$1039) ) * SUM(EF[N2O] * (EF[SATIM Code]= $D1368) )</f>
        <v>0</v>
      </c>
      <c r="N1368" s="1381">
        <f t="array" ref="N1368">SUM( ($E$1016:$E$1039=$E$1107)* ($A$1016:$A$1039=$A1368) * ($D$1016:$D$1039= $D1368) * (N$1016:N$1039) ) * SUM(EF[N2O] * (EF[SATIM Code]= $D1368) )</f>
        <v>0</v>
      </c>
      <c r="O1368" s="1381">
        <f t="array" ref="O1368">SUM( ($E$1016:$E$1039=$E$1107)* ($A$1016:$A$1039=$A1368) * ($D$1016:$D$1039= $D1368) * (O$1016:O$1039) ) * SUM(EF[N2O] * (EF[SATIM Code]= $D1368) )</f>
        <v>0</v>
      </c>
      <c r="S1368" s="166"/>
      <c r="T1368" s="166"/>
      <c r="U1368" s="166"/>
      <c r="V1368" s="166"/>
      <c r="W1368" s="166"/>
      <c r="X1368" s="166"/>
      <c r="Y1368" s="166"/>
      <c r="Z1368" s="166"/>
      <c r="AA1368" s="166"/>
      <c r="AB1368" s="166"/>
    </row>
    <row r="1369" spans="1:28" s="19" customFormat="1" hidden="1" outlineLevel="1">
      <c r="A1369" s="1438" t="str">
        <f>INDEX($C$20:$C$27,MATCH($C1368,$D$20:$D$27,0))</f>
        <v>OT</v>
      </c>
      <c r="B1369" s="1400" t="str">
        <f>INDEX(EF[UK Vector],MATCH(D1369,EF[SATIM Code],0))</f>
        <v>V.03</v>
      </c>
      <c r="C1369" s="1401" t="str">
        <f>INDEX(Vectors[Description], MATCH($B1369, Vectors[Code], 0))</f>
        <v>Solid hydrocarbons</v>
      </c>
      <c r="D1369" s="1391" t="s">
        <v>882</v>
      </c>
      <c r="E1369" s="1393"/>
      <c r="F1369" s="1381">
        <f t="array" ref="F1369">SUM( ($E$1016:$E$1039=$E$1107)* ($A$1016:$A$1039=$A1369) * ($D$1016:$D$1039= $D1369) * (F$1016:F$1039) ) * SUM(EF[N2O] * (EF[SATIM Code]= $D1369) )</f>
        <v>0</v>
      </c>
      <c r="G1369" s="1381">
        <f t="array" ref="G1369">SUM( ($E$1016:$E$1039=$E$1107)* ($A$1016:$A$1039=$A1369) * ($D$1016:$D$1039= $D1369) * (G$1016:G$1039) ) * SUM(EF[N2O] * (EF[SATIM Code]= $D1369) )</f>
        <v>0</v>
      </c>
      <c r="H1369" s="1381">
        <f t="array" ref="H1369">SUM( ($E$1016:$E$1039=$E$1107)* ($A$1016:$A$1039=$A1369) * ($D$1016:$D$1039= $D1369) * (H$1016:H$1039) ) * SUM(EF[N2O] * (EF[SATIM Code]= $D1369) )</f>
        <v>0</v>
      </c>
      <c r="I1369" s="1381">
        <f t="array" ref="I1369">SUM( ($E$1016:$E$1039=$E$1107)* ($A$1016:$A$1039=$A1369) * ($D$1016:$D$1039= $D1369) * (I$1016:I$1039) ) * SUM(EF[N2O] * (EF[SATIM Code]= $D1369) )</f>
        <v>0</v>
      </c>
      <c r="J1369" s="1381">
        <f t="array" ref="J1369">SUM( ($E$1016:$E$1039=$E$1107)* ($A$1016:$A$1039=$A1369) * ($D$1016:$D$1039= $D1369) * (J$1016:J$1039) ) * SUM(EF[N2O] * (EF[SATIM Code]= $D1369) )</f>
        <v>0</v>
      </c>
      <c r="K1369" s="1381">
        <f t="array" ref="K1369">SUM( ($E$1016:$E$1039=$E$1107)* ($A$1016:$A$1039=$A1369) * ($D$1016:$D$1039= $D1369) * (K$1016:K$1039) ) * SUM(EF[N2O] * (EF[SATIM Code]= $D1369) )</f>
        <v>0</v>
      </c>
      <c r="L1369" s="1381">
        <f t="array" ref="L1369">SUM( ($E$1016:$E$1039=$E$1107)* ($A$1016:$A$1039=$A1369) * ($D$1016:$D$1039= $D1369) * (L$1016:L$1039) ) * SUM(EF[N2O] * (EF[SATIM Code]= $D1369) )</f>
        <v>0</v>
      </c>
      <c r="M1369" s="1381">
        <f t="array" ref="M1369">SUM( ($E$1016:$E$1039=$E$1107)* ($A$1016:$A$1039=$A1369) * ($D$1016:$D$1039= $D1369) * (M$1016:M$1039) ) * SUM(EF[N2O] * (EF[SATIM Code]= $D1369) )</f>
        <v>0</v>
      </c>
      <c r="N1369" s="1381">
        <f t="array" ref="N1369">SUM( ($E$1016:$E$1039=$E$1107)* ($A$1016:$A$1039=$A1369) * ($D$1016:$D$1039= $D1369) * (N$1016:N$1039) ) * SUM(EF[N2O] * (EF[SATIM Code]= $D1369) )</f>
        <v>0</v>
      </c>
      <c r="O1369" s="1381">
        <f t="array" ref="O1369">SUM( ($E$1016:$E$1039=$E$1107)* ($A$1016:$A$1039=$A1369) * ($D$1016:$D$1039= $D1369) * (O$1016:O$1039) ) * SUM(EF[N2O] * (EF[SATIM Code]= $D1369) )</f>
        <v>0</v>
      </c>
      <c r="S1369" s="166"/>
      <c r="T1369" s="166"/>
      <c r="U1369" s="166"/>
      <c r="V1369" s="166"/>
      <c r="W1369" s="166"/>
      <c r="X1369" s="166"/>
      <c r="Y1369" s="166"/>
      <c r="Z1369" s="166"/>
      <c r="AA1369" s="166"/>
      <c r="AB1369" s="166"/>
    </row>
    <row r="1370" spans="1:28" s="19" customFormat="1" hidden="1" outlineLevel="1">
      <c r="A1370" s="19" t="str">
        <f t="shared" ref="A1370:A1377" si="277">A1369</f>
        <v>OT</v>
      </c>
      <c r="B1370" s="1400" t="str">
        <f>INDEX(EF[UK Vector],MATCH(D1370,EF[SATIM Code],0))</f>
        <v>V.03</v>
      </c>
      <c r="C1370" s="1401" t="str">
        <f>INDEX(Vectors[Description], MATCH($B1370, Vectors[Code], 0))</f>
        <v>Solid hydrocarbons</v>
      </c>
      <c r="D1370" s="1391" t="s">
        <v>883</v>
      </c>
      <c r="E1370" s="1393"/>
      <c r="F1370" s="1381">
        <f t="array" ref="F1370">SUM( ($E$1016:$E$1039=$E$1107)* ($A$1016:$A$1039=$A1370) * ($D$1016:$D$1039= $D1370) * (F$1016:F$1039) ) * SUM(EF[N2O] * (EF[SATIM Code]= $D1370) )</f>
        <v>0</v>
      </c>
      <c r="G1370" s="1381">
        <f t="array" ref="G1370">SUM( ($E$1016:$E$1039=$E$1107)* ($A$1016:$A$1039=$A1370) * ($D$1016:$D$1039= $D1370) * (G$1016:G$1039) ) * SUM(EF[N2O] * (EF[SATIM Code]= $D1370) )</f>
        <v>0</v>
      </c>
      <c r="H1370" s="1381">
        <f t="array" ref="H1370">SUM( ($E$1016:$E$1039=$E$1107)* ($A$1016:$A$1039=$A1370) * ($D$1016:$D$1039= $D1370) * (H$1016:H$1039) ) * SUM(EF[N2O] * (EF[SATIM Code]= $D1370) )</f>
        <v>0</v>
      </c>
      <c r="I1370" s="1381">
        <f t="array" ref="I1370">SUM( ($E$1016:$E$1039=$E$1107)* ($A$1016:$A$1039=$A1370) * ($D$1016:$D$1039= $D1370) * (I$1016:I$1039) ) * SUM(EF[N2O] * (EF[SATIM Code]= $D1370) )</f>
        <v>0</v>
      </c>
      <c r="J1370" s="1381">
        <f t="array" ref="J1370">SUM( ($E$1016:$E$1039=$E$1107)* ($A$1016:$A$1039=$A1370) * ($D$1016:$D$1039= $D1370) * (J$1016:J$1039) ) * SUM(EF[N2O] * (EF[SATIM Code]= $D1370) )</f>
        <v>0</v>
      </c>
      <c r="K1370" s="1381">
        <f t="array" ref="K1370">SUM( ($E$1016:$E$1039=$E$1107)* ($A$1016:$A$1039=$A1370) * ($D$1016:$D$1039= $D1370) * (K$1016:K$1039) ) * SUM(EF[N2O] * (EF[SATIM Code]= $D1370) )</f>
        <v>0</v>
      </c>
      <c r="L1370" s="1381">
        <f t="array" ref="L1370">SUM( ($E$1016:$E$1039=$E$1107)* ($A$1016:$A$1039=$A1370) * ($D$1016:$D$1039= $D1370) * (L$1016:L$1039) ) * SUM(EF[N2O] * (EF[SATIM Code]= $D1370) )</f>
        <v>0</v>
      </c>
      <c r="M1370" s="1381">
        <f t="array" ref="M1370">SUM( ($E$1016:$E$1039=$E$1107)* ($A$1016:$A$1039=$A1370) * ($D$1016:$D$1039= $D1370) * (M$1016:M$1039) ) * SUM(EF[N2O] * (EF[SATIM Code]= $D1370) )</f>
        <v>0</v>
      </c>
      <c r="N1370" s="1381">
        <f t="array" ref="N1370">SUM( ($E$1016:$E$1039=$E$1107)* ($A$1016:$A$1039=$A1370) * ($D$1016:$D$1039= $D1370) * (N$1016:N$1039) ) * SUM(EF[N2O] * (EF[SATIM Code]= $D1370) )</f>
        <v>0</v>
      </c>
      <c r="O1370" s="1381">
        <f t="array" ref="O1370">SUM( ($E$1016:$E$1039=$E$1107)* ($A$1016:$A$1039=$A1370) * ($D$1016:$D$1039= $D1370) * (O$1016:O$1039) ) * SUM(EF[N2O] * (EF[SATIM Code]= $D1370) )</f>
        <v>0</v>
      </c>
      <c r="S1370" s="166"/>
      <c r="T1370" s="166"/>
      <c r="U1370" s="166"/>
      <c r="V1370" s="166"/>
      <c r="W1370" s="166"/>
      <c r="X1370" s="166"/>
      <c r="Y1370" s="166"/>
      <c r="Z1370" s="166"/>
      <c r="AA1370" s="166"/>
      <c r="AB1370" s="166"/>
    </row>
    <row r="1371" spans="1:28" s="19" customFormat="1" hidden="1" outlineLevel="1">
      <c r="A1371" s="19" t="str">
        <f t="shared" si="277"/>
        <v>OT</v>
      </c>
      <c r="B1371" s="1400" t="str">
        <f>INDEX(EF[UK Vector],MATCH(D1371,EF[SATIM Code],0))</f>
        <v>V.05</v>
      </c>
      <c r="C1371" s="1401" t="str">
        <f>INDEX(Vectors[Description], MATCH($B1371, Vectors[Code], 0))</f>
        <v>Gaseous hydrocarbons</v>
      </c>
      <c r="D1371" s="1406" t="s">
        <v>869</v>
      </c>
      <c r="E1371" s="1393"/>
      <c r="F1371" s="1381">
        <f t="array" ref="F1371">SUM( ($E$1016:$E$1039=$E$1107)* ($A$1016:$A$1039=$A1371) * ($D$1016:$D$1039= $D1371) * (F$1016:F$1039) ) * SUM(EF[N2O] * (EF[SATIM Code]= $D1371) )</f>
        <v>0</v>
      </c>
      <c r="G1371" s="1381">
        <f t="array" ref="G1371">SUM( ($E$1016:$E$1039=$E$1107)* ($A$1016:$A$1039=$A1371) * ($D$1016:$D$1039= $D1371) * (G$1016:G$1039) ) * SUM(EF[N2O] * (EF[SATIM Code]= $D1371) )</f>
        <v>0</v>
      </c>
      <c r="H1371" s="1381">
        <f t="array" ref="H1371">SUM( ($E$1016:$E$1039=$E$1107)* ($A$1016:$A$1039=$A1371) * ($D$1016:$D$1039= $D1371) * (H$1016:H$1039) ) * SUM(EF[N2O] * (EF[SATIM Code]= $D1371) )</f>
        <v>0</v>
      </c>
      <c r="I1371" s="1381">
        <f t="array" ref="I1371">SUM( ($E$1016:$E$1039=$E$1107)* ($A$1016:$A$1039=$A1371) * ($D$1016:$D$1039= $D1371) * (I$1016:I$1039) ) * SUM(EF[N2O] * (EF[SATIM Code]= $D1371) )</f>
        <v>0</v>
      </c>
      <c r="J1371" s="1381">
        <f t="array" ref="J1371">SUM( ($E$1016:$E$1039=$E$1107)* ($A$1016:$A$1039=$A1371) * ($D$1016:$D$1039= $D1371) * (J$1016:J$1039) ) * SUM(EF[N2O] * (EF[SATIM Code]= $D1371) )</f>
        <v>0</v>
      </c>
      <c r="K1371" s="1381">
        <f t="array" ref="K1371">SUM( ($E$1016:$E$1039=$E$1107)* ($A$1016:$A$1039=$A1371) * ($D$1016:$D$1039= $D1371) * (K$1016:K$1039) ) * SUM(EF[N2O] * (EF[SATIM Code]= $D1371) )</f>
        <v>0</v>
      </c>
      <c r="L1371" s="1381">
        <f t="array" ref="L1371">SUM( ($E$1016:$E$1039=$E$1107)* ($A$1016:$A$1039=$A1371) * ($D$1016:$D$1039= $D1371) * (L$1016:L$1039) ) * SUM(EF[N2O] * (EF[SATIM Code]= $D1371) )</f>
        <v>0</v>
      </c>
      <c r="M1371" s="1381">
        <f t="array" ref="M1371">SUM( ($E$1016:$E$1039=$E$1107)* ($A$1016:$A$1039=$A1371) * ($D$1016:$D$1039= $D1371) * (M$1016:M$1039) ) * SUM(EF[N2O] * (EF[SATIM Code]= $D1371) )</f>
        <v>0</v>
      </c>
      <c r="N1371" s="1381">
        <f t="array" ref="N1371">SUM( ($E$1016:$E$1039=$E$1107)* ($A$1016:$A$1039=$A1371) * ($D$1016:$D$1039= $D1371) * (N$1016:N$1039) ) * SUM(EF[N2O] * (EF[SATIM Code]= $D1371) )</f>
        <v>0</v>
      </c>
      <c r="O1371" s="1381">
        <f t="array" ref="O1371">SUM( ($E$1016:$E$1039=$E$1107)* ($A$1016:$A$1039=$A1371) * ($D$1016:$D$1039= $D1371) * (O$1016:O$1039) ) * SUM(EF[N2O] * (EF[SATIM Code]= $D1371) )</f>
        <v>0</v>
      </c>
      <c r="S1371" s="166"/>
      <c r="T1371" s="166"/>
      <c r="U1371" s="166"/>
      <c r="V1371" s="166"/>
      <c r="W1371" s="166"/>
      <c r="X1371" s="166"/>
      <c r="Y1371" s="166"/>
      <c r="Z1371" s="166"/>
      <c r="AA1371" s="166"/>
      <c r="AB1371" s="166"/>
    </row>
    <row r="1372" spans="1:28" s="19" customFormat="1" hidden="1" outlineLevel="1">
      <c r="A1372" s="19" t="str">
        <f t="shared" si="277"/>
        <v>OT</v>
      </c>
      <c r="B1372" s="1400" t="str">
        <f>INDEX(EF[UK Vector],MATCH(D1372,EF[SATIM Code],0))</f>
        <v>V.04</v>
      </c>
      <c r="C1372" s="1401" t="str">
        <f>INDEX(Vectors[Description], MATCH($B1372, Vectors[Code], 0))</f>
        <v>Liquid hydrocarbons</v>
      </c>
      <c r="D1372" s="1406" t="s">
        <v>885</v>
      </c>
      <c r="E1372" s="1393"/>
      <c r="F1372" s="1381">
        <f t="array" ref="F1372">SUM( ($E$1016:$E$1039=$E$1107)* ($A$1016:$A$1039=$A1372) * ($D$1016:$D$1039= $D1372) * (F$1016:F$1039) ) * SUM(EF[N2O] * (EF[SATIM Code]= $D1372) )</f>
        <v>0</v>
      </c>
      <c r="G1372" s="1381">
        <f t="array" ref="G1372">SUM( ($E$1016:$E$1039=$E$1107)* ($A$1016:$A$1039=$A1372) * ($D$1016:$D$1039= $D1372) * (G$1016:G$1039) ) * SUM(EF[N2O] * (EF[SATIM Code]= $D1372) )</f>
        <v>0</v>
      </c>
      <c r="H1372" s="1381">
        <f t="array" ref="H1372">SUM( ($E$1016:$E$1039=$E$1107)* ($A$1016:$A$1039=$A1372) * ($D$1016:$D$1039= $D1372) * (H$1016:H$1039) ) * SUM(EF[N2O] * (EF[SATIM Code]= $D1372) )</f>
        <v>0</v>
      </c>
      <c r="I1372" s="1381">
        <f t="array" ref="I1372">SUM( ($E$1016:$E$1039=$E$1107)* ($A$1016:$A$1039=$A1372) * ($D$1016:$D$1039= $D1372) * (I$1016:I$1039) ) * SUM(EF[N2O] * (EF[SATIM Code]= $D1372) )</f>
        <v>0</v>
      </c>
      <c r="J1372" s="1381">
        <f t="array" ref="J1372">SUM( ($E$1016:$E$1039=$E$1107)* ($A$1016:$A$1039=$A1372) * ($D$1016:$D$1039= $D1372) * (J$1016:J$1039) ) * SUM(EF[N2O] * (EF[SATIM Code]= $D1372) )</f>
        <v>0</v>
      </c>
      <c r="K1372" s="1381">
        <f t="array" ref="K1372">SUM( ($E$1016:$E$1039=$E$1107)* ($A$1016:$A$1039=$A1372) * ($D$1016:$D$1039= $D1372) * (K$1016:K$1039) ) * SUM(EF[N2O] * (EF[SATIM Code]= $D1372) )</f>
        <v>0</v>
      </c>
      <c r="L1372" s="1381">
        <f t="array" ref="L1372">SUM( ($E$1016:$E$1039=$E$1107)* ($A$1016:$A$1039=$A1372) * ($D$1016:$D$1039= $D1372) * (L$1016:L$1039) ) * SUM(EF[N2O] * (EF[SATIM Code]= $D1372) )</f>
        <v>0</v>
      </c>
      <c r="M1372" s="1381">
        <f t="array" ref="M1372">SUM( ($E$1016:$E$1039=$E$1107)* ($A$1016:$A$1039=$A1372) * ($D$1016:$D$1039= $D1372) * (M$1016:M$1039) ) * SUM(EF[N2O] * (EF[SATIM Code]= $D1372) )</f>
        <v>0</v>
      </c>
      <c r="N1372" s="1381">
        <f t="array" ref="N1372">SUM( ($E$1016:$E$1039=$E$1107)* ($A$1016:$A$1039=$A1372) * ($D$1016:$D$1039= $D1372) * (N$1016:N$1039) ) * SUM(EF[N2O] * (EF[SATIM Code]= $D1372) )</f>
        <v>0</v>
      </c>
      <c r="O1372" s="1381">
        <f t="array" ref="O1372">SUM( ($E$1016:$E$1039=$E$1107)* ($A$1016:$A$1039=$A1372) * ($D$1016:$D$1039= $D1372) * (O$1016:O$1039) ) * SUM(EF[N2O] * (EF[SATIM Code]= $D1372) )</f>
        <v>0</v>
      </c>
      <c r="S1372" s="166"/>
      <c r="T1372" s="166"/>
      <c r="U1372" s="166"/>
      <c r="V1372" s="166"/>
      <c r="W1372" s="166"/>
      <c r="X1372" s="166"/>
      <c r="Y1372" s="166"/>
      <c r="Z1372" s="166"/>
      <c r="AA1372" s="166"/>
      <c r="AB1372" s="166"/>
    </row>
    <row r="1373" spans="1:28" s="19" customFormat="1" hidden="1" outlineLevel="1">
      <c r="A1373" s="19" t="str">
        <f t="shared" si="277"/>
        <v>OT</v>
      </c>
      <c r="B1373" s="1400" t="str">
        <f>INDEX(EF[UK Vector],MATCH(D1373,EF[SATIM Code],0))</f>
        <v>V.04</v>
      </c>
      <c r="C1373" s="1401" t="str">
        <f>INDEX(Vectors[Description], MATCH($B1373, Vectors[Code], 0))</f>
        <v>Liquid hydrocarbons</v>
      </c>
      <c r="D1373" s="1391" t="s">
        <v>886</v>
      </c>
      <c r="E1373" s="1393"/>
      <c r="F1373" s="1381">
        <f t="array" ref="F1373">SUM( ($E$1016:$E$1039=$E$1107)* ($A$1016:$A$1039=$A1373) * ($D$1016:$D$1039= $D1373) * (F$1016:F$1039) ) * SUM(EF[N2O] * (EF[SATIM Code]= $D1373) )</f>
        <v>0</v>
      </c>
      <c r="G1373" s="1381">
        <f t="array" ref="G1373">SUM( ($E$1016:$E$1039=$E$1107)* ($A$1016:$A$1039=$A1373) * ($D$1016:$D$1039= $D1373) * (G$1016:G$1039) ) * SUM(EF[N2O] * (EF[SATIM Code]= $D1373) )</f>
        <v>0</v>
      </c>
      <c r="H1373" s="1381">
        <f t="array" ref="H1373">SUM( ($E$1016:$E$1039=$E$1107)* ($A$1016:$A$1039=$A1373) * ($D$1016:$D$1039= $D1373) * (H$1016:H$1039) ) * SUM(EF[N2O] * (EF[SATIM Code]= $D1373) )</f>
        <v>0</v>
      </c>
      <c r="I1373" s="1381">
        <f t="array" ref="I1373">SUM( ($E$1016:$E$1039=$E$1107)* ($A$1016:$A$1039=$A1373) * ($D$1016:$D$1039= $D1373) * (I$1016:I$1039) ) * SUM(EF[N2O] * (EF[SATIM Code]= $D1373) )</f>
        <v>0</v>
      </c>
      <c r="J1373" s="1381">
        <f t="array" ref="J1373">SUM( ($E$1016:$E$1039=$E$1107)* ($A$1016:$A$1039=$A1373) * ($D$1016:$D$1039= $D1373) * (J$1016:J$1039) ) * SUM(EF[N2O] * (EF[SATIM Code]= $D1373) )</f>
        <v>0</v>
      </c>
      <c r="K1373" s="1381">
        <f t="array" ref="K1373">SUM( ($E$1016:$E$1039=$E$1107)* ($A$1016:$A$1039=$A1373) * ($D$1016:$D$1039= $D1373) * (K$1016:K$1039) ) * SUM(EF[N2O] * (EF[SATIM Code]= $D1373) )</f>
        <v>0</v>
      </c>
      <c r="L1373" s="1381">
        <f t="array" ref="L1373">SUM( ($E$1016:$E$1039=$E$1107)* ($A$1016:$A$1039=$A1373) * ($D$1016:$D$1039= $D1373) * (L$1016:L$1039) ) * SUM(EF[N2O] * (EF[SATIM Code]= $D1373) )</f>
        <v>0</v>
      </c>
      <c r="M1373" s="1381">
        <f t="array" ref="M1373">SUM( ($E$1016:$E$1039=$E$1107)* ($A$1016:$A$1039=$A1373) * ($D$1016:$D$1039= $D1373) * (M$1016:M$1039) ) * SUM(EF[N2O] * (EF[SATIM Code]= $D1373) )</f>
        <v>0</v>
      </c>
      <c r="N1373" s="1381">
        <f t="array" ref="N1373">SUM( ($E$1016:$E$1039=$E$1107)* ($A$1016:$A$1039=$A1373) * ($D$1016:$D$1039= $D1373) * (N$1016:N$1039) ) * SUM(EF[N2O] * (EF[SATIM Code]= $D1373) )</f>
        <v>0</v>
      </c>
      <c r="O1373" s="1381">
        <f t="array" ref="O1373">SUM( ($E$1016:$E$1039=$E$1107)* ($A$1016:$A$1039=$A1373) * ($D$1016:$D$1039= $D1373) * (O$1016:O$1039) ) * SUM(EF[N2O] * (EF[SATIM Code]= $D1373) )</f>
        <v>0</v>
      </c>
      <c r="S1373" s="166"/>
      <c r="T1373" s="166"/>
      <c r="U1373" s="166"/>
      <c r="V1373" s="166"/>
      <c r="W1373" s="166"/>
      <c r="X1373" s="166"/>
      <c r="Y1373" s="166"/>
      <c r="Z1373" s="166"/>
      <c r="AA1373" s="166"/>
      <c r="AB1373" s="166"/>
    </row>
    <row r="1374" spans="1:28" s="19" customFormat="1" hidden="1" outlineLevel="1">
      <c r="A1374" s="19" t="str">
        <f t="shared" si="277"/>
        <v>OT</v>
      </c>
      <c r="B1374" s="1400" t="str">
        <f>INDEX(EF[UK Vector],MATCH(D1374,EF[SATIM Code],0))</f>
        <v>V.04</v>
      </c>
      <c r="C1374" s="1401" t="str">
        <f>INDEX(Vectors[Description], MATCH($B1374, Vectors[Code], 0))</f>
        <v>Liquid hydrocarbons</v>
      </c>
      <c r="D1374" s="1406" t="s">
        <v>887</v>
      </c>
      <c r="E1374" s="1393"/>
      <c r="F1374" s="1381">
        <f t="array" ref="F1374">SUM( ($E$1016:$E$1039=$E$1107)* ($A$1016:$A$1039=$A1374) * ($D$1016:$D$1039= $D1374) * (F$1016:F$1039) ) * SUM(EF[N2O] * (EF[SATIM Code]= $D1374) )</f>
        <v>0</v>
      </c>
      <c r="G1374" s="1381">
        <f t="array" ref="G1374">SUM( ($E$1016:$E$1039=$E$1107)* ($A$1016:$A$1039=$A1374) * ($D$1016:$D$1039= $D1374) * (G$1016:G$1039) ) * SUM(EF[N2O] * (EF[SATIM Code]= $D1374) )</f>
        <v>0</v>
      </c>
      <c r="H1374" s="1381">
        <f t="array" ref="H1374">SUM( ($E$1016:$E$1039=$E$1107)* ($A$1016:$A$1039=$A1374) * ($D$1016:$D$1039= $D1374) * (H$1016:H$1039) ) * SUM(EF[N2O] * (EF[SATIM Code]= $D1374) )</f>
        <v>0</v>
      </c>
      <c r="I1374" s="1381">
        <f t="array" ref="I1374">SUM( ($E$1016:$E$1039=$E$1107)* ($A$1016:$A$1039=$A1374) * ($D$1016:$D$1039= $D1374) * (I$1016:I$1039) ) * SUM(EF[N2O] * (EF[SATIM Code]= $D1374) )</f>
        <v>0</v>
      </c>
      <c r="J1374" s="1381">
        <f t="array" ref="J1374">SUM( ($E$1016:$E$1039=$E$1107)* ($A$1016:$A$1039=$A1374) * ($D$1016:$D$1039= $D1374) * (J$1016:J$1039) ) * SUM(EF[N2O] * (EF[SATIM Code]= $D1374) )</f>
        <v>0</v>
      </c>
      <c r="K1374" s="1381">
        <f t="array" ref="K1374">SUM( ($E$1016:$E$1039=$E$1107)* ($A$1016:$A$1039=$A1374) * ($D$1016:$D$1039= $D1374) * (K$1016:K$1039) ) * SUM(EF[N2O] * (EF[SATIM Code]= $D1374) )</f>
        <v>0</v>
      </c>
      <c r="L1374" s="1381">
        <f t="array" ref="L1374">SUM( ($E$1016:$E$1039=$E$1107)* ($A$1016:$A$1039=$A1374) * ($D$1016:$D$1039= $D1374) * (L$1016:L$1039) ) * SUM(EF[N2O] * (EF[SATIM Code]= $D1374) )</f>
        <v>0</v>
      </c>
      <c r="M1374" s="1381">
        <f t="array" ref="M1374">SUM( ($E$1016:$E$1039=$E$1107)* ($A$1016:$A$1039=$A1374) * ($D$1016:$D$1039= $D1374) * (M$1016:M$1039) ) * SUM(EF[N2O] * (EF[SATIM Code]= $D1374) )</f>
        <v>0</v>
      </c>
      <c r="N1374" s="1381">
        <f t="array" ref="N1374">SUM( ($E$1016:$E$1039=$E$1107)* ($A$1016:$A$1039=$A1374) * ($D$1016:$D$1039= $D1374) * (N$1016:N$1039) ) * SUM(EF[N2O] * (EF[SATIM Code]= $D1374) )</f>
        <v>0</v>
      </c>
      <c r="O1374" s="1381">
        <f t="array" ref="O1374">SUM( ($E$1016:$E$1039=$E$1107)* ($A$1016:$A$1039=$A1374) * ($D$1016:$D$1039= $D1374) * (O$1016:O$1039) ) * SUM(EF[N2O] * (EF[SATIM Code]= $D1374) )</f>
        <v>0</v>
      </c>
      <c r="S1374" s="166"/>
      <c r="T1374" s="166"/>
      <c r="U1374" s="166"/>
      <c r="V1374" s="166"/>
      <c r="W1374" s="166"/>
      <c r="X1374" s="166"/>
      <c r="Y1374" s="166"/>
      <c r="Z1374" s="166"/>
      <c r="AA1374" s="166"/>
      <c r="AB1374" s="166"/>
    </row>
    <row r="1375" spans="1:28" s="19" customFormat="1" hidden="1" outlineLevel="1">
      <c r="A1375" s="19" t="str">
        <f t="shared" si="277"/>
        <v>OT</v>
      </c>
      <c r="B1375" s="1400" t="str">
        <f>INDEX(EF[UK Vector],MATCH(D1375,EF[SATIM Code],0))</f>
        <v>V.09</v>
      </c>
      <c r="C1375" s="1401" t="str">
        <f>INDEX(Vectors[Description], MATCH($B1375, Vectors[Code], 0))</f>
        <v>Dry biomass and waste</v>
      </c>
      <c r="D1375" s="1406" t="s">
        <v>888</v>
      </c>
      <c r="E1375" s="1393"/>
      <c r="F1375" s="1381">
        <f t="array" ref="F1375">SUM( ($E$1016:$E$1039=$E$1107)* ($A$1016:$A$1039=$A1375) * ($D$1016:$D$1039= $D1375) * (F$1016:F$1039) ) * SUM(EF[N2O] * (EF[SATIM Code]= $D1375) )</f>
        <v>0</v>
      </c>
      <c r="G1375" s="1381">
        <f t="array" ref="G1375">SUM( ($E$1016:$E$1039=$E$1107)* ($A$1016:$A$1039=$A1375) * ($D$1016:$D$1039= $D1375) * (G$1016:G$1039) ) * SUM(EF[N2O] * (EF[SATIM Code]= $D1375) )</f>
        <v>0</v>
      </c>
      <c r="H1375" s="1381">
        <f t="array" ref="H1375">SUM( ($E$1016:$E$1039=$E$1107)* ($A$1016:$A$1039=$A1375) * ($D$1016:$D$1039= $D1375) * (H$1016:H$1039) ) * SUM(EF[N2O] * (EF[SATIM Code]= $D1375) )</f>
        <v>0</v>
      </c>
      <c r="I1375" s="1381">
        <f t="array" ref="I1375">SUM( ($E$1016:$E$1039=$E$1107)* ($A$1016:$A$1039=$A1375) * ($D$1016:$D$1039= $D1375) * (I$1016:I$1039) ) * SUM(EF[N2O] * (EF[SATIM Code]= $D1375) )</f>
        <v>0</v>
      </c>
      <c r="J1375" s="1381">
        <f t="array" ref="J1375">SUM( ($E$1016:$E$1039=$E$1107)* ($A$1016:$A$1039=$A1375) * ($D$1016:$D$1039= $D1375) * (J$1016:J$1039) ) * SUM(EF[N2O] * (EF[SATIM Code]= $D1375) )</f>
        <v>0</v>
      </c>
      <c r="K1375" s="1381">
        <f t="array" ref="K1375">SUM( ($E$1016:$E$1039=$E$1107)* ($A$1016:$A$1039=$A1375) * ($D$1016:$D$1039= $D1375) * (K$1016:K$1039) ) * SUM(EF[N2O] * (EF[SATIM Code]= $D1375) )</f>
        <v>0</v>
      </c>
      <c r="L1375" s="1381">
        <f t="array" ref="L1375">SUM( ($E$1016:$E$1039=$E$1107)* ($A$1016:$A$1039=$A1375) * ($D$1016:$D$1039= $D1375) * (L$1016:L$1039) ) * SUM(EF[N2O] * (EF[SATIM Code]= $D1375) )</f>
        <v>0</v>
      </c>
      <c r="M1375" s="1381">
        <f t="array" ref="M1375">SUM( ($E$1016:$E$1039=$E$1107)* ($A$1016:$A$1039=$A1375) * ($D$1016:$D$1039= $D1375) * (M$1016:M$1039) ) * SUM(EF[N2O] * (EF[SATIM Code]= $D1375) )</f>
        <v>0</v>
      </c>
      <c r="N1375" s="1381">
        <f t="array" ref="N1375">SUM( ($E$1016:$E$1039=$E$1107)* ($A$1016:$A$1039=$A1375) * ($D$1016:$D$1039= $D1375) * (N$1016:N$1039) ) * SUM(EF[N2O] * (EF[SATIM Code]= $D1375) )</f>
        <v>0</v>
      </c>
      <c r="O1375" s="1381">
        <f t="array" ref="O1375">SUM( ($E$1016:$E$1039=$E$1107)* ($A$1016:$A$1039=$A1375) * ($D$1016:$D$1039= $D1375) * (O$1016:O$1039) ) * SUM(EF[N2O] * (EF[SATIM Code]= $D1375) )</f>
        <v>0</v>
      </c>
      <c r="S1375" s="166"/>
      <c r="T1375" s="166"/>
      <c r="U1375" s="166"/>
      <c r="V1375" s="166"/>
      <c r="W1375" s="166"/>
      <c r="X1375" s="166"/>
      <c r="Y1375" s="166"/>
      <c r="Z1375" s="166"/>
      <c r="AA1375" s="166"/>
      <c r="AB1375" s="166"/>
    </row>
    <row r="1376" spans="1:28" s="19" customFormat="1" hidden="1" outlineLevel="1">
      <c r="A1376" s="19" t="str">
        <f t="shared" si="277"/>
        <v>OT</v>
      </c>
      <c r="B1376" s="1400" t="str">
        <f>INDEX(EF[UK Vector],MATCH(D1376,EF[SATIM Code],0))</f>
        <v>V.09</v>
      </c>
      <c r="C1376" s="1401" t="str">
        <f>INDEX(Vectors[Description], MATCH($B1376, Vectors[Code], 0))</f>
        <v>Dry biomass and waste</v>
      </c>
      <c r="D1376" s="1388" t="s">
        <v>889</v>
      </c>
      <c r="E1376" s="1393"/>
      <c r="F1376" s="1381">
        <f t="array" ref="F1376">SUM( ($E$1016:$E$1039=$E$1107)* ($A$1016:$A$1039=$A1376) * ($D$1016:$D$1039= $D1376) * (F$1016:F$1039) ) * SUM(EF[N2O] * (EF[SATIM Code]= $D1376) )</f>
        <v>0</v>
      </c>
      <c r="G1376" s="1381">
        <f t="array" ref="G1376">SUM( ($E$1016:$E$1039=$E$1107)* ($A$1016:$A$1039=$A1376) * ($D$1016:$D$1039= $D1376) * (G$1016:G$1039) ) * SUM(EF[N2O] * (EF[SATIM Code]= $D1376) )</f>
        <v>0</v>
      </c>
      <c r="H1376" s="1381">
        <f t="array" ref="H1376">SUM( ($E$1016:$E$1039=$E$1107)* ($A$1016:$A$1039=$A1376) * ($D$1016:$D$1039= $D1376) * (H$1016:H$1039) ) * SUM(EF[N2O] * (EF[SATIM Code]= $D1376) )</f>
        <v>0</v>
      </c>
      <c r="I1376" s="1381">
        <f t="array" ref="I1376">SUM( ($E$1016:$E$1039=$E$1107)* ($A$1016:$A$1039=$A1376) * ($D$1016:$D$1039= $D1376) * (I$1016:I$1039) ) * SUM(EF[N2O] * (EF[SATIM Code]= $D1376) )</f>
        <v>0</v>
      </c>
      <c r="J1376" s="1381">
        <f t="array" ref="J1376">SUM( ($E$1016:$E$1039=$E$1107)* ($A$1016:$A$1039=$A1376) * ($D$1016:$D$1039= $D1376) * (J$1016:J$1039) ) * SUM(EF[N2O] * (EF[SATIM Code]= $D1376) )</f>
        <v>0</v>
      </c>
      <c r="K1376" s="1381">
        <f t="array" ref="K1376">SUM( ($E$1016:$E$1039=$E$1107)* ($A$1016:$A$1039=$A1376) * ($D$1016:$D$1039= $D1376) * (K$1016:K$1039) ) * SUM(EF[N2O] * (EF[SATIM Code]= $D1376) )</f>
        <v>0</v>
      </c>
      <c r="L1376" s="1381">
        <f t="array" ref="L1376">SUM( ($E$1016:$E$1039=$E$1107)* ($A$1016:$A$1039=$A1376) * ($D$1016:$D$1039= $D1376) * (L$1016:L$1039) ) * SUM(EF[N2O] * (EF[SATIM Code]= $D1376) )</f>
        <v>0</v>
      </c>
      <c r="M1376" s="1381">
        <f t="array" ref="M1376">SUM( ($E$1016:$E$1039=$E$1107)* ($A$1016:$A$1039=$A1376) * ($D$1016:$D$1039= $D1376) * (M$1016:M$1039) ) * SUM(EF[N2O] * (EF[SATIM Code]= $D1376) )</f>
        <v>0</v>
      </c>
      <c r="N1376" s="1381">
        <f t="array" ref="N1376">SUM( ($E$1016:$E$1039=$E$1107)* ($A$1016:$A$1039=$A1376) * ($D$1016:$D$1039= $D1376) * (N$1016:N$1039) ) * SUM(EF[N2O] * (EF[SATIM Code]= $D1376) )</f>
        <v>0</v>
      </c>
      <c r="O1376" s="1381">
        <f t="array" ref="O1376">SUM( ($E$1016:$E$1039=$E$1107)* ($A$1016:$A$1039=$A1376) * ($D$1016:$D$1039= $D1376) * (O$1016:O$1039) ) * SUM(EF[N2O] * (EF[SATIM Code]= $D1376) )</f>
        <v>0</v>
      </c>
      <c r="S1376" s="166"/>
      <c r="T1376" s="166"/>
      <c r="U1376" s="166"/>
      <c r="V1376" s="166"/>
      <c r="W1376" s="166"/>
      <c r="X1376" s="166"/>
      <c r="Y1376" s="166"/>
      <c r="Z1376" s="166"/>
      <c r="AA1376" s="166"/>
      <c r="AB1376" s="166"/>
    </row>
    <row r="1377" spans="1:28" s="19" customFormat="1" hidden="1" outlineLevel="1">
      <c r="A1377" s="166" t="str">
        <f t="shared" si="277"/>
        <v>OT</v>
      </c>
      <c r="B1377" s="1442" t="str">
        <f>INDEX(EF[UK Vector],MATCH(D1377,EF[SATIM Code],0))</f>
        <v>V.16</v>
      </c>
      <c r="C1377" s="1412" t="str">
        <f>INDEX(Vectors[Description], MATCH($B1377, Vectors[Code], 0))</f>
        <v>Other Waste</v>
      </c>
      <c r="D1377" s="1384" t="s">
        <v>890</v>
      </c>
      <c r="E1377" s="1393"/>
      <c r="F1377" s="1381">
        <f t="array" ref="F1377">SUM( ($E$1016:$E$1039=$E$1107)* ($A$1016:$A$1039=$A1377) * ($D$1016:$D$1039= $D1377) * (F$1016:F$1039) ) * SUM(EF[N2O] * (EF[SATIM Code]= $D1377) )</f>
        <v>0</v>
      </c>
      <c r="G1377" s="1381">
        <f t="array" ref="G1377">SUM( ($E$1016:$E$1039=$E$1107)* ($A$1016:$A$1039=$A1377) * ($D$1016:$D$1039= $D1377) * (G$1016:G$1039) ) * SUM(EF[N2O] * (EF[SATIM Code]= $D1377) )</f>
        <v>0</v>
      </c>
      <c r="H1377" s="1381">
        <f t="array" ref="H1377">SUM( ($E$1016:$E$1039=$E$1107)* ($A$1016:$A$1039=$A1377) * ($D$1016:$D$1039= $D1377) * (H$1016:H$1039) ) * SUM(EF[N2O] * (EF[SATIM Code]= $D1377) )</f>
        <v>0</v>
      </c>
      <c r="I1377" s="1381">
        <f t="array" ref="I1377">SUM( ($E$1016:$E$1039=$E$1107)* ($A$1016:$A$1039=$A1377) * ($D$1016:$D$1039= $D1377) * (I$1016:I$1039) ) * SUM(EF[N2O] * (EF[SATIM Code]= $D1377) )</f>
        <v>0</v>
      </c>
      <c r="J1377" s="1381">
        <f t="array" ref="J1377">SUM( ($E$1016:$E$1039=$E$1107)* ($A$1016:$A$1039=$A1377) * ($D$1016:$D$1039= $D1377) * (J$1016:J$1039) ) * SUM(EF[N2O] * (EF[SATIM Code]= $D1377) )</f>
        <v>0</v>
      </c>
      <c r="K1377" s="1381">
        <f t="array" ref="K1377">SUM( ($E$1016:$E$1039=$E$1107)* ($A$1016:$A$1039=$A1377) * ($D$1016:$D$1039= $D1377) * (K$1016:K$1039) ) * SUM(EF[N2O] * (EF[SATIM Code]= $D1377) )</f>
        <v>0</v>
      </c>
      <c r="L1377" s="1381">
        <f t="array" ref="L1377">SUM( ($E$1016:$E$1039=$E$1107)* ($A$1016:$A$1039=$A1377) * ($D$1016:$D$1039= $D1377) * (L$1016:L$1039) ) * SUM(EF[N2O] * (EF[SATIM Code]= $D1377) )</f>
        <v>0</v>
      </c>
      <c r="M1377" s="1381">
        <f t="array" ref="M1377">SUM( ($E$1016:$E$1039=$E$1107)* ($A$1016:$A$1039=$A1377) * ($D$1016:$D$1039= $D1377) * (M$1016:M$1039) ) * SUM(EF[N2O] * (EF[SATIM Code]= $D1377) )</f>
        <v>0</v>
      </c>
      <c r="N1377" s="1381">
        <f t="array" ref="N1377">SUM( ($E$1016:$E$1039=$E$1107)* ($A$1016:$A$1039=$A1377) * ($D$1016:$D$1039= $D1377) * (N$1016:N$1039) ) * SUM(EF[N2O] * (EF[SATIM Code]= $D1377) )</f>
        <v>0</v>
      </c>
      <c r="O1377" s="1381">
        <f t="array" ref="O1377">SUM( ($E$1016:$E$1039=$E$1107)* ($A$1016:$A$1039=$A1377) * ($D$1016:$D$1039= $D1377) * (O$1016:O$1039) ) * SUM(EF[N2O] * (EF[SATIM Code]= $D1377) )</f>
        <v>0</v>
      </c>
      <c r="S1377" s="166"/>
      <c r="T1377" s="166"/>
      <c r="U1377" s="166"/>
      <c r="V1377" s="166"/>
      <c r="W1377" s="166"/>
      <c r="X1377" s="166"/>
      <c r="Y1377" s="166"/>
      <c r="Z1377" s="166"/>
      <c r="AA1377" s="166"/>
      <c r="AB1377" s="166"/>
    </row>
    <row r="1378" spans="1:28" s="19" customFormat="1" hidden="1" outlineLevel="1">
      <c r="A1378" s="166"/>
      <c r="B1378" s="1442"/>
      <c r="C1378" s="1412"/>
      <c r="D1378" s="1384"/>
      <c r="E1378" s="1393"/>
      <c r="F1378" s="1380"/>
      <c r="G1378" s="1380"/>
      <c r="H1378" s="1380"/>
      <c r="I1378" s="1380"/>
      <c r="J1378" s="1380"/>
      <c r="K1378" s="1380"/>
      <c r="L1378" s="1380"/>
      <c r="M1378" s="1380"/>
      <c r="N1378" s="1380"/>
      <c r="O1378" s="1380"/>
      <c r="S1378" s="166"/>
      <c r="T1378" s="166"/>
      <c r="U1378" s="166"/>
      <c r="V1378" s="166"/>
      <c r="W1378" s="166"/>
      <c r="X1378" s="166"/>
      <c r="Y1378" s="166"/>
      <c r="Z1378" s="166"/>
      <c r="AA1378" s="166"/>
      <c r="AB1378" s="166"/>
    </row>
    <row r="1379" spans="1:28" s="19" customFormat="1" hidden="1" outlineLevel="1">
      <c r="B1379" s="347"/>
      <c r="D1379" s="17"/>
      <c r="E1379" s="76"/>
      <c r="F1379" s="71"/>
      <c r="G1379" s="71"/>
      <c r="H1379" s="71"/>
      <c r="I1379" s="71"/>
      <c r="J1379" s="71"/>
      <c r="K1379" s="71"/>
      <c r="L1379" s="71"/>
      <c r="M1379" s="71"/>
      <c r="N1379" s="71"/>
      <c r="O1379" s="71"/>
      <c r="S1379" s="166"/>
      <c r="T1379" s="166"/>
      <c r="U1379" s="166"/>
      <c r="V1379" s="166"/>
      <c r="W1379" s="166"/>
      <c r="X1379" s="166"/>
      <c r="Y1379" s="166"/>
      <c r="Z1379" s="166"/>
      <c r="AA1379" s="166"/>
      <c r="AB1379" s="166"/>
    </row>
    <row r="1380" spans="1:28" s="19" customFormat="1">
      <c r="A1380" s="348" t="str">
        <f t="shared" ref="A1380:A1387" si="278">C20</f>
        <v>MI</v>
      </c>
      <c r="B1380" s="76"/>
      <c r="C1380" s="348" t="str">
        <f t="shared" ref="C1380:C1387" si="279">D20</f>
        <v>Mining SIC2</v>
      </c>
      <c r="D1380" s="73"/>
      <c r="E1380" s="76"/>
      <c r="F1380" s="71">
        <f t="array" ref="F1380">SUM( ($A$1299:$A$1378=$A1380)  * (F$1299:F$1378) )</f>
        <v>0</v>
      </c>
      <c r="G1380" s="71">
        <f t="array" ref="G1380">SUM( ($A$1299:$A$1378=$A1380)  * (G$1299:G$1378) )</f>
        <v>0</v>
      </c>
      <c r="H1380" s="71">
        <f t="array" ref="H1380">SUM( ($A$1299:$A$1378=$A1380)  * (H$1299:H$1378) )</f>
        <v>0</v>
      </c>
      <c r="I1380" s="71">
        <f t="array" ref="I1380">SUM( ($A$1299:$A$1378=$A1380)  * (I$1299:I$1378) )</f>
        <v>0</v>
      </c>
      <c r="J1380" s="71">
        <f t="array" ref="J1380">SUM( ($A$1299:$A$1378=$A1380)  * (J$1299:J$1378) )</f>
        <v>0</v>
      </c>
      <c r="K1380" s="71">
        <f t="array" ref="K1380">SUM( ($A$1299:$A$1378=$A1380)  * (K$1299:K$1378) )</f>
        <v>0</v>
      </c>
      <c r="L1380" s="71">
        <f t="array" ref="L1380">SUM( ($A$1299:$A$1378=$A1380)  * (L$1299:L$1378) )</f>
        <v>0</v>
      </c>
      <c r="M1380" s="71">
        <f t="array" ref="M1380">SUM( ($A$1299:$A$1378=$A1380)  * (M$1299:M$1378) )</f>
        <v>0</v>
      </c>
      <c r="N1380" s="71">
        <f t="array" ref="N1380">SUM( ($A$1299:$A$1378=$A1380)  * (N$1299:N$1378) )</f>
        <v>0</v>
      </c>
      <c r="O1380" s="71">
        <f t="array" ref="O1380">SUM( ($A$1299:$A$1378=$A1380)  * (O$1299:O$1378) )</f>
        <v>0</v>
      </c>
      <c r="S1380" s="166"/>
      <c r="T1380" s="166"/>
      <c r="U1380" s="166"/>
      <c r="V1380" s="166"/>
      <c r="W1380" s="166"/>
      <c r="X1380" s="166"/>
      <c r="Y1380" s="166"/>
      <c r="Z1380" s="166"/>
      <c r="AA1380" s="166"/>
      <c r="AB1380" s="166"/>
    </row>
    <row r="1381" spans="1:28" s="19" customFormat="1">
      <c r="A1381" s="1459" t="str">
        <f t="shared" si="278"/>
        <v>IS</v>
      </c>
      <c r="B1381" s="76"/>
      <c r="C1381" s="1459" t="str">
        <f t="shared" si="279"/>
        <v>Iron  &amp; Steel  - 351</v>
      </c>
      <c r="D1381" s="73"/>
      <c r="E1381" s="76"/>
      <c r="F1381" s="71">
        <f t="array" ref="F1381">SUM( ($A$1299:$A$1378=$A1381)  * (F$1299:F$1378) )</f>
        <v>2.3366428141499997E-2</v>
      </c>
      <c r="G1381" s="71">
        <f t="array" ref="G1381">SUM( ($A$1299:$A$1378=$A1381)  * (G$1299:G$1378) )</f>
        <v>2.7059638541822986E-2</v>
      </c>
      <c r="H1381" s="71">
        <f t="array" ref="H1381">SUM( ($A$1299:$A$1378=$A1381)  * (H$1299:H$1378) )</f>
        <v>3.4004177206695956E-2</v>
      </c>
      <c r="I1381" s="71">
        <f t="array" ref="I1381">SUM( ($A$1299:$A$1378=$A1381)  * (I$1299:I$1378) )</f>
        <v>4.2974927595319685E-2</v>
      </c>
      <c r="J1381" s="71">
        <f t="array" ref="J1381">SUM( ($A$1299:$A$1378=$A1381)  * (J$1299:J$1378) )</f>
        <v>5.4003856656302626E-2</v>
      </c>
      <c r="K1381" s="71">
        <f t="array" ref="K1381">SUM( ($A$1299:$A$1378=$A1381)  * (K$1299:K$1378) )</f>
        <v>6.7861807943618013E-2</v>
      </c>
      <c r="L1381" s="71">
        <f t="array" ref="L1381">SUM( ($A$1299:$A$1378=$A1381)  * (L$1299:L$1378) )</f>
        <v>8.343630473340749E-2</v>
      </c>
      <c r="M1381" s="71">
        <f t="array" ref="M1381">SUM( ($A$1299:$A$1378=$A1381)  * (M$1299:M$1378) )</f>
        <v>0.10079862157307179</v>
      </c>
      <c r="N1381" s="71">
        <f t="array" ref="N1381">SUM( ($A$1299:$A$1378=$A1381)  * (N$1299:N$1378) )</f>
        <v>0.11890507520148336</v>
      </c>
      <c r="O1381" s="71">
        <f t="array" ref="O1381">SUM( ($A$1299:$A$1378=$A1381)  * (O$1299:O$1378) )</f>
        <v>0.13929969699079761</v>
      </c>
      <c r="S1381" s="166"/>
      <c r="T1381" s="166"/>
      <c r="U1381" s="166"/>
      <c r="V1381" s="166"/>
      <c r="W1381" s="166"/>
      <c r="X1381" s="166"/>
      <c r="Y1381" s="166"/>
      <c r="Z1381" s="166"/>
      <c r="AA1381" s="166"/>
      <c r="AB1381" s="166"/>
    </row>
    <row r="1382" spans="1:28" s="19" customFormat="1">
      <c r="A1382" s="1459" t="str">
        <f t="shared" si="278"/>
        <v>CP</v>
      </c>
      <c r="B1382" s="76"/>
      <c r="C1382" s="1459" t="str">
        <f t="shared" si="279"/>
        <v>Chemicals  -33</v>
      </c>
      <c r="D1382" s="73"/>
      <c r="E1382" s="76"/>
      <c r="F1382" s="71">
        <f t="array" ref="F1382">SUM( ($A$1299:$A$1378=$A1382)  * (F$1299:F$1378) )</f>
        <v>0</v>
      </c>
      <c r="G1382" s="71">
        <f t="array" ref="G1382">SUM( ($A$1299:$A$1378=$A1382)  * (G$1299:G$1378) )</f>
        <v>0</v>
      </c>
      <c r="H1382" s="71">
        <f t="array" ref="H1382">SUM( ($A$1299:$A$1378=$A1382)  * (H$1299:H$1378) )</f>
        <v>0</v>
      </c>
      <c r="I1382" s="71">
        <f t="array" ref="I1382">SUM( ($A$1299:$A$1378=$A1382)  * (I$1299:I$1378) )</f>
        <v>0</v>
      </c>
      <c r="J1382" s="71">
        <f t="array" ref="J1382">SUM( ($A$1299:$A$1378=$A1382)  * (J$1299:J$1378) )</f>
        <v>0</v>
      </c>
      <c r="K1382" s="71">
        <f t="array" ref="K1382">SUM( ($A$1299:$A$1378=$A1382)  * (K$1299:K$1378) )</f>
        <v>0</v>
      </c>
      <c r="L1382" s="71">
        <f t="array" ref="L1382">SUM( ($A$1299:$A$1378=$A1382)  * (L$1299:L$1378) )</f>
        <v>0</v>
      </c>
      <c r="M1382" s="71">
        <f t="array" ref="M1382">SUM( ($A$1299:$A$1378=$A1382)  * (M$1299:M$1378) )</f>
        <v>0</v>
      </c>
      <c r="N1382" s="71">
        <f t="array" ref="N1382">SUM( ($A$1299:$A$1378=$A1382)  * (N$1299:N$1378) )</f>
        <v>0</v>
      </c>
      <c r="O1382" s="71">
        <f t="array" ref="O1382">SUM( ($A$1299:$A$1378=$A1382)  * (O$1299:O$1378) )</f>
        <v>0</v>
      </c>
      <c r="S1382" s="166"/>
      <c r="T1382" s="166"/>
      <c r="U1382" s="166"/>
      <c r="V1382" s="166"/>
      <c r="W1382" s="166"/>
      <c r="X1382" s="166"/>
      <c r="Y1382" s="166"/>
      <c r="Z1382" s="166"/>
      <c r="AA1382" s="166"/>
      <c r="AB1382" s="166"/>
    </row>
    <row r="1383" spans="1:28" s="19" customFormat="1">
      <c r="A1383" s="1459" t="str">
        <f t="shared" si="278"/>
        <v>NF</v>
      </c>
      <c r="B1383" s="76"/>
      <c r="C1383" s="1459" t="str">
        <f t="shared" si="279"/>
        <v>Non-Ferrous metals  - 352</v>
      </c>
      <c r="D1383" s="73"/>
      <c r="E1383" s="76"/>
      <c r="F1383" s="71">
        <f t="array" ref="F1383">SUM( ($A$1299:$A$1378=$A1383)  * (F$1299:F$1378) )</f>
        <v>0</v>
      </c>
      <c r="G1383" s="71">
        <f t="array" ref="G1383">SUM( ($A$1299:$A$1378=$A1383)  * (G$1299:G$1378) )</f>
        <v>0</v>
      </c>
      <c r="H1383" s="71">
        <f t="array" ref="H1383">SUM( ($A$1299:$A$1378=$A1383)  * (H$1299:H$1378) )</f>
        <v>0</v>
      </c>
      <c r="I1383" s="71">
        <f t="array" ref="I1383">SUM( ($A$1299:$A$1378=$A1383)  * (I$1299:I$1378) )</f>
        <v>0</v>
      </c>
      <c r="J1383" s="71">
        <f t="array" ref="J1383">SUM( ($A$1299:$A$1378=$A1383)  * (J$1299:J$1378) )</f>
        <v>0</v>
      </c>
      <c r="K1383" s="71">
        <f t="array" ref="K1383">SUM( ($A$1299:$A$1378=$A1383)  * (K$1299:K$1378) )</f>
        <v>0</v>
      </c>
      <c r="L1383" s="71">
        <f t="array" ref="L1383">SUM( ($A$1299:$A$1378=$A1383)  * (L$1299:L$1378) )</f>
        <v>0</v>
      </c>
      <c r="M1383" s="71">
        <f t="array" ref="M1383">SUM( ($A$1299:$A$1378=$A1383)  * (M$1299:M$1378) )</f>
        <v>0</v>
      </c>
      <c r="N1383" s="71">
        <f t="array" ref="N1383">SUM( ($A$1299:$A$1378=$A1383)  * (N$1299:N$1378) )</f>
        <v>0</v>
      </c>
      <c r="O1383" s="71">
        <f t="array" ref="O1383">SUM( ($A$1299:$A$1378=$A1383)  * (O$1299:O$1378) )</f>
        <v>0</v>
      </c>
      <c r="S1383" s="166"/>
      <c r="T1383" s="166"/>
      <c r="U1383" s="166"/>
      <c r="V1383" s="166"/>
      <c r="W1383" s="166"/>
      <c r="X1383" s="166"/>
      <c r="Y1383" s="166"/>
      <c r="Z1383" s="166"/>
      <c r="AA1383" s="166"/>
      <c r="AB1383" s="166"/>
    </row>
    <row r="1384" spans="1:28" s="19" customFormat="1">
      <c r="A1384" s="1459" t="str">
        <f t="shared" si="278"/>
        <v>NM</v>
      </c>
      <c r="B1384" s="76"/>
      <c r="C1384" s="1459" t="str">
        <f t="shared" si="279"/>
        <v>N.M.M Products  -34</v>
      </c>
      <c r="D1384" s="73"/>
      <c r="E1384" s="76"/>
      <c r="F1384" s="71">
        <f t="array" ref="F1384">SUM( ($A$1299:$A$1378=$A1384)  * (F$1299:F$1378) )</f>
        <v>0</v>
      </c>
      <c r="G1384" s="71">
        <f t="array" ref="G1384">SUM( ($A$1299:$A$1378=$A1384)  * (G$1299:G$1378) )</f>
        <v>0</v>
      </c>
      <c r="H1384" s="71">
        <f t="array" ref="H1384">SUM( ($A$1299:$A$1378=$A1384)  * (H$1299:H$1378) )</f>
        <v>0</v>
      </c>
      <c r="I1384" s="71">
        <f t="array" ref="I1384">SUM( ($A$1299:$A$1378=$A1384)  * (I$1299:I$1378) )</f>
        <v>0</v>
      </c>
      <c r="J1384" s="71">
        <f t="array" ref="J1384">SUM( ($A$1299:$A$1378=$A1384)  * (J$1299:J$1378) )</f>
        <v>0</v>
      </c>
      <c r="K1384" s="71">
        <f t="array" ref="K1384">SUM( ($A$1299:$A$1378=$A1384)  * (K$1299:K$1378) )</f>
        <v>0</v>
      </c>
      <c r="L1384" s="71">
        <f t="array" ref="L1384">SUM( ($A$1299:$A$1378=$A1384)  * (L$1299:L$1378) )</f>
        <v>0</v>
      </c>
      <c r="M1384" s="71">
        <f t="array" ref="M1384">SUM( ($A$1299:$A$1378=$A1384)  * (M$1299:M$1378) )</f>
        <v>0</v>
      </c>
      <c r="N1384" s="71">
        <f t="array" ref="N1384">SUM( ($A$1299:$A$1378=$A1384)  * (N$1299:N$1378) )</f>
        <v>0</v>
      </c>
      <c r="O1384" s="71">
        <f t="array" ref="O1384">SUM( ($A$1299:$A$1378=$A1384)  * (O$1299:O$1378) )</f>
        <v>0</v>
      </c>
      <c r="S1384" s="166"/>
      <c r="T1384" s="166"/>
      <c r="U1384" s="166"/>
      <c r="V1384" s="166"/>
      <c r="W1384" s="166"/>
      <c r="X1384" s="166"/>
      <c r="Y1384" s="166"/>
      <c r="Z1384" s="166"/>
      <c r="AA1384" s="166"/>
      <c r="AB1384" s="166"/>
    </row>
    <row r="1385" spans="1:28" s="19" customFormat="1">
      <c r="A1385" s="1459" t="str">
        <f t="shared" si="278"/>
        <v>FB</v>
      </c>
      <c r="B1385" s="76"/>
      <c r="C1385" s="1459" t="str">
        <f t="shared" si="279"/>
        <v>Food, Beverage &amp; Tabacco  - 30</v>
      </c>
      <c r="D1385" s="73"/>
      <c r="E1385" s="76"/>
      <c r="F1385" s="71">
        <f t="array" ref="F1385">SUM( ($A$1299:$A$1378=$A1385)  * (F$1299:F$1378) )</f>
        <v>0</v>
      </c>
      <c r="G1385" s="71">
        <f t="array" ref="G1385">SUM( ($A$1299:$A$1378=$A1385)  * (G$1299:G$1378) )</f>
        <v>0</v>
      </c>
      <c r="H1385" s="71">
        <f t="array" ref="H1385">SUM( ($A$1299:$A$1378=$A1385)  * (H$1299:H$1378) )</f>
        <v>0</v>
      </c>
      <c r="I1385" s="71">
        <f t="array" ref="I1385">SUM( ($A$1299:$A$1378=$A1385)  * (I$1299:I$1378) )</f>
        <v>0</v>
      </c>
      <c r="J1385" s="71">
        <f t="array" ref="J1385">SUM( ($A$1299:$A$1378=$A1385)  * (J$1299:J$1378) )</f>
        <v>0</v>
      </c>
      <c r="K1385" s="71">
        <f t="array" ref="K1385">SUM( ($A$1299:$A$1378=$A1385)  * (K$1299:K$1378) )</f>
        <v>0</v>
      </c>
      <c r="L1385" s="71">
        <f t="array" ref="L1385">SUM( ($A$1299:$A$1378=$A1385)  * (L$1299:L$1378) )</f>
        <v>0</v>
      </c>
      <c r="M1385" s="71">
        <f t="array" ref="M1385">SUM( ($A$1299:$A$1378=$A1385)  * (M$1299:M$1378) )</f>
        <v>0</v>
      </c>
      <c r="N1385" s="71">
        <f t="array" ref="N1385">SUM( ($A$1299:$A$1378=$A1385)  * (N$1299:N$1378) )</f>
        <v>0</v>
      </c>
      <c r="O1385" s="71">
        <f t="array" ref="O1385">SUM( ($A$1299:$A$1378=$A1385)  * (O$1299:O$1378) )</f>
        <v>0</v>
      </c>
      <c r="S1385" s="166"/>
      <c r="T1385" s="166"/>
      <c r="U1385" s="166"/>
      <c r="V1385" s="166"/>
      <c r="W1385" s="166"/>
      <c r="X1385" s="166"/>
      <c r="Y1385" s="166"/>
      <c r="Z1385" s="166"/>
      <c r="AA1385" s="166"/>
      <c r="AB1385" s="166"/>
    </row>
    <row r="1386" spans="1:28" s="19" customFormat="1">
      <c r="A1386" s="1459" t="str">
        <f t="shared" si="278"/>
        <v>PP</v>
      </c>
      <c r="B1386" s="76"/>
      <c r="C1386" s="1459" t="str">
        <f t="shared" si="279"/>
        <v>Pulp &amp; Paper Products  -323</v>
      </c>
      <c r="D1386" s="73"/>
      <c r="E1386" s="76"/>
      <c r="F1386" s="71">
        <f t="array" ref="F1386">SUM( ($A$1299:$A$1378=$A1386)  * (F$1299:F$1378) )</f>
        <v>0</v>
      </c>
      <c r="G1386" s="71">
        <f t="array" ref="G1386">SUM( ($A$1299:$A$1378=$A1386)  * (G$1299:G$1378) )</f>
        <v>0</v>
      </c>
      <c r="H1386" s="71">
        <f t="array" ref="H1386">SUM( ($A$1299:$A$1378=$A1386)  * (H$1299:H$1378) )</f>
        <v>0</v>
      </c>
      <c r="I1386" s="71">
        <f t="array" ref="I1386">SUM( ($A$1299:$A$1378=$A1386)  * (I$1299:I$1378) )</f>
        <v>0</v>
      </c>
      <c r="J1386" s="71">
        <f t="array" ref="J1386">SUM( ($A$1299:$A$1378=$A1386)  * (J$1299:J$1378) )</f>
        <v>0</v>
      </c>
      <c r="K1386" s="71">
        <f t="array" ref="K1386">SUM( ($A$1299:$A$1378=$A1386)  * (K$1299:K$1378) )</f>
        <v>0</v>
      </c>
      <c r="L1386" s="71">
        <f t="array" ref="L1386">SUM( ($A$1299:$A$1378=$A1386)  * (L$1299:L$1378) )</f>
        <v>0</v>
      </c>
      <c r="M1386" s="71">
        <f t="array" ref="M1386">SUM( ($A$1299:$A$1378=$A1386)  * (M$1299:M$1378) )</f>
        <v>0</v>
      </c>
      <c r="N1386" s="71">
        <f t="array" ref="N1386">SUM( ($A$1299:$A$1378=$A1386)  * (N$1299:N$1378) )</f>
        <v>0</v>
      </c>
      <c r="O1386" s="71">
        <f t="array" ref="O1386">SUM( ($A$1299:$A$1378=$A1386)  * (O$1299:O$1378) )</f>
        <v>0</v>
      </c>
      <c r="S1386" s="166"/>
      <c r="T1386" s="166"/>
      <c r="U1386" s="166"/>
      <c r="V1386" s="166"/>
      <c r="W1386" s="166"/>
      <c r="X1386" s="166"/>
      <c r="Y1386" s="166"/>
      <c r="Z1386" s="166"/>
      <c r="AA1386" s="166"/>
      <c r="AB1386" s="166"/>
    </row>
    <row r="1387" spans="1:28" s="19" customFormat="1">
      <c r="A1387" s="1459" t="str">
        <f t="shared" si="278"/>
        <v>OT</v>
      </c>
      <c r="B1387" s="76"/>
      <c r="C1387" s="1459" t="str">
        <f t="shared" si="279"/>
        <v>Other</v>
      </c>
      <c r="D1387" s="654"/>
      <c r="E1387" s="154"/>
      <c r="F1387" s="71">
        <f t="array" ref="F1387">SUM( ($A$1299:$A$1378=$A1387)  * (F$1299:F$1378) )</f>
        <v>0</v>
      </c>
      <c r="G1387" s="71">
        <f t="array" ref="G1387">SUM( ($A$1299:$A$1378=$A1387)  * (G$1299:G$1378) )</f>
        <v>0</v>
      </c>
      <c r="H1387" s="71">
        <f t="array" ref="H1387">SUM( ($A$1299:$A$1378=$A1387)  * (H$1299:H$1378) )</f>
        <v>0</v>
      </c>
      <c r="I1387" s="71">
        <f t="array" ref="I1387">SUM( ($A$1299:$A$1378=$A1387)  * (I$1299:I$1378) )</f>
        <v>0</v>
      </c>
      <c r="J1387" s="71">
        <f t="array" ref="J1387">SUM( ($A$1299:$A$1378=$A1387)  * (J$1299:J$1378) )</f>
        <v>0</v>
      </c>
      <c r="K1387" s="71">
        <f t="array" ref="K1387">SUM( ($A$1299:$A$1378=$A1387)  * (K$1299:K$1378) )</f>
        <v>0</v>
      </c>
      <c r="L1387" s="71">
        <f t="array" ref="L1387">SUM( ($A$1299:$A$1378=$A1387)  * (L$1299:L$1378) )</f>
        <v>0</v>
      </c>
      <c r="M1387" s="71">
        <f t="array" ref="M1387">SUM( ($A$1299:$A$1378=$A1387)  * (M$1299:M$1378) )</f>
        <v>0</v>
      </c>
      <c r="N1387" s="71">
        <f t="array" ref="N1387">SUM( ($A$1299:$A$1378=$A1387)  * (N$1299:N$1378) )</f>
        <v>0</v>
      </c>
      <c r="O1387" s="71">
        <f t="array" ref="O1387">SUM( ($A$1299:$A$1378=$A1387)  * (O$1299:O$1378) )</f>
        <v>0</v>
      </c>
      <c r="S1387" s="166"/>
      <c r="T1387" s="166"/>
      <c r="U1387" s="166"/>
      <c r="V1387" s="166"/>
      <c r="W1387" s="166"/>
      <c r="X1387" s="166"/>
      <c r="Y1387" s="166"/>
      <c r="Z1387" s="166"/>
      <c r="AA1387" s="166"/>
      <c r="AB1387" s="166"/>
    </row>
    <row r="1388" spans="1:28" s="19" customFormat="1">
      <c r="B1388" s="347"/>
      <c r="C1388" s="1086"/>
      <c r="D1388" s="644"/>
      <c r="E1388" s="154"/>
      <c r="F1388" s="22"/>
      <c r="G1388" s="22"/>
      <c r="H1388" s="22"/>
      <c r="I1388" s="22"/>
      <c r="J1388" s="22"/>
      <c r="K1388" s="22"/>
      <c r="L1388" s="22"/>
      <c r="M1388" s="22"/>
      <c r="N1388" s="22"/>
      <c r="O1388" s="22"/>
      <c r="S1388" s="166"/>
      <c r="T1388" s="166"/>
      <c r="U1388" s="166"/>
      <c r="V1388" s="166"/>
      <c r="W1388" s="166"/>
      <c r="X1388" s="166"/>
      <c r="Y1388" s="166"/>
      <c r="Z1388" s="166"/>
      <c r="AA1388" s="166"/>
      <c r="AB1388" s="166"/>
    </row>
    <row r="1389" spans="1:28" s="19" customFormat="1" ht="17">
      <c r="B1389" s="347"/>
      <c r="C1389" s="348" t="s">
        <v>425</v>
      </c>
      <c r="D1389" s="644"/>
      <c r="E1389" s="194" t="s">
        <v>413</v>
      </c>
      <c r="F1389" s="524">
        <f t="shared" ref="F1389:O1389" si="280">SUM(F1380:F1388)</f>
        <v>2.3366428141499997E-2</v>
      </c>
      <c r="G1389" s="524">
        <f t="shared" si="280"/>
        <v>2.7059638541822986E-2</v>
      </c>
      <c r="H1389" s="524">
        <f t="shared" si="280"/>
        <v>3.4004177206695956E-2</v>
      </c>
      <c r="I1389" s="524">
        <f t="shared" si="280"/>
        <v>4.2974927595319685E-2</v>
      </c>
      <c r="J1389" s="524">
        <f t="shared" si="280"/>
        <v>5.4003856656302626E-2</v>
      </c>
      <c r="K1389" s="524">
        <f t="shared" si="280"/>
        <v>6.7861807943618013E-2</v>
      </c>
      <c r="L1389" s="524">
        <f t="shared" si="280"/>
        <v>8.343630473340749E-2</v>
      </c>
      <c r="M1389" s="524">
        <f t="shared" si="280"/>
        <v>0.10079862157307179</v>
      </c>
      <c r="N1389" s="524">
        <f t="shared" si="280"/>
        <v>0.11890507520148336</v>
      </c>
      <c r="O1389" s="524">
        <f t="shared" si="280"/>
        <v>0.13929969699079761</v>
      </c>
      <c r="S1389" s="293"/>
      <c r="T1389" s="293"/>
      <c r="U1389" s="293"/>
      <c r="V1389" s="293"/>
      <c r="W1389" s="293"/>
      <c r="X1389" s="293"/>
      <c r="Y1389" s="293"/>
      <c r="Z1389" s="293"/>
      <c r="AA1389" s="293"/>
      <c r="AB1389" s="293"/>
    </row>
    <row r="1390" spans="1:28" s="19" customFormat="1">
      <c r="B1390" s="348"/>
      <c r="C1390" s="1086"/>
      <c r="D1390" s="644"/>
      <c r="S1390" s="166"/>
      <c r="T1390" s="166"/>
      <c r="U1390" s="166"/>
      <c r="V1390" s="166"/>
      <c r="W1390" s="166"/>
      <c r="X1390" s="166"/>
      <c r="Y1390" s="166"/>
      <c r="Z1390" s="166"/>
      <c r="AA1390" s="166"/>
      <c r="AB1390" s="166"/>
    </row>
    <row r="1391" spans="1:28" s="19" customFormat="1" hidden="1">
      <c r="B1391" s="76" t="s">
        <v>352</v>
      </c>
      <c r="C1391" s="1086" t="str">
        <f>INDEX(GHG[GHG_description], MATCH($B1391, GHG[GHG_code], 0))</f>
        <v>HFCs, PFCs, and SF_6</v>
      </c>
      <c r="D1391" s="644"/>
      <c r="E1391" s="76"/>
      <c r="S1391" s="166"/>
      <c r="T1391" s="166"/>
      <c r="U1391" s="166"/>
      <c r="V1391" s="166"/>
      <c r="W1391" s="166"/>
      <c r="X1391" s="166"/>
      <c r="Y1391" s="166"/>
      <c r="Z1391" s="166"/>
      <c r="AA1391" s="166"/>
      <c r="AB1391" s="166"/>
    </row>
    <row r="1392" spans="1:28" s="19" customFormat="1" hidden="1">
      <c r="B1392" s="347" t="s">
        <v>371</v>
      </c>
      <c r="C1392" s="1086" t="s">
        <v>105</v>
      </c>
      <c r="D1392" s="644"/>
      <c r="E1392" s="154"/>
      <c r="F1392" s="22">
        <v>0</v>
      </c>
      <c r="G1392" s="22">
        <v>0</v>
      </c>
      <c r="H1392" s="22">
        <v>0</v>
      </c>
      <c r="I1392" s="22">
        <v>0</v>
      </c>
      <c r="J1392" s="22">
        <v>0</v>
      </c>
      <c r="K1392" s="22">
        <v>0</v>
      </c>
      <c r="L1392" s="22">
        <v>0</v>
      </c>
      <c r="M1392" s="22">
        <v>0</v>
      </c>
      <c r="N1392" s="22">
        <v>0</v>
      </c>
      <c r="O1392" s="22">
        <v>0</v>
      </c>
      <c r="S1392" s="253"/>
      <c r="T1392" s="253"/>
      <c r="U1392" s="253"/>
      <c r="V1392" s="253"/>
      <c r="W1392" s="253"/>
      <c r="X1392" s="253"/>
      <c r="Y1392" s="253"/>
      <c r="Z1392" s="253"/>
      <c r="AA1392" s="253"/>
      <c r="AB1392" s="253"/>
    </row>
    <row r="1393" spans="2:28" s="19" customFormat="1" hidden="1">
      <c r="B1393" s="347" t="s">
        <v>372</v>
      </c>
      <c r="C1393" s="1086" t="s">
        <v>367</v>
      </c>
      <c r="D1393" s="644"/>
      <c r="E1393" s="154"/>
      <c r="F1393" s="22">
        <v>0</v>
      </c>
      <c r="G1393" s="22">
        <v>0</v>
      </c>
      <c r="H1393" s="22">
        <v>0</v>
      </c>
      <c r="I1393" s="22">
        <v>0</v>
      </c>
      <c r="J1393" s="22">
        <v>0</v>
      </c>
      <c r="K1393" s="22">
        <v>0</v>
      </c>
      <c r="L1393" s="22">
        <v>0</v>
      </c>
      <c r="M1393" s="22">
        <v>0</v>
      </c>
      <c r="N1393" s="22">
        <v>0</v>
      </c>
      <c r="O1393" s="22">
        <v>0</v>
      </c>
      <c r="S1393" s="253"/>
      <c r="T1393" s="253"/>
      <c r="U1393" s="253"/>
      <c r="V1393" s="253"/>
      <c r="W1393" s="253"/>
      <c r="X1393" s="253"/>
      <c r="Y1393" s="253"/>
      <c r="Z1393" s="253"/>
      <c r="AA1393" s="253"/>
      <c r="AB1393" s="253"/>
    </row>
    <row r="1394" spans="2:28" s="19" customFormat="1" hidden="1">
      <c r="B1394" s="347" t="s">
        <v>373</v>
      </c>
      <c r="C1394" s="1086" t="s">
        <v>368</v>
      </c>
      <c r="D1394" s="644"/>
      <c r="E1394" s="154"/>
      <c r="F1394" s="22">
        <v>0</v>
      </c>
      <c r="G1394" s="22">
        <v>0</v>
      </c>
      <c r="H1394" s="22">
        <v>0</v>
      </c>
      <c r="I1394" s="22">
        <v>0</v>
      </c>
      <c r="J1394" s="22">
        <v>0</v>
      </c>
      <c r="K1394" s="22">
        <v>0</v>
      </c>
      <c r="L1394" s="22">
        <v>0</v>
      </c>
      <c r="M1394" s="22">
        <v>0</v>
      </c>
      <c r="N1394" s="22">
        <v>0</v>
      </c>
      <c r="O1394" s="22">
        <v>0</v>
      </c>
      <c r="S1394" s="253"/>
      <c r="T1394" s="253"/>
      <c r="U1394" s="253"/>
      <c r="V1394" s="253"/>
      <c r="W1394" s="253"/>
      <c r="X1394" s="253"/>
      <c r="Y1394" s="253"/>
      <c r="Z1394" s="253"/>
      <c r="AA1394" s="253"/>
      <c r="AB1394" s="253"/>
    </row>
    <row r="1395" spans="2:28" s="19" customFormat="1" hidden="1">
      <c r="B1395" s="347" t="s">
        <v>374</v>
      </c>
      <c r="C1395" s="1086" t="s">
        <v>97</v>
      </c>
      <c r="D1395" s="644"/>
      <c r="E1395" s="154"/>
      <c r="F1395" s="22">
        <v>0</v>
      </c>
      <c r="G1395" s="22">
        <v>0</v>
      </c>
      <c r="H1395" s="22">
        <v>0</v>
      </c>
      <c r="I1395" s="22">
        <v>0</v>
      </c>
      <c r="J1395" s="22">
        <v>0</v>
      </c>
      <c r="K1395" s="22">
        <v>0</v>
      </c>
      <c r="L1395" s="22">
        <v>0</v>
      </c>
      <c r="M1395" s="22">
        <v>0</v>
      </c>
      <c r="N1395" s="22">
        <v>0</v>
      </c>
      <c r="O1395" s="22">
        <v>0</v>
      </c>
      <c r="S1395" s="253"/>
      <c r="T1395" s="253"/>
      <c r="U1395" s="253"/>
      <c r="V1395" s="253"/>
      <c r="W1395" s="253"/>
      <c r="X1395" s="253"/>
      <c r="Y1395" s="253"/>
      <c r="Z1395" s="253"/>
      <c r="AA1395" s="253"/>
      <c r="AB1395" s="253"/>
    </row>
    <row r="1396" spans="2:28" s="19" customFormat="1" ht="17" hidden="1">
      <c r="B1396" s="348"/>
      <c r="C1396" s="348" t="s">
        <v>424</v>
      </c>
      <c r="D1396" s="644"/>
      <c r="E1396" s="194" t="s">
        <v>413</v>
      </c>
      <c r="F1396" s="195">
        <f t="shared" ref="F1396:O1396" si="281">SUM(F1392:F1395)</f>
        <v>0</v>
      </c>
      <c r="G1396" s="195">
        <f t="shared" si="281"/>
        <v>0</v>
      </c>
      <c r="H1396" s="195">
        <f t="shared" si="281"/>
        <v>0</v>
      </c>
      <c r="I1396" s="195">
        <f t="shared" si="281"/>
        <v>0</v>
      </c>
      <c r="J1396" s="195">
        <f t="shared" si="281"/>
        <v>0</v>
      </c>
      <c r="K1396" s="195">
        <f t="shared" si="281"/>
        <v>0</v>
      </c>
      <c r="L1396" s="195">
        <f t="shared" si="281"/>
        <v>0</v>
      </c>
      <c r="M1396" s="195">
        <f t="shared" si="281"/>
        <v>0</v>
      </c>
      <c r="N1396" s="195">
        <f t="shared" si="281"/>
        <v>0</v>
      </c>
      <c r="O1396" s="195">
        <f t="shared" si="281"/>
        <v>0</v>
      </c>
      <c r="S1396" s="293"/>
      <c r="T1396" s="293"/>
      <c r="U1396" s="293"/>
      <c r="V1396" s="293"/>
      <c r="W1396" s="293"/>
      <c r="X1396" s="293"/>
      <c r="Y1396" s="293"/>
      <c r="Z1396" s="293"/>
      <c r="AA1396" s="293"/>
      <c r="AB1396" s="293"/>
    </row>
    <row r="1397" spans="2:28" s="19" customFormat="1" hidden="1">
      <c r="B1397" s="348"/>
      <c r="C1397" s="1086"/>
      <c r="D1397" s="644"/>
      <c r="E1397" s="76"/>
    </row>
    <row r="1398" spans="2:28" s="19" customFormat="1" ht="14" hidden="1">
      <c r="B1398" s="348" t="str">
        <f>INDEX(AirQualityVectors[Code],MATCH(C1398,AirQualityVectors[Description],0))</f>
        <v>AQ.01</v>
      </c>
      <c r="C1398" s="1086" t="s">
        <v>717</v>
      </c>
      <c r="D1398" s="644"/>
      <c r="E1398" s="76"/>
      <c r="F1398" s="75"/>
      <c r="G1398" s="75"/>
      <c r="H1398" s="75"/>
      <c r="I1398" s="75"/>
      <c r="J1398" s="75"/>
      <c r="K1398" s="75"/>
      <c r="L1398" s="75"/>
      <c r="M1398" s="75"/>
      <c r="N1398" s="75"/>
      <c r="O1398" s="75"/>
      <c r="S1398" s="75"/>
      <c r="T1398" s="75"/>
      <c r="U1398" s="75"/>
      <c r="V1398" s="75"/>
      <c r="W1398" s="75"/>
      <c r="X1398" s="75"/>
      <c r="Y1398" s="75"/>
      <c r="Z1398" s="75"/>
      <c r="AA1398" s="75"/>
      <c r="AB1398" s="75"/>
    </row>
    <row r="1399" spans="2:28" s="19" customFormat="1" hidden="1">
      <c r="B1399" s="347" t="s">
        <v>371</v>
      </c>
      <c r="C1399" s="1086" t="s">
        <v>105</v>
      </c>
      <c r="D1399" s="644"/>
      <c r="E1399" s="154"/>
      <c r="F1399" s="22">
        <v>0</v>
      </c>
      <c r="G1399" s="22">
        <v>0</v>
      </c>
      <c r="H1399" s="22">
        <v>0</v>
      </c>
      <c r="I1399" s="22">
        <v>0</v>
      </c>
      <c r="J1399" s="22">
        <v>0</v>
      </c>
      <c r="K1399" s="22">
        <v>0</v>
      </c>
      <c r="L1399" s="22">
        <v>0</v>
      </c>
      <c r="M1399" s="22">
        <v>0</v>
      </c>
      <c r="N1399" s="22">
        <v>0</v>
      </c>
      <c r="O1399" s="22">
        <v>0</v>
      </c>
      <c r="S1399" s="253"/>
      <c r="T1399" s="253"/>
      <c r="U1399" s="253"/>
      <c r="V1399" s="253"/>
      <c r="W1399" s="253"/>
      <c r="X1399" s="253"/>
      <c r="Y1399" s="253"/>
      <c r="Z1399" s="253"/>
      <c r="AA1399" s="253"/>
      <c r="AB1399" s="253"/>
    </row>
    <row r="1400" spans="2:28" s="19" customFormat="1" hidden="1">
      <c r="B1400" s="347" t="s">
        <v>372</v>
      </c>
      <c r="C1400" s="1086" t="s">
        <v>367</v>
      </c>
      <c r="D1400" s="644"/>
      <c r="E1400" s="154"/>
      <c r="F1400" s="22">
        <v>0</v>
      </c>
      <c r="G1400" s="22">
        <v>0</v>
      </c>
      <c r="H1400" s="22">
        <v>0</v>
      </c>
      <c r="I1400" s="22">
        <v>0</v>
      </c>
      <c r="J1400" s="22">
        <v>0</v>
      </c>
      <c r="K1400" s="22">
        <v>0</v>
      </c>
      <c r="L1400" s="22">
        <v>0</v>
      </c>
      <c r="M1400" s="22">
        <v>0</v>
      </c>
      <c r="N1400" s="22">
        <v>0</v>
      </c>
      <c r="O1400" s="22">
        <v>0</v>
      </c>
      <c r="S1400" s="253"/>
      <c r="T1400" s="253"/>
      <c r="U1400" s="253"/>
      <c r="V1400" s="253"/>
      <c r="W1400" s="253"/>
      <c r="X1400" s="253"/>
      <c r="Y1400" s="253"/>
      <c r="Z1400" s="253"/>
      <c r="AA1400" s="253"/>
      <c r="AB1400" s="253"/>
    </row>
    <row r="1401" spans="2:28" s="19" customFormat="1" hidden="1">
      <c r="B1401" s="347" t="s">
        <v>373</v>
      </c>
      <c r="C1401" s="1086" t="s">
        <v>368</v>
      </c>
      <c r="D1401" s="644"/>
      <c r="E1401" s="154"/>
      <c r="F1401" s="22">
        <v>0</v>
      </c>
      <c r="G1401" s="22">
        <v>0</v>
      </c>
      <c r="H1401" s="22">
        <v>0</v>
      </c>
      <c r="I1401" s="22">
        <v>0</v>
      </c>
      <c r="J1401" s="22">
        <v>0</v>
      </c>
      <c r="K1401" s="22">
        <v>0</v>
      </c>
      <c r="L1401" s="22">
        <v>0</v>
      </c>
      <c r="M1401" s="22">
        <v>0</v>
      </c>
      <c r="N1401" s="22">
        <v>0</v>
      </c>
      <c r="O1401" s="22">
        <v>0</v>
      </c>
      <c r="S1401" s="253"/>
      <c r="T1401" s="253"/>
      <c r="U1401" s="253"/>
      <c r="V1401" s="253"/>
      <c r="W1401" s="253"/>
      <c r="X1401" s="253"/>
      <c r="Y1401" s="253"/>
      <c r="Z1401" s="253"/>
      <c r="AA1401" s="253"/>
      <c r="AB1401" s="253"/>
    </row>
    <row r="1402" spans="2:28" s="19" customFormat="1" hidden="1">
      <c r="B1402" s="347" t="s">
        <v>374</v>
      </c>
      <c r="C1402" s="1086" t="s">
        <v>97</v>
      </c>
      <c r="D1402" s="644"/>
      <c r="E1402" s="154"/>
      <c r="F1402" s="22">
        <v>0</v>
      </c>
      <c r="G1402" s="22">
        <v>0</v>
      </c>
      <c r="H1402" s="22">
        <v>0</v>
      </c>
      <c r="I1402" s="22">
        <v>0</v>
      </c>
      <c r="J1402" s="22">
        <v>0</v>
      </c>
      <c r="K1402" s="22">
        <v>0</v>
      </c>
      <c r="L1402" s="22">
        <v>0</v>
      </c>
      <c r="M1402" s="22">
        <v>0</v>
      </c>
      <c r="N1402" s="22">
        <v>0</v>
      </c>
      <c r="O1402" s="22">
        <v>0</v>
      </c>
      <c r="S1402" s="253"/>
      <c r="T1402" s="253"/>
      <c r="U1402" s="253"/>
      <c r="V1402" s="253"/>
      <c r="W1402" s="253"/>
      <c r="X1402" s="253"/>
      <c r="Y1402" s="253"/>
      <c r="Z1402" s="253"/>
      <c r="AA1402" s="253"/>
      <c r="AB1402" s="253"/>
    </row>
    <row r="1403" spans="2:28" s="19" customFormat="1" hidden="1">
      <c r="B1403" s="347"/>
      <c r="C1403" s="348" t="str">
        <f>"Total "&amp;C1398</f>
        <v>Total PM10</v>
      </c>
      <c r="D1403" s="644"/>
      <c r="E1403" s="194" t="s">
        <v>724</v>
      </c>
      <c r="F1403" s="195">
        <f t="shared" ref="F1403:O1403" si="282">SUM(F1399:F1402)</f>
        <v>0</v>
      </c>
      <c r="G1403" s="195">
        <f t="shared" si="282"/>
        <v>0</v>
      </c>
      <c r="H1403" s="195">
        <f t="shared" si="282"/>
        <v>0</v>
      </c>
      <c r="I1403" s="195">
        <f t="shared" si="282"/>
        <v>0</v>
      </c>
      <c r="J1403" s="195">
        <f t="shared" si="282"/>
        <v>0</v>
      </c>
      <c r="K1403" s="195">
        <f t="shared" si="282"/>
        <v>0</v>
      </c>
      <c r="L1403" s="195">
        <f t="shared" si="282"/>
        <v>0</v>
      </c>
      <c r="M1403" s="195">
        <f t="shared" si="282"/>
        <v>0</v>
      </c>
      <c r="N1403" s="195">
        <f t="shared" si="282"/>
        <v>0</v>
      </c>
      <c r="O1403" s="195">
        <f t="shared" si="282"/>
        <v>0</v>
      </c>
      <c r="S1403" s="293"/>
      <c r="T1403" s="293"/>
      <c r="U1403" s="293"/>
      <c r="V1403" s="293"/>
      <c r="W1403" s="293"/>
      <c r="X1403" s="293"/>
      <c r="Y1403" s="293"/>
      <c r="Z1403" s="293"/>
      <c r="AA1403" s="293"/>
      <c r="AB1403" s="293"/>
    </row>
    <row r="1404" spans="2:28" s="19" customFormat="1" hidden="1">
      <c r="B1404" s="348"/>
      <c r="C1404" s="1086"/>
      <c r="D1404" s="644"/>
    </row>
    <row r="1405" spans="2:28" s="19" customFormat="1" hidden="1">
      <c r="B1405" s="348" t="str">
        <f>INDEX(AirQualityVectors[Code],MATCH(C1405,AirQualityVectors[Description],0))</f>
        <v>AQ.02</v>
      </c>
      <c r="C1405" s="1086" t="s">
        <v>719</v>
      </c>
      <c r="D1405" s="644"/>
      <c r="E1405" s="76"/>
    </row>
    <row r="1406" spans="2:28" s="19" customFormat="1" hidden="1">
      <c r="B1406" s="347" t="s">
        <v>371</v>
      </c>
      <c r="C1406" s="1086" t="s">
        <v>105</v>
      </c>
      <c r="D1406" s="644"/>
      <c r="E1406" s="154"/>
      <c r="F1406" s="22">
        <v>0</v>
      </c>
      <c r="G1406" s="22">
        <v>0</v>
      </c>
      <c r="H1406" s="22">
        <v>0</v>
      </c>
      <c r="I1406" s="22">
        <v>0</v>
      </c>
      <c r="J1406" s="22">
        <v>0</v>
      </c>
      <c r="K1406" s="22">
        <v>0</v>
      </c>
      <c r="L1406" s="22">
        <v>0</v>
      </c>
      <c r="M1406" s="22">
        <v>0</v>
      </c>
      <c r="N1406" s="22">
        <v>0</v>
      </c>
      <c r="O1406" s="22">
        <v>0</v>
      </c>
    </row>
    <row r="1407" spans="2:28" s="19" customFormat="1" hidden="1">
      <c r="B1407" s="347" t="s">
        <v>372</v>
      </c>
      <c r="C1407" s="1086" t="s">
        <v>367</v>
      </c>
      <c r="D1407" s="644"/>
      <c r="E1407" s="154"/>
      <c r="F1407" s="22">
        <v>0</v>
      </c>
      <c r="G1407" s="22">
        <v>0</v>
      </c>
      <c r="H1407" s="22">
        <v>0</v>
      </c>
      <c r="I1407" s="22">
        <v>0</v>
      </c>
      <c r="J1407" s="22">
        <v>0</v>
      </c>
      <c r="K1407" s="22">
        <v>0</v>
      </c>
      <c r="L1407" s="22">
        <v>0</v>
      </c>
      <c r="M1407" s="22">
        <v>0</v>
      </c>
      <c r="N1407" s="22">
        <v>0</v>
      </c>
      <c r="O1407" s="22">
        <v>0</v>
      </c>
    </row>
    <row r="1408" spans="2:28" s="19" customFormat="1" hidden="1">
      <c r="B1408" s="347" t="s">
        <v>373</v>
      </c>
      <c r="C1408" s="1086" t="s">
        <v>368</v>
      </c>
      <c r="D1408" s="644"/>
      <c r="E1408" s="154"/>
      <c r="F1408" s="22">
        <v>0</v>
      </c>
      <c r="G1408" s="22">
        <v>0</v>
      </c>
      <c r="H1408" s="22">
        <v>0</v>
      </c>
      <c r="I1408" s="22">
        <v>0</v>
      </c>
      <c r="J1408" s="22">
        <v>0</v>
      </c>
      <c r="K1408" s="22">
        <v>0</v>
      </c>
      <c r="L1408" s="22">
        <v>0</v>
      </c>
      <c r="M1408" s="22">
        <v>0</v>
      </c>
      <c r="N1408" s="22">
        <v>0</v>
      </c>
      <c r="O1408" s="22">
        <v>0</v>
      </c>
    </row>
    <row r="1409" spans="2:28" s="19" customFormat="1" hidden="1">
      <c r="B1409" s="347" t="s">
        <v>374</v>
      </c>
      <c r="C1409" s="1086" t="s">
        <v>97</v>
      </c>
      <c r="D1409" s="644"/>
      <c r="E1409" s="154"/>
      <c r="F1409" s="22">
        <v>0</v>
      </c>
      <c r="G1409" s="22">
        <v>0</v>
      </c>
      <c r="H1409" s="22">
        <v>0</v>
      </c>
      <c r="I1409" s="22">
        <v>0</v>
      </c>
      <c r="J1409" s="22">
        <v>0</v>
      </c>
      <c r="K1409" s="22">
        <v>0</v>
      </c>
      <c r="L1409" s="22">
        <v>0</v>
      </c>
      <c r="M1409" s="22">
        <v>0</v>
      </c>
      <c r="N1409" s="22">
        <v>0</v>
      </c>
      <c r="O1409" s="22">
        <v>0</v>
      </c>
    </row>
    <row r="1410" spans="2:28" s="19" customFormat="1" hidden="1">
      <c r="B1410" s="347"/>
      <c r="C1410" s="348" t="str">
        <f>"Total "&amp;C1405</f>
        <v>Total NOX</v>
      </c>
      <c r="D1410" s="644"/>
      <c r="E1410" s="194" t="s">
        <v>724</v>
      </c>
      <c r="F1410" s="195">
        <f t="shared" ref="F1410:O1410" si="283">SUM(F1406:F1409)</f>
        <v>0</v>
      </c>
      <c r="G1410" s="195">
        <f t="shared" si="283"/>
        <v>0</v>
      </c>
      <c r="H1410" s="195">
        <f t="shared" si="283"/>
        <v>0</v>
      </c>
      <c r="I1410" s="195">
        <f t="shared" si="283"/>
        <v>0</v>
      </c>
      <c r="J1410" s="195">
        <f t="shared" si="283"/>
        <v>0</v>
      </c>
      <c r="K1410" s="195">
        <f t="shared" si="283"/>
        <v>0</v>
      </c>
      <c r="L1410" s="195">
        <f t="shared" si="283"/>
        <v>0</v>
      </c>
      <c r="M1410" s="195">
        <f t="shared" si="283"/>
        <v>0</v>
      </c>
      <c r="N1410" s="195">
        <f t="shared" si="283"/>
        <v>0</v>
      </c>
      <c r="O1410" s="195">
        <f t="shared" si="283"/>
        <v>0</v>
      </c>
    </row>
    <row r="1411" spans="2:28" s="19" customFormat="1" hidden="1">
      <c r="B1411" s="348"/>
      <c r="C1411" s="1086"/>
      <c r="D1411" s="644"/>
    </row>
    <row r="1412" spans="2:28" s="19" customFormat="1" hidden="1">
      <c r="B1412" s="348" t="str">
        <f>INDEX(AirQualityVectors[Code],MATCH(C1412,AirQualityVectors[Description],0))</f>
        <v>AQ.03</v>
      </c>
      <c r="C1412" s="1086" t="s">
        <v>720</v>
      </c>
      <c r="D1412" s="644"/>
      <c r="E1412" s="76"/>
    </row>
    <row r="1413" spans="2:28" s="19" customFormat="1" hidden="1">
      <c r="B1413" s="347" t="s">
        <v>371</v>
      </c>
      <c r="C1413" s="1086" t="s">
        <v>105</v>
      </c>
      <c r="D1413" s="644"/>
      <c r="E1413" s="154"/>
      <c r="F1413" s="22">
        <v>0</v>
      </c>
      <c r="G1413" s="22">
        <v>0</v>
      </c>
      <c r="H1413" s="22">
        <v>0</v>
      </c>
      <c r="I1413" s="22">
        <v>0</v>
      </c>
      <c r="J1413" s="22">
        <v>0</v>
      </c>
      <c r="K1413" s="22">
        <v>0</v>
      </c>
      <c r="L1413" s="22">
        <v>0</v>
      </c>
      <c r="M1413" s="22">
        <v>0</v>
      </c>
      <c r="N1413" s="22">
        <v>0</v>
      </c>
      <c r="O1413" s="22">
        <v>0</v>
      </c>
      <c r="S1413" s="253"/>
      <c r="T1413" s="253"/>
      <c r="U1413" s="253"/>
      <c r="V1413" s="253"/>
      <c r="W1413" s="253"/>
      <c r="X1413" s="253"/>
      <c r="Y1413" s="253"/>
      <c r="Z1413" s="253"/>
      <c r="AA1413" s="253"/>
      <c r="AB1413" s="253"/>
    </row>
    <row r="1414" spans="2:28" s="19" customFormat="1" hidden="1">
      <c r="B1414" s="347" t="s">
        <v>372</v>
      </c>
      <c r="C1414" s="1086" t="s">
        <v>367</v>
      </c>
      <c r="D1414" s="644"/>
      <c r="E1414" s="154"/>
      <c r="F1414" s="22">
        <v>0</v>
      </c>
      <c r="G1414" s="22">
        <v>0</v>
      </c>
      <c r="H1414" s="22">
        <v>0</v>
      </c>
      <c r="I1414" s="22">
        <v>0</v>
      </c>
      <c r="J1414" s="22">
        <v>0</v>
      </c>
      <c r="K1414" s="22">
        <v>0</v>
      </c>
      <c r="L1414" s="22">
        <v>0</v>
      </c>
      <c r="M1414" s="22">
        <v>0</v>
      </c>
      <c r="N1414" s="22">
        <v>0</v>
      </c>
      <c r="O1414" s="22">
        <v>0</v>
      </c>
      <c r="S1414" s="253"/>
      <c r="T1414" s="253"/>
      <c r="U1414" s="253"/>
      <c r="V1414" s="253"/>
      <c r="W1414" s="253"/>
      <c r="X1414" s="253"/>
      <c r="Y1414" s="253"/>
      <c r="Z1414" s="253"/>
      <c r="AA1414" s="253"/>
      <c r="AB1414" s="253"/>
    </row>
    <row r="1415" spans="2:28" s="19" customFormat="1" hidden="1">
      <c r="B1415" s="347" t="s">
        <v>373</v>
      </c>
      <c r="C1415" s="1086" t="s">
        <v>368</v>
      </c>
      <c r="D1415" s="644"/>
      <c r="E1415" s="154"/>
      <c r="F1415" s="22">
        <v>0</v>
      </c>
      <c r="G1415" s="22">
        <v>0</v>
      </c>
      <c r="H1415" s="22">
        <v>0</v>
      </c>
      <c r="I1415" s="22">
        <v>0</v>
      </c>
      <c r="J1415" s="22">
        <v>0</v>
      </c>
      <c r="K1415" s="22">
        <v>0</v>
      </c>
      <c r="L1415" s="22">
        <v>0</v>
      </c>
      <c r="M1415" s="22">
        <v>0</v>
      </c>
      <c r="N1415" s="22">
        <v>0</v>
      </c>
      <c r="O1415" s="22">
        <v>0</v>
      </c>
      <c r="S1415" s="253"/>
      <c r="T1415" s="253"/>
      <c r="U1415" s="253"/>
      <c r="V1415" s="253"/>
      <c r="W1415" s="253"/>
      <c r="X1415" s="253"/>
      <c r="Y1415" s="253"/>
      <c r="Z1415" s="253"/>
      <c r="AA1415" s="253"/>
      <c r="AB1415" s="253"/>
    </row>
    <row r="1416" spans="2:28" s="19" customFormat="1" hidden="1">
      <c r="B1416" s="347" t="s">
        <v>374</v>
      </c>
      <c r="C1416" s="1086" t="s">
        <v>97</v>
      </c>
      <c r="D1416" s="644"/>
      <c r="E1416" s="154"/>
      <c r="F1416" s="22">
        <v>0</v>
      </c>
      <c r="G1416" s="22">
        <v>0</v>
      </c>
      <c r="H1416" s="22">
        <v>0</v>
      </c>
      <c r="I1416" s="22">
        <v>0</v>
      </c>
      <c r="J1416" s="22">
        <v>0</v>
      </c>
      <c r="K1416" s="22">
        <v>0</v>
      </c>
      <c r="L1416" s="22">
        <v>0</v>
      </c>
      <c r="M1416" s="22">
        <v>0</v>
      </c>
      <c r="N1416" s="22">
        <v>0</v>
      </c>
      <c r="O1416" s="22">
        <v>0</v>
      </c>
      <c r="S1416" s="253"/>
      <c r="T1416" s="253"/>
      <c r="U1416" s="253"/>
      <c r="V1416" s="253"/>
      <c r="W1416" s="253"/>
      <c r="X1416" s="253"/>
      <c r="Y1416" s="253"/>
      <c r="Z1416" s="253"/>
      <c r="AA1416" s="253"/>
      <c r="AB1416" s="253"/>
    </row>
    <row r="1417" spans="2:28" s="19" customFormat="1" hidden="1">
      <c r="B1417" s="347"/>
      <c r="C1417" s="348" t="str">
        <f>"Total "&amp;C1412</f>
        <v>Total SO2</v>
      </c>
      <c r="D1417" s="644"/>
      <c r="E1417" s="194" t="s">
        <v>724</v>
      </c>
      <c r="F1417" s="195">
        <f t="shared" ref="F1417:O1417" si="284">SUM(F1413:F1416)</f>
        <v>0</v>
      </c>
      <c r="G1417" s="195">
        <f t="shared" si="284"/>
        <v>0</v>
      </c>
      <c r="H1417" s="195">
        <f t="shared" si="284"/>
        <v>0</v>
      </c>
      <c r="I1417" s="195">
        <f t="shared" si="284"/>
        <v>0</v>
      </c>
      <c r="J1417" s="195">
        <f t="shared" si="284"/>
        <v>0</v>
      </c>
      <c r="K1417" s="195">
        <f t="shared" si="284"/>
        <v>0</v>
      </c>
      <c r="L1417" s="195">
        <f t="shared" si="284"/>
        <v>0</v>
      </c>
      <c r="M1417" s="195">
        <f t="shared" si="284"/>
        <v>0</v>
      </c>
      <c r="N1417" s="195">
        <f t="shared" si="284"/>
        <v>0</v>
      </c>
      <c r="O1417" s="195">
        <f t="shared" si="284"/>
        <v>0</v>
      </c>
      <c r="S1417" s="293"/>
      <c r="T1417" s="293"/>
      <c r="U1417" s="293"/>
      <c r="V1417" s="293"/>
      <c r="W1417" s="293"/>
      <c r="X1417" s="293"/>
      <c r="Y1417" s="293"/>
      <c r="Z1417" s="293"/>
      <c r="AA1417" s="293"/>
      <c r="AB1417" s="293"/>
    </row>
    <row r="1418" spans="2:28" s="19" customFormat="1" hidden="1">
      <c r="B1418" s="348"/>
      <c r="C1418" s="1086"/>
      <c r="D1418" s="644"/>
      <c r="S1418" s="166"/>
      <c r="T1418" s="166"/>
      <c r="U1418" s="166"/>
      <c r="V1418" s="166"/>
      <c r="W1418" s="166"/>
      <c r="X1418" s="166"/>
      <c r="Y1418" s="166"/>
      <c r="Z1418" s="166"/>
      <c r="AA1418" s="166"/>
      <c r="AB1418" s="166"/>
    </row>
    <row r="1419" spans="2:28" s="19" customFormat="1" hidden="1">
      <c r="B1419" s="348" t="str">
        <f>INDEX(AirQualityVectors[Code],MATCH(C1419,AirQualityVectors[Description],0))</f>
        <v>AQ.04</v>
      </c>
      <c r="C1419" s="1086" t="s">
        <v>718</v>
      </c>
      <c r="D1419" s="644"/>
      <c r="E1419" s="76"/>
    </row>
    <row r="1420" spans="2:28" s="19" customFormat="1" hidden="1">
      <c r="B1420" s="347" t="s">
        <v>371</v>
      </c>
      <c r="C1420" s="1086" t="s">
        <v>105</v>
      </c>
      <c r="D1420" s="644"/>
      <c r="E1420" s="154"/>
      <c r="F1420" s="22">
        <v>0</v>
      </c>
      <c r="G1420" s="22">
        <v>0</v>
      </c>
      <c r="H1420" s="22">
        <v>0</v>
      </c>
      <c r="I1420" s="22">
        <v>0</v>
      </c>
      <c r="J1420" s="22">
        <v>0</v>
      </c>
      <c r="K1420" s="22">
        <v>0</v>
      </c>
      <c r="L1420" s="22">
        <v>0</v>
      </c>
      <c r="M1420" s="22">
        <v>0</v>
      </c>
      <c r="N1420" s="22">
        <v>0</v>
      </c>
      <c r="O1420" s="22">
        <v>0</v>
      </c>
    </row>
    <row r="1421" spans="2:28" s="19" customFormat="1" hidden="1">
      <c r="B1421" s="347" t="s">
        <v>372</v>
      </c>
      <c r="C1421" s="1086" t="s">
        <v>367</v>
      </c>
      <c r="D1421" s="644"/>
      <c r="E1421" s="154"/>
      <c r="F1421" s="22">
        <v>0</v>
      </c>
      <c r="G1421" s="22">
        <v>0</v>
      </c>
      <c r="H1421" s="22">
        <v>0</v>
      </c>
      <c r="I1421" s="22">
        <v>0</v>
      </c>
      <c r="J1421" s="22">
        <v>0</v>
      </c>
      <c r="K1421" s="22">
        <v>0</v>
      </c>
      <c r="L1421" s="22">
        <v>0</v>
      </c>
      <c r="M1421" s="22">
        <v>0</v>
      </c>
      <c r="N1421" s="22">
        <v>0</v>
      </c>
      <c r="O1421" s="22">
        <v>0</v>
      </c>
    </row>
    <row r="1422" spans="2:28" s="19" customFormat="1" hidden="1">
      <c r="B1422" s="347" t="s">
        <v>373</v>
      </c>
      <c r="C1422" s="1086" t="s">
        <v>368</v>
      </c>
      <c r="D1422" s="644"/>
      <c r="E1422" s="154"/>
      <c r="F1422" s="22">
        <v>0</v>
      </c>
      <c r="G1422" s="22">
        <v>0</v>
      </c>
      <c r="H1422" s="22">
        <v>0</v>
      </c>
      <c r="I1422" s="22">
        <v>0</v>
      </c>
      <c r="J1422" s="22">
        <v>0</v>
      </c>
      <c r="K1422" s="22">
        <v>0</v>
      </c>
      <c r="L1422" s="22">
        <v>0</v>
      </c>
      <c r="M1422" s="22">
        <v>0</v>
      </c>
      <c r="N1422" s="22">
        <v>0</v>
      </c>
      <c r="O1422" s="22">
        <v>0</v>
      </c>
    </row>
    <row r="1423" spans="2:28" s="19" customFormat="1" hidden="1">
      <c r="B1423" s="347" t="s">
        <v>374</v>
      </c>
      <c r="C1423" s="1086" t="s">
        <v>97</v>
      </c>
      <c r="D1423" s="644"/>
      <c r="E1423" s="154"/>
      <c r="F1423" s="22">
        <v>0</v>
      </c>
      <c r="G1423" s="22">
        <v>0</v>
      </c>
      <c r="H1423" s="22">
        <v>0</v>
      </c>
      <c r="I1423" s="22">
        <v>0</v>
      </c>
      <c r="J1423" s="22">
        <v>0</v>
      </c>
      <c r="K1423" s="22">
        <v>0</v>
      </c>
      <c r="L1423" s="22">
        <v>0</v>
      </c>
      <c r="M1423" s="22">
        <v>0</v>
      </c>
      <c r="N1423" s="22">
        <v>0</v>
      </c>
      <c r="O1423" s="22">
        <v>0</v>
      </c>
    </row>
    <row r="1424" spans="2:28" s="19" customFormat="1" hidden="1">
      <c r="B1424" s="348"/>
      <c r="C1424" s="348" t="str">
        <f>"Total "&amp;C1419</f>
        <v>Total NMVOC</v>
      </c>
      <c r="D1424" s="644"/>
      <c r="E1424" s="194" t="s">
        <v>724</v>
      </c>
      <c r="F1424" s="659">
        <f t="shared" ref="F1424:O1424" si="285">SUM(F1420:F1423)</f>
        <v>0</v>
      </c>
      <c r="G1424" s="659">
        <f t="shared" si="285"/>
        <v>0</v>
      </c>
      <c r="H1424" s="659">
        <f t="shared" si="285"/>
        <v>0</v>
      </c>
      <c r="I1424" s="659">
        <f t="shared" si="285"/>
        <v>0</v>
      </c>
      <c r="J1424" s="659">
        <f t="shared" si="285"/>
        <v>0</v>
      </c>
      <c r="K1424" s="659">
        <f t="shared" si="285"/>
        <v>0</v>
      </c>
      <c r="L1424" s="659">
        <f t="shared" si="285"/>
        <v>0</v>
      </c>
      <c r="M1424" s="659">
        <f t="shared" si="285"/>
        <v>0</v>
      </c>
      <c r="N1424" s="659">
        <f t="shared" si="285"/>
        <v>0</v>
      </c>
      <c r="O1424" s="659">
        <f t="shared" si="285"/>
        <v>0</v>
      </c>
    </row>
    <row r="1425" spans="1:15" s="166" customFormat="1" ht="14" thickBot="1">
      <c r="A1425" s="650"/>
      <c r="B1425" s="649"/>
      <c r="C1425" s="649"/>
      <c r="D1425" s="647"/>
      <c r="E1425" s="658"/>
      <c r="F1425" s="657"/>
      <c r="G1425" s="657"/>
      <c r="H1425" s="657"/>
      <c r="I1425" s="657"/>
      <c r="J1425" s="657"/>
      <c r="K1425" s="657"/>
      <c r="L1425" s="657"/>
      <c r="M1425" s="657"/>
      <c r="N1425" s="657"/>
      <c r="O1425" s="657"/>
    </row>
    <row r="1426" spans="1:15" s="19" customFormat="1" ht="14" thickTop="1">
      <c r="B1426" s="348"/>
      <c r="C1426" s="1086"/>
      <c r="D1426" s="644"/>
      <c r="E1426" s="154"/>
      <c r="F1426" s="22"/>
      <c r="G1426" s="22"/>
      <c r="H1426" s="22"/>
      <c r="I1426" s="22"/>
      <c r="J1426" s="22"/>
      <c r="K1426" s="22"/>
      <c r="L1426" s="22"/>
      <c r="M1426" s="22"/>
      <c r="N1426" s="22"/>
      <c r="O1426" s="22"/>
    </row>
    <row r="1427" spans="1:15" s="19" customFormat="1">
      <c r="B1427" s="348" t="s">
        <v>376</v>
      </c>
      <c r="C1427" s="348"/>
      <c r="D1427" s="644"/>
      <c r="E1427" s="17" t="s">
        <v>1328</v>
      </c>
      <c r="F1427" s="22"/>
      <c r="G1427" s="22"/>
      <c r="H1427" s="22"/>
      <c r="I1427" s="22"/>
      <c r="J1427" s="22"/>
      <c r="K1427" s="22"/>
      <c r="L1427" s="22"/>
      <c r="M1427" s="22"/>
      <c r="N1427" s="22"/>
    </row>
    <row r="1428" spans="1:15" s="19" customFormat="1" ht="14">
      <c r="B1428" s="348"/>
      <c r="C1428" s="348"/>
      <c r="D1428" s="644"/>
      <c r="E1428" s="154"/>
      <c r="F1428" s="350">
        <f>Base_Year</f>
        <v>2006</v>
      </c>
      <c r="G1428" s="350">
        <v>2010</v>
      </c>
      <c r="H1428" s="350">
        <v>2015</v>
      </c>
      <c r="I1428" s="350">
        <v>2020</v>
      </c>
      <c r="J1428" s="350">
        <v>2025</v>
      </c>
      <c r="K1428" s="350">
        <v>2030</v>
      </c>
      <c r="L1428" s="350">
        <v>2035</v>
      </c>
      <c r="M1428" s="350">
        <v>2040</v>
      </c>
      <c r="N1428" s="350">
        <v>2045</v>
      </c>
      <c r="O1428" s="350">
        <v>2050</v>
      </c>
    </row>
    <row r="1429" spans="1:15" s="19" customFormat="1">
      <c r="B1429" s="348"/>
      <c r="C1429" s="348"/>
      <c r="D1429" s="644"/>
      <c r="E1429" s="154"/>
      <c r="F1429" s="22"/>
      <c r="G1429" s="22"/>
      <c r="H1429" s="22"/>
      <c r="I1429" s="22"/>
      <c r="J1429" s="22"/>
      <c r="K1429" s="22"/>
      <c r="L1429" s="22"/>
      <c r="M1429" s="22"/>
      <c r="N1429" s="22"/>
    </row>
    <row r="1430" spans="1:15" s="19" customFormat="1" collapsed="1">
      <c r="B1430" s="76" t="s">
        <v>349</v>
      </c>
      <c r="C1430" s="1086"/>
      <c r="D1430" s="654"/>
      <c r="E1430" s="196"/>
      <c r="F1430" s="349"/>
      <c r="G1430" s="349"/>
      <c r="H1430" s="349"/>
      <c r="I1430" s="349"/>
      <c r="J1430" s="349"/>
      <c r="K1430" s="349"/>
      <c r="L1430" s="349"/>
      <c r="M1430" s="349"/>
      <c r="N1430" s="349"/>
      <c r="O1430" s="349"/>
    </row>
    <row r="1431" spans="1:15" s="19" customFormat="1" ht="14" hidden="1" outlineLevel="1">
      <c r="B1431" s="1393"/>
      <c r="C1431" s="1407" t="str">
        <f>D20</f>
        <v>Mining SIC2</v>
      </c>
      <c r="D1431" s="1391"/>
      <c r="E1431" s="1401"/>
      <c r="F1431" s="1390"/>
      <c r="G1431" s="1390"/>
      <c r="H1431" s="1390"/>
      <c r="I1431" s="1390"/>
      <c r="J1431" s="1390"/>
      <c r="K1431" s="1390"/>
      <c r="L1431" s="1390"/>
      <c r="M1431" s="1390"/>
      <c r="N1431" s="1390"/>
      <c r="O1431" s="1390"/>
    </row>
    <row r="1432" spans="1:15" s="19" customFormat="1" hidden="1" outlineLevel="1">
      <c r="A1432" s="1438" t="str">
        <f>INDEX($C$20:$C$27,MATCH($C1431,$D$20:$D$27,0))</f>
        <v>MI</v>
      </c>
      <c r="B1432" s="1400" t="str">
        <f>INDEX(EF[UK Vector],MATCH(D1432,EF[SATIM Code],0))</f>
        <v>V.03</v>
      </c>
      <c r="C1432" s="1401" t="str">
        <f>INDEX(Vectors[Description], MATCH($B1432, Vectors[Code], 0))</f>
        <v>Solid hydrocarbons</v>
      </c>
      <c r="D1432" s="1391" t="s">
        <v>882</v>
      </c>
      <c r="E1432" s="1401" t="str">
        <f>"Mt/"&amp;Preferences.EnergyUnits</f>
        <v>Mt/PJ</v>
      </c>
      <c r="F1432" s="1389">
        <f t="array" ref="F1432" xml:space="preserve"> SUM(EF[CO2] * (EF[SATIM Code]= $D1432))  * (SUM( ($A$768:$A$846=$A1432) * ($D$768:$D$846= $D1432) * (F$768:F$846) )  +  SUM( ($A$933:$A$1011=$A1432) * ($D$933:$D$1011= $D1432) * (F$933:F$1011) ) + SUM( ($E$1016:$E$1039=$E$1427)*($A$1016:$A$1039=$A1432) * ($D$1016:$D$1039=$D1432)*(F$1016:F$1039) ) )</f>
        <v>5.1284278237499992</v>
      </c>
      <c r="G1432" s="1389">
        <f t="array" ref="G1432" xml:space="preserve"> SUM(EF[CO2] * (EF[SATIM Code]= $D1432))  * (SUM( ($A$768:$A$846=$A1432) * ($D$768:$D$846= $D1432) * (G$768:G$846) )  +  SUM( ($A$933:$A$1011=$A1432) * ($D$933:$D$1011= $D1432) * (G$933:G$1011) ) + SUM( ($E$1016:$E$1039=$E$1427)*($A$1016:$A$1039=$A1432) * ($D$1016:$D$1039=$D1432)*(G$1016:G$1039) ) )</f>
        <v>6.0237123171663534</v>
      </c>
      <c r="H1432" s="1389">
        <f t="array" ref="H1432" xml:space="preserve"> SUM(EF[CO2] * (EF[SATIM Code]= $D1432))  * (SUM( ($A$768:$A$846=$A1432) * ($D$768:$D$846= $D1432) * (H$768:H$846) )  +  SUM( ($A$933:$A$1011=$A1432) * ($D$933:$D$1011= $D1432) * (H$933:H$1011) ) + SUM( ($E$1016:$E$1039=$E$1427)*($A$1016:$A$1039=$A1432) * ($D$1016:$D$1039=$D1432)*(H$1016:H$1039) ) )</f>
        <v>7.6009818463562571</v>
      </c>
      <c r="I1432" s="1389">
        <f t="array" ref="I1432" xml:space="preserve"> SUM(EF[CO2] * (EF[SATIM Code]= $D1432))  * (SUM( ($A$768:$A$846=$A1432) * ($D$768:$D$846= $D1432) * (I$768:I$846) )  +  SUM( ($A$933:$A$1011=$A1432) * ($D$933:$D$1011= $D1432) * (I$933:I$1011) ) + SUM( ($E$1016:$E$1039=$E$1427)*($A$1016:$A$1039=$A1432) * ($D$1016:$D$1039=$D1432)*(I$1016:I$1039) ) )</f>
        <v>9.1782513755461625</v>
      </c>
      <c r="J1432" s="1389">
        <f t="array" ref="J1432" xml:space="preserve"> SUM(EF[CO2] * (EF[SATIM Code]= $D1432))  * (SUM( ($A$768:$A$846=$A1432) * ($D$768:$D$846= $D1432) * (J$768:J$846) )  +  SUM( ($A$933:$A$1011=$A1432) * ($D$933:$D$1011= $D1432) * (J$933:J$1011) ) + SUM( ($E$1016:$E$1039=$E$1427)*($A$1016:$A$1039=$A1432) * ($D$1016:$D$1039=$D1432)*(J$1016:J$1039) ) )</f>
        <v>11.845326355725902</v>
      </c>
      <c r="K1432" s="1389">
        <f t="array" ref="K1432" xml:space="preserve"> SUM(EF[CO2] * (EF[SATIM Code]= $D1432))  * (SUM( ($A$768:$A$846=$A1432) * ($D$768:$D$846= $D1432) * (K$768:K$846) )  +  SUM( ($A$933:$A$1011=$A1432) * ($D$933:$D$1011= $D1432) * (K$933:K$1011) ) + SUM( ($E$1016:$E$1039=$E$1427)*($A$1016:$A$1039=$A1432) * ($D$1016:$D$1039=$D1432)*(K$1016:K$1039) ) )</f>
        <v>14.512401335905643</v>
      </c>
      <c r="L1432" s="1389">
        <f t="array" ref="L1432" xml:space="preserve"> SUM(EF[CO2] * (EF[SATIM Code]= $D1432))  * (SUM( ($A$768:$A$846=$A1432) * ($D$768:$D$846= $D1432) * (L$768:L$846) )  +  SUM( ($A$933:$A$1011=$A1432) * ($D$933:$D$1011= $D1432) * (L$933:L$1011) ) + SUM( ($E$1016:$E$1039=$E$1427)*($A$1016:$A$1039=$A1432) * ($D$1016:$D$1039=$D1432)*(L$1016:L$1039) ) )</f>
        <v>18.606904052399621</v>
      </c>
      <c r="M1432" s="1389">
        <f t="array" ref="M1432" xml:space="preserve"> SUM(EF[CO2] * (EF[SATIM Code]= $D1432))  * (SUM( ($A$768:$A$846=$A1432) * ($D$768:$D$846= $D1432) * (M$768:M$846) )  +  SUM( ($A$933:$A$1011=$A1432) * ($D$933:$D$1011= $D1432) * (M$933:M$1011) ) + SUM( ($E$1016:$E$1039=$E$1427)*($A$1016:$A$1039=$A1432) * ($D$1016:$D$1039=$D1432)*(M$1016:M$1039) ) )</f>
        <v>22.701406768893598</v>
      </c>
      <c r="N1432" s="1389">
        <f t="array" ref="N1432" xml:space="preserve"> SUM(EF[CO2] * (EF[SATIM Code]= $D1432))  * (SUM( ($A$768:$A$846=$A1432) * ($D$768:$D$846= $D1432) * (N$768:N$846) )  +  SUM( ($A$933:$A$1011=$A1432) * ($D$933:$D$1011= $D1432) * (N$933:N$1011) ) + SUM( ($E$1016:$E$1039=$E$1427)*($A$1016:$A$1039=$A1432) * ($D$1016:$D$1039=$D1432)*(N$1016:N$1039) ) )</f>
        <v>27.632315039646603</v>
      </c>
      <c r="O1432" s="1389">
        <f t="array" ref="O1432" xml:space="preserve"> SUM(EF[CO2] * (EF[SATIM Code]= $D1432))  * (SUM( ($A$768:$A$846=$A1432) * ($D$768:$D$846= $D1432) * (O$768:O$846) )  +  SUM( ($A$933:$A$1011=$A1432) * ($D$933:$D$1011= $D1432) * (O$933:O$1011) ) + SUM( ($E$1016:$E$1039=$E$1427)*($A$1016:$A$1039=$A1432) * ($D$1016:$D$1039=$D1432)*(O$1016:O$1039) ) )</f>
        <v>32.563223310399607</v>
      </c>
    </row>
    <row r="1433" spans="1:15" s="19" customFormat="1" hidden="1" outlineLevel="1">
      <c r="A1433" s="19" t="str">
        <f t="shared" ref="A1433:A1440" si="286">A1432</f>
        <v>MI</v>
      </c>
      <c r="B1433" s="1400" t="str">
        <f>INDEX(EF[UK Vector],MATCH(D1433,EF[SATIM Code],0))</f>
        <v>V.03</v>
      </c>
      <c r="C1433" s="1401" t="str">
        <f>INDEX(Vectors[Description], MATCH($B1433, Vectors[Code], 0))</f>
        <v>Solid hydrocarbons</v>
      </c>
      <c r="D1433" s="1391" t="s">
        <v>883</v>
      </c>
      <c r="E1433" s="1401"/>
      <c r="F1433" s="1389">
        <f t="array" ref="F1433" xml:space="preserve"> SUM(EF[CO2] * (EF[SATIM Code]= $D1433))  * (SUM( ($A$768:$A$846=$A1433) * ($D$768:$D$846= $D1433) * (F$768:F$846) )  +  SUM( ($A$933:$A$1011=$A1433) * ($D$933:$D$1011= $D1433) * (F$933:F$1011) ) + SUM( ($E$1016:$E$1039=$E$1427)*($A$1016:$A$1039=$A1433) * ($D$1016:$D$1039=$D1433)*(F$1016:F$1039) ) )</f>
        <v>0</v>
      </c>
      <c r="G1433" s="1389">
        <f t="array" ref="G1433" xml:space="preserve"> SUM(EF[CO2] * (EF[SATIM Code]= $D1433))  * (SUM( ($A$768:$A$846=$A1433) * ($D$768:$D$846= $D1433) * (G$768:G$846) )  +  SUM( ($A$933:$A$1011=$A1433) * ($D$933:$D$1011= $D1433) * (G$933:G$1011) ) + SUM( ($E$1016:$E$1039=$E$1427)*($A$1016:$A$1039=$A1433) * ($D$1016:$D$1039=$D1433)*(G$1016:G$1039) ) )</f>
        <v>0</v>
      </c>
      <c r="H1433" s="1389">
        <f t="array" ref="H1433" xml:space="preserve"> SUM(EF[CO2] * (EF[SATIM Code]= $D1433))  * (SUM( ($A$768:$A$846=$A1433) * ($D$768:$D$846= $D1433) * (H$768:H$846) )  +  SUM( ($A$933:$A$1011=$A1433) * ($D$933:$D$1011= $D1433) * (H$933:H$1011) ) + SUM( ($E$1016:$E$1039=$E$1427)*($A$1016:$A$1039=$A1433) * ($D$1016:$D$1039=$D1433)*(H$1016:H$1039) ) )</f>
        <v>0</v>
      </c>
      <c r="I1433" s="1389">
        <f t="array" ref="I1433" xml:space="preserve"> SUM(EF[CO2] * (EF[SATIM Code]= $D1433))  * (SUM( ($A$768:$A$846=$A1433) * ($D$768:$D$846= $D1433) * (I$768:I$846) )  +  SUM( ($A$933:$A$1011=$A1433) * ($D$933:$D$1011= $D1433) * (I$933:I$1011) ) + SUM( ($E$1016:$E$1039=$E$1427)*($A$1016:$A$1039=$A1433) * ($D$1016:$D$1039=$D1433)*(I$1016:I$1039) ) )</f>
        <v>0</v>
      </c>
      <c r="J1433" s="1389">
        <f t="array" ref="J1433" xml:space="preserve"> SUM(EF[CO2] * (EF[SATIM Code]= $D1433))  * (SUM( ($A$768:$A$846=$A1433) * ($D$768:$D$846= $D1433) * (J$768:J$846) )  +  SUM( ($A$933:$A$1011=$A1433) * ($D$933:$D$1011= $D1433) * (J$933:J$1011) ) + SUM( ($E$1016:$E$1039=$E$1427)*($A$1016:$A$1039=$A1433) * ($D$1016:$D$1039=$D1433)*(J$1016:J$1039) ) )</f>
        <v>0</v>
      </c>
      <c r="K1433" s="1389">
        <f t="array" ref="K1433" xml:space="preserve"> SUM(EF[CO2] * (EF[SATIM Code]= $D1433))  * (SUM( ($A$768:$A$846=$A1433) * ($D$768:$D$846= $D1433) * (K$768:K$846) )  +  SUM( ($A$933:$A$1011=$A1433) * ($D$933:$D$1011= $D1433) * (K$933:K$1011) ) + SUM( ($E$1016:$E$1039=$E$1427)*($A$1016:$A$1039=$A1433) * ($D$1016:$D$1039=$D1433)*(K$1016:K$1039) ) )</f>
        <v>0</v>
      </c>
      <c r="L1433" s="1389">
        <f t="array" ref="L1433" xml:space="preserve"> SUM(EF[CO2] * (EF[SATIM Code]= $D1433))  * (SUM( ($A$768:$A$846=$A1433) * ($D$768:$D$846= $D1433) * (L$768:L$846) )  +  SUM( ($A$933:$A$1011=$A1433) * ($D$933:$D$1011= $D1433) * (L$933:L$1011) ) + SUM( ($E$1016:$E$1039=$E$1427)*($A$1016:$A$1039=$A1433) * ($D$1016:$D$1039=$D1433)*(L$1016:L$1039) ) )</f>
        <v>0</v>
      </c>
      <c r="M1433" s="1389">
        <f t="array" ref="M1433" xml:space="preserve"> SUM(EF[CO2] * (EF[SATIM Code]= $D1433))  * (SUM( ($A$768:$A$846=$A1433) * ($D$768:$D$846= $D1433) * (M$768:M$846) )  +  SUM( ($A$933:$A$1011=$A1433) * ($D$933:$D$1011= $D1433) * (M$933:M$1011) ) + SUM( ($E$1016:$E$1039=$E$1427)*($A$1016:$A$1039=$A1433) * ($D$1016:$D$1039=$D1433)*(M$1016:M$1039) ) )</f>
        <v>0</v>
      </c>
      <c r="N1433" s="1389">
        <f t="array" ref="N1433" xml:space="preserve"> SUM(EF[CO2] * (EF[SATIM Code]= $D1433))  * (SUM( ($A$768:$A$846=$A1433) * ($D$768:$D$846= $D1433) * (N$768:N$846) )  +  SUM( ($A$933:$A$1011=$A1433) * ($D$933:$D$1011= $D1433) * (N$933:N$1011) ) + SUM( ($E$1016:$E$1039=$E$1427)*($A$1016:$A$1039=$A1433) * ($D$1016:$D$1039=$D1433)*(N$1016:N$1039) ) )</f>
        <v>0</v>
      </c>
      <c r="O1433" s="1389">
        <f t="array" ref="O1433" xml:space="preserve"> SUM(EF[CO2] * (EF[SATIM Code]= $D1433))  * (SUM( ($A$768:$A$846=$A1433) * ($D$768:$D$846= $D1433) * (O$768:O$846) )  +  SUM( ($A$933:$A$1011=$A1433) * ($D$933:$D$1011= $D1433) * (O$933:O$1011) ) + SUM( ($E$1016:$E$1039=$E$1427)*($A$1016:$A$1039=$A1433) * ($D$1016:$D$1039=$D1433)*(O$1016:O$1039) ) )</f>
        <v>0</v>
      </c>
    </row>
    <row r="1434" spans="1:15" s="19" customFormat="1" hidden="1" outlineLevel="1">
      <c r="A1434" s="19" t="str">
        <f t="shared" si="286"/>
        <v>MI</v>
      </c>
      <c r="B1434" s="1400" t="str">
        <f>INDEX(EF[UK Vector],MATCH(D1434,EF[SATIM Code],0))</f>
        <v>V.05</v>
      </c>
      <c r="C1434" s="1401" t="str">
        <f>INDEX(Vectors[Description], MATCH($B1434, Vectors[Code], 0))</f>
        <v>Gaseous hydrocarbons</v>
      </c>
      <c r="D1434" s="1406" t="s">
        <v>869</v>
      </c>
      <c r="E1434" s="1401"/>
      <c r="F1434" s="1389">
        <f t="array" ref="F1434" xml:space="preserve"> SUM(EF[CO2] * (EF[SATIM Code]= $D1434))  * (SUM( ($A$768:$A$846=$A1434) * ($D$768:$D$846= $D1434) * (F$768:F$846) )  +  SUM( ($A$933:$A$1011=$A1434) * ($D$933:$D$1011= $D1434) * (F$933:F$1011) ) + SUM( ($E$1016:$E$1039=$E$1427)*($A$1016:$A$1039=$A1434) * ($D$1016:$D$1039=$D1434)*(F$1016:F$1039) ) )</f>
        <v>0.16268663399999997</v>
      </c>
      <c r="G1434" s="1389">
        <f t="array" ref="G1434" xml:space="preserve"> SUM(EF[CO2] * (EF[SATIM Code]= $D1434))  * (SUM( ($A$768:$A$846=$A1434) * ($D$768:$D$846= $D1434) * (G$768:G$846) )  +  SUM( ($A$933:$A$1011=$A1434) * ($D$933:$D$1011= $D1434) * (G$933:G$1011) ) + SUM( ($E$1016:$E$1039=$E$1427)*($A$1016:$A$1039=$A1434) * ($D$1016:$D$1039=$D1434)*(G$1016:G$1039) ) )</f>
        <v>0.19108731072041432</v>
      </c>
      <c r="H1434" s="1389">
        <f t="array" ref="H1434" xml:space="preserve"> SUM(EF[CO2] * (EF[SATIM Code]= $D1434))  * (SUM( ($A$768:$A$846=$A1434) * ($D$768:$D$846= $D1434) * (H$768:H$846) )  +  SUM( ($A$933:$A$1011=$A1434) * ($D$933:$D$1011= $D1434) * (H$933:H$1011) ) + SUM( ($E$1016:$E$1039=$E$1427)*($A$1016:$A$1039=$A1434) * ($D$1016:$D$1039=$D1434)*(H$1016:H$1039) ) )</f>
        <v>0.2411222686906406</v>
      </c>
      <c r="I1434" s="1389">
        <f t="array" ref="I1434" xml:space="preserve"> SUM(EF[CO2] * (EF[SATIM Code]= $D1434))  * (SUM( ($A$768:$A$846=$A1434) * ($D$768:$D$846= $D1434) * (I$768:I$846) )  +  SUM( ($A$933:$A$1011=$A1434) * ($D$933:$D$1011= $D1434) * (I$933:I$1011) ) + SUM( ($E$1016:$E$1039=$E$1427)*($A$1016:$A$1039=$A1434) * ($D$1016:$D$1039=$D1434)*(I$1016:I$1039) ) )</f>
        <v>0.29115722666086685</v>
      </c>
      <c r="J1434" s="1389">
        <f t="array" ref="J1434" xml:space="preserve"> SUM(EF[CO2] * (EF[SATIM Code]= $D1434))  * (SUM( ($A$768:$A$846=$A1434) * ($D$768:$D$846= $D1434) * (J$768:J$846) )  +  SUM( ($A$933:$A$1011=$A1434) * ($D$933:$D$1011= $D1434) * (J$933:J$1011) ) + SUM( ($E$1016:$E$1039=$E$1427)*($A$1016:$A$1039=$A1434) * ($D$1016:$D$1039=$D1434)*(J$1016:J$1039) ) )</f>
        <v>0.37576355555208346</v>
      </c>
      <c r="K1434" s="1389">
        <f t="array" ref="K1434" xml:space="preserve"> SUM(EF[CO2] * (EF[SATIM Code]= $D1434))  * (SUM( ($A$768:$A$846=$A1434) * ($D$768:$D$846= $D1434) * (K$768:K$846) )  +  SUM( ($A$933:$A$1011=$A1434) * ($D$933:$D$1011= $D1434) * (K$933:K$1011) ) + SUM( ($E$1016:$E$1039=$E$1427)*($A$1016:$A$1039=$A1434) * ($D$1016:$D$1039=$D1434)*(K$1016:K$1039) ) )</f>
        <v>0.46036988444330007</v>
      </c>
      <c r="L1434" s="1389">
        <f t="array" ref="L1434" xml:space="preserve"> SUM(EF[CO2] * (EF[SATIM Code]= $D1434))  * (SUM( ($A$768:$A$846=$A1434) * ($D$768:$D$846= $D1434) * (L$768:L$846) )  +  SUM( ($A$933:$A$1011=$A1434) * ($D$933:$D$1011= $D1434) * (L$933:L$1011) ) + SUM( ($E$1016:$E$1039=$E$1427)*($A$1016:$A$1039=$A1434) * ($D$1016:$D$1039=$D1434)*(L$1016:L$1039) ) )</f>
        <v>0.59025781262382804</v>
      </c>
      <c r="M1434" s="1389">
        <f t="array" ref="M1434" xml:space="preserve"> SUM(EF[CO2] * (EF[SATIM Code]= $D1434))  * (SUM( ($A$768:$A$846=$A1434) * ($D$768:$D$846= $D1434) * (M$768:M$846) )  +  SUM( ($A$933:$A$1011=$A1434) * ($D$933:$D$1011= $D1434) * (M$933:M$1011) ) + SUM( ($E$1016:$E$1039=$E$1427)*($A$1016:$A$1039=$A1434) * ($D$1016:$D$1039=$D1434)*(M$1016:M$1039) ) )</f>
        <v>0.720145740804356</v>
      </c>
      <c r="N1434" s="1389">
        <f t="array" ref="N1434" xml:space="preserve"> SUM(EF[CO2] * (EF[SATIM Code]= $D1434))  * (SUM( ($A$768:$A$846=$A1434) * ($D$768:$D$846= $D1434) * (N$768:N$846) )  +  SUM( ($A$933:$A$1011=$A1434) * ($D$933:$D$1011= $D1434) * (N$933:N$1011) ) + SUM( ($E$1016:$E$1039=$E$1427)*($A$1016:$A$1039=$A1434) * ($D$1016:$D$1039=$D1434)*(N$1016:N$1039) ) )</f>
        <v>0.87656655761230107</v>
      </c>
      <c r="O1434" s="1389">
        <f t="array" ref="O1434" xml:space="preserve"> SUM(EF[CO2] * (EF[SATIM Code]= $D1434))  * (SUM( ($A$768:$A$846=$A1434) * ($D$768:$D$846= $D1434) * (O$768:O$846) )  +  SUM( ($A$933:$A$1011=$A1434) * ($D$933:$D$1011= $D1434) * (O$933:O$1011) ) + SUM( ($E$1016:$E$1039=$E$1427)*($A$1016:$A$1039=$A1434) * ($D$1016:$D$1039=$D1434)*(O$1016:O$1039) ) )</f>
        <v>1.032987374420246</v>
      </c>
    </row>
    <row r="1435" spans="1:15" s="19" customFormat="1" hidden="1" outlineLevel="1">
      <c r="A1435" s="19" t="str">
        <f t="shared" si="286"/>
        <v>MI</v>
      </c>
      <c r="B1435" s="1400" t="str">
        <f>INDEX(EF[UK Vector],MATCH(D1435,EF[SATIM Code],0))</f>
        <v>V.04</v>
      </c>
      <c r="C1435" s="1401" t="str">
        <f>INDEX(Vectors[Description], MATCH($B1435, Vectors[Code], 0))</f>
        <v>Liquid hydrocarbons</v>
      </c>
      <c r="D1435" s="1406" t="s">
        <v>885</v>
      </c>
      <c r="E1435" s="1401"/>
      <c r="F1435" s="1389">
        <f t="array" ref="F1435" xml:space="preserve"> SUM(EF[CO2] * (EF[SATIM Code]= $D1435))  * (SUM( ($A$768:$A$846=$A1435) * ($D$768:$D$846= $D1435) * (F$768:F$846) )  +  SUM( ($A$933:$A$1011=$A1435) * ($D$933:$D$1011= $D1435) * (F$933:F$1011) ) + SUM( ($E$1016:$E$1039=$E$1427)*($A$1016:$A$1039=$A1435) * ($D$1016:$D$1039=$D1435)*(F$1016:F$1039) ) )</f>
        <v>5.9804599795199986E-3</v>
      </c>
      <c r="G1435" s="1389">
        <f t="array" ref="G1435" xml:space="preserve"> SUM(EF[CO2] * (EF[SATIM Code]= $D1435))  * (SUM( ($A$768:$A$846=$A1435) * ($D$768:$D$846= $D1435) * (G$768:G$846) )  +  SUM( ($A$933:$A$1011=$A1435) * ($D$933:$D$1011= $D1435) * (G$933:G$1011) ) + SUM( ($E$1016:$E$1039=$E$1427)*($A$1016:$A$1039=$A1435) * ($D$1016:$D$1039=$D1435)*(G$1016:G$1039) ) )</f>
        <v>7.0244861932390879E-3</v>
      </c>
      <c r="H1435" s="1389">
        <f t="array" ref="H1435" xml:space="preserve"> SUM(EF[CO2] * (EF[SATIM Code]= $D1435))  * (SUM( ($A$768:$A$846=$A1435) * ($D$768:$D$846= $D1435) * (H$768:H$846) )  +  SUM( ($A$933:$A$1011=$A1435) * ($D$933:$D$1011= $D1435) * (H$933:H$1011) ) + SUM( ($E$1016:$E$1039=$E$1427)*($A$1016:$A$1039=$A1435) * ($D$1016:$D$1039=$D1435)*(H$1016:H$1039) ) )</f>
        <v>8.8638017925642514E-3</v>
      </c>
      <c r="I1435" s="1389">
        <f t="array" ref="I1435" xml:space="preserve"> SUM(EF[CO2] * (EF[SATIM Code]= $D1435))  * (SUM( ($A$768:$A$846=$A1435) * ($D$768:$D$846= $D1435) * (I$768:I$846) )  +  SUM( ($A$933:$A$1011=$A1435) * ($D$933:$D$1011= $D1435) * (I$933:I$1011) ) + SUM( ($E$1016:$E$1039=$E$1427)*($A$1016:$A$1039=$A1435) * ($D$1016:$D$1039=$D1435)*(I$1016:I$1039) ) )</f>
        <v>1.0703117391889415E-2</v>
      </c>
      <c r="J1435" s="1389">
        <f t="array" ref="J1435" xml:space="preserve"> SUM(EF[CO2] * (EF[SATIM Code]= $D1435))  * (SUM( ($A$768:$A$846=$A1435) * ($D$768:$D$846= $D1435) * (J$768:J$846) )  +  SUM( ($A$933:$A$1011=$A1435) * ($D$933:$D$1011= $D1435) * (J$933:J$1011) ) + SUM( ($E$1016:$E$1039=$E$1427)*($A$1016:$A$1039=$A1435) * ($D$1016:$D$1039=$D1435)*(J$1016:J$1039) ) )</f>
        <v>1.3813297690708723E-2</v>
      </c>
      <c r="K1435" s="1389">
        <f t="array" ref="K1435" xml:space="preserve"> SUM(EF[CO2] * (EF[SATIM Code]= $D1435))  * (SUM( ($A$768:$A$846=$A1435) * ($D$768:$D$846= $D1435) * (K$768:K$846) )  +  SUM( ($A$933:$A$1011=$A1435) * ($D$933:$D$1011= $D1435) * (K$933:K$1011) ) + SUM( ($E$1016:$E$1039=$E$1427)*($A$1016:$A$1039=$A1435) * ($D$1016:$D$1039=$D1435)*(K$1016:K$1039) ) )</f>
        <v>1.6923477989528032E-2</v>
      </c>
      <c r="L1435" s="1389">
        <f t="array" ref="L1435" xml:space="preserve"> SUM(EF[CO2] * (EF[SATIM Code]= $D1435))  * (SUM( ($A$768:$A$846=$A1435) * ($D$768:$D$846= $D1435) * (L$768:L$846) )  +  SUM( ($A$933:$A$1011=$A1435) * ($D$933:$D$1011= $D1435) * (L$933:L$1011) ) + SUM( ($E$1016:$E$1039=$E$1427)*($A$1016:$A$1039=$A1435) * ($D$1016:$D$1039=$D1435)*(L$1016:L$1039) ) )</f>
        <v>2.1698237520826807E-2</v>
      </c>
      <c r="M1435" s="1389">
        <f t="array" ref="M1435" xml:space="preserve"> SUM(EF[CO2] * (EF[SATIM Code]= $D1435))  * (SUM( ($A$768:$A$846=$A1435) * ($D$768:$D$846= $D1435) * (M$768:M$846) )  +  SUM( ($A$933:$A$1011=$A1435) * ($D$933:$D$1011= $D1435) * (M$933:M$1011) ) + SUM( ($E$1016:$E$1039=$E$1427)*($A$1016:$A$1039=$A1435) * ($D$1016:$D$1039=$D1435)*(M$1016:M$1039) ) )</f>
        <v>2.6472997052125583E-2</v>
      </c>
      <c r="N1435" s="1389">
        <f t="array" ref="N1435" xml:space="preserve"> SUM(EF[CO2] * (EF[SATIM Code]= $D1435))  * (SUM( ($A$768:$A$846=$A1435) * ($D$768:$D$846= $D1435) * (N$768:N$846) )  +  SUM( ($A$933:$A$1011=$A1435) * ($D$933:$D$1011= $D1435) * (N$933:N$1011) ) + SUM( ($E$1016:$E$1039=$E$1427)*($A$1016:$A$1039=$A1435) * ($D$1016:$D$1039=$D1435)*(N$1016:N$1039) ) )</f>
        <v>3.2223121766634978E-2</v>
      </c>
      <c r="O1435" s="1389">
        <f t="array" ref="O1435" xml:space="preserve"> SUM(EF[CO2] * (EF[SATIM Code]= $D1435))  * (SUM( ($A$768:$A$846=$A1435) * ($D$768:$D$846= $D1435) * (O$768:O$846) )  +  SUM( ($A$933:$A$1011=$A1435) * ($D$933:$D$1011= $D1435) * (O$933:O$1011) ) + SUM( ($E$1016:$E$1039=$E$1427)*($A$1016:$A$1039=$A1435) * ($D$1016:$D$1039=$D1435)*(O$1016:O$1039) ) )</f>
        <v>3.797324648114437E-2</v>
      </c>
    </row>
    <row r="1436" spans="1:15" s="19" customFormat="1" hidden="1" outlineLevel="1">
      <c r="A1436" s="19" t="str">
        <f t="shared" si="286"/>
        <v>MI</v>
      </c>
      <c r="B1436" s="1400" t="str">
        <f>INDEX(EF[UK Vector],MATCH(D1436,EF[SATIM Code],0))</f>
        <v>V.04</v>
      </c>
      <c r="C1436" s="1401" t="str">
        <f>INDEX(Vectors[Description], MATCH($B1436, Vectors[Code], 0))</f>
        <v>Liquid hydrocarbons</v>
      </c>
      <c r="D1436" s="1391" t="s">
        <v>886</v>
      </c>
      <c r="E1436" s="1393"/>
      <c r="F1436" s="1389">
        <f t="array" ref="F1436" xml:space="preserve"> SUM(EF[CO2] * (EF[SATIM Code]= $D1436))  * (SUM( ($A$768:$A$846=$A1436) * ($D$768:$D$846= $D1436) * (F$768:F$846) )  +  SUM( ($A$933:$A$1011=$A1436) * ($D$933:$D$1011= $D1436) * (F$933:F$1011) ) + SUM( ($E$1016:$E$1039=$E$1427)*($A$1016:$A$1039=$A1436) * ($D$1016:$D$1039=$D1436)*(F$1016:F$1039) ) )</f>
        <v>2.0849150867057973</v>
      </c>
      <c r="G1436" s="1389">
        <f t="array" ref="G1436" xml:space="preserve"> SUM(EF[CO2] * (EF[SATIM Code]= $D1436))  * (SUM( ($A$768:$A$846=$A1436) * ($D$768:$D$846= $D1436) * (G$768:G$846) )  +  SUM( ($A$933:$A$1011=$A1436) * ($D$933:$D$1011= $D1436) * (G$933:G$1011) ) + SUM( ($E$1016:$E$1039=$E$1427)*($A$1016:$A$1039=$A1436) * ($D$1016:$D$1039=$D1436)*(G$1016:G$1039) ) )</f>
        <v>2.4497418789866607</v>
      </c>
      <c r="H1436" s="1389">
        <f t="array" ref="H1436" xml:space="preserve"> SUM(EF[CO2] * (EF[SATIM Code]= $D1436))  * (SUM( ($A$768:$A$846=$A1436) * ($D$768:$D$846= $D1436) * (H$768:H$846) )  +  SUM( ($A$933:$A$1011=$A1436) * ($D$933:$D$1011= $D1436) * (H$933:H$1011) ) + SUM( ($E$1016:$E$1039=$E$1427)*($A$1016:$A$1039=$A1436) * ($D$1016:$D$1039=$D1436)*(H$1016:H$1039) ) )</f>
        <v>3.006970566280506</v>
      </c>
      <c r="I1436" s="1389">
        <f t="array" ref="I1436" xml:space="preserve"> SUM(EF[CO2] * (EF[SATIM Code]= $D1436))  * (SUM( ($A$768:$A$846=$A1436) * ($D$768:$D$846= $D1436) * (I$768:I$846) )  +  SUM( ($A$933:$A$1011=$A1436) * ($D$933:$D$1011= $D1436) * (I$933:I$1011) ) + SUM( ($E$1016:$E$1039=$E$1427)*($A$1016:$A$1039=$A1436) * ($D$1016:$D$1039=$D1436)*(I$1016:I$1039) ) )</f>
        <v>3.7397440035880121</v>
      </c>
      <c r="J1436" s="1389">
        <f t="array" ref="J1436" xml:space="preserve"> SUM(EF[CO2] * (EF[SATIM Code]= $D1436))  * (SUM( ($A$768:$A$846=$A1436) * ($D$768:$D$846= $D1436) * (J$768:J$846) )  +  SUM( ($A$933:$A$1011=$A1436) * ($D$933:$D$1011= $D1436) * (J$933:J$1011) ) + SUM( ($E$1016:$E$1039=$E$1427)*($A$1016:$A$1039=$A1436) * ($D$1016:$D$1039=$D1436)*(J$1016:J$1039) ) )</f>
        <v>4.6908424465974887</v>
      </c>
      <c r="K1436" s="1389">
        <f t="array" ref="K1436" xml:space="preserve"> SUM(EF[CO2] * (EF[SATIM Code]= $D1436))  * (SUM( ($A$768:$A$846=$A1436) * ($D$768:$D$846= $D1436) * (K$768:K$846) )  +  SUM( ($A$933:$A$1011=$A1436) * ($D$933:$D$1011= $D1436) * (K$933:K$1011) ) + SUM( ($E$1016:$E$1039=$E$1427)*($A$1016:$A$1039=$A1436) * ($D$1016:$D$1039=$D1436)*(K$1016:K$1039) ) )</f>
        <v>5.9337993278029337</v>
      </c>
      <c r="L1436" s="1389">
        <f t="array" ref="L1436" xml:space="preserve"> SUM(EF[CO2] * (EF[SATIM Code]= $D1436))  * (SUM( ($A$768:$A$846=$A1436) * ($D$768:$D$846= $D1436) * (L$768:L$846) )  +  SUM( ($A$933:$A$1011=$A1436) * ($D$933:$D$1011= $D1436) * (L$933:L$1011) ) + SUM( ($E$1016:$E$1039=$E$1427)*($A$1016:$A$1039=$A1436) * ($D$1016:$D$1039=$D1436)*(L$1016:L$1039) ) )</f>
        <v>7.5069226986161786</v>
      </c>
      <c r="M1436" s="1389">
        <f t="array" ref="M1436" xml:space="preserve"> SUM(EF[CO2] * (EF[SATIM Code]= $D1436))  * (SUM( ($A$768:$A$846=$A1436) * ($D$768:$D$846= $D1436) * (M$768:M$846) )  +  SUM( ($A$933:$A$1011=$A1436) * ($D$933:$D$1011= $D1436) * (M$933:M$1011) ) + SUM( ($E$1016:$E$1039=$E$1427)*($A$1016:$A$1039=$A1436) * ($D$1016:$D$1039=$D1436)*(M$1016:M$1039) ) )</f>
        <v>9.309558158793374</v>
      </c>
      <c r="N1436" s="1389">
        <f t="array" ref="N1436" xml:space="preserve"> SUM(EF[CO2] * (EF[SATIM Code]= $D1436))  * (SUM( ($A$768:$A$846=$A1436) * ($D$768:$D$846= $D1436) * (N$768:N$846) )  +  SUM( ($A$933:$A$1011=$A1436) * ($D$933:$D$1011= $D1436) * (N$933:N$1011) ) + SUM( ($E$1016:$E$1039=$E$1427)*($A$1016:$A$1039=$A1436) * ($D$1016:$D$1039=$D1436)*(N$1016:N$1039) ) )</f>
        <v>11.236619439089303</v>
      </c>
      <c r="O1436" s="1389">
        <f t="array" ref="O1436" xml:space="preserve"> SUM(EF[CO2] * (EF[SATIM Code]= $D1436))  * (SUM( ($A$768:$A$846=$A1436) * ($D$768:$D$846= $D1436) * (O$768:O$846) )  +  SUM( ($A$933:$A$1011=$A1436) * ($D$933:$D$1011= $D1436) * (O$933:O$1011) ) + SUM( ($E$1016:$E$1039=$E$1427)*($A$1016:$A$1039=$A1436) * ($D$1016:$D$1039=$D1436)*(O$1016:O$1039) ) )</f>
        <v>13.370661236487537</v>
      </c>
    </row>
    <row r="1437" spans="1:15" s="19" customFormat="1" hidden="1" outlineLevel="1">
      <c r="A1437" s="19" t="str">
        <f t="shared" si="286"/>
        <v>MI</v>
      </c>
      <c r="B1437" s="1400" t="str">
        <f>INDEX(EF[UK Vector],MATCH(D1437,EF[SATIM Code],0))</f>
        <v>V.04</v>
      </c>
      <c r="C1437" s="1401" t="str">
        <f>INDEX(Vectors[Description], MATCH($B1437, Vectors[Code], 0))</f>
        <v>Liquid hydrocarbons</v>
      </c>
      <c r="D1437" s="1406" t="s">
        <v>887</v>
      </c>
      <c r="E1437" s="1393"/>
      <c r="F1437" s="1389">
        <f t="array" ref="F1437" xml:space="preserve"> SUM(EF[CO2] * (EF[SATIM Code]= $D1437))  * (SUM( ($A$768:$A$846=$A1437) * ($D$768:$D$846= $D1437) * (F$768:F$846) )  +  SUM( ($A$933:$A$1011=$A1437) * ($D$933:$D$1011= $D1437) * (F$933:F$1011) ) + SUM( ($E$1016:$E$1039=$E$1427)*($A$1016:$A$1039=$A1437) * ($D$1016:$D$1039=$D1437)*(F$1016:F$1039) ) )</f>
        <v>3.8850796199999988E-6</v>
      </c>
      <c r="G1437" s="1389">
        <f t="array" ref="G1437" xml:space="preserve"> SUM(EF[CO2] * (EF[SATIM Code]= $D1437))  * (SUM( ($A$768:$A$846=$A1437) * ($D$768:$D$846= $D1437) * (G$768:G$846) )  +  SUM( ($A$933:$A$1011=$A1437) * ($D$933:$D$1011= $D1437) * (G$933:G$1011) ) + SUM( ($E$1016:$E$1039=$E$1427)*($A$1016:$A$1039=$A1437) * ($D$1016:$D$1039=$D1437)*(G$1016:G$1039) ) )</f>
        <v>4.5633092176489999E-6</v>
      </c>
      <c r="H1437" s="1389">
        <f t="array" ref="H1437" xml:space="preserve"> SUM(EF[CO2] * (EF[SATIM Code]= $D1437))  * (SUM( ($A$768:$A$846=$A1437) * ($D$768:$D$846= $D1437) * (H$768:H$846) )  +  SUM( ($A$933:$A$1011=$A1437) * ($D$933:$D$1011= $D1437) * (H$933:H$1011) ) + SUM( ($E$1016:$E$1039=$E$1427)*($A$1016:$A$1039=$A1437) * ($D$1016:$D$1039=$D1437)*(H$1016:H$1039) ) )</f>
        <v>5.7581817816586698E-6</v>
      </c>
      <c r="I1437" s="1389">
        <f t="array" ref="I1437" xml:space="preserve"> SUM(EF[CO2] * (EF[SATIM Code]= $D1437))  * (SUM( ($A$768:$A$846=$A1437) * ($D$768:$D$846= $D1437) * (I$768:I$846) )  +  SUM( ($A$933:$A$1011=$A1437) * ($D$933:$D$1011= $D1437) * (I$933:I$1011) ) + SUM( ($E$1016:$E$1039=$E$1427)*($A$1016:$A$1039=$A1437) * ($D$1016:$D$1039=$D1437)*(I$1016:I$1039) ) )</f>
        <v>6.9530543456683389E-6</v>
      </c>
      <c r="J1437" s="1389">
        <f t="array" ref="J1437" xml:space="preserve"> SUM(EF[CO2] * (EF[SATIM Code]= $D1437))  * (SUM( ($A$768:$A$846=$A1437) * ($D$768:$D$846= $D1437) * (J$768:J$846) )  +  SUM( ($A$933:$A$1011=$A1437) * ($D$933:$D$1011= $D1437) * (J$933:J$1011) ) + SUM( ($E$1016:$E$1039=$E$1427)*($A$1016:$A$1039=$A1437) * ($D$1016:$D$1039=$D1437)*(J$1016:J$1039) ) )</f>
        <v>8.9735173426363802E-6</v>
      </c>
      <c r="K1437" s="1389">
        <f t="array" ref="K1437" xml:space="preserve"> SUM(EF[CO2] * (EF[SATIM Code]= $D1437))  * (SUM( ($A$768:$A$846=$A1437) * ($D$768:$D$846= $D1437) * (K$768:K$846) )  +  SUM( ($A$933:$A$1011=$A1437) * ($D$933:$D$1011= $D1437) * (K$933:K$1011) ) + SUM( ($E$1016:$E$1039=$E$1427)*($A$1016:$A$1039=$A1437) * ($D$1016:$D$1039=$D1437)*(K$1016:K$1039) ) )</f>
        <v>1.0993980339604422E-5</v>
      </c>
      <c r="L1437" s="1389">
        <f t="array" ref="L1437" xml:space="preserve"> SUM(EF[CO2] * (EF[SATIM Code]= $D1437))  * (SUM( ($A$768:$A$846=$A1437) * ($D$768:$D$846= $D1437) * (L$768:L$846) )  +  SUM( ($A$933:$A$1011=$A1437) * ($D$933:$D$1011= $D1437) * (L$933:L$1011) ) + SUM( ($E$1016:$E$1039=$E$1427)*($A$1016:$A$1039=$A1437) * ($D$1016:$D$1039=$D1437)*(L$1016:L$1039) ) )</f>
        <v>1.4095802107323784E-5</v>
      </c>
      <c r="M1437" s="1389">
        <f t="array" ref="M1437" xml:space="preserve"> SUM(EF[CO2] * (EF[SATIM Code]= $D1437))  * (SUM( ($A$768:$A$846=$A1437) * ($D$768:$D$846= $D1437) * (M$768:M$846) )  +  SUM( ($A$933:$A$1011=$A1437) * ($D$933:$D$1011= $D1437) * (M$933:M$1011) ) + SUM( ($E$1016:$E$1039=$E$1427)*($A$1016:$A$1039=$A1437) * ($D$1016:$D$1039=$D1437)*(M$1016:M$1039) ) )</f>
        <v>1.7197623875043143E-5</v>
      </c>
      <c r="N1437" s="1389">
        <f t="array" ref="N1437" xml:space="preserve"> SUM(EF[CO2] * (EF[SATIM Code]= $D1437))  * (SUM( ($A$768:$A$846=$A1437) * ($D$768:$D$846= $D1437) * (N$768:N$846) )  +  SUM( ($A$933:$A$1011=$A1437) * ($D$933:$D$1011= $D1437) * (N$933:N$1011) ) + SUM( ($E$1016:$E$1039=$E$1427)*($A$1016:$A$1039=$A1437) * ($D$1016:$D$1039=$D1437)*(N$1016:N$1039) ) )</f>
        <v>2.0933071050895962E-5</v>
      </c>
      <c r="O1437" s="1389">
        <f t="array" ref="O1437" xml:space="preserve"> SUM(EF[CO2] * (EF[SATIM Code]= $D1437))  * (SUM( ($A$768:$A$846=$A1437) * ($D$768:$D$846= $D1437) * (O$768:O$846) )  +  SUM( ($A$933:$A$1011=$A1437) * ($D$933:$D$1011= $D1437) * (O$933:O$1011) ) + SUM( ($E$1016:$E$1039=$E$1427)*($A$1016:$A$1039=$A1437) * ($D$1016:$D$1039=$D1437)*(O$1016:O$1039) ) )</f>
        <v>2.4668518226748777E-5</v>
      </c>
    </row>
    <row r="1438" spans="1:15" s="19" customFormat="1" hidden="1" outlineLevel="1">
      <c r="A1438" s="19" t="str">
        <f t="shared" si="286"/>
        <v>MI</v>
      </c>
      <c r="B1438" s="1400" t="str">
        <f>INDEX(EF[UK Vector],MATCH(D1438,EF[SATIM Code],0))</f>
        <v>V.09</v>
      </c>
      <c r="C1438" s="1401" t="str">
        <f>INDEX(Vectors[Description], MATCH($B1438, Vectors[Code], 0))</f>
        <v>Dry biomass and waste</v>
      </c>
      <c r="D1438" s="1406" t="s">
        <v>888</v>
      </c>
      <c r="E1438" s="1393"/>
      <c r="F1438" s="1389">
        <f t="array" ref="F1438" xml:space="preserve"> SUM(EF[CO2] * (EF[SATIM Code]= $D1438))  * (SUM( ($A$768:$A$846=$A1438) * ($D$768:$D$846= $D1438) * (F$768:F$846) )  +  SUM( ($A$933:$A$1011=$A1438) * ($D$933:$D$1011= $D1438) * (F$933:F$1011) ) + SUM( ($E$1016:$E$1039=$E$1427)*($A$1016:$A$1039=$A1438) * ($D$1016:$D$1039=$D1438)*(F$1016:F$1039) ) )</f>
        <v>0</v>
      </c>
      <c r="G1438" s="1389">
        <f t="array" ref="G1438" xml:space="preserve"> SUM(EF[CO2] * (EF[SATIM Code]= $D1438))  * (SUM( ($A$768:$A$846=$A1438) * ($D$768:$D$846= $D1438) * (G$768:G$846) )  +  SUM( ($A$933:$A$1011=$A1438) * ($D$933:$D$1011= $D1438) * (G$933:G$1011) ) + SUM( ($E$1016:$E$1039=$E$1427)*($A$1016:$A$1039=$A1438) * ($D$1016:$D$1039=$D1438)*(G$1016:G$1039) ) )</f>
        <v>0</v>
      </c>
      <c r="H1438" s="1389">
        <f t="array" ref="H1438" xml:space="preserve"> SUM(EF[CO2] * (EF[SATIM Code]= $D1438))  * (SUM( ($A$768:$A$846=$A1438) * ($D$768:$D$846= $D1438) * (H$768:H$846) )  +  SUM( ($A$933:$A$1011=$A1438) * ($D$933:$D$1011= $D1438) * (H$933:H$1011) ) + SUM( ($E$1016:$E$1039=$E$1427)*($A$1016:$A$1039=$A1438) * ($D$1016:$D$1039=$D1438)*(H$1016:H$1039) ) )</f>
        <v>0</v>
      </c>
      <c r="I1438" s="1389">
        <f t="array" ref="I1438" xml:space="preserve"> SUM(EF[CO2] * (EF[SATIM Code]= $D1438))  * (SUM( ($A$768:$A$846=$A1438) * ($D$768:$D$846= $D1438) * (I$768:I$846) )  +  SUM( ($A$933:$A$1011=$A1438) * ($D$933:$D$1011= $D1438) * (I$933:I$1011) ) + SUM( ($E$1016:$E$1039=$E$1427)*($A$1016:$A$1039=$A1438) * ($D$1016:$D$1039=$D1438)*(I$1016:I$1039) ) )</f>
        <v>0</v>
      </c>
      <c r="J1438" s="1389">
        <f t="array" ref="J1438" xml:space="preserve"> SUM(EF[CO2] * (EF[SATIM Code]= $D1438))  * (SUM( ($A$768:$A$846=$A1438) * ($D$768:$D$846= $D1438) * (J$768:J$846) )  +  SUM( ($A$933:$A$1011=$A1438) * ($D$933:$D$1011= $D1438) * (J$933:J$1011) ) + SUM( ($E$1016:$E$1039=$E$1427)*($A$1016:$A$1039=$A1438) * ($D$1016:$D$1039=$D1438)*(J$1016:J$1039) ) )</f>
        <v>0</v>
      </c>
      <c r="K1438" s="1389">
        <f t="array" ref="K1438" xml:space="preserve"> SUM(EF[CO2] * (EF[SATIM Code]= $D1438))  * (SUM( ($A$768:$A$846=$A1438) * ($D$768:$D$846= $D1438) * (K$768:K$846) )  +  SUM( ($A$933:$A$1011=$A1438) * ($D$933:$D$1011= $D1438) * (K$933:K$1011) ) + SUM( ($E$1016:$E$1039=$E$1427)*($A$1016:$A$1039=$A1438) * ($D$1016:$D$1039=$D1438)*(K$1016:K$1039) ) )</f>
        <v>0</v>
      </c>
      <c r="L1438" s="1389">
        <f t="array" ref="L1438" xml:space="preserve"> SUM(EF[CO2] * (EF[SATIM Code]= $D1438))  * (SUM( ($A$768:$A$846=$A1438) * ($D$768:$D$846= $D1438) * (L$768:L$846) )  +  SUM( ($A$933:$A$1011=$A1438) * ($D$933:$D$1011= $D1438) * (L$933:L$1011) ) + SUM( ($E$1016:$E$1039=$E$1427)*($A$1016:$A$1039=$A1438) * ($D$1016:$D$1039=$D1438)*(L$1016:L$1039) ) )</f>
        <v>0</v>
      </c>
      <c r="M1438" s="1389">
        <f t="array" ref="M1438" xml:space="preserve"> SUM(EF[CO2] * (EF[SATIM Code]= $D1438))  * (SUM( ($A$768:$A$846=$A1438) * ($D$768:$D$846= $D1438) * (M$768:M$846) )  +  SUM( ($A$933:$A$1011=$A1438) * ($D$933:$D$1011= $D1438) * (M$933:M$1011) ) + SUM( ($E$1016:$E$1039=$E$1427)*($A$1016:$A$1039=$A1438) * ($D$1016:$D$1039=$D1438)*(M$1016:M$1039) ) )</f>
        <v>0</v>
      </c>
      <c r="N1438" s="1389">
        <f t="array" ref="N1438" xml:space="preserve"> SUM(EF[CO2] * (EF[SATIM Code]= $D1438))  * (SUM( ($A$768:$A$846=$A1438) * ($D$768:$D$846= $D1438) * (N$768:N$846) )  +  SUM( ($A$933:$A$1011=$A1438) * ($D$933:$D$1011= $D1438) * (N$933:N$1011) ) + SUM( ($E$1016:$E$1039=$E$1427)*($A$1016:$A$1039=$A1438) * ($D$1016:$D$1039=$D1438)*(N$1016:N$1039) ) )</f>
        <v>0</v>
      </c>
      <c r="O1438" s="1389">
        <f t="array" ref="O1438" xml:space="preserve"> SUM(EF[CO2] * (EF[SATIM Code]= $D1438))  * (SUM( ($A$768:$A$846=$A1438) * ($D$768:$D$846= $D1438) * (O$768:O$846) )  +  SUM( ($A$933:$A$1011=$A1438) * ($D$933:$D$1011= $D1438) * (O$933:O$1011) ) + SUM( ($E$1016:$E$1039=$E$1427)*($A$1016:$A$1039=$A1438) * ($D$1016:$D$1039=$D1438)*(O$1016:O$1039) ) )</f>
        <v>0</v>
      </c>
    </row>
    <row r="1439" spans="1:15" s="19" customFormat="1" hidden="1" outlineLevel="1">
      <c r="A1439" s="19" t="str">
        <f t="shared" si="286"/>
        <v>MI</v>
      </c>
      <c r="B1439" s="1400" t="str">
        <f>INDEX(EF[UK Vector],MATCH(D1439,EF[SATIM Code],0))</f>
        <v>V.09</v>
      </c>
      <c r="C1439" s="1401" t="str">
        <f>INDEX(Vectors[Description], MATCH($B1439, Vectors[Code], 0))</f>
        <v>Dry biomass and waste</v>
      </c>
      <c r="D1439" s="1388" t="s">
        <v>889</v>
      </c>
      <c r="E1439" s="1393"/>
      <c r="F1439" s="1389">
        <f t="array" ref="F1439" xml:space="preserve"> SUM(EF[CO2] * (EF[SATIM Code]= $D1439))  * (SUM( ($A$768:$A$846=$A1439) * ($D$768:$D$846= $D1439) * (F$768:F$846) )  +  SUM( ($A$933:$A$1011=$A1439) * ($D$933:$D$1011= $D1439) * (F$933:F$1011) ) + SUM( ($E$1016:$E$1039=$E$1427)*($A$1016:$A$1039=$A1439) * ($D$1016:$D$1039=$D1439)*(F$1016:F$1039) ) )</f>
        <v>0</v>
      </c>
      <c r="G1439" s="1389">
        <f t="array" ref="G1439" xml:space="preserve"> SUM(EF[CO2] * (EF[SATIM Code]= $D1439))  * (SUM( ($A$768:$A$846=$A1439) * ($D$768:$D$846= $D1439) * (G$768:G$846) )  +  SUM( ($A$933:$A$1011=$A1439) * ($D$933:$D$1011= $D1439) * (G$933:G$1011) ) + SUM( ($E$1016:$E$1039=$E$1427)*($A$1016:$A$1039=$A1439) * ($D$1016:$D$1039=$D1439)*(G$1016:G$1039) ) )</f>
        <v>0</v>
      </c>
      <c r="H1439" s="1389">
        <f t="array" ref="H1439" xml:space="preserve"> SUM(EF[CO2] * (EF[SATIM Code]= $D1439))  * (SUM( ($A$768:$A$846=$A1439) * ($D$768:$D$846= $D1439) * (H$768:H$846) )  +  SUM( ($A$933:$A$1011=$A1439) * ($D$933:$D$1011= $D1439) * (H$933:H$1011) ) + SUM( ($E$1016:$E$1039=$E$1427)*($A$1016:$A$1039=$A1439) * ($D$1016:$D$1039=$D1439)*(H$1016:H$1039) ) )</f>
        <v>0</v>
      </c>
      <c r="I1439" s="1389">
        <f t="array" ref="I1439" xml:space="preserve"> SUM(EF[CO2] * (EF[SATIM Code]= $D1439))  * (SUM( ($A$768:$A$846=$A1439) * ($D$768:$D$846= $D1439) * (I$768:I$846) )  +  SUM( ($A$933:$A$1011=$A1439) * ($D$933:$D$1011= $D1439) * (I$933:I$1011) ) + SUM( ($E$1016:$E$1039=$E$1427)*($A$1016:$A$1039=$A1439) * ($D$1016:$D$1039=$D1439)*(I$1016:I$1039) ) )</f>
        <v>0</v>
      </c>
      <c r="J1439" s="1389">
        <f t="array" ref="J1439" xml:space="preserve"> SUM(EF[CO2] * (EF[SATIM Code]= $D1439))  * (SUM( ($A$768:$A$846=$A1439) * ($D$768:$D$846= $D1439) * (J$768:J$846) )  +  SUM( ($A$933:$A$1011=$A1439) * ($D$933:$D$1011= $D1439) * (J$933:J$1011) ) + SUM( ($E$1016:$E$1039=$E$1427)*($A$1016:$A$1039=$A1439) * ($D$1016:$D$1039=$D1439)*(J$1016:J$1039) ) )</f>
        <v>0</v>
      </c>
      <c r="K1439" s="1389">
        <f t="array" ref="K1439" xml:space="preserve"> SUM(EF[CO2] * (EF[SATIM Code]= $D1439))  * (SUM( ($A$768:$A$846=$A1439) * ($D$768:$D$846= $D1439) * (K$768:K$846) )  +  SUM( ($A$933:$A$1011=$A1439) * ($D$933:$D$1011= $D1439) * (K$933:K$1011) ) + SUM( ($E$1016:$E$1039=$E$1427)*($A$1016:$A$1039=$A1439) * ($D$1016:$D$1039=$D1439)*(K$1016:K$1039) ) )</f>
        <v>0</v>
      </c>
      <c r="L1439" s="1389">
        <f t="array" ref="L1439" xml:space="preserve"> SUM(EF[CO2] * (EF[SATIM Code]= $D1439))  * (SUM( ($A$768:$A$846=$A1439) * ($D$768:$D$846= $D1439) * (L$768:L$846) )  +  SUM( ($A$933:$A$1011=$A1439) * ($D$933:$D$1011= $D1439) * (L$933:L$1011) ) + SUM( ($E$1016:$E$1039=$E$1427)*($A$1016:$A$1039=$A1439) * ($D$1016:$D$1039=$D1439)*(L$1016:L$1039) ) )</f>
        <v>0</v>
      </c>
      <c r="M1439" s="1389">
        <f t="array" ref="M1439" xml:space="preserve"> SUM(EF[CO2] * (EF[SATIM Code]= $D1439))  * (SUM( ($A$768:$A$846=$A1439) * ($D$768:$D$846= $D1439) * (M$768:M$846) )  +  SUM( ($A$933:$A$1011=$A1439) * ($D$933:$D$1011= $D1439) * (M$933:M$1011) ) + SUM( ($E$1016:$E$1039=$E$1427)*($A$1016:$A$1039=$A1439) * ($D$1016:$D$1039=$D1439)*(M$1016:M$1039) ) )</f>
        <v>0</v>
      </c>
      <c r="N1439" s="1389">
        <f t="array" ref="N1439" xml:space="preserve"> SUM(EF[CO2] * (EF[SATIM Code]= $D1439))  * (SUM( ($A$768:$A$846=$A1439) * ($D$768:$D$846= $D1439) * (N$768:N$846) )  +  SUM( ($A$933:$A$1011=$A1439) * ($D$933:$D$1011= $D1439) * (N$933:N$1011) ) + SUM( ($E$1016:$E$1039=$E$1427)*($A$1016:$A$1039=$A1439) * ($D$1016:$D$1039=$D1439)*(N$1016:N$1039) ) )</f>
        <v>0</v>
      </c>
      <c r="O1439" s="1389">
        <f t="array" ref="O1439" xml:space="preserve"> SUM(EF[CO2] * (EF[SATIM Code]= $D1439))  * (SUM( ($A$768:$A$846=$A1439) * ($D$768:$D$846= $D1439) * (O$768:O$846) )  +  SUM( ($A$933:$A$1011=$A1439) * ($D$933:$D$1011= $D1439) * (O$933:O$1011) ) + SUM( ($E$1016:$E$1039=$E$1427)*($A$1016:$A$1039=$A1439) * ($D$1016:$D$1039=$D1439)*(O$1016:O$1039) ) )</f>
        <v>0</v>
      </c>
    </row>
    <row r="1440" spans="1:15" s="19" customFormat="1" hidden="1" outlineLevel="1">
      <c r="A1440" s="19" t="str">
        <f t="shared" si="286"/>
        <v>MI</v>
      </c>
      <c r="B1440" s="1400" t="str">
        <f>INDEX(EF[UK Vector],MATCH(D1440,EF[SATIM Code],0))</f>
        <v>V.16</v>
      </c>
      <c r="C1440" s="1401" t="str">
        <f>INDEX(Vectors[Description], MATCH($B1440, Vectors[Code], 0))</f>
        <v>Other Waste</v>
      </c>
      <c r="D1440" s="1408" t="s">
        <v>890</v>
      </c>
      <c r="E1440" s="1393"/>
      <c r="F1440" s="1389">
        <f t="array" ref="F1440" xml:space="preserve"> SUM(EF[CO2] * (EF[SATIM Code]= $D1440))  * (SUM( ($A$768:$A$846=$A1440) * ($D$768:$D$846= $D1440) * (F$768:F$846) )  +  SUM( ($A$933:$A$1011=$A1440) * ($D$933:$D$1011= $D1440) * (F$933:F$1011) ) + SUM( ($E$1016:$E$1039=$E$1427)*($A$1016:$A$1039=$A1440) * ($D$1016:$D$1039=$D1440)*(F$1016:F$1039) ) )</f>
        <v>0</v>
      </c>
      <c r="G1440" s="1389">
        <f t="array" ref="G1440" xml:space="preserve"> SUM(EF[CO2] * (EF[SATIM Code]= $D1440))  * (SUM( ($A$768:$A$846=$A1440) * ($D$768:$D$846= $D1440) * (G$768:G$846) )  +  SUM( ($A$933:$A$1011=$A1440) * ($D$933:$D$1011= $D1440) * (G$933:G$1011) ) + SUM( ($E$1016:$E$1039=$E$1427)*($A$1016:$A$1039=$A1440) * ($D$1016:$D$1039=$D1440)*(G$1016:G$1039) ) )</f>
        <v>0</v>
      </c>
      <c r="H1440" s="1389">
        <f t="array" ref="H1440" xml:space="preserve"> SUM(EF[CO2] * (EF[SATIM Code]= $D1440))  * (SUM( ($A$768:$A$846=$A1440) * ($D$768:$D$846= $D1440) * (H$768:H$846) )  +  SUM( ($A$933:$A$1011=$A1440) * ($D$933:$D$1011= $D1440) * (H$933:H$1011) ) + SUM( ($E$1016:$E$1039=$E$1427)*($A$1016:$A$1039=$A1440) * ($D$1016:$D$1039=$D1440)*(H$1016:H$1039) ) )</f>
        <v>0</v>
      </c>
      <c r="I1440" s="1389">
        <f t="array" ref="I1440" xml:space="preserve"> SUM(EF[CO2] * (EF[SATIM Code]= $D1440))  * (SUM( ($A$768:$A$846=$A1440) * ($D$768:$D$846= $D1440) * (I$768:I$846) )  +  SUM( ($A$933:$A$1011=$A1440) * ($D$933:$D$1011= $D1440) * (I$933:I$1011) ) + SUM( ($E$1016:$E$1039=$E$1427)*($A$1016:$A$1039=$A1440) * ($D$1016:$D$1039=$D1440)*(I$1016:I$1039) ) )</f>
        <v>0</v>
      </c>
      <c r="J1440" s="1389">
        <f t="array" ref="J1440" xml:space="preserve"> SUM(EF[CO2] * (EF[SATIM Code]= $D1440))  * (SUM( ($A$768:$A$846=$A1440) * ($D$768:$D$846= $D1440) * (J$768:J$846) )  +  SUM( ($A$933:$A$1011=$A1440) * ($D$933:$D$1011= $D1440) * (J$933:J$1011) ) + SUM( ($E$1016:$E$1039=$E$1427)*($A$1016:$A$1039=$A1440) * ($D$1016:$D$1039=$D1440)*(J$1016:J$1039) ) )</f>
        <v>0</v>
      </c>
      <c r="K1440" s="1389">
        <f t="array" ref="K1440" xml:space="preserve"> SUM(EF[CO2] * (EF[SATIM Code]= $D1440))  * (SUM( ($A$768:$A$846=$A1440) * ($D$768:$D$846= $D1440) * (K$768:K$846) )  +  SUM( ($A$933:$A$1011=$A1440) * ($D$933:$D$1011= $D1440) * (K$933:K$1011) ) + SUM( ($E$1016:$E$1039=$E$1427)*($A$1016:$A$1039=$A1440) * ($D$1016:$D$1039=$D1440)*(K$1016:K$1039) ) )</f>
        <v>0</v>
      </c>
      <c r="L1440" s="1389">
        <f t="array" ref="L1440" xml:space="preserve"> SUM(EF[CO2] * (EF[SATIM Code]= $D1440))  * (SUM( ($A$768:$A$846=$A1440) * ($D$768:$D$846= $D1440) * (L$768:L$846) )  +  SUM( ($A$933:$A$1011=$A1440) * ($D$933:$D$1011= $D1440) * (L$933:L$1011) ) + SUM( ($E$1016:$E$1039=$E$1427)*($A$1016:$A$1039=$A1440) * ($D$1016:$D$1039=$D1440)*(L$1016:L$1039) ) )</f>
        <v>0</v>
      </c>
      <c r="M1440" s="1389">
        <f t="array" ref="M1440" xml:space="preserve"> SUM(EF[CO2] * (EF[SATIM Code]= $D1440))  * (SUM( ($A$768:$A$846=$A1440) * ($D$768:$D$846= $D1440) * (M$768:M$846) )  +  SUM( ($A$933:$A$1011=$A1440) * ($D$933:$D$1011= $D1440) * (M$933:M$1011) ) + SUM( ($E$1016:$E$1039=$E$1427)*($A$1016:$A$1039=$A1440) * ($D$1016:$D$1039=$D1440)*(M$1016:M$1039) ) )</f>
        <v>0</v>
      </c>
      <c r="N1440" s="1389">
        <f t="array" ref="N1440" xml:space="preserve"> SUM(EF[CO2] * (EF[SATIM Code]= $D1440))  * (SUM( ($A$768:$A$846=$A1440) * ($D$768:$D$846= $D1440) * (N$768:N$846) )  +  SUM( ($A$933:$A$1011=$A1440) * ($D$933:$D$1011= $D1440) * (N$933:N$1011) ) + SUM( ($E$1016:$E$1039=$E$1427)*($A$1016:$A$1039=$A1440) * ($D$1016:$D$1039=$D1440)*(N$1016:N$1039) ) )</f>
        <v>0</v>
      </c>
      <c r="O1440" s="1389">
        <f t="array" ref="O1440" xml:space="preserve"> SUM(EF[CO2] * (EF[SATIM Code]= $D1440))  * (SUM( ($A$768:$A$846=$A1440) * ($D$768:$D$846= $D1440) * (O$768:O$846) )  +  SUM( ($A$933:$A$1011=$A1440) * ($D$933:$D$1011= $D1440) * (O$933:O$1011) ) + SUM( ($E$1016:$E$1039=$E$1427)*($A$1016:$A$1039=$A1440) * ($D$1016:$D$1039=$D1440)*(O$1016:O$1039) ) )</f>
        <v>0</v>
      </c>
    </row>
    <row r="1441" spans="1:15" s="19" customFormat="1" hidden="1" outlineLevel="1">
      <c r="B1441" s="1393"/>
      <c r="C1441" s="1407" t="str">
        <f>D21</f>
        <v>Iron  &amp; Steel  - 351</v>
      </c>
      <c r="D1441" s="1391"/>
      <c r="E1441" s="1393"/>
      <c r="F1441" s="1389">
        <f t="array" ref="F1441" xml:space="preserve"> SUM(EF[CO2] * (EF[SATIM Code]= $D1441))  * (SUM( ($A$768:$A$846=$A1441) * ($D$768:$D$846= $D1441) * (F$768:F$846) )  +  SUM( ($A$933:$A$1011=$A1441) * ($D$933:$D$1011= $D1441) * (F$933:F$1011) ) + SUM( ($E$1016:$E$1039=$E$1427)*($A$1016:$A$1039=$A1441) * ($D$1016:$D$1039=$D1441)*(F$1016:F$1039) ) )</f>
        <v>0</v>
      </c>
      <c r="G1441" s="1389">
        <f t="array" ref="G1441" xml:space="preserve"> SUM(EF[CO2] * (EF[SATIM Code]= $D1441))  * (SUM( ($A$768:$A$846=$A1441) * ($D$768:$D$846= $D1441) * (G$768:G$846) )  +  SUM( ($A$933:$A$1011=$A1441) * ($D$933:$D$1011= $D1441) * (G$933:G$1011) ) + SUM( ($E$1016:$E$1039=$E$1427)*($A$1016:$A$1039=$A1441) * ($D$1016:$D$1039=$D1441)*(G$1016:G$1039) ) )</f>
        <v>0</v>
      </c>
      <c r="H1441" s="1389">
        <f t="array" ref="H1441" xml:space="preserve"> SUM(EF[CO2] * (EF[SATIM Code]= $D1441))  * (SUM( ($A$768:$A$846=$A1441) * ($D$768:$D$846= $D1441) * (H$768:H$846) )  +  SUM( ($A$933:$A$1011=$A1441) * ($D$933:$D$1011= $D1441) * (H$933:H$1011) ) + SUM( ($E$1016:$E$1039=$E$1427)*($A$1016:$A$1039=$A1441) * ($D$1016:$D$1039=$D1441)*(H$1016:H$1039) ) )</f>
        <v>0</v>
      </c>
      <c r="I1441" s="1389">
        <f t="array" ref="I1441" xml:space="preserve"> SUM(EF[CO2] * (EF[SATIM Code]= $D1441))  * (SUM( ($A$768:$A$846=$A1441) * ($D$768:$D$846= $D1441) * (I$768:I$846) )  +  SUM( ($A$933:$A$1011=$A1441) * ($D$933:$D$1011= $D1441) * (I$933:I$1011) ) + SUM( ($E$1016:$E$1039=$E$1427)*($A$1016:$A$1039=$A1441) * ($D$1016:$D$1039=$D1441)*(I$1016:I$1039) ) )</f>
        <v>0</v>
      </c>
      <c r="J1441" s="1389">
        <f t="array" ref="J1441" xml:space="preserve"> SUM(EF[CO2] * (EF[SATIM Code]= $D1441))  * (SUM( ($A$768:$A$846=$A1441) * ($D$768:$D$846= $D1441) * (J$768:J$846) )  +  SUM( ($A$933:$A$1011=$A1441) * ($D$933:$D$1011= $D1441) * (J$933:J$1011) ) + SUM( ($E$1016:$E$1039=$E$1427)*($A$1016:$A$1039=$A1441) * ($D$1016:$D$1039=$D1441)*(J$1016:J$1039) ) )</f>
        <v>0</v>
      </c>
      <c r="K1441" s="1389">
        <f t="array" ref="K1441" xml:space="preserve"> SUM(EF[CO2] * (EF[SATIM Code]= $D1441))  * (SUM( ($A$768:$A$846=$A1441) * ($D$768:$D$846= $D1441) * (K$768:K$846) )  +  SUM( ($A$933:$A$1011=$A1441) * ($D$933:$D$1011= $D1441) * (K$933:K$1011) ) + SUM( ($E$1016:$E$1039=$E$1427)*($A$1016:$A$1039=$A1441) * ($D$1016:$D$1039=$D1441)*(K$1016:K$1039) ) )</f>
        <v>0</v>
      </c>
      <c r="L1441" s="1389">
        <f t="array" ref="L1441" xml:space="preserve"> SUM(EF[CO2] * (EF[SATIM Code]= $D1441))  * (SUM( ($A$768:$A$846=$A1441) * ($D$768:$D$846= $D1441) * (L$768:L$846) )  +  SUM( ($A$933:$A$1011=$A1441) * ($D$933:$D$1011= $D1441) * (L$933:L$1011) ) + SUM( ($E$1016:$E$1039=$E$1427)*($A$1016:$A$1039=$A1441) * ($D$1016:$D$1039=$D1441)*(L$1016:L$1039) ) )</f>
        <v>0</v>
      </c>
      <c r="M1441" s="1389">
        <f t="array" ref="M1441" xml:space="preserve"> SUM(EF[CO2] * (EF[SATIM Code]= $D1441))  * (SUM( ($A$768:$A$846=$A1441) * ($D$768:$D$846= $D1441) * (M$768:M$846) )  +  SUM( ($A$933:$A$1011=$A1441) * ($D$933:$D$1011= $D1441) * (M$933:M$1011) ) + SUM( ($E$1016:$E$1039=$E$1427)*($A$1016:$A$1039=$A1441) * ($D$1016:$D$1039=$D1441)*(M$1016:M$1039) ) )</f>
        <v>0</v>
      </c>
      <c r="N1441" s="1389">
        <f t="array" ref="N1441" xml:space="preserve"> SUM(EF[CO2] * (EF[SATIM Code]= $D1441))  * (SUM( ($A$768:$A$846=$A1441) * ($D$768:$D$846= $D1441) * (N$768:N$846) )  +  SUM( ($A$933:$A$1011=$A1441) * ($D$933:$D$1011= $D1441) * (N$933:N$1011) ) + SUM( ($E$1016:$E$1039=$E$1427)*($A$1016:$A$1039=$A1441) * ($D$1016:$D$1039=$D1441)*(N$1016:N$1039) ) )</f>
        <v>0</v>
      </c>
      <c r="O1441" s="1389">
        <f t="array" ref="O1441" xml:space="preserve"> SUM(EF[CO2] * (EF[SATIM Code]= $D1441))  * (SUM( ($A$768:$A$846=$A1441) * ($D$768:$D$846= $D1441) * (O$768:O$846) )  +  SUM( ($A$933:$A$1011=$A1441) * ($D$933:$D$1011= $D1441) * (O$933:O$1011) ) + SUM( ($E$1016:$E$1039=$E$1427)*($A$1016:$A$1039=$A1441) * ($D$1016:$D$1039=$D1441)*(O$1016:O$1039) ) )</f>
        <v>0</v>
      </c>
    </row>
    <row r="1442" spans="1:15" s="19" customFormat="1" hidden="1" outlineLevel="1">
      <c r="A1442" s="1438" t="str">
        <f>INDEX($C$20:$C$27,MATCH($C1441,$D$20:$D$27,0))</f>
        <v>IS</v>
      </c>
      <c r="B1442" s="1400" t="str">
        <f>INDEX(EF[UK Vector],MATCH(D1442,EF[SATIM Code],0))</f>
        <v>V.03</v>
      </c>
      <c r="C1442" s="1401" t="str">
        <f>INDEX(Vectors[Description], MATCH($B1442, Vectors[Code], 0))</f>
        <v>Solid hydrocarbons</v>
      </c>
      <c r="D1442" s="1391" t="s">
        <v>882</v>
      </c>
      <c r="E1442" s="1393"/>
      <c r="F1442" s="1389">
        <f t="array" ref="F1442" xml:space="preserve"> SUM(EF[CO2] * (EF[SATIM Code]= $D1442))  * (SUM( ($A$768:$A$846=$A1442) * ($D$768:$D$846= $D1442) * (F$768:F$846) )  +  SUM( ($A$933:$A$1011=$A1442) * ($D$933:$D$1011= $D1442) * (F$933:F$1011) ) + SUM( ($E$1016:$E$1039=$E$1427)*($A$1016:$A$1039=$A1442) * ($D$1016:$D$1039=$D1442)*(F$1016:F$1039) ) )</f>
        <v>12.066931796404875</v>
      </c>
      <c r="G1442" s="1389">
        <f t="array" ref="G1442" xml:space="preserve"> SUM(EF[CO2] * (EF[SATIM Code]= $D1442))  * (SUM( ($A$768:$A$846=$A1442) * ($D$768:$D$846= $D1442) * (G$768:G$846) )  +  SUM( ($A$933:$A$1011=$A1442) * ($D$933:$D$1011= $D1442) * (G$933:G$1011) ) + SUM( ($E$1016:$E$1039=$E$1427)*($A$1016:$A$1039=$A1442) * ($D$1016:$D$1039=$D1442)*(G$1016:G$1039) ) )</f>
        <v>13.969296622599336</v>
      </c>
      <c r="H1442" s="1389">
        <f t="array" ref="H1442" xml:space="preserve"> SUM(EF[CO2] * (EF[SATIM Code]= $D1442))  * (SUM( ($A$768:$A$846=$A1442) * ($D$768:$D$846= $D1442) * (H$768:H$846) )  +  SUM( ($A$933:$A$1011=$A1442) * ($D$933:$D$1011= $D1442) * (H$933:H$1011) ) + SUM( ($E$1016:$E$1039=$E$1427)*($A$1016:$A$1039=$A1442) * ($D$1016:$D$1039=$D1442)*(H$1016:H$1039) ) )</f>
        <v>18.056286471160437</v>
      </c>
      <c r="I1442" s="1389">
        <f t="array" ref="I1442" xml:space="preserve"> SUM(EF[CO2] * (EF[SATIM Code]= $D1442))  * (SUM( ($A$768:$A$846=$A1442) * ($D$768:$D$846= $D1442) * (I$768:I$846) )  +  SUM( ($A$933:$A$1011=$A1442) * ($D$933:$D$1011= $D1442) * (I$933:I$1011) ) + SUM( ($E$1016:$E$1039=$E$1427)*($A$1016:$A$1039=$A1442) * ($D$1016:$D$1039=$D1442)*(I$1016:I$1039) ) )</f>
        <v>22.14327631972154</v>
      </c>
      <c r="J1442" s="1389">
        <f t="array" ref="J1442" xml:space="preserve"> SUM(EF[CO2] * (EF[SATIM Code]= $D1442))  * (SUM( ($A$768:$A$846=$A1442) * ($D$768:$D$846= $D1442) * (J$768:J$846) )  +  SUM( ($A$933:$A$1011=$A1442) * ($D$933:$D$1011= $D1442) * (J$933:J$1011) ) + SUM( ($E$1016:$E$1039=$E$1427)*($A$1016:$A$1039=$A1442) * ($D$1016:$D$1039=$D1442)*(J$1016:J$1039) ) )</f>
        <v>28.494139536036585</v>
      </c>
      <c r="K1442" s="1389">
        <f t="array" ref="K1442" xml:space="preserve"> SUM(EF[CO2] * (EF[SATIM Code]= $D1442))  * (SUM( ($A$768:$A$846=$A1442) * ($D$768:$D$846= $D1442) * (K$768:K$846) )  +  SUM( ($A$933:$A$1011=$A1442) * ($D$933:$D$1011= $D1442) * (K$933:K$1011) ) + SUM( ($E$1016:$E$1039=$E$1427)*($A$1016:$A$1039=$A1442) * ($D$1016:$D$1039=$D1442)*(K$1016:K$1039) ) )</f>
        <v>34.845002752351618</v>
      </c>
      <c r="L1442" s="1389">
        <f t="array" ref="L1442" xml:space="preserve"> SUM(EF[CO2] * (EF[SATIM Code]= $D1442))  * (SUM( ($A$768:$A$846=$A1442) * ($D$768:$D$846= $D1442) * (L$768:L$846) )  +  SUM( ($A$933:$A$1011=$A1442) * ($D$933:$D$1011= $D1442) * (L$933:L$1011) ) + SUM( ($E$1016:$E$1039=$E$1427)*($A$1016:$A$1039=$A1442) * ($D$1016:$D$1039=$D1442)*(L$1016:L$1039) ) )</f>
        <v>43.224714070866455</v>
      </c>
      <c r="M1442" s="1389">
        <f t="array" ref="M1442" xml:space="preserve"> SUM(EF[CO2] * (EF[SATIM Code]= $D1442))  * (SUM( ($A$768:$A$846=$A1442) * ($D$768:$D$846= $D1442) * (M$768:M$846) )  +  SUM( ($A$933:$A$1011=$A1442) * ($D$933:$D$1011= $D1442) * (M$933:M$1011) ) + SUM( ($E$1016:$E$1039=$E$1427)*($A$1016:$A$1039=$A1442) * ($D$1016:$D$1039=$D1442)*(M$1016:M$1039) ) )</f>
        <v>51.604425389381284</v>
      </c>
      <c r="N1442" s="1389">
        <f t="array" ref="N1442" xml:space="preserve"> SUM(EF[CO2] * (EF[SATIM Code]= $D1442))  * (SUM( ($A$768:$A$846=$A1442) * ($D$768:$D$846= $D1442) * (N$768:N$846) )  +  SUM( ($A$933:$A$1011=$A1442) * ($D$933:$D$1011= $D1442) * (N$933:N$1011) ) + SUM( ($E$1016:$E$1039=$E$1427)*($A$1016:$A$1039=$A1442) * ($D$1016:$D$1039=$D1442)*(N$1016:N$1039) ) )</f>
        <v>61.414783881397028</v>
      </c>
      <c r="O1442" s="1389">
        <f t="array" ref="O1442" xml:space="preserve"> SUM(EF[CO2] * (EF[SATIM Code]= $D1442))  * (SUM( ($A$768:$A$846=$A1442) * ($D$768:$D$846= $D1442) * (O$768:O$846) )  +  SUM( ($A$933:$A$1011=$A1442) * ($D$933:$D$1011= $D1442) * (O$933:O$1011) ) + SUM( ($E$1016:$E$1039=$E$1427)*($A$1016:$A$1039=$A1442) * ($D$1016:$D$1039=$D1442)*(O$1016:O$1039) ) )</f>
        <v>71.22514237341278</v>
      </c>
    </row>
    <row r="1443" spans="1:15" s="19" customFormat="1" hidden="1" outlineLevel="1">
      <c r="A1443" s="19" t="str">
        <f t="shared" ref="A1443:A1450" si="287">A1442</f>
        <v>IS</v>
      </c>
      <c r="B1443" s="1400" t="str">
        <f>INDEX(EF[UK Vector],MATCH(D1443,EF[SATIM Code],0))</f>
        <v>V.03</v>
      </c>
      <c r="C1443" s="1401" t="str">
        <f>INDEX(Vectors[Description], MATCH($B1443, Vectors[Code], 0))</f>
        <v>Solid hydrocarbons</v>
      </c>
      <c r="D1443" s="1391" t="s">
        <v>883</v>
      </c>
      <c r="E1443" s="1393"/>
      <c r="F1443" s="1389">
        <f t="array" ref="F1443" xml:space="preserve"> SUM(EF[CO2] * (EF[SATIM Code]= $D1443))  * (SUM( ($A$768:$A$846=$A1443) * ($D$768:$D$846= $D1443) * (F$768:F$846) )  +  SUM( ($A$933:$A$1011=$A1443) * ($D$933:$D$1011= $D1443) * (F$933:F$1011) ) + SUM( ($E$1016:$E$1039=$E$1427)*($A$1016:$A$1039=$A1443) * ($D$1016:$D$1039=$D1443)*(F$1016:F$1039) ) )</f>
        <v>0</v>
      </c>
      <c r="G1443" s="1389">
        <f t="array" ref="G1443" xml:space="preserve"> SUM(EF[CO2] * (EF[SATIM Code]= $D1443))  * (SUM( ($A$768:$A$846=$A1443) * ($D$768:$D$846= $D1443) * (G$768:G$846) )  +  SUM( ($A$933:$A$1011=$A1443) * ($D$933:$D$1011= $D1443) * (G$933:G$1011) ) + SUM( ($E$1016:$E$1039=$E$1427)*($A$1016:$A$1039=$A1443) * ($D$1016:$D$1039=$D1443)*(G$1016:G$1039) ) )</f>
        <v>0</v>
      </c>
      <c r="H1443" s="1389">
        <f t="array" ref="H1443" xml:space="preserve"> SUM(EF[CO2] * (EF[SATIM Code]= $D1443))  * (SUM( ($A$768:$A$846=$A1443) * ($D$768:$D$846= $D1443) * (H$768:H$846) )  +  SUM( ($A$933:$A$1011=$A1443) * ($D$933:$D$1011= $D1443) * (H$933:H$1011) ) + SUM( ($E$1016:$E$1039=$E$1427)*($A$1016:$A$1039=$A1443) * ($D$1016:$D$1039=$D1443)*(H$1016:H$1039) ) )</f>
        <v>0</v>
      </c>
      <c r="I1443" s="1389">
        <f t="array" ref="I1443" xml:space="preserve"> SUM(EF[CO2] * (EF[SATIM Code]= $D1443))  * (SUM( ($A$768:$A$846=$A1443) * ($D$768:$D$846= $D1443) * (I$768:I$846) )  +  SUM( ($A$933:$A$1011=$A1443) * ($D$933:$D$1011= $D1443) * (I$933:I$1011) ) + SUM( ($E$1016:$E$1039=$E$1427)*($A$1016:$A$1039=$A1443) * ($D$1016:$D$1039=$D1443)*(I$1016:I$1039) ) )</f>
        <v>0</v>
      </c>
      <c r="J1443" s="1389">
        <f t="array" ref="J1443" xml:space="preserve"> SUM(EF[CO2] * (EF[SATIM Code]= $D1443))  * (SUM( ($A$768:$A$846=$A1443) * ($D$768:$D$846= $D1443) * (J$768:J$846) )  +  SUM( ($A$933:$A$1011=$A1443) * ($D$933:$D$1011= $D1443) * (J$933:J$1011) ) + SUM( ($E$1016:$E$1039=$E$1427)*($A$1016:$A$1039=$A1443) * ($D$1016:$D$1039=$D1443)*(J$1016:J$1039) ) )</f>
        <v>0</v>
      </c>
      <c r="K1443" s="1389">
        <f t="array" ref="K1443" xml:space="preserve"> SUM(EF[CO2] * (EF[SATIM Code]= $D1443))  * (SUM( ($A$768:$A$846=$A1443) * ($D$768:$D$846= $D1443) * (K$768:K$846) )  +  SUM( ($A$933:$A$1011=$A1443) * ($D$933:$D$1011= $D1443) * (K$933:K$1011) ) + SUM( ($E$1016:$E$1039=$E$1427)*($A$1016:$A$1039=$A1443) * ($D$1016:$D$1039=$D1443)*(K$1016:K$1039) ) )</f>
        <v>0</v>
      </c>
      <c r="L1443" s="1389">
        <f t="array" ref="L1443" xml:space="preserve"> SUM(EF[CO2] * (EF[SATIM Code]= $D1443))  * (SUM( ($A$768:$A$846=$A1443) * ($D$768:$D$846= $D1443) * (L$768:L$846) )  +  SUM( ($A$933:$A$1011=$A1443) * ($D$933:$D$1011= $D1443) * (L$933:L$1011) ) + SUM( ($E$1016:$E$1039=$E$1427)*($A$1016:$A$1039=$A1443) * ($D$1016:$D$1039=$D1443)*(L$1016:L$1039) ) )</f>
        <v>0</v>
      </c>
      <c r="M1443" s="1389">
        <f t="array" ref="M1443" xml:space="preserve"> SUM(EF[CO2] * (EF[SATIM Code]= $D1443))  * (SUM( ($A$768:$A$846=$A1443) * ($D$768:$D$846= $D1443) * (M$768:M$846) )  +  SUM( ($A$933:$A$1011=$A1443) * ($D$933:$D$1011= $D1443) * (M$933:M$1011) ) + SUM( ($E$1016:$E$1039=$E$1427)*($A$1016:$A$1039=$A1443) * ($D$1016:$D$1039=$D1443)*(M$1016:M$1039) ) )</f>
        <v>0</v>
      </c>
      <c r="N1443" s="1389">
        <f t="array" ref="N1443" xml:space="preserve"> SUM(EF[CO2] * (EF[SATIM Code]= $D1443))  * (SUM( ($A$768:$A$846=$A1443) * ($D$768:$D$846= $D1443) * (N$768:N$846) )  +  SUM( ($A$933:$A$1011=$A1443) * ($D$933:$D$1011= $D1443) * (N$933:N$1011) ) + SUM( ($E$1016:$E$1039=$E$1427)*($A$1016:$A$1039=$A1443) * ($D$1016:$D$1039=$D1443)*(N$1016:N$1039) ) )</f>
        <v>0</v>
      </c>
      <c r="O1443" s="1389">
        <f t="array" ref="O1443" xml:space="preserve"> SUM(EF[CO2] * (EF[SATIM Code]= $D1443))  * (SUM( ($A$768:$A$846=$A1443) * ($D$768:$D$846= $D1443) * (O$768:O$846) )  +  SUM( ($A$933:$A$1011=$A1443) * ($D$933:$D$1011= $D1443) * (O$933:O$1011) ) + SUM( ($E$1016:$E$1039=$E$1427)*($A$1016:$A$1039=$A1443) * ($D$1016:$D$1039=$D1443)*(O$1016:O$1039) ) )</f>
        <v>0</v>
      </c>
    </row>
    <row r="1444" spans="1:15" s="19" customFormat="1" hidden="1" outlineLevel="1">
      <c r="A1444" s="19" t="str">
        <f t="shared" si="287"/>
        <v>IS</v>
      </c>
      <c r="B1444" s="1400" t="str">
        <f>INDEX(EF[UK Vector],MATCH(D1444,EF[SATIM Code],0))</f>
        <v>V.05</v>
      </c>
      <c r="C1444" s="1401" t="str">
        <f>INDEX(Vectors[Description], MATCH($B1444, Vectors[Code], 0))</f>
        <v>Gaseous hydrocarbons</v>
      </c>
      <c r="D1444" s="1406" t="s">
        <v>869</v>
      </c>
      <c r="E1444" s="1393"/>
      <c r="F1444" s="1389">
        <f t="array" ref="F1444" xml:space="preserve"> SUM(EF[CO2] * (EF[SATIM Code]= $D1444))  * (SUM( ($A$768:$A$846=$A1444) * ($D$768:$D$846= $D1444) * (F$768:F$846) )  +  SUM( ($A$933:$A$1011=$A1444) * ($D$933:$D$1011= $D1444) * (F$933:F$1011) ) + SUM( ($E$1016:$E$1039=$E$1427)*($A$1016:$A$1039=$A1444) * ($D$1016:$D$1039=$D1444)*(F$1016:F$1039) ) )</f>
        <v>1.2328592099999998</v>
      </c>
      <c r="G1444" s="1389">
        <f t="array" ref="G1444" xml:space="preserve"> SUM(EF[CO2] * (EF[SATIM Code]= $D1444))  * (SUM( ($A$768:$A$846=$A1444) * ($D$768:$D$846= $D1444) * (G$768:G$846) )  +  SUM( ($A$933:$A$1011=$A1444) * ($D$933:$D$1011= $D1444) * (G$933:G$1011) ) + SUM( ($E$1016:$E$1039=$E$1427)*($A$1016:$A$1039=$A1444) * ($D$1016:$D$1039=$D1444)*(G$1016:G$1039) ) )</f>
        <v>1.4272207955567067</v>
      </c>
      <c r="H1444" s="1389">
        <f t="array" ref="H1444" xml:space="preserve"> SUM(EF[CO2] * (EF[SATIM Code]= $D1444))  * (SUM( ($A$768:$A$846=$A1444) * ($D$768:$D$846= $D1444) * (H$768:H$846) )  +  SUM( ($A$933:$A$1011=$A1444) * ($D$933:$D$1011= $D1444) * (H$933:H$1011) ) + SUM( ($E$1016:$E$1039=$E$1427)*($A$1016:$A$1039=$A1444) * ($D$1016:$D$1039=$D1444)*(H$1016:H$1039) ) )</f>
        <v>1.8447820415294605</v>
      </c>
      <c r="I1444" s="1389">
        <f t="array" ref="I1444" xml:space="preserve"> SUM(EF[CO2] * (EF[SATIM Code]= $D1444))  * (SUM( ($A$768:$A$846=$A1444) * ($D$768:$D$846= $D1444) * (I$768:I$846) )  +  SUM( ($A$933:$A$1011=$A1444) * ($D$933:$D$1011= $D1444) * (I$933:I$1011) ) + SUM( ($E$1016:$E$1039=$E$1427)*($A$1016:$A$1039=$A1444) * ($D$1016:$D$1039=$D1444)*(I$1016:I$1039) ) )</f>
        <v>2.2623432875022136</v>
      </c>
      <c r="J1444" s="1389">
        <f t="array" ref="J1444" xml:space="preserve"> SUM(EF[CO2] * (EF[SATIM Code]= $D1444))  * (SUM( ($A$768:$A$846=$A1444) * ($D$768:$D$846= $D1444) * (J$768:J$846) )  +  SUM( ($A$933:$A$1011=$A1444) * ($D$933:$D$1011= $D1444) * (J$933:J$1011) ) + SUM( ($E$1016:$E$1039=$E$1427)*($A$1016:$A$1039=$A1444) * ($D$1016:$D$1039=$D1444)*(J$1016:J$1039) ) )</f>
        <v>2.911200871168754</v>
      </c>
      <c r="K1444" s="1389">
        <f t="array" ref="K1444" xml:space="preserve"> SUM(EF[CO2] * (EF[SATIM Code]= $D1444))  * (SUM( ($A$768:$A$846=$A1444) * ($D$768:$D$846= $D1444) * (K$768:K$846) )  +  SUM( ($A$933:$A$1011=$A1444) * ($D$933:$D$1011= $D1444) * (K$933:K$1011) ) + SUM( ($E$1016:$E$1039=$E$1427)*($A$1016:$A$1039=$A1444) * ($D$1016:$D$1039=$D1444)*(K$1016:K$1039) ) )</f>
        <v>3.5600584548352949</v>
      </c>
      <c r="L1444" s="1389">
        <f t="array" ref="L1444" xml:space="preserve"> SUM(EF[CO2] * (EF[SATIM Code]= $D1444))  * (SUM( ($A$768:$A$846=$A1444) * ($D$768:$D$846= $D1444) * (L$768:L$846) )  +  SUM( ($A$933:$A$1011=$A1444) * ($D$933:$D$1011= $D1444) * (L$933:L$1011) ) + SUM( ($E$1016:$E$1039=$E$1427)*($A$1016:$A$1039=$A1444) * ($D$1016:$D$1039=$D1444)*(L$1016:L$1039) ) )</f>
        <v>4.4162002189952769</v>
      </c>
      <c r="M1444" s="1389">
        <f t="array" ref="M1444" xml:space="preserve"> SUM(EF[CO2] * (EF[SATIM Code]= $D1444))  * (SUM( ($A$768:$A$846=$A1444) * ($D$768:$D$846= $D1444) * (M$768:M$846) )  +  SUM( ($A$933:$A$1011=$A1444) * ($D$933:$D$1011= $D1444) * (M$933:M$1011) ) + SUM( ($E$1016:$E$1039=$E$1427)*($A$1016:$A$1039=$A1444) * ($D$1016:$D$1039=$D1444)*(M$1016:M$1039) ) )</f>
        <v>5.2723419831552594</v>
      </c>
      <c r="N1444" s="1389">
        <f t="array" ref="N1444" xml:space="preserve"> SUM(EF[CO2] * (EF[SATIM Code]= $D1444))  * (SUM( ($A$768:$A$846=$A1444) * ($D$768:$D$846= $D1444) * (N$768:N$846) )  +  SUM( ($A$933:$A$1011=$A1444) * ($D$933:$D$1011= $D1444) * (N$933:N$1011) ) + SUM( ($E$1016:$E$1039=$E$1427)*($A$1016:$A$1039=$A1444) * ($D$1016:$D$1039=$D1444)*(N$1016:N$1039) ) )</f>
        <v>6.2746506913130977</v>
      </c>
      <c r="O1444" s="1389">
        <f t="array" ref="O1444" xml:space="preserve"> SUM(EF[CO2] * (EF[SATIM Code]= $D1444))  * (SUM( ($A$768:$A$846=$A1444) * ($D$768:$D$846= $D1444) * (O$768:O$846) )  +  SUM( ($A$933:$A$1011=$A1444) * ($D$933:$D$1011= $D1444) * (O$933:O$1011) ) + SUM( ($E$1016:$E$1039=$E$1427)*($A$1016:$A$1039=$A1444) * ($D$1016:$D$1039=$D1444)*(O$1016:O$1039) ) )</f>
        <v>7.2769593994709361</v>
      </c>
    </row>
    <row r="1445" spans="1:15" s="19" customFormat="1" hidden="1" outlineLevel="1">
      <c r="A1445" s="19" t="str">
        <f t="shared" si="287"/>
        <v>IS</v>
      </c>
      <c r="B1445" s="1400" t="str">
        <f>INDEX(EF[UK Vector],MATCH(D1445,EF[SATIM Code],0))</f>
        <v>V.04</v>
      </c>
      <c r="C1445" s="1401" t="str">
        <f>INDEX(Vectors[Description], MATCH($B1445, Vectors[Code], 0))</f>
        <v>Liquid hydrocarbons</v>
      </c>
      <c r="D1445" s="1406" t="s">
        <v>885</v>
      </c>
      <c r="E1445" s="1393"/>
      <c r="F1445" s="1389">
        <f t="array" ref="F1445" xml:space="preserve"> SUM(EF[CO2] * (EF[SATIM Code]= $D1445))  * (SUM( ($A$768:$A$846=$A1445) * ($D$768:$D$846= $D1445) * (F$768:F$846) )  +  SUM( ($A$933:$A$1011=$A1445) * ($D$933:$D$1011= $D1445) * (F$933:F$1011) ) + SUM( ($E$1016:$E$1039=$E$1427)*($A$1016:$A$1039=$A1445) * ($D$1016:$D$1039=$D1445)*(F$1016:F$1039) ) )</f>
        <v>0</v>
      </c>
      <c r="G1445" s="1389">
        <f t="array" ref="G1445" xml:space="preserve"> SUM(EF[CO2] * (EF[SATIM Code]= $D1445))  * (SUM( ($A$768:$A$846=$A1445) * ($D$768:$D$846= $D1445) * (G$768:G$846) )  +  SUM( ($A$933:$A$1011=$A1445) * ($D$933:$D$1011= $D1445) * (G$933:G$1011) ) + SUM( ($E$1016:$E$1039=$E$1427)*($A$1016:$A$1039=$A1445) * ($D$1016:$D$1039=$D1445)*(G$1016:G$1039) ) )</f>
        <v>0</v>
      </c>
      <c r="H1445" s="1389">
        <f t="array" ref="H1445" xml:space="preserve"> SUM(EF[CO2] * (EF[SATIM Code]= $D1445))  * (SUM( ($A$768:$A$846=$A1445) * ($D$768:$D$846= $D1445) * (H$768:H$846) )  +  SUM( ($A$933:$A$1011=$A1445) * ($D$933:$D$1011= $D1445) * (H$933:H$1011) ) + SUM( ($E$1016:$E$1039=$E$1427)*($A$1016:$A$1039=$A1445) * ($D$1016:$D$1039=$D1445)*(H$1016:H$1039) ) )</f>
        <v>0</v>
      </c>
      <c r="I1445" s="1389">
        <f t="array" ref="I1445" xml:space="preserve"> SUM(EF[CO2] * (EF[SATIM Code]= $D1445))  * (SUM( ($A$768:$A$846=$A1445) * ($D$768:$D$846= $D1445) * (I$768:I$846) )  +  SUM( ($A$933:$A$1011=$A1445) * ($D$933:$D$1011= $D1445) * (I$933:I$1011) ) + SUM( ($E$1016:$E$1039=$E$1427)*($A$1016:$A$1039=$A1445) * ($D$1016:$D$1039=$D1445)*(I$1016:I$1039) ) )</f>
        <v>0</v>
      </c>
      <c r="J1445" s="1389">
        <f t="array" ref="J1445" xml:space="preserve"> SUM(EF[CO2] * (EF[SATIM Code]= $D1445))  * (SUM( ($A$768:$A$846=$A1445) * ($D$768:$D$846= $D1445) * (J$768:J$846) )  +  SUM( ($A$933:$A$1011=$A1445) * ($D$933:$D$1011= $D1445) * (J$933:J$1011) ) + SUM( ($E$1016:$E$1039=$E$1427)*($A$1016:$A$1039=$A1445) * ($D$1016:$D$1039=$D1445)*(J$1016:J$1039) ) )</f>
        <v>0</v>
      </c>
      <c r="K1445" s="1389">
        <f t="array" ref="K1445" xml:space="preserve"> SUM(EF[CO2] * (EF[SATIM Code]= $D1445))  * (SUM( ($A$768:$A$846=$A1445) * ($D$768:$D$846= $D1445) * (K$768:K$846) )  +  SUM( ($A$933:$A$1011=$A1445) * ($D$933:$D$1011= $D1445) * (K$933:K$1011) ) + SUM( ($E$1016:$E$1039=$E$1427)*($A$1016:$A$1039=$A1445) * ($D$1016:$D$1039=$D1445)*(K$1016:K$1039) ) )</f>
        <v>0</v>
      </c>
      <c r="L1445" s="1389">
        <f t="array" ref="L1445" xml:space="preserve"> SUM(EF[CO2] * (EF[SATIM Code]= $D1445))  * (SUM( ($A$768:$A$846=$A1445) * ($D$768:$D$846= $D1445) * (L$768:L$846) )  +  SUM( ($A$933:$A$1011=$A1445) * ($D$933:$D$1011= $D1445) * (L$933:L$1011) ) + SUM( ($E$1016:$E$1039=$E$1427)*($A$1016:$A$1039=$A1445) * ($D$1016:$D$1039=$D1445)*(L$1016:L$1039) ) )</f>
        <v>0</v>
      </c>
      <c r="M1445" s="1389">
        <f t="array" ref="M1445" xml:space="preserve"> SUM(EF[CO2] * (EF[SATIM Code]= $D1445))  * (SUM( ($A$768:$A$846=$A1445) * ($D$768:$D$846= $D1445) * (M$768:M$846) )  +  SUM( ($A$933:$A$1011=$A1445) * ($D$933:$D$1011= $D1445) * (M$933:M$1011) ) + SUM( ($E$1016:$E$1039=$E$1427)*($A$1016:$A$1039=$A1445) * ($D$1016:$D$1039=$D1445)*(M$1016:M$1039) ) )</f>
        <v>0</v>
      </c>
      <c r="N1445" s="1389">
        <f t="array" ref="N1445" xml:space="preserve"> SUM(EF[CO2] * (EF[SATIM Code]= $D1445))  * (SUM( ($A$768:$A$846=$A1445) * ($D$768:$D$846= $D1445) * (N$768:N$846) )  +  SUM( ($A$933:$A$1011=$A1445) * ($D$933:$D$1011= $D1445) * (N$933:N$1011) ) + SUM( ($E$1016:$E$1039=$E$1427)*($A$1016:$A$1039=$A1445) * ($D$1016:$D$1039=$D1445)*(N$1016:N$1039) ) )</f>
        <v>0</v>
      </c>
      <c r="O1445" s="1389">
        <f t="array" ref="O1445" xml:space="preserve"> SUM(EF[CO2] * (EF[SATIM Code]= $D1445))  * (SUM( ($A$768:$A$846=$A1445) * ($D$768:$D$846= $D1445) * (O$768:O$846) )  +  SUM( ($A$933:$A$1011=$A1445) * ($D$933:$D$1011= $D1445) * (O$933:O$1011) ) + SUM( ($E$1016:$E$1039=$E$1427)*($A$1016:$A$1039=$A1445) * ($D$1016:$D$1039=$D1445)*(O$1016:O$1039) ) )</f>
        <v>0</v>
      </c>
    </row>
    <row r="1446" spans="1:15" s="19" customFormat="1" hidden="1" outlineLevel="1">
      <c r="A1446" s="19" t="str">
        <f t="shared" si="287"/>
        <v>IS</v>
      </c>
      <c r="B1446" s="1400" t="str">
        <f>INDEX(EF[UK Vector],MATCH(D1446,EF[SATIM Code],0))</f>
        <v>V.04</v>
      </c>
      <c r="C1446" s="1401" t="str">
        <f>INDEX(Vectors[Description], MATCH($B1446, Vectors[Code], 0))</f>
        <v>Liquid hydrocarbons</v>
      </c>
      <c r="D1446" s="1391" t="s">
        <v>886</v>
      </c>
      <c r="E1446" s="1393"/>
      <c r="F1446" s="1389">
        <f t="array" ref="F1446" xml:space="preserve"> SUM(EF[CO2] * (EF[SATIM Code]= $D1446))  * (SUM( ($A$768:$A$846=$A1446) * ($D$768:$D$846= $D1446) * (F$768:F$846) )  +  SUM( ($A$933:$A$1011=$A1446) * ($D$933:$D$1011= $D1446) * (F$933:F$1011) ) + SUM( ($E$1016:$E$1039=$E$1427)*($A$1016:$A$1039=$A1446) * ($D$1016:$D$1039=$D1446)*(F$1016:F$1039) ) )</f>
        <v>0</v>
      </c>
      <c r="G1446" s="1389">
        <f t="array" ref="G1446" xml:space="preserve"> SUM(EF[CO2] * (EF[SATIM Code]= $D1446))  * (SUM( ($A$768:$A$846=$A1446) * ($D$768:$D$846= $D1446) * (G$768:G$846) )  +  SUM( ($A$933:$A$1011=$A1446) * ($D$933:$D$1011= $D1446) * (G$933:G$1011) ) + SUM( ($E$1016:$E$1039=$E$1427)*($A$1016:$A$1039=$A1446) * ($D$1016:$D$1039=$D1446)*(G$1016:G$1039) ) )</f>
        <v>0</v>
      </c>
      <c r="H1446" s="1389">
        <f t="array" ref="H1446" xml:space="preserve"> SUM(EF[CO2] * (EF[SATIM Code]= $D1446))  * (SUM( ($A$768:$A$846=$A1446) * ($D$768:$D$846= $D1446) * (H$768:H$846) )  +  SUM( ($A$933:$A$1011=$A1446) * ($D$933:$D$1011= $D1446) * (H$933:H$1011) ) + SUM( ($E$1016:$E$1039=$E$1427)*($A$1016:$A$1039=$A1446) * ($D$1016:$D$1039=$D1446)*(H$1016:H$1039) ) )</f>
        <v>0</v>
      </c>
      <c r="I1446" s="1389">
        <f t="array" ref="I1446" xml:space="preserve"> SUM(EF[CO2] * (EF[SATIM Code]= $D1446))  * (SUM( ($A$768:$A$846=$A1446) * ($D$768:$D$846= $D1446) * (I$768:I$846) )  +  SUM( ($A$933:$A$1011=$A1446) * ($D$933:$D$1011= $D1446) * (I$933:I$1011) ) + SUM( ($E$1016:$E$1039=$E$1427)*($A$1016:$A$1039=$A1446) * ($D$1016:$D$1039=$D1446)*(I$1016:I$1039) ) )</f>
        <v>0</v>
      </c>
      <c r="J1446" s="1389">
        <f t="array" ref="J1446" xml:space="preserve"> SUM(EF[CO2] * (EF[SATIM Code]= $D1446))  * (SUM( ($A$768:$A$846=$A1446) * ($D$768:$D$846= $D1446) * (J$768:J$846) )  +  SUM( ($A$933:$A$1011=$A1446) * ($D$933:$D$1011= $D1446) * (J$933:J$1011) ) + SUM( ($E$1016:$E$1039=$E$1427)*($A$1016:$A$1039=$A1446) * ($D$1016:$D$1039=$D1446)*(J$1016:J$1039) ) )</f>
        <v>0</v>
      </c>
      <c r="K1446" s="1389">
        <f t="array" ref="K1446" xml:space="preserve"> SUM(EF[CO2] * (EF[SATIM Code]= $D1446))  * (SUM( ($A$768:$A$846=$A1446) * ($D$768:$D$846= $D1446) * (K$768:K$846) )  +  SUM( ($A$933:$A$1011=$A1446) * ($D$933:$D$1011= $D1446) * (K$933:K$1011) ) + SUM( ($E$1016:$E$1039=$E$1427)*($A$1016:$A$1039=$A1446) * ($D$1016:$D$1039=$D1446)*(K$1016:K$1039) ) )</f>
        <v>0</v>
      </c>
      <c r="L1446" s="1389">
        <f t="array" ref="L1446" xml:space="preserve"> SUM(EF[CO2] * (EF[SATIM Code]= $D1446))  * (SUM( ($A$768:$A$846=$A1446) * ($D$768:$D$846= $D1446) * (L$768:L$846) )  +  SUM( ($A$933:$A$1011=$A1446) * ($D$933:$D$1011= $D1446) * (L$933:L$1011) ) + SUM( ($E$1016:$E$1039=$E$1427)*($A$1016:$A$1039=$A1446) * ($D$1016:$D$1039=$D1446)*(L$1016:L$1039) ) )</f>
        <v>0</v>
      </c>
      <c r="M1446" s="1389">
        <f t="array" ref="M1446" xml:space="preserve"> SUM(EF[CO2] * (EF[SATIM Code]= $D1446))  * (SUM( ($A$768:$A$846=$A1446) * ($D$768:$D$846= $D1446) * (M$768:M$846) )  +  SUM( ($A$933:$A$1011=$A1446) * ($D$933:$D$1011= $D1446) * (M$933:M$1011) ) + SUM( ($E$1016:$E$1039=$E$1427)*($A$1016:$A$1039=$A1446) * ($D$1016:$D$1039=$D1446)*(M$1016:M$1039) ) )</f>
        <v>0</v>
      </c>
      <c r="N1446" s="1389">
        <f t="array" ref="N1446" xml:space="preserve"> SUM(EF[CO2] * (EF[SATIM Code]= $D1446))  * (SUM( ($A$768:$A$846=$A1446) * ($D$768:$D$846= $D1446) * (N$768:N$846) )  +  SUM( ($A$933:$A$1011=$A1446) * ($D$933:$D$1011= $D1446) * (N$933:N$1011) ) + SUM( ($E$1016:$E$1039=$E$1427)*($A$1016:$A$1039=$A1446) * ($D$1016:$D$1039=$D1446)*(N$1016:N$1039) ) )</f>
        <v>0</v>
      </c>
      <c r="O1446" s="1389">
        <f t="array" ref="O1446" xml:space="preserve"> SUM(EF[CO2] * (EF[SATIM Code]= $D1446))  * (SUM( ($A$768:$A$846=$A1446) * ($D$768:$D$846= $D1446) * (O$768:O$846) )  +  SUM( ($A$933:$A$1011=$A1446) * ($D$933:$D$1011= $D1446) * (O$933:O$1011) ) + SUM( ($E$1016:$E$1039=$E$1427)*($A$1016:$A$1039=$A1446) * ($D$1016:$D$1039=$D1446)*(O$1016:O$1039) ) )</f>
        <v>0</v>
      </c>
    </row>
    <row r="1447" spans="1:15" s="19" customFormat="1" hidden="1" outlineLevel="1">
      <c r="A1447" s="19" t="str">
        <f t="shared" si="287"/>
        <v>IS</v>
      </c>
      <c r="B1447" s="1400" t="str">
        <f>INDEX(EF[UK Vector],MATCH(D1447,EF[SATIM Code],0))</f>
        <v>V.04</v>
      </c>
      <c r="C1447" s="1401" t="str">
        <f>INDEX(Vectors[Description], MATCH($B1447, Vectors[Code], 0))</f>
        <v>Liquid hydrocarbons</v>
      </c>
      <c r="D1447" s="1406" t="s">
        <v>887</v>
      </c>
      <c r="E1447" s="1393"/>
      <c r="F1447" s="1389">
        <f t="array" ref="F1447" xml:space="preserve"> SUM(EF[CO2] * (EF[SATIM Code]= $D1447))  * (SUM( ($A$768:$A$846=$A1447) * ($D$768:$D$846= $D1447) * (F$768:F$846) )  +  SUM( ($A$933:$A$1011=$A1447) * ($D$933:$D$1011= $D1447) * (F$933:F$1011) ) + SUM( ($E$1016:$E$1039=$E$1427)*($A$1016:$A$1039=$A1447) * ($D$1016:$D$1039=$D1447)*(F$1016:F$1039) ) )</f>
        <v>0.243566</v>
      </c>
      <c r="G1447" s="1389">
        <f t="array" ref="G1447" xml:space="preserve"> SUM(EF[CO2] * (EF[SATIM Code]= $D1447))  * (SUM( ($A$768:$A$846=$A1447) * ($D$768:$D$846= $D1447) * (G$768:G$846) )  +  SUM( ($A$933:$A$1011=$A1447) * ($D$933:$D$1011= $D1447) * (G$933:G$1011) ) + SUM( ($E$1016:$E$1039=$E$1427)*($A$1016:$A$1039=$A1447) * ($D$1016:$D$1039=$D1447)*(G$1016:G$1039) ) )</f>
        <v>0.28196444287467742</v>
      </c>
      <c r="H1447" s="1389">
        <f t="array" ref="H1447" xml:space="preserve"> SUM(EF[CO2] * (EF[SATIM Code]= $D1447))  * (SUM( ($A$768:$A$846=$A1447) * ($D$768:$D$846= $D1447) * (H$768:H$846) )  +  SUM( ($A$933:$A$1011=$A1447) * ($D$933:$D$1011= $D1447) * (H$933:H$1011) ) + SUM( ($E$1016:$E$1039=$E$1427)*($A$1016:$A$1039=$A1447) * ($D$1016:$D$1039=$D1447)*(H$1016:H$1039) ) )</f>
        <v>0.36445863329938921</v>
      </c>
      <c r="I1447" s="1389">
        <f t="array" ref="I1447" xml:space="preserve"> SUM(EF[CO2] * (EF[SATIM Code]= $D1447))  * (SUM( ($A$768:$A$846=$A1447) * ($D$768:$D$846= $D1447) * (I$768:I$846) )  +  SUM( ($A$933:$A$1011=$A1447) * ($D$933:$D$1011= $D1447) * (I$933:I$1011) ) + SUM( ($E$1016:$E$1039=$E$1427)*($A$1016:$A$1039=$A1447) * ($D$1016:$D$1039=$D1447)*(I$1016:I$1039) ) )</f>
        <v>0.446952823724101</v>
      </c>
      <c r="J1447" s="1389">
        <f t="array" ref="J1447" xml:space="preserve"> SUM(EF[CO2] * (EF[SATIM Code]= $D1447))  * (SUM( ($A$768:$A$846=$A1447) * ($D$768:$D$846= $D1447) * (J$768:J$846) )  +  SUM( ($A$933:$A$1011=$A1447) * ($D$933:$D$1011= $D1447) * (J$933:J$1011) ) + SUM( ($E$1016:$E$1039=$E$1427)*($A$1016:$A$1039=$A1447) * ($D$1016:$D$1039=$D1447)*(J$1016:J$1039) ) )</f>
        <v>0.57514235659324719</v>
      </c>
      <c r="K1447" s="1389">
        <f t="array" ref="K1447" xml:space="preserve"> SUM(EF[CO2] * (EF[SATIM Code]= $D1447))  * (SUM( ($A$768:$A$846=$A1447) * ($D$768:$D$846= $D1447) * (K$768:K$846) )  +  SUM( ($A$933:$A$1011=$A1447) * ($D$933:$D$1011= $D1447) * (K$933:K$1011) ) + SUM( ($E$1016:$E$1039=$E$1427)*($A$1016:$A$1039=$A1447) * ($D$1016:$D$1039=$D1447)*(K$1016:K$1039) ) )</f>
        <v>0.70333188946239344</v>
      </c>
      <c r="L1447" s="1389">
        <f t="array" ref="L1447" xml:space="preserve"> SUM(EF[CO2] * (EF[SATIM Code]= $D1447))  * (SUM( ($A$768:$A$846=$A1447) * ($D$768:$D$846= $D1447) * (L$768:L$846) )  +  SUM( ($A$933:$A$1011=$A1447) * ($D$933:$D$1011= $D1447) * (L$933:L$1011) ) + SUM( ($E$1016:$E$1039=$E$1427)*($A$1016:$A$1039=$A1447) * ($D$1016:$D$1039=$D1447)*(L$1016:L$1039) ) )</f>
        <v>0.87247287753141256</v>
      </c>
      <c r="M1447" s="1389">
        <f t="array" ref="M1447" xml:space="preserve"> SUM(EF[CO2] * (EF[SATIM Code]= $D1447))  * (SUM( ($A$768:$A$846=$A1447) * ($D$768:$D$846= $D1447) * (M$768:M$846) )  +  SUM( ($A$933:$A$1011=$A1447) * ($D$933:$D$1011= $D1447) * (M$933:M$1011) ) + SUM( ($E$1016:$E$1039=$E$1427)*($A$1016:$A$1039=$A1447) * ($D$1016:$D$1039=$D1447)*(M$1016:M$1039) ) )</f>
        <v>1.0416138656004317</v>
      </c>
      <c r="N1447" s="1389">
        <f t="array" ref="N1447" xml:space="preserve"> SUM(EF[CO2] * (EF[SATIM Code]= $D1447))  * (SUM( ($A$768:$A$846=$A1447) * ($D$768:$D$846= $D1447) * (N$768:N$846) )  +  SUM( ($A$933:$A$1011=$A1447) * ($D$933:$D$1011= $D1447) * (N$933:N$1011) ) + SUM( ($E$1016:$E$1039=$E$1427)*($A$1016:$A$1039=$A1447) * ($D$1016:$D$1039=$D1447)*(N$1016:N$1039) ) )</f>
        <v>1.2396318718991168</v>
      </c>
      <c r="O1447" s="1389">
        <f t="array" ref="O1447" xml:space="preserve"> SUM(EF[CO2] * (EF[SATIM Code]= $D1447))  * (SUM( ($A$768:$A$846=$A1447) * ($D$768:$D$846= $D1447) * (O$768:O$846) )  +  SUM( ($A$933:$A$1011=$A1447) * ($D$933:$D$1011= $D1447) * (O$933:O$1011) ) + SUM( ($E$1016:$E$1039=$E$1427)*($A$1016:$A$1039=$A1447) * ($D$1016:$D$1039=$D1447)*(O$1016:O$1039) ) )</f>
        <v>1.4376498781978022</v>
      </c>
    </row>
    <row r="1448" spans="1:15" s="19" customFormat="1" hidden="1" outlineLevel="1">
      <c r="A1448" s="19" t="str">
        <f t="shared" si="287"/>
        <v>IS</v>
      </c>
      <c r="B1448" s="1400" t="str">
        <f>INDEX(EF[UK Vector],MATCH(D1448,EF[SATIM Code],0))</f>
        <v>V.09</v>
      </c>
      <c r="C1448" s="1401" t="str">
        <f>INDEX(Vectors[Description], MATCH($B1448, Vectors[Code], 0))</f>
        <v>Dry biomass and waste</v>
      </c>
      <c r="D1448" s="1406" t="s">
        <v>888</v>
      </c>
      <c r="E1448" s="1393"/>
      <c r="F1448" s="1389">
        <f t="array" ref="F1448" xml:space="preserve"> SUM(EF[CO2] * (EF[SATIM Code]= $D1448))  * (SUM( ($A$768:$A$846=$A1448) * ($D$768:$D$846= $D1448) * (F$768:F$846) )  +  SUM( ($A$933:$A$1011=$A1448) * ($D$933:$D$1011= $D1448) * (F$933:F$1011) ) + SUM( ($E$1016:$E$1039=$E$1427)*($A$1016:$A$1039=$A1448) * ($D$1016:$D$1039=$D1448)*(F$1016:F$1039) ) )</f>
        <v>0</v>
      </c>
      <c r="G1448" s="1389">
        <f t="array" ref="G1448" xml:space="preserve"> SUM(EF[CO2] * (EF[SATIM Code]= $D1448))  * (SUM( ($A$768:$A$846=$A1448) * ($D$768:$D$846= $D1448) * (G$768:G$846) )  +  SUM( ($A$933:$A$1011=$A1448) * ($D$933:$D$1011= $D1448) * (G$933:G$1011) ) + SUM( ($E$1016:$E$1039=$E$1427)*($A$1016:$A$1039=$A1448) * ($D$1016:$D$1039=$D1448)*(G$1016:G$1039) ) )</f>
        <v>0</v>
      </c>
      <c r="H1448" s="1389">
        <f t="array" ref="H1448" xml:space="preserve"> SUM(EF[CO2] * (EF[SATIM Code]= $D1448))  * (SUM( ($A$768:$A$846=$A1448) * ($D$768:$D$846= $D1448) * (H$768:H$846) )  +  SUM( ($A$933:$A$1011=$A1448) * ($D$933:$D$1011= $D1448) * (H$933:H$1011) ) + SUM( ($E$1016:$E$1039=$E$1427)*($A$1016:$A$1039=$A1448) * ($D$1016:$D$1039=$D1448)*(H$1016:H$1039) ) )</f>
        <v>0</v>
      </c>
      <c r="I1448" s="1389">
        <f t="array" ref="I1448" xml:space="preserve"> SUM(EF[CO2] * (EF[SATIM Code]= $D1448))  * (SUM( ($A$768:$A$846=$A1448) * ($D$768:$D$846= $D1448) * (I$768:I$846) )  +  SUM( ($A$933:$A$1011=$A1448) * ($D$933:$D$1011= $D1448) * (I$933:I$1011) ) + SUM( ($E$1016:$E$1039=$E$1427)*($A$1016:$A$1039=$A1448) * ($D$1016:$D$1039=$D1448)*(I$1016:I$1039) ) )</f>
        <v>0</v>
      </c>
      <c r="J1448" s="1389">
        <f t="array" ref="J1448" xml:space="preserve"> SUM(EF[CO2] * (EF[SATIM Code]= $D1448))  * (SUM( ($A$768:$A$846=$A1448) * ($D$768:$D$846= $D1448) * (J$768:J$846) )  +  SUM( ($A$933:$A$1011=$A1448) * ($D$933:$D$1011= $D1448) * (J$933:J$1011) ) + SUM( ($E$1016:$E$1039=$E$1427)*($A$1016:$A$1039=$A1448) * ($D$1016:$D$1039=$D1448)*(J$1016:J$1039) ) )</f>
        <v>0</v>
      </c>
      <c r="K1448" s="1389">
        <f t="array" ref="K1448" xml:space="preserve"> SUM(EF[CO2] * (EF[SATIM Code]= $D1448))  * (SUM( ($A$768:$A$846=$A1448) * ($D$768:$D$846= $D1448) * (K$768:K$846) )  +  SUM( ($A$933:$A$1011=$A1448) * ($D$933:$D$1011= $D1448) * (K$933:K$1011) ) + SUM( ($E$1016:$E$1039=$E$1427)*($A$1016:$A$1039=$A1448) * ($D$1016:$D$1039=$D1448)*(K$1016:K$1039) ) )</f>
        <v>0</v>
      </c>
      <c r="L1448" s="1389">
        <f t="array" ref="L1448" xml:space="preserve"> SUM(EF[CO2] * (EF[SATIM Code]= $D1448))  * (SUM( ($A$768:$A$846=$A1448) * ($D$768:$D$846= $D1448) * (L$768:L$846) )  +  SUM( ($A$933:$A$1011=$A1448) * ($D$933:$D$1011= $D1448) * (L$933:L$1011) ) + SUM( ($E$1016:$E$1039=$E$1427)*($A$1016:$A$1039=$A1448) * ($D$1016:$D$1039=$D1448)*(L$1016:L$1039) ) )</f>
        <v>0</v>
      </c>
      <c r="M1448" s="1389">
        <f t="array" ref="M1448" xml:space="preserve"> SUM(EF[CO2] * (EF[SATIM Code]= $D1448))  * (SUM( ($A$768:$A$846=$A1448) * ($D$768:$D$846= $D1448) * (M$768:M$846) )  +  SUM( ($A$933:$A$1011=$A1448) * ($D$933:$D$1011= $D1448) * (M$933:M$1011) ) + SUM( ($E$1016:$E$1039=$E$1427)*($A$1016:$A$1039=$A1448) * ($D$1016:$D$1039=$D1448)*(M$1016:M$1039) ) )</f>
        <v>0</v>
      </c>
      <c r="N1448" s="1389">
        <f t="array" ref="N1448" xml:space="preserve"> SUM(EF[CO2] * (EF[SATIM Code]= $D1448))  * (SUM( ($A$768:$A$846=$A1448) * ($D$768:$D$846= $D1448) * (N$768:N$846) )  +  SUM( ($A$933:$A$1011=$A1448) * ($D$933:$D$1011= $D1448) * (N$933:N$1011) ) + SUM( ($E$1016:$E$1039=$E$1427)*($A$1016:$A$1039=$A1448) * ($D$1016:$D$1039=$D1448)*(N$1016:N$1039) ) )</f>
        <v>0</v>
      </c>
      <c r="O1448" s="1389">
        <f t="array" ref="O1448" xml:space="preserve"> SUM(EF[CO2] * (EF[SATIM Code]= $D1448))  * (SUM( ($A$768:$A$846=$A1448) * ($D$768:$D$846= $D1448) * (O$768:O$846) )  +  SUM( ($A$933:$A$1011=$A1448) * ($D$933:$D$1011= $D1448) * (O$933:O$1011) ) + SUM( ($E$1016:$E$1039=$E$1427)*($A$1016:$A$1039=$A1448) * ($D$1016:$D$1039=$D1448)*(O$1016:O$1039) ) )</f>
        <v>0</v>
      </c>
    </row>
    <row r="1449" spans="1:15" s="19" customFormat="1" hidden="1" outlineLevel="1">
      <c r="A1449" s="19" t="str">
        <f t="shared" si="287"/>
        <v>IS</v>
      </c>
      <c r="B1449" s="1400" t="str">
        <f>INDEX(EF[UK Vector],MATCH(D1449,EF[SATIM Code],0))</f>
        <v>V.09</v>
      </c>
      <c r="C1449" s="1401" t="str">
        <f>INDEX(Vectors[Description], MATCH($B1449, Vectors[Code], 0))</f>
        <v>Dry biomass and waste</v>
      </c>
      <c r="D1449" s="1388" t="s">
        <v>889</v>
      </c>
      <c r="E1449" s="1393"/>
      <c r="F1449" s="1389">
        <f t="array" ref="F1449" xml:space="preserve"> SUM(EF[CO2] * (EF[SATIM Code]= $D1449))  * (SUM( ($A$768:$A$846=$A1449) * ($D$768:$D$846= $D1449) * (F$768:F$846) )  +  SUM( ($A$933:$A$1011=$A1449) * ($D$933:$D$1011= $D1449) * (F$933:F$1011) ) + SUM( ($E$1016:$E$1039=$E$1427)*($A$1016:$A$1039=$A1449) * ($D$1016:$D$1039=$D1449)*(F$1016:F$1039) ) )</f>
        <v>0</v>
      </c>
      <c r="G1449" s="1389">
        <f t="array" ref="G1449" xml:space="preserve"> SUM(EF[CO2] * (EF[SATIM Code]= $D1449))  * (SUM( ($A$768:$A$846=$A1449) * ($D$768:$D$846= $D1449) * (G$768:G$846) )  +  SUM( ($A$933:$A$1011=$A1449) * ($D$933:$D$1011= $D1449) * (G$933:G$1011) ) + SUM( ($E$1016:$E$1039=$E$1427)*($A$1016:$A$1039=$A1449) * ($D$1016:$D$1039=$D1449)*(G$1016:G$1039) ) )</f>
        <v>0</v>
      </c>
      <c r="H1449" s="1389">
        <f t="array" ref="H1449" xml:space="preserve"> SUM(EF[CO2] * (EF[SATIM Code]= $D1449))  * (SUM( ($A$768:$A$846=$A1449) * ($D$768:$D$846= $D1449) * (H$768:H$846) )  +  SUM( ($A$933:$A$1011=$A1449) * ($D$933:$D$1011= $D1449) * (H$933:H$1011) ) + SUM( ($E$1016:$E$1039=$E$1427)*($A$1016:$A$1039=$A1449) * ($D$1016:$D$1039=$D1449)*(H$1016:H$1039) ) )</f>
        <v>0</v>
      </c>
      <c r="I1449" s="1389">
        <f t="array" ref="I1449" xml:space="preserve"> SUM(EF[CO2] * (EF[SATIM Code]= $D1449))  * (SUM( ($A$768:$A$846=$A1449) * ($D$768:$D$846= $D1449) * (I$768:I$846) )  +  SUM( ($A$933:$A$1011=$A1449) * ($D$933:$D$1011= $D1449) * (I$933:I$1011) ) + SUM( ($E$1016:$E$1039=$E$1427)*($A$1016:$A$1039=$A1449) * ($D$1016:$D$1039=$D1449)*(I$1016:I$1039) ) )</f>
        <v>0</v>
      </c>
      <c r="J1449" s="1389">
        <f t="array" ref="J1449" xml:space="preserve"> SUM(EF[CO2] * (EF[SATIM Code]= $D1449))  * (SUM( ($A$768:$A$846=$A1449) * ($D$768:$D$846= $D1449) * (J$768:J$846) )  +  SUM( ($A$933:$A$1011=$A1449) * ($D$933:$D$1011= $D1449) * (J$933:J$1011) ) + SUM( ($E$1016:$E$1039=$E$1427)*($A$1016:$A$1039=$A1449) * ($D$1016:$D$1039=$D1449)*(J$1016:J$1039) ) )</f>
        <v>0</v>
      </c>
      <c r="K1449" s="1389">
        <f t="array" ref="K1449" xml:space="preserve"> SUM(EF[CO2] * (EF[SATIM Code]= $D1449))  * (SUM( ($A$768:$A$846=$A1449) * ($D$768:$D$846= $D1449) * (K$768:K$846) )  +  SUM( ($A$933:$A$1011=$A1449) * ($D$933:$D$1011= $D1449) * (K$933:K$1011) ) + SUM( ($E$1016:$E$1039=$E$1427)*($A$1016:$A$1039=$A1449) * ($D$1016:$D$1039=$D1449)*(K$1016:K$1039) ) )</f>
        <v>0</v>
      </c>
      <c r="L1449" s="1389">
        <f t="array" ref="L1449" xml:space="preserve"> SUM(EF[CO2] * (EF[SATIM Code]= $D1449))  * (SUM( ($A$768:$A$846=$A1449) * ($D$768:$D$846= $D1449) * (L$768:L$846) )  +  SUM( ($A$933:$A$1011=$A1449) * ($D$933:$D$1011= $D1449) * (L$933:L$1011) ) + SUM( ($E$1016:$E$1039=$E$1427)*($A$1016:$A$1039=$A1449) * ($D$1016:$D$1039=$D1449)*(L$1016:L$1039) ) )</f>
        <v>0</v>
      </c>
      <c r="M1449" s="1389">
        <f t="array" ref="M1449" xml:space="preserve"> SUM(EF[CO2] * (EF[SATIM Code]= $D1449))  * (SUM( ($A$768:$A$846=$A1449) * ($D$768:$D$846= $D1449) * (M$768:M$846) )  +  SUM( ($A$933:$A$1011=$A1449) * ($D$933:$D$1011= $D1449) * (M$933:M$1011) ) + SUM( ($E$1016:$E$1039=$E$1427)*($A$1016:$A$1039=$A1449) * ($D$1016:$D$1039=$D1449)*(M$1016:M$1039) ) )</f>
        <v>0</v>
      </c>
      <c r="N1449" s="1389">
        <f t="array" ref="N1449" xml:space="preserve"> SUM(EF[CO2] * (EF[SATIM Code]= $D1449))  * (SUM( ($A$768:$A$846=$A1449) * ($D$768:$D$846= $D1449) * (N$768:N$846) )  +  SUM( ($A$933:$A$1011=$A1449) * ($D$933:$D$1011= $D1449) * (N$933:N$1011) ) + SUM( ($E$1016:$E$1039=$E$1427)*($A$1016:$A$1039=$A1449) * ($D$1016:$D$1039=$D1449)*(N$1016:N$1039) ) )</f>
        <v>0</v>
      </c>
      <c r="O1449" s="1389">
        <f t="array" ref="O1449" xml:space="preserve"> SUM(EF[CO2] * (EF[SATIM Code]= $D1449))  * (SUM( ($A$768:$A$846=$A1449) * ($D$768:$D$846= $D1449) * (O$768:O$846) )  +  SUM( ($A$933:$A$1011=$A1449) * ($D$933:$D$1011= $D1449) * (O$933:O$1011) ) + SUM( ($E$1016:$E$1039=$E$1427)*($A$1016:$A$1039=$A1449) * ($D$1016:$D$1039=$D1449)*(O$1016:O$1039) ) )</f>
        <v>0</v>
      </c>
    </row>
    <row r="1450" spans="1:15" s="19" customFormat="1" hidden="1" outlineLevel="1">
      <c r="A1450" s="19" t="str">
        <f t="shared" si="287"/>
        <v>IS</v>
      </c>
      <c r="B1450" s="1400" t="str">
        <f>INDEX(EF[UK Vector],MATCH(D1450,EF[SATIM Code],0))</f>
        <v>V.16</v>
      </c>
      <c r="C1450" s="1401" t="str">
        <f>INDEX(Vectors[Description], MATCH($B1450, Vectors[Code], 0))</f>
        <v>Other Waste</v>
      </c>
      <c r="D1450" s="1408" t="s">
        <v>890</v>
      </c>
      <c r="E1450" s="1401"/>
      <c r="F1450" s="1389">
        <f t="array" ref="F1450" xml:space="preserve"> SUM(EF[CO2] * (EF[SATIM Code]= $D1450))  * (SUM( ($A$768:$A$846=$A1450) * ($D$768:$D$846= $D1450) * (F$768:F$846) )  +  SUM( ($A$933:$A$1011=$A1450) * ($D$933:$D$1011= $D1450) * (F$933:F$1011) ) + SUM( ($E$1016:$E$1039=$E$1427)*($A$1016:$A$1039=$A1450) * ($D$1016:$D$1039=$D1450)*(F$1016:F$1039) ) )</f>
        <v>0</v>
      </c>
      <c r="G1450" s="1389">
        <f t="array" ref="G1450" xml:space="preserve"> SUM(EF[CO2] * (EF[SATIM Code]= $D1450))  * (SUM( ($A$768:$A$846=$A1450) * ($D$768:$D$846= $D1450) * (G$768:G$846) )  +  SUM( ($A$933:$A$1011=$A1450) * ($D$933:$D$1011= $D1450) * (G$933:G$1011) ) + SUM( ($E$1016:$E$1039=$E$1427)*($A$1016:$A$1039=$A1450) * ($D$1016:$D$1039=$D1450)*(G$1016:G$1039) ) )</f>
        <v>0</v>
      </c>
      <c r="H1450" s="1389">
        <f t="array" ref="H1450" xml:space="preserve"> SUM(EF[CO2] * (EF[SATIM Code]= $D1450))  * (SUM( ($A$768:$A$846=$A1450) * ($D$768:$D$846= $D1450) * (H$768:H$846) )  +  SUM( ($A$933:$A$1011=$A1450) * ($D$933:$D$1011= $D1450) * (H$933:H$1011) ) + SUM( ($E$1016:$E$1039=$E$1427)*($A$1016:$A$1039=$A1450) * ($D$1016:$D$1039=$D1450)*(H$1016:H$1039) ) )</f>
        <v>0</v>
      </c>
      <c r="I1450" s="1389">
        <f t="array" ref="I1450" xml:space="preserve"> SUM(EF[CO2] * (EF[SATIM Code]= $D1450))  * (SUM( ($A$768:$A$846=$A1450) * ($D$768:$D$846= $D1450) * (I$768:I$846) )  +  SUM( ($A$933:$A$1011=$A1450) * ($D$933:$D$1011= $D1450) * (I$933:I$1011) ) + SUM( ($E$1016:$E$1039=$E$1427)*($A$1016:$A$1039=$A1450) * ($D$1016:$D$1039=$D1450)*(I$1016:I$1039) ) )</f>
        <v>0</v>
      </c>
      <c r="J1450" s="1389">
        <f t="array" ref="J1450" xml:space="preserve"> SUM(EF[CO2] * (EF[SATIM Code]= $D1450))  * (SUM( ($A$768:$A$846=$A1450) * ($D$768:$D$846= $D1450) * (J$768:J$846) )  +  SUM( ($A$933:$A$1011=$A1450) * ($D$933:$D$1011= $D1450) * (J$933:J$1011) ) + SUM( ($E$1016:$E$1039=$E$1427)*($A$1016:$A$1039=$A1450) * ($D$1016:$D$1039=$D1450)*(J$1016:J$1039) ) )</f>
        <v>0</v>
      </c>
      <c r="K1450" s="1389">
        <f t="array" ref="K1450" xml:space="preserve"> SUM(EF[CO2] * (EF[SATIM Code]= $D1450))  * (SUM( ($A$768:$A$846=$A1450) * ($D$768:$D$846= $D1450) * (K$768:K$846) )  +  SUM( ($A$933:$A$1011=$A1450) * ($D$933:$D$1011= $D1450) * (K$933:K$1011) ) + SUM( ($E$1016:$E$1039=$E$1427)*($A$1016:$A$1039=$A1450) * ($D$1016:$D$1039=$D1450)*(K$1016:K$1039) ) )</f>
        <v>0</v>
      </c>
      <c r="L1450" s="1389">
        <f t="array" ref="L1450" xml:space="preserve"> SUM(EF[CO2] * (EF[SATIM Code]= $D1450))  * (SUM( ($A$768:$A$846=$A1450) * ($D$768:$D$846= $D1450) * (L$768:L$846) )  +  SUM( ($A$933:$A$1011=$A1450) * ($D$933:$D$1011= $D1450) * (L$933:L$1011) ) + SUM( ($E$1016:$E$1039=$E$1427)*($A$1016:$A$1039=$A1450) * ($D$1016:$D$1039=$D1450)*(L$1016:L$1039) ) )</f>
        <v>0</v>
      </c>
      <c r="M1450" s="1389">
        <f t="array" ref="M1450" xml:space="preserve"> SUM(EF[CO2] * (EF[SATIM Code]= $D1450))  * (SUM( ($A$768:$A$846=$A1450) * ($D$768:$D$846= $D1450) * (M$768:M$846) )  +  SUM( ($A$933:$A$1011=$A1450) * ($D$933:$D$1011= $D1450) * (M$933:M$1011) ) + SUM( ($E$1016:$E$1039=$E$1427)*($A$1016:$A$1039=$A1450) * ($D$1016:$D$1039=$D1450)*(M$1016:M$1039) ) )</f>
        <v>0</v>
      </c>
      <c r="N1450" s="1389">
        <f t="array" ref="N1450" xml:space="preserve"> SUM(EF[CO2] * (EF[SATIM Code]= $D1450))  * (SUM( ($A$768:$A$846=$A1450) * ($D$768:$D$846= $D1450) * (N$768:N$846) )  +  SUM( ($A$933:$A$1011=$A1450) * ($D$933:$D$1011= $D1450) * (N$933:N$1011) ) + SUM( ($E$1016:$E$1039=$E$1427)*($A$1016:$A$1039=$A1450) * ($D$1016:$D$1039=$D1450)*(N$1016:N$1039) ) )</f>
        <v>0</v>
      </c>
      <c r="O1450" s="1389">
        <f t="array" ref="O1450" xml:space="preserve"> SUM(EF[CO2] * (EF[SATIM Code]= $D1450))  * (SUM( ($A$768:$A$846=$A1450) * ($D$768:$D$846= $D1450) * (O$768:O$846) )  +  SUM( ($A$933:$A$1011=$A1450) * ($D$933:$D$1011= $D1450) * (O$933:O$1011) ) + SUM( ($E$1016:$E$1039=$E$1427)*($A$1016:$A$1039=$A1450) * ($D$1016:$D$1039=$D1450)*(O$1016:O$1039) ) )</f>
        <v>0</v>
      </c>
    </row>
    <row r="1451" spans="1:15" s="19" customFormat="1" hidden="1" outlineLevel="1">
      <c r="B1451" s="1393"/>
      <c r="C1451" s="1407" t="str">
        <f>D22</f>
        <v>Chemicals  -33</v>
      </c>
      <c r="D1451" s="1391"/>
      <c r="E1451" s="1401"/>
      <c r="F1451" s="1389">
        <f t="array" ref="F1451" xml:space="preserve"> SUM(EF[CO2] * (EF[SATIM Code]= $D1451))  * (SUM( ($A$768:$A$846=$A1451) * ($D$768:$D$846= $D1451) * (F$768:F$846) )  +  SUM( ($A$933:$A$1011=$A1451) * ($D$933:$D$1011= $D1451) * (F$933:F$1011) ) + SUM( ($E$1016:$E$1039=$E$1427)*($A$1016:$A$1039=$A1451) * ($D$1016:$D$1039=$D1451)*(F$1016:F$1039) ) )</f>
        <v>0</v>
      </c>
      <c r="G1451" s="1389">
        <f t="array" ref="G1451" xml:space="preserve"> SUM(EF[CO2] * (EF[SATIM Code]= $D1451))  * (SUM( ($A$768:$A$846=$A1451) * ($D$768:$D$846= $D1451) * (G$768:G$846) )  +  SUM( ($A$933:$A$1011=$A1451) * ($D$933:$D$1011= $D1451) * (G$933:G$1011) ) + SUM( ($E$1016:$E$1039=$E$1427)*($A$1016:$A$1039=$A1451) * ($D$1016:$D$1039=$D1451)*(G$1016:G$1039) ) )</f>
        <v>0</v>
      </c>
      <c r="H1451" s="1389">
        <f t="array" ref="H1451" xml:space="preserve"> SUM(EF[CO2] * (EF[SATIM Code]= $D1451))  * (SUM( ($A$768:$A$846=$A1451) * ($D$768:$D$846= $D1451) * (H$768:H$846) )  +  SUM( ($A$933:$A$1011=$A1451) * ($D$933:$D$1011= $D1451) * (H$933:H$1011) ) + SUM( ($E$1016:$E$1039=$E$1427)*($A$1016:$A$1039=$A1451) * ($D$1016:$D$1039=$D1451)*(H$1016:H$1039) ) )</f>
        <v>0</v>
      </c>
      <c r="I1451" s="1389">
        <f t="array" ref="I1451" xml:space="preserve"> SUM(EF[CO2] * (EF[SATIM Code]= $D1451))  * (SUM( ($A$768:$A$846=$A1451) * ($D$768:$D$846= $D1451) * (I$768:I$846) )  +  SUM( ($A$933:$A$1011=$A1451) * ($D$933:$D$1011= $D1451) * (I$933:I$1011) ) + SUM( ($E$1016:$E$1039=$E$1427)*($A$1016:$A$1039=$A1451) * ($D$1016:$D$1039=$D1451)*(I$1016:I$1039) ) )</f>
        <v>0</v>
      </c>
      <c r="J1451" s="1389">
        <f t="array" ref="J1451" xml:space="preserve"> SUM(EF[CO2] * (EF[SATIM Code]= $D1451))  * (SUM( ($A$768:$A$846=$A1451) * ($D$768:$D$846= $D1451) * (J$768:J$846) )  +  SUM( ($A$933:$A$1011=$A1451) * ($D$933:$D$1011= $D1451) * (J$933:J$1011) ) + SUM( ($E$1016:$E$1039=$E$1427)*($A$1016:$A$1039=$A1451) * ($D$1016:$D$1039=$D1451)*(J$1016:J$1039) ) )</f>
        <v>0</v>
      </c>
      <c r="K1451" s="1389">
        <f t="array" ref="K1451" xml:space="preserve"> SUM(EF[CO2] * (EF[SATIM Code]= $D1451))  * (SUM( ($A$768:$A$846=$A1451) * ($D$768:$D$846= $D1451) * (K$768:K$846) )  +  SUM( ($A$933:$A$1011=$A1451) * ($D$933:$D$1011= $D1451) * (K$933:K$1011) ) + SUM( ($E$1016:$E$1039=$E$1427)*($A$1016:$A$1039=$A1451) * ($D$1016:$D$1039=$D1451)*(K$1016:K$1039) ) )</f>
        <v>0</v>
      </c>
      <c r="L1451" s="1389">
        <f t="array" ref="L1451" xml:space="preserve"> SUM(EF[CO2] * (EF[SATIM Code]= $D1451))  * (SUM( ($A$768:$A$846=$A1451) * ($D$768:$D$846= $D1451) * (L$768:L$846) )  +  SUM( ($A$933:$A$1011=$A1451) * ($D$933:$D$1011= $D1451) * (L$933:L$1011) ) + SUM( ($E$1016:$E$1039=$E$1427)*($A$1016:$A$1039=$A1451) * ($D$1016:$D$1039=$D1451)*(L$1016:L$1039) ) )</f>
        <v>0</v>
      </c>
      <c r="M1451" s="1389">
        <f t="array" ref="M1451" xml:space="preserve"> SUM(EF[CO2] * (EF[SATIM Code]= $D1451))  * (SUM( ($A$768:$A$846=$A1451) * ($D$768:$D$846= $D1451) * (M$768:M$846) )  +  SUM( ($A$933:$A$1011=$A1451) * ($D$933:$D$1011= $D1451) * (M$933:M$1011) ) + SUM( ($E$1016:$E$1039=$E$1427)*($A$1016:$A$1039=$A1451) * ($D$1016:$D$1039=$D1451)*(M$1016:M$1039) ) )</f>
        <v>0</v>
      </c>
      <c r="N1451" s="1389">
        <f t="array" ref="N1451" xml:space="preserve"> SUM(EF[CO2] * (EF[SATIM Code]= $D1451))  * (SUM( ($A$768:$A$846=$A1451) * ($D$768:$D$846= $D1451) * (N$768:N$846) )  +  SUM( ($A$933:$A$1011=$A1451) * ($D$933:$D$1011= $D1451) * (N$933:N$1011) ) + SUM( ($E$1016:$E$1039=$E$1427)*($A$1016:$A$1039=$A1451) * ($D$1016:$D$1039=$D1451)*(N$1016:N$1039) ) )</f>
        <v>0</v>
      </c>
      <c r="O1451" s="1389">
        <f t="array" ref="O1451" xml:space="preserve"> SUM(EF[CO2] * (EF[SATIM Code]= $D1451))  * (SUM( ($A$768:$A$846=$A1451) * ($D$768:$D$846= $D1451) * (O$768:O$846) )  +  SUM( ($A$933:$A$1011=$A1451) * ($D$933:$D$1011= $D1451) * (O$933:O$1011) ) + SUM( ($E$1016:$E$1039=$E$1427)*($A$1016:$A$1039=$A1451) * ($D$1016:$D$1039=$D1451)*(O$1016:O$1039) ) )</f>
        <v>0</v>
      </c>
    </row>
    <row r="1452" spans="1:15" s="19" customFormat="1" hidden="1" outlineLevel="1">
      <c r="A1452" s="1438" t="str">
        <f>INDEX($C$20:$C$27,MATCH($C1451,$D$20:$D$27,0))</f>
        <v>CP</v>
      </c>
      <c r="B1452" s="1400" t="str">
        <f>INDEX(EF[UK Vector],MATCH(D1452,EF[SATIM Code],0))</f>
        <v>V.03</v>
      </c>
      <c r="C1452" s="1401" t="str">
        <f>INDEX(Vectors[Description], MATCH($B1452, Vectors[Code], 0))</f>
        <v>Solid hydrocarbons</v>
      </c>
      <c r="D1452" s="1391" t="s">
        <v>882</v>
      </c>
      <c r="E1452" s="1387"/>
      <c r="F1452" s="1389">
        <f t="array" ref="F1452" xml:space="preserve"> SUM(EF[CO2] * (EF[SATIM Code]= $D1452))  * (SUM( ($A$768:$A$846=$A1452) * ($D$768:$D$846= $D1452) * (F$768:F$846) )  +  SUM( ($A$933:$A$1011=$A1452) * ($D$933:$D$1011= $D1452) * (F$933:F$1011) ) + SUM( ($E$1016:$E$1039=$E$1427)*($A$1016:$A$1039=$A1452) * ($D$1016:$D$1039=$D1452)*(F$1016:F$1039) ) )</f>
        <v>4.8935320087499994</v>
      </c>
      <c r="G1452" s="1389">
        <f t="array" ref="G1452" xml:space="preserve"> SUM(EF[CO2] * (EF[SATIM Code]= $D1452))  * (SUM( ($A$768:$A$846=$A1452) * ($D$768:$D$846= $D1452) * (G$768:G$846) )  +  SUM( ($A$933:$A$1011=$A1452) * ($D$933:$D$1011= $D1452) * (G$933:G$1011) ) + SUM( ($E$1016:$E$1039=$E$1427)*($A$1016:$A$1039=$A1452) * ($D$1016:$D$1039=$D1452)*(G$1016:G$1039) ) )</f>
        <v>5.5833663267262326</v>
      </c>
      <c r="H1452" s="1389">
        <f t="array" ref="H1452" xml:space="preserve"> SUM(EF[CO2] * (EF[SATIM Code]= $D1452))  * (SUM( ($A$768:$A$846=$A1452) * ($D$768:$D$846= $D1452) * (H$768:H$846) )  +  SUM( ($A$933:$A$1011=$A1452) * ($D$933:$D$1011= $D1452) * (H$933:H$1011) ) + SUM( ($E$1016:$E$1039=$E$1427)*($A$1016:$A$1039=$A1452) * ($D$1016:$D$1039=$D1452)*(H$1016:H$1039) ) )</f>
        <v>6.1709256166253139</v>
      </c>
      <c r="I1452" s="1389">
        <f t="array" ref="I1452" xml:space="preserve"> SUM(EF[CO2] * (EF[SATIM Code]= $D1452))  * (SUM( ($A$768:$A$846=$A1452) * ($D$768:$D$846= $D1452) * (I$768:I$846) )  +  SUM( ($A$933:$A$1011=$A1452) * ($D$933:$D$1011= $D1452) * (I$933:I$1011) ) + SUM( ($E$1016:$E$1039=$E$1427)*($A$1016:$A$1039=$A1452) * ($D$1016:$D$1039=$D1452)*(I$1016:I$1039) ) )</f>
        <v>6.7584849065243962</v>
      </c>
      <c r="J1452" s="1389">
        <f t="array" ref="J1452" xml:space="preserve"> SUM(EF[CO2] * (EF[SATIM Code]= $D1452))  * (SUM( ($A$768:$A$846=$A1452) * ($D$768:$D$846= $D1452) * (J$768:J$846) )  +  SUM( ($A$933:$A$1011=$A1452) * ($D$933:$D$1011= $D1452) * (J$933:J$1011) ) + SUM( ($E$1016:$E$1039=$E$1427)*($A$1016:$A$1039=$A1452) * ($D$1016:$D$1039=$D1452)*(J$1016:J$1039) ) )</f>
        <v>7.5695617116959681</v>
      </c>
      <c r="K1452" s="1389">
        <f t="array" ref="K1452" xml:space="preserve"> SUM(EF[CO2] * (EF[SATIM Code]= $D1452))  * (SUM( ($A$768:$A$846=$A1452) * ($D$768:$D$846= $D1452) * (K$768:K$846) )  +  SUM( ($A$933:$A$1011=$A1452) * ($D$933:$D$1011= $D1452) * (K$933:K$1011) ) + SUM( ($E$1016:$E$1039=$E$1427)*($A$1016:$A$1039=$A1452) * ($D$1016:$D$1039=$D1452)*(K$1016:K$1039) ) )</f>
        <v>8.3806385168675384</v>
      </c>
      <c r="L1452" s="1389">
        <f t="array" ref="L1452" xml:space="preserve"> SUM(EF[CO2] * (EF[SATIM Code]= $D1452))  * (SUM( ($A$768:$A$846=$A1452) * ($D$768:$D$846= $D1452) * (L$768:L$846) )  +  SUM( ($A$933:$A$1011=$A1452) * ($D$933:$D$1011= $D1452) * (L$933:L$1011) ) + SUM( ($E$1016:$E$1039=$E$1427)*($A$1016:$A$1039=$A1452) * ($D$1016:$D$1039=$D1452)*(L$1016:L$1039) ) )</f>
        <v>10.084323161096634</v>
      </c>
      <c r="M1452" s="1389">
        <f t="array" ref="M1452" xml:space="preserve"> SUM(EF[CO2] * (EF[SATIM Code]= $D1452))  * (SUM( ($A$768:$A$846=$A1452) * ($D$768:$D$846= $D1452) * (M$768:M$846) )  +  SUM( ($A$933:$A$1011=$A1452) * ($D$933:$D$1011= $D1452) * (M$933:M$1011) ) + SUM( ($E$1016:$E$1039=$E$1427)*($A$1016:$A$1039=$A1452) * ($D$1016:$D$1039=$D1452)*(M$1016:M$1039) ) )</f>
        <v>11.78800780532573</v>
      </c>
      <c r="N1452" s="1389">
        <f t="array" ref="N1452" xml:space="preserve"> SUM(EF[CO2] * (EF[SATIM Code]= $D1452))  * (SUM( ($A$768:$A$846=$A1452) * ($D$768:$D$846= $D1452) * (N$768:N$846) )  +  SUM( ($A$933:$A$1011=$A1452) * ($D$933:$D$1011= $D1452) * (N$933:N$1011) ) + SUM( ($E$1016:$E$1039=$E$1427)*($A$1016:$A$1039=$A1452) * ($D$1016:$D$1039=$D1452)*(N$1016:N$1039) ) )</f>
        <v>13.467382677659332</v>
      </c>
      <c r="O1452" s="1389">
        <f t="array" ref="O1452" xml:space="preserve"> SUM(EF[CO2] * (EF[SATIM Code]= $D1452))  * (SUM( ($A$768:$A$846=$A1452) * ($D$768:$D$846= $D1452) * (O$768:O$846) )  +  SUM( ($A$933:$A$1011=$A1452) * ($D$933:$D$1011= $D1452) * (O$933:O$1011) ) + SUM( ($E$1016:$E$1039=$E$1427)*($A$1016:$A$1039=$A1452) * ($D$1016:$D$1039=$D1452)*(O$1016:O$1039) ) )</f>
        <v>15.146757549992934</v>
      </c>
    </row>
    <row r="1453" spans="1:15" s="19" customFormat="1" hidden="1" outlineLevel="1">
      <c r="A1453" s="19" t="str">
        <f t="shared" ref="A1453:A1460" si="288">A1452</f>
        <v>CP</v>
      </c>
      <c r="B1453" s="1400" t="str">
        <f>INDEX(EF[UK Vector],MATCH(D1453,EF[SATIM Code],0))</f>
        <v>V.03</v>
      </c>
      <c r="C1453" s="1401" t="str">
        <f>INDEX(Vectors[Description], MATCH($B1453, Vectors[Code], 0))</f>
        <v>Solid hydrocarbons</v>
      </c>
      <c r="D1453" s="1391" t="s">
        <v>883</v>
      </c>
      <c r="E1453" s="1387"/>
      <c r="F1453" s="1389">
        <f t="array" ref="F1453" xml:space="preserve"> SUM(EF[CO2] * (EF[SATIM Code]= $D1453))  * (SUM( ($A$768:$A$846=$A1453) * ($D$768:$D$846= $D1453) * (F$768:F$846) )  +  SUM( ($A$933:$A$1011=$A1453) * ($D$933:$D$1011= $D1453) * (F$933:F$1011) ) + SUM( ($E$1016:$E$1039=$E$1427)*($A$1016:$A$1039=$A1453) * ($D$1016:$D$1039=$D1453)*(F$1016:F$1039) ) )</f>
        <v>0</v>
      </c>
      <c r="G1453" s="1389">
        <f t="array" ref="G1453" xml:space="preserve"> SUM(EF[CO2] * (EF[SATIM Code]= $D1453))  * (SUM( ($A$768:$A$846=$A1453) * ($D$768:$D$846= $D1453) * (G$768:G$846) )  +  SUM( ($A$933:$A$1011=$A1453) * ($D$933:$D$1011= $D1453) * (G$933:G$1011) ) + SUM( ($E$1016:$E$1039=$E$1427)*($A$1016:$A$1039=$A1453) * ($D$1016:$D$1039=$D1453)*(G$1016:G$1039) ) )</f>
        <v>0</v>
      </c>
      <c r="H1453" s="1389">
        <f t="array" ref="H1453" xml:space="preserve"> SUM(EF[CO2] * (EF[SATIM Code]= $D1453))  * (SUM( ($A$768:$A$846=$A1453) * ($D$768:$D$846= $D1453) * (H$768:H$846) )  +  SUM( ($A$933:$A$1011=$A1453) * ($D$933:$D$1011= $D1453) * (H$933:H$1011) ) + SUM( ($E$1016:$E$1039=$E$1427)*($A$1016:$A$1039=$A1453) * ($D$1016:$D$1039=$D1453)*(H$1016:H$1039) ) )</f>
        <v>0</v>
      </c>
      <c r="I1453" s="1389">
        <f t="array" ref="I1453" xml:space="preserve"> SUM(EF[CO2] * (EF[SATIM Code]= $D1453))  * (SUM( ($A$768:$A$846=$A1453) * ($D$768:$D$846= $D1453) * (I$768:I$846) )  +  SUM( ($A$933:$A$1011=$A1453) * ($D$933:$D$1011= $D1453) * (I$933:I$1011) ) + SUM( ($E$1016:$E$1039=$E$1427)*($A$1016:$A$1039=$A1453) * ($D$1016:$D$1039=$D1453)*(I$1016:I$1039) ) )</f>
        <v>0</v>
      </c>
      <c r="J1453" s="1389">
        <f t="array" ref="J1453" xml:space="preserve"> SUM(EF[CO2] * (EF[SATIM Code]= $D1453))  * (SUM( ($A$768:$A$846=$A1453) * ($D$768:$D$846= $D1453) * (J$768:J$846) )  +  SUM( ($A$933:$A$1011=$A1453) * ($D$933:$D$1011= $D1453) * (J$933:J$1011) ) + SUM( ($E$1016:$E$1039=$E$1427)*($A$1016:$A$1039=$A1453) * ($D$1016:$D$1039=$D1453)*(J$1016:J$1039) ) )</f>
        <v>0</v>
      </c>
      <c r="K1453" s="1389">
        <f t="array" ref="K1453" xml:space="preserve"> SUM(EF[CO2] * (EF[SATIM Code]= $D1453))  * (SUM( ($A$768:$A$846=$A1453) * ($D$768:$D$846= $D1453) * (K$768:K$846) )  +  SUM( ($A$933:$A$1011=$A1453) * ($D$933:$D$1011= $D1453) * (K$933:K$1011) ) + SUM( ($E$1016:$E$1039=$E$1427)*($A$1016:$A$1039=$A1453) * ($D$1016:$D$1039=$D1453)*(K$1016:K$1039) ) )</f>
        <v>0</v>
      </c>
      <c r="L1453" s="1389">
        <f t="array" ref="L1453" xml:space="preserve"> SUM(EF[CO2] * (EF[SATIM Code]= $D1453))  * (SUM( ($A$768:$A$846=$A1453) * ($D$768:$D$846= $D1453) * (L$768:L$846) )  +  SUM( ($A$933:$A$1011=$A1453) * ($D$933:$D$1011= $D1453) * (L$933:L$1011) ) + SUM( ($E$1016:$E$1039=$E$1427)*($A$1016:$A$1039=$A1453) * ($D$1016:$D$1039=$D1453)*(L$1016:L$1039) ) )</f>
        <v>0</v>
      </c>
      <c r="M1453" s="1389">
        <f t="array" ref="M1453" xml:space="preserve"> SUM(EF[CO2] * (EF[SATIM Code]= $D1453))  * (SUM( ($A$768:$A$846=$A1453) * ($D$768:$D$846= $D1453) * (M$768:M$846) )  +  SUM( ($A$933:$A$1011=$A1453) * ($D$933:$D$1011= $D1453) * (M$933:M$1011) ) + SUM( ($E$1016:$E$1039=$E$1427)*($A$1016:$A$1039=$A1453) * ($D$1016:$D$1039=$D1453)*(M$1016:M$1039) ) )</f>
        <v>0</v>
      </c>
      <c r="N1453" s="1389">
        <f t="array" ref="N1453" xml:space="preserve"> SUM(EF[CO2] * (EF[SATIM Code]= $D1453))  * (SUM( ($A$768:$A$846=$A1453) * ($D$768:$D$846= $D1453) * (N$768:N$846) )  +  SUM( ($A$933:$A$1011=$A1453) * ($D$933:$D$1011= $D1453) * (N$933:N$1011) ) + SUM( ($E$1016:$E$1039=$E$1427)*($A$1016:$A$1039=$A1453) * ($D$1016:$D$1039=$D1453)*(N$1016:N$1039) ) )</f>
        <v>0</v>
      </c>
      <c r="O1453" s="1389">
        <f t="array" ref="O1453" xml:space="preserve"> SUM(EF[CO2] * (EF[SATIM Code]= $D1453))  * (SUM( ($A$768:$A$846=$A1453) * ($D$768:$D$846= $D1453) * (O$768:O$846) )  +  SUM( ($A$933:$A$1011=$A1453) * ($D$933:$D$1011= $D1453) * (O$933:O$1011) ) + SUM( ($E$1016:$E$1039=$E$1427)*($A$1016:$A$1039=$A1453) * ($D$1016:$D$1039=$D1453)*(O$1016:O$1039) ) )</f>
        <v>0</v>
      </c>
    </row>
    <row r="1454" spans="1:15" s="19" customFormat="1" hidden="1" outlineLevel="1">
      <c r="A1454" s="19" t="str">
        <f t="shared" si="288"/>
        <v>CP</v>
      </c>
      <c r="B1454" s="1400" t="str">
        <f>INDEX(EF[UK Vector],MATCH(D1454,EF[SATIM Code],0))</f>
        <v>V.05</v>
      </c>
      <c r="C1454" s="1401" t="str">
        <f>INDEX(Vectors[Description], MATCH($B1454, Vectors[Code], 0))</f>
        <v>Gaseous hydrocarbons</v>
      </c>
      <c r="D1454" s="1406" t="s">
        <v>869</v>
      </c>
      <c r="E1454" s="1401"/>
      <c r="F1454" s="1389">
        <f t="array" ref="F1454" xml:space="preserve"> SUM(EF[CO2] * (EF[SATIM Code]= $D1454))  * (SUM( ($A$768:$A$846=$A1454) * ($D$768:$D$846= $D1454) * (F$768:F$846) )  +  SUM( ($A$933:$A$1011=$A1454) * ($D$933:$D$1011= $D1454) * (F$933:F$1011) ) + SUM( ($E$1016:$E$1039=$E$1427)*($A$1016:$A$1039=$A1454) * ($D$1016:$D$1039=$D1454)*(F$1016:F$1039) ) )</f>
        <v>3.3167391509999997</v>
      </c>
      <c r="G1454" s="1389">
        <f t="array" ref="G1454" xml:space="preserve"> SUM(EF[CO2] * (EF[SATIM Code]= $D1454))  * (SUM( ($A$768:$A$846=$A1454) * ($D$768:$D$846= $D1454) * (G$768:G$846) )  +  SUM( ($A$933:$A$1011=$A1454) * ($D$933:$D$1011= $D1454) * (G$933:G$1011) ) + SUM( ($E$1016:$E$1039=$E$1427)*($A$1016:$A$1039=$A1454) * ($D$1016:$D$1039=$D1454)*(G$1016:G$1039) ) )</f>
        <v>3.784295199687131</v>
      </c>
      <c r="H1454" s="1389">
        <f t="array" ref="H1454" xml:space="preserve"> SUM(EF[CO2] * (EF[SATIM Code]= $D1454))  * (SUM( ($A$768:$A$846=$A1454) * ($D$768:$D$846= $D1454) * (H$768:H$846) )  +  SUM( ($A$933:$A$1011=$A1454) * ($D$933:$D$1011= $D1454) * (H$933:H$1011) ) + SUM( ($E$1016:$E$1039=$E$1427)*($A$1016:$A$1039=$A1454) * ($D$1016:$D$1039=$D1454)*(H$1016:H$1039) ) )</f>
        <v>4.1825312583984005</v>
      </c>
      <c r="I1454" s="1389">
        <f t="array" ref="I1454" xml:space="preserve"> SUM(EF[CO2] * (EF[SATIM Code]= $D1454))  * (SUM( ($A$768:$A$846=$A1454) * ($D$768:$D$846= $D1454) * (I$768:I$846) )  +  SUM( ($A$933:$A$1011=$A1454) * ($D$933:$D$1011= $D1454) * (I$933:I$1011) ) + SUM( ($E$1016:$E$1039=$E$1427)*($A$1016:$A$1039=$A1454) * ($D$1016:$D$1039=$D1454)*(I$1016:I$1039) ) )</f>
        <v>4.5807673171096699</v>
      </c>
      <c r="J1454" s="1389">
        <f t="array" ref="J1454" xml:space="preserve"> SUM(EF[CO2] * (EF[SATIM Code]= $D1454))  * (SUM( ($A$768:$A$846=$A1454) * ($D$768:$D$846= $D1454) * (J$768:J$846) )  +  SUM( ($A$933:$A$1011=$A1454) * ($D$933:$D$1011= $D1454) * (J$933:J$1011) ) + SUM( ($E$1016:$E$1039=$E$1427)*($A$1016:$A$1039=$A1454) * ($D$1016:$D$1039=$D1454)*(J$1016:J$1039) ) )</f>
        <v>5.1304991241910169</v>
      </c>
      <c r="K1454" s="1389">
        <f t="array" ref="K1454" xml:space="preserve"> SUM(EF[CO2] * (EF[SATIM Code]= $D1454))  * (SUM( ($A$768:$A$846=$A1454) * ($D$768:$D$846= $D1454) * (K$768:K$846) )  +  SUM( ($A$933:$A$1011=$A1454) * ($D$933:$D$1011= $D1454) * (K$933:K$1011) ) + SUM( ($E$1016:$E$1039=$E$1427)*($A$1016:$A$1039=$A1454) * ($D$1016:$D$1039=$D1454)*(K$1016:K$1039) ) )</f>
        <v>5.680230931272364</v>
      </c>
      <c r="L1454" s="1389">
        <f t="array" ref="L1454" xml:space="preserve"> SUM(EF[CO2] * (EF[SATIM Code]= $D1454))  * (SUM( ($A$768:$A$846=$A1454) * ($D$768:$D$846= $D1454) * (L$768:L$846) )  +  SUM( ($A$933:$A$1011=$A1454) * ($D$933:$D$1011= $D1454) * (L$933:L$1011) ) + SUM( ($E$1016:$E$1039=$E$1427)*($A$1016:$A$1039=$A1454) * ($D$1016:$D$1039=$D1454)*(L$1016:L$1039) ) )</f>
        <v>6.8349546666782652</v>
      </c>
      <c r="M1454" s="1389">
        <f t="array" ref="M1454" xml:space="preserve"> SUM(EF[CO2] * (EF[SATIM Code]= $D1454))  * (SUM( ($A$768:$A$846=$A1454) * ($D$768:$D$846= $D1454) * (M$768:M$846) )  +  SUM( ($A$933:$A$1011=$A1454) * ($D$933:$D$1011= $D1454) * (M$933:M$1011) ) + SUM( ($E$1016:$E$1039=$E$1427)*($A$1016:$A$1039=$A1454) * ($D$1016:$D$1039=$D1454)*(M$1016:M$1039) ) )</f>
        <v>7.9896784020841674</v>
      </c>
      <c r="N1454" s="1389">
        <f t="array" ref="N1454" xml:space="preserve"> SUM(EF[CO2] * (EF[SATIM Code]= $D1454))  * (SUM( ($A$768:$A$846=$A1454) * ($D$768:$D$846= $D1454) * (N$768:N$846) )  +  SUM( ($A$933:$A$1011=$A1454) * ($D$933:$D$1011= $D1454) * (N$933:N$1011) ) + SUM( ($E$1016:$E$1039=$E$1427)*($A$1016:$A$1039=$A1454) * ($D$1016:$D$1039=$D1454)*(N$1016:N$1039) ) )</f>
        <v>9.1279254551972997</v>
      </c>
      <c r="O1454" s="1389">
        <f t="array" ref="O1454" xml:space="preserve"> SUM(EF[CO2] * (EF[SATIM Code]= $D1454))  * (SUM( ($A$768:$A$846=$A1454) * ($D$768:$D$846= $D1454) * (O$768:O$846) )  +  SUM( ($A$933:$A$1011=$A1454) * ($D$933:$D$1011= $D1454) * (O$933:O$1011) ) + SUM( ($E$1016:$E$1039=$E$1427)*($A$1016:$A$1039=$A1454) * ($D$1016:$D$1039=$D1454)*(O$1016:O$1039) ) )</f>
        <v>10.266172508310435</v>
      </c>
    </row>
    <row r="1455" spans="1:15" s="19" customFormat="1" hidden="1" outlineLevel="1">
      <c r="A1455" s="19" t="str">
        <f t="shared" si="288"/>
        <v>CP</v>
      </c>
      <c r="B1455" s="1400" t="str">
        <f>INDEX(EF[UK Vector],MATCH(D1455,EF[SATIM Code],0))</f>
        <v>V.04</v>
      </c>
      <c r="C1455" s="1401" t="str">
        <f>INDEX(Vectors[Description], MATCH($B1455, Vectors[Code], 0))</f>
        <v>Liquid hydrocarbons</v>
      </c>
      <c r="D1455" s="1406" t="s">
        <v>885</v>
      </c>
      <c r="E1455" s="1401"/>
      <c r="F1455" s="1389">
        <f t="array" ref="F1455" xml:space="preserve"> SUM(EF[CO2] * (EF[SATIM Code]= $D1455))  * (SUM( ($A$768:$A$846=$A1455) * ($D$768:$D$846= $D1455) * (F$768:F$846) )  +  SUM( ($A$933:$A$1011=$A1455) * ($D$933:$D$1011= $D1455) * (F$933:F$1011) ) + SUM( ($E$1016:$E$1039=$E$1427)*($A$1016:$A$1039=$A1455) * ($D$1016:$D$1039=$D1455)*(F$1016:F$1039) ) )</f>
        <v>0</v>
      </c>
      <c r="G1455" s="1389">
        <f t="array" ref="G1455" xml:space="preserve"> SUM(EF[CO2] * (EF[SATIM Code]= $D1455))  * (SUM( ($A$768:$A$846=$A1455) * ($D$768:$D$846= $D1455) * (G$768:G$846) )  +  SUM( ($A$933:$A$1011=$A1455) * ($D$933:$D$1011= $D1455) * (G$933:G$1011) ) + SUM( ($E$1016:$E$1039=$E$1427)*($A$1016:$A$1039=$A1455) * ($D$1016:$D$1039=$D1455)*(G$1016:G$1039) ) )</f>
        <v>0</v>
      </c>
      <c r="H1455" s="1389">
        <f t="array" ref="H1455" xml:space="preserve"> SUM(EF[CO2] * (EF[SATIM Code]= $D1455))  * (SUM( ($A$768:$A$846=$A1455) * ($D$768:$D$846= $D1455) * (H$768:H$846) )  +  SUM( ($A$933:$A$1011=$A1455) * ($D$933:$D$1011= $D1455) * (H$933:H$1011) ) + SUM( ($E$1016:$E$1039=$E$1427)*($A$1016:$A$1039=$A1455) * ($D$1016:$D$1039=$D1455)*(H$1016:H$1039) ) )</f>
        <v>0</v>
      </c>
      <c r="I1455" s="1389">
        <f t="array" ref="I1455" xml:space="preserve"> SUM(EF[CO2] * (EF[SATIM Code]= $D1455))  * (SUM( ($A$768:$A$846=$A1455) * ($D$768:$D$846= $D1455) * (I$768:I$846) )  +  SUM( ($A$933:$A$1011=$A1455) * ($D$933:$D$1011= $D1455) * (I$933:I$1011) ) + SUM( ($E$1016:$E$1039=$E$1427)*($A$1016:$A$1039=$A1455) * ($D$1016:$D$1039=$D1455)*(I$1016:I$1039) ) )</f>
        <v>0</v>
      </c>
      <c r="J1455" s="1389">
        <f t="array" ref="J1455" xml:space="preserve"> SUM(EF[CO2] * (EF[SATIM Code]= $D1455))  * (SUM( ($A$768:$A$846=$A1455) * ($D$768:$D$846= $D1455) * (J$768:J$846) )  +  SUM( ($A$933:$A$1011=$A1455) * ($D$933:$D$1011= $D1455) * (J$933:J$1011) ) + SUM( ($E$1016:$E$1039=$E$1427)*($A$1016:$A$1039=$A1455) * ($D$1016:$D$1039=$D1455)*(J$1016:J$1039) ) )</f>
        <v>0</v>
      </c>
      <c r="K1455" s="1389">
        <f t="array" ref="K1455" xml:space="preserve"> SUM(EF[CO2] * (EF[SATIM Code]= $D1455))  * (SUM( ($A$768:$A$846=$A1455) * ($D$768:$D$846= $D1455) * (K$768:K$846) )  +  SUM( ($A$933:$A$1011=$A1455) * ($D$933:$D$1011= $D1455) * (K$933:K$1011) ) + SUM( ($E$1016:$E$1039=$E$1427)*($A$1016:$A$1039=$A1455) * ($D$1016:$D$1039=$D1455)*(K$1016:K$1039) ) )</f>
        <v>0</v>
      </c>
      <c r="L1455" s="1389">
        <f t="array" ref="L1455" xml:space="preserve"> SUM(EF[CO2] * (EF[SATIM Code]= $D1455))  * (SUM( ($A$768:$A$846=$A1455) * ($D$768:$D$846= $D1455) * (L$768:L$846) )  +  SUM( ($A$933:$A$1011=$A1455) * ($D$933:$D$1011= $D1455) * (L$933:L$1011) ) + SUM( ($E$1016:$E$1039=$E$1427)*($A$1016:$A$1039=$A1455) * ($D$1016:$D$1039=$D1455)*(L$1016:L$1039) ) )</f>
        <v>0</v>
      </c>
      <c r="M1455" s="1389">
        <f t="array" ref="M1455" xml:space="preserve"> SUM(EF[CO2] * (EF[SATIM Code]= $D1455))  * (SUM( ($A$768:$A$846=$A1455) * ($D$768:$D$846= $D1455) * (M$768:M$846) )  +  SUM( ($A$933:$A$1011=$A1455) * ($D$933:$D$1011= $D1455) * (M$933:M$1011) ) + SUM( ($E$1016:$E$1039=$E$1427)*($A$1016:$A$1039=$A1455) * ($D$1016:$D$1039=$D1455)*(M$1016:M$1039) ) )</f>
        <v>0</v>
      </c>
      <c r="N1455" s="1389">
        <f t="array" ref="N1455" xml:space="preserve"> SUM(EF[CO2] * (EF[SATIM Code]= $D1455))  * (SUM( ($A$768:$A$846=$A1455) * ($D$768:$D$846= $D1455) * (N$768:N$846) )  +  SUM( ($A$933:$A$1011=$A1455) * ($D$933:$D$1011= $D1455) * (N$933:N$1011) ) + SUM( ($E$1016:$E$1039=$E$1427)*($A$1016:$A$1039=$A1455) * ($D$1016:$D$1039=$D1455)*(N$1016:N$1039) ) )</f>
        <v>0</v>
      </c>
      <c r="O1455" s="1389">
        <f t="array" ref="O1455" xml:space="preserve"> SUM(EF[CO2] * (EF[SATIM Code]= $D1455))  * (SUM( ($A$768:$A$846=$A1455) * ($D$768:$D$846= $D1455) * (O$768:O$846) )  +  SUM( ($A$933:$A$1011=$A1455) * ($D$933:$D$1011= $D1455) * (O$933:O$1011) ) + SUM( ($E$1016:$E$1039=$E$1427)*($A$1016:$A$1039=$A1455) * ($D$1016:$D$1039=$D1455)*(O$1016:O$1039) ) )</f>
        <v>0</v>
      </c>
    </row>
    <row r="1456" spans="1:15" s="19" customFormat="1" hidden="1" outlineLevel="1">
      <c r="A1456" s="19" t="str">
        <f t="shared" si="288"/>
        <v>CP</v>
      </c>
      <c r="B1456" s="1400" t="str">
        <f>INDEX(EF[UK Vector],MATCH(D1456,EF[SATIM Code],0))</f>
        <v>V.04</v>
      </c>
      <c r="C1456" s="1401" t="str">
        <f>INDEX(Vectors[Description], MATCH($B1456, Vectors[Code], 0))</f>
        <v>Liquid hydrocarbons</v>
      </c>
      <c r="D1456" s="1391" t="s">
        <v>886</v>
      </c>
      <c r="E1456" s="1392"/>
      <c r="F1456" s="1389">
        <f t="array" ref="F1456" xml:space="preserve"> SUM(EF[CO2] * (EF[SATIM Code]= $D1456))  * (SUM( ($A$768:$A$846=$A1456) * ($D$768:$D$846= $D1456) * (F$768:F$846) )  +  SUM( ($A$933:$A$1011=$A1456) * ($D$933:$D$1011= $D1456) * (F$933:F$1011) ) + SUM( ($E$1016:$E$1039=$E$1427)*($A$1016:$A$1039=$A1456) * ($D$1016:$D$1039=$D1456)*(F$1016:F$1039) ) )</f>
        <v>0</v>
      </c>
      <c r="G1456" s="1389">
        <f t="array" ref="G1456" xml:space="preserve"> SUM(EF[CO2] * (EF[SATIM Code]= $D1456))  * (SUM( ($A$768:$A$846=$A1456) * ($D$768:$D$846= $D1456) * (G$768:G$846) )  +  SUM( ($A$933:$A$1011=$A1456) * ($D$933:$D$1011= $D1456) * (G$933:G$1011) ) + SUM( ($E$1016:$E$1039=$E$1427)*($A$1016:$A$1039=$A1456) * ($D$1016:$D$1039=$D1456)*(G$1016:G$1039) ) )</f>
        <v>0</v>
      </c>
      <c r="H1456" s="1389">
        <f t="array" ref="H1456" xml:space="preserve"> SUM(EF[CO2] * (EF[SATIM Code]= $D1456))  * (SUM( ($A$768:$A$846=$A1456) * ($D$768:$D$846= $D1456) * (H$768:H$846) )  +  SUM( ($A$933:$A$1011=$A1456) * ($D$933:$D$1011= $D1456) * (H$933:H$1011) ) + SUM( ($E$1016:$E$1039=$E$1427)*($A$1016:$A$1039=$A1456) * ($D$1016:$D$1039=$D1456)*(H$1016:H$1039) ) )</f>
        <v>0</v>
      </c>
      <c r="I1456" s="1389">
        <f t="array" ref="I1456" xml:space="preserve"> SUM(EF[CO2] * (EF[SATIM Code]= $D1456))  * (SUM( ($A$768:$A$846=$A1456) * ($D$768:$D$846= $D1456) * (I$768:I$846) )  +  SUM( ($A$933:$A$1011=$A1456) * ($D$933:$D$1011= $D1456) * (I$933:I$1011) ) + SUM( ($E$1016:$E$1039=$E$1427)*($A$1016:$A$1039=$A1456) * ($D$1016:$D$1039=$D1456)*(I$1016:I$1039) ) )</f>
        <v>0</v>
      </c>
      <c r="J1456" s="1389">
        <f t="array" ref="J1456" xml:space="preserve"> SUM(EF[CO2] * (EF[SATIM Code]= $D1456))  * (SUM( ($A$768:$A$846=$A1456) * ($D$768:$D$846= $D1456) * (J$768:J$846) )  +  SUM( ($A$933:$A$1011=$A1456) * ($D$933:$D$1011= $D1456) * (J$933:J$1011) ) + SUM( ($E$1016:$E$1039=$E$1427)*($A$1016:$A$1039=$A1456) * ($D$1016:$D$1039=$D1456)*(J$1016:J$1039) ) )</f>
        <v>0</v>
      </c>
      <c r="K1456" s="1389">
        <f t="array" ref="K1456" xml:space="preserve"> SUM(EF[CO2] * (EF[SATIM Code]= $D1456))  * (SUM( ($A$768:$A$846=$A1456) * ($D$768:$D$846= $D1456) * (K$768:K$846) )  +  SUM( ($A$933:$A$1011=$A1456) * ($D$933:$D$1011= $D1456) * (K$933:K$1011) ) + SUM( ($E$1016:$E$1039=$E$1427)*($A$1016:$A$1039=$A1456) * ($D$1016:$D$1039=$D1456)*(K$1016:K$1039) ) )</f>
        <v>0</v>
      </c>
      <c r="L1456" s="1389">
        <f t="array" ref="L1456" xml:space="preserve"> SUM(EF[CO2] * (EF[SATIM Code]= $D1456))  * (SUM( ($A$768:$A$846=$A1456) * ($D$768:$D$846= $D1456) * (L$768:L$846) )  +  SUM( ($A$933:$A$1011=$A1456) * ($D$933:$D$1011= $D1456) * (L$933:L$1011) ) + SUM( ($E$1016:$E$1039=$E$1427)*($A$1016:$A$1039=$A1456) * ($D$1016:$D$1039=$D1456)*(L$1016:L$1039) ) )</f>
        <v>0</v>
      </c>
      <c r="M1456" s="1389">
        <f t="array" ref="M1456" xml:space="preserve"> SUM(EF[CO2] * (EF[SATIM Code]= $D1456))  * (SUM( ($A$768:$A$846=$A1456) * ($D$768:$D$846= $D1456) * (M$768:M$846) )  +  SUM( ($A$933:$A$1011=$A1456) * ($D$933:$D$1011= $D1456) * (M$933:M$1011) ) + SUM( ($E$1016:$E$1039=$E$1427)*($A$1016:$A$1039=$A1456) * ($D$1016:$D$1039=$D1456)*(M$1016:M$1039) ) )</f>
        <v>0</v>
      </c>
      <c r="N1456" s="1389">
        <f t="array" ref="N1456" xml:space="preserve"> SUM(EF[CO2] * (EF[SATIM Code]= $D1456))  * (SUM( ($A$768:$A$846=$A1456) * ($D$768:$D$846= $D1456) * (N$768:N$846) )  +  SUM( ($A$933:$A$1011=$A1456) * ($D$933:$D$1011= $D1456) * (N$933:N$1011) ) + SUM( ($E$1016:$E$1039=$E$1427)*($A$1016:$A$1039=$A1456) * ($D$1016:$D$1039=$D1456)*(N$1016:N$1039) ) )</f>
        <v>0</v>
      </c>
      <c r="O1456" s="1389">
        <f t="array" ref="O1456" xml:space="preserve"> SUM(EF[CO2] * (EF[SATIM Code]= $D1456))  * (SUM( ($A$768:$A$846=$A1456) * ($D$768:$D$846= $D1456) * (O$768:O$846) )  +  SUM( ($A$933:$A$1011=$A1456) * ($D$933:$D$1011= $D1456) * (O$933:O$1011) ) + SUM( ($E$1016:$E$1039=$E$1427)*($A$1016:$A$1039=$A1456) * ($D$1016:$D$1039=$D1456)*(O$1016:O$1039) ) )</f>
        <v>0</v>
      </c>
    </row>
    <row r="1457" spans="1:15" s="19" customFormat="1" hidden="1" outlineLevel="1">
      <c r="A1457" s="19" t="str">
        <f t="shared" si="288"/>
        <v>CP</v>
      </c>
      <c r="B1457" s="1400" t="str">
        <f>INDEX(EF[UK Vector],MATCH(D1457,EF[SATIM Code],0))</f>
        <v>V.04</v>
      </c>
      <c r="C1457" s="1401" t="str">
        <f>INDEX(Vectors[Description], MATCH($B1457, Vectors[Code], 0))</f>
        <v>Liquid hydrocarbons</v>
      </c>
      <c r="D1457" s="1406" t="s">
        <v>887</v>
      </c>
      <c r="E1457" s="1393"/>
      <c r="F1457" s="1389">
        <f t="array" ref="F1457" xml:space="preserve"> SUM(EF[CO2] * (EF[SATIM Code]= $D1457))  * (SUM( ($A$768:$A$846=$A1457) * ($D$768:$D$846= $D1457) * (F$768:F$846) )  +  SUM( ($A$933:$A$1011=$A1457) * ($D$933:$D$1011= $D1457) * (F$933:F$1011) ) + SUM( ($E$1016:$E$1039=$E$1427)*($A$1016:$A$1039=$A1457) * ($D$1016:$D$1039=$D1457)*(F$1016:F$1039) ) )</f>
        <v>0</v>
      </c>
      <c r="G1457" s="1389">
        <f t="array" ref="G1457" xml:space="preserve"> SUM(EF[CO2] * (EF[SATIM Code]= $D1457))  * (SUM( ($A$768:$A$846=$A1457) * ($D$768:$D$846= $D1457) * (G$768:G$846) )  +  SUM( ($A$933:$A$1011=$A1457) * ($D$933:$D$1011= $D1457) * (G$933:G$1011) ) + SUM( ($E$1016:$E$1039=$E$1427)*($A$1016:$A$1039=$A1457) * ($D$1016:$D$1039=$D1457)*(G$1016:G$1039) ) )</f>
        <v>0</v>
      </c>
      <c r="H1457" s="1389">
        <f t="array" ref="H1457" xml:space="preserve"> SUM(EF[CO2] * (EF[SATIM Code]= $D1457))  * (SUM( ($A$768:$A$846=$A1457) * ($D$768:$D$846= $D1457) * (H$768:H$846) )  +  SUM( ($A$933:$A$1011=$A1457) * ($D$933:$D$1011= $D1457) * (H$933:H$1011) ) + SUM( ($E$1016:$E$1039=$E$1427)*($A$1016:$A$1039=$A1457) * ($D$1016:$D$1039=$D1457)*(H$1016:H$1039) ) )</f>
        <v>0</v>
      </c>
      <c r="I1457" s="1389">
        <f t="array" ref="I1457" xml:space="preserve"> SUM(EF[CO2] * (EF[SATIM Code]= $D1457))  * (SUM( ($A$768:$A$846=$A1457) * ($D$768:$D$846= $D1457) * (I$768:I$846) )  +  SUM( ($A$933:$A$1011=$A1457) * ($D$933:$D$1011= $D1457) * (I$933:I$1011) ) + SUM( ($E$1016:$E$1039=$E$1427)*($A$1016:$A$1039=$A1457) * ($D$1016:$D$1039=$D1457)*(I$1016:I$1039) ) )</f>
        <v>0</v>
      </c>
      <c r="J1457" s="1389">
        <f t="array" ref="J1457" xml:space="preserve"> SUM(EF[CO2] * (EF[SATIM Code]= $D1457))  * (SUM( ($A$768:$A$846=$A1457) * ($D$768:$D$846= $D1457) * (J$768:J$846) )  +  SUM( ($A$933:$A$1011=$A1457) * ($D$933:$D$1011= $D1457) * (J$933:J$1011) ) + SUM( ($E$1016:$E$1039=$E$1427)*($A$1016:$A$1039=$A1457) * ($D$1016:$D$1039=$D1457)*(J$1016:J$1039) ) )</f>
        <v>0</v>
      </c>
      <c r="K1457" s="1389">
        <f t="array" ref="K1457" xml:space="preserve"> SUM(EF[CO2] * (EF[SATIM Code]= $D1457))  * (SUM( ($A$768:$A$846=$A1457) * ($D$768:$D$846= $D1457) * (K$768:K$846) )  +  SUM( ($A$933:$A$1011=$A1457) * ($D$933:$D$1011= $D1457) * (K$933:K$1011) ) + SUM( ($E$1016:$E$1039=$E$1427)*($A$1016:$A$1039=$A1457) * ($D$1016:$D$1039=$D1457)*(K$1016:K$1039) ) )</f>
        <v>0</v>
      </c>
      <c r="L1457" s="1389">
        <f t="array" ref="L1457" xml:space="preserve"> SUM(EF[CO2] * (EF[SATIM Code]= $D1457))  * (SUM( ($A$768:$A$846=$A1457) * ($D$768:$D$846= $D1457) * (L$768:L$846) )  +  SUM( ($A$933:$A$1011=$A1457) * ($D$933:$D$1011= $D1457) * (L$933:L$1011) ) + SUM( ($E$1016:$E$1039=$E$1427)*($A$1016:$A$1039=$A1457) * ($D$1016:$D$1039=$D1457)*(L$1016:L$1039) ) )</f>
        <v>0</v>
      </c>
      <c r="M1457" s="1389">
        <f t="array" ref="M1457" xml:space="preserve"> SUM(EF[CO2] * (EF[SATIM Code]= $D1457))  * (SUM( ($A$768:$A$846=$A1457) * ($D$768:$D$846= $D1457) * (M$768:M$846) )  +  SUM( ($A$933:$A$1011=$A1457) * ($D$933:$D$1011= $D1457) * (M$933:M$1011) ) + SUM( ($E$1016:$E$1039=$E$1427)*($A$1016:$A$1039=$A1457) * ($D$1016:$D$1039=$D1457)*(M$1016:M$1039) ) )</f>
        <v>0</v>
      </c>
      <c r="N1457" s="1389">
        <f t="array" ref="N1457" xml:space="preserve"> SUM(EF[CO2] * (EF[SATIM Code]= $D1457))  * (SUM( ($A$768:$A$846=$A1457) * ($D$768:$D$846= $D1457) * (N$768:N$846) )  +  SUM( ($A$933:$A$1011=$A1457) * ($D$933:$D$1011= $D1457) * (N$933:N$1011) ) + SUM( ($E$1016:$E$1039=$E$1427)*($A$1016:$A$1039=$A1457) * ($D$1016:$D$1039=$D1457)*(N$1016:N$1039) ) )</f>
        <v>0</v>
      </c>
      <c r="O1457" s="1389">
        <f t="array" ref="O1457" xml:space="preserve"> SUM(EF[CO2] * (EF[SATIM Code]= $D1457))  * (SUM( ($A$768:$A$846=$A1457) * ($D$768:$D$846= $D1457) * (O$768:O$846) )  +  SUM( ($A$933:$A$1011=$A1457) * ($D$933:$D$1011= $D1457) * (O$933:O$1011) ) + SUM( ($E$1016:$E$1039=$E$1427)*($A$1016:$A$1039=$A1457) * ($D$1016:$D$1039=$D1457)*(O$1016:O$1039) ) )</f>
        <v>0</v>
      </c>
    </row>
    <row r="1458" spans="1:15" s="19" customFormat="1" hidden="1" outlineLevel="1">
      <c r="A1458" s="19" t="str">
        <f t="shared" si="288"/>
        <v>CP</v>
      </c>
      <c r="B1458" s="1400" t="str">
        <f>INDEX(EF[UK Vector],MATCH(D1458,EF[SATIM Code],0))</f>
        <v>V.09</v>
      </c>
      <c r="C1458" s="1401" t="str">
        <f>INDEX(Vectors[Description], MATCH($B1458, Vectors[Code], 0))</f>
        <v>Dry biomass and waste</v>
      </c>
      <c r="D1458" s="1406" t="s">
        <v>888</v>
      </c>
      <c r="E1458" s="1393"/>
      <c r="F1458" s="1389">
        <f t="array" ref="F1458" xml:space="preserve"> SUM(EF[CO2] * (EF[SATIM Code]= $D1458))  * (SUM( ($A$768:$A$846=$A1458) * ($D$768:$D$846= $D1458) * (F$768:F$846) )  +  SUM( ($A$933:$A$1011=$A1458) * ($D$933:$D$1011= $D1458) * (F$933:F$1011) ) + SUM( ($E$1016:$E$1039=$E$1427)*($A$1016:$A$1039=$A1458) * ($D$1016:$D$1039=$D1458)*(F$1016:F$1039) ) )</f>
        <v>0</v>
      </c>
      <c r="G1458" s="1389">
        <f t="array" ref="G1458" xml:space="preserve"> SUM(EF[CO2] * (EF[SATIM Code]= $D1458))  * (SUM( ($A$768:$A$846=$A1458) * ($D$768:$D$846= $D1458) * (G$768:G$846) )  +  SUM( ($A$933:$A$1011=$A1458) * ($D$933:$D$1011= $D1458) * (G$933:G$1011) ) + SUM( ($E$1016:$E$1039=$E$1427)*($A$1016:$A$1039=$A1458) * ($D$1016:$D$1039=$D1458)*(G$1016:G$1039) ) )</f>
        <v>0</v>
      </c>
      <c r="H1458" s="1389">
        <f t="array" ref="H1458" xml:space="preserve"> SUM(EF[CO2] * (EF[SATIM Code]= $D1458))  * (SUM( ($A$768:$A$846=$A1458) * ($D$768:$D$846= $D1458) * (H$768:H$846) )  +  SUM( ($A$933:$A$1011=$A1458) * ($D$933:$D$1011= $D1458) * (H$933:H$1011) ) + SUM( ($E$1016:$E$1039=$E$1427)*($A$1016:$A$1039=$A1458) * ($D$1016:$D$1039=$D1458)*(H$1016:H$1039) ) )</f>
        <v>0</v>
      </c>
      <c r="I1458" s="1389">
        <f t="array" ref="I1458" xml:space="preserve"> SUM(EF[CO2] * (EF[SATIM Code]= $D1458))  * (SUM( ($A$768:$A$846=$A1458) * ($D$768:$D$846= $D1458) * (I$768:I$846) )  +  SUM( ($A$933:$A$1011=$A1458) * ($D$933:$D$1011= $D1458) * (I$933:I$1011) ) + SUM( ($E$1016:$E$1039=$E$1427)*($A$1016:$A$1039=$A1458) * ($D$1016:$D$1039=$D1458)*(I$1016:I$1039) ) )</f>
        <v>0</v>
      </c>
      <c r="J1458" s="1389">
        <f t="array" ref="J1458" xml:space="preserve"> SUM(EF[CO2] * (EF[SATIM Code]= $D1458))  * (SUM( ($A$768:$A$846=$A1458) * ($D$768:$D$846= $D1458) * (J$768:J$846) )  +  SUM( ($A$933:$A$1011=$A1458) * ($D$933:$D$1011= $D1458) * (J$933:J$1011) ) + SUM( ($E$1016:$E$1039=$E$1427)*($A$1016:$A$1039=$A1458) * ($D$1016:$D$1039=$D1458)*(J$1016:J$1039) ) )</f>
        <v>0</v>
      </c>
      <c r="K1458" s="1389">
        <f t="array" ref="K1458" xml:space="preserve"> SUM(EF[CO2] * (EF[SATIM Code]= $D1458))  * (SUM( ($A$768:$A$846=$A1458) * ($D$768:$D$846= $D1458) * (K$768:K$846) )  +  SUM( ($A$933:$A$1011=$A1458) * ($D$933:$D$1011= $D1458) * (K$933:K$1011) ) + SUM( ($E$1016:$E$1039=$E$1427)*($A$1016:$A$1039=$A1458) * ($D$1016:$D$1039=$D1458)*(K$1016:K$1039) ) )</f>
        <v>0</v>
      </c>
      <c r="L1458" s="1389">
        <f t="array" ref="L1458" xml:space="preserve"> SUM(EF[CO2] * (EF[SATIM Code]= $D1458))  * (SUM( ($A$768:$A$846=$A1458) * ($D$768:$D$846= $D1458) * (L$768:L$846) )  +  SUM( ($A$933:$A$1011=$A1458) * ($D$933:$D$1011= $D1458) * (L$933:L$1011) ) + SUM( ($E$1016:$E$1039=$E$1427)*($A$1016:$A$1039=$A1458) * ($D$1016:$D$1039=$D1458)*(L$1016:L$1039) ) )</f>
        <v>0</v>
      </c>
      <c r="M1458" s="1389">
        <f t="array" ref="M1458" xml:space="preserve"> SUM(EF[CO2] * (EF[SATIM Code]= $D1458))  * (SUM( ($A$768:$A$846=$A1458) * ($D$768:$D$846= $D1458) * (M$768:M$846) )  +  SUM( ($A$933:$A$1011=$A1458) * ($D$933:$D$1011= $D1458) * (M$933:M$1011) ) + SUM( ($E$1016:$E$1039=$E$1427)*($A$1016:$A$1039=$A1458) * ($D$1016:$D$1039=$D1458)*(M$1016:M$1039) ) )</f>
        <v>0</v>
      </c>
      <c r="N1458" s="1389">
        <f t="array" ref="N1458" xml:space="preserve"> SUM(EF[CO2] * (EF[SATIM Code]= $D1458))  * (SUM( ($A$768:$A$846=$A1458) * ($D$768:$D$846= $D1458) * (N$768:N$846) )  +  SUM( ($A$933:$A$1011=$A1458) * ($D$933:$D$1011= $D1458) * (N$933:N$1011) ) + SUM( ($E$1016:$E$1039=$E$1427)*($A$1016:$A$1039=$A1458) * ($D$1016:$D$1039=$D1458)*(N$1016:N$1039) ) )</f>
        <v>0</v>
      </c>
      <c r="O1458" s="1389">
        <f t="array" ref="O1458" xml:space="preserve"> SUM(EF[CO2] * (EF[SATIM Code]= $D1458))  * (SUM( ($A$768:$A$846=$A1458) * ($D$768:$D$846= $D1458) * (O$768:O$846) )  +  SUM( ($A$933:$A$1011=$A1458) * ($D$933:$D$1011= $D1458) * (O$933:O$1011) ) + SUM( ($E$1016:$E$1039=$E$1427)*($A$1016:$A$1039=$A1458) * ($D$1016:$D$1039=$D1458)*(O$1016:O$1039) ) )</f>
        <v>0</v>
      </c>
    </row>
    <row r="1459" spans="1:15" s="19" customFormat="1" hidden="1" outlineLevel="1">
      <c r="A1459" s="19" t="str">
        <f t="shared" si="288"/>
        <v>CP</v>
      </c>
      <c r="B1459" s="1400" t="str">
        <f>INDEX(EF[UK Vector],MATCH(D1459,EF[SATIM Code],0))</f>
        <v>V.09</v>
      </c>
      <c r="C1459" s="1401" t="str">
        <f>INDEX(Vectors[Description], MATCH($B1459, Vectors[Code], 0))</f>
        <v>Dry biomass and waste</v>
      </c>
      <c r="D1459" s="1388" t="s">
        <v>889</v>
      </c>
      <c r="E1459" s="1393"/>
      <c r="F1459" s="1389">
        <f t="array" ref="F1459" xml:space="preserve"> SUM(EF[CO2] * (EF[SATIM Code]= $D1459))  * (SUM( ($A$768:$A$846=$A1459) * ($D$768:$D$846= $D1459) * (F$768:F$846) )  +  SUM( ($A$933:$A$1011=$A1459) * ($D$933:$D$1011= $D1459) * (F$933:F$1011) ) + SUM( ($E$1016:$E$1039=$E$1427)*($A$1016:$A$1039=$A1459) * ($D$1016:$D$1039=$D1459)*(F$1016:F$1039) ) )</f>
        <v>0</v>
      </c>
      <c r="G1459" s="1389">
        <f t="array" ref="G1459" xml:space="preserve"> SUM(EF[CO2] * (EF[SATIM Code]= $D1459))  * (SUM( ($A$768:$A$846=$A1459) * ($D$768:$D$846= $D1459) * (G$768:G$846) )  +  SUM( ($A$933:$A$1011=$A1459) * ($D$933:$D$1011= $D1459) * (G$933:G$1011) ) + SUM( ($E$1016:$E$1039=$E$1427)*($A$1016:$A$1039=$A1459) * ($D$1016:$D$1039=$D1459)*(G$1016:G$1039) ) )</f>
        <v>0</v>
      </c>
      <c r="H1459" s="1389">
        <f t="array" ref="H1459" xml:space="preserve"> SUM(EF[CO2] * (EF[SATIM Code]= $D1459))  * (SUM( ($A$768:$A$846=$A1459) * ($D$768:$D$846= $D1459) * (H$768:H$846) )  +  SUM( ($A$933:$A$1011=$A1459) * ($D$933:$D$1011= $D1459) * (H$933:H$1011) ) + SUM( ($E$1016:$E$1039=$E$1427)*($A$1016:$A$1039=$A1459) * ($D$1016:$D$1039=$D1459)*(H$1016:H$1039) ) )</f>
        <v>0</v>
      </c>
      <c r="I1459" s="1389">
        <f t="array" ref="I1459" xml:space="preserve"> SUM(EF[CO2] * (EF[SATIM Code]= $D1459))  * (SUM( ($A$768:$A$846=$A1459) * ($D$768:$D$846= $D1459) * (I$768:I$846) )  +  SUM( ($A$933:$A$1011=$A1459) * ($D$933:$D$1011= $D1459) * (I$933:I$1011) ) + SUM( ($E$1016:$E$1039=$E$1427)*($A$1016:$A$1039=$A1459) * ($D$1016:$D$1039=$D1459)*(I$1016:I$1039) ) )</f>
        <v>0</v>
      </c>
      <c r="J1459" s="1389">
        <f t="array" ref="J1459" xml:space="preserve"> SUM(EF[CO2] * (EF[SATIM Code]= $D1459))  * (SUM( ($A$768:$A$846=$A1459) * ($D$768:$D$846= $D1459) * (J$768:J$846) )  +  SUM( ($A$933:$A$1011=$A1459) * ($D$933:$D$1011= $D1459) * (J$933:J$1011) ) + SUM( ($E$1016:$E$1039=$E$1427)*($A$1016:$A$1039=$A1459) * ($D$1016:$D$1039=$D1459)*(J$1016:J$1039) ) )</f>
        <v>0</v>
      </c>
      <c r="K1459" s="1389">
        <f t="array" ref="K1459" xml:space="preserve"> SUM(EF[CO2] * (EF[SATIM Code]= $D1459))  * (SUM( ($A$768:$A$846=$A1459) * ($D$768:$D$846= $D1459) * (K$768:K$846) )  +  SUM( ($A$933:$A$1011=$A1459) * ($D$933:$D$1011= $D1459) * (K$933:K$1011) ) + SUM( ($E$1016:$E$1039=$E$1427)*($A$1016:$A$1039=$A1459) * ($D$1016:$D$1039=$D1459)*(K$1016:K$1039) ) )</f>
        <v>0</v>
      </c>
      <c r="L1459" s="1389">
        <f t="array" ref="L1459" xml:space="preserve"> SUM(EF[CO2] * (EF[SATIM Code]= $D1459))  * (SUM( ($A$768:$A$846=$A1459) * ($D$768:$D$846= $D1459) * (L$768:L$846) )  +  SUM( ($A$933:$A$1011=$A1459) * ($D$933:$D$1011= $D1459) * (L$933:L$1011) ) + SUM( ($E$1016:$E$1039=$E$1427)*($A$1016:$A$1039=$A1459) * ($D$1016:$D$1039=$D1459)*(L$1016:L$1039) ) )</f>
        <v>0</v>
      </c>
      <c r="M1459" s="1389">
        <f t="array" ref="M1459" xml:space="preserve"> SUM(EF[CO2] * (EF[SATIM Code]= $D1459))  * (SUM( ($A$768:$A$846=$A1459) * ($D$768:$D$846= $D1459) * (M$768:M$846) )  +  SUM( ($A$933:$A$1011=$A1459) * ($D$933:$D$1011= $D1459) * (M$933:M$1011) ) + SUM( ($E$1016:$E$1039=$E$1427)*($A$1016:$A$1039=$A1459) * ($D$1016:$D$1039=$D1459)*(M$1016:M$1039) ) )</f>
        <v>0</v>
      </c>
      <c r="N1459" s="1389">
        <f t="array" ref="N1459" xml:space="preserve"> SUM(EF[CO2] * (EF[SATIM Code]= $D1459))  * (SUM( ($A$768:$A$846=$A1459) * ($D$768:$D$846= $D1459) * (N$768:N$846) )  +  SUM( ($A$933:$A$1011=$A1459) * ($D$933:$D$1011= $D1459) * (N$933:N$1011) ) + SUM( ($E$1016:$E$1039=$E$1427)*($A$1016:$A$1039=$A1459) * ($D$1016:$D$1039=$D1459)*(N$1016:N$1039) ) )</f>
        <v>0</v>
      </c>
      <c r="O1459" s="1389">
        <f t="array" ref="O1459" xml:space="preserve"> SUM(EF[CO2] * (EF[SATIM Code]= $D1459))  * (SUM( ($A$768:$A$846=$A1459) * ($D$768:$D$846= $D1459) * (O$768:O$846) )  +  SUM( ($A$933:$A$1011=$A1459) * ($D$933:$D$1011= $D1459) * (O$933:O$1011) ) + SUM( ($E$1016:$E$1039=$E$1427)*($A$1016:$A$1039=$A1459) * ($D$1016:$D$1039=$D1459)*(O$1016:O$1039) ) )</f>
        <v>0</v>
      </c>
    </row>
    <row r="1460" spans="1:15" s="19" customFormat="1" hidden="1" outlineLevel="1">
      <c r="A1460" s="19" t="str">
        <f t="shared" si="288"/>
        <v>CP</v>
      </c>
      <c r="B1460" s="1400" t="str">
        <f>INDEX(EF[UK Vector],MATCH(D1460,EF[SATIM Code],0))</f>
        <v>V.16</v>
      </c>
      <c r="C1460" s="1401" t="str">
        <f>INDEX(Vectors[Description], MATCH($B1460, Vectors[Code], 0))</f>
        <v>Other Waste</v>
      </c>
      <c r="D1460" s="1408" t="s">
        <v>890</v>
      </c>
      <c r="E1460" s="1393"/>
      <c r="F1460" s="1389">
        <f t="array" ref="F1460" xml:space="preserve"> SUM(EF[CO2] * (EF[SATIM Code]= $D1460))  * (SUM( ($A$768:$A$846=$A1460) * ($D$768:$D$846= $D1460) * (F$768:F$846) )  +  SUM( ($A$933:$A$1011=$A1460) * ($D$933:$D$1011= $D1460) * (F$933:F$1011) ) + SUM( ($E$1016:$E$1039=$E$1427)*($A$1016:$A$1039=$A1460) * ($D$1016:$D$1039=$D1460)*(F$1016:F$1039) ) )</f>
        <v>0</v>
      </c>
      <c r="G1460" s="1389">
        <f t="array" ref="G1460" xml:space="preserve"> SUM(EF[CO2] * (EF[SATIM Code]= $D1460))  * (SUM( ($A$768:$A$846=$A1460) * ($D$768:$D$846= $D1460) * (G$768:G$846) )  +  SUM( ($A$933:$A$1011=$A1460) * ($D$933:$D$1011= $D1460) * (G$933:G$1011) ) + SUM( ($E$1016:$E$1039=$E$1427)*($A$1016:$A$1039=$A1460) * ($D$1016:$D$1039=$D1460)*(G$1016:G$1039) ) )</f>
        <v>0</v>
      </c>
      <c r="H1460" s="1389">
        <f t="array" ref="H1460" xml:space="preserve"> SUM(EF[CO2] * (EF[SATIM Code]= $D1460))  * (SUM( ($A$768:$A$846=$A1460) * ($D$768:$D$846= $D1460) * (H$768:H$846) )  +  SUM( ($A$933:$A$1011=$A1460) * ($D$933:$D$1011= $D1460) * (H$933:H$1011) ) + SUM( ($E$1016:$E$1039=$E$1427)*($A$1016:$A$1039=$A1460) * ($D$1016:$D$1039=$D1460)*(H$1016:H$1039) ) )</f>
        <v>0</v>
      </c>
      <c r="I1460" s="1389">
        <f t="array" ref="I1460" xml:space="preserve"> SUM(EF[CO2] * (EF[SATIM Code]= $D1460))  * (SUM( ($A$768:$A$846=$A1460) * ($D$768:$D$846= $D1460) * (I$768:I$846) )  +  SUM( ($A$933:$A$1011=$A1460) * ($D$933:$D$1011= $D1460) * (I$933:I$1011) ) + SUM( ($E$1016:$E$1039=$E$1427)*($A$1016:$A$1039=$A1460) * ($D$1016:$D$1039=$D1460)*(I$1016:I$1039) ) )</f>
        <v>0</v>
      </c>
      <c r="J1460" s="1389">
        <f t="array" ref="J1460" xml:space="preserve"> SUM(EF[CO2] * (EF[SATIM Code]= $D1460))  * (SUM( ($A$768:$A$846=$A1460) * ($D$768:$D$846= $D1460) * (J$768:J$846) )  +  SUM( ($A$933:$A$1011=$A1460) * ($D$933:$D$1011= $D1460) * (J$933:J$1011) ) + SUM( ($E$1016:$E$1039=$E$1427)*($A$1016:$A$1039=$A1460) * ($D$1016:$D$1039=$D1460)*(J$1016:J$1039) ) )</f>
        <v>0</v>
      </c>
      <c r="K1460" s="1389">
        <f t="array" ref="K1460" xml:space="preserve"> SUM(EF[CO2] * (EF[SATIM Code]= $D1460))  * (SUM( ($A$768:$A$846=$A1460) * ($D$768:$D$846= $D1460) * (K$768:K$846) )  +  SUM( ($A$933:$A$1011=$A1460) * ($D$933:$D$1011= $D1460) * (K$933:K$1011) ) + SUM( ($E$1016:$E$1039=$E$1427)*($A$1016:$A$1039=$A1460) * ($D$1016:$D$1039=$D1460)*(K$1016:K$1039) ) )</f>
        <v>0</v>
      </c>
      <c r="L1460" s="1389">
        <f t="array" ref="L1460" xml:space="preserve"> SUM(EF[CO2] * (EF[SATIM Code]= $D1460))  * (SUM( ($A$768:$A$846=$A1460) * ($D$768:$D$846= $D1460) * (L$768:L$846) )  +  SUM( ($A$933:$A$1011=$A1460) * ($D$933:$D$1011= $D1460) * (L$933:L$1011) ) + SUM( ($E$1016:$E$1039=$E$1427)*($A$1016:$A$1039=$A1460) * ($D$1016:$D$1039=$D1460)*(L$1016:L$1039) ) )</f>
        <v>0</v>
      </c>
      <c r="M1460" s="1389">
        <f t="array" ref="M1460" xml:space="preserve"> SUM(EF[CO2] * (EF[SATIM Code]= $D1460))  * (SUM( ($A$768:$A$846=$A1460) * ($D$768:$D$846= $D1460) * (M$768:M$846) )  +  SUM( ($A$933:$A$1011=$A1460) * ($D$933:$D$1011= $D1460) * (M$933:M$1011) ) + SUM( ($E$1016:$E$1039=$E$1427)*($A$1016:$A$1039=$A1460) * ($D$1016:$D$1039=$D1460)*(M$1016:M$1039) ) )</f>
        <v>0</v>
      </c>
      <c r="N1460" s="1389">
        <f t="array" ref="N1460" xml:space="preserve"> SUM(EF[CO2] * (EF[SATIM Code]= $D1460))  * (SUM( ($A$768:$A$846=$A1460) * ($D$768:$D$846= $D1460) * (N$768:N$846) )  +  SUM( ($A$933:$A$1011=$A1460) * ($D$933:$D$1011= $D1460) * (N$933:N$1011) ) + SUM( ($E$1016:$E$1039=$E$1427)*($A$1016:$A$1039=$A1460) * ($D$1016:$D$1039=$D1460)*(N$1016:N$1039) ) )</f>
        <v>0</v>
      </c>
      <c r="O1460" s="1389">
        <f t="array" ref="O1460" xml:space="preserve"> SUM(EF[CO2] * (EF[SATIM Code]= $D1460))  * (SUM( ($A$768:$A$846=$A1460) * ($D$768:$D$846= $D1460) * (O$768:O$846) )  +  SUM( ($A$933:$A$1011=$A1460) * ($D$933:$D$1011= $D1460) * (O$933:O$1011) ) + SUM( ($E$1016:$E$1039=$E$1427)*($A$1016:$A$1039=$A1460) * ($D$1016:$D$1039=$D1460)*(O$1016:O$1039) ) )</f>
        <v>0</v>
      </c>
    </row>
    <row r="1461" spans="1:15" s="19" customFormat="1" hidden="1" outlineLevel="1">
      <c r="B1461" s="1393"/>
      <c r="C1461" s="1407" t="str">
        <f>D23</f>
        <v>Non-Ferrous metals  - 352</v>
      </c>
      <c r="D1461" s="1391"/>
      <c r="E1461" s="1393"/>
      <c r="F1461" s="1389">
        <f t="array" ref="F1461" xml:space="preserve"> SUM(EF[CO2] * (EF[SATIM Code]= $D1461))  * (SUM( ($A$768:$A$846=$A1461) * ($D$768:$D$846= $D1461) * (F$768:F$846) )  +  SUM( ($A$933:$A$1011=$A1461) * ($D$933:$D$1011= $D1461) * (F$933:F$1011) ) + SUM( ($E$1016:$E$1039=$E$1427)*($A$1016:$A$1039=$A1461) * ($D$1016:$D$1039=$D1461)*(F$1016:F$1039) ) )</f>
        <v>0</v>
      </c>
      <c r="G1461" s="1389">
        <f t="array" ref="G1461" xml:space="preserve"> SUM(EF[CO2] * (EF[SATIM Code]= $D1461))  * (SUM( ($A$768:$A$846=$A1461) * ($D$768:$D$846= $D1461) * (G$768:G$846) )  +  SUM( ($A$933:$A$1011=$A1461) * ($D$933:$D$1011= $D1461) * (G$933:G$1011) ) + SUM( ($E$1016:$E$1039=$E$1427)*($A$1016:$A$1039=$A1461) * ($D$1016:$D$1039=$D1461)*(G$1016:G$1039) ) )</f>
        <v>0</v>
      </c>
      <c r="H1461" s="1389">
        <f t="array" ref="H1461" xml:space="preserve"> SUM(EF[CO2] * (EF[SATIM Code]= $D1461))  * (SUM( ($A$768:$A$846=$A1461) * ($D$768:$D$846= $D1461) * (H$768:H$846) )  +  SUM( ($A$933:$A$1011=$A1461) * ($D$933:$D$1011= $D1461) * (H$933:H$1011) ) + SUM( ($E$1016:$E$1039=$E$1427)*($A$1016:$A$1039=$A1461) * ($D$1016:$D$1039=$D1461)*(H$1016:H$1039) ) )</f>
        <v>0</v>
      </c>
      <c r="I1461" s="1389">
        <f t="array" ref="I1461" xml:space="preserve"> SUM(EF[CO2] * (EF[SATIM Code]= $D1461))  * (SUM( ($A$768:$A$846=$A1461) * ($D$768:$D$846= $D1461) * (I$768:I$846) )  +  SUM( ($A$933:$A$1011=$A1461) * ($D$933:$D$1011= $D1461) * (I$933:I$1011) ) + SUM( ($E$1016:$E$1039=$E$1427)*($A$1016:$A$1039=$A1461) * ($D$1016:$D$1039=$D1461)*(I$1016:I$1039) ) )</f>
        <v>0</v>
      </c>
      <c r="J1461" s="1389">
        <f t="array" ref="J1461" xml:space="preserve"> SUM(EF[CO2] * (EF[SATIM Code]= $D1461))  * (SUM( ($A$768:$A$846=$A1461) * ($D$768:$D$846= $D1461) * (J$768:J$846) )  +  SUM( ($A$933:$A$1011=$A1461) * ($D$933:$D$1011= $D1461) * (J$933:J$1011) ) + SUM( ($E$1016:$E$1039=$E$1427)*($A$1016:$A$1039=$A1461) * ($D$1016:$D$1039=$D1461)*(J$1016:J$1039) ) )</f>
        <v>0</v>
      </c>
      <c r="K1461" s="1389">
        <f t="array" ref="K1461" xml:space="preserve"> SUM(EF[CO2] * (EF[SATIM Code]= $D1461))  * (SUM( ($A$768:$A$846=$A1461) * ($D$768:$D$846= $D1461) * (K$768:K$846) )  +  SUM( ($A$933:$A$1011=$A1461) * ($D$933:$D$1011= $D1461) * (K$933:K$1011) ) + SUM( ($E$1016:$E$1039=$E$1427)*($A$1016:$A$1039=$A1461) * ($D$1016:$D$1039=$D1461)*(K$1016:K$1039) ) )</f>
        <v>0</v>
      </c>
      <c r="L1461" s="1389">
        <f t="array" ref="L1461" xml:space="preserve"> SUM(EF[CO2] * (EF[SATIM Code]= $D1461))  * (SUM( ($A$768:$A$846=$A1461) * ($D$768:$D$846= $D1461) * (L$768:L$846) )  +  SUM( ($A$933:$A$1011=$A1461) * ($D$933:$D$1011= $D1461) * (L$933:L$1011) ) + SUM( ($E$1016:$E$1039=$E$1427)*($A$1016:$A$1039=$A1461) * ($D$1016:$D$1039=$D1461)*(L$1016:L$1039) ) )</f>
        <v>0</v>
      </c>
      <c r="M1461" s="1389">
        <f t="array" ref="M1461" xml:space="preserve"> SUM(EF[CO2] * (EF[SATIM Code]= $D1461))  * (SUM( ($A$768:$A$846=$A1461) * ($D$768:$D$846= $D1461) * (M$768:M$846) )  +  SUM( ($A$933:$A$1011=$A1461) * ($D$933:$D$1011= $D1461) * (M$933:M$1011) ) + SUM( ($E$1016:$E$1039=$E$1427)*($A$1016:$A$1039=$A1461) * ($D$1016:$D$1039=$D1461)*(M$1016:M$1039) ) )</f>
        <v>0</v>
      </c>
      <c r="N1461" s="1389">
        <f t="array" ref="N1461" xml:space="preserve"> SUM(EF[CO2] * (EF[SATIM Code]= $D1461))  * (SUM( ($A$768:$A$846=$A1461) * ($D$768:$D$846= $D1461) * (N$768:N$846) )  +  SUM( ($A$933:$A$1011=$A1461) * ($D$933:$D$1011= $D1461) * (N$933:N$1011) ) + SUM( ($E$1016:$E$1039=$E$1427)*($A$1016:$A$1039=$A1461) * ($D$1016:$D$1039=$D1461)*(N$1016:N$1039) ) )</f>
        <v>0</v>
      </c>
      <c r="O1461" s="1389">
        <f t="array" ref="O1461" xml:space="preserve"> SUM(EF[CO2] * (EF[SATIM Code]= $D1461))  * (SUM( ($A$768:$A$846=$A1461) * ($D$768:$D$846= $D1461) * (O$768:O$846) )  +  SUM( ($A$933:$A$1011=$A1461) * ($D$933:$D$1011= $D1461) * (O$933:O$1011) ) + SUM( ($E$1016:$E$1039=$E$1427)*($A$1016:$A$1039=$A1461) * ($D$1016:$D$1039=$D1461)*(O$1016:O$1039) ) )</f>
        <v>0</v>
      </c>
    </row>
    <row r="1462" spans="1:15" s="19" customFormat="1" hidden="1" outlineLevel="1">
      <c r="A1462" s="1438" t="str">
        <f>INDEX($C$20:$C$27,MATCH($C1461,$D$20:$D$27,0))</f>
        <v>NF</v>
      </c>
      <c r="B1462" s="1400" t="str">
        <f>INDEX(EF[UK Vector],MATCH(D1462,EF[SATIM Code],0))</f>
        <v>V.03</v>
      </c>
      <c r="C1462" s="1401" t="str">
        <f>INDEX(Vectors[Description], MATCH($B1462, Vectors[Code], 0))</f>
        <v>Solid hydrocarbons</v>
      </c>
      <c r="D1462" s="1391" t="s">
        <v>882</v>
      </c>
      <c r="E1462" s="1393"/>
      <c r="F1462" s="1389">
        <f t="array" ref="F1462" xml:space="preserve"> SUM(EF[CO2] * (EF[SATIM Code]= $D1462))  * (SUM( ($A$768:$A$846=$A1462) * ($D$768:$D$846= $D1462) * (F$768:F$846) )  +  SUM( ($A$933:$A$1011=$A1462) * ($D$933:$D$1011= $D1462) * (F$933:F$1011) ) + SUM( ($E$1016:$E$1039=$E$1427)*($A$1016:$A$1039=$A1462) * ($D$1016:$D$1039=$D1462)*(F$1016:F$1039) ) )</f>
        <v>7.7962499999999976E-2</v>
      </c>
      <c r="G1462" s="1389">
        <f t="array" ref="G1462" xml:space="preserve"> SUM(EF[CO2] * (EF[SATIM Code]= $D1462))  * (SUM( ($A$768:$A$846=$A1462) * ($D$768:$D$846= $D1462) * (G$768:G$846) )  +  SUM( ($A$933:$A$1011=$A1462) * ($D$933:$D$1011= $D1462) * (G$933:G$1011) ) + SUM( ($E$1016:$E$1039=$E$1427)*($A$1016:$A$1039=$A1462) * ($D$1016:$D$1039=$D1462)*(G$1016:G$1039) ) )</f>
        <v>9.0329294067790167E-2</v>
      </c>
      <c r="H1462" s="1389">
        <f t="array" ref="H1462" xml:space="preserve"> SUM(EF[CO2] * (EF[SATIM Code]= $D1462))  * (SUM( ($A$768:$A$846=$A1462) * ($D$768:$D$846= $D1462) * (H$768:H$846) )  +  SUM( ($A$933:$A$1011=$A1462) * ($D$933:$D$1011= $D1462) * (H$933:H$1011) ) + SUM( ($E$1016:$E$1039=$E$1427)*($A$1016:$A$1039=$A1462) * ($D$1016:$D$1039=$D1462)*(H$1016:H$1039) ) )</f>
        <v>0.11231023389262264</v>
      </c>
      <c r="I1462" s="1389">
        <f t="array" ref="I1462" xml:space="preserve"> SUM(EF[CO2] * (EF[SATIM Code]= $D1462))  * (SUM( ($A$768:$A$846=$A1462) * ($D$768:$D$846= $D1462) * (I$768:I$846) )  +  SUM( ($A$933:$A$1011=$A1462) * ($D$933:$D$1011= $D1462) * (I$933:I$1011) ) + SUM( ($E$1016:$E$1039=$E$1427)*($A$1016:$A$1039=$A1462) * ($D$1016:$D$1039=$D1462)*(I$1016:I$1039) ) )</f>
        <v>0.13429117371745514</v>
      </c>
      <c r="J1462" s="1389">
        <f t="array" ref="J1462" xml:space="preserve"> SUM(EF[CO2] * (EF[SATIM Code]= $D1462))  * (SUM( ($A$768:$A$846=$A1462) * ($D$768:$D$846= $D1462) * (J$768:J$846) )  +  SUM( ($A$933:$A$1011=$A1462) * ($D$933:$D$1011= $D1462) * (J$933:J$1011) ) + SUM( ($E$1016:$E$1039=$E$1427)*($A$1016:$A$1039=$A1462) * ($D$1016:$D$1039=$D1462)*(J$1016:J$1039) ) )</f>
        <v>0.16526081930838515</v>
      </c>
      <c r="K1462" s="1389">
        <f t="array" ref="K1462" xml:space="preserve"> SUM(EF[CO2] * (EF[SATIM Code]= $D1462))  * (SUM( ($A$768:$A$846=$A1462) * ($D$768:$D$846= $D1462) * (K$768:K$846) )  +  SUM( ($A$933:$A$1011=$A1462) * ($D$933:$D$1011= $D1462) * (K$933:K$1011) ) + SUM( ($E$1016:$E$1039=$E$1427)*($A$1016:$A$1039=$A1462) * ($D$1016:$D$1039=$D1462)*(K$1016:K$1039) ) )</f>
        <v>0.19623046489931517</v>
      </c>
      <c r="L1462" s="1389">
        <f t="array" ref="L1462" xml:space="preserve"> SUM(EF[CO2] * (EF[SATIM Code]= $D1462))  * (SUM( ($A$768:$A$846=$A1462) * ($D$768:$D$846= $D1462) * (L$768:L$846) )  +  SUM( ($A$933:$A$1011=$A1462) * ($D$933:$D$1011= $D1462) * (L$933:L$1011) ) + SUM( ($E$1016:$E$1039=$E$1427)*($A$1016:$A$1039=$A1462) * ($D$1016:$D$1039=$D1462)*(L$1016:L$1039) ) )</f>
        <v>0.24129009207312901</v>
      </c>
      <c r="M1462" s="1389">
        <f t="array" ref="M1462" xml:space="preserve"> SUM(EF[CO2] * (EF[SATIM Code]= $D1462))  * (SUM( ($A$768:$A$846=$A1462) * ($D$768:$D$846= $D1462) * (M$768:M$846) )  +  SUM( ($A$933:$A$1011=$A1462) * ($D$933:$D$1011= $D1462) * (M$933:M$1011) ) + SUM( ($E$1016:$E$1039=$E$1427)*($A$1016:$A$1039=$A1462) * ($D$1016:$D$1039=$D1462)*(M$1016:M$1039) ) )</f>
        <v>0.28634971924694291</v>
      </c>
      <c r="N1462" s="1389">
        <f t="array" ref="N1462" xml:space="preserve"> SUM(EF[CO2] * (EF[SATIM Code]= $D1462))  * (SUM( ($A$768:$A$846=$A1462) * ($D$768:$D$846= $D1462) * (N$768:N$846) )  +  SUM( ($A$933:$A$1011=$A1462) * ($D$933:$D$1011= $D1462) * (N$933:N$1011) ) + SUM( ($E$1016:$E$1039=$E$1427)*($A$1016:$A$1039=$A1462) * ($D$1016:$D$1039=$D1462)*(N$1016:N$1039) ) )</f>
        <v>0.33655679326893606</v>
      </c>
      <c r="O1462" s="1389">
        <f t="array" ref="O1462" xml:space="preserve"> SUM(EF[CO2] * (EF[SATIM Code]= $D1462))  * (SUM( ($A$768:$A$846=$A1462) * ($D$768:$D$846= $D1462) * (O$768:O$846) )  +  SUM( ($A$933:$A$1011=$A1462) * ($D$933:$D$1011= $D1462) * (O$933:O$1011) ) + SUM( ($E$1016:$E$1039=$E$1427)*($A$1016:$A$1039=$A1462) * ($D$1016:$D$1039=$D1462)*(O$1016:O$1039) ) )</f>
        <v>0.38676386729092921</v>
      </c>
    </row>
    <row r="1463" spans="1:15" s="19" customFormat="1" hidden="1" outlineLevel="1">
      <c r="A1463" s="19" t="str">
        <f t="shared" ref="A1463:A1470" si="289">A1462</f>
        <v>NF</v>
      </c>
      <c r="B1463" s="1400" t="str">
        <f>INDEX(EF[UK Vector],MATCH(D1463,EF[SATIM Code],0))</f>
        <v>V.03</v>
      </c>
      <c r="C1463" s="1401" t="str">
        <f>INDEX(Vectors[Description], MATCH($B1463, Vectors[Code], 0))</f>
        <v>Solid hydrocarbons</v>
      </c>
      <c r="D1463" s="1391" t="s">
        <v>883</v>
      </c>
      <c r="E1463" s="1401"/>
      <c r="F1463" s="1389">
        <f t="array" ref="F1463" xml:space="preserve"> SUM(EF[CO2] * (EF[SATIM Code]= $D1463))  * (SUM( ($A$768:$A$846=$A1463) * ($D$768:$D$846= $D1463) * (F$768:F$846) )  +  SUM( ($A$933:$A$1011=$A1463) * ($D$933:$D$1011= $D1463) * (F$933:F$1011) ) + SUM( ($E$1016:$E$1039=$E$1427)*($A$1016:$A$1039=$A1463) * ($D$1016:$D$1039=$D1463)*(F$1016:F$1039) ) )</f>
        <v>0</v>
      </c>
      <c r="G1463" s="1389">
        <f t="array" ref="G1463" xml:space="preserve"> SUM(EF[CO2] * (EF[SATIM Code]= $D1463))  * (SUM( ($A$768:$A$846=$A1463) * ($D$768:$D$846= $D1463) * (G$768:G$846) )  +  SUM( ($A$933:$A$1011=$A1463) * ($D$933:$D$1011= $D1463) * (G$933:G$1011) ) + SUM( ($E$1016:$E$1039=$E$1427)*($A$1016:$A$1039=$A1463) * ($D$1016:$D$1039=$D1463)*(G$1016:G$1039) ) )</f>
        <v>0</v>
      </c>
      <c r="H1463" s="1389">
        <f t="array" ref="H1463" xml:space="preserve"> SUM(EF[CO2] * (EF[SATIM Code]= $D1463))  * (SUM( ($A$768:$A$846=$A1463) * ($D$768:$D$846= $D1463) * (H$768:H$846) )  +  SUM( ($A$933:$A$1011=$A1463) * ($D$933:$D$1011= $D1463) * (H$933:H$1011) ) + SUM( ($E$1016:$E$1039=$E$1427)*($A$1016:$A$1039=$A1463) * ($D$1016:$D$1039=$D1463)*(H$1016:H$1039) ) )</f>
        <v>0</v>
      </c>
      <c r="I1463" s="1389">
        <f t="array" ref="I1463" xml:space="preserve"> SUM(EF[CO2] * (EF[SATIM Code]= $D1463))  * (SUM( ($A$768:$A$846=$A1463) * ($D$768:$D$846= $D1463) * (I$768:I$846) )  +  SUM( ($A$933:$A$1011=$A1463) * ($D$933:$D$1011= $D1463) * (I$933:I$1011) ) + SUM( ($E$1016:$E$1039=$E$1427)*($A$1016:$A$1039=$A1463) * ($D$1016:$D$1039=$D1463)*(I$1016:I$1039) ) )</f>
        <v>0</v>
      </c>
      <c r="J1463" s="1389">
        <f t="array" ref="J1463" xml:space="preserve"> SUM(EF[CO2] * (EF[SATIM Code]= $D1463))  * (SUM( ($A$768:$A$846=$A1463) * ($D$768:$D$846= $D1463) * (J$768:J$846) )  +  SUM( ($A$933:$A$1011=$A1463) * ($D$933:$D$1011= $D1463) * (J$933:J$1011) ) + SUM( ($E$1016:$E$1039=$E$1427)*($A$1016:$A$1039=$A1463) * ($D$1016:$D$1039=$D1463)*(J$1016:J$1039) ) )</f>
        <v>0</v>
      </c>
      <c r="K1463" s="1389">
        <f t="array" ref="K1463" xml:space="preserve"> SUM(EF[CO2] * (EF[SATIM Code]= $D1463))  * (SUM( ($A$768:$A$846=$A1463) * ($D$768:$D$846= $D1463) * (K$768:K$846) )  +  SUM( ($A$933:$A$1011=$A1463) * ($D$933:$D$1011= $D1463) * (K$933:K$1011) ) + SUM( ($E$1016:$E$1039=$E$1427)*($A$1016:$A$1039=$A1463) * ($D$1016:$D$1039=$D1463)*(K$1016:K$1039) ) )</f>
        <v>0</v>
      </c>
      <c r="L1463" s="1389">
        <f t="array" ref="L1463" xml:space="preserve"> SUM(EF[CO2] * (EF[SATIM Code]= $D1463))  * (SUM( ($A$768:$A$846=$A1463) * ($D$768:$D$846= $D1463) * (L$768:L$846) )  +  SUM( ($A$933:$A$1011=$A1463) * ($D$933:$D$1011= $D1463) * (L$933:L$1011) ) + SUM( ($E$1016:$E$1039=$E$1427)*($A$1016:$A$1039=$A1463) * ($D$1016:$D$1039=$D1463)*(L$1016:L$1039) ) )</f>
        <v>0</v>
      </c>
      <c r="M1463" s="1389">
        <f t="array" ref="M1463" xml:space="preserve"> SUM(EF[CO2] * (EF[SATIM Code]= $D1463))  * (SUM( ($A$768:$A$846=$A1463) * ($D$768:$D$846= $D1463) * (M$768:M$846) )  +  SUM( ($A$933:$A$1011=$A1463) * ($D$933:$D$1011= $D1463) * (M$933:M$1011) ) + SUM( ($E$1016:$E$1039=$E$1427)*($A$1016:$A$1039=$A1463) * ($D$1016:$D$1039=$D1463)*(M$1016:M$1039) ) )</f>
        <v>0</v>
      </c>
      <c r="N1463" s="1389">
        <f t="array" ref="N1463" xml:space="preserve"> SUM(EF[CO2] * (EF[SATIM Code]= $D1463))  * (SUM( ($A$768:$A$846=$A1463) * ($D$768:$D$846= $D1463) * (N$768:N$846) )  +  SUM( ($A$933:$A$1011=$A1463) * ($D$933:$D$1011= $D1463) * (N$933:N$1011) ) + SUM( ($E$1016:$E$1039=$E$1427)*($A$1016:$A$1039=$A1463) * ($D$1016:$D$1039=$D1463)*(N$1016:N$1039) ) )</f>
        <v>0</v>
      </c>
      <c r="O1463" s="1389">
        <f t="array" ref="O1463" xml:space="preserve"> SUM(EF[CO2] * (EF[SATIM Code]= $D1463))  * (SUM( ($A$768:$A$846=$A1463) * ($D$768:$D$846= $D1463) * (O$768:O$846) )  +  SUM( ($A$933:$A$1011=$A1463) * ($D$933:$D$1011= $D1463) * (O$933:O$1011) ) + SUM( ($E$1016:$E$1039=$E$1427)*($A$1016:$A$1039=$A1463) * ($D$1016:$D$1039=$D1463)*(O$1016:O$1039) ) )</f>
        <v>0</v>
      </c>
    </row>
    <row r="1464" spans="1:15" s="19" customFormat="1" hidden="1" outlineLevel="1">
      <c r="A1464" s="19" t="str">
        <f t="shared" si="289"/>
        <v>NF</v>
      </c>
      <c r="B1464" s="1400" t="str">
        <f>INDEX(EF[UK Vector],MATCH(D1464,EF[SATIM Code],0))</f>
        <v>V.05</v>
      </c>
      <c r="C1464" s="1401" t="str">
        <f>INDEX(Vectors[Description], MATCH($B1464, Vectors[Code], 0))</f>
        <v>Gaseous hydrocarbons</v>
      </c>
      <c r="D1464" s="1406" t="s">
        <v>869</v>
      </c>
      <c r="E1464" s="1393"/>
      <c r="F1464" s="1389">
        <f t="array" ref="F1464" xml:space="preserve"> SUM(EF[CO2] * (EF[SATIM Code]= $D1464))  * (SUM( ($A$768:$A$846=$A1464) * ($D$768:$D$846= $D1464) * (F$768:F$846) )  +  SUM( ($A$933:$A$1011=$A1464) * ($D$933:$D$1011= $D1464) * (F$933:F$1011) ) + SUM( ($E$1016:$E$1039=$E$1427)*($A$1016:$A$1039=$A1464) * ($D$1016:$D$1039=$D1464)*(F$1016:F$1039) ) )</f>
        <v>0</v>
      </c>
      <c r="G1464" s="1389">
        <f t="array" ref="G1464" xml:space="preserve"> SUM(EF[CO2] * (EF[SATIM Code]= $D1464))  * (SUM( ($A$768:$A$846=$A1464) * ($D$768:$D$846= $D1464) * (G$768:G$846) )  +  SUM( ($A$933:$A$1011=$A1464) * ($D$933:$D$1011= $D1464) * (G$933:G$1011) ) + SUM( ($E$1016:$E$1039=$E$1427)*($A$1016:$A$1039=$A1464) * ($D$1016:$D$1039=$D1464)*(G$1016:G$1039) ) )</f>
        <v>0</v>
      </c>
      <c r="H1464" s="1389">
        <f t="array" ref="H1464" xml:space="preserve"> SUM(EF[CO2] * (EF[SATIM Code]= $D1464))  * (SUM( ($A$768:$A$846=$A1464) * ($D$768:$D$846= $D1464) * (H$768:H$846) )  +  SUM( ($A$933:$A$1011=$A1464) * ($D$933:$D$1011= $D1464) * (H$933:H$1011) ) + SUM( ($E$1016:$E$1039=$E$1427)*($A$1016:$A$1039=$A1464) * ($D$1016:$D$1039=$D1464)*(H$1016:H$1039) ) )</f>
        <v>0</v>
      </c>
      <c r="I1464" s="1389">
        <f t="array" ref="I1464" xml:space="preserve"> SUM(EF[CO2] * (EF[SATIM Code]= $D1464))  * (SUM( ($A$768:$A$846=$A1464) * ($D$768:$D$846= $D1464) * (I$768:I$846) )  +  SUM( ($A$933:$A$1011=$A1464) * ($D$933:$D$1011= $D1464) * (I$933:I$1011) ) + SUM( ($E$1016:$E$1039=$E$1427)*($A$1016:$A$1039=$A1464) * ($D$1016:$D$1039=$D1464)*(I$1016:I$1039) ) )</f>
        <v>0</v>
      </c>
      <c r="J1464" s="1389">
        <f t="array" ref="J1464" xml:space="preserve"> SUM(EF[CO2] * (EF[SATIM Code]= $D1464))  * (SUM( ($A$768:$A$846=$A1464) * ($D$768:$D$846= $D1464) * (J$768:J$846) )  +  SUM( ($A$933:$A$1011=$A1464) * ($D$933:$D$1011= $D1464) * (J$933:J$1011) ) + SUM( ($E$1016:$E$1039=$E$1427)*($A$1016:$A$1039=$A1464) * ($D$1016:$D$1039=$D1464)*(J$1016:J$1039) ) )</f>
        <v>0</v>
      </c>
      <c r="K1464" s="1389">
        <f t="array" ref="K1464" xml:space="preserve"> SUM(EF[CO2] * (EF[SATIM Code]= $D1464))  * (SUM( ($A$768:$A$846=$A1464) * ($D$768:$D$846= $D1464) * (K$768:K$846) )  +  SUM( ($A$933:$A$1011=$A1464) * ($D$933:$D$1011= $D1464) * (K$933:K$1011) ) + SUM( ($E$1016:$E$1039=$E$1427)*($A$1016:$A$1039=$A1464) * ($D$1016:$D$1039=$D1464)*(K$1016:K$1039) ) )</f>
        <v>0</v>
      </c>
      <c r="L1464" s="1389">
        <f t="array" ref="L1464" xml:space="preserve"> SUM(EF[CO2] * (EF[SATIM Code]= $D1464))  * (SUM( ($A$768:$A$846=$A1464) * ($D$768:$D$846= $D1464) * (L$768:L$846) )  +  SUM( ($A$933:$A$1011=$A1464) * ($D$933:$D$1011= $D1464) * (L$933:L$1011) ) + SUM( ($E$1016:$E$1039=$E$1427)*($A$1016:$A$1039=$A1464) * ($D$1016:$D$1039=$D1464)*(L$1016:L$1039) ) )</f>
        <v>0</v>
      </c>
      <c r="M1464" s="1389">
        <f t="array" ref="M1464" xml:space="preserve"> SUM(EF[CO2] * (EF[SATIM Code]= $D1464))  * (SUM( ($A$768:$A$846=$A1464) * ($D$768:$D$846= $D1464) * (M$768:M$846) )  +  SUM( ($A$933:$A$1011=$A1464) * ($D$933:$D$1011= $D1464) * (M$933:M$1011) ) + SUM( ($E$1016:$E$1039=$E$1427)*($A$1016:$A$1039=$A1464) * ($D$1016:$D$1039=$D1464)*(M$1016:M$1039) ) )</f>
        <v>0</v>
      </c>
      <c r="N1464" s="1389">
        <f t="array" ref="N1464" xml:space="preserve"> SUM(EF[CO2] * (EF[SATIM Code]= $D1464))  * (SUM( ($A$768:$A$846=$A1464) * ($D$768:$D$846= $D1464) * (N$768:N$846) )  +  SUM( ($A$933:$A$1011=$A1464) * ($D$933:$D$1011= $D1464) * (N$933:N$1011) ) + SUM( ($E$1016:$E$1039=$E$1427)*($A$1016:$A$1039=$A1464) * ($D$1016:$D$1039=$D1464)*(N$1016:N$1039) ) )</f>
        <v>0</v>
      </c>
      <c r="O1464" s="1389">
        <f t="array" ref="O1464" xml:space="preserve"> SUM(EF[CO2] * (EF[SATIM Code]= $D1464))  * (SUM( ($A$768:$A$846=$A1464) * ($D$768:$D$846= $D1464) * (O$768:O$846) )  +  SUM( ($A$933:$A$1011=$A1464) * ($D$933:$D$1011= $D1464) * (O$933:O$1011) ) + SUM( ($E$1016:$E$1039=$E$1427)*($A$1016:$A$1039=$A1464) * ($D$1016:$D$1039=$D1464)*(O$1016:O$1039) ) )</f>
        <v>0</v>
      </c>
    </row>
    <row r="1465" spans="1:15" s="19" customFormat="1" hidden="1" outlineLevel="1">
      <c r="A1465" s="19" t="str">
        <f t="shared" si="289"/>
        <v>NF</v>
      </c>
      <c r="B1465" s="1400" t="str">
        <f>INDEX(EF[UK Vector],MATCH(D1465,EF[SATIM Code],0))</f>
        <v>V.04</v>
      </c>
      <c r="C1465" s="1401" t="str">
        <f>INDEX(Vectors[Description], MATCH($B1465, Vectors[Code], 0))</f>
        <v>Liquid hydrocarbons</v>
      </c>
      <c r="D1465" s="1406" t="s">
        <v>885</v>
      </c>
      <c r="E1465" s="1401"/>
      <c r="F1465" s="1389">
        <f t="array" ref="F1465" xml:space="preserve"> SUM(EF[CO2] * (EF[SATIM Code]= $D1465))  * (SUM( ($A$768:$A$846=$A1465) * ($D$768:$D$846= $D1465) * (F$768:F$846) )  +  SUM( ($A$933:$A$1011=$A1465) * ($D$933:$D$1011= $D1465) * (F$933:F$1011) ) + SUM( ($E$1016:$E$1039=$E$1427)*($A$1016:$A$1039=$A1465) * ($D$1016:$D$1039=$D1465)*(F$1016:F$1039) ) )</f>
        <v>0</v>
      </c>
      <c r="G1465" s="1389">
        <f t="array" ref="G1465" xml:space="preserve"> SUM(EF[CO2] * (EF[SATIM Code]= $D1465))  * (SUM( ($A$768:$A$846=$A1465) * ($D$768:$D$846= $D1465) * (G$768:G$846) )  +  SUM( ($A$933:$A$1011=$A1465) * ($D$933:$D$1011= $D1465) * (G$933:G$1011) ) + SUM( ($E$1016:$E$1039=$E$1427)*($A$1016:$A$1039=$A1465) * ($D$1016:$D$1039=$D1465)*(G$1016:G$1039) ) )</f>
        <v>0</v>
      </c>
      <c r="H1465" s="1389">
        <f t="array" ref="H1465" xml:space="preserve"> SUM(EF[CO2] * (EF[SATIM Code]= $D1465))  * (SUM( ($A$768:$A$846=$A1465) * ($D$768:$D$846= $D1465) * (H$768:H$846) )  +  SUM( ($A$933:$A$1011=$A1465) * ($D$933:$D$1011= $D1465) * (H$933:H$1011) ) + SUM( ($E$1016:$E$1039=$E$1427)*($A$1016:$A$1039=$A1465) * ($D$1016:$D$1039=$D1465)*(H$1016:H$1039) ) )</f>
        <v>0</v>
      </c>
      <c r="I1465" s="1389">
        <f t="array" ref="I1465" xml:space="preserve"> SUM(EF[CO2] * (EF[SATIM Code]= $D1465))  * (SUM( ($A$768:$A$846=$A1465) * ($D$768:$D$846= $D1465) * (I$768:I$846) )  +  SUM( ($A$933:$A$1011=$A1465) * ($D$933:$D$1011= $D1465) * (I$933:I$1011) ) + SUM( ($E$1016:$E$1039=$E$1427)*($A$1016:$A$1039=$A1465) * ($D$1016:$D$1039=$D1465)*(I$1016:I$1039) ) )</f>
        <v>0</v>
      </c>
      <c r="J1465" s="1389">
        <f t="array" ref="J1465" xml:space="preserve"> SUM(EF[CO2] * (EF[SATIM Code]= $D1465))  * (SUM( ($A$768:$A$846=$A1465) * ($D$768:$D$846= $D1465) * (J$768:J$846) )  +  SUM( ($A$933:$A$1011=$A1465) * ($D$933:$D$1011= $D1465) * (J$933:J$1011) ) + SUM( ($E$1016:$E$1039=$E$1427)*($A$1016:$A$1039=$A1465) * ($D$1016:$D$1039=$D1465)*(J$1016:J$1039) ) )</f>
        <v>0</v>
      </c>
      <c r="K1465" s="1389">
        <f t="array" ref="K1465" xml:space="preserve"> SUM(EF[CO2] * (EF[SATIM Code]= $D1465))  * (SUM( ($A$768:$A$846=$A1465) * ($D$768:$D$846= $D1465) * (K$768:K$846) )  +  SUM( ($A$933:$A$1011=$A1465) * ($D$933:$D$1011= $D1465) * (K$933:K$1011) ) + SUM( ($E$1016:$E$1039=$E$1427)*($A$1016:$A$1039=$A1465) * ($D$1016:$D$1039=$D1465)*(K$1016:K$1039) ) )</f>
        <v>0</v>
      </c>
      <c r="L1465" s="1389">
        <f t="array" ref="L1465" xml:space="preserve"> SUM(EF[CO2] * (EF[SATIM Code]= $D1465))  * (SUM( ($A$768:$A$846=$A1465) * ($D$768:$D$846= $D1465) * (L$768:L$846) )  +  SUM( ($A$933:$A$1011=$A1465) * ($D$933:$D$1011= $D1465) * (L$933:L$1011) ) + SUM( ($E$1016:$E$1039=$E$1427)*($A$1016:$A$1039=$A1465) * ($D$1016:$D$1039=$D1465)*(L$1016:L$1039) ) )</f>
        <v>0</v>
      </c>
      <c r="M1465" s="1389">
        <f t="array" ref="M1465" xml:space="preserve"> SUM(EF[CO2] * (EF[SATIM Code]= $D1465))  * (SUM( ($A$768:$A$846=$A1465) * ($D$768:$D$846= $D1465) * (M$768:M$846) )  +  SUM( ($A$933:$A$1011=$A1465) * ($D$933:$D$1011= $D1465) * (M$933:M$1011) ) + SUM( ($E$1016:$E$1039=$E$1427)*($A$1016:$A$1039=$A1465) * ($D$1016:$D$1039=$D1465)*(M$1016:M$1039) ) )</f>
        <v>0</v>
      </c>
      <c r="N1465" s="1389">
        <f t="array" ref="N1465" xml:space="preserve"> SUM(EF[CO2] * (EF[SATIM Code]= $D1465))  * (SUM( ($A$768:$A$846=$A1465) * ($D$768:$D$846= $D1465) * (N$768:N$846) )  +  SUM( ($A$933:$A$1011=$A1465) * ($D$933:$D$1011= $D1465) * (N$933:N$1011) ) + SUM( ($E$1016:$E$1039=$E$1427)*($A$1016:$A$1039=$A1465) * ($D$1016:$D$1039=$D1465)*(N$1016:N$1039) ) )</f>
        <v>0</v>
      </c>
      <c r="O1465" s="1389">
        <f t="array" ref="O1465" xml:space="preserve"> SUM(EF[CO2] * (EF[SATIM Code]= $D1465))  * (SUM( ($A$768:$A$846=$A1465) * ($D$768:$D$846= $D1465) * (O$768:O$846) )  +  SUM( ($A$933:$A$1011=$A1465) * ($D$933:$D$1011= $D1465) * (O$933:O$1011) ) + SUM( ($E$1016:$E$1039=$E$1427)*($A$1016:$A$1039=$A1465) * ($D$1016:$D$1039=$D1465)*(O$1016:O$1039) ) )</f>
        <v>0</v>
      </c>
    </row>
    <row r="1466" spans="1:15" s="19" customFormat="1" hidden="1" outlineLevel="1">
      <c r="A1466" s="19" t="str">
        <f t="shared" si="289"/>
        <v>NF</v>
      </c>
      <c r="B1466" s="1400" t="str">
        <f>INDEX(EF[UK Vector],MATCH(D1466,EF[SATIM Code],0))</f>
        <v>V.04</v>
      </c>
      <c r="C1466" s="1401" t="str">
        <f>INDEX(Vectors[Description], MATCH($B1466, Vectors[Code], 0))</f>
        <v>Liquid hydrocarbons</v>
      </c>
      <c r="D1466" s="1391" t="s">
        <v>886</v>
      </c>
      <c r="E1466" s="1393"/>
      <c r="F1466" s="1389">
        <f t="array" ref="F1466" xml:space="preserve"> SUM(EF[CO2] * (EF[SATIM Code]= $D1466))  * (SUM( ($A$768:$A$846=$A1466) * ($D$768:$D$846= $D1466) * (F$768:F$846) )  +  SUM( ($A$933:$A$1011=$A1466) * ($D$933:$D$1011= $D1466) * (F$933:F$1011) ) + SUM( ($E$1016:$E$1039=$E$1427)*($A$1016:$A$1039=$A1466) * ($D$1016:$D$1039=$D1466)*(F$1016:F$1039) ) )</f>
        <v>0</v>
      </c>
      <c r="G1466" s="1389">
        <f t="array" ref="G1466" xml:space="preserve"> SUM(EF[CO2] * (EF[SATIM Code]= $D1466))  * (SUM( ($A$768:$A$846=$A1466) * ($D$768:$D$846= $D1466) * (G$768:G$846) )  +  SUM( ($A$933:$A$1011=$A1466) * ($D$933:$D$1011= $D1466) * (G$933:G$1011) ) + SUM( ($E$1016:$E$1039=$E$1427)*($A$1016:$A$1039=$A1466) * ($D$1016:$D$1039=$D1466)*(G$1016:G$1039) ) )</f>
        <v>0</v>
      </c>
      <c r="H1466" s="1389">
        <f t="array" ref="H1466" xml:space="preserve"> SUM(EF[CO2] * (EF[SATIM Code]= $D1466))  * (SUM( ($A$768:$A$846=$A1466) * ($D$768:$D$846= $D1466) * (H$768:H$846) )  +  SUM( ($A$933:$A$1011=$A1466) * ($D$933:$D$1011= $D1466) * (H$933:H$1011) ) + SUM( ($E$1016:$E$1039=$E$1427)*($A$1016:$A$1039=$A1466) * ($D$1016:$D$1039=$D1466)*(H$1016:H$1039) ) )</f>
        <v>0</v>
      </c>
      <c r="I1466" s="1389">
        <f t="array" ref="I1466" xml:space="preserve"> SUM(EF[CO2] * (EF[SATIM Code]= $D1466))  * (SUM( ($A$768:$A$846=$A1466) * ($D$768:$D$846= $D1466) * (I$768:I$846) )  +  SUM( ($A$933:$A$1011=$A1466) * ($D$933:$D$1011= $D1466) * (I$933:I$1011) ) + SUM( ($E$1016:$E$1039=$E$1427)*($A$1016:$A$1039=$A1466) * ($D$1016:$D$1039=$D1466)*(I$1016:I$1039) ) )</f>
        <v>0</v>
      </c>
      <c r="J1466" s="1389">
        <f t="array" ref="J1466" xml:space="preserve"> SUM(EF[CO2] * (EF[SATIM Code]= $D1466))  * (SUM( ($A$768:$A$846=$A1466) * ($D$768:$D$846= $D1466) * (J$768:J$846) )  +  SUM( ($A$933:$A$1011=$A1466) * ($D$933:$D$1011= $D1466) * (J$933:J$1011) ) + SUM( ($E$1016:$E$1039=$E$1427)*($A$1016:$A$1039=$A1466) * ($D$1016:$D$1039=$D1466)*(J$1016:J$1039) ) )</f>
        <v>0</v>
      </c>
      <c r="K1466" s="1389">
        <f t="array" ref="K1466" xml:space="preserve"> SUM(EF[CO2] * (EF[SATIM Code]= $D1466))  * (SUM( ($A$768:$A$846=$A1466) * ($D$768:$D$846= $D1466) * (K$768:K$846) )  +  SUM( ($A$933:$A$1011=$A1466) * ($D$933:$D$1011= $D1466) * (K$933:K$1011) ) + SUM( ($E$1016:$E$1039=$E$1427)*($A$1016:$A$1039=$A1466) * ($D$1016:$D$1039=$D1466)*(K$1016:K$1039) ) )</f>
        <v>0</v>
      </c>
      <c r="L1466" s="1389">
        <f t="array" ref="L1466" xml:space="preserve"> SUM(EF[CO2] * (EF[SATIM Code]= $D1466))  * (SUM( ($A$768:$A$846=$A1466) * ($D$768:$D$846= $D1466) * (L$768:L$846) )  +  SUM( ($A$933:$A$1011=$A1466) * ($D$933:$D$1011= $D1466) * (L$933:L$1011) ) + SUM( ($E$1016:$E$1039=$E$1427)*($A$1016:$A$1039=$A1466) * ($D$1016:$D$1039=$D1466)*(L$1016:L$1039) ) )</f>
        <v>0</v>
      </c>
      <c r="M1466" s="1389">
        <f t="array" ref="M1466" xml:space="preserve"> SUM(EF[CO2] * (EF[SATIM Code]= $D1466))  * (SUM( ($A$768:$A$846=$A1466) * ($D$768:$D$846= $D1466) * (M$768:M$846) )  +  SUM( ($A$933:$A$1011=$A1466) * ($D$933:$D$1011= $D1466) * (M$933:M$1011) ) + SUM( ($E$1016:$E$1039=$E$1427)*($A$1016:$A$1039=$A1466) * ($D$1016:$D$1039=$D1466)*(M$1016:M$1039) ) )</f>
        <v>0</v>
      </c>
      <c r="N1466" s="1389">
        <f t="array" ref="N1466" xml:space="preserve"> SUM(EF[CO2] * (EF[SATIM Code]= $D1466))  * (SUM( ($A$768:$A$846=$A1466) * ($D$768:$D$846= $D1466) * (N$768:N$846) )  +  SUM( ($A$933:$A$1011=$A1466) * ($D$933:$D$1011= $D1466) * (N$933:N$1011) ) + SUM( ($E$1016:$E$1039=$E$1427)*($A$1016:$A$1039=$A1466) * ($D$1016:$D$1039=$D1466)*(N$1016:N$1039) ) )</f>
        <v>0</v>
      </c>
      <c r="O1466" s="1389">
        <f t="array" ref="O1466" xml:space="preserve"> SUM(EF[CO2] * (EF[SATIM Code]= $D1466))  * (SUM( ($A$768:$A$846=$A1466) * ($D$768:$D$846= $D1466) * (O$768:O$846) )  +  SUM( ($A$933:$A$1011=$A1466) * ($D$933:$D$1011= $D1466) * (O$933:O$1011) ) + SUM( ($E$1016:$E$1039=$E$1427)*($A$1016:$A$1039=$A1466) * ($D$1016:$D$1039=$D1466)*(O$1016:O$1039) ) )</f>
        <v>0</v>
      </c>
    </row>
    <row r="1467" spans="1:15" s="19" customFormat="1" hidden="1" outlineLevel="1">
      <c r="A1467" s="19" t="str">
        <f t="shared" si="289"/>
        <v>NF</v>
      </c>
      <c r="B1467" s="1400" t="str">
        <f>INDEX(EF[UK Vector],MATCH(D1467,EF[SATIM Code],0))</f>
        <v>V.04</v>
      </c>
      <c r="C1467" s="1401" t="str">
        <f>INDEX(Vectors[Description], MATCH($B1467, Vectors[Code], 0))</f>
        <v>Liquid hydrocarbons</v>
      </c>
      <c r="D1467" s="1406" t="s">
        <v>887</v>
      </c>
      <c r="E1467" s="1393"/>
      <c r="F1467" s="1389">
        <f t="array" ref="F1467" xml:space="preserve"> SUM(EF[CO2] * (EF[SATIM Code]= $D1467))  * (SUM( ($A$768:$A$846=$A1467) * ($D$768:$D$846= $D1467) * (F$768:F$846) )  +  SUM( ($A$933:$A$1011=$A1467) * ($D$933:$D$1011= $D1467) * (F$933:F$1011) ) + SUM( ($E$1016:$E$1039=$E$1427)*($A$1016:$A$1039=$A1467) * ($D$1016:$D$1039=$D1467)*(F$1016:F$1039) ) )</f>
        <v>0</v>
      </c>
      <c r="G1467" s="1389">
        <f t="array" ref="G1467" xml:space="preserve"> SUM(EF[CO2] * (EF[SATIM Code]= $D1467))  * (SUM( ($A$768:$A$846=$A1467) * ($D$768:$D$846= $D1467) * (G$768:G$846) )  +  SUM( ($A$933:$A$1011=$A1467) * ($D$933:$D$1011= $D1467) * (G$933:G$1011) ) + SUM( ($E$1016:$E$1039=$E$1427)*($A$1016:$A$1039=$A1467) * ($D$1016:$D$1039=$D1467)*(G$1016:G$1039) ) )</f>
        <v>0</v>
      </c>
      <c r="H1467" s="1389">
        <f t="array" ref="H1467" xml:space="preserve"> SUM(EF[CO2] * (EF[SATIM Code]= $D1467))  * (SUM( ($A$768:$A$846=$A1467) * ($D$768:$D$846= $D1467) * (H$768:H$846) )  +  SUM( ($A$933:$A$1011=$A1467) * ($D$933:$D$1011= $D1467) * (H$933:H$1011) ) + SUM( ($E$1016:$E$1039=$E$1427)*($A$1016:$A$1039=$A1467) * ($D$1016:$D$1039=$D1467)*(H$1016:H$1039) ) )</f>
        <v>0</v>
      </c>
      <c r="I1467" s="1389">
        <f t="array" ref="I1467" xml:space="preserve"> SUM(EF[CO2] * (EF[SATIM Code]= $D1467))  * (SUM( ($A$768:$A$846=$A1467) * ($D$768:$D$846= $D1467) * (I$768:I$846) )  +  SUM( ($A$933:$A$1011=$A1467) * ($D$933:$D$1011= $D1467) * (I$933:I$1011) ) + SUM( ($E$1016:$E$1039=$E$1427)*($A$1016:$A$1039=$A1467) * ($D$1016:$D$1039=$D1467)*(I$1016:I$1039) ) )</f>
        <v>0</v>
      </c>
      <c r="J1467" s="1389">
        <f t="array" ref="J1467" xml:space="preserve"> SUM(EF[CO2] * (EF[SATIM Code]= $D1467))  * (SUM( ($A$768:$A$846=$A1467) * ($D$768:$D$846= $D1467) * (J$768:J$846) )  +  SUM( ($A$933:$A$1011=$A1467) * ($D$933:$D$1011= $D1467) * (J$933:J$1011) ) + SUM( ($E$1016:$E$1039=$E$1427)*($A$1016:$A$1039=$A1467) * ($D$1016:$D$1039=$D1467)*(J$1016:J$1039) ) )</f>
        <v>0</v>
      </c>
      <c r="K1467" s="1389">
        <f t="array" ref="K1467" xml:space="preserve"> SUM(EF[CO2] * (EF[SATIM Code]= $D1467))  * (SUM( ($A$768:$A$846=$A1467) * ($D$768:$D$846= $D1467) * (K$768:K$846) )  +  SUM( ($A$933:$A$1011=$A1467) * ($D$933:$D$1011= $D1467) * (K$933:K$1011) ) + SUM( ($E$1016:$E$1039=$E$1427)*($A$1016:$A$1039=$A1467) * ($D$1016:$D$1039=$D1467)*(K$1016:K$1039) ) )</f>
        <v>0</v>
      </c>
      <c r="L1467" s="1389">
        <f t="array" ref="L1467" xml:space="preserve"> SUM(EF[CO2] * (EF[SATIM Code]= $D1467))  * (SUM( ($A$768:$A$846=$A1467) * ($D$768:$D$846= $D1467) * (L$768:L$846) )  +  SUM( ($A$933:$A$1011=$A1467) * ($D$933:$D$1011= $D1467) * (L$933:L$1011) ) + SUM( ($E$1016:$E$1039=$E$1427)*($A$1016:$A$1039=$A1467) * ($D$1016:$D$1039=$D1467)*(L$1016:L$1039) ) )</f>
        <v>0</v>
      </c>
      <c r="M1467" s="1389">
        <f t="array" ref="M1467" xml:space="preserve"> SUM(EF[CO2] * (EF[SATIM Code]= $D1467))  * (SUM( ($A$768:$A$846=$A1467) * ($D$768:$D$846= $D1467) * (M$768:M$846) )  +  SUM( ($A$933:$A$1011=$A1467) * ($D$933:$D$1011= $D1467) * (M$933:M$1011) ) + SUM( ($E$1016:$E$1039=$E$1427)*($A$1016:$A$1039=$A1467) * ($D$1016:$D$1039=$D1467)*(M$1016:M$1039) ) )</f>
        <v>0</v>
      </c>
      <c r="N1467" s="1389">
        <f t="array" ref="N1467" xml:space="preserve"> SUM(EF[CO2] * (EF[SATIM Code]= $D1467))  * (SUM( ($A$768:$A$846=$A1467) * ($D$768:$D$846= $D1467) * (N$768:N$846) )  +  SUM( ($A$933:$A$1011=$A1467) * ($D$933:$D$1011= $D1467) * (N$933:N$1011) ) + SUM( ($E$1016:$E$1039=$E$1427)*($A$1016:$A$1039=$A1467) * ($D$1016:$D$1039=$D1467)*(N$1016:N$1039) ) )</f>
        <v>0</v>
      </c>
      <c r="O1467" s="1389">
        <f t="array" ref="O1467" xml:space="preserve"> SUM(EF[CO2] * (EF[SATIM Code]= $D1467))  * (SUM( ($A$768:$A$846=$A1467) * ($D$768:$D$846= $D1467) * (O$768:O$846) )  +  SUM( ($A$933:$A$1011=$A1467) * ($D$933:$D$1011= $D1467) * (O$933:O$1011) ) + SUM( ($E$1016:$E$1039=$E$1427)*($A$1016:$A$1039=$A1467) * ($D$1016:$D$1039=$D1467)*(O$1016:O$1039) ) )</f>
        <v>0</v>
      </c>
    </row>
    <row r="1468" spans="1:15" s="19" customFormat="1" hidden="1" outlineLevel="1">
      <c r="A1468" s="19" t="str">
        <f t="shared" si="289"/>
        <v>NF</v>
      </c>
      <c r="B1468" s="1400" t="str">
        <f>INDEX(EF[UK Vector],MATCH(D1468,EF[SATIM Code],0))</f>
        <v>V.09</v>
      </c>
      <c r="C1468" s="1401" t="str">
        <f>INDEX(Vectors[Description], MATCH($B1468, Vectors[Code], 0))</f>
        <v>Dry biomass and waste</v>
      </c>
      <c r="D1468" s="1406" t="s">
        <v>888</v>
      </c>
      <c r="E1468" s="1393"/>
      <c r="F1468" s="1389">
        <f t="array" ref="F1468" xml:space="preserve"> SUM(EF[CO2] * (EF[SATIM Code]= $D1468))  * (SUM( ($A$768:$A$846=$A1468) * ($D$768:$D$846= $D1468) * (F$768:F$846) )  +  SUM( ($A$933:$A$1011=$A1468) * ($D$933:$D$1011= $D1468) * (F$933:F$1011) ) + SUM( ($E$1016:$E$1039=$E$1427)*($A$1016:$A$1039=$A1468) * ($D$1016:$D$1039=$D1468)*(F$1016:F$1039) ) )</f>
        <v>0</v>
      </c>
      <c r="G1468" s="1389">
        <f t="array" ref="G1468" xml:space="preserve"> SUM(EF[CO2] * (EF[SATIM Code]= $D1468))  * (SUM( ($A$768:$A$846=$A1468) * ($D$768:$D$846= $D1468) * (G$768:G$846) )  +  SUM( ($A$933:$A$1011=$A1468) * ($D$933:$D$1011= $D1468) * (G$933:G$1011) ) + SUM( ($E$1016:$E$1039=$E$1427)*($A$1016:$A$1039=$A1468) * ($D$1016:$D$1039=$D1468)*(G$1016:G$1039) ) )</f>
        <v>0</v>
      </c>
      <c r="H1468" s="1389">
        <f t="array" ref="H1468" xml:space="preserve"> SUM(EF[CO2] * (EF[SATIM Code]= $D1468))  * (SUM( ($A$768:$A$846=$A1468) * ($D$768:$D$846= $D1468) * (H$768:H$846) )  +  SUM( ($A$933:$A$1011=$A1468) * ($D$933:$D$1011= $D1468) * (H$933:H$1011) ) + SUM( ($E$1016:$E$1039=$E$1427)*($A$1016:$A$1039=$A1468) * ($D$1016:$D$1039=$D1468)*(H$1016:H$1039) ) )</f>
        <v>0</v>
      </c>
      <c r="I1468" s="1389">
        <f t="array" ref="I1468" xml:space="preserve"> SUM(EF[CO2] * (EF[SATIM Code]= $D1468))  * (SUM( ($A$768:$A$846=$A1468) * ($D$768:$D$846= $D1468) * (I$768:I$846) )  +  SUM( ($A$933:$A$1011=$A1468) * ($D$933:$D$1011= $D1468) * (I$933:I$1011) ) + SUM( ($E$1016:$E$1039=$E$1427)*($A$1016:$A$1039=$A1468) * ($D$1016:$D$1039=$D1468)*(I$1016:I$1039) ) )</f>
        <v>0</v>
      </c>
      <c r="J1468" s="1389">
        <f t="array" ref="J1468" xml:space="preserve"> SUM(EF[CO2] * (EF[SATIM Code]= $D1468))  * (SUM( ($A$768:$A$846=$A1468) * ($D$768:$D$846= $D1468) * (J$768:J$846) )  +  SUM( ($A$933:$A$1011=$A1468) * ($D$933:$D$1011= $D1468) * (J$933:J$1011) ) + SUM( ($E$1016:$E$1039=$E$1427)*($A$1016:$A$1039=$A1468) * ($D$1016:$D$1039=$D1468)*(J$1016:J$1039) ) )</f>
        <v>0</v>
      </c>
      <c r="K1468" s="1389">
        <f t="array" ref="K1468" xml:space="preserve"> SUM(EF[CO2] * (EF[SATIM Code]= $D1468))  * (SUM( ($A$768:$A$846=$A1468) * ($D$768:$D$846= $D1468) * (K$768:K$846) )  +  SUM( ($A$933:$A$1011=$A1468) * ($D$933:$D$1011= $D1468) * (K$933:K$1011) ) + SUM( ($E$1016:$E$1039=$E$1427)*($A$1016:$A$1039=$A1468) * ($D$1016:$D$1039=$D1468)*(K$1016:K$1039) ) )</f>
        <v>0</v>
      </c>
      <c r="L1468" s="1389">
        <f t="array" ref="L1468" xml:space="preserve"> SUM(EF[CO2] * (EF[SATIM Code]= $D1468))  * (SUM( ($A$768:$A$846=$A1468) * ($D$768:$D$846= $D1468) * (L$768:L$846) )  +  SUM( ($A$933:$A$1011=$A1468) * ($D$933:$D$1011= $D1468) * (L$933:L$1011) ) + SUM( ($E$1016:$E$1039=$E$1427)*($A$1016:$A$1039=$A1468) * ($D$1016:$D$1039=$D1468)*(L$1016:L$1039) ) )</f>
        <v>0</v>
      </c>
      <c r="M1468" s="1389">
        <f t="array" ref="M1468" xml:space="preserve"> SUM(EF[CO2] * (EF[SATIM Code]= $D1468))  * (SUM( ($A$768:$A$846=$A1468) * ($D$768:$D$846= $D1468) * (M$768:M$846) )  +  SUM( ($A$933:$A$1011=$A1468) * ($D$933:$D$1011= $D1468) * (M$933:M$1011) ) + SUM( ($E$1016:$E$1039=$E$1427)*($A$1016:$A$1039=$A1468) * ($D$1016:$D$1039=$D1468)*(M$1016:M$1039) ) )</f>
        <v>0</v>
      </c>
      <c r="N1468" s="1389">
        <f t="array" ref="N1468" xml:space="preserve"> SUM(EF[CO2] * (EF[SATIM Code]= $D1468))  * (SUM( ($A$768:$A$846=$A1468) * ($D$768:$D$846= $D1468) * (N$768:N$846) )  +  SUM( ($A$933:$A$1011=$A1468) * ($D$933:$D$1011= $D1468) * (N$933:N$1011) ) + SUM( ($E$1016:$E$1039=$E$1427)*($A$1016:$A$1039=$A1468) * ($D$1016:$D$1039=$D1468)*(N$1016:N$1039) ) )</f>
        <v>0</v>
      </c>
      <c r="O1468" s="1389">
        <f t="array" ref="O1468" xml:space="preserve"> SUM(EF[CO2] * (EF[SATIM Code]= $D1468))  * (SUM( ($A$768:$A$846=$A1468) * ($D$768:$D$846= $D1468) * (O$768:O$846) )  +  SUM( ($A$933:$A$1011=$A1468) * ($D$933:$D$1011= $D1468) * (O$933:O$1011) ) + SUM( ($E$1016:$E$1039=$E$1427)*($A$1016:$A$1039=$A1468) * ($D$1016:$D$1039=$D1468)*(O$1016:O$1039) ) )</f>
        <v>0</v>
      </c>
    </row>
    <row r="1469" spans="1:15" s="19" customFormat="1" hidden="1" outlineLevel="1">
      <c r="A1469" s="19" t="str">
        <f t="shared" si="289"/>
        <v>NF</v>
      </c>
      <c r="B1469" s="1400" t="str">
        <f>INDEX(EF[UK Vector],MATCH(D1469,EF[SATIM Code],0))</f>
        <v>V.09</v>
      </c>
      <c r="C1469" s="1401" t="str">
        <f>INDEX(Vectors[Description], MATCH($B1469, Vectors[Code], 0))</f>
        <v>Dry biomass and waste</v>
      </c>
      <c r="D1469" s="1388" t="s">
        <v>889</v>
      </c>
      <c r="E1469" s="1393"/>
      <c r="F1469" s="1389">
        <f t="array" ref="F1469" xml:space="preserve"> SUM(EF[CO2] * (EF[SATIM Code]= $D1469))  * (SUM( ($A$768:$A$846=$A1469) * ($D$768:$D$846= $D1469) * (F$768:F$846) )  +  SUM( ($A$933:$A$1011=$A1469) * ($D$933:$D$1011= $D1469) * (F$933:F$1011) ) + SUM( ($E$1016:$E$1039=$E$1427)*($A$1016:$A$1039=$A1469) * ($D$1016:$D$1039=$D1469)*(F$1016:F$1039) ) )</f>
        <v>0</v>
      </c>
      <c r="G1469" s="1389">
        <f t="array" ref="G1469" xml:space="preserve"> SUM(EF[CO2] * (EF[SATIM Code]= $D1469))  * (SUM( ($A$768:$A$846=$A1469) * ($D$768:$D$846= $D1469) * (G$768:G$846) )  +  SUM( ($A$933:$A$1011=$A1469) * ($D$933:$D$1011= $D1469) * (G$933:G$1011) ) + SUM( ($E$1016:$E$1039=$E$1427)*($A$1016:$A$1039=$A1469) * ($D$1016:$D$1039=$D1469)*(G$1016:G$1039) ) )</f>
        <v>0</v>
      </c>
      <c r="H1469" s="1389">
        <f t="array" ref="H1469" xml:space="preserve"> SUM(EF[CO2] * (EF[SATIM Code]= $D1469))  * (SUM( ($A$768:$A$846=$A1469) * ($D$768:$D$846= $D1469) * (H$768:H$846) )  +  SUM( ($A$933:$A$1011=$A1469) * ($D$933:$D$1011= $D1469) * (H$933:H$1011) ) + SUM( ($E$1016:$E$1039=$E$1427)*($A$1016:$A$1039=$A1469) * ($D$1016:$D$1039=$D1469)*(H$1016:H$1039) ) )</f>
        <v>0</v>
      </c>
      <c r="I1469" s="1389">
        <f t="array" ref="I1469" xml:space="preserve"> SUM(EF[CO2] * (EF[SATIM Code]= $D1469))  * (SUM( ($A$768:$A$846=$A1469) * ($D$768:$D$846= $D1469) * (I$768:I$846) )  +  SUM( ($A$933:$A$1011=$A1469) * ($D$933:$D$1011= $D1469) * (I$933:I$1011) ) + SUM( ($E$1016:$E$1039=$E$1427)*($A$1016:$A$1039=$A1469) * ($D$1016:$D$1039=$D1469)*(I$1016:I$1039) ) )</f>
        <v>0</v>
      </c>
      <c r="J1469" s="1389">
        <f t="array" ref="J1469" xml:space="preserve"> SUM(EF[CO2] * (EF[SATIM Code]= $D1469))  * (SUM( ($A$768:$A$846=$A1469) * ($D$768:$D$846= $D1469) * (J$768:J$846) )  +  SUM( ($A$933:$A$1011=$A1469) * ($D$933:$D$1011= $D1469) * (J$933:J$1011) ) + SUM( ($E$1016:$E$1039=$E$1427)*($A$1016:$A$1039=$A1469) * ($D$1016:$D$1039=$D1469)*(J$1016:J$1039) ) )</f>
        <v>0</v>
      </c>
      <c r="K1469" s="1389">
        <f t="array" ref="K1469" xml:space="preserve"> SUM(EF[CO2] * (EF[SATIM Code]= $D1469))  * (SUM( ($A$768:$A$846=$A1469) * ($D$768:$D$846= $D1469) * (K$768:K$846) )  +  SUM( ($A$933:$A$1011=$A1469) * ($D$933:$D$1011= $D1469) * (K$933:K$1011) ) + SUM( ($E$1016:$E$1039=$E$1427)*($A$1016:$A$1039=$A1469) * ($D$1016:$D$1039=$D1469)*(K$1016:K$1039) ) )</f>
        <v>0</v>
      </c>
      <c r="L1469" s="1389">
        <f t="array" ref="L1469" xml:space="preserve"> SUM(EF[CO2] * (EF[SATIM Code]= $D1469))  * (SUM( ($A$768:$A$846=$A1469) * ($D$768:$D$846= $D1469) * (L$768:L$846) )  +  SUM( ($A$933:$A$1011=$A1469) * ($D$933:$D$1011= $D1469) * (L$933:L$1011) ) + SUM( ($E$1016:$E$1039=$E$1427)*($A$1016:$A$1039=$A1469) * ($D$1016:$D$1039=$D1469)*(L$1016:L$1039) ) )</f>
        <v>0</v>
      </c>
      <c r="M1469" s="1389">
        <f t="array" ref="M1469" xml:space="preserve"> SUM(EF[CO2] * (EF[SATIM Code]= $D1469))  * (SUM( ($A$768:$A$846=$A1469) * ($D$768:$D$846= $D1469) * (M$768:M$846) )  +  SUM( ($A$933:$A$1011=$A1469) * ($D$933:$D$1011= $D1469) * (M$933:M$1011) ) + SUM( ($E$1016:$E$1039=$E$1427)*($A$1016:$A$1039=$A1469) * ($D$1016:$D$1039=$D1469)*(M$1016:M$1039) ) )</f>
        <v>0</v>
      </c>
      <c r="N1469" s="1389">
        <f t="array" ref="N1469" xml:space="preserve"> SUM(EF[CO2] * (EF[SATIM Code]= $D1469))  * (SUM( ($A$768:$A$846=$A1469) * ($D$768:$D$846= $D1469) * (N$768:N$846) )  +  SUM( ($A$933:$A$1011=$A1469) * ($D$933:$D$1011= $D1469) * (N$933:N$1011) ) + SUM( ($E$1016:$E$1039=$E$1427)*($A$1016:$A$1039=$A1469) * ($D$1016:$D$1039=$D1469)*(N$1016:N$1039) ) )</f>
        <v>0</v>
      </c>
      <c r="O1469" s="1389">
        <f t="array" ref="O1469" xml:space="preserve"> SUM(EF[CO2] * (EF[SATIM Code]= $D1469))  * (SUM( ($A$768:$A$846=$A1469) * ($D$768:$D$846= $D1469) * (O$768:O$846) )  +  SUM( ($A$933:$A$1011=$A1469) * ($D$933:$D$1011= $D1469) * (O$933:O$1011) ) + SUM( ($E$1016:$E$1039=$E$1427)*($A$1016:$A$1039=$A1469) * ($D$1016:$D$1039=$D1469)*(O$1016:O$1039) ) )</f>
        <v>0</v>
      </c>
    </row>
    <row r="1470" spans="1:15" s="19" customFormat="1" hidden="1" outlineLevel="1">
      <c r="A1470" s="19" t="str">
        <f t="shared" si="289"/>
        <v>NF</v>
      </c>
      <c r="B1470" s="1400" t="str">
        <f>INDEX(EF[UK Vector],MATCH(D1470,EF[SATIM Code],0))</f>
        <v>V.16</v>
      </c>
      <c r="C1470" s="1401" t="str">
        <f>INDEX(Vectors[Description], MATCH($B1470, Vectors[Code], 0))</f>
        <v>Other Waste</v>
      </c>
      <c r="D1470" s="1408" t="s">
        <v>890</v>
      </c>
      <c r="E1470" s="1393"/>
      <c r="F1470" s="1389">
        <f t="array" ref="F1470" xml:space="preserve"> SUM(EF[CO2] * (EF[SATIM Code]= $D1470))  * (SUM( ($A$768:$A$846=$A1470) * ($D$768:$D$846= $D1470) * (F$768:F$846) )  +  SUM( ($A$933:$A$1011=$A1470) * ($D$933:$D$1011= $D1470) * (F$933:F$1011) ) + SUM( ($E$1016:$E$1039=$E$1427)*($A$1016:$A$1039=$A1470) * ($D$1016:$D$1039=$D1470)*(F$1016:F$1039) ) )</f>
        <v>0</v>
      </c>
      <c r="G1470" s="1389">
        <f t="array" ref="G1470" xml:space="preserve"> SUM(EF[CO2] * (EF[SATIM Code]= $D1470))  * (SUM( ($A$768:$A$846=$A1470) * ($D$768:$D$846= $D1470) * (G$768:G$846) )  +  SUM( ($A$933:$A$1011=$A1470) * ($D$933:$D$1011= $D1470) * (G$933:G$1011) ) + SUM( ($E$1016:$E$1039=$E$1427)*($A$1016:$A$1039=$A1470) * ($D$1016:$D$1039=$D1470)*(G$1016:G$1039) ) )</f>
        <v>0</v>
      </c>
      <c r="H1470" s="1389">
        <f t="array" ref="H1470" xml:space="preserve"> SUM(EF[CO2] * (EF[SATIM Code]= $D1470))  * (SUM( ($A$768:$A$846=$A1470) * ($D$768:$D$846= $D1470) * (H$768:H$846) )  +  SUM( ($A$933:$A$1011=$A1470) * ($D$933:$D$1011= $D1470) * (H$933:H$1011) ) + SUM( ($E$1016:$E$1039=$E$1427)*($A$1016:$A$1039=$A1470) * ($D$1016:$D$1039=$D1470)*(H$1016:H$1039) ) )</f>
        <v>0</v>
      </c>
      <c r="I1470" s="1389">
        <f t="array" ref="I1470" xml:space="preserve"> SUM(EF[CO2] * (EF[SATIM Code]= $D1470))  * (SUM( ($A$768:$A$846=$A1470) * ($D$768:$D$846= $D1470) * (I$768:I$846) )  +  SUM( ($A$933:$A$1011=$A1470) * ($D$933:$D$1011= $D1470) * (I$933:I$1011) ) + SUM( ($E$1016:$E$1039=$E$1427)*($A$1016:$A$1039=$A1470) * ($D$1016:$D$1039=$D1470)*(I$1016:I$1039) ) )</f>
        <v>0</v>
      </c>
      <c r="J1470" s="1389">
        <f t="array" ref="J1470" xml:space="preserve"> SUM(EF[CO2] * (EF[SATIM Code]= $D1470))  * (SUM( ($A$768:$A$846=$A1470) * ($D$768:$D$846= $D1470) * (J$768:J$846) )  +  SUM( ($A$933:$A$1011=$A1470) * ($D$933:$D$1011= $D1470) * (J$933:J$1011) ) + SUM( ($E$1016:$E$1039=$E$1427)*($A$1016:$A$1039=$A1470) * ($D$1016:$D$1039=$D1470)*(J$1016:J$1039) ) )</f>
        <v>0</v>
      </c>
      <c r="K1470" s="1389">
        <f t="array" ref="K1470" xml:space="preserve"> SUM(EF[CO2] * (EF[SATIM Code]= $D1470))  * (SUM( ($A$768:$A$846=$A1470) * ($D$768:$D$846= $D1470) * (K$768:K$846) )  +  SUM( ($A$933:$A$1011=$A1470) * ($D$933:$D$1011= $D1470) * (K$933:K$1011) ) + SUM( ($E$1016:$E$1039=$E$1427)*($A$1016:$A$1039=$A1470) * ($D$1016:$D$1039=$D1470)*(K$1016:K$1039) ) )</f>
        <v>0</v>
      </c>
      <c r="L1470" s="1389">
        <f t="array" ref="L1470" xml:space="preserve"> SUM(EF[CO2] * (EF[SATIM Code]= $D1470))  * (SUM( ($A$768:$A$846=$A1470) * ($D$768:$D$846= $D1470) * (L$768:L$846) )  +  SUM( ($A$933:$A$1011=$A1470) * ($D$933:$D$1011= $D1470) * (L$933:L$1011) ) + SUM( ($E$1016:$E$1039=$E$1427)*($A$1016:$A$1039=$A1470) * ($D$1016:$D$1039=$D1470)*(L$1016:L$1039) ) )</f>
        <v>0</v>
      </c>
      <c r="M1470" s="1389">
        <f t="array" ref="M1470" xml:space="preserve"> SUM(EF[CO2] * (EF[SATIM Code]= $D1470))  * (SUM( ($A$768:$A$846=$A1470) * ($D$768:$D$846= $D1470) * (M$768:M$846) )  +  SUM( ($A$933:$A$1011=$A1470) * ($D$933:$D$1011= $D1470) * (M$933:M$1011) ) + SUM( ($E$1016:$E$1039=$E$1427)*($A$1016:$A$1039=$A1470) * ($D$1016:$D$1039=$D1470)*(M$1016:M$1039) ) )</f>
        <v>0</v>
      </c>
      <c r="N1470" s="1389">
        <f t="array" ref="N1470" xml:space="preserve"> SUM(EF[CO2] * (EF[SATIM Code]= $D1470))  * (SUM( ($A$768:$A$846=$A1470) * ($D$768:$D$846= $D1470) * (N$768:N$846) )  +  SUM( ($A$933:$A$1011=$A1470) * ($D$933:$D$1011= $D1470) * (N$933:N$1011) ) + SUM( ($E$1016:$E$1039=$E$1427)*($A$1016:$A$1039=$A1470) * ($D$1016:$D$1039=$D1470)*(N$1016:N$1039) ) )</f>
        <v>0</v>
      </c>
      <c r="O1470" s="1389">
        <f t="array" ref="O1470" xml:space="preserve"> SUM(EF[CO2] * (EF[SATIM Code]= $D1470))  * (SUM( ($A$768:$A$846=$A1470) * ($D$768:$D$846= $D1470) * (O$768:O$846) )  +  SUM( ($A$933:$A$1011=$A1470) * ($D$933:$D$1011= $D1470) * (O$933:O$1011) ) + SUM( ($E$1016:$E$1039=$E$1427)*($A$1016:$A$1039=$A1470) * ($D$1016:$D$1039=$D1470)*(O$1016:O$1039) ) )</f>
        <v>0</v>
      </c>
    </row>
    <row r="1471" spans="1:15" s="19" customFormat="1" hidden="1" outlineLevel="1">
      <c r="B1471" s="1393"/>
      <c r="C1471" s="1407" t="str">
        <f>D24</f>
        <v>N.M.M Products  -34</v>
      </c>
      <c r="D1471" s="1391"/>
      <c r="E1471" s="1393"/>
      <c r="F1471" s="1389">
        <f t="array" ref="F1471" xml:space="preserve"> SUM(EF[CO2] * (EF[SATIM Code]= $D1471))  * (SUM( ($A$768:$A$846=$A1471) * ($D$768:$D$846= $D1471) * (F$768:F$846) )  +  SUM( ($A$933:$A$1011=$A1471) * ($D$933:$D$1011= $D1471) * (F$933:F$1011) ) + SUM( ($E$1016:$E$1039=$E$1427)*($A$1016:$A$1039=$A1471) * ($D$1016:$D$1039=$D1471)*(F$1016:F$1039) ) )</f>
        <v>0</v>
      </c>
      <c r="G1471" s="1389">
        <f t="array" ref="G1471" xml:space="preserve"> SUM(EF[CO2] * (EF[SATIM Code]= $D1471))  * (SUM( ($A$768:$A$846=$A1471) * ($D$768:$D$846= $D1471) * (G$768:G$846) )  +  SUM( ($A$933:$A$1011=$A1471) * ($D$933:$D$1011= $D1471) * (G$933:G$1011) ) + SUM( ($E$1016:$E$1039=$E$1427)*($A$1016:$A$1039=$A1471) * ($D$1016:$D$1039=$D1471)*(G$1016:G$1039) ) )</f>
        <v>0</v>
      </c>
      <c r="H1471" s="1389">
        <f t="array" ref="H1471" xml:space="preserve"> SUM(EF[CO2] * (EF[SATIM Code]= $D1471))  * (SUM( ($A$768:$A$846=$A1471) * ($D$768:$D$846= $D1471) * (H$768:H$846) )  +  SUM( ($A$933:$A$1011=$A1471) * ($D$933:$D$1011= $D1471) * (H$933:H$1011) ) + SUM( ($E$1016:$E$1039=$E$1427)*($A$1016:$A$1039=$A1471) * ($D$1016:$D$1039=$D1471)*(H$1016:H$1039) ) )</f>
        <v>0</v>
      </c>
      <c r="I1471" s="1389">
        <f t="array" ref="I1471" xml:space="preserve"> SUM(EF[CO2] * (EF[SATIM Code]= $D1471))  * (SUM( ($A$768:$A$846=$A1471) * ($D$768:$D$846= $D1471) * (I$768:I$846) )  +  SUM( ($A$933:$A$1011=$A1471) * ($D$933:$D$1011= $D1471) * (I$933:I$1011) ) + SUM( ($E$1016:$E$1039=$E$1427)*($A$1016:$A$1039=$A1471) * ($D$1016:$D$1039=$D1471)*(I$1016:I$1039) ) )</f>
        <v>0</v>
      </c>
      <c r="J1471" s="1389">
        <f t="array" ref="J1471" xml:space="preserve"> SUM(EF[CO2] * (EF[SATIM Code]= $D1471))  * (SUM( ($A$768:$A$846=$A1471) * ($D$768:$D$846= $D1471) * (J$768:J$846) )  +  SUM( ($A$933:$A$1011=$A1471) * ($D$933:$D$1011= $D1471) * (J$933:J$1011) ) + SUM( ($E$1016:$E$1039=$E$1427)*($A$1016:$A$1039=$A1471) * ($D$1016:$D$1039=$D1471)*(J$1016:J$1039) ) )</f>
        <v>0</v>
      </c>
      <c r="K1471" s="1389">
        <f t="array" ref="K1471" xml:space="preserve"> SUM(EF[CO2] * (EF[SATIM Code]= $D1471))  * (SUM( ($A$768:$A$846=$A1471) * ($D$768:$D$846= $D1471) * (K$768:K$846) )  +  SUM( ($A$933:$A$1011=$A1471) * ($D$933:$D$1011= $D1471) * (K$933:K$1011) ) + SUM( ($E$1016:$E$1039=$E$1427)*($A$1016:$A$1039=$A1471) * ($D$1016:$D$1039=$D1471)*(K$1016:K$1039) ) )</f>
        <v>0</v>
      </c>
      <c r="L1471" s="1389">
        <f t="array" ref="L1471" xml:space="preserve"> SUM(EF[CO2] * (EF[SATIM Code]= $D1471))  * (SUM( ($A$768:$A$846=$A1471) * ($D$768:$D$846= $D1471) * (L$768:L$846) )  +  SUM( ($A$933:$A$1011=$A1471) * ($D$933:$D$1011= $D1471) * (L$933:L$1011) ) + SUM( ($E$1016:$E$1039=$E$1427)*($A$1016:$A$1039=$A1471) * ($D$1016:$D$1039=$D1471)*(L$1016:L$1039) ) )</f>
        <v>0</v>
      </c>
      <c r="M1471" s="1389">
        <f t="array" ref="M1471" xml:space="preserve"> SUM(EF[CO2] * (EF[SATIM Code]= $D1471))  * (SUM( ($A$768:$A$846=$A1471) * ($D$768:$D$846= $D1471) * (M$768:M$846) )  +  SUM( ($A$933:$A$1011=$A1471) * ($D$933:$D$1011= $D1471) * (M$933:M$1011) ) + SUM( ($E$1016:$E$1039=$E$1427)*($A$1016:$A$1039=$A1471) * ($D$1016:$D$1039=$D1471)*(M$1016:M$1039) ) )</f>
        <v>0</v>
      </c>
      <c r="N1471" s="1389">
        <f t="array" ref="N1471" xml:space="preserve"> SUM(EF[CO2] * (EF[SATIM Code]= $D1471))  * (SUM( ($A$768:$A$846=$A1471) * ($D$768:$D$846= $D1471) * (N$768:N$846) )  +  SUM( ($A$933:$A$1011=$A1471) * ($D$933:$D$1011= $D1471) * (N$933:N$1011) ) + SUM( ($E$1016:$E$1039=$E$1427)*($A$1016:$A$1039=$A1471) * ($D$1016:$D$1039=$D1471)*(N$1016:N$1039) ) )</f>
        <v>0</v>
      </c>
      <c r="O1471" s="1389">
        <f t="array" ref="O1471" xml:space="preserve"> SUM(EF[CO2] * (EF[SATIM Code]= $D1471))  * (SUM( ($A$768:$A$846=$A1471) * ($D$768:$D$846= $D1471) * (O$768:O$846) )  +  SUM( ($A$933:$A$1011=$A1471) * ($D$933:$D$1011= $D1471) * (O$933:O$1011) ) + SUM( ($E$1016:$E$1039=$E$1427)*($A$1016:$A$1039=$A1471) * ($D$1016:$D$1039=$D1471)*(O$1016:O$1039) ) )</f>
        <v>0</v>
      </c>
    </row>
    <row r="1472" spans="1:15" s="19" customFormat="1" hidden="1" outlineLevel="1">
      <c r="A1472" s="1438" t="str">
        <f>INDEX($C$20:$C$27,MATCH($C1471,$D$20:$D$27,0))</f>
        <v>NM</v>
      </c>
      <c r="B1472" s="1400" t="str">
        <f>INDEX(EF[UK Vector],MATCH(D1472,EF[SATIM Code],0))</f>
        <v>V.03</v>
      </c>
      <c r="C1472" s="1401" t="str">
        <f>INDEX(Vectors[Description], MATCH($B1472, Vectors[Code], 0))</f>
        <v>Solid hydrocarbons</v>
      </c>
      <c r="D1472" s="1391" t="s">
        <v>882</v>
      </c>
      <c r="E1472" s="1393"/>
      <c r="F1472" s="1389">
        <f t="array" ref="F1472" xml:space="preserve"> SUM(EF[CO2] * (EF[SATIM Code]= $D1472))  * (SUM( ($A$768:$A$846=$A1472) * ($D$768:$D$846= $D1472) * (F$768:F$846) )  +  SUM( ($A$933:$A$1011=$A1472) * ($D$933:$D$1011= $D1472) * (F$933:F$1011) ) + SUM( ($E$1016:$E$1039=$E$1427)*($A$1016:$A$1039=$A1472) * ($D$1016:$D$1039=$D1472)*(F$1016:F$1039) ) )</f>
        <v>5.1974999999999998</v>
      </c>
      <c r="G1472" s="1389">
        <f t="array" ref="G1472" xml:space="preserve"> SUM(EF[CO2] * (EF[SATIM Code]= $D1472))  * (SUM( ($A$768:$A$846=$A1472) * ($D$768:$D$846= $D1472) * (G$768:G$846) )  +  SUM( ($A$933:$A$1011=$A1472) * ($D$933:$D$1011= $D1472) * (G$933:G$1011) ) + SUM( ($E$1016:$E$1039=$E$1427)*($A$1016:$A$1039=$A1472) * ($D$1016:$D$1039=$D1472)*(G$1016:G$1039) ) )</f>
        <v>6.12228214556366</v>
      </c>
      <c r="H1472" s="1389">
        <f t="array" ref="H1472" xml:space="preserve"> SUM(EF[CO2] * (EF[SATIM Code]= $D1472))  * (SUM( ($A$768:$A$846=$A1472) * ($D$768:$D$846= $D1472) * (H$768:H$846) )  +  SUM( ($A$933:$A$1011=$A1472) * ($D$933:$D$1011= $D1472) * (H$933:H$1011) ) + SUM( ($E$1016:$E$1039=$E$1427)*($A$1016:$A$1039=$A1472) * ($D$1016:$D$1039=$D1472)*(H$1016:H$1039) ) )</f>
        <v>7.6414479381789766</v>
      </c>
      <c r="I1472" s="1389">
        <f t="array" ref="I1472" xml:space="preserve"> SUM(EF[CO2] * (EF[SATIM Code]= $D1472))  * (SUM( ($A$768:$A$846=$A1472) * ($D$768:$D$846= $D1472) * (I$768:I$846) )  +  SUM( ($A$933:$A$1011=$A1472) * ($D$933:$D$1011= $D1472) * (I$933:I$1011) ) + SUM( ($E$1016:$E$1039=$E$1427)*($A$1016:$A$1039=$A1472) * ($D$1016:$D$1039=$D1472)*(I$1016:I$1039) ) )</f>
        <v>9.1606137307942923</v>
      </c>
      <c r="J1472" s="1389">
        <f t="array" ref="J1472" xml:space="preserve"> SUM(EF[CO2] * (EF[SATIM Code]= $D1472))  * (SUM( ($A$768:$A$846=$A1472) * ($D$768:$D$846= $D1472) * (J$768:J$846) )  +  SUM( ($A$933:$A$1011=$A1472) * ($D$933:$D$1011= $D1472) * (J$933:J$1011) ) + SUM( ($E$1016:$E$1039=$E$1427)*($A$1016:$A$1039=$A1472) * ($D$1016:$D$1039=$D1472)*(J$1016:J$1039) ) )</f>
        <v>11.596610921677083</v>
      </c>
      <c r="K1472" s="1389">
        <f t="array" ref="K1472" xml:space="preserve"> SUM(EF[CO2] * (EF[SATIM Code]= $D1472))  * (SUM( ($A$768:$A$846=$A1472) * ($D$768:$D$846= $D1472) * (K$768:K$846) )  +  SUM( ($A$933:$A$1011=$A1472) * ($D$933:$D$1011= $D1472) * (K$933:K$1011) ) + SUM( ($E$1016:$E$1039=$E$1427)*($A$1016:$A$1039=$A1472) * ($D$1016:$D$1039=$D1472)*(K$1016:K$1039) ) )</f>
        <v>14.032608112559874</v>
      </c>
      <c r="L1472" s="1389">
        <f t="array" ref="L1472" xml:space="preserve"> SUM(EF[CO2] * (EF[SATIM Code]= $D1472))  * (SUM( ($A$768:$A$846=$A1472) * ($D$768:$D$846= $D1472) * (L$768:L$846) )  +  SUM( ($A$933:$A$1011=$A1472) * ($D$933:$D$1011= $D1472) * (L$933:L$1011) ) + SUM( ($E$1016:$E$1039=$E$1427)*($A$1016:$A$1039=$A1472) * ($D$1016:$D$1039=$D1472)*(L$1016:L$1039) ) )</f>
        <v>17.988766701064112</v>
      </c>
      <c r="M1472" s="1389">
        <f t="array" ref="M1472" xml:space="preserve"> SUM(EF[CO2] * (EF[SATIM Code]= $D1472))  * (SUM( ($A$768:$A$846=$A1472) * ($D$768:$D$846= $D1472) * (M$768:M$846) )  +  SUM( ($A$933:$A$1011=$A1472) * ($D$933:$D$1011= $D1472) * (M$933:M$1011) ) + SUM( ($E$1016:$E$1039=$E$1427)*($A$1016:$A$1039=$A1472) * ($D$1016:$D$1039=$D1472)*(M$1016:M$1039) ) )</f>
        <v>21.944925289568349</v>
      </c>
      <c r="N1472" s="1389">
        <f t="array" ref="N1472" xml:space="preserve"> SUM(EF[CO2] * (EF[SATIM Code]= $D1472))  * (SUM( ($A$768:$A$846=$A1472) * ($D$768:$D$846= $D1472) * (N$768:N$846) )  +  SUM( ($A$933:$A$1011=$A1472) * ($D$933:$D$1011= $D1472) * (N$933:N$1011) ) + SUM( ($E$1016:$E$1039=$E$1427)*($A$1016:$A$1039=$A1472) * ($D$1016:$D$1039=$D1472)*(N$1016:N$1039) ) )</f>
        <v>26.693470991007672</v>
      </c>
      <c r="O1472" s="1389">
        <f t="array" ref="O1472" xml:space="preserve"> SUM(EF[CO2] * (EF[SATIM Code]= $D1472))  * (SUM( ($A$768:$A$846=$A1472) * ($D$768:$D$846= $D1472) * (O$768:O$846) )  +  SUM( ($A$933:$A$1011=$A1472) * ($D$933:$D$1011= $D1472) * (O$933:O$1011) ) + SUM( ($E$1016:$E$1039=$E$1427)*($A$1016:$A$1039=$A1472) * ($D$1016:$D$1039=$D1472)*(O$1016:O$1039) ) )</f>
        <v>31.442016692446995</v>
      </c>
    </row>
    <row r="1473" spans="1:15" s="19" customFormat="1" hidden="1" outlineLevel="1">
      <c r="A1473" s="19" t="str">
        <f t="shared" ref="A1473:A1480" si="290">A1472</f>
        <v>NM</v>
      </c>
      <c r="B1473" s="1400" t="str">
        <f>INDEX(EF[UK Vector],MATCH(D1473,EF[SATIM Code],0))</f>
        <v>V.03</v>
      </c>
      <c r="C1473" s="1401" t="str">
        <f>INDEX(Vectors[Description], MATCH($B1473, Vectors[Code], 0))</f>
        <v>Solid hydrocarbons</v>
      </c>
      <c r="D1473" s="1391" t="s">
        <v>883</v>
      </c>
      <c r="E1473" s="1393"/>
      <c r="F1473" s="1389">
        <f t="array" ref="F1473" xml:space="preserve"> SUM(EF[CO2] * (EF[SATIM Code]= $D1473))  * (SUM( ($A$768:$A$846=$A1473) * ($D$768:$D$846= $D1473) * (F$768:F$846) )  +  SUM( ($A$933:$A$1011=$A1473) * ($D$933:$D$1011= $D1473) * (F$933:F$1011) ) + SUM( ($E$1016:$E$1039=$E$1427)*($A$1016:$A$1039=$A1473) * ($D$1016:$D$1039=$D1473)*(F$1016:F$1039) ) )</f>
        <v>0</v>
      </c>
      <c r="G1473" s="1389">
        <f t="array" ref="G1473" xml:space="preserve"> SUM(EF[CO2] * (EF[SATIM Code]= $D1473))  * (SUM( ($A$768:$A$846=$A1473) * ($D$768:$D$846= $D1473) * (G$768:G$846) )  +  SUM( ($A$933:$A$1011=$A1473) * ($D$933:$D$1011= $D1473) * (G$933:G$1011) ) + SUM( ($E$1016:$E$1039=$E$1427)*($A$1016:$A$1039=$A1473) * ($D$1016:$D$1039=$D1473)*(G$1016:G$1039) ) )</f>
        <v>0</v>
      </c>
      <c r="H1473" s="1389">
        <f t="array" ref="H1473" xml:space="preserve"> SUM(EF[CO2] * (EF[SATIM Code]= $D1473))  * (SUM( ($A$768:$A$846=$A1473) * ($D$768:$D$846= $D1473) * (H$768:H$846) )  +  SUM( ($A$933:$A$1011=$A1473) * ($D$933:$D$1011= $D1473) * (H$933:H$1011) ) + SUM( ($E$1016:$E$1039=$E$1427)*($A$1016:$A$1039=$A1473) * ($D$1016:$D$1039=$D1473)*(H$1016:H$1039) ) )</f>
        <v>0</v>
      </c>
      <c r="I1473" s="1389">
        <f t="array" ref="I1473" xml:space="preserve"> SUM(EF[CO2] * (EF[SATIM Code]= $D1473))  * (SUM( ($A$768:$A$846=$A1473) * ($D$768:$D$846= $D1473) * (I$768:I$846) )  +  SUM( ($A$933:$A$1011=$A1473) * ($D$933:$D$1011= $D1473) * (I$933:I$1011) ) + SUM( ($E$1016:$E$1039=$E$1427)*($A$1016:$A$1039=$A1473) * ($D$1016:$D$1039=$D1473)*(I$1016:I$1039) ) )</f>
        <v>0</v>
      </c>
      <c r="J1473" s="1389">
        <f t="array" ref="J1473" xml:space="preserve"> SUM(EF[CO2] * (EF[SATIM Code]= $D1473))  * (SUM( ($A$768:$A$846=$A1473) * ($D$768:$D$846= $D1473) * (J$768:J$846) )  +  SUM( ($A$933:$A$1011=$A1473) * ($D$933:$D$1011= $D1473) * (J$933:J$1011) ) + SUM( ($E$1016:$E$1039=$E$1427)*($A$1016:$A$1039=$A1473) * ($D$1016:$D$1039=$D1473)*(J$1016:J$1039) ) )</f>
        <v>0</v>
      </c>
      <c r="K1473" s="1389">
        <f t="array" ref="K1473" xml:space="preserve"> SUM(EF[CO2] * (EF[SATIM Code]= $D1473))  * (SUM( ($A$768:$A$846=$A1473) * ($D$768:$D$846= $D1473) * (K$768:K$846) )  +  SUM( ($A$933:$A$1011=$A1473) * ($D$933:$D$1011= $D1473) * (K$933:K$1011) ) + SUM( ($E$1016:$E$1039=$E$1427)*($A$1016:$A$1039=$A1473) * ($D$1016:$D$1039=$D1473)*(K$1016:K$1039) ) )</f>
        <v>0</v>
      </c>
      <c r="L1473" s="1389">
        <f t="array" ref="L1473" xml:space="preserve"> SUM(EF[CO2] * (EF[SATIM Code]= $D1473))  * (SUM( ($A$768:$A$846=$A1473) * ($D$768:$D$846= $D1473) * (L$768:L$846) )  +  SUM( ($A$933:$A$1011=$A1473) * ($D$933:$D$1011= $D1473) * (L$933:L$1011) ) + SUM( ($E$1016:$E$1039=$E$1427)*($A$1016:$A$1039=$A1473) * ($D$1016:$D$1039=$D1473)*(L$1016:L$1039) ) )</f>
        <v>0</v>
      </c>
      <c r="M1473" s="1389">
        <f t="array" ref="M1473" xml:space="preserve"> SUM(EF[CO2] * (EF[SATIM Code]= $D1473))  * (SUM( ($A$768:$A$846=$A1473) * ($D$768:$D$846= $D1473) * (M$768:M$846) )  +  SUM( ($A$933:$A$1011=$A1473) * ($D$933:$D$1011= $D1473) * (M$933:M$1011) ) + SUM( ($E$1016:$E$1039=$E$1427)*($A$1016:$A$1039=$A1473) * ($D$1016:$D$1039=$D1473)*(M$1016:M$1039) ) )</f>
        <v>0</v>
      </c>
      <c r="N1473" s="1389">
        <f t="array" ref="N1473" xml:space="preserve"> SUM(EF[CO2] * (EF[SATIM Code]= $D1473))  * (SUM( ($A$768:$A$846=$A1473) * ($D$768:$D$846= $D1473) * (N$768:N$846) )  +  SUM( ($A$933:$A$1011=$A1473) * ($D$933:$D$1011= $D1473) * (N$933:N$1011) ) + SUM( ($E$1016:$E$1039=$E$1427)*($A$1016:$A$1039=$A1473) * ($D$1016:$D$1039=$D1473)*(N$1016:N$1039) ) )</f>
        <v>0</v>
      </c>
      <c r="O1473" s="1389">
        <f t="array" ref="O1473" xml:space="preserve"> SUM(EF[CO2] * (EF[SATIM Code]= $D1473))  * (SUM( ($A$768:$A$846=$A1473) * ($D$768:$D$846= $D1473) * (O$768:O$846) )  +  SUM( ($A$933:$A$1011=$A1473) * ($D$933:$D$1011= $D1473) * (O$933:O$1011) ) + SUM( ($E$1016:$E$1039=$E$1427)*($A$1016:$A$1039=$A1473) * ($D$1016:$D$1039=$D1473)*(O$1016:O$1039) ) )</f>
        <v>0</v>
      </c>
    </row>
    <row r="1474" spans="1:15" s="19" customFormat="1" hidden="1" outlineLevel="1">
      <c r="A1474" s="19" t="str">
        <f t="shared" si="290"/>
        <v>NM</v>
      </c>
      <c r="B1474" s="1400" t="str">
        <f>INDEX(EF[UK Vector],MATCH(D1474,EF[SATIM Code],0))</f>
        <v>V.05</v>
      </c>
      <c r="C1474" s="1401" t="str">
        <f>INDEX(Vectors[Description], MATCH($B1474, Vectors[Code], 0))</f>
        <v>Gaseous hydrocarbons</v>
      </c>
      <c r="D1474" s="1406" t="s">
        <v>869</v>
      </c>
      <c r="E1474" s="1393"/>
      <c r="F1474" s="1389">
        <f t="array" ref="F1474" xml:space="preserve"> SUM(EF[CO2] * (EF[SATIM Code]= $D1474))  * (SUM( ($A$768:$A$846=$A1474) * ($D$768:$D$846= $D1474) * (F$768:F$846) )  +  SUM( ($A$933:$A$1011=$A1474) * ($D$933:$D$1011= $D1474) * (F$933:F$1011) ) + SUM( ($E$1016:$E$1039=$E$1427)*($A$1016:$A$1039=$A1474) * ($D$1016:$D$1039=$D1474)*(F$1016:F$1039) ) )</f>
        <v>0.44142284999999992</v>
      </c>
      <c r="G1474" s="1389">
        <f t="array" ref="G1474" xml:space="preserve"> SUM(EF[CO2] * (EF[SATIM Code]= $D1474))  * (SUM( ($A$768:$A$846=$A1474) * ($D$768:$D$846= $D1474) * (G$768:G$846) )  +  SUM( ($A$933:$A$1011=$A1474) * ($D$933:$D$1011= $D1474) * (G$933:G$1011) ) + SUM( ($E$1016:$E$1039=$E$1427)*($A$1016:$A$1039=$A1474) * ($D$1016:$D$1039=$D1474)*(G$1016:G$1039) ) )</f>
        <v>0.5199644508319049</v>
      </c>
      <c r="H1474" s="1389">
        <f t="array" ref="H1474" xml:space="preserve"> SUM(EF[CO2] * (EF[SATIM Code]= $D1474))  * (SUM( ($A$768:$A$846=$A1474) * ($D$768:$D$846= $D1474) * (H$768:H$846) )  +  SUM( ($A$933:$A$1011=$A1474) * ($D$933:$D$1011= $D1474) * (H$933:H$1011) ) + SUM( ($E$1016:$E$1039=$E$1427)*($A$1016:$A$1039=$A1474) * ($D$1016:$D$1039=$D1474)*(H$1016:H$1039) ) )</f>
        <v>0.64898696046129623</v>
      </c>
      <c r="I1474" s="1389">
        <f t="array" ref="I1474" xml:space="preserve"> SUM(EF[CO2] * (EF[SATIM Code]= $D1474))  * (SUM( ($A$768:$A$846=$A1474) * ($D$768:$D$846= $D1474) * (I$768:I$846) )  +  SUM( ($A$933:$A$1011=$A1474) * ($D$933:$D$1011= $D1474) * (I$933:I$1011) ) + SUM( ($E$1016:$E$1039=$E$1427)*($A$1016:$A$1039=$A1474) * ($D$1016:$D$1039=$D1474)*(I$1016:I$1039) ) )</f>
        <v>0.77800947009068766</v>
      </c>
      <c r="J1474" s="1389">
        <f t="array" ref="J1474" xml:space="preserve"> SUM(EF[CO2] * (EF[SATIM Code]= $D1474))  * (SUM( ($A$768:$A$846=$A1474) * ($D$768:$D$846= $D1474) * (J$768:J$846) )  +  SUM( ($A$933:$A$1011=$A1474) * ($D$933:$D$1011= $D1474) * (J$933:J$1011) ) + SUM( ($E$1016:$E$1039=$E$1427)*($A$1016:$A$1039=$A1474) * ($D$1016:$D$1039=$D1474)*(J$1016:J$1039) ) )</f>
        <v>0.98489832484614226</v>
      </c>
      <c r="K1474" s="1389">
        <f t="array" ref="K1474" xml:space="preserve"> SUM(EF[CO2] * (EF[SATIM Code]= $D1474))  * (SUM( ($A$768:$A$846=$A1474) * ($D$768:$D$846= $D1474) * (K$768:K$846) )  +  SUM( ($A$933:$A$1011=$A1474) * ($D$933:$D$1011= $D1474) * (K$933:K$1011) ) + SUM( ($E$1016:$E$1039=$E$1427)*($A$1016:$A$1039=$A1474) * ($D$1016:$D$1039=$D1474)*(K$1016:K$1039) ) )</f>
        <v>1.1917871796015969</v>
      </c>
      <c r="L1474" s="1389">
        <f t="array" ref="L1474" xml:space="preserve"> SUM(EF[CO2] * (EF[SATIM Code]= $D1474))  * (SUM( ($A$768:$A$846=$A1474) * ($D$768:$D$846= $D1474) * (L$768:L$846) )  +  SUM( ($A$933:$A$1011=$A1474) * ($D$933:$D$1011= $D1474) * (L$933:L$1011) ) + SUM( ($E$1016:$E$1039=$E$1427)*($A$1016:$A$1039=$A1474) * ($D$1016:$D$1039=$D1474)*(L$1016:L$1039) ) )</f>
        <v>1.5277831005615812</v>
      </c>
      <c r="M1474" s="1389">
        <f t="array" ref="M1474" xml:space="preserve"> SUM(EF[CO2] * (EF[SATIM Code]= $D1474))  * (SUM( ($A$768:$A$846=$A1474) * ($D$768:$D$846= $D1474) * (M$768:M$846) )  +  SUM( ($A$933:$A$1011=$A1474) * ($D$933:$D$1011= $D1474) * (M$933:M$1011) ) + SUM( ($E$1016:$E$1039=$E$1427)*($A$1016:$A$1039=$A1474) * ($D$1016:$D$1039=$D1474)*(M$1016:M$1039) ) )</f>
        <v>1.8637790215215655</v>
      </c>
      <c r="N1474" s="1389">
        <f t="array" ref="N1474" xml:space="preserve"> SUM(EF[CO2] * (EF[SATIM Code]= $D1474))  * (SUM( ($A$768:$A$846=$A1474) * ($D$768:$D$846= $D1474) * (N$768:N$846) )  +  SUM( ($A$933:$A$1011=$A1474) * ($D$933:$D$1011= $D1474) * (N$933:N$1011) ) + SUM( ($E$1016:$E$1039=$E$1427)*($A$1016:$A$1039=$A1474) * ($D$1016:$D$1039=$D1474)*(N$1016:N$1039) ) )</f>
        <v>2.2670722542073944</v>
      </c>
      <c r="O1474" s="1389">
        <f t="array" ref="O1474" xml:space="preserve"> SUM(EF[CO2] * (EF[SATIM Code]= $D1474))  * (SUM( ($A$768:$A$846=$A1474) * ($D$768:$D$846= $D1474) * (O$768:O$846) )  +  SUM( ($A$933:$A$1011=$A1474) * ($D$933:$D$1011= $D1474) * (O$933:O$1011) ) + SUM( ($E$1016:$E$1039=$E$1427)*($A$1016:$A$1039=$A1474) * ($D$1016:$D$1039=$D1474)*(O$1016:O$1039) ) )</f>
        <v>2.670365486893223</v>
      </c>
    </row>
    <row r="1475" spans="1:15" s="19" customFormat="1" hidden="1" outlineLevel="1">
      <c r="A1475" s="19" t="str">
        <f t="shared" si="290"/>
        <v>NM</v>
      </c>
      <c r="B1475" s="1400" t="str">
        <f>INDEX(EF[UK Vector],MATCH(D1475,EF[SATIM Code],0))</f>
        <v>V.04</v>
      </c>
      <c r="C1475" s="1401" t="str">
        <f>INDEX(Vectors[Description], MATCH($B1475, Vectors[Code], 0))</f>
        <v>Liquid hydrocarbons</v>
      </c>
      <c r="D1475" s="1406" t="s">
        <v>885</v>
      </c>
      <c r="E1475" s="1393"/>
      <c r="F1475" s="1389">
        <f t="array" ref="F1475" xml:space="preserve"> SUM(EF[CO2] * (EF[SATIM Code]= $D1475))  * (SUM( ($A$768:$A$846=$A1475) * ($D$768:$D$846= $D1475) * (F$768:F$846) )  +  SUM( ($A$933:$A$1011=$A1475) * ($D$933:$D$1011= $D1475) * (F$933:F$1011) ) + SUM( ($E$1016:$E$1039=$E$1427)*($A$1016:$A$1039=$A1475) * ($D$1016:$D$1039=$D1475)*(F$1016:F$1039) ) )</f>
        <v>0</v>
      </c>
      <c r="G1475" s="1389">
        <f t="array" ref="G1475" xml:space="preserve"> SUM(EF[CO2] * (EF[SATIM Code]= $D1475))  * (SUM( ($A$768:$A$846=$A1475) * ($D$768:$D$846= $D1475) * (G$768:G$846) )  +  SUM( ($A$933:$A$1011=$A1475) * ($D$933:$D$1011= $D1475) * (G$933:G$1011) ) + SUM( ($E$1016:$E$1039=$E$1427)*($A$1016:$A$1039=$A1475) * ($D$1016:$D$1039=$D1475)*(G$1016:G$1039) ) )</f>
        <v>0</v>
      </c>
      <c r="H1475" s="1389">
        <f t="array" ref="H1475" xml:space="preserve"> SUM(EF[CO2] * (EF[SATIM Code]= $D1475))  * (SUM( ($A$768:$A$846=$A1475) * ($D$768:$D$846= $D1475) * (H$768:H$846) )  +  SUM( ($A$933:$A$1011=$A1475) * ($D$933:$D$1011= $D1475) * (H$933:H$1011) ) + SUM( ($E$1016:$E$1039=$E$1427)*($A$1016:$A$1039=$A1475) * ($D$1016:$D$1039=$D1475)*(H$1016:H$1039) ) )</f>
        <v>0</v>
      </c>
      <c r="I1475" s="1389">
        <f t="array" ref="I1475" xml:space="preserve"> SUM(EF[CO2] * (EF[SATIM Code]= $D1475))  * (SUM( ($A$768:$A$846=$A1475) * ($D$768:$D$846= $D1475) * (I$768:I$846) )  +  SUM( ($A$933:$A$1011=$A1475) * ($D$933:$D$1011= $D1475) * (I$933:I$1011) ) + SUM( ($E$1016:$E$1039=$E$1427)*($A$1016:$A$1039=$A1475) * ($D$1016:$D$1039=$D1475)*(I$1016:I$1039) ) )</f>
        <v>0</v>
      </c>
      <c r="J1475" s="1389">
        <f t="array" ref="J1475" xml:space="preserve"> SUM(EF[CO2] * (EF[SATIM Code]= $D1475))  * (SUM( ($A$768:$A$846=$A1475) * ($D$768:$D$846= $D1475) * (J$768:J$846) )  +  SUM( ($A$933:$A$1011=$A1475) * ($D$933:$D$1011= $D1475) * (J$933:J$1011) ) + SUM( ($E$1016:$E$1039=$E$1427)*($A$1016:$A$1039=$A1475) * ($D$1016:$D$1039=$D1475)*(J$1016:J$1039) ) )</f>
        <v>0</v>
      </c>
      <c r="K1475" s="1389">
        <f t="array" ref="K1475" xml:space="preserve"> SUM(EF[CO2] * (EF[SATIM Code]= $D1475))  * (SUM( ($A$768:$A$846=$A1475) * ($D$768:$D$846= $D1475) * (K$768:K$846) )  +  SUM( ($A$933:$A$1011=$A1475) * ($D$933:$D$1011= $D1475) * (K$933:K$1011) ) + SUM( ($E$1016:$E$1039=$E$1427)*($A$1016:$A$1039=$A1475) * ($D$1016:$D$1039=$D1475)*(K$1016:K$1039) ) )</f>
        <v>0</v>
      </c>
      <c r="L1475" s="1389">
        <f t="array" ref="L1475" xml:space="preserve"> SUM(EF[CO2] * (EF[SATIM Code]= $D1475))  * (SUM( ($A$768:$A$846=$A1475) * ($D$768:$D$846= $D1475) * (L$768:L$846) )  +  SUM( ($A$933:$A$1011=$A1475) * ($D$933:$D$1011= $D1475) * (L$933:L$1011) ) + SUM( ($E$1016:$E$1039=$E$1427)*($A$1016:$A$1039=$A1475) * ($D$1016:$D$1039=$D1475)*(L$1016:L$1039) ) )</f>
        <v>0</v>
      </c>
      <c r="M1475" s="1389">
        <f t="array" ref="M1475" xml:space="preserve"> SUM(EF[CO2] * (EF[SATIM Code]= $D1475))  * (SUM( ($A$768:$A$846=$A1475) * ($D$768:$D$846= $D1475) * (M$768:M$846) )  +  SUM( ($A$933:$A$1011=$A1475) * ($D$933:$D$1011= $D1475) * (M$933:M$1011) ) + SUM( ($E$1016:$E$1039=$E$1427)*($A$1016:$A$1039=$A1475) * ($D$1016:$D$1039=$D1475)*(M$1016:M$1039) ) )</f>
        <v>0</v>
      </c>
      <c r="N1475" s="1389">
        <f t="array" ref="N1475" xml:space="preserve"> SUM(EF[CO2] * (EF[SATIM Code]= $D1475))  * (SUM( ($A$768:$A$846=$A1475) * ($D$768:$D$846= $D1475) * (N$768:N$846) )  +  SUM( ($A$933:$A$1011=$A1475) * ($D$933:$D$1011= $D1475) * (N$933:N$1011) ) + SUM( ($E$1016:$E$1039=$E$1427)*($A$1016:$A$1039=$A1475) * ($D$1016:$D$1039=$D1475)*(N$1016:N$1039) ) )</f>
        <v>0</v>
      </c>
      <c r="O1475" s="1389">
        <f t="array" ref="O1475" xml:space="preserve"> SUM(EF[CO2] * (EF[SATIM Code]= $D1475))  * (SUM( ($A$768:$A$846=$A1475) * ($D$768:$D$846= $D1475) * (O$768:O$846) )  +  SUM( ($A$933:$A$1011=$A1475) * ($D$933:$D$1011= $D1475) * (O$933:O$1011) ) + SUM( ($E$1016:$E$1039=$E$1427)*($A$1016:$A$1039=$A1475) * ($D$1016:$D$1039=$D1475)*(O$1016:O$1039) ) )</f>
        <v>0</v>
      </c>
    </row>
    <row r="1476" spans="1:15" s="19" customFormat="1" hidden="1" outlineLevel="1">
      <c r="A1476" s="19" t="str">
        <f t="shared" si="290"/>
        <v>NM</v>
      </c>
      <c r="B1476" s="1400" t="str">
        <f>INDEX(EF[UK Vector],MATCH(D1476,EF[SATIM Code],0))</f>
        <v>V.04</v>
      </c>
      <c r="C1476" s="1401" t="str">
        <f>INDEX(Vectors[Description], MATCH($B1476, Vectors[Code], 0))</f>
        <v>Liquid hydrocarbons</v>
      </c>
      <c r="D1476" s="1391" t="s">
        <v>886</v>
      </c>
      <c r="E1476" s="1393"/>
      <c r="F1476" s="1389">
        <f t="array" ref="F1476" xml:space="preserve"> SUM(EF[CO2] * (EF[SATIM Code]= $D1476))  * (SUM( ($A$768:$A$846=$A1476) * ($D$768:$D$846= $D1476) * (F$768:F$846) )  +  SUM( ($A$933:$A$1011=$A1476) * ($D$933:$D$1011= $D1476) * (F$933:F$1011) ) + SUM( ($E$1016:$E$1039=$E$1427)*($A$1016:$A$1039=$A1476) * ($D$1016:$D$1039=$D1476)*(F$1016:F$1039) ) )</f>
        <v>0</v>
      </c>
      <c r="G1476" s="1389">
        <f t="array" ref="G1476" xml:space="preserve"> SUM(EF[CO2] * (EF[SATIM Code]= $D1476))  * (SUM( ($A$768:$A$846=$A1476) * ($D$768:$D$846= $D1476) * (G$768:G$846) )  +  SUM( ($A$933:$A$1011=$A1476) * ($D$933:$D$1011= $D1476) * (G$933:G$1011) ) + SUM( ($E$1016:$E$1039=$E$1427)*($A$1016:$A$1039=$A1476) * ($D$1016:$D$1039=$D1476)*(G$1016:G$1039) ) )</f>
        <v>0</v>
      </c>
      <c r="H1476" s="1389">
        <f t="array" ref="H1476" xml:space="preserve"> SUM(EF[CO2] * (EF[SATIM Code]= $D1476))  * (SUM( ($A$768:$A$846=$A1476) * ($D$768:$D$846= $D1476) * (H$768:H$846) )  +  SUM( ($A$933:$A$1011=$A1476) * ($D$933:$D$1011= $D1476) * (H$933:H$1011) ) + SUM( ($E$1016:$E$1039=$E$1427)*($A$1016:$A$1039=$A1476) * ($D$1016:$D$1039=$D1476)*(H$1016:H$1039) ) )</f>
        <v>0</v>
      </c>
      <c r="I1476" s="1389">
        <f t="array" ref="I1476" xml:space="preserve"> SUM(EF[CO2] * (EF[SATIM Code]= $D1476))  * (SUM( ($A$768:$A$846=$A1476) * ($D$768:$D$846= $D1476) * (I$768:I$846) )  +  SUM( ($A$933:$A$1011=$A1476) * ($D$933:$D$1011= $D1476) * (I$933:I$1011) ) + SUM( ($E$1016:$E$1039=$E$1427)*($A$1016:$A$1039=$A1476) * ($D$1016:$D$1039=$D1476)*(I$1016:I$1039) ) )</f>
        <v>0</v>
      </c>
      <c r="J1476" s="1389">
        <f t="array" ref="J1476" xml:space="preserve"> SUM(EF[CO2] * (EF[SATIM Code]= $D1476))  * (SUM( ($A$768:$A$846=$A1476) * ($D$768:$D$846= $D1476) * (J$768:J$846) )  +  SUM( ($A$933:$A$1011=$A1476) * ($D$933:$D$1011= $D1476) * (J$933:J$1011) ) + SUM( ($E$1016:$E$1039=$E$1427)*($A$1016:$A$1039=$A1476) * ($D$1016:$D$1039=$D1476)*(J$1016:J$1039) ) )</f>
        <v>0</v>
      </c>
      <c r="K1476" s="1389">
        <f t="array" ref="K1476" xml:space="preserve"> SUM(EF[CO2] * (EF[SATIM Code]= $D1476))  * (SUM( ($A$768:$A$846=$A1476) * ($D$768:$D$846= $D1476) * (K$768:K$846) )  +  SUM( ($A$933:$A$1011=$A1476) * ($D$933:$D$1011= $D1476) * (K$933:K$1011) ) + SUM( ($E$1016:$E$1039=$E$1427)*($A$1016:$A$1039=$A1476) * ($D$1016:$D$1039=$D1476)*(K$1016:K$1039) ) )</f>
        <v>0</v>
      </c>
      <c r="L1476" s="1389">
        <f t="array" ref="L1476" xml:space="preserve"> SUM(EF[CO2] * (EF[SATIM Code]= $D1476))  * (SUM( ($A$768:$A$846=$A1476) * ($D$768:$D$846= $D1476) * (L$768:L$846) )  +  SUM( ($A$933:$A$1011=$A1476) * ($D$933:$D$1011= $D1476) * (L$933:L$1011) ) + SUM( ($E$1016:$E$1039=$E$1427)*($A$1016:$A$1039=$A1476) * ($D$1016:$D$1039=$D1476)*(L$1016:L$1039) ) )</f>
        <v>0</v>
      </c>
      <c r="M1476" s="1389">
        <f t="array" ref="M1476" xml:space="preserve"> SUM(EF[CO2] * (EF[SATIM Code]= $D1476))  * (SUM( ($A$768:$A$846=$A1476) * ($D$768:$D$846= $D1476) * (M$768:M$846) )  +  SUM( ($A$933:$A$1011=$A1476) * ($D$933:$D$1011= $D1476) * (M$933:M$1011) ) + SUM( ($E$1016:$E$1039=$E$1427)*($A$1016:$A$1039=$A1476) * ($D$1016:$D$1039=$D1476)*(M$1016:M$1039) ) )</f>
        <v>0</v>
      </c>
      <c r="N1476" s="1389">
        <f t="array" ref="N1476" xml:space="preserve"> SUM(EF[CO2] * (EF[SATIM Code]= $D1476))  * (SUM( ($A$768:$A$846=$A1476) * ($D$768:$D$846= $D1476) * (N$768:N$846) )  +  SUM( ($A$933:$A$1011=$A1476) * ($D$933:$D$1011= $D1476) * (N$933:N$1011) ) + SUM( ($E$1016:$E$1039=$E$1427)*($A$1016:$A$1039=$A1476) * ($D$1016:$D$1039=$D1476)*(N$1016:N$1039) ) )</f>
        <v>0</v>
      </c>
      <c r="O1476" s="1389">
        <f t="array" ref="O1476" xml:space="preserve"> SUM(EF[CO2] * (EF[SATIM Code]= $D1476))  * (SUM( ($A$768:$A$846=$A1476) * ($D$768:$D$846= $D1476) * (O$768:O$846) )  +  SUM( ($A$933:$A$1011=$A1476) * ($D$933:$D$1011= $D1476) * (O$933:O$1011) ) + SUM( ($E$1016:$E$1039=$E$1427)*($A$1016:$A$1039=$A1476) * ($D$1016:$D$1039=$D1476)*(O$1016:O$1039) ) )</f>
        <v>0</v>
      </c>
    </row>
    <row r="1477" spans="1:15" s="19" customFormat="1" hidden="1" outlineLevel="1">
      <c r="A1477" s="19" t="str">
        <f t="shared" si="290"/>
        <v>NM</v>
      </c>
      <c r="B1477" s="1400" t="str">
        <f>INDEX(EF[UK Vector],MATCH(D1477,EF[SATIM Code],0))</f>
        <v>V.04</v>
      </c>
      <c r="C1477" s="1401" t="str">
        <f>INDEX(Vectors[Description], MATCH($B1477, Vectors[Code], 0))</f>
        <v>Liquid hydrocarbons</v>
      </c>
      <c r="D1477" s="1406" t="s">
        <v>887</v>
      </c>
      <c r="E1477" s="1393"/>
      <c r="F1477" s="1389">
        <f t="array" ref="F1477" xml:space="preserve"> SUM(EF[CO2] * (EF[SATIM Code]= $D1477))  * (SUM( ($A$768:$A$846=$A1477) * ($D$768:$D$846= $D1477) * (F$768:F$846) )  +  SUM( ($A$933:$A$1011=$A1477) * ($D$933:$D$1011= $D1477) * (F$933:F$1011) ) + SUM( ($E$1016:$E$1039=$E$1427)*($A$1016:$A$1039=$A1477) * ($D$1016:$D$1039=$D1477)*(F$1016:F$1039) ) )</f>
        <v>0</v>
      </c>
      <c r="G1477" s="1389">
        <f t="array" ref="G1477" xml:space="preserve"> SUM(EF[CO2] * (EF[SATIM Code]= $D1477))  * (SUM( ($A$768:$A$846=$A1477) * ($D$768:$D$846= $D1477) * (G$768:G$846) )  +  SUM( ($A$933:$A$1011=$A1477) * ($D$933:$D$1011= $D1477) * (G$933:G$1011) ) + SUM( ($E$1016:$E$1039=$E$1427)*($A$1016:$A$1039=$A1477) * ($D$1016:$D$1039=$D1477)*(G$1016:G$1039) ) )</f>
        <v>0</v>
      </c>
      <c r="H1477" s="1389">
        <f t="array" ref="H1477" xml:space="preserve"> SUM(EF[CO2] * (EF[SATIM Code]= $D1477))  * (SUM( ($A$768:$A$846=$A1477) * ($D$768:$D$846= $D1477) * (H$768:H$846) )  +  SUM( ($A$933:$A$1011=$A1477) * ($D$933:$D$1011= $D1477) * (H$933:H$1011) ) + SUM( ($E$1016:$E$1039=$E$1427)*($A$1016:$A$1039=$A1477) * ($D$1016:$D$1039=$D1477)*(H$1016:H$1039) ) )</f>
        <v>0</v>
      </c>
      <c r="I1477" s="1389">
        <f t="array" ref="I1477" xml:space="preserve"> SUM(EF[CO2] * (EF[SATIM Code]= $D1477))  * (SUM( ($A$768:$A$846=$A1477) * ($D$768:$D$846= $D1477) * (I$768:I$846) )  +  SUM( ($A$933:$A$1011=$A1477) * ($D$933:$D$1011= $D1477) * (I$933:I$1011) ) + SUM( ($E$1016:$E$1039=$E$1427)*($A$1016:$A$1039=$A1477) * ($D$1016:$D$1039=$D1477)*(I$1016:I$1039) ) )</f>
        <v>0</v>
      </c>
      <c r="J1477" s="1389">
        <f t="array" ref="J1477" xml:space="preserve"> SUM(EF[CO2] * (EF[SATIM Code]= $D1477))  * (SUM( ($A$768:$A$846=$A1477) * ($D$768:$D$846= $D1477) * (J$768:J$846) )  +  SUM( ($A$933:$A$1011=$A1477) * ($D$933:$D$1011= $D1477) * (J$933:J$1011) ) + SUM( ($E$1016:$E$1039=$E$1427)*($A$1016:$A$1039=$A1477) * ($D$1016:$D$1039=$D1477)*(J$1016:J$1039) ) )</f>
        <v>0</v>
      </c>
      <c r="K1477" s="1389">
        <f t="array" ref="K1477" xml:space="preserve"> SUM(EF[CO2] * (EF[SATIM Code]= $D1477))  * (SUM( ($A$768:$A$846=$A1477) * ($D$768:$D$846= $D1477) * (K$768:K$846) )  +  SUM( ($A$933:$A$1011=$A1477) * ($D$933:$D$1011= $D1477) * (K$933:K$1011) ) + SUM( ($E$1016:$E$1039=$E$1427)*($A$1016:$A$1039=$A1477) * ($D$1016:$D$1039=$D1477)*(K$1016:K$1039) ) )</f>
        <v>0</v>
      </c>
      <c r="L1477" s="1389">
        <f t="array" ref="L1477" xml:space="preserve"> SUM(EF[CO2] * (EF[SATIM Code]= $D1477))  * (SUM( ($A$768:$A$846=$A1477) * ($D$768:$D$846= $D1477) * (L$768:L$846) )  +  SUM( ($A$933:$A$1011=$A1477) * ($D$933:$D$1011= $D1477) * (L$933:L$1011) ) + SUM( ($E$1016:$E$1039=$E$1427)*($A$1016:$A$1039=$A1477) * ($D$1016:$D$1039=$D1477)*(L$1016:L$1039) ) )</f>
        <v>0</v>
      </c>
      <c r="M1477" s="1389">
        <f t="array" ref="M1477" xml:space="preserve"> SUM(EF[CO2] * (EF[SATIM Code]= $D1477))  * (SUM( ($A$768:$A$846=$A1477) * ($D$768:$D$846= $D1477) * (M$768:M$846) )  +  SUM( ($A$933:$A$1011=$A1477) * ($D$933:$D$1011= $D1477) * (M$933:M$1011) ) + SUM( ($E$1016:$E$1039=$E$1427)*($A$1016:$A$1039=$A1477) * ($D$1016:$D$1039=$D1477)*(M$1016:M$1039) ) )</f>
        <v>0</v>
      </c>
      <c r="N1477" s="1389">
        <f t="array" ref="N1477" xml:space="preserve"> SUM(EF[CO2] * (EF[SATIM Code]= $D1477))  * (SUM( ($A$768:$A$846=$A1477) * ($D$768:$D$846= $D1477) * (N$768:N$846) )  +  SUM( ($A$933:$A$1011=$A1477) * ($D$933:$D$1011= $D1477) * (N$933:N$1011) ) + SUM( ($E$1016:$E$1039=$E$1427)*($A$1016:$A$1039=$A1477) * ($D$1016:$D$1039=$D1477)*(N$1016:N$1039) ) )</f>
        <v>0</v>
      </c>
      <c r="O1477" s="1389">
        <f t="array" ref="O1477" xml:space="preserve"> SUM(EF[CO2] * (EF[SATIM Code]= $D1477))  * (SUM( ($A$768:$A$846=$A1477) * ($D$768:$D$846= $D1477) * (O$768:O$846) )  +  SUM( ($A$933:$A$1011=$A1477) * ($D$933:$D$1011= $D1477) * (O$933:O$1011) ) + SUM( ($E$1016:$E$1039=$E$1427)*($A$1016:$A$1039=$A1477) * ($D$1016:$D$1039=$D1477)*(O$1016:O$1039) ) )</f>
        <v>0</v>
      </c>
    </row>
    <row r="1478" spans="1:15" s="19" customFormat="1" hidden="1" outlineLevel="1">
      <c r="A1478" s="19" t="str">
        <f t="shared" si="290"/>
        <v>NM</v>
      </c>
      <c r="B1478" s="1400" t="str">
        <f>INDEX(EF[UK Vector],MATCH(D1478,EF[SATIM Code],0))</f>
        <v>V.09</v>
      </c>
      <c r="C1478" s="1401" t="str">
        <f>INDEX(Vectors[Description], MATCH($B1478, Vectors[Code], 0))</f>
        <v>Dry biomass and waste</v>
      </c>
      <c r="D1478" s="1406" t="s">
        <v>888</v>
      </c>
      <c r="E1478" s="1393"/>
      <c r="F1478" s="1389">
        <f t="array" ref="F1478" xml:space="preserve"> SUM(EF[CO2] * (EF[SATIM Code]= $D1478))  * (SUM( ($A$768:$A$846=$A1478) * ($D$768:$D$846= $D1478) * (F$768:F$846) )  +  SUM( ($A$933:$A$1011=$A1478) * ($D$933:$D$1011= $D1478) * (F$933:F$1011) ) + SUM( ($E$1016:$E$1039=$E$1427)*($A$1016:$A$1039=$A1478) * ($D$1016:$D$1039=$D1478)*(F$1016:F$1039) ) )</f>
        <v>0</v>
      </c>
      <c r="G1478" s="1389">
        <f t="array" ref="G1478" xml:space="preserve"> SUM(EF[CO2] * (EF[SATIM Code]= $D1478))  * (SUM( ($A$768:$A$846=$A1478) * ($D$768:$D$846= $D1478) * (G$768:G$846) )  +  SUM( ($A$933:$A$1011=$A1478) * ($D$933:$D$1011= $D1478) * (G$933:G$1011) ) + SUM( ($E$1016:$E$1039=$E$1427)*($A$1016:$A$1039=$A1478) * ($D$1016:$D$1039=$D1478)*(G$1016:G$1039) ) )</f>
        <v>0</v>
      </c>
      <c r="H1478" s="1389">
        <f t="array" ref="H1478" xml:space="preserve"> SUM(EF[CO2] * (EF[SATIM Code]= $D1478))  * (SUM( ($A$768:$A$846=$A1478) * ($D$768:$D$846= $D1478) * (H$768:H$846) )  +  SUM( ($A$933:$A$1011=$A1478) * ($D$933:$D$1011= $D1478) * (H$933:H$1011) ) + SUM( ($E$1016:$E$1039=$E$1427)*($A$1016:$A$1039=$A1478) * ($D$1016:$D$1039=$D1478)*(H$1016:H$1039) ) )</f>
        <v>0</v>
      </c>
      <c r="I1478" s="1389">
        <f t="array" ref="I1478" xml:space="preserve"> SUM(EF[CO2] * (EF[SATIM Code]= $D1478))  * (SUM( ($A$768:$A$846=$A1478) * ($D$768:$D$846= $D1478) * (I$768:I$846) )  +  SUM( ($A$933:$A$1011=$A1478) * ($D$933:$D$1011= $D1478) * (I$933:I$1011) ) + SUM( ($E$1016:$E$1039=$E$1427)*($A$1016:$A$1039=$A1478) * ($D$1016:$D$1039=$D1478)*(I$1016:I$1039) ) )</f>
        <v>0</v>
      </c>
      <c r="J1478" s="1389">
        <f t="array" ref="J1478" xml:space="preserve"> SUM(EF[CO2] * (EF[SATIM Code]= $D1478))  * (SUM( ($A$768:$A$846=$A1478) * ($D$768:$D$846= $D1478) * (J$768:J$846) )  +  SUM( ($A$933:$A$1011=$A1478) * ($D$933:$D$1011= $D1478) * (J$933:J$1011) ) + SUM( ($E$1016:$E$1039=$E$1427)*($A$1016:$A$1039=$A1478) * ($D$1016:$D$1039=$D1478)*(J$1016:J$1039) ) )</f>
        <v>0</v>
      </c>
      <c r="K1478" s="1389">
        <f t="array" ref="K1478" xml:space="preserve"> SUM(EF[CO2] * (EF[SATIM Code]= $D1478))  * (SUM( ($A$768:$A$846=$A1478) * ($D$768:$D$846= $D1478) * (K$768:K$846) )  +  SUM( ($A$933:$A$1011=$A1478) * ($D$933:$D$1011= $D1478) * (K$933:K$1011) ) + SUM( ($E$1016:$E$1039=$E$1427)*($A$1016:$A$1039=$A1478) * ($D$1016:$D$1039=$D1478)*(K$1016:K$1039) ) )</f>
        <v>0</v>
      </c>
      <c r="L1478" s="1389">
        <f t="array" ref="L1478" xml:space="preserve"> SUM(EF[CO2] * (EF[SATIM Code]= $D1478))  * (SUM( ($A$768:$A$846=$A1478) * ($D$768:$D$846= $D1478) * (L$768:L$846) )  +  SUM( ($A$933:$A$1011=$A1478) * ($D$933:$D$1011= $D1478) * (L$933:L$1011) ) + SUM( ($E$1016:$E$1039=$E$1427)*($A$1016:$A$1039=$A1478) * ($D$1016:$D$1039=$D1478)*(L$1016:L$1039) ) )</f>
        <v>0</v>
      </c>
      <c r="M1478" s="1389">
        <f t="array" ref="M1478" xml:space="preserve"> SUM(EF[CO2] * (EF[SATIM Code]= $D1478))  * (SUM( ($A$768:$A$846=$A1478) * ($D$768:$D$846= $D1478) * (M$768:M$846) )  +  SUM( ($A$933:$A$1011=$A1478) * ($D$933:$D$1011= $D1478) * (M$933:M$1011) ) + SUM( ($E$1016:$E$1039=$E$1427)*($A$1016:$A$1039=$A1478) * ($D$1016:$D$1039=$D1478)*(M$1016:M$1039) ) )</f>
        <v>0</v>
      </c>
      <c r="N1478" s="1389">
        <f t="array" ref="N1478" xml:space="preserve"> SUM(EF[CO2] * (EF[SATIM Code]= $D1478))  * (SUM( ($A$768:$A$846=$A1478) * ($D$768:$D$846= $D1478) * (N$768:N$846) )  +  SUM( ($A$933:$A$1011=$A1478) * ($D$933:$D$1011= $D1478) * (N$933:N$1011) ) + SUM( ($E$1016:$E$1039=$E$1427)*($A$1016:$A$1039=$A1478) * ($D$1016:$D$1039=$D1478)*(N$1016:N$1039) ) )</f>
        <v>0</v>
      </c>
      <c r="O1478" s="1389">
        <f t="array" ref="O1478" xml:space="preserve"> SUM(EF[CO2] * (EF[SATIM Code]= $D1478))  * (SUM( ($A$768:$A$846=$A1478) * ($D$768:$D$846= $D1478) * (O$768:O$846) )  +  SUM( ($A$933:$A$1011=$A1478) * ($D$933:$D$1011= $D1478) * (O$933:O$1011) ) + SUM( ($E$1016:$E$1039=$E$1427)*($A$1016:$A$1039=$A1478) * ($D$1016:$D$1039=$D1478)*(O$1016:O$1039) ) )</f>
        <v>0</v>
      </c>
    </row>
    <row r="1479" spans="1:15" s="19" customFormat="1" hidden="1" outlineLevel="1">
      <c r="A1479" s="19" t="str">
        <f t="shared" si="290"/>
        <v>NM</v>
      </c>
      <c r="B1479" s="1400" t="str">
        <f>INDEX(EF[UK Vector],MATCH(D1479,EF[SATIM Code],0))</f>
        <v>V.09</v>
      </c>
      <c r="C1479" s="1401" t="str">
        <f>INDEX(Vectors[Description], MATCH($B1479, Vectors[Code], 0))</f>
        <v>Dry biomass and waste</v>
      </c>
      <c r="D1479" s="1388" t="s">
        <v>889</v>
      </c>
      <c r="E1479" s="1393"/>
      <c r="F1479" s="1389">
        <f t="array" ref="F1479" xml:space="preserve"> SUM(EF[CO2] * (EF[SATIM Code]= $D1479))  * (SUM( ($A$768:$A$846=$A1479) * ($D$768:$D$846= $D1479) * (F$768:F$846) )  +  SUM( ($A$933:$A$1011=$A1479) * ($D$933:$D$1011= $D1479) * (F$933:F$1011) ) + SUM( ($E$1016:$E$1039=$E$1427)*($A$1016:$A$1039=$A1479) * ($D$1016:$D$1039=$D1479)*(F$1016:F$1039) ) )</f>
        <v>0</v>
      </c>
      <c r="G1479" s="1389">
        <f t="array" ref="G1479" xml:space="preserve"> SUM(EF[CO2] * (EF[SATIM Code]= $D1479))  * (SUM( ($A$768:$A$846=$A1479) * ($D$768:$D$846= $D1479) * (G$768:G$846) )  +  SUM( ($A$933:$A$1011=$A1479) * ($D$933:$D$1011= $D1479) * (G$933:G$1011) ) + SUM( ($E$1016:$E$1039=$E$1427)*($A$1016:$A$1039=$A1479) * ($D$1016:$D$1039=$D1479)*(G$1016:G$1039) ) )</f>
        <v>0</v>
      </c>
      <c r="H1479" s="1389">
        <f t="array" ref="H1479" xml:space="preserve"> SUM(EF[CO2] * (EF[SATIM Code]= $D1479))  * (SUM( ($A$768:$A$846=$A1479) * ($D$768:$D$846= $D1479) * (H$768:H$846) )  +  SUM( ($A$933:$A$1011=$A1479) * ($D$933:$D$1011= $D1479) * (H$933:H$1011) ) + SUM( ($E$1016:$E$1039=$E$1427)*($A$1016:$A$1039=$A1479) * ($D$1016:$D$1039=$D1479)*(H$1016:H$1039) ) )</f>
        <v>0</v>
      </c>
      <c r="I1479" s="1389">
        <f t="array" ref="I1479" xml:space="preserve"> SUM(EF[CO2] * (EF[SATIM Code]= $D1479))  * (SUM( ($A$768:$A$846=$A1479) * ($D$768:$D$846= $D1479) * (I$768:I$846) )  +  SUM( ($A$933:$A$1011=$A1479) * ($D$933:$D$1011= $D1479) * (I$933:I$1011) ) + SUM( ($E$1016:$E$1039=$E$1427)*($A$1016:$A$1039=$A1479) * ($D$1016:$D$1039=$D1479)*(I$1016:I$1039) ) )</f>
        <v>0</v>
      </c>
      <c r="J1479" s="1389">
        <f t="array" ref="J1479" xml:space="preserve"> SUM(EF[CO2] * (EF[SATIM Code]= $D1479))  * (SUM( ($A$768:$A$846=$A1479) * ($D$768:$D$846= $D1479) * (J$768:J$846) )  +  SUM( ($A$933:$A$1011=$A1479) * ($D$933:$D$1011= $D1479) * (J$933:J$1011) ) + SUM( ($E$1016:$E$1039=$E$1427)*($A$1016:$A$1039=$A1479) * ($D$1016:$D$1039=$D1479)*(J$1016:J$1039) ) )</f>
        <v>0</v>
      </c>
      <c r="K1479" s="1389">
        <f t="array" ref="K1479" xml:space="preserve"> SUM(EF[CO2] * (EF[SATIM Code]= $D1479))  * (SUM( ($A$768:$A$846=$A1479) * ($D$768:$D$846= $D1479) * (K$768:K$846) )  +  SUM( ($A$933:$A$1011=$A1479) * ($D$933:$D$1011= $D1479) * (K$933:K$1011) ) + SUM( ($E$1016:$E$1039=$E$1427)*($A$1016:$A$1039=$A1479) * ($D$1016:$D$1039=$D1479)*(K$1016:K$1039) ) )</f>
        <v>0</v>
      </c>
      <c r="L1479" s="1389">
        <f t="array" ref="L1479" xml:space="preserve"> SUM(EF[CO2] * (EF[SATIM Code]= $D1479))  * (SUM( ($A$768:$A$846=$A1479) * ($D$768:$D$846= $D1479) * (L$768:L$846) )  +  SUM( ($A$933:$A$1011=$A1479) * ($D$933:$D$1011= $D1479) * (L$933:L$1011) ) + SUM( ($E$1016:$E$1039=$E$1427)*($A$1016:$A$1039=$A1479) * ($D$1016:$D$1039=$D1479)*(L$1016:L$1039) ) )</f>
        <v>0</v>
      </c>
      <c r="M1479" s="1389">
        <f t="array" ref="M1479" xml:space="preserve"> SUM(EF[CO2] * (EF[SATIM Code]= $D1479))  * (SUM( ($A$768:$A$846=$A1479) * ($D$768:$D$846= $D1479) * (M$768:M$846) )  +  SUM( ($A$933:$A$1011=$A1479) * ($D$933:$D$1011= $D1479) * (M$933:M$1011) ) + SUM( ($E$1016:$E$1039=$E$1427)*($A$1016:$A$1039=$A1479) * ($D$1016:$D$1039=$D1479)*(M$1016:M$1039) ) )</f>
        <v>0</v>
      </c>
      <c r="N1479" s="1389">
        <f t="array" ref="N1479" xml:space="preserve"> SUM(EF[CO2] * (EF[SATIM Code]= $D1479))  * (SUM( ($A$768:$A$846=$A1479) * ($D$768:$D$846= $D1479) * (N$768:N$846) )  +  SUM( ($A$933:$A$1011=$A1479) * ($D$933:$D$1011= $D1479) * (N$933:N$1011) ) + SUM( ($E$1016:$E$1039=$E$1427)*($A$1016:$A$1039=$A1479) * ($D$1016:$D$1039=$D1479)*(N$1016:N$1039) ) )</f>
        <v>0</v>
      </c>
      <c r="O1479" s="1389">
        <f t="array" ref="O1479" xml:space="preserve"> SUM(EF[CO2] * (EF[SATIM Code]= $D1479))  * (SUM( ($A$768:$A$846=$A1479) * ($D$768:$D$846= $D1479) * (O$768:O$846) )  +  SUM( ($A$933:$A$1011=$A1479) * ($D$933:$D$1011= $D1479) * (O$933:O$1011) ) + SUM( ($E$1016:$E$1039=$E$1427)*($A$1016:$A$1039=$A1479) * ($D$1016:$D$1039=$D1479)*(O$1016:O$1039) ) )</f>
        <v>0</v>
      </c>
    </row>
    <row r="1480" spans="1:15" s="19" customFormat="1" hidden="1" outlineLevel="1">
      <c r="A1480" s="19" t="str">
        <f t="shared" si="290"/>
        <v>NM</v>
      </c>
      <c r="B1480" s="1400" t="str">
        <f>INDEX(EF[UK Vector],MATCH(D1480,EF[SATIM Code],0))</f>
        <v>V.16</v>
      </c>
      <c r="C1480" s="1401" t="str">
        <f>INDEX(Vectors[Description], MATCH($B1480, Vectors[Code], 0))</f>
        <v>Other Waste</v>
      </c>
      <c r="D1480" s="1408" t="s">
        <v>890</v>
      </c>
      <c r="E1480" s="1393"/>
      <c r="F1480" s="1389">
        <f t="array" ref="F1480" xml:space="preserve"> SUM(EF[CO2] * (EF[SATIM Code]= $D1480))  * (SUM( ($A$768:$A$846=$A1480) * ($D$768:$D$846= $D1480) * (F$768:F$846) )  +  SUM( ($A$933:$A$1011=$A1480) * ($D$933:$D$1011= $D1480) * (F$933:F$1011) ) + SUM( ($E$1016:$E$1039=$E$1427)*($A$1016:$A$1039=$A1480) * ($D$1016:$D$1039=$D1480)*(F$1016:F$1039) ) )</f>
        <v>0</v>
      </c>
      <c r="G1480" s="1389">
        <f t="array" ref="G1480" xml:space="preserve"> SUM(EF[CO2] * (EF[SATIM Code]= $D1480))  * (SUM( ($A$768:$A$846=$A1480) * ($D$768:$D$846= $D1480) * (G$768:G$846) )  +  SUM( ($A$933:$A$1011=$A1480) * ($D$933:$D$1011= $D1480) * (G$933:G$1011) ) + SUM( ($E$1016:$E$1039=$E$1427)*($A$1016:$A$1039=$A1480) * ($D$1016:$D$1039=$D1480)*(G$1016:G$1039) ) )</f>
        <v>0</v>
      </c>
      <c r="H1480" s="1389">
        <f t="array" ref="H1480" xml:space="preserve"> SUM(EF[CO2] * (EF[SATIM Code]= $D1480))  * (SUM( ($A$768:$A$846=$A1480) * ($D$768:$D$846= $D1480) * (H$768:H$846) )  +  SUM( ($A$933:$A$1011=$A1480) * ($D$933:$D$1011= $D1480) * (H$933:H$1011) ) + SUM( ($E$1016:$E$1039=$E$1427)*($A$1016:$A$1039=$A1480) * ($D$1016:$D$1039=$D1480)*(H$1016:H$1039) ) )</f>
        <v>0</v>
      </c>
      <c r="I1480" s="1389">
        <f t="array" ref="I1480" xml:space="preserve"> SUM(EF[CO2] * (EF[SATIM Code]= $D1480))  * (SUM( ($A$768:$A$846=$A1480) * ($D$768:$D$846= $D1480) * (I$768:I$846) )  +  SUM( ($A$933:$A$1011=$A1480) * ($D$933:$D$1011= $D1480) * (I$933:I$1011) ) + SUM( ($E$1016:$E$1039=$E$1427)*($A$1016:$A$1039=$A1480) * ($D$1016:$D$1039=$D1480)*(I$1016:I$1039) ) )</f>
        <v>0</v>
      </c>
      <c r="J1480" s="1389">
        <f t="array" ref="J1480" xml:space="preserve"> SUM(EF[CO2] * (EF[SATIM Code]= $D1480))  * (SUM( ($A$768:$A$846=$A1480) * ($D$768:$D$846= $D1480) * (J$768:J$846) )  +  SUM( ($A$933:$A$1011=$A1480) * ($D$933:$D$1011= $D1480) * (J$933:J$1011) ) + SUM( ($E$1016:$E$1039=$E$1427)*($A$1016:$A$1039=$A1480) * ($D$1016:$D$1039=$D1480)*(J$1016:J$1039) ) )</f>
        <v>0</v>
      </c>
      <c r="K1480" s="1389">
        <f t="array" ref="K1480" xml:space="preserve"> SUM(EF[CO2] * (EF[SATIM Code]= $D1480))  * (SUM( ($A$768:$A$846=$A1480) * ($D$768:$D$846= $D1480) * (K$768:K$846) )  +  SUM( ($A$933:$A$1011=$A1480) * ($D$933:$D$1011= $D1480) * (K$933:K$1011) ) + SUM( ($E$1016:$E$1039=$E$1427)*($A$1016:$A$1039=$A1480) * ($D$1016:$D$1039=$D1480)*(K$1016:K$1039) ) )</f>
        <v>0</v>
      </c>
      <c r="L1480" s="1389">
        <f t="array" ref="L1480" xml:space="preserve"> SUM(EF[CO2] * (EF[SATIM Code]= $D1480))  * (SUM( ($A$768:$A$846=$A1480) * ($D$768:$D$846= $D1480) * (L$768:L$846) )  +  SUM( ($A$933:$A$1011=$A1480) * ($D$933:$D$1011= $D1480) * (L$933:L$1011) ) + SUM( ($E$1016:$E$1039=$E$1427)*($A$1016:$A$1039=$A1480) * ($D$1016:$D$1039=$D1480)*(L$1016:L$1039) ) )</f>
        <v>0</v>
      </c>
      <c r="M1480" s="1389">
        <f t="array" ref="M1480" xml:space="preserve"> SUM(EF[CO2] * (EF[SATIM Code]= $D1480))  * (SUM( ($A$768:$A$846=$A1480) * ($D$768:$D$846= $D1480) * (M$768:M$846) )  +  SUM( ($A$933:$A$1011=$A1480) * ($D$933:$D$1011= $D1480) * (M$933:M$1011) ) + SUM( ($E$1016:$E$1039=$E$1427)*($A$1016:$A$1039=$A1480) * ($D$1016:$D$1039=$D1480)*(M$1016:M$1039) ) )</f>
        <v>0</v>
      </c>
      <c r="N1480" s="1389">
        <f t="array" ref="N1480" xml:space="preserve"> SUM(EF[CO2] * (EF[SATIM Code]= $D1480))  * (SUM( ($A$768:$A$846=$A1480) * ($D$768:$D$846= $D1480) * (N$768:N$846) )  +  SUM( ($A$933:$A$1011=$A1480) * ($D$933:$D$1011= $D1480) * (N$933:N$1011) ) + SUM( ($E$1016:$E$1039=$E$1427)*($A$1016:$A$1039=$A1480) * ($D$1016:$D$1039=$D1480)*(N$1016:N$1039) ) )</f>
        <v>0</v>
      </c>
      <c r="O1480" s="1389">
        <f t="array" ref="O1480" xml:space="preserve"> SUM(EF[CO2] * (EF[SATIM Code]= $D1480))  * (SUM( ($A$768:$A$846=$A1480) * ($D$768:$D$846= $D1480) * (O$768:O$846) )  +  SUM( ($A$933:$A$1011=$A1480) * ($D$933:$D$1011= $D1480) * (O$933:O$1011) ) + SUM( ($E$1016:$E$1039=$E$1427)*($A$1016:$A$1039=$A1480) * ($D$1016:$D$1039=$D1480)*(O$1016:O$1039) ) )</f>
        <v>0</v>
      </c>
    </row>
    <row r="1481" spans="1:15" s="19" customFormat="1" hidden="1" outlineLevel="1">
      <c r="B1481" s="1393"/>
      <c r="C1481" s="1407" t="str">
        <f>D25</f>
        <v>Food, Beverage &amp; Tabacco  - 30</v>
      </c>
      <c r="D1481" s="1391"/>
      <c r="E1481" s="1393"/>
      <c r="F1481" s="1389">
        <f t="array" ref="F1481" xml:space="preserve"> SUM(EF[CO2] * (EF[SATIM Code]= $D1481))  * (SUM( ($A$768:$A$846=$A1481) * ($D$768:$D$846= $D1481) * (F$768:F$846) )  +  SUM( ($A$933:$A$1011=$A1481) * ($D$933:$D$1011= $D1481) * (F$933:F$1011) ) + SUM( ($E$1016:$E$1039=$E$1427)*($A$1016:$A$1039=$A1481) * ($D$1016:$D$1039=$D1481)*(F$1016:F$1039) ) )</f>
        <v>0</v>
      </c>
      <c r="G1481" s="1389">
        <f t="array" ref="G1481" xml:space="preserve"> SUM(EF[CO2] * (EF[SATIM Code]= $D1481))  * (SUM( ($A$768:$A$846=$A1481) * ($D$768:$D$846= $D1481) * (G$768:G$846) )  +  SUM( ($A$933:$A$1011=$A1481) * ($D$933:$D$1011= $D1481) * (G$933:G$1011) ) + SUM( ($E$1016:$E$1039=$E$1427)*($A$1016:$A$1039=$A1481) * ($D$1016:$D$1039=$D1481)*(G$1016:G$1039) ) )</f>
        <v>0</v>
      </c>
      <c r="H1481" s="1389">
        <f t="array" ref="H1481" xml:space="preserve"> SUM(EF[CO2] * (EF[SATIM Code]= $D1481))  * (SUM( ($A$768:$A$846=$A1481) * ($D$768:$D$846= $D1481) * (H$768:H$846) )  +  SUM( ($A$933:$A$1011=$A1481) * ($D$933:$D$1011= $D1481) * (H$933:H$1011) ) + SUM( ($E$1016:$E$1039=$E$1427)*($A$1016:$A$1039=$A1481) * ($D$1016:$D$1039=$D1481)*(H$1016:H$1039) ) )</f>
        <v>0</v>
      </c>
      <c r="I1481" s="1389">
        <f t="array" ref="I1481" xml:space="preserve"> SUM(EF[CO2] * (EF[SATIM Code]= $D1481))  * (SUM( ($A$768:$A$846=$A1481) * ($D$768:$D$846= $D1481) * (I$768:I$846) )  +  SUM( ($A$933:$A$1011=$A1481) * ($D$933:$D$1011= $D1481) * (I$933:I$1011) ) + SUM( ($E$1016:$E$1039=$E$1427)*($A$1016:$A$1039=$A1481) * ($D$1016:$D$1039=$D1481)*(I$1016:I$1039) ) )</f>
        <v>0</v>
      </c>
      <c r="J1481" s="1389">
        <f t="array" ref="J1481" xml:space="preserve"> SUM(EF[CO2] * (EF[SATIM Code]= $D1481))  * (SUM( ($A$768:$A$846=$A1481) * ($D$768:$D$846= $D1481) * (J$768:J$846) )  +  SUM( ($A$933:$A$1011=$A1481) * ($D$933:$D$1011= $D1481) * (J$933:J$1011) ) + SUM( ($E$1016:$E$1039=$E$1427)*($A$1016:$A$1039=$A1481) * ($D$1016:$D$1039=$D1481)*(J$1016:J$1039) ) )</f>
        <v>0</v>
      </c>
      <c r="K1481" s="1389">
        <f t="array" ref="K1481" xml:space="preserve"> SUM(EF[CO2] * (EF[SATIM Code]= $D1481))  * (SUM( ($A$768:$A$846=$A1481) * ($D$768:$D$846= $D1481) * (K$768:K$846) )  +  SUM( ($A$933:$A$1011=$A1481) * ($D$933:$D$1011= $D1481) * (K$933:K$1011) ) + SUM( ($E$1016:$E$1039=$E$1427)*($A$1016:$A$1039=$A1481) * ($D$1016:$D$1039=$D1481)*(K$1016:K$1039) ) )</f>
        <v>0</v>
      </c>
      <c r="L1481" s="1389">
        <f t="array" ref="L1481" xml:space="preserve"> SUM(EF[CO2] * (EF[SATIM Code]= $D1481))  * (SUM( ($A$768:$A$846=$A1481) * ($D$768:$D$846= $D1481) * (L$768:L$846) )  +  SUM( ($A$933:$A$1011=$A1481) * ($D$933:$D$1011= $D1481) * (L$933:L$1011) ) + SUM( ($E$1016:$E$1039=$E$1427)*($A$1016:$A$1039=$A1481) * ($D$1016:$D$1039=$D1481)*(L$1016:L$1039) ) )</f>
        <v>0</v>
      </c>
      <c r="M1481" s="1389">
        <f t="array" ref="M1481" xml:space="preserve"> SUM(EF[CO2] * (EF[SATIM Code]= $D1481))  * (SUM( ($A$768:$A$846=$A1481) * ($D$768:$D$846= $D1481) * (M$768:M$846) )  +  SUM( ($A$933:$A$1011=$A1481) * ($D$933:$D$1011= $D1481) * (M$933:M$1011) ) + SUM( ($E$1016:$E$1039=$E$1427)*($A$1016:$A$1039=$A1481) * ($D$1016:$D$1039=$D1481)*(M$1016:M$1039) ) )</f>
        <v>0</v>
      </c>
      <c r="N1481" s="1389">
        <f t="array" ref="N1481" xml:space="preserve"> SUM(EF[CO2] * (EF[SATIM Code]= $D1481))  * (SUM( ($A$768:$A$846=$A1481) * ($D$768:$D$846= $D1481) * (N$768:N$846) )  +  SUM( ($A$933:$A$1011=$A1481) * ($D$933:$D$1011= $D1481) * (N$933:N$1011) ) + SUM( ($E$1016:$E$1039=$E$1427)*($A$1016:$A$1039=$A1481) * ($D$1016:$D$1039=$D1481)*(N$1016:N$1039) ) )</f>
        <v>0</v>
      </c>
      <c r="O1481" s="1389">
        <f t="array" ref="O1481" xml:space="preserve"> SUM(EF[CO2] * (EF[SATIM Code]= $D1481))  * (SUM( ($A$768:$A$846=$A1481) * ($D$768:$D$846= $D1481) * (O$768:O$846) )  +  SUM( ($A$933:$A$1011=$A1481) * ($D$933:$D$1011= $D1481) * (O$933:O$1011) ) + SUM( ($E$1016:$E$1039=$E$1427)*($A$1016:$A$1039=$A1481) * ($D$1016:$D$1039=$D1481)*(O$1016:O$1039) ) )</f>
        <v>0</v>
      </c>
    </row>
    <row r="1482" spans="1:15" s="19" customFormat="1" hidden="1" outlineLevel="1">
      <c r="A1482" s="1438" t="str">
        <f>INDEX($C$20:$C$27,MATCH($C1481,$D$20:$D$27,0))</f>
        <v>FB</v>
      </c>
      <c r="B1482" s="1400" t="str">
        <f>INDEX(EF[UK Vector],MATCH(D1482,EF[SATIM Code],0))</f>
        <v>V.03</v>
      </c>
      <c r="C1482" s="1401" t="str">
        <f>INDEX(Vectors[Description], MATCH($B1482, Vectors[Code], 0))</f>
        <v>Solid hydrocarbons</v>
      </c>
      <c r="D1482" s="1391" t="s">
        <v>882</v>
      </c>
      <c r="E1482" s="1393"/>
      <c r="F1482" s="1389">
        <f t="array" ref="F1482" xml:space="preserve"> SUM(EF[CO2] * (EF[SATIM Code]= $D1482))  * (SUM( ($A$768:$A$846=$A1482) * ($D$768:$D$846= $D1482) * (F$768:F$846) )  +  SUM( ($A$933:$A$1011=$A1482) * ($D$933:$D$1011= $D1482) * (F$933:F$1011) ) + SUM( ($E$1016:$E$1039=$E$1427)*($A$1016:$A$1039=$A1482) * ($D$1016:$D$1039=$D1482)*(F$1016:F$1039) ) )</f>
        <v>2.4719052550170391</v>
      </c>
      <c r="G1482" s="1389">
        <f t="array" ref="G1482" xml:space="preserve"> SUM(EF[CO2] * (EF[SATIM Code]= $D1482))  * (SUM( ($A$768:$A$846=$A1482) * ($D$768:$D$846= $D1482) * (G$768:G$846) )  +  SUM( ($A$933:$A$1011=$A1482) * ($D$933:$D$1011= $D1482) * (G$933:G$1011) ) + SUM( ($E$1016:$E$1039=$E$1427)*($A$1016:$A$1039=$A1482) * ($D$1016:$D$1039=$D1482)*(G$1016:G$1039) ) )</f>
        <v>2.9398585355777551</v>
      </c>
      <c r="H1482" s="1389">
        <f t="array" ref="H1482" xml:space="preserve"> SUM(EF[CO2] * (EF[SATIM Code]= $D1482))  * (SUM( ($A$768:$A$846=$A1482) * ($D$768:$D$846= $D1482) * (H$768:H$846) )  +  SUM( ($A$933:$A$1011=$A1482) * ($D$933:$D$1011= $D1482) * (H$933:H$1011) ) + SUM( ($E$1016:$E$1039=$E$1427)*($A$1016:$A$1039=$A1482) * ($D$1016:$D$1039=$D1482)*(H$1016:H$1039) ) )</f>
        <v>3.808348066135256</v>
      </c>
      <c r="I1482" s="1389">
        <f t="array" ref="I1482" xml:space="preserve"> SUM(EF[CO2] * (EF[SATIM Code]= $D1482))  * (SUM( ($A$768:$A$846=$A1482) * ($D$768:$D$846= $D1482) * (I$768:I$846) )  +  SUM( ($A$933:$A$1011=$A1482) * ($D$933:$D$1011= $D1482) * (I$933:I$1011) ) + SUM( ($E$1016:$E$1039=$E$1427)*($A$1016:$A$1039=$A1482) * ($D$1016:$D$1039=$D1482)*(I$1016:I$1039) ) )</f>
        <v>4.6768375966927573</v>
      </c>
      <c r="J1482" s="1389">
        <f t="array" ref="J1482" xml:space="preserve"> SUM(EF[CO2] * (EF[SATIM Code]= $D1482))  * (SUM( ($A$768:$A$846=$A1482) * ($D$768:$D$846= $D1482) * (J$768:J$846) )  +  SUM( ($A$933:$A$1011=$A1482) * ($D$933:$D$1011= $D1482) * (J$933:J$1011) ) + SUM( ($E$1016:$E$1039=$E$1427)*($A$1016:$A$1039=$A1482) * ($D$1016:$D$1039=$D1482)*(J$1016:J$1039) ) )</f>
        <v>5.9553344583368535</v>
      </c>
      <c r="K1482" s="1389">
        <f t="array" ref="K1482" xml:space="preserve"> SUM(EF[CO2] * (EF[SATIM Code]= $D1482))  * (SUM( ($A$768:$A$846=$A1482) * ($D$768:$D$846= $D1482) * (K$768:K$846) )  +  SUM( ($A$933:$A$1011=$A1482) * ($D$933:$D$1011= $D1482) * (K$933:K$1011) ) + SUM( ($E$1016:$E$1039=$E$1427)*($A$1016:$A$1039=$A1482) * ($D$1016:$D$1039=$D1482)*(K$1016:K$1039) ) )</f>
        <v>7.2338313199809487</v>
      </c>
      <c r="L1482" s="1389">
        <f t="array" ref="L1482" xml:space="preserve"> SUM(EF[CO2] * (EF[SATIM Code]= $D1482))  * (SUM( ($A$768:$A$846=$A1482) * ($D$768:$D$846= $D1482) * (L$768:L$846) )  +  SUM( ($A$933:$A$1011=$A1482) * ($D$933:$D$1011= $D1482) * (L$933:L$1011) ) + SUM( ($E$1016:$E$1039=$E$1427)*($A$1016:$A$1039=$A1482) * ($D$1016:$D$1039=$D1482)*(L$1016:L$1039) ) )</f>
        <v>9.1137536167693778</v>
      </c>
      <c r="M1482" s="1389">
        <f t="array" ref="M1482" xml:space="preserve"> SUM(EF[CO2] * (EF[SATIM Code]= $D1482))  * (SUM( ($A$768:$A$846=$A1482) * ($D$768:$D$846= $D1482) * (M$768:M$846) )  +  SUM( ($A$933:$A$1011=$A1482) * ($D$933:$D$1011= $D1482) * (M$933:M$1011) ) + SUM( ($E$1016:$E$1039=$E$1427)*($A$1016:$A$1039=$A1482) * ($D$1016:$D$1039=$D1482)*(M$1016:M$1039) ) )</f>
        <v>10.993675913557807</v>
      </c>
      <c r="N1482" s="1389">
        <f t="array" ref="N1482" xml:space="preserve"> SUM(EF[CO2] * (EF[SATIM Code]= $D1482))  * (SUM( ($A$768:$A$846=$A1482) * ($D$768:$D$846= $D1482) * (N$768:N$846) )  +  SUM( ($A$933:$A$1011=$A1482) * ($D$933:$D$1011= $D1482) * (N$933:N$1011) ) + SUM( ($E$1016:$E$1039=$E$1427)*($A$1016:$A$1039=$A1482) * ($D$1016:$D$1039=$D1482)*(N$1016:N$1039) ) )</f>
        <v>13.170429747482306</v>
      </c>
      <c r="O1482" s="1389">
        <f t="array" ref="O1482" xml:space="preserve"> SUM(EF[CO2] * (EF[SATIM Code]= $D1482))  * (SUM( ($A$768:$A$846=$A1482) * ($D$768:$D$846= $D1482) * (O$768:O$846) )  +  SUM( ($A$933:$A$1011=$A1482) * ($D$933:$D$1011= $D1482) * (O$933:O$1011) ) + SUM( ($E$1016:$E$1039=$E$1427)*($A$1016:$A$1039=$A1482) * ($D$1016:$D$1039=$D1482)*(O$1016:O$1039) ) )</f>
        <v>15.347183581406803</v>
      </c>
    </row>
    <row r="1483" spans="1:15" s="19" customFormat="1" hidden="1" outlineLevel="1">
      <c r="A1483" s="19" t="str">
        <f t="shared" ref="A1483:A1490" si="291">A1482</f>
        <v>FB</v>
      </c>
      <c r="B1483" s="1400" t="str">
        <f>INDEX(EF[UK Vector],MATCH(D1483,EF[SATIM Code],0))</f>
        <v>V.03</v>
      </c>
      <c r="C1483" s="1401" t="str">
        <f>INDEX(Vectors[Description], MATCH($B1483, Vectors[Code], 0))</f>
        <v>Solid hydrocarbons</v>
      </c>
      <c r="D1483" s="1391" t="s">
        <v>883</v>
      </c>
      <c r="E1483" s="1393"/>
      <c r="F1483" s="1389">
        <f t="array" ref="F1483" xml:space="preserve"> SUM(EF[CO2] * (EF[SATIM Code]= $D1483))  * (SUM( ($A$768:$A$846=$A1483) * ($D$768:$D$846= $D1483) * (F$768:F$846) )  +  SUM( ($A$933:$A$1011=$A1483) * ($D$933:$D$1011= $D1483) * (F$933:F$1011) ) + SUM( ($E$1016:$E$1039=$E$1427)*($A$1016:$A$1039=$A1483) * ($D$1016:$D$1039=$D1483)*(F$1016:F$1039) ) )</f>
        <v>0</v>
      </c>
      <c r="G1483" s="1389">
        <f t="array" ref="G1483" xml:space="preserve"> SUM(EF[CO2] * (EF[SATIM Code]= $D1483))  * (SUM( ($A$768:$A$846=$A1483) * ($D$768:$D$846= $D1483) * (G$768:G$846) )  +  SUM( ($A$933:$A$1011=$A1483) * ($D$933:$D$1011= $D1483) * (G$933:G$1011) ) + SUM( ($E$1016:$E$1039=$E$1427)*($A$1016:$A$1039=$A1483) * ($D$1016:$D$1039=$D1483)*(G$1016:G$1039) ) )</f>
        <v>0</v>
      </c>
      <c r="H1483" s="1389">
        <f t="array" ref="H1483" xml:space="preserve"> SUM(EF[CO2] * (EF[SATIM Code]= $D1483))  * (SUM( ($A$768:$A$846=$A1483) * ($D$768:$D$846= $D1483) * (H$768:H$846) )  +  SUM( ($A$933:$A$1011=$A1483) * ($D$933:$D$1011= $D1483) * (H$933:H$1011) ) + SUM( ($E$1016:$E$1039=$E$1427)*($A$1016:$A$1039=$A1483) * ($D$1016:$D$1039=$D1483)*(H$1016:H$1039) ) )</f>
        <v>0</v>
      </c>
      <c r="I1483" s="1389">
        <f t="array" ref="I1483" xml:space="preserve"> SUM(EF[CO2] * (EF[SATIM Code]= $D1483))  * (SUM( ($A$768:$A$846=$A1483) * ($D$768:$D$846= $D1483) * (I$768:I$846) )  +  SUM( ($A$933:$A$1011=$A1483) * ($D$933:$D$1011= $D1483) * (I$933:I$1011) ) + SUM( ($E$1016:$E$1039=$E$1427)*($A$1016:$A$1039=$A1483) * ($D$1016:$D$1039=$D1483)*(I$1016:I$1039) ) )</f>
        <v>0</v>
      </c>
      <c r="J1483" s="1389">
        <f t="array" ref="J1483" xml:space="preserve"> SUM(EF[CO2] * (EF[SATIM Code]= $D1483))  * (SUM( ($A$768:$A$846=$A1483) * ($D$768:$D$846= $D1483) * (J$768:J$846) )  +  SUM( ($A$933:$A$1011=$A1483) * ($D$933:$D$1011= $D1483) * (J$933:J$1011) ) + SUM( ($E$1016:$E$1039=$E$1427)*($A$1016:$A$1039=$A1483) * ($D$1016:$D$1039=$D1483)*(J$1016:J$1039) ) )</f>
        <v>0</v>
      </c>
      <c r="K1483" s="1389">
        <f t="array" ref="K1483" xml:space="preserve"> SUM(EF[CO2] * (EF[SATIM Code]= $D1483))  * (SUM( ($A$768:$A$846=$A1483) * ($D$768:$D$846= $D1483) * (K$768:K$846) )  +  SUM( ($A$933:$A$1011=$A1483) * ($D$933:$D$1011= $D1483) * (K$933:K$1011) ) + SUM( ($E$1016:$E$1039=$E$1427)*($A$1016:$A$1039=$A1483) * ($D$1016:$D$1039=$D1483)*(K$1016:K$1039) ) )</f>
        <v>0</v>
      </c>
      <c r="L1483" s="1389">
        <f t="array" ref="L1483" xml:space="preserve"> SUM(EF[CO2] * (EF[SATIM Code]= $D1483))  * (SUM( ($A$768:$A$846=$A1483) * ($D$768:$D$846= $D1483) * (L$768:L$846) )  +  SUM( ($A$933:$A$1011=$A1483) * ($D$933:$D$1011= $D1483) * (L$933:L$1011) ) + SUM( ($E$1016:$E$1039=$E$1427)*($A$1016:$A$1039=$A1483) * ($D$1016:$D$1039=$D1483)*(L$1016:L$1039) ) )</f>
        <v>0</v>
      </c>
      <c r="M1483" s="1389">
        <f t="array" ref="M1483" xml:space="preserve"> SUM(EF[CO2] * (EF[SATIM Code]= $D1483))  * (SUM( ($A$768:$A$846=$A1483) * ($D$768:$D$846= $D1483) * (M$768:M$846) )  +  SUM( ($A$933:$A$1011=$A1483) * ($D$933:$D$1011= $D1483) * (M$933:M$1011) ) + SUM( ($E$1016:$E$1039=$E$1427)*($A$1016:$A$1039=$A1483) * ($D$1016:$D$1039=$D1483)*(M$1016:M$1039) ) )</f>
        <v>0</v>
      </c>
      <c r="N1483" s="1389">
        <f t="array" ref="N1483" xml:space="preserve"> SUM(EF[CO2] * (EF[SATIM Code]= $D1483))  * (SUM( ($A$768:$A$846=$A1483) * ($D$768:$D$846= $D1483) * (N$768:N$846) )  +  SUM( ($A$933:$A$1011=$A1483) * ($D$933:$D$1011= $D1483) * (N$933:N$1011) ) + SUM( ($E$1016:$E$1039=$E$1427)*($A$1016:$A$1039=$A1483) * ($D$1016:$D$1039=$D1483)*(N$1016:N$1039) ) )</f>
        <v>0</v>
      </c>
      <c r="O1483" s="1389">
        <f t="array" ref="O1483" xml:space="preserve"> SUM(EF[CO2] * (EF[SATIM Code]= $D1483))  * (SUM( ($A$768:$A$846=$A1483) * ($D$768:$D$846= $D1483) * (O$768:O$846) )  +  SUM( ($A$933:$A$1011=$A1483) * ($D$933:$D$1011= $D1483) * (O$933:O$1011) ) + SUM( ($E$1016:$E$1039=$E$1427)*($A$1016:$A$1039=$A1483) * ($D$1016:$D$1039=$D1483)*(O$1016:O$1039) ) )</f>
        <v>0</v>
      </c>
    </row>
    <row r="1484" spans="1:15" s="19" customFormat="1" hidden="1" outlineLevel="1">
      <c r="A1484" s="19" t="str">
        <f t="shared" si="291"/>
        <v>FB</v>
      </c>
      <c r="B1484" s="1400" t="str">
        <f>INDEX(EF[UK Vector],MATCH(D1484,EF[SATIM Code],0))</f>
        <v>V.05</v>
      </c>
      <c r="C1484" s="1401" t="str">
        <f>INDEX(Vectors[Description], MATCH($B1484, Vectors[Code], 0))</f>
        <v>Gaseous hydrocarbons</v>
      </c>
      <c r="D1484" s="1406" t="s">
        <v>869</v>
      </c>
      <c r="E1484" s="1393"/>
      <c r="F1484" s="1389">
        <f t="array" ref="F1484" xml:space="preserve"> SUM(EF[CO2] * (EF[SATIM Code]= $D1484))  * (SUM( ($A$768:$A$846=$A1484) * ($D$768:$D$846= $D1484) * (F$768:F$846) )  +  SUM( ($A$933:$A$1011=$A1484) * ($D$933:$D$1011= $D1484) * (F$933:F$1011) ) + SUM( ($E$1016:$E$1039=$E$1427)*($A$1016:$A$1039=$A1484) * ($D$1016:$D$1039=$D1484)*(F$1016:F$1039) ) )</f>
        <v>5.7271926385819148E-2</v>
      </c>
      <c r="G1484" s="1389">
        <f t="array" ref="G1484" xml:space="preserve"> SUM(EF[CO2] * (EF[SATIM Code]= $D1484))  * (SUM( ($A$768:$A$846=$A1484) * ($D$768:$D$846= $D1484) * (G$768:G$846) )  +  SUM( ($A$933:$A$1011=$A1484) * ($D$933:$D$1011= $D1484) * (G$933:G$1011) ) + SUM( ($E$1016:$E$1039=$E$1427)*($A$1016:$A$1039=$A1484) * ($D$1016:$D$1039=$D1484)*(G$1016:G$1039) ) )</f>
        <v>6.902963633111607E-2</v>
      </c>
      <c r="H1484" s="1389">
        <f t="array" ref="H1484" xml:space="preserve"> SUM(EF[CO2] * (EF[SATIM Code]= $D1484))  * (SUM( ($A$768:$A$846=$A1484) * ($D$768:$D$846= $D1484) * (H$768:H$846) )  +  SUM( ($A$933:$A$1011=$A1484) * ($D$933:$D$1011= $D1484) * (H$933:H$1011) ) + SUM( ($E$1016:$E$1039=$E$1427)*($A$1016:$A$1039=$A1484) * ($D$1016:$D$1039=$D1484)*(H$1016:H$1039) ) )</f>
        <v>9.0851148039692006E-2</v>
      </c>
      <c r="I1484" s="1389">
        <f t="array" ref="I1484" xml:space="preserve"> SUM(EF[CO2] * (EF[SATIM Code]= $D1484))  * (SUM( ($A$768:$A$846=$A1484) * ($D$768:$D$846= $D1484) * (I$768:I$846) )  +  SUM( ($A$933:$A$1011=$A1484) * ($D$933:$D$1011= $D1484) * (I$933:I$1011) ) + SUM( ($E$1016:$E$1039=$E$1427)*($A$1016:$A$1039=$A1484) * ($D$1016:$D$1039=$D1484)*(I$1016:I$1039) ) )</f>
        <v>0.11267265974826793</v>
      </c>
      <c r="J1484" s="1389">
        <f t="array" ref="J1484" xml:space="preserve"> SUM(EF[CO2] * (EF[SATIM Code]= $D1484))  * (SUM( ($A$768:$A$846=$A1484) * ($D$768:$D$846= $D1484) * (J$768:J$846) )  +  SUM( ($A$933:$A$1011=$A1484) * ($D$933:$D$1011= $D1484) * (J$933:J$1011) ) + SUM( ($E$1016:$E$1039=$E$1427)*($A$1016:$A$1039=$A1484) * ($D$1016:$D$1039=$D1484)*(J$1016:J$1039) ) )</f>
        <v>0.14479594189979306</v>
      </c>
      <c r="K1484" s="1389">
        <f t="array" ref="K1484" xml:space="preserve"> SUM(EF[CO2] * (EF[SATIM Code]= $D1484))  * (SUM( ($A$768:$A$846=$A1484) * ($D$768:$D$846= $D1484) * (K$768:K$846) )  +  SUM( ($A$933:$A$1011=$A1484) * ($D$933:$D$1011= $D1484) * (K$933:K$1011) ) + SUM( ($E$1016:$E$1039=$E$1427)*($A$1016:$A$1039=$A1484) * ($D$1016:$D$1039=$D1484)*(K$1016:K$1039) ) )</f>
        <v>0.17691922405131821</v>
      </c>
      <c r="L1484" s="1389">
        <f t="array" ref="L1484" xml:space="preserve"> SUM(EF[CO2] * (EF[SATIM Code]= $D1484))  * (SUM( ($A$768:$A$846=$A1484) * ($D$768:$D$846= $D1484) * (L$768:L$846) )  +  SUM( ($A$933:$A$1011=$A1484) * ($D$933:$D$1011= $D1484) * (L$933:L$1011) ) + SUM( ($E$1016:$E$1039=$E$1427)*($A$1016:$A$1039=$A1484) * ($D$1016:$D$1039=$D1484)*(L$1016:L$1039) ) )</f>
        <v>0.22415381349334446</v>
      </c>
      <c r="M1484" s="1389">
        <f t="array" ref="M1484" xml:space="preserve"> SUM(EF[CO2] * (EF[SATIM Code]= $D1484))  * (SUM( ($A$768:$A$846=$A1484) * ($D$768:$D$846= $D1484) * (M$768:M$846) )  +  SUM( ($A$933:$A$1011=$A1484) * ($D$933:$D$1011= $D1484) * (M$933:M$1011) ) + SUM( ($E$1016:$E$1039=$E$1427)*($A$1016:$A$1039=$A1484) * ($D$1016:$D$1039=$D1484)*(M$1016:M$1039) ) )</f>
        <v>0.2713884029353707</v>
      </c>
      <c r="N1484" s="1389">
        <f t="array" ref="N1484" xml:space="preserve"> SUM(EF[CO2] * (EF[SATIM Code]= $D1484))  * (SUM( ($A$768:$A$846=$A1484) * ($D$768:$D$846= $D1484) * (N$768:N$846) )  +  SUM( ($A$933:$A$1011=$A1484) * ($D$933:$D$1011= $D1484) * (N$933:N$1011) ) + SUM( ($E$1016:$E$1039=$E$1427)*($A$1016:$A$1039=$A1484) * ($D$1016:$D$1039=$D1484)*(N$1016:N$1039) ) )</f>
        <v>0.32608112818121182</v>
      </c>
      <c r="O1484" s="1389">
        <f t="array" ref="O1484" xml:space="preserve"> SUM(EF[CO2] * (EF[SATIM Code]= $D1484))  * (SUM( ($A$768:$A$846=$A1484) * ($D$768:$D$846= $D1484) * (O$768:O$846) )  +  SUM( ($A$933:$A$1011=$A1484) * ($D$933:$D$1011= $D1484) * (O$933:O$1011) ) + SUM( ($E$1016:$E$1039=$E$1427)*($A$1016:$A$1039=$A1484) * ($D$1016:$D$1039=$D1484)*(O$1016:O$1039) ) )</f>
        <v>0.38077385342705289</v>
      </c>
    </row>
    <row r="1485" spans="1:15" s="19" customFormat="1" hidden="1" outlineLevel="1">
      <c r="A1485" s="19" t="str">
        <f t="shared" si="291"/>
        <v>FB</v>
      </c>
      <c r="B1485" s="1400" t="str">
        <f>INDEX(EF[UK Vector],MATCH(D1485,EF[SATIM Code],0))</f>
        <v>V.04</v>
      </c>
      <c r="C1485" s="1401" t="str">
        <f>INDEX(Vectors[Description], MATCH($B1485, Vectors[Code], 0))</f>
        <v>Liquid hydrocarbons</v>
      </c>
      <c r="D1485" s="1406" t="s">
        <v>885</v>
      </c>
      <c r="E1485" s="1393"/>
      <c r="F1485" s="1389">
        <f t="array" ref="F1485" xml:space="preserve"> SUM(EF[CO2] * (EF[SATIM Code]= $D1485))  * (SUM( ($A$768:$A$846=$A1485) * ($D$768:$D$846= $D1485) * (F$768:F$846) )  +  SUM( ($A$933:$A$1011=$A1485) * ($D$933:$D$1011= $D1485) * (F$933:F$1011) ) + SUM( ($E$1016:$E$1039=$E$1427)*($A$1016:$A$1039=$A1485) * ($D$1016:$D$1039=$D1485)*(F$1016:F$1039) ) )</f>
        <v>0</v>
      </c>
      <c r="G1485" s="1389">
        <f t="array" ref="G1485" xml:space="preserve"> SUM(EF[CO2] * (EF[SATIM Code]= $D1485))  * (SUM( ($A$768:$A$846=$A1485) * ($D$768:$D$846= $D1485) * (G$768:G$846) )  +  SUM( ($A$933:$A$1011=$A1485) * ($D$933:$D$1011= $D1485) * (G$933:G$1011) ) + SUM( ($E$1016:$E$1039=$E$1427)*($A$1016:$A$1039=$A1485) * ($D$1016:$D$1039=$D1485)*(G$1016:G$1039) ) )</f>
        <v>0</v>
      </c>
      <c r="H1485" s="1389">
        <f t="array" ref="H1485" xml:space="preserve"> SUM(EF[CO2] * (EF[SATIM Code]= $D1485))  * (SUM( ($A$768:$A$846=$A1485) * ($D$768:$D$846= $D1485) * (H$768:H$846) )  +  SUM( ($A$933:$A$1011=$A1485) * ($D$933:$D$1011= $D1485) * (H$933:H$1011) ) + SUM( ($E$1016:$E$1039=$E$1427)*($A$1016:$A$1039=$A1485) * ($D$1016:$D$1039=$D1485)*(H$1016:H$1039) ) )</f>
        <v>0</v>
      </c>
      <c r="I1485" s="1389">
        <f t="array" ref="I1485" xml:space="preserve"> SUM(EF[CO2] * (EF[SATIM Code]= $D1485))  * (SUM( ($A$768:$A$846=$A1485) * ($D$768:$D$846= $D1485) * (I$768:I$846) )  +  SUM( ($A$933:$A$1011=$A1485) * ($D$933:$D$1011= $D1485) * (I$933:I$1011) ) + SUM( ($E$1016:$E$1039=$E$1427)*($A$1016:$A$1039=$A1485) * ($D$1016:$D$1039=$D1485)*(I$1016:I$1039) ) )</f>
        <v>0</v>
      </c>
      <c r="J1485" s="1389">
        <f t="array" ref="J1485" xml:space="preserve"> SUM(EF[CO2] * (EF[SATIM Code]= $D1485))  * (SUM( ($A$768:$A$846=$A1485) * ($D$768:$D$846= $D1485) * (J$768:J$846) )  +  SUM( ($A$933:$A$1011=$A1485) * ($D$933:$D$1011= $D1485) * (J$933:J$1011) ) + SUM( ($E$1016:$E$1039=$E$1427)*($A$1016:$A$1039=$A1485) * ($D$1016:$D$1039=$D1485)*(J$1016:J$1039) ) )</f>
        <v>0</v>
      </c>
      <c r="K1485" s="1389">
        <f t="array" ref="K1485" xml:space="preserve"> SUM(EF[CO2] * (EF[SATIM Code]= $D1485))  * (SUM( ($A$768:$A$846=$A1485) * ($D$768:$D$846= $D1485) * (K$768:K$846) )  +  SUM( ($A$933:$A$1011=$A1485) * ($D$933:$D$1011= $D1485) * (K$933:K$1011) ) + SUM( ($E$1016:$E$1039=$E$1427)*($A$1016:$A$1039=$A1485) * ($D$1016:$D$1039=$D1485)*(K$1016:K$1039) ) )</f>
        <v>0</v>
      </c>
      <c r="L1485" s="1389">
        <f t="array" ref="L1485" xml:space="preserve"> SUM(EF[CO2] * (EF[SATIM Code]= $D1485))  * (SUM( ($A$768:$A$846=$A1485) * ($D$768:$D$846= $D1485) * (L$768:L$846) )  +  SUM( ($A$933:$A$1011=$A1485) * ($D$933:$D$1011= $D1485) * (L$933:L$1011) ) + SUM( ($E$1016:$E$1039=$E$1427)*($A$1016:$A$1039=$A1485) * ($D$1016:$D$1039=$D1485)*(L$1016:L$1039) ) )</f>
        <v>0</v>
      </c>
      <c r="M1485" s="1389">
        <f t="array" ref="M1485" xml:space="preserve"> SUM(EF[CO2] * (EF[SATIM Code]= $D1485))  * (SUM( ($A$768:$A$846=$A1485) * ($D$768:$D$846= $D1485) * (M$768:M$846) )  +  SUM( ($A$933:$A$1011=$A1485) * ($D$933:$D$1011= $D1485) * (M$933:M$1011) ) + SUM( ($E$1016:$E$1039=$E$1427)*($A$1016:$A$1039=$A1485) * ($D$1016:$D$1039=$D1485)*(M$1016:M$1039) ) )</f>
        <v>0</v>
      </c>
      <c r="N1485" s="1389">
        <f t="array" ref="N1485" xml:space="preserve"> SUM(EF[CO2] * (EF[SATIM Code]= $D1485))  * (SUM( ($A$768:$A$846=$A1485) * ($D$768:$D$846= $D1485) * (N$768:N$846) )  +  SUM( ($A$933:$A$1011=$A1485) * ($D$933:$D$1011= $D1485) * (N$933:N$1011) ) + SUM( ($E$1016:$E$1039=$E$1427)*($A$1016:$A$1039=$A1485) * ($D$1016:$D$1039=$D1485)*(N$1016:N$1039) ) )</f>
        <v>0</v>
      </c>
      <c r="O1485" s="1389">
        <f t="array" ref="O1485" xml:space="preserve"> SUM(EF[CO2] * (EF[SATIM Code]= $D1485))  * (SUM( ($A$768:$A$846=$A1485) * ($D$768:$D$846= $D1485) * (O$768:O$846) )  +  SUM( ($A$933:$A$1011=$A1485) * ($D$933:$D$1011= $D1485) * (O$933:O$1011) ) + SUM( ($E$1016:$E$1039=$E$1427)*($A$1016:$A$1039=$A1485) * ($D$1016:$D$1039=$D1485)*(O$1016:O$1039) ) )</f>
        <v>0</v>
      </c>
    </row>
    <row r="1486" spans="1:15" s="19" customFormat="1" hidden="1" outlineLevel="1">
      <c r="A1486" s="19" t="str">
        <f t="shared" si="291"/>
        <v>FB</v>
      </c>
      <c r="B1486" s="1400" t="str">
        <f>INDEX(EF[UK Vector],MATCH(D1486,EF[SATIM Code],0))</f>
        <v>V.04</v>
      </c>
      <c r="C1486" s="1401" t="str">
        <f>INDEX(Vectors[Description], MATCH($B1486, Vectors[Code], 0))</f>
        <v>Liquid hydrocarbons</v>
      </c>
      <c r="D1486" s="1391" t="s">
        <v>886</v>
      </c>
      <c r="E1486" s="1393"/>
      <c r="F1486" s="1389">
        <f t="array" ref="F1486" xml:space="preserve"> SUM(EF[CO2] * (EF[SATIM Code]= $D1486))  * (SUM( ($A$768:$A$846=$A1486) * ($D$768:$D$846= $D1486) * (F$768:F$846) )  +  SUM( ($A$933:$A$1011=$A1486) * ($D$933:$D$1011= $D1486) * (F$933:F$1011) ) + SUM( ($E$1016:$E$1039=$E$1427)*($A$1016:$A$1039=$A1486) * ($D$1016:$D$1039=$D1486)*(F$1016:F$1039) ) )</f>
        <v>0</v>
      </c>
      <c r="G1486" s="1389">
        <f t="array" ref="G1486" xml:space="preserve"> SUM(EF[CO2] * (EF[SATIM Code]= $D1486))  * (SUM( ($A$768:$A$846=$A1486) * ($D$768:$D$846= $D1486) * (G$768:G$846) )  +  SUM( ($A$933:$A$1011=$A1486) * ($D$933:$D$1011= $D1486) * (G$933:G$1011) ) + SUM( ($E$1016:$E$1039=$E$1427)*($A$1016:$A$1039=$A1486) * ($D$1016:$D$1039=$D1486)*(G$1016:G$1039) ) )</f>
        <v>0</v>
      </c>
      <c r="H1486" s="1389">
        <f t="array" ref="H1486" xml:space="preserve"> SUM(EF[CO2] * (EF[SATIM Code]= $D1486))  * (SUM( ($A$768:$A$846=$A1486) * ($D$768:$D$846= $D1486) * (H$768:H$846) )  +  SUM( ($A$933:$A$1011=$A1486) * ($D$933:$D$1011= $D1486) * (H$933:H$1011) ) + SUM( ($E$1016:$E$1039=$E$1427)*($A$1016:$A$1039=$A1486) * ($D$1016:$D$1039=$D1486)*(H$1016:H$1039) ) )</f>
        <v>0</v>
      </c>
      <c r="I1486" s="1389">
        <f t="array" ref="I1486" xml:space="preserve"> SUM(EF[CO2] * (EF[SATIM Code]= $D1486))  * (SUM( ($A$768:$A$846=$A1486) * ($D$768:$D$846= $D1486) * (I$768:I$846) )  +  SUM( ($A$933:$A$1011=$A1486) * ($D$933:$D$1011= $D1486) * (I$933:I$1011) ) + SUM( ($E$1016:$E$1039=$E$1427)*($A$1016:$A$1039=$A1486) * ($D$1016:$D$1039=$D1486)*(I$1016:I$1039) ) )</f>
        <v>0</v>
      </c>
      <c r="J1486" s="1389">
        <f t="array" ref="J1486" xml:space="preserve"> SUM(EF[CO2] * (EF[SATIM Code]= $D1486))  * (SUM( ($A$768:$A$846=$A1486) * ($D$768:$D$846= $D1486) * (J$768:J$846) )  +  SUM( ($A$933:$A$1011=$A1486) * ($D$933:$D$1011= $D1486) * (J$933:J$1011) ) + SUM( ($E$1016:$E$1039=$E$1427)*($A$1016:$A$1039=$A1486) * ($D$1016:$D$1039=$D1486)*(J$1016:J$1039) ) )</f>
        <v>0</v>
      </c>
      <c r="K1486" s="1389">
        <f t="array" ref="K1486" xml:space="preserve"> SUM(EF[CO2] * (EF[SATIM Code]= $D1486))  * (SUM( ($A$768:$A$846=$A1486) * ($D$768:$D$846= $D1486) * (K$768:K$846) )  +  SUM( ($A$933:$A$1011=$A1486) * ($D$933:$D$1011= $D1486) * (K$933:K$1011) ) + SUM( ($E$1016:$E$1039=$E$1427)*($A$1016:$A$1039=$A1486) * ($D$1016:$D$1039=$D1486)*(K$1016:K$1039) ) )</f>
        <v>0</v>
      </c>
      <c r="L1486" s="1389">
        <f t="array" ref="L1486" xml:space="preserve"> SUM(EF[CO2] * (EF[SATIM Code]= $D1486))  * (SUM( ($A$768:$A$846=$A1486) * ($D$768:$D$846= $D1486) * (L$768:L$846) )  +  SUM( ($A$933:$A$1011=$A1486) * ($D$933:$D$1011= $D1486) * (L$933:L$1011) ) + SUM( ($E$1016:$E$1039=$E$1427)*($A$1016:$A$1039=$A1486) * ($D$1016:$D$1039=$D1486)*(L$1016:L$1039) ) )</f>
        <v>0</v>
      </c>
      <c r="M1486" s="1389">
        <f t="array" ref="M1486" xml:space="preserve"> SUM(EF[CO2] * (EF[SATIM Code]= $D1486))  * (SUM( ($A$768:$A$846=$A1486) * ($D$768:$D$846= $D1486) * (M$768:M$846) )  +  SUM( ($A$933:$A$1011=$A1486) * ($D$933:$D$1011= $D1486) * (M$933:M$1011) ) + SUM( ($E$1016:$E$1039=$E$1427)*($A$1016:$A$1039=$A1486) * ($D$1016:$D$1039=$D1486)*(M$1016:M$1039) ) )</f>
        <v>0</v>
      </c>
      <c r="N1486" s="1389">
        <f t="array" ref="N1486" xml:space="preserve"> SUM(EF[CO2] * (EF[SATIM Code]= $D1486))  * (SUM( ($A$768:$A$846=$A1486) * ($D$768:$D$846= $D1486) * (N$768:N$846) )  +  SUM( ($A$933:$A$1011=$A1486) * ($D$933:$D$1011= $D1486) * (N$933:N$1011) ) + SUM( ($E$1016:$E$1039=$E$1427)*($A$1016:$A$1039=$A1486) * ($D$1016:$D$1039=$D1486)*(N$1016:N$1039) ) )</f>
        <v>0</v>
      </c>
      <c r="O1486" s="1389">
        <f t="array" ref="O1486" xml:space="preserve"> SUM(EF[CO2] * (EF[SATIM Code]= $D1486))  * (SUM( ($A$768:$A$846=$A1486) * ($D$768:$D$846= $D1486) * (O$768:O$846) )  +  SUM( ($A$933:$A$1011=$A1486) * ($D$933:$D$1011= $D1486) * (O$933:O$1011) ) + SUM( ($E$1016:$E$1039=$E$1427)*($A$1016:$A$1039=$A1486) * ($D$1016:$D$1039=$D1486)*(O$1016:O$1039) ) )</f>
        <v>0</v>
      </c>
    </row>
    <row r="1487" spans="1:15" s="19" customFormat="1" hidden="1" outlineLevel="1">
      <c r="A1487" s="19" t="str">
        <f t="shared" si="291"/>
        <v>FB</v>
      </c>
      <c r="B1487" s="1400" t="str">
        <f>INDEX(EF[UK Vector],MATCH(D1487,EF[SATIM Code],0))</f>
        <v>V.04</v>
      </c>
      <c r="C1487" s="1401" t="str">
        <f>INDEX(Vectors[Description], MATCH($B1487, Vectors[Code], 0))</f>
        <v>Liquid hydrocarbons</v>
      </c>
      <c r="D1487" s="1406" t="s">
        <v>887</v>
      </c>
      <c r="E1487" s="1393"/>
      <c r="F1487" s="1389">
        <f t="array" ref="F1487" xml:space="preserve"> SUM(EF[CO2] * (EF[SATIM Code]= $D1487))  * (SUM( ($A$768:$A$846=$A1487) * ($D$768:$D$846= $D1487) * (F$768:F$846) )  +  SUM( ($A$933:$A$1011=$A1487) * ($D$933:$D$1011= $D1487) * (F$933:F$1011) ) + SUM( ($E$1016:$E$1039=$E$1427)*($A$1016:$A$1039=$A1487) * ($D$1016:$D$1039=$D1487)*(F$1016:F$1039) ) )</f>
        <v>0</v>
      </c>
      <c r="G1487" s="1389">
        <f t="array" ref="G1487" xml:space="preserve"> SUM(EF[CO2] * (EF[SATIM Code]= $D1487))  * (SUM( ($A$768:$A$846=$A1487) * ($D$768:$D$846= $D1487) * (G$768:G$846) )  +  SUM( ($A$933:$A$1011=$A1487) * ($D$933:$D$1011= $D1487) * (G$933:G$1011) ) + SUM( ($E$1016:$E$1039=$E$1427)*($A$1016:$A$1039=$A1487) * ($D$1016:$D$1039=$D1487)*(G$1016:G$1039) ) )</f>
        <v>0</v>
      </c>
      <c r="H1487" s="1389">
        <f t="array" ref="H1487" xml:space="preserve"> SUM(EF[CO2] * (EF[SATIM Code]= $D1487))  * (SUM( ($A$768:$A$846=$A1487) * ($D$768:$D$846= $D1487) * (H$768:H$846) )  +  SUM( ($A$933:$A$1011=$A1487) * ($D$933:$D$1011= $D1487) * (H$933:H$1011) ) + SUM( ($E$1016:$E$1039=$E$1427)*($A$1016:$A$1039=$A1487) * ($D$1016:$D$1039=$D1487)*(H$1016:H$1039) ) )</f>
        <v>0</v>
      </c>
      <c r="I1487" s="1389">
        <f t="array" ref="I1487" xml:space="preserve"> SUM(EF[CO2] * (EF[SATIM Code]= $D1487))  * (SUM( ($A$768:$A$846=$A1487) * ($D$768:$D$846= $D1487) * (I$768:I$846) )  +  SUM( ($A$933:$A$1011=$A1487) * ($D$933:$D$1011= $D1487) * (I$933:I$1011) ) + SUM( ($E$1016:$E$1039=$E$1427)*($A$1016:$A$1039=$A1487) * ($D$1016:$D$1039=$D1487)*(I$1016:I$1039) ) )</f>
        <v>0</v>
      </c>
      <c r="J1487" s="1389">
        <f t="array" ref="J1487" xml:space="preserve"> SUM(EF[CO2] * (EF[SATIM Code]= $D1487))  * (SUM( ($A$768:$A$846=$A1487) * ($D$768:$D$846= $D1487) * (J$768:J$846) )  +  SUM( ($A$933:$A$1011=$A1487) * ($D$933:$D$1011= $D1487) * (J$933:J$1011) ) + SUM( ($E$1016:$E$1039=$E$1427)*($A$1016:$A$1039=$A1487) * ($D$1016:$D$1039=$D1487)*(J$1016:J$1039) ) )</f>
        <v>0</v>
      </c>
      <c r="K1487" s="1389">
        <f t="array" ref="K1487" xml:space="preserve"> SUM(EF[CO2] * (EF[SATIM Code]= $D1487))  * (SUM( ($A$768:$A$846=$A1487) * ($D$768:$D$846= $D1487) * (K$768:K$846) )  +  SUM( ($A$933:$A$1011=$A1487) * ($D$933:$D$1011= $D1487) * (K$933:K$1011) ) + SUM( ($E$1016:$E$1039=$E$1427)*($A$1016:$A$1039=$A1487) * ($D$1016:$D$1039=$D1487)*(K$1016:K$1039) ) )</f>
        <v>0</v>
      </c>
      <c r="L1487" s="1389">
        <f t="array" ref="L1487" xml:space="preserve"> SUM(EF[CO2] * (EF[SATIM Code]= $D1487))  * (SUM( ($A$768:$A$846=$A1487) * ($D$768:$D$846= $D1487) * (L$768:L$846) )  +  SUM( ($A$933:$A$1011=$A1487) * ($D$933:$D$1011= $D1487) * (L$933:L$1011) ) + SUM( ($E$1016:$E$1039=$E$1427)*($A$1016:$A$1039=$A1487) * ($D$1016:$D$1039=$D1487)*(L$1016:L$1039) ) )</f>
        <v>0</v>
      </c>
      <c r="M1487" s="1389">
        <f t="array" ref="M1487" xml:space="preserve"> SUM(EF[CO2] * (EF[SATIM Code]= $D1487))  * (SUM( ($A$768:$A$846=$A1487) * ($D$768:$D$846= $D1487) * (M$768:M$846) )  +  SUM( ($A$933:$A$1011=$A1487) * ($D$933:$D$1011= $D1487) * (M$933:M$1011) ) + SUM( ($E$1016:$E$1039=$E$1427)*($A$1016:$A$1039=$A1487) * ($D$1016:$D$1039=$D1487)*(M$1016:M$1039) ) )</f>
        <v>0</v>
      </c>
      <c r="N1487" s="1389">
        <f t="array" ref="N1487" xml:space="preserve"> SUM(EF[CO2] * (EF[SATIM Code]= $D1487))  * (SUM( ($A$768:$A$846=$A1487) * ($D$768:$D$846= $D1487) * (N$768:N$846) )  +  SUM( ($A$933:$A$1011=$A1487) * ($D$933:$D$1011= $D1487) * (N$933:N$1011) ) + SUM( ($E$1016:$E$1039=$E$1427)*($A$1016:$A$1039=$A1487) * ($D$1016:$D$1039=$D1487)*(N$1016:N$1039) ) )</f>
        <v>0</v>
      </c>
      <c r="O1487" s="1389">
        <f t="array" ref="O1487" xml:space="preserve"> SUM(EF[CO2] * (EF[SATIM Code]= $D1487))  * (SUM( ($A$768:$A$846=$A1487) * ($D$768:$D$846= $D1487) * (O$768:O$846) )  +  SUM( ($A$933:$A$1011=$A1487) * ($D$933:$D$1011= $D1487) * (O$933:O$1011) ) + SUM( ($E$1016:$E$1039=$E$1427)*($A$1016:$A$1039=$A1487) * ($D$1016:$D$1039=$D1487)*(O$1016:O$1039) ) )</f>
        <v>0</v>
      </c>
    </row>
    <row r="1488" spans="1:15" s="19" customFormat="1" hidden="1" outlineLevel="1">
      <c r="A1488" s="19" t="str">
        <f t="shared" si="291"/>
        <v>FB</v>
      </c>
      <c r="B1488" s="1400" t="str">
        <f>INDEX(EF[UK Vector],MATCH(D1488,EF[SATIM Code],0))</f>
        <v>V.09</v>
      </c>
      <c r="C1488" s="1401" t="str">
        <f>INDEX(Vectors[Description], MATCH($B1488, Vectors[Code], 0))</f>
        <v>Dry biomass and waste</v>
      </c>
      <c r="D1488" s="1406" t="s">
        <v>888</v>
      </c>
      <c r="E1488" s="1393"/>
      <c r="F1488" s="1389">
        <f t="array" ref="F1488" xml:space="preserve"> SUM(EF[CO2] * (EF[SATIM Code]= $D1488))  * (SUM( ($A$768:$A$846=$A1488) * ($D$768:$D$846= $D1488) * (F$768:F$846) )  +  SUM( ($A$933:$A$1011=$A1488) * ($D$933:$D$1011= $D1488) * (F$933:F$1011) ) + SUM( ($E$1016:$E$1039=$E$1427)*($A$1016:$A$1039=$A1488) * ($D$1016:$D$1039=$D1488)*(F$1016:F$1039) ) )</f>
        <v>0</v>
      </c>
      <c r="G1488" s="1389">
        <f t="array" ref="G1488" xml:space="preserve"> SUM(EF[CO2] * (EF[SATIM Code]= $D1488))  * (SUM( ($A$768:$A$846=$A1488) * ($D$768:$D$846= $D1488) * (G$768:G$846) )  +  SUM( ($A$933:$A$1011=$A1488) * ($D$933:$D$1011= $D1488) * (G$933:G$1011) ) + SUM( ($E$1016:$E$1039=$E$1427)*($A$1016:$A$1039=$A1488) * ($D$1016:$D$1039=$D1488)*(G$1016:G$1039) ) )</f>
        <v>0</v>
      </c>
      <c r="H1488" s="1389">
        <f t="array" ref="H1488" xml:space="preserve"> SUM(EF[CO2] * (EF[SATIM Code]= $D1488))  * (SUM( ($A$768:$A$846=$A1488) * ($D$768:$D$846= $D1488) * (H$768:H$846) )  +  SUM( ($A$933:$A$1011=$A1488) * ($D$933:$D$1011= $D1488) * (H$933:H$1011) ) + SUM( ($E$1016:$E$1039=$E$1427)*($A$1016:$A$1039=$A1488) * ($D$1016:$D$1039=$D1488)*(H$1016:H$1039) ) )</f>
        <v>0</v>
      </c>
      <c r="I1488" s="1389">
        <f t="array" ref="I1488" xml:space="preserve"> SUM(EF[CO2] * (EF[SATIM Code]= $D1488))  * (SUM( ($A$768:$A$846=$A1488) * ($D$768:$D$846= $D1488) * (I$768:I$846) )  +  SUM( ($A$933:$A$1011=$A1488) * ($D$933:$D$1011= $D1488) * (I$933:I$1011) ) + SUM( ($E$1016:$E$1039=$E$1427)*($A$1016:$A$1039=$A1488) * ($D$1016:$D$1039=$D1488)*(I$1016:I$1039) ) )</f>
        <v>0</v>
      </c>
      <c r="J1488" s="1389">
        <f t="array" ref="J1488" xml:space="preserve"> SUM(EF[CO2] * (EF[SATIM Code]= $D1488))  * (SUM( ($A$768:$A$846=$A1488) * ($D$768:$D$846= $D1488) * (J$768:J$846) )  +  SUM( ($A$933:$A$1011=$A1488) * ($D$933:$D$1011= $D1488) * (J$933:J$1011) ) + SUM( ($E$1016:$E$1039=$E$1427)*($A$1016:$A$1039=$A1488) * ($D$1016:$D$1039=$D1488)*(J$1016:J$1039) ) )</f>
        <v>0</v>
      </c>
      <c r="K1488" s="1389">
        <f t="array" ref="K1488" xml:space="preserve"> SUM(EF[CO2] * (EF[SATIM Code]= $D1488))  * (SUM( ($A$768:$A$846=$A1488) * ($D$768:$D$846= $D1488) * (K$768:K$846) )  +  SUM( ($A$933:$A$1011=$A1488) * ($D$933:$D$1011= $D1488) * (K$933:K$1011) ) + SUM( ($E$1016:$E$1039=$E$1427)*($A$1016:$A$1039=$A1488) * ($D$1016:$D$1039=$D1488)*(K$1016:K$1039) ) )</f>
        <v>0</v>
      </c>
      <c r="L1488" s="1389">
        <f t="array" ref="L1488" xml:space="preserve"> SUM(EF[CO2] * (EF[SATIM Code]= $D1488))  * (SUM( ($A$768:$A$846=$A1488) * ($D$768:$D$846= $D1488) * (L$768:L$846) )  +  SUM( ($A$933:$A$1011=$A1488) * ($D$933:$D$1011= $D1488) * (L$933:L$1011) ) + SUM( ($E$1016:$E$1039=$E$1427)*($A$1016:$A$1039=$A1488) * ($D$1016:$D$1039=$D1488)*(L$1016:L$1039) ) )</f>
        <v>0</v>
      </c>
      <c r="M1488" s="1389">
        <f t="array" ref="M1488" xml:space="preserve"> SUM(EF[CO2] * (EF[SATIM Code]= $D1488))  * (SUM( ($A$768:$A$846=$A1488) * ($D$768:$D$846= $D1488) * (M$768:M$846) )  +  SUM( ($A$933:$A$1011=$A1488) * ($D$933:$D$1011= $D1488) * (M$933:M$1011) ) + SUM( ($E$1016:$E$1039=$E$1427)*($A$1016:$A$1039=$A1488) * ($D$1016:$D$1039=$D1488)*(M$1016:M$1039) ) )</f>
        <v>0</v>
      </c>
      <c r="N1488" s="1389">
        <f t="array" ref="N1488" xml:space="preserve"> SUM(EF[CO2] * (EF[SATIM Code]= $D1488))  * (SUM( ($A$768:$A$846=$A1488) * ($D$768:$D$846= $D1488) * (N$768:N$846) )  +  SUM( ($A$933:$A$1011=$A1488) * ($D$933:$D$1011= $D1488) * (N$933:N$1011) ) + SUM( ($E$1016:$E$1039=$E$1427)*($A$1016:$A$1039=$A1488) * ($D$1016:$D$1039=$D1488)*(N$1016:N$1039) ) )</f>
        <v>0</v>
      </c>
      <c r="O1488" s="1389">
        <f t="array" ref="O1488" xml:space="preserve"> SUM(EF[CO2] * (EF[SATIM Code]= $D1488))  * (SUM( ($A$768:$A$846=$A1488) * ($D$768:$D$846= $D1488) * (O$768:O$846) )  +  SUM( ($A$933:$A$1011=$A1488) * ($D$933:$D$1011= $D1488) * (O$933:O$1011) ) + SUM( ($E$1016:$E$1039=$E$1427)*($A$1016:$A$1039=$A1488) * ($D$1016:$D$1039=$D1488)*(O$1016:O$1039) ) )</f>
        <v>0</v>
      </c>
    </row>
    <row r="1489" spans="1:15" s="19" customFormat="1" hidden="1" outlineLevel="1">
      <c r="A1489" s="19" t="str">
        <f t="shared" si="291"/>
        <v>FB</v>
      </c>
      <c r="B1489" s="1400" t="str">
        <f>INDEX(EF[UK Vector],MATCH(D1489,EF[SATIM Code],0))</f>
        <v>V.09</v>
      </c>
      <c r="C1489" s="1401" t="str">
        <f>INDEX(Vectors[Description], MATCH($B1489, Vectors[Code], 0))</f>
        <v>Dry biomass and waste</v>
      </c>
      <c r="D1489" s="1388" t="s">
        <v>889</v>
      </c>
      <c r="E1489" s="1393"/>
      <c r="F1489" s="1389">
        <f t="array" ref="F1489" xml:space="preserve"> SUM(EF[CO2] * (EF[SATIM Code]= $D1489))  * (SUM( ($A$768:$A$846=$A1489) * ($D$768:$D$846= $D1489) * (F$768:F$846) )  +  SUM( ($A$933:$A$1011=$A1489) * ($D$933:$D$1011= $D1489) * (F$933:F$1011) ) + SUM( ($E$1016:$E$1039=$E$1427)*($A$1016:$A$1039=$A1489) * ($D$1016:$D$1039=$D1489)*(F$1016:F$1039) ) )</f>
        <v>0</v>
      </c>
      <c r="G1489" s="1389">
        <f t="array" ref="G1489" xml:space="preserve"> SUM(EF[CO2] * (EF[SATIM Code]= $D1489))  * (SUM( ($A$768:$A$846=$A1489) * ($D$768:$D$846= $D1489) * (G$768:G$846) )  +  SUM( ($A$933:$A$1011=$A1489) * ($D$933:$D$1011= $D1489) * (G$933:G$1011) ) + SUM( ($E$1016:$E$1039=$E$1427)*($A$1016:$A$1039=$A1489) * ($D$1016:$D$1039=$D1489)*(G$1016:G$1039) ) )</f>
        <v>0</v>
      </c>
      <c r="H1489" s="1389">
        <f t="array" ref="H1489" xml:space="preserve"> SUM(EF[CO2] * (EF[SATIM Code]= $D1489))  * (SUM( ($A$768:$A$846=$A1489) * ($D$768:$D$846= $D1489) * (H$768:H$846) )  +  SUM( ($A$933:$A$1011=$A1489) * ($D$933:$D$1011= $D1489) * (H$933:H$1011) ) + SUM( ($E$1016:$E$1039=$E$1427)*($A$1016:$A$1039=$A1489) * ($D$1016:$D$1039=$D1489)*(H$1016:H$1039) ) )</f>
        <v>0</v>
      </c>
      <c r="I1489" s="1389">
        <f t="array" ref="I1489" xml:space="preserve"> SUM(EF[CO2] * (EF[SATIM Code]= $D1489))  * (SUM( ($A$768:$A$846=$A1489) * ($D$768:$D$846= $D1489) * (I$768:I$846) )  +  SUM( ($A$933:$A$1011=$A1489) * ($D$933:$D$1011= $D1489) * (I$933:I$1011) ) + SUM( ($E$1016:$E$1039=$E$1427)*($A$1016:$A$1039=$A1489) * ($D$1016:$D$1039=$D1489)*(I$1016:I$1039) ) )</f>
        <v>0</v>
      </c>
      <c r="J1489" s="1389">
        <f t="array" ref="J1489" xml:space="preserve"> SUM(EF[CO2] * (EF[SATIM Code]= $D1489))  * (SUM( ($A$768:$A$846=$A1489) * ($D$768:$D$846= $D1489) * (J$768:J$846) )  +  SUM( ($A$933:$A$1011=$A1489) * ($D$933:$D$1011= $D1489) * (J$933:J$1011) ) + SUM( ($E$1016:$E$1039=$E$1427)*($A$1016:$A$1039=$A1489) * ($D$1016:$D$1039=$D1489)*(J$1016:J$1039) ) )</f>
        <v>0</v>
      </c>
      <c r="K1489" s="1389">
        <f t="array" ref="K1489" xml:space="preserve"> SUM(EF[CO2] * (EF[SATIM Code]= $D1489))  * (SUM( ($A$768:$A$846=$A1489) * ($D$768:$D$846= $D1489) * (K$768:K$846) )  +  SUM( ($A$933:$A$1011=$A1489) * ($D$933:$D$1011= $D1489) * (K$933:K$1011) ) + SUM( ($E$1016:$E$1039=$E$1427)*($A$1016:$A$1039=$A1489) * ($D$1016:$D$1039=$D1489)*(K$1016:K$1039) ) )</f>
        <v>0</v>
      </c>
      <c r="L1489" s="1389">
        <f t="array" ref="L1489" xml:space="preserve"> SUM(EF[CO2] * (EF[SATIM Code]= $D1489))  * (SUM( ($A$768:$A$846=$A1489) * ($D$768:$D$846= $D1489) * (L$768:L$846) )  +  SUM( ($A$933:$A$1011=$A1489) * ($D$933:$D$1011= $D1489) * (L$933:L$1011) ) + SUM( ($E$1016:$E$1039=$E$1427)*($A$1016:$A$1039=$A1489) * ($D$1016:$D$1039=$D1489)*(L$1016:L$1039) ) )</f>
        <v>0</v>
      </c>
      <c r="M1489" s="1389">
        <f t="array" ref="M1489" xml:space="preserve"> SUM(EF[CO2] * (EF[SATIM Code]= $D1489))  * (SUM( ($A$768:$A$846=$A1489) * ($D$768:$D$846= $D1489) * (M$768:M$846) )  +  SUM( ($A$933:$A$1011=$A1489) * ($D$933:$D$1011= $D1489) * (M$933:M$1011) ) + SUM( ($E$1016:$E$1039=$E$1427)*($A$1016:$A$1039=$A1489) * ($D$1016:$D$1039=$D1489)*(M$1016:M$1039) ) )</f>
        <v>0</v>
      </c>
      <c r="N1489" s="1389">
        <f t="array" ref="N1489" xml:space="preserve"> SUM(EF[CO2] * (EF[SATIM Code]= $D1489))  * (SUM( ($A$768:$A$846=$A1489) * ($D$768:$D$846= $D1489) * (N$768:N$846) )  +  SUM( ($A$933:$A$1011=$A1489) * ($D$933:$D$1011= $D1489) * (N$933:N$1011) ) + SUM( ($E$1016:$E$1039=$E$1427)*($A$1016:$A$1039=$A1489) * ($D$1016:$D$1039=$D1489)*(N$1016:N$1039) ) )</f>
        <v>0</v>
      </c>
      <c r="O1489" s="1389">
        <f t="array" ref="O1489" xml:space="preserve"> SUM(EF[CO2] * (EF[SATIM Code]= $D1489))  * (SUM( ($A$768:$A$846=$A1489) * ($D$768:$D$846= $D1489) * (O$768:O$846) )  +  SUM( ($A$933:$A$1011=$A1489) * ($D$933:$D$1011= $D1489) * (O$933:O$1011) ) + SUM( ($E$1016:$E$1039=$E$1427)*($A$1016:$A$1039=$A1489) * ($D$1016:$D$1039=$D1489)*(O$1016:O$1039) ) )</f>
        <v>0</v>
      </c>
    </row>
    <row r="1490" spans="1:15" s="19" customFormat="1" hidden="1" outlineLevel="1">
      <c r="A1490" s="19" t="str">
        <f t="shared" si="291"/>
        <v>FB</v>
      </c>
      <c r="B1490" s="1400" t="str">
        <f>INDEX(EF[UK Vector],MATCH(D1490,EF[SATIM Code],0))</f>
        <v>V.16</v>
      </c>
      <c r="C1490" s="1401" t="str">
        <f>INDEX(Vectors[Description], MATCH($B1490, Vectors[Code], 0))</f>
        <v>Other Waste</v>
      </c>
      <c r="D1490" s="1408" t="s">
        <v>890</v>
      </c>
      <c r="E1490" s="1393"/>
      <c r="F1490" s="1389">
        <f t="array" ref="F1490" xml:space="preserve"> SUM(EF[CO2] * (EF[SATIM Code]= $D1490))  * (SUM( ($A$768:$A$846=$A1490) * ($D$768:$D$846= $D1490) * (F$768:F$846) )  +  SUM( ($A$933:$A$1011=$A1490) * ($D$933:$D$1011= $D1490) * (F$933:F$1011) ) + SUM( ($E$1016:$E$1039=$E$1427)*($A$1016:$A$1039=$A1490) * ($D$1016:$D$1039=$D1490)*(F$1016:F$1039) ) )</f>
        <v>0</v>
      </c>
      <c r="G1490" s="1389">
        <f t="array" ref="G1490" xml:space="preserve"> SUM(EF[CO2] * (EF[SATIM Code]= $D1490))  * (SUM( ($A$768:$A$846=$A1490) * ($D$768:$D$846= $D1490) * (G$768:G$846) )  +  SUM( ($A$933:$A$1011=$A1490) * ($D$933:$D$1011= $D1490) * (G$933:G$1011) ) + SUM( ($E$1016:$E$1039=$E$1427)*($A$1016:$A$1039=$A1490) * ($D$1016:$D$1039=$D1490)*(G$1016:G$1039) ) )</f>
        <v>0</v>
      </c>
      <c r="H1490" s="1389">
        <f t="array" ref="H1490" xml:space="preserve"> SUM(EF[CO2] * (EF[SATIM Code]= $D1490))  * (SUM( ($A$768:$A$846=$A1490) * ($D$768:$D$846= $D1490) * (H$768:H$846) )  +  SUM( ($A$933:$A$1011=$A1490) * ($D$933:$D$1011= $D1490) * (H$933:H$1011) ) + SUM( ($E$1016:$E$1039=$E$1427)*($A$1016:$A$1039=$A1490) * ($D$1016:$D$1039=$D1490)*(H$1016:H$1039) ) )</f>
        <v>0</v>
      </c>
      <c r="I1490" s="1389">
        <f t="array" ref="I1490" xml:space="preserve"> SUM(EF[CO2] * (EF[SATIM Code]= $D1490))  * (SUM( ($A$768:$A$846=$A1490) * ($D$768:$D$846= $D1490) * (I$768:I$846) )  +  SUM( ($A$933:$A$1011=$A1490) * ($D$933:$D$1011= $D1490) * (I$933:I$1011) ) + SUM( ($E$1016:$E$1039=$E$1427)*($A$1016:$A$1039=$A1490) * ($D$1016:$D$1039=$D1490)*(I$1016:I$1039) ) )</f>
        <v>0</v>
      </c>
      <c r="J1490" s="1389">
        <f t="array" ref="J1490" xml:space="preserve"> SUM(EF[CO2] * (EF[SATIM Code]= $D1490))  * (SUM( ($A$768:$A$846=$A1490) * ($D$768:$D$846= $D1490) * (J$768:J$846) )  +  SUM( ($A$933:$A$1011=$A1490) * ($D$933:$D$1011= $D1490) * (J$933:J$1011) ) + SUM( ($E$1016:$E$1039=$E$1427)*($A$1016:$A$1039=$A1490) * ($D$1016:$D$1039=$D1490)*(J$1016:J$1039) ) )</f>
        <v>0</v>
      </c>
      <c r="K1490" s="1389">
        <f t="array" ref="K1490" xml:space="preserve"> SUM(EF[CO2] * (EF[SATIM Code]= $D1490))  * (SUM( ($A$768:$A$846=$A1490) * ($D$768:$D$846= $D1490) * (K$768:K$846) )  +  SUM( ($A$933:$A$1011=$A1490) * ($D$933:$D$1011= $D1490) * (K$933:K$1011) ) + SUM( ($E$1016:$E$1039=$E$1427)*($A$1016:$A$1039=$A1490) * ($D$1016:$D$1039=$D1490)*(K$1016:K$1039) ) )</f>
        <v>0</v>
      </c>
      <c r="L1490" s="1389">
        <f t="array" ref="L1490" xml:space="preserve"> SUM(EF[CO2] * (EF[SATIM Code]= $D1490))  * (SUM( ($A$768:$A$846=$A1490) * ($D$768:$D$846= $D1490) * (L$768:L$846) )  +  SUM( ($A$933:$A$1011=$A1490) * ($D$933:$D$1011= $D1490) * (L$933:L$1011) ) + SUM( ($E$1016:$E$1039=$E$1427)*($A$1016:$A$1039=$A1490) * ($D$1016:$D$1039=$D1490)*(L$1016:L$1039) ) )</f>
        <v>0</v>
      </c>
      <c r="M1490" s="1389">
        <f t="array" ref="M1490" xml:space="preserve"> SUM(EF[CO2] * (EF[SATIM Code]= $D1490))  * (SUM( ($A$768:$A$846=$A1490) * ($D$768:$D$846= $D1490) * (M$768:M$846) )  +  SUM( ($A$933:$A$1011=$A1490) * ($D$933:$D$1011= $D1490) * (M$933:M$1011) ) + SUM( ($E$1016:$E$1039=$E$1427)*($A$1016:$A$1039=$A1490) * ($D$1016:$D$1039=$D1490)*(M$1016:M$1039) ) )</f>
        <v>0</v>
      </c>
      <c r="N1490" s="1389">
        <f t="array" ref="N1490" xml:space="preserve"> SUM(EF[CO2] * (EF[SATIM Code]= $D1490))  * (SUM( ($A$768:$A$846=$A1490) * ($D$768:$D$846= $D1490) * (N$768:N$846) )  +  SUM( ($A$933:$A$1011=$A1490) * ($D$933:$D$1011= $D1490) * (N$933:N$1011) ) + SUM( ($E$1016:$E$1039=$E$1427)*($A$1016:$A$1039=$A1490) * ($D$1016:$D$1039=$D1490)*(N$1016:N$1039) ) )</f>
        <v>0</v>
      </c>
      <c r="O1490" s="1389">
        <f t="array" ref="O1490" xml:space="preserve"> SUM(EF[CO2] * (EF[SATIM Code]= $D1490))  * (SUM( ($A$768:$A$846=$A1490) * ($D$768:$D$846= $D1490) * (O$768:O$846) )  +  SUM( ($A$933:$A$1011=$A1490) * ($D$933:$D$1011= $D1490) * (O$933:O$1011) ) + SUM( ($E$1016:$E$1039=$E$1427)*($A$1016:$A$1039=$A1490) * ($D$1016:$D$1039=$D1490)*(O$1016:O$1039) ) )</f>
        <v>0</v>
      </c>
    </row>
    <row r="1491" spans="1:15" s="19" customFormat="1" hidden="1" outlineLevel="1">
      <c r="B1491" s="1393"/>
      <c r="C1491" s="1407" t="str">
        <f>D26</f>
        <v>Pulp &amp; Paper Products  -323</v>
      </c>
      <c r="D1491" s="1391"/>
      <c r="E1491" s="1393"/>
      <c r="F1491" s="1389">
        <f t="array" ref="F1491" xml:space="preserve"> SUM(EF[CO2] * (EF[SATIM Code]= $D1491))  * (SUM( ($A$768:$A$846=$A1491) * ($D$768:$D$846= $D1491) * (F$768:F$846) )  +  SUM( ($A$933:$A$1011=$A1491) * ($D$933:$D$1011= $D1491) * (F$933:F$1011) ) + SUM( ($E$1016:$E$1039=$E$1427)*($A$1016:$A$1039=$A1491) * ($D$1016:$D$1039=$D1491)*(F$1016:F$1039) ) )</f>
        <v>0</v>
      </c>
      <c r="G1491" s="1389">
        <f t="array" ref="G1491" xml:space="preserve"> SUM(EF[CO2] * (EF[SATIM Code]= $D1491))  * (SUM( ($A$768:$A$846=$A1491) * ($D$768:$D$846= $D1491) * (G$768:G$846) )  +  SUM( ($A$933:$A$1011=$A1491) * ($D$933:$D$1011= $D1491) * (G$933:G$1011) ) + SUM( ($E$1016:$E$1039=$E$1427)*($A$1016:$A$1039=$A1491) * ($D$1016:$D$1039=$D1491)*(G$1016:G$1039) ) )</f>
        <v>0</v>
      </c>
      <c r="H1491" s="1389">
        <f t="array" ref="H1491" xml:space="preserve"> SUM(EF[CO2] * (EF[SATIM Code]= $D1491))  * (SUM( ($A$768:$A$846=$A1491) * ($D$768:$D$846= $D1491) * (H$768:H$846) )  +  SUM( ($A$933:$A$1011=$A1491) * ($D$933:$D$1011= $D1491) * (H$933:H$1011) ) + SUM( ($E$1016:$E$1039=$E$1427)*($A$1016:$A$1039=$A1491) * ($D$1016:$D$1039=$D1491)*(H$1016:H$1039) ) )</f>
        <v>0</v>
      </c>
      <c r="I1491" s="1389">
        <f t="array" ref="I1491" xml:space="preserve"> SUM(EF[CO2] * (EF[SATIM Code]= $D1491))  * (SUM( ($A$768:$A$846=$A1491) * ($D$768:$D$846= $D1491) * (I$768:I$846) )  +  SUM( ($A$933:$A$1011=$A1491) * ($D$933:$D$1011= $D1491) * (I$933:I$1011) ) + SUM( ($E$1016:$E$1039=$E$1427)*($A$1016:$A$1039=$A1491) * ($D$1016:$D$1039=$D1491)*(I$1016:I$1039) ) )</f>
        <v>0</v>
      </c>
      <c r="J1491" s="1389">
        <f t="array" ref="J1491" xml:space="preserve"> SUM(EF[CO2] * (EF[SATIM Code]= $D1491))  * (SUM( ($A$768:$A$846=$A1491) * ($D$768:$D$846= $D1491) * (J$768:J$846) )  +  SUM( ($A$933:$A$1011=$A1491) * ($D$933:$D$1011= $D1491) * (J$933:J$1011) ) + SUM( ($E$1016:$E$1039=$E$1427)*($A$1016:$A$1039=$A1491) * ($D$1016:$D$1039=$D1491)*(J$1016:J$1039) ) )</f>
        <v>0</v>
      </c>
      <c r="K1491" s="1389">
        <f t="array" ref="K1491" xml:space="preserve"> SUM(EF[CO2] * (EF[SATIM Code]= $D1491))  * (SUM( ($A$768:$A$846=$A1491) * ($D$768:$D$846= $D1491) * (K$768:K$846) )  +  SUM( ($A$933:$A$1011=$A1491) * ($D$933:$D$1011= $D1491) * (K$933:K$1011) ) + SUM( ($E$1016:$E$1039=$E$1427)*($A$1016:$A$1039=$A1491) * ($D$1016:$D$1039=$D1491)*(K$1016:K$1039) ) )</f>
        <v>0</v>
      </c>
      <c r="L1491" s="1389">
        <f t="array" ref="L1491" xml:space="preserve"> SUM(EF[CO2] * (EF[SATIM Code]= $D1491))  * (SUM( ($A$768:$A$846=$A1491) * ($D$768:$D$846= $D1491) * (L$768:L$846) )  +  SUM( ($A$933:$A$1011=$A1491) * ($D$933:$D$1011= $D1491) * (L$933:L$1011) ) + SUM( ($E$1016:$E$1039=$E$1427)*($A$1016:$A$1039=$A1491) * ($D$1016:$D$1039=$D1491)*(L$1016:L$1039) ) )</f>
        <v>0</v>
      </c>
      <c r="M1491" s="1389">
        <f t="array" ref="M1491" xml:space="preserve"> SUM(EF[CO2] * (EF[SATIM Code]= $D1491))  * (SUM( ($A$768:$A$846=$A1491) * ($D$768:$D$846= $D1491) * (M$768:M$846) )  +  SUM( ($A$933:$A$1011=$A1491) * ($D$933:$D$1011= $D1491) * (M$933:M$1011) ) + SUM( ($E$1016:$E$1039=$E$1427)*($A$1016:$A$1039=$A1491) * ($D$1016:$D$1039=$D1491)*(M$1016:M$1039) ) )</f>
        <v>0</v>
      </c>
      <c r="N1491" s="1389">
        <f t="array" ref="N1491" xml:space="preserve"> SUM(EF[CO2] * (EF[SATIM Code]= $D1491))  * (SUM( ($A$768:$A$846=$A1491) * ($D$768:$D$846= $D1491) * (N$768:N$846) )  +  SUM( ($A$933:$A$1011=$A1491) * ($D$933:$D$1011= $D1491) * (N$933:N$1011) ) + SUM( ($E$1016:$E$1039=$E$1427)*($A$1016:$A$1039=$A1491) * ($D$1016:$D$1039=$D1491)*(N$1016:N$1039) ) )</f>
        <v>0</v>
      </c>
      <c r="O1491" s="1389">
        <f t="array" ref="O1491" xml:space="preserve"> SUM(EF[CO2] * (EF[SATIM Code]= $D1491))  * (SUM( ($A$768:$A$846=$A1491) * ($D$768:$D$846= $D1491) * (O$768:O$846) )  +  SUM( ($A$933:$A$1011=$A1491) * ($D$933:$D$1011= $D1491) * (O$933:O$1011) ) + SUM( ($E$1016:$E$1039=$E$1427)*($A$1016:$A$1039=$A1491) * ($D$1016:$D$1039=$D1491)*(O$1016:O$1039) ) )</f>
        <v>0</v>
      </c>
    </row>
    <row r="1492" spans="1:15" s="19" customFormat="1" hidden="1" outlineLevel="1">
      <c r="A1492" s="1438" t="str">
        <f>INDEX($C$20:$C$27,MATCH($C1491,$D$20:$D$27,0))</f>
        <v>PP</v>
      </c>
      <c r="B1492" s="1400" t="str">
        <f>INDEX(EF[UK Vector],MATCH(D1492,EF[SATIM Code],0))</f>
        <v>V.03</v>
      </c>
      <c r="C1492" s="1401" t="str">
        <f>INDEX(Vectors[Description], MATCH($B1492, Vectors[Code], 0))</f>
        <v>Solid hydrocarbons</v>
      </c>
      <c r="D1492" s="1391" t="s">
        <v>882</v>
      </c>
      <c r="E1492" s="1393"/>
      <c r="F1492" s="1389">
        <f t="array" ref="F1492" xml:space="preserve"> SUM(EF[CO2] * (EF[SATIM Code]= $D1492))  * (SUM( ($A$768:$A$846=$A1492) * ($D$768:$D$846= $D1492) * (F$768:F$846) )  +  SUM( ($A$933:$A$1011=$A1492) * ($D$933:$D$1011= $D1492) * (F$933:F$1011) ) + SUM( ($E$1016:$E$1039=$E$1427)*($A$1016:$A$1039=$A1492) * ($D$1016:$D$1039=$D1492)*(F$1016:F$1039) ) )</f>
        <v>4.6638117818536111</v>
      </c>
      <c r="G1492" s="1389">
        <f t="array" ref="G1492" xml:space="preserve"> SUM(EF[CO2] * (EF[SATIM Code]= $D1492))  * (SUM( ($A$768:$A$846=$A1492) * ($D$768:$D$846= $D1492) * (G$768:G$846) )  +  SUM( ($A$933:$A$1011=$A1492) * ($D$933:$D$1011= $D1492) * (G$933:G$1011) ) + SUM( ($E$1016:$E$1039=$E$1427)*($A$1016:$A$1039=$A1492) * ($D$1016:$D$1039=$D1492)*(G$1016:G$1039) ) )</f>
        <v>5.6821614019841178</v>
      </c>
      <c r="H1492" s="1389">
        <f t="array" ref="H1492" xml:space="preserve"> SUM(EF[CO2] * (EF[SATIM Code]= $D1492))  * (SUM( ($A$768:$A$846=$A1492) * ($D$768:$D$846= $D1492) * (H$768:H$846) )  +  SUM( ($A$933:$A$1011=$A1492) * ($D$933:$D$1011= $D1492) * (H$933:H$1011) ) + SUM( ($E$1016:$E$1039=$E$1427)*($A$1016:$A$1039=$A1492) * ($D$1016:$D$1039=$D1492)*(H$1016:H$1039) ) )</f>
        <v>7.164462160074037</v>
      </c>
      <c r="I1492" s="1389">
        <f t="array" ref="I1492" xml:space="preserve"> SUM(EF[CO2] * (EF[SATIM Code]= $D1492))  * (SUM( ($A$768:$A$846=$A1492) * ($D$768:$D$846= $D1492) * (I$768:I$846) )  +  SUM( ($A$933:$A$1011=$A1492) * ($D$933:$D$1011= $D1492) * (I$933:I$1011) ) + SUM( ($E$1016:$E$1039=$E$1427)*($A$1016:$A$1039=$A1492) * ($D$1016:$D$1039=$D1492)*(I$1016:I$1039) ) )</f>
        <v>8.6467629181639563</v>
      </c>
      <c r="J1492" s="1389">
        <f t="array" ref="J1492" xml:space="preserve"> SUM(EF[CO2] * (EF[SATIM Code]= $D1492))  * (SUM( ($A$768:$A$846=$A1492) * ($D$768:$D$846= $D1492) * (J$768:J$846) )  +  SUM( ($A$933:$A$1011=$A1492) * ($D$933:$D$1011= $D1492) * (J$933:J$1011) ) + SUM( ($E$1016:$E$1039=$E$1427)*($A$1016:$A$1039=$A1492) * ($D$1016:$D$1039=$D1492)*(J$1016:J$1039) ) )</f>
        <v>10.854272756705386</v>
      </c>
      <c r="K1492" s="1389">
        <f t="array" ref="K1492" xml:space="preserve"> SUM(EF[CO2] * (EF[SATIM Code]= $D1492))  * (SUM( ($A$768:$A$846=$A1492) * ($D$768:$D$846= $D1492) * (K$768:K$846) )  +  SUM( ($A$933:$A$1011=$A1492) * ($D$933:$D$1011= $D1492) * (K$933:K$1011) ) + SUM( ($E$1016:$E$1039=$E$1427)*($A$1016:$A$1039=$A1492) * ($D$1016:$D$1039=$D1492)*(K$1016:K$1039) ) )</f>
        <v>13.061782595246816</v>
      </c>
      <c r="L1492" s="1389">
        <f t="array" ref="L1492" xml:space="preserve"> SUM(EF[CO2] * (EF[SATIM Code]= $D1492))  * (SUM( ($A$768:$A$846=$A1492) * ($D$768:$D$846= $D1492) * (L$768:L$846) )  +  SUM( ($A$933:$A$1011=$A1492) * ($D$933:$D$1011= $D1492) * (L$933:L$1011) ) + SUM( ($E$1016:$E$1039=$E$1427)*($A$1016:$A$1039=$A1492) * ($D$1016:$D$1039=$D1492)*(L$1016:L$1039) ) )</f>
        <v>16.570918457731569</v>
      </c>
      <c r="M1492" s="1389">
        <f t="array" ref="M1492" xml:space="preserve"> SUM(EF[CO2] * (EF[SATIM Code]= $D1492))  * (SUM( ($A$768:$A$846=$A1492) * ($D$768:$D$846= $D1492) * (M$768:M$846) )  +  SUM( ($A$933:$A$1011=$A1492) * ($D$933:$D$1011= $D1492) * (M$933:M$1011) ) + SUM( ($E$1016:$E$1039=$E$1427)*($A$1016:$A$1039=$A1492) * ($D$1016:$D$1039=$D1492)*(M$1016:M$1039) ) )</f>
        <v>20.080054320216323</v>
      </c>
      <c r="N1492" s="1389">
        <f t="array" ref="N1492" xml:space="preserve"> SUM(EF[CO2] * (EF[SATIM Code]= $D1492))  * (SUM( ($A$768:$A$846=$A1492) * ($D$768:$D$846= $D1492) * (N$768:N$846) )  +  SUM( ($A$933:$A$1011=$A1492) * ($D$933:$D$1011= $D1492) * (N$933:N$1011) ) + SUM( ($E$1016:$E$1039=$E$1427)*($A$1016:$A$1039=$A1492) * ($D$1016:$D$1039=$D1492)*(N$1016:N$1039) ) )</f>
        <v>24.025332387659098</v>
      </c>
      <c r="O1492" s="1389">
        <f t="array" ref="O1492" xml:space="preserve"> SUM(EF[CO2] * (EF[SATIM Code]= $D1492))  * (SUM( ($A$768:$A$846=$A1492) * ($D$768:$D$846= $D1492) * (O$768:O$846) )  +  SUM( ($A$933:$A$1011=$A1492) * ($D$933:$D$1011= $D1492) * (O$933:O$1011) ) + SUM( ($E$1016:$E$1039=$E$1427)*($A$1016:$A$1039=$A1492) * ($D$1016:$D$1039=$D1492)*(O$1016:O$1039) ) )</f>
        <v>27.970610455101873</v>
      </c>
    </row>
    <row r="1493" spans="1:15" s="19" customFormat="1" hidden="1" outlineLevel="1">
      <c r="A1493" s="19" t="str">
        <f t="shared" ref="A1493:A1500" si="292">A1492</f>
        <v>PP</v>
      </c>
      <c r="B1493" s="1400" t="str">
        <f>INDEX(EF[UK Vector],MATCH(D1493,EF[SATIM Code],0))</f>
        <v>V.03</v>
      </c>
      <c r="C1493" s="1401" t="str">
        <f>INDEX(Vectors[Description], MATCH($B1493, Vectors[Code], 0))</f>
        <v>Solid hydrocarbons</v>
      </c>
      <c r="D1493" s="1391" t="s">
        <v>883</v>
      </c>
      <c r="E1493" s="1393"/>
      <c r="F1493" s="1389">
        <f t="array" ref="F1493" xml:space="preserve"> SUM(EF[CO2] * (EF[SATIM Code]= $D1493))  * (SUM( ($A$768:$A$846=$A1493) * ($D$768:$D$846= $D1493) * (F$768:F$846) )  +  SUM( ($A$933:$A$1011=$A1493) * ($D$933:$D$1011= $D1493) * (F$933:F$1011) ) + SUM( ($E$1016:$E$1039=$E$1427)*($A$1016:$A$1039=$A1493) * ($D$1016:$D$1039=$D1493)*(F$1016:F$1039) ) )</f>
        <v>0</v>
      </c>
      <c r="G1493" s="1389">
        <f t="array" ref="G1493" xml:space="preserve"> SUM(EF[CO2] * (EF[SATIM Code]= $D1493))  * (SUM( ($A$768:$A$846=$A1493) * ($D$768:$D$846= $D1493) * (G$768:G$846) )  +  SUM( ($A$933:$A$1011=$A1493) * ($D$933:$D$1011= $D1493) * (G$933:G$1011) ) + SUM( ($E$1016:$E$1039=$E$1427)*($A$1016:$A$1039=$A1493) * ($D$1016:$D$1039=$D1493)*(G$1016:G$1039) ) )</f>
        <v>0</v>
      </c>
      <c r="H1493" s="1389">
        <f t="array" ref="H1493" xml:space="preserve"> SUM(EF[CO2] * (EF[SATIM Code]= $D1493))  * (SUM( ($A$768:$A$846=$A1493) * ($D$768:$D$846= $D1493) * (H$768:H$846) )  +  SUM( ($A$933:$A$1011=$A1493) * ($D$933:$D$1011= $D1493) * (H$933:H$1011) ) + SUM( ($E$1016:$E$1039=$E$1427)*($A$1016:$A$1039=$A1493) * ($D$1016:$D$1039=$D1493)*(H$1016:H$1039) ) )</f>
        <v>0</v>
      </c>
      <c r="I1493" s="1389">
        <f t="array" ref="I1493" xml:space="preserve"> SUM(EF[CO2] * (EF[SATIM Code]= $D1493))  * (SUM( ($A$768:$A$846=$A1493) * ($D$768:$D$846= $D1493) * (I$768:I$846) )  +  SUM( ($A$933:$A$1011=$A1493) * ($D$933:$D$1011= $D1493) * (I$933:I$1011) ) + SUM( ($E$1016:$E$1039=$E$1427)*($A$1016:$A$1039=$A1493) * ($D$1016:$D$1039=$D1493)*(I$1016:I$1039) ) )</f>
        <v>0</v>
      </c>
      <c r="J1493" s="1389">
        <f t="array" ref="J1493" xml:space="preserve"> SUM(EF[CO2] * (EF[SATIM Code]= $D1493))  * (SUM( ($A$768:$A$846=$A1493) * ($D$768:$D$846= $D1493) * (J$768:J$846) )  +  SUM( ($A$933:$A$1011=$A1493) * ($D$933:$D$1011= $D1493) * (J$933:J$1011) ) + SUM( ($E$1016:$E$1039=$E$1427)*($A$1016:$A$1039=$A1493) * ($D$1016:$D$1039=$D1493)*(J$1016:J$1039) ) )</f>
        <v>0</v>
      </c>
      <c r="K1493" s="1389">
        <f t="array" ref="K1493" xml:space="preserve"> SUM(EF[CO2] * (EF[SATIM Code]= $D1493))  * (SUM( ($A$768:$A$846=$A1493) * ($D$768:$D$846= $D1493) * (K$768:K$846) )  +  SUM( ($A$933:$A$1011=$A1493) * ($D$933:$D$1011= $D1493) * (K$933:K$1011) ) + SUM( ($E$1016:$E$1039=$E$1427)*($A$1016:$A$1039=$A1493) * ($D$1016:$D$1039=$D1493)*(K$1016:K$1039) ) )</f>
        <v>0</v>
      </c>
      <c r="L1493" s="1389">
        <f t="array" ref="L1493" xml:space="preserve"> SUM(EF[CO2] * (EF[SATIM Code]= $D1493))  * (SUM( ($A$768:$A$846=$A1493) * ($D$768:$D$846= $D1493) * (L$768:L$846) )  +  SUM( ($A$933:$A$1011=$A1493) * ($D$933:$D$1011= $D1493) * (L$933:L$1011) ) + SUM( ($E$1016:$E$1039=$E$1427)*($A$1016:$A$1039=$A1493) * ($D$1016:$D$1039=$D1493)*(L$1016:L$1039) ) )</f>
        <v>0</v>
      </c>
      <c r="M1493" s="1389">
        <f t="array" ref="M1493" xml:space="preserve"> SUM(EF[CO2] * (EF[SATIM Code]= $D1493))  * (SUM( ($A$768:$A$846=$A1493) * ($D$768:$D$846= $D1493) * (M$768:M$846) )  +  SUM( ($A$933:$A$1011=$A1493) * ($D$933:$D$1011= $D1493) * (M$933:M$1011) ) + SUM( ($E$1016:$E$1039=$E$1427)*($A$1016:$A$1039=$A1493) * ($D$1016:$D$1039=$D1493)*(M$1016:M$1039) ) )</f>
        <v>0</v>
      </c>
      <c r="N1493" s="1389">
        <f t="array" ref="N1493" xml:space="preserve"> SUM(EF[CO2] * (EF[SATIM Code]= $D1493))  * (SUM( ($A$768:$A$846=$A1493) * ($D$768:$D$846= $D1493) * (N$768:N$846) )  +  SUM( ($A$933:$A$1011=$A1493) * ($D$933:$D$1011= $D1493) * (N$933:N$1011) ) + SUM( ($E$1016:$E$1039=$E$1427)*($A$1016:$A$1039=$A1493) * ($D$1016:$D$1039=$D1493)*(N$1016:N$1039) ) )</f>
        <v>0</v>
      </c>
      <c r="O1493" s="1389">
        <f t="array" ref="O1493" xml:space="preserve"> SUM(EF[CO2] * (EF[SATIM Code]= $D1493))  * (SUM( ($A$768:$A$846=$A1493) * ($D$768:$D$846= $D1493) * (O$768:O$846) )  +  SUM( ($A$933:$A$1011=$A1493) * ($D$933:$D$1011= $D1493) * (O$933:O$1011) ) + SUM( ($E$1016:$E$1039=$E$1427)*($A$1016:$A$1039=$A1493) * ($D$1016:$D$1039=$D1493)*(O$1016:O$1039) ) )</f>
        <v>0</v>
      </c>
    </row>
    <row r="1494" spans="1:15" s="19" customFormat="1" hidden="1" outlineLevel="1">
      <c r="A1494" s="19" t="str">
        <f t="shared" si="292"/>
        <v>PP</v>
      </c>
      <c r="B1494" s="1400" t="str">
        <f>INDEX(EF[UK Vector],MATCH(D1494,EF[SATIM Code],0))</f>
        <v>V.05</v>
      </c>
      <c r="C1494" s="1401" t="str">
        <f>INDEX(Vectors[Description], MATCH($B1494, Vectors[Code], 0))</f>
        <v>Gaseous hydrocarbons</v>
      </c>
      <c r="D1494" s="1406" t="s">
        <v>869</v>
      </c>
      <c r="E1494" s="1393"/>
      <c r="F1494" s="1389">
        <f t="array" ref="F1494" xml:space="preserve"> SUM(EF[CO2] * (EF[SATIM Code]= $D1494))  * (SUM( ($A$768:$A$846=$A1494) * ($D$768:$D$846= $D1494) * (F$768:F$846) )  +  SUM( ($A$933:$A$1011=$A1494) * ($D$933:$D$1011= $D1494) * (F$933:F$1011) ) + SUM( ($E$1016:$E$1039=$E$1427)*($A$1016:$A$1039=$A1494) * ($D$1016:$D$1039=$D1494)*(F$1016:F$1039) ) )</f>
        <v>7.6877867073925743E-2</v>
      </c>
      <c r="G1494" s="1389">
        <f t="array" ref="G1494" xml:space="preserve"> SUM(EF[CO2] * (EF[SATIM Code]= $D1494))  * (SUM( ($A$768:$A$846=$A1494) * ($D$768:$D$846= $D1494) * (G$768:G$846) )  +  SUM( ($A$933:$A$1011=$A1494) * ($D$933:$D$1011= $D1494) * (G$933:G$1011) ) + SUM( ($E$1016:$E$1039=$E$1427)*($A$1016:$A$1039=$A1494) * ($D$1016:$D$1039=$D1494)*(G$1016:G$1039) ) )</f>
        <v>0.10546272538725998</v>
      </c>
      <c r="H1494" s="1389">
        <f t="array" ref="H1494" xml:space="preserve"> SUM(EF[CO2] * (EF[SATIM Code]= $D1494))  * (SUM( ($A$768:$A$846=$A1494) * ($D$768:$D$846= $D1494) * (H$768:H$846) )  +  SUM( ($A$933:$A$1011=$A1494) * ($D$933:$D$1011= $D1494) * (H$933:H$1011) ) + SUM( ($E$1016:$E$1039=$E$1427)*($A$1016:$A$1039=$A1494) * ($D$1016:$D$1039=$D1494)*(H$1016:H$1039) ) )</f>
        <v>0.14707059395239785</v>
      </c>
      <c r="I1494" s="1389">
        <f t="array" ref="I1494" xml:space="preserve"> SUM(EF[CO2] * (EF[SATIM Code]= $D1494))  * (SUM( ($A$768:$A$846=$A1494) * ($D$768:$D$846= $D1494) * (I$768:I$846) )  +  SUM( ($A$933:$A$1011=$A1494) * ($D$933:$D$1011= $D1494) * (I$933:I$1011) ) + SUM( ($E$1016:$E$1039=$E$1427)*($A$1016:$A$1039=$A1494) * ($D$1016:$D$1039=$D1494)*(I$1016:I$1039) ) )</f>
        <v>0.18867846251753573</v>
      </c>
      <c r="J1494" s="1389">
        <f t="array" ref="J1494" xml:space="preserve"> SUM(EF[CO2] * (EF[SATIM Code]= $D1494))  * (SUM( ($A$768:$A$846=$A1494) * ($D$768:$D$846= $D1494) * (J$768:J$846) )  +  SUM( ($A$933:$A$1011=$A1494) * ($D$933:$D$1011= $D1494) * (J$933:J$1011) ) + SUM( ($E$1016:$E$1039=$E$1427)*($A$1016:$A$1039=$A1494) * ($D$1016:$D$1039=$D1494)*(J$1016:J$1039) ) )</f>
        <v>0.25064279648754428</v>
      </c>
      <c r="K1494" s="1389">
        <f t="array" ref="K1494" xml:space="preserve"> SUM(EF[CO2] * (EF[SATIM Code]= $D1494))  * (SUM( ($A$768:$A$846=$A1494) * ($D$768:$D$846= $D1494) * (K$768:K$846) )  +  SUM( ($A$933:$A$1011=$A1494) * ($D$933:$D$1011= $D1494) * (K$933:K$1011) ) + SUM( ($E$1016:$E$1039=$E$1427)*($A$1016:$A$1039=$A1494) * ($D$1016:$D$1039=$D1494)*(K$1016:K$1039) ) )</f>
        <v>0.31260713045755278</v>
      </c>
      <c r="L1494" s="1389">
        <f t="array" ref="L1494" xml:space="preserve"> SUM(EF[CO2] * (EF[SATIM Code]= $D1494))  * (SUM( ($A$768:$A$846=$A1494) * ($D$768:$D$846= $D1494) * (L$768:L$846) )  +  SUM( ($A$933:$A$1011=$A1494) * ($D$933:$D$1011= $D1494) * (L$933:L$1011) ) + SUM( ($E$1016:$E$1039=$E$1427)*($A$1016:$A$1039=$A1494) * ($D$1016:$D$1039=$D1494)*(L$1016:L$1039) ) )</f>
        <v>0.41110783144324325</v>
      </c>
      <c r="M1494" s="1389">
        <f t="array" ref="M1494" xml:space="preserve"> SUM(EF[CO2] * (EF[SATIM Code]= $D1494))  * (SUM( ($A$768:$A$846=$A1494) * ($D$768:$D$846= $D1494) * (M$768:M$846) )  +  SUM( ($A$933:$A$1011=$A1494) * ($D$933:$D$1011= $D1494) * (M$933:M$1011) ) + SUM( ($E$1016:$E$1039=$E$1427)*($A$1016:$A$1039=$A1494) * ($D$1016:$D$1039=$D1494)*(M$1016:M$1039) ) )</f>
        <v>0.50960853242893378</v>
      </c>
      <c r="N1494" s="1389">
        <f t="array" ref="N1494" xml:space="preserve"> SUM(EF[CO2] * (EF[SATIM Code]= $D1494))  * (SUM( ($A$768:$A$846=$A1494) * ($D$768:$D$846= $D1494) * (N$768:N$846) )  +  SUM( ($A$933:$A$1011=$A1494) * ($D$933:$D$1011= $D1494) * (N$933:N$1011) ) + SUM( ($E$1016:$E$1039=$E$1427)*($A$1016:$A$1039=$A1494) * ($D$1016:$D$1039=$D1494)*(N$1016:N$1039) ) )</f>
        <v>0.62035165280256732</v>
      </c>
      <c r="O1494" s="1389">
        <f t="array" ref="O1494" xml:space="preserve"> SUM(EF[CO2] * (EF[SATIM Code]= $D1494))  * (SUM( ($A$768:$A$846=$A1494) * ($D$768:$D$846= $D1494) * (O$768:O$846) )  +  SUM( ($A$933:$A$1011=$A1494) * ($D$933:$D$1011= $D1494) * (O$933:O$1011) ) + SUM( ($E$1016:$E$1039=$E$1427)*($A$1016:$A$1039=$A1494) * ($D$1016:$D$1039=$D1494)*(O$1016:O$1039) ) )</f>
        <v>0.73109477317620097</v>
      </c>
    </row>
    <row r="1495" spans="1:15" s="19" customFormat="1" hidden="1" outlineLevel="1">
      <c r="A1495" s="19" t="str">
        <f t="shared" si="292"/>
        <v>PP</v>
      </c>
      <c r="B1495" s="1400" t="str">
        <f>INDEX(EF[UK Vector],MATCH(D1495,EF[SATIM Code],0))</f>
        <v>V.04</v>
      </c>
      <c r="C1495" s="1401" t="str">
        <f>INDEX(Vectors[Description], MATCH($B1495, Vectors[Code], 0))</f>
        <v>Liquid hydrocarbons</v>
      </c>
      <c r="D1495" s="1406" t="s">
        <v>885</v>
      </c>
      <c r="E1495" s="1393"/>
      <c r="F1495" s="1389">
        <f t="array" ref="F1495" xml:space="preserve"> SUM(EF[CO2] * (EF[SATIM Code]= $D1495))  * (SUM( ($A$768:$A$846=$A1495) * ($D$768:$D$846= $D1495) * (F$768:F$846) )  +  SUM( ($A$933:$A$1011=$A1495) * ($D$933:$D$1011= $D1495) * (F$933:F$1011) ) + SUM( ($E$1016:$E$1039=$E$1427)*($A$1016:$A$1039=$A1495) * ($D$1016:$D$1039=$D1495)*(F$1016:F$1039) ) )</f>
        <v>0</v>
      </c>
      <c r="G1495" s="1389">
        <f t="array" ref="G1495" xml:space="preserve"> SUM(EF[CO2] * (EF[SATIM Code]= $D1495))  * (SUM( ($A$768:$A$846=$A1495) * ($D$768:$D$846= $D1495) * (G$768:G$846) )  +  SUM( ($A$933:$A$1011=$A1495) * ($D$933:$D$1011= $D1495) * (G$933:G$1011) ) + SUM( ($E$1016:$E$1039=$E$1427)*($A$1016:$A$1039=$A1495) * ($D$1016:$D$1039=$D1495)*(G$1016:G$1039) ) )</f>
        <v>0</v>
      </c>
      <c r="H1495" s="1389">
        <f t="array" ref="H1495" xml:space="preserve"> SUM(EF[CO2] * (EF[SATIM Code]= $D1495))  * (SUM( ($A$768:$A$846=$A1495) * ($D$768:$D$846= $D1495) * (H$768:H$846) )  +  SUM( ($A$933:$A$1011=$A1495) * ($D$933:$D$1011= $D1495) * (H$933:H$1011) ) + SUM( ($E$1016:$E$1039=$E$1427)*($A$1016:$A$1039=$A1495) * ($D$1016:$D$1039=$D1495)*(H$1016:H$1039) ) )</f>
        <v>0</v>
      </c>
      <c r="I1495" s="1389">
        <f t="array" ref="I1495" xml:space="preserve"> SUM(EF[CO2] * (EF[SATIM Code]= $D1495))  * (SUM( ($A$768:$A$846=$A1495) * ($D$768:$D$846= $D1495) * (I$768:I$846) )  +  SUM( ($A$933:$A$1011=$A1495) * ($D$933:$D$1011= $D1495) * (I$933:I$1011) ) + SUM( ($E$1016:$E$1039=$E$1427)*($A$1016:$A$1039=$A1495) * ($D$1016:$D$1039=$D1495)*(I$1016:I$1039) ) )</f>
        <v>0</v>
      </c>
      <c r="J1495" s="1389">
        <f t="array" ref="J1495" xml:space="preserve"> SUM(EF[CO2] * (EF[SATIM Code]= $D1495))  * (SUM( ($A$768:$A$846=$A1495) * ($D$768:$D$846= $D1495) * (J$768:J$846) )  +  SUM( ($A$933:$A$1011=$A1495) * ($D$933:$D$1011= $D1495) * (J$933:J$1011) ) + SUM( ($E$1016:$E$1039=$E$1427)*($A$1016:$A$1039=$A1495) * ($D$1016:$D$1039=$D1495)*(J$1016:J$1039) ) )</f>
        <v>0</v>
      </c>
      <c r="K1495" s="1389">
        <f t="array" ref="K1495" xml:space="preserve"> SUM(EF[CO2] * (EF[SATIM Code]= $D1495))  * (SUM( ($A$768:$A$846=$A1495) * ($D$768:$D$846= $D1495) * (K$768:K$846) )  +  SUM( ($A$933:$A$1011=$A1495) * ($D$933:$D$1011= $D1495) * (K$933:K$1011) ) + SUM( ($E$1016:$E$1039=$E$1427)*($A$1016:$A$1039=$A1495) * ($D$1016:$D$1039=$D1495)*(K$1016:K$1039) ) )</f>
        <v>0</v>
      </c>
      <c r="L1495" s="1389">
        <f t="array" ref="L1495" xml:space="preserve"> SUM(EF[CO2] * (EF[SATIM Code]= $D1495))  * (SUM( ($A$768:$A$846=$A1495) * ($D$768:$D$846= $D1495) * (L$768:L$846) )  +  SUM( ($A$933:$A$1011=$A1495) * ($D$933:$D$1011= $D1495) * (L$933:L$1011) ) + SUM( ($E$1016:$E$1039=$E$1427)*($A$1016:$A$1039=$A1495) * ($D$1016:$D$1039=$D1495)*(L$1016:L$1039) ) )</f>
        <v>0</v>
      </c>
      <c r="M1495" s="1389">
        <f t="array" ref="M1495" xml:space="preserve"> SUM(EF[CO2] * (EF[SATIM Code]= $D1495))  * (SUM( ($A$768:$A$846=$A1495) * ($D$768:$D$846= $D1495) * (M$768:M$846) )  +  SUM( ($A$933:$A$1011=$A1495) * ($D$933:$D$1011= $D1495) * (M$933:M$1011) ) + SUM( ($E$1016:$E$1039=$E$1427)*($A$1016:$A$1039=$A1495) * ($D$1016:$D$1039=$D1495)*(M$1016:M$1039) ) )</f>
        <v>0</v>
      </c>
      <c r="N1495" s="1389">
        <f t="array" ref="N1495" xml:space="preserve"> SUM(EF[CO2] * (EF[SATIM Code]= $D1495))  * (SUM( ($A$768:$A$846=$A1495) * ($D$768:$D$846= $D1495) * (N$768:N$846) )  +  SUM( ($A$933:$A$1011=$A1495) * ($D$933:$D$1011= $D1495) * (N$933:N$1011) ) + SUM( ($E$1016:$E$1039=$E$1427)*($A$1016:$A$1039=$A1495) * ($D$1016:$D$1039=$D1495)*(N$1016:N$1039) ) )</f>
        <v>0</v>
      </c>
      <c r="O1495" s="1389">
        <f t="array" ref="O1495" xml:space="preserve"> SUM(EF[CO2] * (EF[SATIM Code]= $D1495))  * (SUM( ($A$768:$A$846=$A1495) * ($D$768:$D$846= $D1495) * (O$768:O$846) )  +  SUM( ($A$933:$A$1011=$A1495) * ($D$933:$D$1011= $D1495) * (O$933:O$1011) ) + SUM( ($E$1016:$E$1039=$E$1427)*($A$1016:$A$1039=$A1495) * ($D$1016:$D$1039=$D1495)*(O$1016:O$1039) ) )</f>
        <v>0</v>
      </c>
    </row>
    <row r="1496" spans="1:15" s="19" customFormat="1" hidden="1" outlineLevel="1">
      <c r="A1496" s="19" t="str">
        <f t="shared" si="292"/>
        <v>PP</v>
      </c>
      <c r="B1496" s="1400" t="str">
        <f>INDEX(EF[UK Vector],MATCH(D1496,EF[SATIM Code],0))</f>
        <v>V.04</v>
      </c>
      <c r="C1496" s="1401" t="str">
        <f>INDEX(Vectors[Description], MATCH($B1496, Vectors[Code], 0))</f>
        <v>Liquid hydrocarbons</v>
      </c>
      <c r="D1496" s="1391" t="s">
        <v>886</v>
      </c>
      <c r="E1496" s="1393"/>
      <c r="F1496" s="1389">
        <f t="array" ref="F1496" xml:space="preserve"> SUM(EF[CO2] * (EF[SATIM Code]= $D1496))  * (SUM( ($A$768:$A$846=$A1496) * ($D$768:$D$846= $D1496) * (F$768:F$846) )  +  SUM( ($A$933:$A$1011=$A1496) * ($D$933:$D$1011= $D1496) * (F$933:F$1011) ) + SUM( ($E$1016:$E$1039=$E$1427)*($A$1016:$A$1039=$A1496) * ($D$1016:$D$1039=$D1496)*(F$1016:F$1039) ) )</f>
        <v>0</v>
      </c>
      <c r="G1496" s="1389">
        <f t="array" ref="G1496" xml:space="preserve"> SUM(EF[CO2] * (EF[SATIM Code]= $D1496))  * (SUM( ($A$768:$A$846=$A1496) * ($D$768:$D$846= $D1496) * (G$768:G$846) )  +  SUM( ($A$933:$A$1011=$A1496) * ($D$933:$D$1011= $D1496) * (G$933:G$1011) ) + SUM( ($E$1016:$E$1039=$E$1427)*($A$1016:$A$1039=$A1496) * ($D$1016:$D$1039=$D1496)*(G$1016:G$1039) ) )</f>
        <v>0</v>
      </c>
      <c r="H1496" s="1389">
        <f t="array" ref="H1496" xml:space="preserve"> SUM(EF[CO2] * (EF[SATIM Code]= $D1496))  * (SUM( ($A$768:$A$846=$A1496) * ($D$768:$D$846= $D1496) * (H$768:H$846) )  +  SUM( ($A$933:$A$1011=$A1496) * ($D$933:$D$1011= $D1496) * (H$933:H$1011) ) + SUM( ($E$1016:$E$1039=$E$1427)*($A$1016:$A$1039=$A1496) * ($D$1016:$D$1039=$D1496)*(H$1016:H$1039) ) )</f>
        <v>0</v>
      </c>
      <c r="I1496" s="1389">
        <f t="array" ref="I1496" xml:space="preserve"> SUM(EF[CO2] * (EF[SATIM Code]= $D1496))  * (SUM( ($A$768:$A$846=$A1496) * ($D$768:$D$846= $D1496) * (I$768:I$846) )  +  SUM( ($A$933:$A$1011=$A1496) * ($D$933:$D$1011= $D1496) * (I$933:I$1011) ) + SUM( ($E$1016:$E$1039=$E$1427)*($A$1016:$A$1039=$A1496) * ($D$1016:$D$1039=$D1496)*(I$1016:I$1039) ) )</f>
        <v>0</v>
      </c>
      <c r="J1496" s="1389">
        <f t="array" ref="J1496" xml:space="preserve"> SUM(EF[CO2] * (EF[SATIM Code]= $D1496))  * (SUM( ($A$768:$A$846=$A1496) * ($D$768:$D$846= $D1496) * (J$768:J$846) )  +  SUM( ($A$933:$A$1011=$A1496) * ($D$933:$D$1011= $D1496) * (J$933:J$1011) ) + SUM( ($E$1016:$E$1039=$E$1427)*($A$1016:$A$1039=$A1496) * ($D$1016:$D$1039=$D1496)*(J$1016:J$1039) ) )</f>
        <v>0</v>
      </c>
      <c r="K1496" s="1389">
        <f t="array" ref="K1496" xml:space="preserve"> SUM(EF[CO2] * (EF[SATIM Code]= $D1496))  * (SUM( ($A$768:$A$846=$A1496) * ($D$768:$D$846= $D1496) * (K$768:K$846) )  +  SUM( ($A$933:$A$1011=$A1496) * ($D$933:$D$1011= $D1496) * (K$933:K$1011) ) + SUM( ($E$1016:$E$1039=$E$1427)*($A$1016:$A$1039=$A1496) * ($D$1016:$D$1039=$D1496)*(K$1016:K$1039) ) )</f>
        <v>0</v>
      </c>
      <c r="L1496" s="1389">
        <f t="array" ref="L1496" xml:space="preserve"> SUM(EF[CO2] * (EF[SATIM Code]= $D1496))  * (SUM( ($A$768:$A$846=$A1496) * ($D$768:$D$846= $D1496) * (L$768:L$846) )  +  SUM( ($A$933:$A$1011=$A1496) * ($D$933:$D$1011= $D1496) * (L$933:L$1011) ) + SUM( ($E$1016:$E$1039=$E$1427)*($A$1016:$A$1039=$A1496) * ($D$1016:$D$1039=$D1496)*(L$1016:L$1039) ) )</f>
        <v>0</v>
      </c>
      <c r="M1496" s="1389">
        <f t="array" ref="M1496" xml:space="preserve"> SUM(EF[CO2] * (EF[SATIM Code]= $D1496))  * (SUM( ($A$768:$A$846=$A1496) * ($D$768:$D$846= $D1496) * (M$768:M$846) )  +  SUM( ($A$933:$A$1011=$A1496) * ($D$933:$D$1011= $D1496) * (M$933:M$1011) ) + SUM( ($E$1016:$E$1039=$E$1427)*($A$1016:$A$1039=$A1496) * ($D$1016:$D$1039=$D1496)*(M$1016:M$1039) ) )</f>
        <v>0</v>
      </c>
      <c r="N1496" s="1389">
        <f t="array" ref="N1496" xml:space="preserve"> SUM(EF[CO2] * (EF[SATIM Code]= $D1496))  * (SUM( ($A$768:$A$846=$A1496) * ($D$768:$D$846= $D1496) * (N$768:N$846) )  +  SUM( ($A$933:$A$1011=$A1496) * ($D$933:$D$1011= $D1496) * (N$933:N$1011) ) + SUM( ($E$1016:$E$1039=$E$1427)*($A$1016:$A$1039=$A1496) * ($D$1016:$D$1039=$D1496)*(N$1016:N$1039) ) )</f>
        <v>0</v>
      </c>
      <c r="O1496" s="1389">
        <f t="array" ref="O1496" xml:space="preserve"> SUM(EF[CO2] * (EF[SATIM Code]= $D1496))  * (SUM( ($A$768:$A$846=$A1496) * ($D$768:$D$846= $D1496) * (O$768:O$846) )  +  SUM( ($A$933:$A$1011=$A1496) * ($D$933:$D$1011= $D1496) * (O$933:O$1011) ) + SUM( ($E$1016:$E$1039=$E$1427)*($A$1016:$A$1039=$A1496) * ($D$1016:$D$1039=$D1496)*(O$1016:O$1039) ) )</f>
        <v>0</v>
      </c>
    </row>
    <row r="1497" spans="1:15" s="19" customFormat="1" hidden="1" outlineLevel="1">
      <c r="A1497" s="19" t="str">
        <f t="shared" si="292"/>
        <v>PP</v>
      </c>
      <c r="B1497" s="1400" t="str">
        <f>INDEX(EF[UK Vector],MATCH(D1497,EF[SATIM Code],0))</f>
        <v>V.04</v>
      </c>
      <c r="C1497" s="1401" t="str">
        <f>INDEX(Vectors[Description], MATCH($B1497, Vectors[Code], 0))</f>
        <v>Liquid hydrocarbons</v>
      </c>
      <c r="D1497" s="1406" t="s">
        <v>887</v>
      </c>
      <c r="E1497" s="1393"/>
      <c r="F1497" s="1389">
        <f t="array" ref="F1497" xml:space="preserve"> SUM(EF[CO2] * (EF[SATIM Code]= $D1497))  * (SUM( ($A$768:$A$846=$A1497) * ($D$768:$D$846= $D1497) * (F$768:F$846) )  +  SUM( ($A$933:$A$1011=$A1497) * ($D$933:$D$1011= $D1497) * (F$933:F$1011) ) + SUM( ($E$1016:$E$1039=$E$1427)*($A$1016:$A$1039=$A1497) * ($D$1016:$D$1039=$D1497)*(F$1016:F$1039) ) )</f>
        <v>0</v>
      </c>
      <c r="G1497" s="1389">
        <f t="array" ref="G1497" xml:space="preserve"> SUM(EF[CO2] * (EF[SATIM Code]= $D1497))  * (SUM( ($A$768:$A$846=$A1497) * ($D$768:$D$846= $D1497) * (G$768:G$846) )  +  SUM( ($A$933:$A$1011=$A1497) * ($D$933:$D$1011= $D1497) * (G$933:G$1011) ) + SUM( ($E$1016:$E$1039=$E$1427)*($A$1016:$A$1039=$A1497) * ($D$1016:$D$1039=$D1497)*(G$1016:G$1039) ) )</f>
        <v>0</v>
      </c>
      <c r="H1497" s="1389">
        <f t="array" ref="H1497" xml:space="preserve"> SUM(EF[CO2] * (EF[SATIM Code]= $D1497))  * (SUM( ($A$768:$A$846=$A1497) * ($D$768:$D$846= $D1497) * (H$768:H$846) )  +  SUM( ($A$933:$A$1011=$A1497) * ($D$933:$D$1011= $D1497) * (H$933:H$1011) ) + SUM( ($E$1016:$E$1039=$E$1427)*($A$1016:$A$1039=$A1497) * ($D$1016:$D$1039=$D1497)*(H$1016:H$1039) ) )</f>
        <v>0</v>
      </c>
      <c r="I1497" s="1389">
        <f t="array" ref="I1497" xml:space="preserve"> SUM(EF[CO2] * (EF[SATIM Code]= $D1497))  * (SUM( ($A$768:$A$846=$A1497) * ($D$768:$D$846= $D1497) * (I$768:I$846) )  +  SUM( ($A$933:$A$1011=$A1497) * ($D$933:$D$1011= $D1497) * (I$933:I$1011) ) + SUM( ($E$1016:$E$1039=$E$1427)*($A$1016:$A$1039=$A1497) * ($D$1016:$D$1039=$D1497)*(I$1016:I$1039) ) )</f>
        <v>0</v>
      </c>
      <c r="J1497" s="1389">
        <f t="array" ref="J1497" xml:space="preserve"> SUM(EF[CO2] * (EF[SATIM Code]= $D1497))  * (SUM( ($A$768:$A$846=$A1497) * ($D$768:$D$846= $D1497) * (J$768:J$846) )  +  SUM( ($A$933:$A$1011=$A1497) * ($D$933:$D$1011= $D1497) * (J$933:J$1011) ) + SUM( ($E$1016:$E$1039=$E$1427)*($A$1016:$A$1039=$A1497) * ($D$1016:$D$1039=$D1497)*(J$1016:J$1039) ) )</f>
        <v>0</v>
      </c>
      <c r="K1497" s="1389">
        <f t="array" ref="K1497" xml:space="preserve"> SUM(EF[CO2] * (EF[SATIM Code]= $D1497))  * (SUM( ($A$768:$A$846=$A1497) * ($D$768:$D$846= $D1497) * (K$768:K$846) )  +  SUM( ($A$933:$A$1011=$A1497) * ($D$933:$D$1011= $D1497) * (K$933:K$1011) ) + SUM( ($E$1016:$E$1039=$E$1427)*($A$1016:$A$1039=$A1497) * ($D$1016:$D$1039=$D1497)*(K$1016:K$1039) ) )</f>
        <v>0</v>
      </c>
      <c r="L1497" s="1389">
        <f t="array" ref="L1497" xml:space="preserve"> SUM(EF[CO2] * (EF[SATIM Code]= $D1497))  * (SUM( ($A$768:$A$846=$A1497) * ($D$768:$D$846= $D1497) * (L$768:L$846) )  +  SUM( ($A$933:$A$1011=$A1497) * ($D$933:$D$1011= $D1497) * (L$933:L$1011) ) + SUM( ($E$1016:$E$1039=$E$1427)*($A$1016:$A$1039=$A1497) * ($D$1016:$D$1039=$D1497)*(L$1016:L$1039) ) )</f>
        <v>0</v>
      </c>
      <c r="M1497" s="1389">
        <f t="array" ref="M1497" xml:space="preserve"> SUM(EF[CO2] * (EF[SATIM Code]= $D1497))  * (SUM( ($A$768:$A$846=$A1497) * ($D$768:$D$846= $D1497) * (M$768:M$846) )  +  SUM( ($A$933:$A$1011=$A1497) * ($D$933:$D$1011= $D1497) * (M$933:M$1011) ) + SUM( ($E$1016:$E$1039=$E$1427)*($A$1016:$A$1039=$A1497) * ($D$1016:$D$1039=$D1497)*(M$1016:M$1039) ) )</f>
        <v>0</v>
      </c>
      <c r="N1497" s="1389">
        <f t="array" ref="N1497" xml:space="preserve"> SUM(EF[CO2] * (EF[SATIM Code]= $D1497))  * (SUM( ($A$768:$A$846=$A1497) * ($D$768:$D$846= $D1497) * (N$768:N$846) )  +  SUM( ($A$933:$A$1011=$A1497) * ($D$933:$D$1011= $D1497) * (N$933:N$1011) ) + SUM( ($E$1016:$E$1039=$E$1427)*($A$1016:$A$1039=$A1497) * ($D$1016:$D$1039=$D1497)*(N$1016:N$1039) ) )</f>
        <v>0</v>
      </c>
      <c r="O1497" s="1389">
        <f t="array" ref="O1497" xml:space="preserve"> SUM(EF[CO2] * (EF[SATIM Code]= $D1497))  * (SUM( ($A$768:$A$846=$A1497) * ($D$768:$D$846= $D1497) * (O$768:O$846) )  +  SUM( ($A$933:$A$1011=$A1497) * ($D$933:$D$1011= $D1497) * (O$933:O$1011) ) + SUM( ($E$1016:$E$1039=$E$1427)*($A$1016:$A$1039=$A1497) * ($D$1016:$D$1039=$D1497)*(O$1016:O$1039) ) )</f>
        <v>0</v>
      </c>
    </row>
    <row r="1498" spans="1:15" s="19" customFormat="1" hidden="1" outlineLevel="1">
      <c r="A1498" s="19" t="str">
        <f t="shared" si="292"/>
        <v>PP</v>
      </c>
      <c r="B1498" s="1400" t="str">
        <f>INDEX(EF[UK Vector],MATCH(D1498,EF[SATIM Code],0))</f>
        <v>V.09</v>
      </c>
      <c r="C1498" s="1401" t="str">
        <f>INDEX(Vectors[Description], MATCH($B1498, Vectors[Code], 0))</f>
        <v>Dry biomass and waste</v>
      </c>
      <c r="D1498" s="1406" t="s">
        <v>888</v>
      </c>
      <c r="E1498" s="1393"/>
      <c r="F1498" s="1389">
        <f t="array" ref="F1498" xml:space="preserve"> SUM(EF[CO2] * (EF[SATIM Code]= $D1498))  * (SUM( ($A$768:$A$846=$A1498) * ($D$768:$D$846= $D1498) * (F$768:F$846) )  +  SUM( ($A$933:$A$1011=$A1498) * ($D$933:$D$1011= $D1498) * (F$933:F$1011) ) + SUM( ($E$1016:$E$1039=$E$1427)*($A$1016:$A$1039=$A1498) * ($D$1016:$D$1039=$D1498)*(F$1016:F$1039) ) )</f>
        <v>0</v>
      </c>
      <c r="G1498" s="1389">
        <f t="array" ref="G1498" xml:space="preserve"> SUM(EF[CO2] * (EF[SATIM Code]= $D1498))  * (SUM( ($A$768:$A$846=$A1498) * ($D$768:$D$846= $D1498) * (G$768:G$846) )  +  SUM( ($A$933:$A$1011=$A1498) * ($D$933:$D$1011= $D1498) * (G$933:G$1011) ) + SUM( ($E$1016:$E$1039=$E$1427)*($A$1016:$A$1039=$A1498) * ($D$1016:$D$1039=$D1498)*(G$1016:G$1039) ) )</f>
        <v>0</v>
      </c>
      <c r="H1498" s="1389">
        <f t="array" ref="H1498" xml:space="preserve"> SUM(EF[CO2] * (EF[SATIM Code]= $D1498))  * (SUM( ($A$768:$A$846=$A1498) * ($D$768:$D$846= $D1498) * (H$768:H$846) )  +  SUM( ($A$933:$A$1011=$A1498) * ($D$933:$D$1011= $D1498) * (H$933:H$1011) ) + SUM( ($E$1016:$E$1039=$E$1427)*($A$1016:$A$1039=$A1498) * ($D$1016:$D$1039=$D1498)*(H$1016:H$1039) ) )</f>
        <v>0</v>
      </c>
      <c r="I1498" s="1389">
        <f t="array" ref="I1498" xml:space="preserve"> SUM(EF[CO2] * (EF[SATIM Code]= $D1498))  * (SUM( ($A$768:$A$846=$A1498) * ($D$768:$D$846= $D1498) * (I$768:I$846) )  +  SUM( ($A$933:$A$1011=$A1498) * ($D$933:$D$1011= $D1498) * (I$933:I$1011) ) + SUM( ($E$1016:$E$1039=$E$1427)*($A$1016:$A$1039=$A1498) * ($D$1016:$D$1039=$D1498)*(I$1016:I$1039) ) )</f>
        <v>0</v>
      </c>
      <c r="J1498" s="1389">
        <f t="array" ref="J1498" xml:space="preserve"> SUM(EF[CO2] * (EF[SATIM Code]= $D1498))  * (SUM( ($A$768:$A$846=$A1498) * ($D$768:$D$846= $D1498) * (J$768:J$846) )  +  SUM( ($A$933:$A$1011=$A1498) * ($D$933:$D$1011= $D1498) * (J$933:J$1011) ) + SUM( ($E$1016:$E$1039=$E$1427)*($A$1016:$A$1039=$A1498) * ($D$1016:$D$1039=$D1498)*(J$1016:J$1039) ) )</f>
        <v>0</v>
      </c>
      <c r="K1498" s="1389">
        <f t="array" ref="K1498" xml:space="preserve"> SUM(EF[CO2] * (EF[SATIM Code]= $D1498))  * (SUM( ($A$768:$A$846=$A1498) * ($D$768:$D$846= $D1498) * (K$768:K$846) )  +  SUM( ($A$933:$A$1011=$A1498) * ($D$933:$D$1011= $D1498) * (K$933:K$1011) ) + SUM( ($E$1016:$E$1039=$E$1427)*($A$1016:$A$1039=$A1498) * ($D$1016:$D$1039=$D1498)*(K$1016:K$1039) ) )</f>
        <v>0</v>
      </c>
      <c r="L1498" s="1389">
        <f t="array" ref="L1498" xml:space="preserve"> SUM(EF[CO2] * (EF[SATIM Code]= $D1498))  * (SUM( ($A$768:$A$846=$A1498) * ($D$768:$D$846= $D1498) * (L$768:L$846) )  +  SUM( ($A$933:$A$1011=$A1498) * ($D$933:$D$1011= $D1498) * (L$933:L$1011) ) + SUM( ($E$1016:$E$1039=$E$1427)*($A$1016:$A$1039=$A1498) * ($D$1016:$D$1039=$D1498)*(L$1016:L$1039) ) )</f>
        <v>0</v>
      </c>
      <c r="M1498" s="1389">
        <f t="array" ref="M1498" xml:space="preserve"> SUM(EF[CO2] * (EF[SATIM Code]= $D1498))  * (SUM( ($A$768:$A$846=$A1498) * ($D$768:$D$846= $D1498) * (M$768:M$846) )  +  SUM( ($A$933:$A$1011=$A1498) * ($D$933:$D$1011= $D1498) * (M$933:M$1011) ) + SUM( ($E$1016:$E$1039=$E$1427)*($A$1016:$A$1039=$A1498) * ($D$1016:$D$1039=$D1498)*(M$1016:M$1039) ) )</f>
        <v>0</v>
      </c>
      <c r="N1498" s="1389">
        <f t="array" ref="N1498" xml:space="preserve"> SUM(EF[CO2] * (EF[SATIM Code]= $D1498))  * (SUM( ($A$768:$A$846=$A1498) * ($D$768:$D$846= $D1498) * (N$768:N$846) )  +  SUM( ($A$933:$A$1011=$A1498) * ($D$933:$D$1011= $D1498) * (N$933:N$1011) ) + SUM( ($E$1016:$E$1039=$E$1427)*($A$1016:$A$1039=$A1498) * ($D$1016:$D$1039=$D1498)*(N$1016:N$1039) ) )</f>
        <v>0</v>
      </c>
      <c r="O1498" s="1389">
        <f t="array" ref="O1498" xml:space="preserve"> SUM(EF[CO2] * (EF[SATIM Code]= $D1498))  * (SUM( ($A$768:$A$846=$A1498) * ($D$768:$D$846= $D1498) * (O$768:O$846) )  +  SUM( ($A$933:$A$1011=$A1498) * ($D$933:$D$1011= $D1498) * (O$933:O$1011) ) + SUM( ($E$1016:$E$1039=$E$1427)*($A$1016:$A$1039=$A1498) * ($D$1016:$D$1039=$D1498)*(O$1016:O$1039) ) )</f>
        <v>0</v>
      </c>
    </row>
    <row r="1499" spans="1:15" s="19" customFormat="1" hidden="1" outlineLevel="1">
      <c r="A1499" s="19" t="str">
        <f t="shared" si="292"/>
        <v>PP</v>
      </c>
      <c r="B1499" s="1400" t="str">
        <f>INDEX(EF[UK Vector],MATCH(D1499,EF[SATIM Code],0))</f>
        <v>V.09</v>
      </c>
      <c r="C1499" s="1401" t="str">
        <f>INDEX(Vectors[Description], MATCH($B1499, Vectors[Code], 0))</f>
        <v>Dry biomass and waste</v>
      </c>
      <c r="D1499" s="1388" t="s">
        <v>889</v>
      </c>
      <c r="E1499" s="1393"/>
      <c r="F1499" s="1389">
        <f t="array" ref="F1499" xml:space="preserve"> SUM(EF[CO2] * (EF[SATIM Code]= $D1499))  * (SUM( ($A$768:$A$846=$A1499) * ($D$768:$D$846= $D1499) * (F$768:F$846) )  +  SUM( ($A$933:$A$1011=$A1499) * ($D$933:$D$1011= $D1499) * (F$933:F$1011) ) + SUM( ($E$1016:$E$1039=$E$1427)*($A$1016:$A$1039=$A1499) * ($D$1016:$D$1039=$D1499)*(F$1016:F$1039) ) )</f>
        <v>0</v>
      </c>
      <c r="G1499" s="1389">
        <f t="array" ref="G1499" xml:space="preserve"> SUM(EF[CO2] * (EF[SATIM Code]= $D1499))  * (SUM( ($A$768:$A$846=$A1499) * ($D$768:$D$846= $D1499) * (G$768:G$846) )  +  SUM( ($A$933:$A$1011=$A1499) * ($D$933:$D$1011= $D1499) * (G$933:G$1011) ) + SUM( ($E$1016:$E$1039=$E$1427)*($A$1016:$A$1039=$A1499) * ($D$1016:$D$1039=$D1499)*(G$1016:G$1039) ) )</f>
        <v>0</v>
      </c>
      <c r="H1499" s="1389">
        <f t="array" ref="H1499" xml:space="preserve"> SUM(EF[CO2] * (EF[SATIM Code]= $D1499))  * (SUM( ($A$768:$A$846=$A1499) * ($D$768:$D$846= $D1499) * (H$768:H$846) )  +  SUM( ($A$933:$A$1011=$A1499) * ($D$933:$D$1011= $D1499) * (H$933:H$1011) ) + SUM( ($E$1016:$E$1039=$E$1427)*($A$1016:$A$1039=$A1499) * ($D$1016:$D$1039=$D1499)*(H$1016:H$1039) ) )</f>
        <v>0</v>
      </c>
      <c r="I1499" s="1389">
        <f t="array" ref="I1499" xml:space="preserve"> SUM(EF[CO2] * (EF[SATIM Code]= $D1499))  * (SUM( ($A$768:$A$846=$A1499) * ($D$768:$D$846= $D1499) * (I$768:I$846) )  +  SUM( ($A$933:$A$1011=$A1499) * ($D$933:$D$1011= $D1499) * (I$933:I$1011) ) + SUM( ($E$1016:$E$1039=$E$1427)*($A$1016:$A$1039=$A1499) * ($D$1016:$D$1039=$D1499)*(I$1016:I$1039) ) )</f>
        <v>0</v>
      </c>
      <c r="J1499" s="1389">
        <f t="array" ref="J1499" xml:space="preserve"> SUM(EF[CO2] * (EF[SATIM Code]= $D1499))  * (SUM( ($A$768:$A$846=$A1499) * ($D$768:$D$846= $D1499) * (J$768:J$846) )  +  SUM( ($A$933:$A$1011=$A1499) * ($D$933:$D$1011= $D1499) * (J$933:J$1011) ) + SUM( ($E$1016:$E$1039=$E$1427)*($A$1016:$A$1039=$A1499) * ($D$1016:$D$1039=$D1499)*(J$1016:J$1039) ) )</f>
        <v>0</v>
      </c>
      <c r="K1499" s="1389">
        <f t="array" ref="K1499" xml:space="preserve"> SUM(EF[CO2] * (EF[SATIM Code]= $D1499))  * (SUM( ($A$768:$A$846=$A1499) * ($D$768:$D$846= $D1499) * (K$768:K$846) )  +  SUM( ($A$933:$A$1011=$A1499) * ($D$933:$D$1011= $D1499) * (K$933:K$1011) ) + SUM( ($E$1016:$E$1039=$E$1427)*($A$1016:$A$1039=$A1499) * ($D$1016:$D$1039=$D1499)*(K$1016:K$1039) ) )</f>
        <v>0</v>
      </c>
      <c r="L1499" s="1389">
        <f t="array" ref="L1499" xml:space="preserve"> SUM(EF[CO2] * (EF[SATIM Code]= $D1499))  * (SUM( ($A$768:$A$846=$A1499) * ($D$768:$D$846= $D1499) * (L$768:L$846) )  +  SUM( ($A$933:$A$1011=$A1499) * ($D$933:$D$1011= $D1499) * (L$933:L$1011) ) + SUM( ($E$1016:$E$1039=$E$1427)*($A$1016:$A$1039=$A1499) * ($D$1016:$D$1039=$D1499)*(L$1016:L$1039) ) )</f>
        <v>0</v>
      </c>
      <c r="M1499" s="1389">
        <f t="array" ref="M1499" xml:space="preserve"> SUM(EF[CO2] * (EF[SATIM Code]= $D1499))  * (SUM( ($A$768:$A$846=$A1499) * ($D$768:$D$846= $D1499) * (M$768:M$846) )  +  SUM( ($A$933:$A$1011=$A1499) * ($D$933:$D$1011= $D1499) * (M$933:M$1011) ) + SUM( ($E$1016:$E$1039=$E$1427)*($A$1016:$A$1039=$A1499) * ($D$1016:$D$1039=$D1499)*(M$1016:M$1039) ) )</f>
        <v>0</v>
      </c>
      <c r="N1499" s="1389">
        <f t="array" ref="N1499" xml:space="preserve"> SUM(EF[CO2] * (EF[SATIM Code]= $D1499))  * (SUM( ($A$768:$A$846=$A1499) * ($D$768:$D$846= $D1499) * (N$768:N$846) )  +  SUM( ($A$933:$A$1011=$A1499) * ($D$933:$D$1011= $D1499) * (N$933:N$1011) ) + SUM( ($E$1016:$E$1039=$E$1427)*($A$1016:$A$1039=$A1499) * ($D$1016:$D$1039=$D1499)*(N$1016:N$1039) ) )</f>
        <v>0</v>
      </c>
      <c r="O1499" s="1389">
        <f t="array" ref="O1499" xml:space="preserve"> SUM(EF[CO2] * (EF[SATIM Code]= $D1499))  * (SUM( ($A$768:$A$846=$A1499) * ($D$768:$D$846= $D1499) * (O$768:O$846) )  +  SUM( ($A$933:$A$1011=$A1499) * ($D$933:$D$1011= $D1499) * (O$933:O$1011) ) + SUM( ($E$1016:$E$1039=$E$1427)*($A$1016:$A$1039=$A1499) * ($D$1016:$D$1039=$D1499)*(O$1016:O$1039) ) )</f>
        <v>0</v>
      </c>
    </row>
    <row r="1500" spans="1:15" s="19" customFormat="1" hidden="1" outlineLevel="1">
      <c r="A1500" s="19" t="str">
        <f t="shared" si="292"/>
        <v>PP</v>
      </c>
      <c r="B1500" s="1400" t="str">
        <f>INDEX(EF[UK Vector],MATCH(D1500,EF[SATIM Code],0))</f>
        <v>V.16</v>
      </c>
      <c r="C1500" s="1401" t="str">
        <f>INDEX(Vectors[Description], MATCH($B1500, Vectors[Code], 0))</f>
        <v>Other Waste</v>
      </c>
      <c r="D1500" s="1408" t="s">
        <v>890</v>
      </c>
      <c r="E1500" s="1393"/>
      <c r="F1500" s="1389">
        <f t="array" ref="F1500" xml:space="preserve"> SUM(EF[CO2] * (EF[SATIM Code]= $D1500))  * (SUM( ($A$768:$A$846=$A1500) * ($D$768:$D$846= $D1500) * (F$768:F$846) )  +  SUM( ($A$933:$A$1011=$A1500) * ($D$933:$D$1011= $D1500) * (F$933:F$1011) ) + SUM( ($E$1016:$E$1039=$E$1427)*($A$1016:$A$1039=$A1500) * ($D$1016:$D$1039=$D1500)*(F$1016:F$1039) ) )</f>
        <v>0</v>
      </c>
      <c r="G1500" s="1389">
        <f t="array" ref="G1500" xml:space="preserve"> SUM(EF[CO2] * (EF[SATIM Code]= $D1500))  * (SUM( ($A$768:$A$846=$A1500) * ($D$768:$D$846= $D1500) * (G$768:G$846) )  +  SUM( ($A$933:$A$1011=$A1500) * ($D$933:$D$1011= $D1500) * (G$933:G$1011) ) + SUM( ($E$1016:$E$1039=$E$1427)*($A$1016:$A$1039=$A1500) * ($D$1016:$D$1039=$D1500)*(G$1016:G$1039) ) )</f>
        <v>0</v>
      </c>
      <c r="H1500" s="1389">
        <f t="array" ref="H1500" xml:space="preserve"> SUM(EF[CO2] * (EF[SATIM Code]= $D1500))  * (SUM( ($A$768:$A$846=$A1500) * ($D$768:$D$846= $D1500) * (H$768:H$846) )  +  SUM( ($A$933:$A$1011=$A1500) * ($D$933:$D$1011= $D1500) * (H$933:H$1011) ) + SUM( ($E$1016:$E$1039=$E$1427)*($A$1016:$A$1039=$A1500) * ($D$1016:$D$1039=$D1500)*(H$1016:H$1039) ) )</f>
        <v>0</v>
      </c>
      <c r="I1500" s="1389">
        <f t="array" ref="I1500" xml:space="preserve"> SUM(EF[CO2] * (EF[SATIM Code]= $D1500))  * (SUM( ($A$768:$A$846=$A1500) * ($D$768:$D$846= $D1500) * (I$768:I$846) )  +  SUM( ($A$933:$A$1011=$A1500) * ($D$933:$D$1011= $D1500) * (I$933:I$1011) ) + SUM( ($E$1016:$E$1039=$E$1427)*($A$1016:$A$1039=$A1500) * ($D$1016:$D$1039=$D1500)*(I$1016:I$1039) ) )</f>
        <v>0</v>
      </c>
      <c r="J1500" s="1389">
        <f t="array" ref="J1500" xml:space="preserve"> SUM(EF[CO2] * (EF[SATIM Code]= $D1500))  * (SUM( ($A$768:$A$846=$A1500) * ($D$768:$D$846= $D1500) * (J$768:J$846) )  +  SUM( ($A$933:$A$1011=$A1500) * ($D$933:$D$1011= $D1500) * (J$933:J$1011) ) + SUM( ($E$1016:$E$1039=$E$1427)*($A$1016:$A$1039=$A1500) * ($D$1016:$D$1039=$D1500)*(J$1016:J$1039) ) )</f>
        <v>0</v>
      </c>
      <c r="K1500" s="1389">
        <f t="array" ref="K1500" xml:space="preserve"> SUM(EF[CO2] * (EF[SATIM Code]= $D1500))  * (SUM( ($A$768:$A$846=$A1500) * ($D$768:$D$846= $D1500) * (K$768:K$846) )  +  SUM( ($A$933:$A$1011=$A1500) * ($D$933:$D$1011= $D1500) * (K$933:K$1011) ) + SUM( ($E$1016:$E$1039=$E$1427)*($A$1016:$A$1039=$A1500) * ($D$1016:$D$1039=$D1500)*(K$1016:K$1039) ) )</f>
        <v>0</v>
      </c>
      <c r="L1500" s="1389">
        <f t="array" ref="L1500" xml:space="preserve"> SUM(EF[CO2] * (EF[SATIM Code]= $D1500))  * (SUM( ($A$768:$A$846=$A1500) * ($D$768:$D$846= $D1500) * (L$768:L$846) )  +  SUM( ($A$933:$A$1011=$A1500) * ($D$933:$D$1011= $D1500) * (L$933:L$1011) ) + SUM( ($E$1016:$E$1039=$E$1427)*($A$1016:$A$1039=$A1500) * ($D$1016:$D$1039=$D1500)*(L$1016:L$1039) ) )</f>
        <v>0</v>
      </c>
      <c r="M1500" s="1389">
        <f t="array" ref="M1500" xml:space="preserve"> SUM(EF[CO2] * (EF[SATIM Code]= $D1500))  * (SUM( ($A$768:$A$846=$A1500) * ($D$768:$D$846= $D1500) * (M$768:M$846) )  +  SUM( ($A$933:$A$1011=$A1500) * ($D$933:$D$1011= $D1500) * (M$933:M$1011) ) + SUM( ($E$1016:$E$1039=$E$1427)*($A$1016:$A$1039=$A1500) * ($D$1016:$D$1039=$D1500)*(M$1016:M$1039) ) )</f>
        <v>0</v>
      </c>
      <c r="N1500" s="1389">
        <f t="array" ref="N1500" xml:space="preserve"> SUM(EF[CO2] * (EF[SATIM Code]= $D1500))  * (SUM( ($A$768:$A$846=$A1500) * ($D$768:$D$846= $D1500) * (N$768:N$846) )  +  SUM( ($A$933:$A$1011=$A1500) * ($D$933:$D$1011= $D1500) * (N$933:N$1011) ) + SUM( ($E$1016:$E$1039=$E$1427)*($A$1016:$A$1039=$A1500) * ($D$1016:$D$1039=$D1500)*(N$1016:N$1039) ) )</f>
        <v>0</v>
      </c>
      <c r="O1500" s="1389">
        <f t="array" ref="O1500" xml:space="preserve"> SUM(EF[CO2] * (EF[SATIM Code]= $D1500))  * (SUM( ($A$768:$A$846=$A1500) * ($D$768:$D$846= $D1500) * (O$768:O$846) )  +  SUM( ($A$933:$A$1011=$A1500) * ($D$933:$D$1011= $D1500) * (O$933:O$1011) ) + SUM( ($E$1016:$E$1039=$E$1427)*($A$1016:$A$1039=$A1500) * ($D$1016:$D$1039=$D1500)*(O$1016:O$1039) ) )</f>
        <v>0</v>
      </c>
    </row>
    <row r="1501" spans="1:15" s="19" customFormat="1" hidden="1" outlineLevel="1">
      <c r="B1501" s="1393"/>
      <c r="C1501" s="1407" t="str">
        <f>D27</f>
        <v>Other</v>
      </c>
      <c r="D1501" s="1391"/>
      <c r="E1501" s="1393"/>
      <c r="F1501" s="1389">
        <f t="array" ref="F1501" xml:space="preserve"> SUM(EF[CO2] * (EF[SATIM Code]= $D1501))  * (SUM( ($A$768:$A$846=$A1501) * ($D$768:$D$846= $D1501) * (F$768:F$846) )  +  SUM( ($A$933:$A$1011=$A1501) * ($D$933:$D$1011= $D1501) * (F$933:F$1011) ) + SUM( ($E$1016:$E$1039=$E$1427)*($A$1016:$A$1039=$A1501) * ($D$1016:$D$1039=$D1501)*(F$1016:F$1039) ) )</f>
        <v>0</v>
      </c>
      <c r="G1501" s="1389">
        <f t="array" ref="G1501" xml:space="preserve"> SUM(EF[CO2] * (EF[SATIM Code]= $D1501))  * (SUM( ($A$768:$A$846=$A1501) * ($D$768:$D$846= $D1501) * (G$768:G$846) )  +  SUM( ($A$933:$A$1011=$A1501) * ($D$933:$D$1011= $D1501) * (G$933:G$1011) ) + SUM( ($E$1016:$E$1039=$E$1427)*($A$1016:$A$1039=$A1501) * ($D$1016:$D$1039=$D1501)*(G$1016:G$1039) ) )</f>
        <v>0</v>
      </c>
      <c r="H1501" s="1389">
        <f t="array" ref="H1501" xml:space="preserve"> SUM(EF[CO2] * (EF[SATIM Code]= $D1501))  * (SUM( ($A$768:$A$846=$A1501) * ($D$768:$D$846= $D1501) * (H$768:H$846) )  +  SUM( ($A$933:$A$1011=$A1501) * ($D$933:$D$1011= $D1501) * (H$933:H$1011) ) + SUM( ($E$1016:$E$1039=$E$1427)*($A$1016:$A$1039=$A1501) * ($D$1016:$D$1039=$D1501)*(H$1016:H$1039) ) )</f>
        <v>0</v>
      </c>
      <c r="I1501" s="1389">
        <f t="array" ref="I1501" xml:space="preserve"> SUM(EF[CO2] * (EF[SATIM Code]= $D1501))  * (SUM( ($A$768:$A$846=$A1501) * ($D$768:$D$846= $D1501) * (I$768:I$846) )  +  SUM( ($A$933:$A$1011=$A1501) * ($D$933:$D$1011= $D1501) * (I$933:I$1011) ) + SUM( ($E$1016:$E$1039=$E$1427)*($A$1016:$A$1039=$A1501) * ($D$1016:$D$1039=$D1501)*(I$1016:I$1039) ) )</f>
        <v>0</v>
      </c>
      <c r="J1501" s="1389">
        <f t="array" ref="J1501" xml:space="preserve"> SUM(EF[CO2] * (EF[SATIM Code]= $D1501))  * (SUM( ($A$768:$A$846=$A1501) * ($D$768:$D$846= $D1501) * (J$768:J$846) )  +  SUM( ($A$933:$A$1011=$A1501) * ($D$933:$D$1011= $D1501) * (J$933:J$1011) ) + SUM( ($E$1016:$E$1039=$E$1427)*($A$1016:$A$1039=$A1501) * ($D$1016:$D$1039=$D1501)*(J$1016:J$1039) ) )</f>
        <v>0</v>
      </c>
      <c r="K1501" s="1389">
        <f t="array" ref="K1501" xml:space="preserve"> SUM(EF[CO2] * (EF[SATIM Code]= $D1501))  * (SUM( ($A$768:$A$846=$A1501) * ($D$768:$D$846= $D1501) * (K$768:K$846) )  +  SUM( ($A$933:$A$1011=$A1501) * ($D$933:$D$1011= $D1501) * (K$933:K$1011) ) + SUM( ($E$1016:$E$1039=$E$1427)*($A$1016:$A$1039=$A1501) * ($D$1016:$D$1039=$D1501)*(K$1016:K$1039) ) )</f>
        <v>0</v>
      </c>
      <c r="L1501" s="1389">
        <f t="array" ref="L1501" xml:space="preserve"> SUM(EF[CO2] * (EF[SATIM Code]= $D1501))  * (SUM( ($A$768:$A$846=$A1501) * ($D$768:$D$846= $D1501) * (L$768:L$846) )  +  SUM( ($A$933:$A$1011=$A1501) * ($D$933:$D$1011= $D1501) * (L$933:L$1011) ) + SUM( ($E$1016:$E$1039=$E$1427)*($A$1016:$A$1039=$A1501) * ($D$1016:$D$1039=$D1501)*(L$1016:L$1039) ) )</f>
        <v>0</v>
      </c>
      <c r="M1501" s="1389">
        <f t="array" ref="M1501" xml:space="preserve"> SUM(EF[CO2] * (EF[SATIM Code]= $D1501))  * (SUM( ($A$768:$A$846=$A1501) * ($D$768:$D$846= $D1501) * (M$768:M$846) )  +  SUM( ($A$933:$A$1011=$A1501) * ($D$933:$D$1011= $D1501) * (M$933:M$1011) ) + SUM( ($E$1016:$E$1039=$E$1427)*($A$1016:$A$1039=$A1501) * ($D$1016:$D$1039=$D1501)*(M$1016:M$1039) ) )</f>
        <v>0</v>
      </c>
      <c r="N1501" s="1389">
        <f t="array" ref="N1501" xml:space="preserve"> SUM(EF[CO2] * (EF[SATIM Code]= $D1501))  * (SUM( ($A$768:$A$846=$A1501) * ($D$768:$D$846= $D1501) * (N$768:N$846) )  +  SUM( ($A$933:$A$1011=$A1501) * ($D$933:$D$1011= $D1501) * (N$933:N$1011) ) + SUM( ($E$1016:$E$1039=$E$1427)*($A$1016:$A$1039=$A1501) * ($D$1016:$D$1039=$D1501)*(N$1016:N$1039) ) )</f>
        <v>0</v>
      </c>
      <c r="O1501" s="1389">
        <f t="array" ref="O1501" xml:space="preserve"> SUM(EF[CO2] * (EF[SATIM Code]= $D1501))  * (SUM( ($A$768:$A$846=$A1501) * ($D$768:$D$846= $D1501) * (O$768:O$846) )  +  SUM( ($A$933:$A$1011=$A1501) * ($D$933:$D$1011= $D1501) * (O$933:O$1011) ) + SUM( ($E$1016:$E$1039=$E$1427)*($A$1016:$A$1039=$A1501) * ($D$1016:$D$1039=$D1501)*(O$1016:O$1039) ) )</f>
        <v>0</v>
      </c>
    </row>
    <row r="1502" spans="1:15" s="19" customFormat="1" hidden="1" outlineLevel="1">
      <c r="A1502" s="1438" t="str">
        <f>INDEX($C$20:$C$27,MATCH($C1501,$D$20:$D$27,0))</f>
        <v>OT</v>
      </c>
      <c r="B1502" s="1400" t="str">
        <f>INDEX(EF[UK Vector],MATCH(D1502,EF[SATIM Code],0))</f>
        <v>V.03</v>
      </c>
      <c r="C1502" s="1401" t="str">
        <f>INDEX(Vectors[Description], MATCH($B1502, Vectors[Code], 0))</f>
        <v>Solid hydrocarbons</v>
      </c>
      <c r="D1502" s="1391" t="s">
        <v>882</v>
      </c>
      <c r="E1502" s="1393"/>
      <c r="F1502" s="1389">
        <f t="array" ref="F1502" xml:space="preserve"> SUM(EF[CO2] * (EF[SATIM Code]= $D1502))  * (SUM( ($A$768:$A$846=$A1502) * ($D$768:$D$846= $D1502) * (F$768:F$846) )  +  SUM( ($A$933:$A$1011=$A1502) * ($D$933:$D$1011= $D1502) * (F$933:F$1011) ) + SUM( ($E$1016:$E$1039=$E$1427)*($A$1016:$A$1039=$A1502) * ($D$1016:$D$1039=$D1502)*(F$1016:F$1039) ) )</f>
        <v>14.866805129845115</v>
      </c>
      <c r="G1502" s="1389">
        <f t="array" ref="G1502" xml:space="preserve"> SUM(EF[CO2] * (EF[SATIM Code]= $D1502))  * (SUM( ($A$768:$A$846=$A1502) * ($D$768:$D$846= $D1502) * (G$768:G$846) )  +  SUM( ($A$933:$A$1011=$A1502) * ($D$933:$D$1011= $D1502) * (G$933:G$1011) ) + SUM( ($E$1016:$E$1039=$E$1427)*($A$1016:$A$1039=$A1502) * ($D$1016:$D$1039=$D1502)*(G$1016:G$1039) ) )</f>
        <v>17.377932557086616</v>
      </c>
      <c r="H1502" s="1389">
        <f t="array" ref="H1502" xml:space="preserve"> SUM(EF[CO2] * (EF[SATIM Code]= $D1502))  * (SUM( ($A$768:$A$846=$A1502) * ($D$768:$D$846= $D1502) * (H$768:H$846) )  +  SUM( ($A$933:$A$1011=$A1502) * ($D$933:$D$1011= $D1502) * (H$933:H$1011) ) + SUM( ($E$1016:$E$1039=$E$1427)*($A$1016:$A$1039=$A1502) * ($D$1016:$D$1039=$D1502)*(H$1016:H$1039) ) )</f>
        <v>21.041707072673901</v>
      </c>
      <c r="I1502" s="1389">
        <f t="array" ref="I1502" xml:space="preserve"> SUM(EF[CO2] * (EF[SATIM Code]= $D1502))  * (SUM( ($A$768:$A$846=$A1502) * ($D$768:$D$846= $D1502) * (I$768:I$846) )  +  SUM( ($A$933:$A$1011=$A1502) * ($D$933:$D$1011= $D1502) * (I$933:I$1011) ) + SUM( ($E$1016:$E$1039=$E$1427)*($A$1016:$A$1039=$A1502) * ($D$1016:$D$1039=$D1502)*(I$1016:I$1039) ) )</f>
        <v>24.705481588261186</v>
      </c>
      <c r="J1502" s="1389">
        <f t="array" ref="J1502" xml:space="preserve"> SUM(EF[CO2] * (EF[SATIM Code]= $D1502))  * (SUM( ($A$768:$A$846=$A1502) * ($D$768:$D$846= $D1502) * (J$768:J$846) )  +  SUM( ($A$933:$A$1011=$A1502) * ($D$933:$D$1011= $D1502) * (J$933:J$1011) ) + SUM( ($E$1016:$E$1039=$E$1427)*($A$1016:$A$1039=$A1502) * ($D$1016:$D$1039=$D1502)*(J$1016:J$1039) ) )</f>
        <v>30.516823226899817</v>
      </c>
      <c r="K1502" s="1389">
        <f t="array" ref="K1502" xml:space="preserve"> SUM(EF[CO2] * (EF[SATIM Code]= $D1502))  * (SUM( ($A$768:$A$846=$A1502) * ($D$768:$D$846= $D1502) * (K$768:K$846) )  +  SUM( ($A$933:$A$1011=$A1502) * ($D$933:$D$1011= $D1502) * (K$933:K$1011) ) + SUM( ($E$1016:$E$1039=$E$1427)*($A$1016:$A$1039=$A1502) * ($D$1016:$D$1039=$D1502)*(K$1016:K$1039) ) )</f>
        <v>36.32816486553844</v>
      </c>
      <c r="L1502" s="1389">
        <f t="array" ref="L1502" xml:space="preserve"> SUM(EF[CO2] * (EF[SATIM Code]= $D1502))  * (SUM( ($A$768:$A$846=$A1502) * ($D$768:$D$846= $D1502) * (L$768:L$846) )  +  SUM( ($A$933:$A$1011=$A1502) * ($D$933:$D$1011= $D1502) * (L$933:L$1011) ) + SUM( ($E$1016:$E$1039=$E$1427)*($A$1016:$A$1039=$A1502) * ($D$1016:$D$1039=$D1502)*(L$1016:L$1039) ) )</f>
        <v>46.210813388099673</v>
      </c>
      <c r="M1502" s="1389">
        <f t="array" ref="M1502" xml:space="preserve"> SUM(EF[CO2] * (EF[SATIM Code]= $D1502))  * (SUM( ($A$768:$A$846=$A1502) * ($D$768:$D$846= $D1502) * (M$768:M$846) )  +  SUM( ($A$933:$A$1011=$A1502) * ($D$933:$D$1011= $D1502) * (M$933:M$1011) ) + SUM( ($E$1016:$E$1039=$E$1427)*($A$1016:$A$1039=$A1502) * ($D$1016:$D$1039=$D1502)*(M$1016:M$1039) ) )</f>
        <v>56.093461910660899</v>
      </c>
      <c r="N1502" s="1389">
        <f t="array" ref="N1502" xml:space="preserve"> SUM(EF[CO2] * (EF[SATIM Code]= $D1502))  * (SUM( ($A$768:$A$846=$A1502) * ($D$768:$D$846= $D1502) * (N$768:N$846) )  +  SUM( ($A$933:$A$1011=$A1502) * ($D$933:$D$1011= $D1502) * (N$933:N$1011) ) + SUM( ($E$1016:$E$1039=$E$1427)*($A$1016:$A$1039=$A1502) * ($D$1016:$D$1039=$D1502)*(N$1016:N$1039) ) )</f>
        <v>67.687303906553822</v>
      </c>
      <c r="O1502" s="1389">
        <f t="array" ref="O1502" xml:space="preserve"> SUM(EF[CO2] * (EF[SATIM Code]= $D1502))  * (SUM( ($A$768:$A$846=$A1502) * ($D$768:$D$846= $D1502) * (O$768:O$846) )  +  SUM( ($A$933:$A$1011=$A1502) * ($D$933:$D$1011= $D1502) * (O$933:O$1011) ) + SUM( ($E$1016:$E$1039=$E$1427)*($A$1016:$A$1039=$A1502) * ($D$1016:$D$1039=$D1502)*(O$1016:O$1039) ) )</f>
        <v>79.281145902446752</v>
      </c>
    </row>
    <row r="1503" spans="1:15" s="19" customFormat="1" hidden="1" outlineLevel="1">
      <c r="A1503" s="19" t="str">
        <f t="shared" ref="A1503:A1510" si="293">A1502</f>
        <v>OT</v>
      </c>
      <c r="B1503" s="1400" t="str">
        <f>INDEX(EF[UK Vector],MATCH(D1503,EF[SATIM Code],0))</f>
        <v>V.03</v>
      </c>
      <c r="C1503" s="1401" t="str">
        <f>INDEX(Vectors[Description], MATCH($B1503, Vectors[Code], 0))</f>
        <v>Solid hydrocarbons</v>
      </c>
      <c r="D1503" s="1391" t="s">
        <v>883</v>
      </c>
      <c r="E1503" s="1393"/>
      <c r="F1503" s="1389">
        <f t="array" ref="F1503" xml:space="preserve"> SUM(EF[CO2] * (EF[SATIM Code]= $D1503))  * (SUM( ($A$768:$A$846=$A1503) * ($D$768:$D$846= $D1503) * (F$768:F$846) )  +  SUM( ($A$933:$A$1011=$A1503) * ($D$933:$D$1011= $D1503) * (F$933:F$1011) ) + SUM( ($E$1016:$E$1039=$E$1427)*($A$1016:$A$1039=$A1503) * ($D$1016:$D$1039=$D1503)*(F$1016:F$1039) ) )</f>
        <v>0</v>
      </c>
      <c r="G1503" s="1389">
        <f t="array" ref="G1503" xml:space="preserve"> SUM(EF[CO2] * (EF[SATIM Code]= $D1503))  * (SUM( ($A$768:$A$846=$A1503) * ($D$768:$D$846= $D1503) * (G$768:G$846) )  +  SUM( ($A$933:$A$1011=$A1503) * ($D$933:$D$1011= $D1503) * (G$933:G$1011) ) + SUM( ($E$1016:$E$1039=$E$1427)*($A$1016:$A$1039=$A1503) * ($D$1016:$D$1039=$D1503)*(G$1016:G$1039) ) )</f>
        <v>0</v>
      </c>
      <c r="H1503" s="1389">
        <f t="array" ref="H1503" xml:space="preserve"> SUM(EF[CO2] * (EF[SATIM Code]= $D1503))  * (SUM( ($A$768:$A$846=$A1503) * ($D$768:$D$846= $D1503) * (H$768:H$846) )  +  SUM( ($A$933:$A$1011=$A1503) * ($D$933:$D$1011= $D1503) * (H$933:H$1011) ) + SUM( ($E$1016:$E$1039=$E$1427)*($A$1016:$A$1039=$A1503) * ($D$1016:$D$1039=$D1503)*(H$1016:H$1039) ) )</f>
        <v>0</v>
      </c>
      <c r="I1503" s="1389">
        <f t="array" ref="I1503" xml:space="preserve"> SUM(EF[CO2] * (EF[SATIM Code]= $D1503))  * (SUM( ($A$768:$A$846=$A1503) * ($D$768:$D$846= $D1503) * (I$768:I$846) )  +  SUM( ($A$933:$A$1011=$A1503) * ($D$933:$D$1011= $D1503) * (I$933:I$1011) ) + SUM( ($E$1016:$E$1039=$E$1427)*($A$1016:$A$1039=$A1503) * ($D$1016:$D$1039=$D1503)*(I$1016:I$1039) ) )</f>
        <v>0</v>
      </c>
      <c r="J1503" s="1389">
        <f t="array" ref="J1503" xml:space="preserve"> SUM(EF[CO2] * (EF[SATIM Code]= $D1503))  * (SUM( ($A$768:$A$846=$A1503) * ($D$768:$D$846= $D1503) * (J$768:J$846) )  +  SUM( ($A$933:$A$1011=$A1503) * ($D$933:$D$1011= $D1503) * (J$933:J$1011) ) + SUM( ($E$1016:$E$1039=$E$1427)*($A$1016:$A$1039=$A1503) * ($D$1016:$D$1039=$D1503)*(J$1016:J$1039) ) )</f>
        <v>0</v>
      </c>
      <c r="K1503" s="1389">
        <f t="array" ref="K1503" xml:space="preserve"> SUM(EF[CO2] * (EF[SATIM Code]= $D1503))  * (SUM( ($A$768:$A$846=$A1503) * ($D$768:$D$846= $D1503) * (K$768:K$846) )  +  SUM( ($A$933:$A$1011=$A1503) * ($D$933:$D$1011= $D1503) * (K$933:K$1011) ) + SUM( ($E$1016:$E$1039=$E$1427)*($A$1016:$A$1039=$A1503) * ($D$1016:$D$1039=$D1503)*(K$1016:K$1039) ) )</f>
        <v>0</v>
      </c>
      <c r="L1503" s="1389">
        <f t="array" ref="L1503" xml:space="preserve"> SUM(EF[CO2] * (EF[SATIM Code]= $D1503))  * (SUM( ($A$768:$A$846=$A1503) * ($D$768:$D$846= $D1503) * (L$768:L$846) )  +  SUM( ($A$933:$A$1011=$A1503) * ($D$933:$D$1011= $D1503) * (L$933:L$1011) ) + SUM( ($E$1016:$E$1039=$E$1427)*($A$1016:$A$1039=$A1503) * ($D$1016:$D$1039=$D1503)*(L$1016:L$1039) ) )</f>
        <v>0</v>
      </c>
      <c r="M1503" s="1389">
        <f t="array" ref="M1503" xml:space="preserve"> SUM(EF[CO2] * (EF[SATIM Code]= $D1503))  * (SUM( ($A$768:$A$846=$A1503) * ($D$768:$D$846= $D1503) * (M$768:M$846) )  +  SUM( ($A$933:$A$1011=$A1503) * ($D$933:$D$1011= $D1503) * (M$933:M$1011) ) + SUM( ($E$1016:$E$1039=$E$1427)*($A$1016:$A$1039=$A1503) * ($D$1016:$D$1039=$D1503)*(M$1016:M$1039) ) )</f>
        <v>0</v>
      </c>
      <c r="N1503" s="1389">
        <f t="array" ref="N1503" xml:space="preserve"> SUM(EF[CO2] * (EF[SATIM Code]= $D1503))  * (SUM( ($A$768:$A$846=$A1503) * ($D$768:$D$846= $D1503) * (N$768:N$846) )  +  SUM( ($A$933:$A$1011=$A1503) * ($D$933:$D$1011= $D1503) * (N$933:N$1011) ) + SUM( ($E$1016:$E$1039=$E$1427)*($A$1016:$A$1039=$A1503) * ($D$1016:$D$1039=$D1503)*(N$1016:N$1039) ) )</f>
        <v>0</v>
      </c>
      <c r="O1503" s="1389">
        <f t="array" ref="O1503" xml:space="preserve"> SUM(EF[CO2] * (EF[SATIM Code]= $D1503))  * (SUM( ($A$768:$A$846=$A1503) * ($D$768:$D$846= $D1503) * (O$768:O$846) )  +  SUM( ($A$933:$A$1011=$A1503) * ($D$933:$D$1011= $D1503) * (O$933:O$1011) ) + SUM( ($E$1016:$E$1039=$E$1427)*($A$1016:$A$1039=$A1503) * ($D$1016:$D$1039=$D1503)*(O$1016:O$1039) ) )</f>
        <v>0</v>
      </c>
    </row>
    <row r="1504" spans="1:15" s="19" customFormat="1" hidden="1" outlineLevel="1">
      <c r="A1504" s="19" t="str">
        <f t="shared" si="293"/>
        <v>OT</v>
      </c>
      <c r="B1504" s="1400" t="str">
        <f>INDEX(EF[UK Vector],MATCH(D1504,EF[SATIM Code],0))</f>
        <v>V.05</v>
      </c>
      <c r="C1504" s="1401" t="str">
        <f>INDEX(Vectors[Description], MATCH($B1504, Vectors[Code], 0))</f>
        <v>Gaseous hydrocarbons</v>
      </c>
      <c r="D1504" s="1406" t="s">
        <v>869</v>
      </c>
      <c r="E1504" s="1393"/>
      <c r="F1504" s="1389">
        <f t="array" ref="F1504" xml:space="preserve"> SUM(EF[CO2] * (EF[SATIM Code]= $D1504))  * (SUM( ($A$768:$A$846=$A1504) * ($D$768:$D$846= $D1504) * (F$768:F$846) )  +  SUM( ($A$933:$A$1011=$A1504) * ($D$933:$D$1011= $D1504) * (F$933:F$1011) ) + SUM( ($E$1016:$E$1039=$E$1427)*($A$1016:$A$1039=$A1504) * ($D$1016:$D$1039=$D1504)*(F$1016:F$1039) ) )</f>
        <v>0.4732882109999999</v>
      </c>
      <c r="G1504" s="1389">
        <f t="array" ref="G1504" xml:space="preserve"> SUM(EF[CO2] * (EF[SATIM Code]= $D1504))  * (SUM( ($A$768:$A$846=$A1504) * ($D$768:$D$846= $D1504) * (G$768:G$846) )  +  SUM( ($A$933:$A$1011=$A1504) * ($D$933:$D$1011= $D1504) * (G$933:G$1011) ) + SUM( ($E$1016:$E$1039=$E$1427)*($A$1016:$A$1039=$A1504) * ($D$1016:$D$1039=$D1504)*(G$1016:G$1039) ) )</f>
        <v>0.55323053870605654</v>
      </c>
      <c r="H1504" s="1389">
        <f t="array" ref="H1504" xml:space="preserve"> SUM(EF[CO2] * (EF[SATIM Code]= $D1504))  * (SUM( ($A$768:$A$846=$A1504) * ($D$768:$D$846= $D1504) * (H$768:H$846) )  +  SUM( ($A$933:$A$1011=$A1504) * ($D$933:$D$1011= $D1504) * (H$933:H$1011) ) + SUM( ($E$1016:$E$1039=$E$1427)*($A$1016:$A$1039=$A1504) * ($D$1016:$D$1039=$D1504)*(H$1016:H$1039) ) )</f>
        <v>0.66986765548030214</v>
      </c>
      <c r="I1504" s="1389">
        <f t="array" ref="I1504" xml:space="preserve"> SUM(EF[CO2] * (EF[SATIM Code]= $D1504))  * (SUM( ($A$768:$A$846=$A1504) * ($D$768:$D$846= $D1504) * (I$768:I$846) )  +  SUM( ($A$933:$A$1011=$A1504) * ($D$933:$D$1011= $D1504) * (I$933:I$1011) ) + SUM( ($E$1016:$E$1039=$E$1427)*($A$1016:$A$1039=$A1504) * ($D$1016:$D$1039=$D1504)*(I$1016:I$1039) ) )</f>
        <v>0.78650477225454773</v>
      </c>
      <c r="J1504" s="1389">
        <f t="array" ref="J1504" xml:space="preserve"> SUM(EF[CO2] * (EF[SATIM Code]= $D1504))  * (SUM( ($A$768:$A$846=$A1504) * ($D$768:$D$846= $D1504) * (J$768:J$846) )  +  SUM( ($A$933:$A$1011=$A1504) * ($D$933:$D$1011= $D1504) * (J$933:J$1011) ) + SUM( ($E$1016:$E$1039=$E$1427)*($A$1016:$A$1039=$A1504) * ($D$1016:$D$1039=$D1504)*(J$1016:J$1039) ) )</f>
        <v>0.97151018960138402</v>
      </c>
      <c r="K1504" s="1389">
        <f t="array" ref="K1504" xml:space="preserve"> SUM(EF[CO2] * (EF[SATIM Code]= $D1504))  * (SUM( ($A$768:$A$846=$A1504) * ($D$768:$D$846= $D1504) * (K$768:K$846) )  +  SUM( ($A$933:$A$1011=$A1504) * ($D$933:$D$1011= $D1504) * (K$933:K$1011) ) + SUM( ($E$1016:$E$1039=$E$1427)*($A$1016:$A$1039=$A1504) * ($D$1016:$D$1039=$D1504)*(K$1016:K$1039) ) )</f>
        <v>1.1565156069482203</v>
      </c>
      <c r="L1504" s="1389">
        <f t="array" ref="L1504" xml:space="preserve"> SUM(EF[CO2] * (EF[SATIM Code]= $D1504))  * (SUM( ($A$768:$A$846=$A1504) * ($D$768:$D$846= $D1504) * (L$768:L$846) )  +  SUM( ($A$933:$A$1011=$A1504) * ($D$933:$D$1011= $D1504) * (L$933:L$1011) ) + SUM( ($E$1016:$E$1039=$E$1427)*($A$1016:$A$1039=$A1504) * ($D$1016:$D$1039=$D1504)*(L$1016:L$1039) ) )</f>
        <v>1.4711320291272556</v>
      </c>
      <c r="M1504" s="1389">
        <f t="array" ref="M1504" xml:space="preserve"> SUM(EF[CO2] * (EF[SATIM Code]= $D1504))  * (SUM( ($A$768:$A$846=$A1504) * ($D$768:$D$846= $D1504) * (M$768:M$846) )  +  SUM( ($A$933:$A$1011=$A1504) * ($D$933:$D$1011= $D1504) * (M$933:M$1011) ) + SUM( ($E$1016:$E$1039=$E$1427)*($A$1016:$A$1039=$A1504) * ($D$1016:$D$1039=$D1504)*(M$1016:M$1039) ) )</f>
        <v>1.7857484513062907</v>
      </c>
      <c r="N1504" s="1389">
        <f t="array" ref="N1504" xml:space="preserve"> SUM(EF[CO2] * (EF[SATIM Code]= $D1504))  * (SUM( ($A$768:$A$846=$A1504) * ($D$768:$D$846= $D1504) * (N$768:N$846) )  +  SUM( ($A$933:$A$1011=$A1504) * ($D$933:$D$1011= $D1504) * (N$933:N$1011) ) + SUM( ($E$1016:$E$1039=$E$1427)*($A$1016:$A$1039=$A1504) * ($D$1016:$D$1039=$D1504)*(N$1016:N$1039) ) )</f>
        <v>2.1548411170759669</v>
      </c>
      <c r="O1504" s="1389">
        <f t="array" ref="O1504" xml:space="preserve"> SUM(EF[CO2] * (EF[SATIM Code]= $D1504))  * (SUM( ($A$768:$A$846=$A1504) * ($D$768:$D$846= $D1504) * (O$768:O$846) )  +  SUM( ($A$933:$A$1011=$A1504) * ($D$933:$D$1011= $D1504) * (O$933:O$1011) ) + SUM( ($E$1016:$E$1039=$E$1427)*($A$1016:$A$1039=$A1504) * ($D$1016:$D$1039=$D1504)*(O$1016:O$1039) ) )</f>
        <v>2.523933782845643</v>
      </c>
    </row>
    <row r="1505" spans="1:15" s="19" customFormat="1" hidden="1" outlineLevel="1">
      <c r="A1505" s="19" t="str">
        <f t="shared" si="293"/>
        <v>OT</v>
      </c>
      <c r="B1505" s="1400" t="str">
        <f>INDEX(EF[UK Vector],MATCH(D1505,EF[SATIM Code],0))</f>
        <v>V.04</v>
      </c>
      <c r="C1505" s="1401" t="str">
        <f>INDEX(Vectors[Description], MATCH($B1505, Vectors[Code], 0))</f>
        <v>Liquid hydrocarbons</v>
      </c>
      <c r="D1505" s="1406" t="s">
        <v>885</v>
      </c>
      <c r="E1505" s="1393"/>
      <c r="F1505" s="1389">
        <f t="array" ref="F1505" xml:space="preserve"> SUM(EF[CO2] * (EF[SATIM Code]= $D1505))  * (SUM( ($A$768:$A$846=$A1505) * ($D$768:$D$846= $D1505) * (F$768:F$846) )  +  SUM( ($A$933:$A$1011=$A1505) * ($D$933:$D$1011= $D1505) * (F$933:F$1011) ) + SUM( ($E$1016:$E$1039=$E$1427)*($A$1016:$A$1039=$A1505) * ($D$1016:$D$1039=$D1505)*(F$1016:F$1039) ) )</f>
        <v>6.9466148294400005E-3</v>
      </c>
      <c r="G1505" s="1389">
        <f t="array" ref="G1505" xml:space="preserve"> SUM(EF[CO2] * (EF[SATIM Code]= $D1505))  * (SUM( ($A$768:$A$846=$A1505) * ($D$768:$D$846= $D1505) * (G$768:G$846) )  +  SUM( ($A$933:$A$1011=$A1505) * ($D$933:$D$1011= $D1505) * (G$933:G$1011) ) + SUM( ($E$1016:$E$1039=$E$1427)*($A$1016:$A$1039=$A1505) * ($D$1016:$D$1039=$D1505)*(G$1016:G$1039) ) )</f>
        <v>8.1199560330366492E-3</v>
      </c>
      <c r="H1505" s="1389">
        <f t="array" ref="H1505" xml:space="preserve"> SUM(EF[CO2] * (EF[SATIM Code]= $D1505))  * (SUM( ($A$768:$A$846=$A1505) * ($D$768:$D$846= $D1505) * (H$768:H$846) )  +  SUM( ($A$933:$A$1011=$A1505) * ($D$933:$D$1011= $D1505) * (H$933:H$1011) ) + SUM( ($E$1016:$E$1039=$E$1427)*($A$1016:$A$1039=$A1505) * ($D$1016:$D$1039=$D1505)*(H$1016:H$1039) ) )</f>
        <v>9.8318793520966712E-3</v>
      </c>
      <c r="I1505" s="1389">
        <f t="array" ref="I1505" xml:space="preserve"> SUM(EF[CO2] * (EF[SATIM Code]= $D1505))  * (SUM( ($A$768:$A$846=$A1505) * ($D$768:$D$846= $D1505) * (I$768:I$846) )  +  SUM( ($A$933:$A$1011=$A1505) * ($D$933:$D$1011= $D1505) * (I$933:I$1011) ) + SUM( ($E$1016:$E$1039=$E$1427)*($A$1016:$A$1039=$A1505) * ($D$1016:$D$1039=$D1505)*(I$1016:I$1039) ) )</f>
        <v>1.1543802671156692E-2</v>
      </c>
      <c r="J1505" s="1389">
        <f t="array" ref="J1505" xml:space="preserve"> SUM(EF[CO2] * (EF[SATIM Code]= $D1505))  * (SUM( ($A$768:$A$846=$A1505) * ($D$768:$D$846= $D1505) * (J$768:J$846) )  +  SUM( ($A$933:$A$1011=$A1505) * ($D$933:$D$1011= $D1505) * (J$933:J$1011) ) + SUM( ($E$1016:$E$1039=$E$1427)*($A$1016:$A$1039=$A1505) * ($D$1016:$D$1039=$D1505)*(J$1016:J$1039) ) )</f>
        <v>1.4259191192989681E-2</v>
      </c>
      <c r="K1505" s="1389">
        <f t="array" ref="K1505" xml:space="preserve"> SUM(EF[CO2] * (EF[SATIM Code]= $D1505))  * (SUM( ($A$768:$A$846=$A1505) * ($D$768:$D$846= $D1505) * (K$768:K$846) )  +  SUM( ($A$933:$A$1011=$A1505) * ($D$933:$D$1011= $D1505) * (K$933:K$1011) ) + SUM( ($E$1016:$E$1039=$E$1427)*($A$1016:$A$1039=$A1505) * ($D$1016:$D$1039=$D1505)*(K$1016:K$1039) ) )</f>
        <v>1.6974579714822666E-2</v>
      </c>
      <c r="L1505" s="1389">
        <f t="array" ref="L1505" xml:space="preserve"> SUM(EF[CO2] * (EF[SATIM Code]= $D1505))  * (SUM( ($A$768:$A$846=$A1505) * ($D$768:$D$846= $D1505) * (L$768:L$846) )  +  SUM( ($A$933:$A$1011=$A1505) * ($D$933:$D$1011= $D1505) * (L$933:L$1011) ) + SUM( ($E$1016:$E$1039=$E$1427)*($A$1016:$A$1039=$A1505) * ($D$1016:$D$1039=$D1505)*(L$1016:L$1039) ) )</f>
        <v>2.1592313799676605E-2</v>
      </c>
      <c r="M1505" s="1389">
        <f t="array" ref="M1505" xml:space="preserve"> SUM(EF[CO2] * (EF[SATIM Code]= $D1505))  * (SUM( ($A$768:$A$846=$A1505) * ($D$768:$D$846= $D1505) * (M$768:M$846) )  +  SUM( ($A$933:$A$1011=$A1505) * ($D$933:$D$1011= $D1505) * (M$933:M$1011) ) + SUM( ($E$1016:$E$1039=$E$1427)*($A$1016:$A$1039=$A1505) * ($D$1016:$D$1039=$D1505)*(M$1016:M$1039) ) )</f>
        <v>2.6210047884530539E-2</v>
      </c>
      <c r="N1505" s="1389">
        <f t="array" ref="N1505" xml:space="preserve"> SUM(EF[CO2] * (EF[SATIM Code]= $D1505))  * (SUM( ($A$768:$A$846=$A1505) * ($D$768:$D$846= $D1505) * (N$768:N$846) )  +  SUM( ($A$933:$A$1011=$A1505) * ($D$933:$D$1011= $D1505) * (N$933:N$1011) ) + SUM( ($E$1016:$E$1039=$E$1427)*($A$1016:$A$1039=$A1505) * ($D$1016:$D$1039=$D1505)*(N$1016:N$1039) ) )</f>
        <v>3.1627348645214756E-2</v>
      </c>
      <c r="O1505" s="1389">
        <f t="array" ref="O1505" xml:space="preserve"> SUM(EF[CO2] * (EF[SATIM Code]= $D1505))  * (SUM( ($A$768:$A$846=$A1505) * ($D$768:$D$846= $D1505) * (O$768:O$846) )  +  SUM( ($A$933:$A$1011=$A1505) * ($D$933:$D$1011= $D1505) * (O$933:O$1011) ) + SUM( ($E$1016:$E$1039=$E$1427)*($A$1016:$A$1039=$A1505) * ($D$1016:$D$1039=$D1505)*(O$1016:O$1039) ) )</f>
        <v>3.704464940589898E-2</v>
      </c>
    </row>
    <row r="1506" spans="1:15" s="19" customFormat="1" hidden="1" outlineLevel="1">
      <c r="A1506" s="19" t="str">
        <f t="shared" si="293"/>
        <v>OT</v>
      </c>
      <c r="B1506" s="1400" t="str">
        <f>INDEX(EF[UK Vector],MATCH(D1506,EF[SATIM Code],0))</f>
        <v>V.04</v>
      </c>
      <c r="C1506" s="1401" t="str">
        <f>INDEX(Vectors[Description], MATCH($B1506, Vectors[Code], 0))</f>
        <v>Liquid hydrocarbons</v>
      </c>
      <c r="D1506" s="1391" t="s">
        <v>886</v>
      </c>
      <c r="E1506" s="1393"/>
      <c r="F1506" s="1389">
        <f t="array" ref="F1506" xml:space="preserve"> SUM(EF[CO2] * (EF[SATIM Code]= $D1506))  * (SUM( ($A$768:$A$846=$A1506) * ($D$768:$D$846= $D1506) * (F$768:F$846) )  +  SUM( ($A$933:$A$1011=$A1506) * ($D$933:$D$1011= $D1506) * (F$933:F$1011) ) + SUM( ($E$1016:$E$1039=$E$1427)*($A$1016:$A$1039=$A1506) * ($D$1016:$D$1039=$D1506)*(F$1016:F$1039) ) )</f>
        <v>0.58259535699133203</v>
      </c>
      <c r="G1506" s="1389">
        <f t="array" ref="G1506" xml:space="preserve"> SUM(EF[CO2] * (EF[SATIM Code]= $D1506))  * (SUM( ($A$768:$A$846=$A1506) * ($D$768:$D$846= $D1506) * (G$768:G$846) )  +  SUM( ($A$933:$A$1011=$A1506) * ($D$933:$D$1011= $D1506) * (G$933:G$1011) ) + SUM( ($E$1016:$E$1039=$E$1427)*($A$1016:$A$1039=$A1506) * ($D$1016:$D$1039=$D1506)*(G$1016:G$1039) ) )</f>
        <v>0.68123892928668084</v>
      </c>
      <c r="H1506" s="1389">
        <f t="array" ref="H1506" xml:space="preserve"> SUM(EF[CO2] * (EF[SATIM Code]= $D1506))  * (SUM( ($A$768:$A$846=$A1506) * ($D$768:$D$846= $D1506) * (H$768:H$846) )  +  SUM( ($A$933:$A$1011=$A1506) * ($D$933:$D$1011= $D1506) * (H$933:H$1011) ) + SUM( ($E$1016:$E$1039=$E$1427)*($A$1016:$A$1039=$A1506) * ($D$1016:$D$1039=$D1506)*(H$1016:H$1039) ) )</f>
        <v>0.81017173575898149</v>
      </c>
      <c r="I1506" s="1389">
        <f t="array" ref="I1506" xml:space="preserve"> SUM(EF[CO2] * (EF[SATIM Code]= $D1506))  * (SUM( ($A$768:$A$846=$A1506) * ($D$768:$D$846= $D1506) * (I$768:I$846) )  +  SUM( ($A$933:$A$1011=$A1506) * ($D$933:$D$1011= $D1506) * (I$933:I$1011) ) + SUM( ($E$1016:$E$1039=$E$1427)*($A$1016:$A$1039=$A1506) * ($D$1016:$D$1039=$D1506)*(I$1016:I$1039) ) )</f>
        <v>0.97033231879616122</v>
      </c>
      <c r="J1506" s="1389">
        <f t="array" ref="J1506" xml:space="preserve"> SUM(EF[CO2] * (EF[SATIM Code]= $D1506))  * (SUM( ($A$768:$A$846=$A1506) * ($D$768:$D$846= $D1506) * (J$768:J$846) )  +  SUM( ($A$933:$A$1011=$A1506) * ($D$933:$D$1011= $D1506) * (J$933:J$1011) ) + SUM( ($E$1016:$E$1039=$E$1427)*($A$1016:$A$1039=$A1506) * ($D$1016:$D$1039=$D1506)*(J$1016:J$1039) ) )</f>
        <v>1.1720361913983037</v>
      </c>
      <c r="K1506" s="1389">
        <f t="array" ref="K1506" xml:space="preserve"> SUM(EF[CO2] * (EF[SATIM Code]= $D1506))  * (SUM( ($A$768:$A$846=$A1506) * ($D$768:$D$846= $D1506) * (K$768:K$846) )  +  SUM( ($A$933:$A$1011=$A1506) * ($D$933:$D$1011= $D1506) * (K$933:K$1011) ) + SUM( ($E$1016:$E$1039=$E$1427)*($A$1016:$A$1039=$A1506) * ($D$1016:$D$1039=$D1506)*(K$1016:K$1039) ) )</f>
        <v>1.4317997452933813</v>
      </c>
      <c r="L1506" s="1389">
        <f t="array" ref="L1506" xml:space="preserve"> SUM(EF[CO2] * (EF[SATIM Code]= $D1506))  * (SUM( ($A$768:$A$846=$A1506) * ($D$768:$D$846= $D1506) * (L$768:L$846) )  +  SUM( ($A$933:$A$1011=$A1506) * ($D$933:$D$1011= $D1506) * (L$933:L$1011) ) + SUM( ($E$1016:$E$1039=$E$1427)*($A$1016:$A$1039=$A1506) * ($D$1016:$D$1039=$D1506)*(L$1016:L$1039) ) )</f>
        <v>1.7991473672996732</v>
      </c>
      <c r="M1506" s="1389">
        <f t="array" ref="M1506" xml:space="preserve"> SUM(EF[CO2] * (EF[SATIM Code]= $D1506))  * (SUM( ($A$768:$A$846=$A1506) * ($D$768:$D$846= $D1506) * (M$768:M$846) )  +  SUM( ($A$933:$A$1011=$A1506) * ($D$933:$D$1011= $D1506) * (M$933:M$1011) ) + SUM( ($E$1016:$E$1039=$E$1427)*($A$1016:$A$1039=$A1506) * ($D$1016:$D$1039=$D1506)*(M$1016:M$1039) ) )</f>
        <v>2.2173476457511669</v>
      </c>
      <c r="N1506" s="1389">
        <f t="array" ref="N1506" xml:space="preserve"> SUM(EF[CO2] * (EF[SATIM Code]= $D1506))  * (SUM( ($A$768:$A$846=$A1506) * ($D$768:$D$846= $D1506) * (N$768:N$846) )  +  SUM( ($A$933:$A$1011=$A1506) * ($D$933:$D$1011= $D1506) * (N$933:N$1011) ) + SUM( ($E$1016:$E$1039=$E$1427)*($A$1016:$A$1039=$A1506) * ($D$1016:$D$1039=$D1506)*(N$1016:N$1039) ) )</f>
        <v>2.6617905562822917</v>
      </c>
      <c r="O1506" s="1389">
        <f t="array" ref="O1506" xml:space="preserve"> SUM(EF[CO2] * (EF[SATIM Code]= $D1506))  * (SUM( ($A$768:$A$846=$A1506) * ($D$768:$D$846= $D1506) * (O$768:O$846) )  +  SUM( ($A$933:$A$1011=$A1506) * ($D$933:$D$1011= $D1506) * (O$933:O$1011) ) + SUM( ($E$1016:$E$1039=$E$1427)*($A$1016:$A$1039=$A1506) * ($D$1016:$D$1039=$D1506)*(O$1016:O$1039) ) )</f>
        <v>3.1379112975028973</v>
      </c>
    </row>
    <row r="1507" spans="1:15" s="19" customFormat="1" hidden="1" outlineLevel="1">
      <c r="A1507" s="19" t="str">
        <f t="shared" si="293"/>
        <v>OT</v>
      </c>
      <c r="B1507" s="1400" t="str">
        <f>INDEX(EF[UK Vector],MATCH(D1507,EF[SATIM Code],0))</f>
        <v>V.04</v>
      </c>
      <c r="C1507" s="1401" t="str">
        <f>INDEX(Vectors[Description], MATCH($B1507, Vectors[Code], 0))</f>
        <v>Liquid hydrocarbons</v>
      </c>
      <c r="D1507" s="1406" t="s">
        <v>887</v>
      </c>
      <c r="E1507" s="1393"/>
      <c r="F1507" s="1389">
        <f t="array" ref="F1507" xml:space="preserve"> SUM(EF[CO2] * (EF[SATIM Code]= $D1507))  * (SUM( ($A$768:$A$846=$A1507) * ($D$768:$D$846= $D1507) * (F$768:F$846) )  +  SUM( ($A$933:$A$1011=$A1507) * ($D$933:$D$1011= $D1507) * (F$933:F$1011) ) + SUM( ($E$1016:$E$1039=$E$1427)*($A$1016:$A$1039=$A1507) * ($D$1016:$D$1039=$D1507)*(F$1016:F$1039) ) )</f>
        <v>2.3989608506999998E-4</v>
      </c>
      <c r="G1507" s="1389">
        <f t="array" ref="G1507" xml:space="preserve"> SUM(EF[CO2] * (EF[SATIM Code]= $D1507))  * (SUM( ($A$768:$A$846=$A1507) * ($D$768:$D$846= $D1507) * (G$768:G$846) )  +  SUM( ($A$933:$A$1011=$A1507) * ($D$933:$D$1011= $D1507) * (G$933:G$1011) ) + SUM( ($E$1016:$E$1039=$E$1427)*($A$1016:$A$1039=$A1507) * ($D$1016:$D$1039=$D1507)*(G$1016:G$1039) ) )</f>
        <v>2.8041653540521015E-4</v>
      </c>
      <c r="H1507" s="1389">
        <f t="array" ref="H1507" xml:space="preserve"> SUM(EF[CO2] * (EF[SATIM Code]= $D1507))  * (SUM( ($A$768:$A$846=$A1507) * ($D$768:$D$846= $D1507) * (H$768:H$846) )  +  SUM( ($A$933:$A$1011=$A1507) * ($D$933:$D$1011= $D1507) * (H$933:H$1011) ) + SUM( ($E$1016:$E$1039=$E$1427)*($A$1016:$A$1039=$A1507) * ($D$1016:$D$1039=$D1507)*(H$1016:H$1039) ) )</f>
        <v>3.3953651143181339E-4</v>
      </c>
      <c r="I1507" s="1389">
        <f t="array" ref="I1507" xml:space="preserve"> SUM(EF[CO2] * (EF[SATIM Code]= $D1507))  * (SUM( ($A$768:$A$846=$A1507) * ($D$768:$D$846= $D1507) * (I$768:I$846) )  +  SUM( ($A$933:$A$1011=$A1507) * ($D$933:$D$1011= $D1507) * (I$933:I$1011) ) + SUM( ($E$1016:$E$1039=$E$1427)*($A$1016:$A$1039=$A1507) * ($D$1016:$D$1039=$D1507)*(I$1016:I$1039) ) )</f>
        <v>3.9865648745841668E-4</v>
      </c>
      <c r="J1507" s="1389">
        <f t="array" ref="J1507" xml:space="preserve"> SUM(EF[CO2] * (EF[SATIM Code]= $D1507))  * (SUM( ($A$768:$A$846=$A1507) * ($D$768:$D$846= $D1507) * (J$768:J$846) )  +  SUM( ($A$933:$A$1011=$A1507) * ($D$933:$D$1011= $D1507) * (J$933:J$1011) ) + SUM( ($E$1016:$E$1039=$E$1427)*($A$1016:$A$1039=$A1507) * ($D$1016:$D$1039=$D1507)*(J$1016:J$1039) ) )</f>
        <v>4.9243037471513411E-4</v>
      </c>
      <c r="K1507" s="1389">
        <f t="array" ref="K1507" xml:space="preserve"> SUM(EF[CO2] * (EF[SATIM Code]= $D1507))  * (SUM( ($A$768:$A$846=$A1507) * ($D$768:$D$846= $D1507) * (K$768:K$846) )  +  SUM( ($A$933:$A$1011=$A1507) * ($D$933:$D$1011= $D1507) * (K$933:K$1011) ) + SUM( ($E$1016:$E$1039=$E$1427)*($A$1016:$A$1039=$A1507) * ($D$1016:$D$1039=$D1507)*(K$1016:K$1039) ) )</f>
        <v>5.8620426197185166E-4</v>
      </c>
      <c r="L1507" s="1389">
        <f t="array" ref="L1507" xml:space="preserve"> SUM(EF[CO2] * (EF[SATIM Code]= $D1507))  * (SUM( ($A$768:$A$846=$A1507) * ($D$768:$D$846= $D1507) * (L$768:L$846) )  +  SUM( ($A$933:$A$1011=$A1507) * ($D$933:$D$1011= $D1507) * (L$933:L$1011) ) + SUM( ($E$1016:$E$1039=$E$1427)*($A$1016:$A$1039=$A1507) * ($D$1016:$D$1039=$D1507)*(L$1016:L$1039) ) )</f>
        <v>7.4567421331505311E-4</v>
      </c>
      <c r="M1507" s="1389">
        <f t="array" ref="M1507" xml:space="preserve"> SUM(EF[CO2] * (EF[SATIM Code]= $D1507))  * (SUM( ($A$768:$A$846=$A1507) * ($D$768:$D$846= $D1507) * (M$768:M$846) )  +  SUM( ($A$933:$A$1011=$A1507) * ($D$933:$D$1011= $D1507) * (M$933:M$1011) ) + SUM( ($E$1016:$E$1039=$E$1427)*($A$1016:$A$1039=$A1507) * ($D$1016:$D$1039=$D1507)*(M$1016:M$1039) ) )</f>
        <v>9.0514416465825446E-4</v>
      </c>
      <c r="N1507" s="1389">
        <f t="array" ref="N1507" xml:space="preserve"> SUM(EF[CO2] * (EF[SATIM Code]= $D1507))  * (SUM( ($A$768:$A$846=$A1507) * ($D$768:$D$846= $D1507) * (N$768:N$846) )  +  SUM( ($A$933:$A$1011=$A1507) * ($D$933:$D$1011= $D1507) * (N$933:N$1011) ) + SUM( ($E$1016:$E$1039=$E$1427)*($A$1016:$A$1039=$A1507) * ($D$1016:$D$1039=$D1507)*(N$1016:N$1039) ) )</f>
        <v>1.0922265459394464E-3</v>
      </c>
      <c r="O1507" s="1389">
        <f t="array" ref="O1507" xml:space="preserve"> SUM(EF[CO2] * (EF[SATIM Code]= $D1507))  * (SUM( ($A$768:$A$846=$A1507) * ($D$768:$D$846= $D1507) * (O$768:O$846) )  +  SUM( ($A$933:$A$1011=$A1507) * ($D$933:$D$1011= $D1507) * (O$933:O$1011) ) + SUM( ($E$1016:$E$1039=$E$1427)*($A$1016:$A$1039=$A1507) * ($D$1016:$D$1039=$D1507)*(O$1016:O$1039) ) )</f>
        <v>1.2793089272206386E-3</v>
      </c>
    </row>
    <row r="1508" spans="1:15" s="19" customFormat="1" hidden="1" outlineLevel="1">
      <c r="A1508" s="19" t="str">
        <f t="shared" si="293"/>
        <v>OT</v>
      </c>
      <c r="B1508" s="1400" t="str">
        <f>INDEX(EF[UK Vector],MATCH(D1508,EF[SATIM Code],0))</f>
        <v>V.09</v>
      </c>
      <c r="C1508" s="1401" t="str">
        <f>INDEX(Vectors[Description], MATCH($B1508, Vectors[Code], 0))</f>
        <v>Dry biomass and waste</v>
      </c>
      <c r="D1508" s="1406" t="s">
        <v>888</v>
      </c>
      <c r="E1508" s="1385"/>
      <c r="F1508" s="1389">
        <f t="array" ref="F1508" xml:space="preserve"> SUM(EF[CO2] * (EF[SATIM Code]= $D1508))  * (SUM( ($A$768:$A$846=$A1508) * ($D$768:$D$846= $D1508) * (F$768:F$846) )  +  SUM( ($A$933:$A$1011=$A1508) * ($D$933:$D$1011= $D1508) * (F$933:F$1011) ) + SUM( ($E$1016:$E$1039=$E$1427)*($A$1016:$A$1039=$A1508) * ($D$1016:$D$1039=$D1508)*(F$1016:F$1039) ) )</f>
        <v>0</v>
      </c>
      <c r="G1508" s="1389">
        <f t="array" ref="G1508" xml:space="preserve"> SUM(EF[CO2] * (EF[SATIM Code]= $D1508))  * (SUM( ($A$768:$A$846=$A1508) * ($D$768:$D$846= $D1508) * (G$768:G$846) )  +  SUM( ($A$933:$A$1011=$A1508) * ($D$933:$D$1011= $D1508) * (G$933:G$1011) ) + SUM( ($E$1016:$E$1039=$E$1427)*($A$1016:$A$1039=$A1508) * ($D$1016:$D$1039=$D1508)*(G$1016:G$1039) ) )</f>
        <v>0</v>
      </c>
      <c r="H1508" s="1389">
        <f t="array" ref="H1508" xml:space="preserve"> SUM(EF[CO2] * (EF[SATIM Code]= $D1508))  * (SUM( ($A$768:$A$846=$A1508) * ($D$768:$D$846= $D1508) * (H$768:H$846) )  +  SUM( ($A$933:$A$1011=$A1508) * ($D$933:$D$1011= $D1508) * (H$933:H$1011) ) + SUM( ($E$1016:$E$1039=$E$1427)*($A$1016:$A$1039=$A1508) * ($D$1016:$D$1039=$D1508)*(H$1016:H$1039) ) )</f>
        <v>0</v>
      </c>
      <c r="I1508" s="1389">
        <f t="array" ref="I1508" xml:space="preserve"> SUM(EF[CO2] * (EF[SATIM Code]= $D1508))  * (SUM( ($A$768:$A$846=$A1508) * ($D$768:$D$846= $D1508) * (I$768:I$846) )  +  SUM( ($A$933:$A$1011=$A1508) * ($D$933:$D$1011= $D1508) * (I$933:I$1011) ) + SUM( ($E$1016:$E$1039=$E$1427)*($A$1016:$A$1039=$A1508) * ($D$1016:$D$1039=$D1508)*(I$1016:I$1039) ) )</f>
        <v>0</v>
      </c>
      <c r="J1508" s="1389">
        <f t="array" ref="J1508" xml:space="preserve"> SUM(EF[CO2] * (EF[SATIM Code]= $D1508))  * (SUM( ($A$768:$A$846=$A1508) * ($D$768:$D$846= $D1508) * (J$768:J$846) )  +  SUM( ($A$933:$A$1011=$A1508) * ($D$933:$D$1011= $D1508) * (J$933:J$1011) ) + SUM( ($E$1016:$E$1039=$E$1427)*($A$1016:$A$1039=$A1508) * ($D$1016:$D$1039=$D1508)*(J$1016:J$1039) ) )</f>
        <v>0</v>
      </c>
      <c r="K1508" s="1389">
        <f t="array" ref="K1508" xml:space="preserve"> SUM(EF[CO2] * (EF[SATIM Code]= $D1508))  * (SUM( ($A$768:$A$846=$A1508) * ($D$768:$D$846= $D1508) * (K$768:K$846) )  +  SUM( ($A$933:$A$1011=$A1508) * ($D$933:$D$1011= $D1508) * (K$933:K$1011) ) + SUM( ($E$1016:$E$1039=$E$1427)*($A$1016:$A$1039=$A1508) * ($D$1016:$D$1039=$D1508)*(K$1016:K$1039) ) )</f>
        <v>0</v>
      </c>
      <c r="L1508" s="1389">
        <f t="array" ref="L1508" xml:space="preserve"> SUM(EF[CO2] * (EF[SATIM Code]= $D1508))  * (SUM( ($A$768:$A$846=$A1508) * ($D$768:$D$846= $D1508) * (L$768:L$846) )  +  SUM( ($A$933:$A$1011=$A1508) * ($D$933:$D$1011= $D1508) * (L$933:L$1011) ) + SUM( ($E$1016:$E$1039=$E$1427)*($A$1016:$A$1039=$A1508) * ($D$1016:$D$1039=$D1508)*(L$1016:L$1039) ) )</f>
        <v>0</v>
      </c>
      <c r="M1508" s="1389">
        <f t="array" ref="M1508" xml:space="preserve"> SUM(EF[CO2] * (EF[SATIM Code]= $D1508))  * (SUM( ($A$768:$A$846=$A1508) * ($D$768:$D$846= $D1508) * (M$768:M$846) )  +  SUM( ($A$933:$A$1011=$A1508) * ($D$933:$D$1011= $D1508) * (M$933:M$1011) ) + SUM( ($E$1016:$E$1039=$E$1427)*($A$1016:$A$1039=$A1508) * ($D$1016:$D$1039=$D1508)*(M$1016:M$1039) ) )</f>
        <v>0</v>
      </c>
      <c r="N1508" s="1389">
        <f t="array" ref="N1508" xml:space="preserve"> SUM(EF[CO2] * (EF[SATIM Code]= $D1508))  * (SUM( ($A$768:$A$846=$A1508) * ($D$768:$D$846= $D1508) * (N$768:N$846) )  +  SUM( ($A$933:$A$1011=$A1508) * ($D$933:$D$1011= $D1508) * (N$933:N$1011) ) + SUM( ($E$1016:$E$1039=$E$1427)*($A$1016:$A$1039=$A1508) * ($D$1016:$D$1039=$D1508)*(N$1016:N$1039) ) )</f>
        <v>0</v>
      </c>
      <c r="O1508" s="1389">
        <f t="array" ref="O1508" xml:space="preserve"> SUM(EF[CO2] * (EF[SATIM Code]= $D1508))  * (SUM( ($A$768:$A$846=$A1508) * ($D$768:$D$846= $D1508) * (O$768:O$846) )  +  SUM( ($A$933:$A$1011=$A1508) * ($D$933:$D$1011= $D1508) * (O$933:O$1011) ) + SUM( ($E$1016:$E$1039=$E$1427)*($A$1016:$A$1039=$A1508) * ($D$1016:$D$1039=$D1508)*(O$1016:O$1039) ) )</f>
        <v>0</v>
      </c>
    </row>
    <row r="1509" spans="1:15" s="19" customFormat="1" hidden="1" outlineLevel="1">
      <c r="A1509" s="19" t="str">
        <f t="shared" si="293"/>
        <v>OT</v>
      </c>
      <c r="B1509" s="1400" t="str">
        <f>INDEX(EF[UK Vector],MATCH(D1509,EF[SATIM Code],0))</f>
        <v>V.09</v>
      </c>
      <c r="C1509" s="1401" t="str">
        <f>INDEX(Vectors[Description], MATCH($B1509, Vectors[Code], 0))</f>
        <v>Dry biomass and waste</v>
      </c>
      <c r="D1509" s="1388" t="s">
        <v>889</v>
      </c>
      <c r="E1509" s="1385"/>
      <c r="F1509" s="1389">
        <f t="array" ref="F1509" xml:space="preserve"> SUM(EF[CO2] * (EF[SATIM Code]= $D1509))  * (SUM( ($A$768:$A$846=$A1509) * ($D$768:$D$846= $D1509) * (F$768:F$846) )  +  SUM( ($A$933:$A$1011=$A1509) * ($D$933:$D$1011= $D1509) * (F$933:F$1011) ) + SUM( ($E$1016:$E$1039=$E$1427)*($A$1016:$A$1039=$A1509) * ($D$1016:$D$1039=$D1509)*(F$1016:F$1039) ) )</f>
        <v>0</v>
      </c>
      <c r="G1509" s="1389">
        <f t="array" ref="G1509" xml:space="preserve"> SUM(EF[CO2] * (EF[SATIM Code]= $D1509))  * (SUM( ($A$768:$A$846=$A1509) * ($D$768:$D$846= $D1509) * (G$768:G$846) )  +  SUM( ($A$933:$A$1011=$A1509) * ($D$933:$D$1011= $D1509) * (G$933:G$1011) ) + SUM( ($E$1016:$E$1039=$E$1427)*($A$1016:$A$1039=$A1509) * ($D$1016:$D$1039=$D1509)*(G$1016:G$1039) ) )</f>
        <v>0</v>
      </c>
      <c r="H1509" s="1389">
        <f t="array" ref="H1509" xml:space="preserve"> SUM(EF[CO2] * (EF[SATIM Code]= $D1509))  * (SUM( ($A$768:$A$846=$A1509) * ($D$768:$D$846= $D1509) * (H$768:H$846) )  +  SUM( ($A$933:$A$1011=$A1509) * ($D$933:$D$1011= $D1509) * (H$933:H$1011) ) + SUM( ($E$1016:$E$1039=$E$1427)*($A$1016:$A$1039=$A1509) * ($D$1016:$D$1039=$D1509)*(H$1016:H$1039) ) )</f>
        <v>0</v>
      </c>
      <c r="I1509" s="1389">
        <f t="array" ref="I1509" xml:space="preserve"> SUM(EF[CO2] * (EF[SATIM Code]= $D1509))  * (SUM( ($A$768:$A$846=$A1509) * ($D$768:$D$846= $D1509) * (I$768:I$846) )  +  SUM( ($A$933:$A$1011=$A1509) * ($D$933:$D$1011= $D1509) * (I$933:I$1011) ) + SUM( ($E$1016:$E$1039=$E$1427)*($A$1016:$A$1039=$A1509) * ($D$1016:$D$1039=$D1509)*(I$1016:I$1039) ) )</f>
        <v>0</v>
      </c>
      <c r="J1509" s="1389">
        <f t="array" ref="J1509" xml:space="preserve"> SUM(EF[CO2] * (EF[SATIM Code]= $D1509))  * (SUM( ($A$768:$A$846=$A1509) * ($D$768:$D$846= $D1509) * (J$768:J$846) )  +  SUM( ($A$933:$A$1011=$A1509) * ($D$933:$D$1011= $D1509) * (J$933:J$1011) ) + SUM( ($E$1016:$E$1039=$E$1427)*($A$1016:$A$1039=$A1509) * ($D$1016:$D$1039=$D1509)*(J$1016:J$1039) ) )</f>
        <v>0</v>
      </c>
      <c r="K1509" s="1389">
        <f t="array" ref="K1509" xml:space="preserve"> SUM(EF[CO2] * (EF[SATIM Code]= $D1509))  * (SUM( ($A$768:$A$846=$A1509) * ($D$768:$D$846= $D1509) * (K$768:K$846) )  +  SUM( ($A$933:$A$1011=$A1509) * ($D$933:$D$1011= $D1509) * (K$933:K$1011) ) + SUM( ($E$1016:$E$1039=$E$1427)*($A$1016:$A$1039=$A1509) * ($D$1016:$D$1039=$D1509)*(K$1016:K$1039) ) )</f>
        <v>0</v>
      </c>
      <c r="L1509" s="1389">
        <f t="array" ref="L1509" xml:space="preserve"> SUM(EF[CO2] * (EF[SATIM Code]= $D1509))  * (SUM( ($A$768:$A$846=$A1509) * ($D$768:$D$846= $D1509) * (L$768:L$846) )  +  SUM( ($A$933:$A$1011=$A1509) * ($D$933:$D$1011= $D1509) * (L$933:L$1011) ) + SUM( ($E$1016:$E$1039=$E$1427)*($A$1016:$A$1039=$A1509) * ($D$1016:$D$1039=$D1509)*(L$1016:L$1039) ) )</f>
        <v>0</v>
      </c>
      <c r="M1509" s="1389">
        <f t="array" ref="M1509" xml:space="preserve"> SUM(EF[CO2] * (EF[SATIM Code]= $D1509))  * (SUM( ($A$768:$A$846=$A1509) * ($D$768:$D$846= $D1509) * (M$768:M$846) )  +  SUM( ($A$933:$A$1011=$A1509) * ($D$933:$D$1011= $D1509) * (M$933:M$1011) ) + SUM( ($E$1016:$E$1039=$E$1427)*($A$1016:$A$1039=$A1509) * ($D$1016:$D$1039=$D1509)*(M$1016:M$1039) ) )</f>
        <v>0</v>
      </c>
      <c r="N1509" s="1389">
        <f t="array" ref="N1509" xml:space="preserve"> SUM(EF[CO2] * (EF[SATIM Code]= $D1509))  * (SUM( ($A$768:$A$846=$A1509) * ($D$768:$D$846= $D1509) * (N$768:N$846) )  +  SUM( ($A$933:$A$1011=$A1509) * ($D$933:$D$1011= $D1509) * (N$933:N$1011) ) + SUM( ($E$1016:$E$1039=$E$1427)*($A$1016:$A$1039=$A1509) * ($D$1016:$D$1039=$D1509)*(N$1016:N$1039) ) )</f>
        <v>0</v>
      </c>
      <c r="O1509" s="1389">
        <f t="array" ref="O1509" xml:space="preserve"> SUM(EF[CO2] * (EF[SATIM Code]= $D1509))  * (SUM( ($A$768:$A$846=$A1509) * ($D$768:$D$846= $D1509) * (O$768:O$846) )  +  SUM( ($A$933:$A$1011=$A1509) * ($D$933:$D$1011= $D1509) * (O$933:O$1011) ) + SUM( ($E$1016:$E$1039=$E$1427)*($A$1016:$A$1039=$A1509) * ($D$1016:$D$1039=$D1509)*(O$1016:O$1039) ) )</f>
        <v>0</v>
      </c>
    </row>
    <row r="1510" spans="1:15" s="19" customFormat="1" hidden="1" outlineLevel="1">
      <c r="A1510" s="19" t="str">
        <f t="shared" si="293"/>
        <v>OT</v>
      </c>
      <c r="B1510" s="1442" t="str">
        <f>INDEX(EF[UK Vector],MATCH(D1510,EF[SATIM Code],0))</f>
        <v>V.16</v>
      </c>
      <c r="C1510" s="1412" t="str">
        <f>INDEX(Vectors[Description], MATCH($B1510, Vectors[Code], 0))</f>
        <v>Other Waste</v>
      </c>
      <c r="D1510" s="1384" t="s">
        <v>890</v>
      </c>
      <c r="E1510" s="1383"/>
      <c r="F1510" s="1389">
        <f t="array" ref="F1510" xml:space="preserve"> SUM(EF[CO2] * (EF[SATIM Code]= $D1510))  * (SUM( ($A$768:$A$846=$A1510) * ($D$768:$D$846= $D1510) * (F$768:F$846) )  +  SUM( ($A$933:$A$1011=$A1510) * ($D$933:$D$1011= $D1510) * (F$933:F$1011) ) + SUM( ($E$1016:$E$1039=$E$1427)*($A$1016:$A$1039=$A1510) * ($D$1016:$D$1039=$D1510)*(F$1016:F$1039) ) )</f>
        <v>0</v>
      </c>
      <c r="G1510" s="1389">
        <f t="array" ref="G1510" xml:space="preserve"> SUM(EF[CO2] * (EF[SATIM Code]= $D1510))  * (SUM( ($A$768:$A$846=$A1510) * ($D$768:$D$846= $D1510) * (G$768:G$846) )  +  SUM( ($A$933:$A$1011=$A1510) * ($D$933:$D$1011= $D1510) * (G$933:G$1011) ) + SUM( ($E$1016:$E$1039=$E$1427)*($A$1016:$A$1039=$A1510) * ($D$1016:$D$1039=$D1510)*(G$1016:G$1039) ) )</f>
        <v>0</v>
      </c>
      <c r="H1510" s="1389">
        <f t="array" ref="H1510" xml:space="preserve"> SUM(EF[CO2] * (EF[SATIM Code]= $D1510))  * (SUM( ($A$768:$A$846=$A1510) * ($D$768:$D$846= $D1510) * (H$768:H$846) )  +  SUM( ($A$933:$A$1011=$A1510) * ($D$933:$D$1011= $D1510) * (H$933:H$1011) ) + SUM( ($E$1016:$E$1039=$E$1427)*($A$1016:$A$1039=$A1510) * ($D$1016:$D$1039=$D1510)*(H$1016:H$1039) ) )</f>
        <v>0</v>
      </c>
      <c r="I1510" s="1389">
        <f t="array" ref="I1510" xml:space="preserve"> SUM(EF[CO2] * (EF[SATIM Code]= $D1510))  * (SUM( ($A$768:$A$846=$A1510) * ($D$768:$D$846= $D1510) * (I$768:I$846) )  +  SUM( ($A$933:$A$1011=$A1510) * ($D$933:$D$1011= $D1510) * (I$933:I$1011) ) + SUM( ($E$1016:$E$1039=$E$1427)*($A$1016:$A$1039=$A1510) * ($D$1016:$D$1039=$D1510)*(I$1016:I$1039) ) )</f>
        <v>0</v>
      </c>
      <c r="J1510" s="1389">
        <f t="array" ref="J1510" xml:space="preserve"> SUM(EF[CO2] * (EF[SATIM Code]= $D1510))  * (SUM( ($A$768:$A$846=$A1510) * ($D$768:$D$846= $D1510) * (J$768:J$846) )  +  SUM( ($A$933:$A$1011=$A1510) * ($D$933:$D$1011= $D1510) * (J$933:J$1011) ) + SUM( ($E$1016:$E$1039=$E$1427)*($A$1016:$A$1039=$A1510) * ($D$1016:$D$1039=$D1510)*(J$1016:J$1039) ) )</f>
        <v>0</v>
      </c>
      <c r="K1510" s="1389">
        <f t="array" ref="K1510" xml:space="preserve"> SUM(EF[CO2] * (EF[SATIM Code]= $D1510))  * (SUM( ($A$768:$A$846=$A1510) * ($D$768:$D$846= $D1510) * (K$768:K$846) )  +  SUM( ($A$933:$A$1011=$A1510) * ($D$933:$D$1011= $D1510) * (K$933:K$1011) ) + SUM( ($E$1016:$E$1039=$E$1427)*($A$1016:$A$1039=$A1510) * ($D$1016:$D$1039=$D1510)*(K$1016:K$1039) ) )</f>
        <v>0</v>
      </c>
      <c r="L1510" s="1389">
        <f t="array" ref="L1510" xml:space="preserve"> SUM(EF[CO2] * (EF[SATIM Code]= $D1510))  * (SUM( ($A$768:$A$846=$A1510) * ($D$768:$D$846= $D1510) * (L$768:L$846) )  +  SUM( ($A$933:$A$1011=$A1510) * ($D$933:$D$1011= $D1510) * (L$933:L$1011) ) + SUM( ($E$1016:$E$1039=$E$1427)*($A$1016:$A$1039=$A1510) * ($D$1016:$D$1039=$D1510)*(L$1016:L$1039) ) )</f>
        <v>0</v>
      </c>
      <c r="M1510" s="1389">
        <f t="array" ref="M1510" xml:space="preserve"> SUM(EF[CO2] * (EF[SATIM Code]= $D1510))  * (SUM( ($A$768:$A$846=$A1510) * ($D$768:$D$846= $D1510) * (M$768:M$846) )  +  SUM( ($A$933:$A$1011=$A1510) * ($D$933:$D$1011= $D1510) * (M$933:M$1011) ) + SUM( ($E$1016:$E$1039=$E$1427)*($A$1016:$A$1039=$A1510) * ($D$1016:$D$1039=$D1510)*(M$1016:M$1039) ) )</f>
        <v>0</v>
      </c>
      <c r="N1510" s="1389">
        <f t="array" ref="N1510" xml:space="preserve"> SUM(EF[CO2] * (EF[SATIM Code]= $D1510))  * (SUM( ($A$768:$A$846=$A1510) * ($D$768:$D$846= $D1510) * (N$768:N$846) )  +  SUM( ($A$933:$A$1011=$A1510) * ($D$933:$D$1011= $D1510) * (N$933:N$1011) ) + SUM( ($E$1016:$E$1039=$E$1427)*($A$1016:$A$1039=$A1510) * ($D$1016:$D$1039=$D1510)*(N$1016:N$1039) ) )</f>
        <v>0</v>
      </c>
      <c r="O1510" s="1389">
        <f t="array" ref="O1510" xml:space="preserve"> SUM(EF[CO2] * (EF[SATIM Code]= $D1510))  * (SUM( ($A$768:$A$846=$A1510) * ($D$768:$D$846= $D1510) * (O$768:O$846) )  +  SUM( ($A$933:$A$1011=$A1510) * ($D$933:$D$1011= $D1510) * (O$933:O$1011) ) + SUM( ($E$1016:$E$1039=$E$1427)*($A$1016:$A$1039=$A1510) * ($D$1016:$D$1039=$D1510)*(O$1016:O$1039) ) )</f>
        <v>0</v>
      </c>
    </row>
    <row r="1511" spans="1:15" s="19" customFormat="1" hidden="1" outlineLevel="1">
      <c r="A1511" s="166"/>
      <c r="B1511" s="1442"/>
      <c r="C1511" s="1412"/>
      <c r="D1511" s="1384"/>
      <c r="E1511" s="1383"/>
      <c r="F1511" s="1382"/>
      <c r="G1511" s="1382"/>
      <c r="H1511" s="1382"/>
      <c r="I1511" s="1382"/>
      <c r="J1511" s="1382"/>
      <c r="K1511" s="1382"/>
      <c r="L1511" s="1382"/>
      <c r="M1511" s="1382"/>
      <c r="N1511" s="1382"/>
      <c r="O1511" s="1382"/>
    </row>
    <row r="1512" spans="1:15" s="19" customFormat="1" hidden="1" outlineLevel="1">
      <c r="B1512" s="347"/>
      <c r="D1512" s="17"/>
      <c r="E1512" s="154"/>
      <c r="F1512" s="71"/>
      <c r="G1512" s="71"/>
      <c r="H1512" s="71"/>
      <c r="I1512" s="71"/>
      <c r="J1512" s="71"/>
      <c r="K1512" s="71"/>
      <c r="L1512" s="71"/>
      <c r="M1512" s="71"/>
      <c r="N1512" s="71"/>
      <c r="O1512" s="71"/>
    </row>
    <row r="1513" spans="1:15" s="19" customFormat="1">
      <c r="A1513" s="348" t="str">
        <f t="shared" ref="A1513:A1520" si="294">C20</f>
        <v>MI</v>
      </c>
      <c r="B1513" s="76"/>
      <c r="C1513" s="348" t="str">
        <f t="shared" ref="C1513:C1520" si="295">D20</f>
        <v>Mining SIC2</v>
      </c>
      <c r="D1513" s="73"/>
      <c r="E1513" s="154"/>
      <c r="F1513" s="71">
        <f t="array" ref="F1513">SUM( ($A$1432:$A$1511=$A1513)  * (F$1432:F$1511) )</f>
        <v>7.382013889514937</v>
      </c>
      <c r="G1513" s="71">
        <f t="array" ref="G1513">SUM( ($A$1432:$A$1511=$A1513)  * (G$1432:G$1511) )</f>
        <v>8.6715705563758867</v>
      </c>
      <c r="H1513" s="71">
        <f t="array" ref="H1513">SUM( ($A$1432:$A$1511=$A1513)  * (H$1432:H$1511) )</f>
        <v>10.85794424130175</v>
      </c>
      <c r="I1513" s="71">
        <f t="array" ref="I1513">SUM( ($A$1432:$A$1511=$A1513)  * (I$1432:I$1511) )</f>
        <v>13.219862676241275</v>
      </c>
      <c r="J1513" s="71">
        <f t="array" ref="J1513">SUM( ($A$1432:$A$1511=$A1513)  * (J$1432:J$1511) )</f>
        <v>16.925754629083524</v>
      </c>
      <c r="K1513" s="71">
        <f t="array" ref="K1513">SUM( ($A$1432:$A$1511=$A1513)  * (K$1432:K$1511) )</f>
        <v>20.923505020121745</v>
      </c>
      <c r="L1513" s="71">
        <f t="array" ref="L1513">SUM( ($A$1432:$A$1511=$A1513)  * (L$1432:L$1511) )</f>
        <v>26.725796896962564</v>
      </c>
      <c r="M1513" s="71">
        <f t="array" ref="M1513">SUM( ($A$1432:$A$1511=$A1513)  * (M$1432:M$1511) )</f>
        <v>32.757600863167326</v>
      </c>
      <c r="N1513" s="71">
        <f t="array" ref="N1513">SUM( ($A$1432:$A$1511=$A1513)  * (N$1432:N$1511) )</f>
        <v>39.777745091185885</v>
      </c>
      <c r="O1513" s="71">
        <f t="array" ref="O1513">SUM( ($A$1432:$A$1511=$A1513)  * (O$1432:O$1511) )</f>
        <v>47.00486983630676</v>
      </c>
    </row>
    <row r="1514" spans="1:15" s="19" customFormat="1">
      <c r="A1514" s="1459" t="str">
        <f t="shared" si="294"/>
        <v>IS</v>
      </c>
      <c r="B1514" s="76"/>
      <c r="C1514" s="1459" t="str">
        <f t="shared" si="295"/>
        <v>Iron  &amp; Steel  - 351</v>
      </c>
      <c r="D1514" s="73"/>
      <c r="E1514" s="154"/>
      <c r="F1514" s="71">
        <f t="array" ref="F1514">SUM( ($A$1432:$A$1511=$A1514)  * (F$1432:F$1511) )</f>
        <v>13.543357006404873</v>
      </c>
      <c r="G1514" s="71">
        <f t="array" ref="G1514">SUM( ($A$1432:$A$1511=$A1514)  * (G$1432:G$1511) )</f>
        <v>15.67848186103072</v>
      </c>
      <c r="H1514" s="71">
        <f t="array" ref="H1514">SUM( ($A$1432:$A$1511=$A1514)  * (H$1432:H$1511) )</f>
        <v>20.265527145989285</v>
      </c>
      <c r="I1514" s="71">
        <f t="array" ref="I1514">SUM( ($A$1432:$A$1511=$A1514)  * (I$1432:I$1511) )</f>
        <v>24.852572430947856</v>
      </c>
      <c r="J1514" s="71">
        <f t="array" ref="J1514">SUM( ($A$1432:$A$1511=$A1514)  * (J$1432:J$1511) )</f>
        <v>31.980482763798584</v>
      </c>
      <c r="K1514" s="71">
        <f t="array" ref="K1514">SUM( ($A$1432:$A$1511=$A1514)  * (K$1432:K$1511) )</f>
        <v>39.108393096649301</v>
      </c>
      <c r="L1514" s="71">
        <f t="array" ref="L1514">SUM( ($A$1432:$A$1511=$A1514)  * (L$1432:L$1511) )</f>
        <v>48.513387167393148</v>
      </c>
      <c r="M1514" s="71">
        <f t="array" ref="M1514">SUM( ($A$1432:$A$1511=$A1514)  * (M$1432:M$1511) )</f>
        <v>57.918381238136973</v>
      </c>
      <c r="N1514" s="71">
        <f t="array" ref="N1514">SUM( ($A$1432:$A$1511=$A1514)  * (N$1432:N$1511) )</f>
        <v>68.929066444609248</v>
      </c>
      <c r="O1514" s="71">
        <f t="array" ref="O1514">SUM( ($A$1432:$A$1511=$A1514)  * (O$1432:O$1511) )</f>
        <v>79.939751651081522</v>
      </c>
    </row>
    <row r="1515" spans="1:15" s="19" customFormat="1">
      <c r="A1515" s="1459" t="str">
        <f t="shared" si="294"/>
        <v>CP</v>
      </c>
      <c r="B1515" s="76"/>
      <c r="C1515" s="1459" t="str">
        <f t="shared" si="295"/>
        <v>Chemicals  -33</v>
      </c>
      <c r="D1515" s="73"/>
      <c r="E1515" s="154"/>
      <c r="F1515" s="71">
        <f t="array" ref="F1515">SUM( ($A$1432:$A$1511=$A1515)  * (F$1432:F$1511) )</f>
        <v>8.2102711597499987</v>
      </c>
      <c r="G1515" s="71">
        <f t="array" ref="G1515">SUM( ($A$1432:$A$1511=$A1515)  * (G$1432:G$1511) )</f>
        <v>9.3676615264133645</v>
      </c>
      <c r="H1515" s="71">
        <f t="array" ref="H1515">SUM( ($A$1432:$A$1511=$A1515)  * (H$1432:H$1511) )</f>
        <v>10.353456875023713</v>
      </c>
      <c r="I1515" s="71">
        <f t="array" ref="I1515">SUM( ($A$1432:$A$1511=$A1515)  * (I$1432:I$1511) )</f>
        <v>11.339252223634066</v>
      </c>
      <c r="J1515" s="71">
        <f t="array" ref="J1515">SUM( ($A$1432:$A$1511=$A1515)  * (J$1432:J$1511) )</f>
        <v>12.700060835886985</v>
      </c>
      <c r="K1515" s="71">
        <f t="array" ref="K1515">SUM( ($A$1432:$A$1511=$A1515)  * (K$1432:K$1511) )</f>
        <v>14.060869448139902</v>
      </c>
      <c r="L1515" s="71">
        <f t="array" ref="L1515">SUM( ($A$1432:$A$1511=$A1515)  * (L$1432:L$1511) )</f>
        <v>16.919277827774899</v>
      </c>
      <c r="M1515" s="71">
        <f t="array" ref="M1515">SUM( ($A$1432:$A$1511=$A1515)  * (M$1432:M$1511) )</f>
        <v>19.777686207409896</v>
      </c>
      <c r="N1515" s="71">
        <f t="array" ref="N1515">SUM( ($A$1432:$A$1511=$A1515)  * (N$1432:N$1511) )</f>
        <v>22.59530813285663</v>
      </c>
      <c r="O1515" s="71">
        <f t="array" ref="O1515">SUM( ($A$1432:$A$1511=$A1515)  * (O$1432:O$1511) )</f>
        <v>25.412930058303367</v>
      </c>
    </row>
    <row r="1516" spans="1:15" s="19" customFormat="1">
      <c r="A1516" s="1459" t="str">
        <f t="shared" si="294"/>
        <v>NF</v>
      </c>
      <c r="B1516" s="76"/>
      <c r="C1516" s="1459" t="str">
        <f t="shared" si="295"/>
        <v>Non-Ferrous metals  - 352</v>
      </c>
      <c r="D1516" s="73"/>
      <c r="E1516" s="154"/>
      <c r="F1516" s="71">
        <f t="array" ref="F1516">SUM( ($A$1432:$A$1511=$A1516)  * (F$1432:F$1511) )</f>
        <v>7.7962499999999976E-2</v>
      </c>
      <c r="G1516" s="71">
        <f t="array" ref="G1516">SUM( ($A$1432:$A$1511=$A1516)  * (G$1432:G$1511) )</f>
        <v>9.0329294067790167E-2</v>
      </c>
      <c r="H1516" s="71">
        <f t="array" ref="H1516">SUM( ($A$1432:$A$1511=$A1516)  * (H$1432:H$1511) )</f>
        <v>0.11231023389262264</v>
      </c>
      <c r="I1516" s="71">
        <f t="array" ref="I1516">SUM( ($A$1432:$A$1511=$A1516)  * (I$1432:I$1511) )</f>
        <v>0.13429117371745514</v>
      </c>
      <c r="J1516" s="71">
        <f t="array" ref="J1516">SUM( ($A$1432:$A$1511=$A1516)  * (J$1432:J$1511) )</f>
        <v>0.16526081930838515</v>
      </c>
      <c r="K1516" s="71">
        <f t="array" ref="K1516">SUM( ($A$1432:$A$1511=$A1516)  * (K$1432:K$1511) )</f>
        <v>0.19623046489931517</v>
      </c>
      <c r="L1516" s="71">
        <f t="array" ref="L1516">SUM( ($A$1432:$A$1511=$A1516)  * (L$1432:L$1511) )</f>
        <v>0.24129009207312901</v>
      </c>
      <c r="M1516" s="71">
        <f t="array" ref="M1516">SUM( ($A$1432:$A$1511=$A1516)  * (M$1432:M$1511) )</f>
        <v>0.28634971924694291</v>
      </c>
      <c r="N1516" s="71">
        <f t="array" ref="N1516">SUM( ($A$1432:$A$1511=$A1516)  * (N$1432:N$1511) )</f>
        <v>0.33655679326893606</v>
      </c>
      <c r="O1516" s="71">
        <f t="array" ref="O1516">SUM( ($A$1432:$A$1511=$A1516)  * (O$1432:O$1511) )</f>
        <v>0.38676386729092921</v>
      </c>
    </row>
    <row r="1517" spans="1:15" s="19" customFormat="1">
      <c r="A1517" s="1459" t="str">
        <f t="shared" si="294"/>
        <v>NM</v>
      </c>
      <c r="B1517" s="76"/>
      <c r="C1517" s="1459" t="str">
        <f t="shared" si="295"/>
        <v>N.M.M Products  -34</v>
      </c>
      <c r="D1517" s="73"/>
      <c r="E1517" s="154"/>
      <c r="F1517" s="71">
        <f t="array" ref="F1517">SUM( ($A$1432:$A$1511=$A1517)  * (F$1432:F$1511) )</f>
        <v>5.6389228500000002</v>
      </c>
      <c r="G1517" s="71">
        <f t="array" ref="G1517">SUM( ($A$1432:$A$1511=$A1517)  * (G$1432:G$1511) )</f>
        <v>6.642246596395565</v>
      </c>
      <c r="H1517" s="71">
        <f t="array" ref="H1517">SUM( ($A$1432:$A$1511=$A1517)  * (H$1432:H$1511) )</f>
        <v>8.2904348986402727</v>
      </c>
      <c r="I1517" s="71">
        <f t="array" ref="I1517">SUM( ($A$1432:$A$1511=$A1517)  * (I$1432:I$1511) )</f>
        <v>9.9386232008849795</v>
      </c>
      <c r="J1517" s="71">
        <f t="array" ref="J1517">SUM( ($A$1432:$A$1511=$A1517)  * (J$1432:J$1511) )</f>
        <v>12.581509246523225</v>
      </c>
      <c r="K1517" s="71">
        <f t="array" ref="K1517">SUM( ($A$1432:$A$1511=$A1517)  * (K$1432:K$1511) )</f>
        <v>15.224395292161471</v>
      </c>
      <c r="L1517" s="71">
        <f t="array" ref="L1517">SUM( ($A$1432:$A$1511=$A1517)  * (L$1432:L$1511) )</f>
        <v>19.516549801625693</v>
      </c>
      <c r="M1517" s="71">
        <f t="array" ref="M1517">SUM( ($A$1432:$A$1511=$A1517)  * (M$1432:M$1511) )</f>
        <v>23.808704311089915</v>
      </c>
      <c r="N1517" s="71">
        <f t="array" ref="N1517">SUM( ($A$1432:$A$1511=$A1517)  * (N$1432:N$1511) )</f>
        <v>28.960543245215067</v>
      </c>
      <c r="O1517" s="71">
        <f t="array" ref="O1517">SUM( ($A$1432:$A$1511=$A1517)  * (O$1432:O$1511) )</f>
        <v>34.112382179340216</v>
      </c>
    </row>
    <row r="1518" spans="1:15" s="19" customFormat="1">
      <c r="A1518" s="1459" t="str">
        <f t="shared" si="294"/>
        <v>FB</v>
      </c>
      <c r="B1518" s="76"/>
      <c r="C1518" s="1459" t="str">
        <f t="shared" si="295"/>
        <v>Food, Beverage &amp; Tabacco  - 30</v>
      </c>
      <c r="D1518" s="73"/>
      <c r="E1518" s="154"/>
      <c r="F1518" s="71">
        <f t="array" ref="F1518">SUM( ($A$1432:$A$1511=$A1518)  * (F$1432:F$1511) )</f>
        <v>2.5291771814028583</v>
      </c>
      <c r="G1518" s="71">
        <f t="array" ref="G1518">SUM( ($A$1432:$A$1511=$A1518)  * (G$1432:G$1511) )</f>
        <v>3.0088881719088714</v>
      </c>
      <c r="H1518" s="71">
        <f t="array" ref="H1518">SUM( ($A$1432:$A$1511=$A1518)  * (H$1432:H$1511) )</f>
        <v>3.8991992141749479</v>
      </c>
      <c r="I1518" s="71">
        <f t="array" ref="I1518">SUM( ($A$1432:$A$1511=$A1518)  * (I$1432:I$1511) )</f>
        <v>4.7895102564410257</v>
      </c>
      <c r="J1518" s="71">
        <f t="array" ref="J1518">SUM( ($A$1432:$A$1511=$A1518)  * (J$1432:J$1511) )</f>
        <v>6.1001304002366465</v>
      </c>
      <c r="K1518" s="71">
        <f t="array" ref="K1518">SUM( ($A$1432:$A$1511=$A1518)  * (K$1432:K$1511) )</f>
        <v>7.4107505440322665</v>
      </c>
      <c r="L1518" s="71">
        <f t="array" ref="L1518">SUM( ($A$1432:$A$1511=$A1518)  * (L$1432:L$1511) )</f>
        <v>9.3379074302627227</v>
      </c>
      <c r="M1518" s="71">
        <f t="array" ref="M1518">SUM( ($A$1432:$A$1511=$A1518)  * (M$1432:M$1511) )</f>
        <v>11.265064316493177</v>
      </c>
      <c r="N1518" s="71">
        <f t="array" ref="N1518">SUM( ($A$1432:$A$1511=$A1518)  * (N$1432:N$1511) )</f>
        <v>13.496510875663517</v>
      </c>
      <c r="O1518" s="71">
        <f t="array" ref="O1518">SUM( ($A$1432:$A$1511=$A1518)  * (O$1432:O$1511) )</f>
        <v>15.727957434833856</v>
      </c>
    </row>
    <row r="1519" spans="1:15" s="19" customFormat="1">
      <c r="A1519" s="1459" t="str">
        <f t="shared" si="294"/>
        <v>PP</v>
      </c>
      <c r="B1519" s="76"/>
      <c r="C1519" s="1459" t="str">
        <f t="shared" si="295"/>
        <v>Pulp &amp; Paper Products  -323</v>
      </c>
      <c r="D1519" s="73"/>
      <c r="E1519" s="154"/>
      <c r="F1519" s="71">
        <f t="array" ref="F1519">SUM( ($A$1432:$A$1511=$A1519)  * (F$1432:F$1511) )</f>
        <v>4.7406896489275372</v>
      </c>
      <c r="G1519" s="71">
        <f t="array" ref="G1519">SUM( ($A$1432:$A$1511=$A1519)  * (G$1432:G$1511) )</f>
        <v>5.7876241273713775</v>
      </c>
      <c r="H1519" s="71">
        <f t="array" ref="H1519">SUM( ($A$1432:$A$1511=$A1519)  * (H$1432:H$1511) )</f>
        <v>7.3115327540264348</v>
      </c>
      <c r="I1519" s="71">
        <f t="array" ref="I1519">SUM( ($A$1432:$A$1511=$A1519)  * (I$1432:I$1511) )</f>
        <v>8.8354413806814911</v>
      </c>
      <c r="J1519" s="71">
        <f t="array" ref="J1519">SUM( ($A$1432:$A$1511=$A1519)  * (J$1432:J$1511) )</f>
        <v>11.10491555319293</v>
      </c>
      <c r="K1519" s="71">
        <f t="array" ref="K1519">SUM( ($A$1432:$A$1511=$A1519)  * (K$1432:K$1511) )</f>
        <v>13.374389725704368</v>
      </c>
      <c r="L1519" s="71">
        <f t="array" ref="L1519">SUM( ($A$1432:$A$1511=$A1519)  * (L$1432:L$1511) )</f>
        <v>16.982026289174811</v>
      </c>
      <c r="M1519" s="71">
        <f t="array" ref="M1519">SUM( ($A$1432:$A$1511=$A1519)  * (M$1432:M$1511) )</f>
        <v>20.589662852645258</v>
      </c>
      <c r="N1519" s="71">
        <f t="array" ref="N1519">SUM( ($A$1432:$A$1511=$A1519)  * (N$1432:N$1511) )</f>
        <v>24.645684040461667</v>
      </c>
      <c r="O1519" s="71">
        <f t="array" ref="O1519">SUM( ($A$1432:$A$1511=$A1519)  * (O$1432:O$1511) )</f>
        <v>28.701705228278072</v>
      </c>
    </row>
    <row r="1520" spans="1:15" s="19" customFormat="1">
      <c r="A1520" s="1459" t="str">
        <f t="shared" si="294"/>
        <v>OT</v>
      </c>
      <c r="B1520" s="76"/>
      <c r="C1520" s="1459" t="str">
        <f t="shared" si="295"/>
        <v>Other</v>
      </c>
      <c r="D1520" s="654"/>
      <c r="E1520" s="154"/>
      <c r="F1520" s="71">
        <f t="array" ref="F1520">SUM( ($A$1432:$A$1511=$A1520)  * (F$1432:F$1511) )</f>
        <v>15.929875208750957</v>
      </c>
      <c r="G1520" s="71">
        <f t="array" ref="G1520">SUM( ($A$1432:$A$1511=$A1520)  * (G$1432:G$1511) )</f>
        <v>18.620802397647797</v>
      </c>
      <c r="H1520" s="71">
        <f t="array" ref="H1520">SUM( ($A$1432:$A$1511=$A1520)  * (H$1432:H$1511) )</f>
        <v>22.531917879776714</v>
      </c>
      <c r="I1520" s="71">
        <f t="array" ref="I1520">SUM( ($A$1432:$A$1511=$A1520)  * (I$1432:I$1511) )</f>
        <v>26.47426113847051</v>
      </c>
      <c r="J1520" s="71">
        <f t="array" ref="J1520">SUM( ($A$1432:$A$1511=$A1520)  * (J$1432:J$1511) )</f>
        <v>32.675121229467209</v>
      </c>
      <c r="K1520" s="71">
        <f t="array" ref="K1520">SUM( ($A$1432:$A$1511=$A1520)  * (K$1432:K$1511) )</f>
        <v>38.934041001756832</v>
      </c>
      <c r="L1520" s="71">
        <f t="array" ref="L1520">SUM( ($A$1432:$A$1511=$A1520)  * (L$1432:L$1511) )</f>
        <v>49.503430772539595</v>
      </c>
      <c r="M1520" s="71">
        <f t="array" ref="M1520">SUM( ($A$1432:$A$1511=$A1520)  * (M$1432:M$1511) )</f>
        <v>60.123673199767545</v>
      </c>
      <c r="N1520" s="71">
        <f t="array" ref="N1520">SUM( ($A$1432:$A$1511=$A1520)  * (N$1432:N$1511) )</f>
        <v>72.536655155103233</v>
      </c>
      <c r="O1520" s="71">
        <f t="array" ref="O1520">SUM( ($A$1432:$A$1511=$A1520)  * (O$1432:O$1511) )</f>
        <v>84.981314941128417</v>
      </c>
    </row>
    <row r="1521" spans="1:15" s="19" customFormat="1">
      <c r="B1521" s="347"/>
      <c r="D1521" s="644"/>
      <c r="E1521" s="154"/>
      <c r="F1521" s="22"/>
      <c r="G1521" s="22"/>
      <c r="H1521" s="22"/>
      <c r="I1521" s="22"/>
      <c r="J1521" s="22"/>
      <c r="K1521" s="22"/>
      <c r="L1521" s="22"/>
      <c r="M1521" s="22"/>
      <c r="N1521" s="22"/>
      <c r="O1521" s="22"/>
    </row>
    <row r="1522" spans="1:15" s="19" customFormat="1" ht="17">
      <c r="B1522" s="347"/>
      <c r="C1522" s="348" t="s">
        <v>427</v>
      </c>
      <c r="D1522" s="644"/>
      <c r="E1522" s="194" t="s">
        <v>413</v>
      </c>
      <c r="F1522" s="524">
        <f t="shared" ref="F1522:O1522" si="296">SUM(F1513:F1521)</f>
        <v>58.052269444751168</v>
      </c>
      <c r="G1522" s="524">
        <f t="shared" si="296"/>
        <v>67.867604531211384</v>
      </c>
      <c r="H1522" s="524">
        <f t="shared" si="296"/>
        <v>83.622323242825729</v>
      </c>
      <c r="I1522" s="524">
        <f t="shared" si="296"/>
        <v>99.583814481018649</v>
      </c>
      <c r="J1522" s="524">
        <f t="shared" si="296"/>
        <v>124.23323547749749</v>
      </c>
      <c r="K1522" s="524">
        <f t="shared" si="296"/>
        <v>149.23257459346522</v>
      </c>
      <c r="L1522" s="524">
        <f t="shared" si="296"/>
        <v>187.73966627780655</v>
      </c>
      <c r="M1522" s="524">
        <f t="shared" si="296"/>
        <v>226.52712270795706</v>
      </c>
      <c r="N1522" s="524">
        <f t="shared" si="296"/>
        <v>271.27806977836417</v>
      </c>
      <c r="O1522" s="524">
        <f t="shared" si="296"/>
        <v>316.26767519656312</v>
      </c>
    </row>
    <row r="1523" spans="1:15" s="19" customFormat="1">
      <c r="B1523" s="76"/>
      <c r="C1523" s="1086"/>
      <c r="D1523" s="654"/>
      <c r="E1523" s="196"/>
      <c r="F1523" s="349"/>
      <c r="G1523" s="349"/>
      <c r="H1523" s="349"/>
      <c r="I1523" s="349"/>
      <c r="J1523" s="349"/>
      <c r="K1523" s="349"/>
      <c r="L1523" s="349"/>
      <c r="M1523" s="349"/>
      <c r="N1523" s="349"/>
      <c r="O1523" s="349"/>
    </row>
    <row r="1524" spans="1:15" s="19" customFormat="1">
      <c r="B1524" s="76"/>
      <c r="C1524" s="1086"/>
      <c r="D1524" s="654"/>
      <c r="E1524" s="196"/>
      <c r="F1524" s="349"/>
      <c r="G1524" s="349"/>
      <c r="H1524" s="349"/>
      <c r="I1524" s="349"/>
      <c r="J1524" s="349"/>
      <c r="K1524" s="349"/>
      <c r="L1524" s="349"/>
      <c r="M1524" s="349"/>
      <c r="N1524" s="349"/>
      <c r="O1524" s="349"/>
    </row>
    <row r="1525" spans="1:15" s="19" customFormat="1" collapsed="1">
      <c r="B1525" s="76" t="s">
        <v>350</v>
      </c>
      <c r="C1525" s="1086"/>
      <c r="D1525" s="644"/>
      <c r="E1525" s="196"/>
      <c r="F1525" s="349"/>
      <c r="G1525" s="349"/>
      <c r="H1525" s="349"/>
      <c r="I1525" s="349"/>
      <c r="J1525" s="349"/>
      <c r="K1525" s="349"/>
      <c r="L1525" s="349"/>
      <c r="M1525" s="349"/>
      <c r="N1525" s="349"/>
      <c r="O1525" s="349"/>
    </row>
    <row r="1526" spans="1:15" s="19" customFormat="1" ht="14" hidden="1" outlineLevel="1">
      <c r="B1526" s="1393"/>
      <c r="C1526" s="1407" t="str">
        <f>D20</f>
        <v>Mining SIC2</v>
      </c>
      <c r="D1526" s="1391"/>
      <c r="E1526" s="1401"/>
      <c r="F1526" s="1379"/>
      <c r="G1526" s="1390"/>
      <c r="H1526" s="1390"/>
      <c r="I1526" s="1390"/>
      <c r="J1526" s="1390"/>
      <c r="K1526" s="1390"/>
      <c r="L1526" s="1390"/>
      <c r="M1526" s="1390"/>
      <c r="N1526" s="1390"/>
      <c r="O1526" s="1390"/>
    </row>
    <row r="1527" spans="1:15" s="19" customFormat="1" hidden="1" outlineLevel="1">
      <c r="A1527" s="1438" t="str">
        <f>INDEX($C$20:$C$27,MATCH($C1526,$D$20:$D$27,0))</f>
        <v>MI</v>
      </c>
      <c r="B1527" s="1400" t="str">
        <f>INDEX(EF[UK Vector],MATCH(D1527,EF[SATIM Code],0))</f>
        <v>V.03</v>
      </c>
      <c r="C1527" s="1401" t="str">
        <f>INDEX(Vectors[Description], MATCH($B1527, Vectors[Code], 0))</f>
        <v>Solid hydrocarbons</v>
      </c>
      <c r="D1527" s="1391" t="s">
        <v>882</v>
      </c>
      <c r="E1527" s="1401" t="str">
        <f>"Mt/"&amp;Preferences.EnergyUnits</f>
        <v>Mt/PJ</v>
      </c>
      <c r="F1527" s="1379">
        <f t="array" ref="F1527" xml:space="preserve"> SUM(EF[CH4]*(EF[SATIM Code]= $D1527)) * ( SUM( ($A$768:$A$846=$A1527)*($D$768:$D$846= $D1527)*(F$768:F$846) )  +  SUM( ($A$933:$A$1011=$A1527)*($D$933:$D$1011= $D1527)*(F$933:F$1011) ) + SUM( ($E$1016:$E$1039=$E$1427)*($A$1016:$A$1039=$A1527)*($D$1016:$D$1039=$D1527)*(F$1016:F$1039) ) )</f>
        <v>1.1189297069999996E-3</v>
      </c>
      <c r="G1527" s="1379">
        <f t="array" ref="G1527" xml:space="preserve"> SUM(EF[CH4]*(EF[SATIM Code]= $D1527)) * ( SUM( ($A$768:$A$846=$A1527)*($D$768:$D$846= $D1527)*(G$768:G$846) )  +  SUM( ($A$933:$A$1011=$A1527)*($D$933:$D$1011= $D1527)*(G$933:G$1011) ) + SUM( ($E$1016:$E$1039=$E$1427)*($A$1016:$A$1039=$A1527)*($D$1016:$D$1039=$D1527)*(G$1016:G$1039) ) )</f>
        <v>1.3142645055635679E-3</v>
      </c>
      <c r="H1527" s="1379">
        <f t="array" ref="H1527" xml:space="preserve"> SUM(EF[CH4]*(EF[SATIM Code]= $D1527)) * ( SUM( ($A$768:$A$846=$A1527)*($D$768:$D$846= $D1527)*(H$768:H$846) )  +  SUM( ($A$933:$A$1011=$A1527)*($D$933:$D$1011= $D1527)*(H$933:H$1011) ) + SUM( ($E$1016:$E$1039=$E$1427)*($A$1016:$A$1039=$A1527)*($D$1016:$D$1039=$D1527)*(H$1016:H$1039) ) )</f>
        <v>1.6583960392050016E-3</v>
      </c>
      <c r="I1527" s="1379">
        <f t="array" ref="I1527" xml:space="preserve"> SUM(EF[CH4]*(EF[SATIM Code]= $D1527)) * ( SUM( ($A$768:$A$846=$A1527)*($D$768:$D$846= $D1527)*(I$768:I$846) )  +  SUM( ($A$933:$A$1011=$A1527)*($D$933:$D$1011= $D1527)*(I$933:I$1011) ) + SUM( ($E$1016:$E$1039=$E$1427)*($A$1016:$A$1039=$A1527)*($D$1016:$D$1039=$D1527)*(I$1016:I$1039) ) )</f>
        <v>2.0025275728464353E-3</v>
      </c>
      <c r="J1527" s="1379">
        <f t="array" ref="J1527" xml:space="preserve"> SUM(EF[CH4]*(EF[SATIM Code]= $D1527)) * ( SUM( ($A$768:$A$846=$A1527)*($D$768:$D$846= $D1527)*(J$768:J$846) )  +  SUM( ($A$933:$A$1011=$A1527)*($D$933:$D$1011= $D1527)*(J$933:J$1011) ) + SUM( ($E$1016:$E$1039=$E$1427)*($A$1016:$A$1039=$A1527)*($D$1016:$D$1039=$D1527)*(J$1016:J$1039) ) )</f>
        <v>2.5844348412492877E-3</v>
      </c>
      <c r="K1527" s="1379">
        <f t="array" ref="K1527" xml:space="preserve"> SUM(EF[CH4]*(EF[SATIM Code]= $D1527)) * ( SUM( ($A$768:$A$846=$A1527)*($D$768:$D$846= $D1527)*(K$768:K$846) )  +  SUM( ($A$933:$A$1011=$A1527)*($D$933:$D$1011= $D1527)*(K$933:K$1011) ) + SUM( ($E$1016:$E$1039=$E$1427)*($A$1016:$A$1039=$A1527)*($D$1016:$D$1039=$D1527)*(K$1016:K$1039) ) )</f>
        <v>3.1663421096521402E-3</v>
      </c>
      <c r="L1527" s="1379">
        <f t="array" ref="L1527" xml:space="preserve"> SUM(EF[CH4]*(EF[SATIM Code]= $D1527)) * ( SUM( ($A$768:$A$846=$A1527)*($D$768:$D$846= $D1527)*(L$768:L$846) )  +  SUM( ($A$933:$A$1011=$A1527)*($D$933:$D$1011= $D1527)*(L$933:L$1011) ) + SUM( ($E$1016:$E$1039=$E$1427)*($A$1016:$A$1039=$A1527)*($D$1016:$D$1039=$D1527)*(L$1016:L$1039) ) )</f>
        <v>4.0596881568871895E-3</v>
      </c>
      <c r="M1527" s="1379">
        <f t="array" ref="M1527" xml:space="preserve"> SUM(EF[CH4]*(EF[SATIM Code]= $D1527)) * ( SUM( ($A$768:$A$846=$A1527)*($D$768:$D$846= $D1527)*(M$768:M$846) )  +  SUM( ($A$933:$A$1011=$A1527)*($D$933:$D$1011= $D1527)*(M$933:M$1011) ) + SUM( ($E$1016:$E$1039=$E$1427)*($A$1016:$A$1039=$A1527)*($D$1016:$D$1039=$D1527)*(M$1016:M$1039) ) )</f>
        <v>4.9530342041222393E-3</v>
      </c>
      <c r="N1527" s="1379">
        <f t="array" ref="N1527" xml:space="preserve"> SUM(EF[CH4]*(EF[SATIM Code]= $D1527)) * ( SUM( ($A$768:$A$846=$A1527)*($D$768:$D$846= $D1527)*(N$768:N$846) )  +  SUM( ($A$933:$A$1011=$A1527)*($D$933:$D$1011= $D1527)*(N$933:N$1011) ) + SUM( ($E$1016:$E$1039=$E$1427)*($A$1016:$A$1039=$A1527)*($D$1016:$D$1039=$D1527)*(N$1016:N$1039) ) )</f>
        <v>6.0288687359228944E-3</v>
      </c>
      <c r="O1527" s="1379">
        <f t="array" ref="O1527" xml:space="preserve"> SUM(EF[CH4]*(EF[SATIM Code]= $D1527)) * ( SUM( ($A$768:$A$846=$A1527)*($D$768:$D$846= $D1527)*(O$768:O$846) )  +  SUM( ($A$933:$A$1011=$A1527)*($D$933:$D$1011= $D1527)*(O$933:O$1011) ) + SUM( ($E$1016:$E$1039=$E$1427)*($A$1016:$A$1039=$A1527)*($D$1016:$D$1039=$D1527)*(O$1016:O$1039) ) )</f>
        <v>7.1047032677235495E-3</v>
      </c>
    </row>
    <row r="1528" spans="1:15" s="19" customFormat="1" hidden="1" outlineLevel="1">
      <c r="A1528" s="19" t="str">
        <f t="shared" ref="A1528:A1535" si="297">A1527</f>
        <v>MI</v>
      </c>
      <c r="B1528" s="1400" t="str">
        <f>INDEX(EF[UK Vector],MATCH(D1528,EF[SATIM Code],0))</f>
        <v>V.03</v>
      </c>
      <c r="C1528" s="1401" t="str">
        <f>INDEX(Vectors[Description], MATCH($B1528, Vectors[Code], 0))</f>
        <v>Solid hydrocarbons</v>
      </c>
      <c r="D1528" s="1391" t="s">
        <v>883</v>
      </c>
      <c r="E1528" s="1401"/>
      <c r="F1528" s="1379">
        <f t="array" ref="F1528" xml:space="preserve"> SUM(EF[CH4]*(EF[SATIM Code]= $D1528)) * ( SUM( ($A$768:$A$846=$A1528)*($D$768:$D$846= $D1528)*(F$768:F$846) )  +  SUM( ($A$933:$A$1011=$A1528)*($D$933:$D$1011= $D1528)*(F$933:F$1011) ) + SUM( ($E$1016:$E$1039=$E$1427)*($A$1016:$A$1039=$A1528)*($D$1016:$D$1039=$D1528)*(F$1016:F$1039) ) )</f>
        <v>0</v>
      </c>
      <c r="G1528" s="1379">
        <f t="array" ref="G1528" xml:space="preserve"> SUM(EF[CH4]*(EF[SATIM Code]= $D1528)) * ( SUM( ($A$768:$A$846=$A1528)*($D$768:$D$846= $D1528)*(G$768:G$846) )  +  SUM( ($A$933:$A$1011=$A1528)*($D$933:$D$1011= $D1528)*(G$933:G$1011) ) + SUM( ($E$1016:$E$1039=$E$1427)*($A$1016:$A$1039=$A1528)*($D$1016:$D$1039=$D1528)*(G$1016:G$1039) ) )</f>
        <v>0</v>
      </c>
      <c r="H1528" s="1379">
        <f t="array" ref="H1528" xml:space="preserve"> SUM(EF[CH4]*(EF[SATIM Code]= $D1528)) * ( SUM( ($A$768:$A$846=$A1528)*($D$768:$D$846= $D1528)*(H$768:H$846) )  +  SUM( ($A$933:$A$1011=$A1528)*($D$933:$D$1011= $D1528)*(H$933:H$1011) ) + SUM( ($E$1016:$E$1039=$E$1427)*($A$1016:$A$1039=$A1528)*($D$1016:$D$1039=$D1528)*(H$1016:H$1039) ) )</f>
        <v>0</v>
      </c>
      <c r="I1528" s="1379">
        <f t="array" ref="I1528" xml:space="preserve"> SUM(EF[CH4]*(EF[SATIM Code]= $D1528)) * ( SUM( ($A$768:$A$846=$A1528)*($D$768:$D$846= $D1528)*(I$768:I$846) )  +  SUM( ($A$933:$A$1011=$A1528)*($D$933:$D$1011= $D1528)*(I$933:I$1011) ) + SUM( ($E$1016:$E$1039=$E$1427)*($A$1016:$A$1039=$A1528)*($D$1016:$D$1039=$D1528)*(I$1016:I$1039) ) )</f>
        <v>0</v>
      </c>
      <c r="J1528" s="1379">
        <f t="array" ref="J1528" xml:space="preserve"> SUM(EF[CH4]*(EF[SATIM Code]= $D1528)) * ( SUM( ($A$768:$A$846=$A1528)*($D$768:$D$846= $D1528)*(J$768:J$846) )  +  SUM( ($A$933:$A$1011=$A1528)*($D$933:$D$1011= $D1528)*(J$933:J$1011) ) + SUM( ($E$1016:$E$1039=$E$1427)*($A$1016:$A$1039=$A1528)*($D$1016:$D$1039=$D1528)*(J$1016:J$1039) ) )</f>
        <v>0</v>
      </c>
      <c r="K1528" s="1379">
        <f t="array" ref="K1528" xml:space="preserve"> SUM(EF[CH4]*(EF[SATIM Code]= $D1528)) * ( SUM( ($A$768:$A$846=$A1528)*($D$768:$D$846= $D1528)*(K$768:K$846) )  +  SUM( ($A$933:$A$1011=$A1528)*($D$933:$D$1011= $D1528)*(K$933:K$1011) ) + SUM( ($E$1016:$E$1039=$E$1427)*($A$1016:$A$1039=$A1528)*($D$1016:$D$1039=$D1528)*(K$1016:K$1039) ) )</f>
        <v>0</v>
      </c>
      <c r="L1528" s="1379">
        <f t="array" ref="L1528" xml:space="preserve"> SUM(EF[CH4]*(EF[SATIM Code]= $D1528)) * ( SUM( ($A$768:$A$846=$A1528)*($D$768:$D$846= $D1528)*(L$768:L$846) )  +  SUM( ($A$933:$A$1011=$A1528)*($D$933:$D$1011= $D1528)*(L$933:L$1011) ) + SUM( ($E$1016:$E$1039=$E$1427)*($A$1016:$A$1039=$A1528)*($D$1016:$D$1039=$D1528)*(L$1016:L$1039) ) )</f>
        <v>0</v>
      </c>
      <c r="M1528" s="1379">
        <f t="array" ref="M1528" xml:space="preserve"> SUM(EF[CH4]*(EF[SATIM Code]= $D1528)) * ( SUM( ($A$768:$A$846=$A1528)*($D$768:$D$846= $D1528)*(M$768:M$846) )  +  SUM( ($A$933:$A$1011=$A1528)*($D$933:$D$1011= $D1528)*(M$933:M$1011) ) + SUM( ($E$1016:$E$1039=$E$1427)*($A$1016:$A$1039=$A1528)*($D$1016:$D$1039=$D1528)*(M$1016:M$1039) ) )</f>
        <v>0</v>
      </c>
      <c r="N1528" s="1379">
        <f t="array" ref="N1528" xml:space="preserve"> SUM(EF[CH4]*(EF[SATIM Code]= $D1528)) * ( SUM( ($A$768:$A$846=$A1528)*($D$768:$D$846= $D1528)*(N$768:N$846) )  +  SUM( ($A$933:$A$1011=$A1528)*($D$933:$D$1011= $D1528)*(N$933:N$1011) ) + SUM( ($E$1016:$E$1039=$E$1427)*($A$1016:$A$1039=$A1528)*($D$1016:$D$1039=$D1528)*(N$1016:N$1039) ) )</f>
        <v>0</v>
      </c>
      <c r="O1528" s="1379">
        <f t="array" ref="O1528" xml:space="preserve"> SUM(EF[CH4]*(EF[SATIM Code]= $D1528)) * ( SUM( ($A$768:$A$846=$A1528)*($D$768:$D$846= $D1528)*(O$768:O$846) )  +  SUM( ($A$933:$A$1011=$A1528)*($D$933:$D$1011= $D1528)*(O$933:O$1011) ) + SUM( ($E$1016:$E$1039=$E$1427)*($A$1016:$A$1039=$A1528)*($D$1016:$D$1039=$D1528)*(O$1016:O$1039) ) )</f>
        <v>0</v>
      </c>
    </row>
    <row r="1529" spans="1:15" s="19" customFormat="1" hidden="1" outlineLevel="1">
      <c r="A1529" s="19" t="str">
        <f t="shared" si="297"/>
        <v>MI</v>
      </c>
      <c r="B1529" s="1400" t="str">
        <f>INDEX(EF[UK Vector],MATCH(D1529,EF[SATIM Code],0))</f>
        <v>V.05</v>
      </c>
      <c r="C1529" s="1401" t="str">
        <f>INDEX(Vectors[Description], MATCH($B1529, Vectors[Code], 0))</f>
        <v>Gaseous hydrocarbons</v>
      </c>
      <c r="D1529" s="1406" t="s">
        <v>869</v>
      </c>
      <c r="E1529" s="1401"/>
      <c r="F1529" s="1379">
        <f t="array" ref="F1529" xml:space="preserve"> SUM(EF[CH4]*(EF[SATIM Code]= $D1529)) * ( SUM( ($A$768:$A$846=$A1529)*($D$768:$D$846= $D1529)*(F$768:F$846) )  +  SUM( ($A$933:$A$1011=$A1529)*($D$933:$D$1011= $D1529)*(F$933:F$1011) ) + SUM( ($E$1016:$E$1039=$E$1427)*($A$1016:$A$1039=$A1529)*($D$1016:$D$1039=$D1529)*(F$1016:F$1039) ) )</f>
        <v>6.0898739999999989E-5</v>
      </c>
      <c r="G1529" s="1379">
        <f t="array" ref="G1529" xml:space="preserve"> SUM(EF[CH4]*(EF[SATIM Code]= $D1529)) * ( SUM( ($A$768:$A$846=$A1529)*($D$768:$D$846= $D1529)*(G$768:G$846) )  +  SUM( ($A$933:$A$1011=$A1529)*($D$933:$D$1011= $D1529)*(G$933:G$1011) ) + SUM( ($E$1016:$E$1039=$E$1427)*($A$1016:$A$1039=$A1529)*($D$1016:$D$1039=$D1529)*(G$1016:G$1039) ) )</f>
        <v>7.1530009360582907E-5</v>
      </c>
      <c r="H1529" s="1379">
        <f t="array" ref="H1529" xml:space="preserve"> SUM(EF[CH4]*(EF[SATIM Code]= $D1529)) * ( SUM( ($A$768:$A$846=$A1529)*($D$768:$D$846= $D1529)*(H$768:H$846) )  +  SUM( ($A$933:$A$1011=$A1529)*($D$933:$D$1011= $D1529)*(H$933:H$1011) ) + SUM( ($E$1016:$E$1039=$E$1427)*($A$1016:$A$1039=$A1529)*($D$1016:$D$1039=$D1529)*(H$1016:H$1039) ) )</f>
        <v>9.025967277189755E-5</v>
      </c>
      <c r="I1529" s="1379">
        <f t="array" ref="I1529" xml:space="preserve"> SUM(EF[CH4]*(EF[SATIM Code]= $D1529)) * ( SUM( ($A$768:$A$846=$A1529)*($D$768:$D$846= $D1529)*(I$768:I$846) )  +  SUM( ($A$933:$A$1011=$A1529)*($D$933:$D$1011= $D1529)*(I$933:I$1011) ) + SUM( ($E$1016:$E$1039=$E$1427)*($A$1016:$A$1039=$A1529)*($D$1016:$D$1039=$D1529)*(I$1016:I$1039) ) )</f>
        <v>1.0898933618321219E-4</v>
      </c>
      <c r="J1529" s="1379">
        <f t="array" ref="J1529" xml:space="preserve"> SUM(EF[CH4]*(EF[SATIM Code]= $D1529)) * ( SUM( ($A$768:$A$846=$A1529)*($D$768:$D$846= $D1529)*(J$768:J$846) )  +  SUM( ($A$933:$A$1011=$A1529)*($D$933:$D$1011= $D1529)*(J$933:J$1011) ) + SUM( ($E$1016:$E$1039=$E$1427)*($A$1016:$A$1039=$A1529)*($D$1016:$D$1039=$D1529)*(J$1016:J$1039) ) )</f>
        <v>1.4066015448473712E-4</v>
      </c>
      <c r="K1529" s="1379">
        <f t="array" ref="K1529" xml:space="preserve"> SUM(EF[CH4]*(EF[SATIM Code]= $D1529)) * ( SUM( ($A$768:$A$846=$A1529)*($D$768:$D$846= $D1529)*(K$768:K$846) )  +  SUM( ($A$933:$A$1011=$A1529)*($D$933:$D$1011= $D1529)*(K$933:K$1011) ) + SUM( ($E$1016:$E$1039=$E$1427)*($A$1016:$A$1039=$A1529)*($D$1016:$D$1039=$D1529)*(K$1016:K$1039) ) )</f>
        <v>1.7233097278626208E-4</v>
      </c>
      <c r="L1529" s="1379">
        <f t="array" ref="L1529" xml:space="preserve"> SUM(EF[CH4]*(EF[SATIM Code]= $D1529)) * ( SUM( ($A$768:$A$846=$A1529)*($D$768:$D$846= $D1529)*(L$768:L$846) )  +  SUM( ($A$933:$A$1011=$A1529)*($D$933:$D$1011= $D1529)*(L$933:L$1011) ) + SUM( ($E$1016:$E$1039=$E$1427)*($A$1016:$A$1039=$A1529)*($D$1016:$D$1039=$D1529)*(L$1016:L$1039) ) )</f>
        <v>2.2095212237255594E-4</v>
      </c>
      <c r="M1529" s="1379">
        <f t="array" ref="M1529" xml:space="preserve"> SUM(EF[CH4]*(EF[SATIM Code]= $D1529)) * ( SUM( ($A$768:$A$846=$A1529)*($D$768:$D$846= $D1529)*(M$768:M$846) )  +  SUM( ($A$933:$A$1011=$A1529)*($D$933:$D$1011= $D1529)*(M$933:M$1011) ) + SUM( ($E$1016:$E$1039=$E$1427)*($A$1016:$A$1039=$A1529)*($D$1016:$D$1039=$D1529)*(M$1016:M$1039) ) )</f>
        <v>2.6957327195884987E-4</v>
      </c>
      <c r="N1529" s="1379">
        <f t="array" ref="N1529" xml:space="preserve"> SUM(EF[CH4]*(EF[SATIM Code]= $D1529)) * ( SUM( ($A$768:$A$846=$A1529)*($D$768:$D$846= $D1529)*(N$768:N$846) )  +  SUM( ($A$933:$A$1011=$A1529)*($D$933:$D$1011= $D1529)*(N$933:N$1011) ) + SUM( ($E$1016:$E$1039=$E$1427)*($A$1016:$A$1039=$A1529)*($D$1016:$D$1039=$D1529)*(N$1016:N$1039) ) )</f>
        <v>3.2812651889230519E-4</v>
      </c>
      <c r="O1529" s="1379">
        <f t="array" ref="O1529" xml:space="preserve"> SUM(EF[CH4]*(EF[SATIM Code]= $D1529)) * ( SUM( ($A$768:$A$846=$A1529)*($D$768:$D$846= $D1529)*(O$768:O$846) )  +  SUM( ($A$933:$A$1011=$A1529)*($D$933:$D$1011= $D1529)*(O$933:O$1011) ) + SUM( ($E$1016:$E$1039=$E$1427)*($A$1016:$A$1039=$A1529)*($D$1016:$D$1039=$D1529)*(O$1016:O$1039) ) )</f>
        <v>3.8667976582576057E-4</v>
      </c>
    </row>
    <row r="1530" spans="1:15" s="19" customFormat="1" hidden="1" outlineLevel="1">
      <c r="A1530" s="19" t="str">
        <f t="shared" si="297"/>
        <v>MI</v>
      </c>
      <c r="B1530" s="1400" t="str">
        <f>INDEX(EF[UK Vector],MATCH(D1530,EF[SATIM Code],0))</f>
        <v>V.04</v>
      </c>
      <c r="C1530" s="1401" t="str">
        <f>INDEX(Vectors[Description], MATCH($B1530, Vectors[Code], 0))</f>
        <v>Liquid hydrocarbons</v>
      </c>
      <c r="D1530" s="1406" t="s">
        <v>885</v>
      </c>
      <c r="E1530" s="1401"/>
      <c r="F1530" s="1379">
        <f t="array" ref="F1530" xml:space="preserve"> SUM(EF[CH4]*(EF[SATIM Code]= $D1530)) * ( SUM( ($A$768:$A$846=$A1530)*($D$768:$D$846= $D1530)*(F$768:F$846) )  +  SUM( ($A$933:$A$1011=$A1530)*($D$933:$D$1011= $D1530)*(F$933:F$1011) ) + SUM( ($E$1016:$E$1039=$E$1427)*($A$1016:$A$1039=$A1530)*($D$1016:$D$1039=$D1530)*(F$1016:F$1039) ) )</f>
        <v>4.8678162623999987E-6</v>
      </c>
      <c r="G1530" s="1379">
        <f t="array" ref="G1530" xml:space="preserve"> SUM(EF[CH4]*(EF[SATIM Code]= $D1530)) * ( SUM( ($A$768:$A$846=$A1530)*($D$768:$D$846= $D1530)*(G$768:G$846) )  +  SUM( ($A$933:$A$1011=$A1530)*($D$933:$D$1011= $D1530)*(G$933:G$1011) ) + SUM( ($E$1016:$E$1039=$E$1427)*($A$1016:$A$1039=$A1530)*($D$1016:$D$1039=$D1530)*(G$1016:G$1039) ) )</f>
        <v>5.7176050410085602E-6</v>
      </c>
      <c r="H1530" s="1379">
        <f t="array" ref="H1530" xml:space="preserve"> SUM(EF[CH4]*(EF[SATIM Code]= $D1530)) * ( SUM( ($A$768:$A$846=$A1530)*($D$768:$D$846= $D1530)*(H$768:H$846) )  +  SUM( ($A$933:$A$1011=$A1530)*($D$933:$D$1011= $D1530)*(H$933:H$1011) ) + SUM( ($E$1016:$E$1039=$E$1427)*($A$1016:$A$1039=$A1530)*($D$1016:$D$1039=$D1530)*(H$1016:H$1039) ) )</f>
        <v>7.2147223892964839E-6</v>
      </c>
      <c r="I1530" s="1379">
        <f t="array" ref="I1530" xml:space="preserve"> SUM(EF[CH4]*(EF[SATIM Code]= $D1530)) * ( SUM( ($A$768:$A$846=$A1530)*($D$768:$D$846= $D1530)*(I$768:I$846) )  +  SUM( ($A$933:$A$1011=$A1530)*($D$933:$D$1011= $D1530)*(I$933:I$1011) ) + SUM( ($E$1016:$E$1039=$E$1427)*($A$1016:$A$1039=$A1530)*($D$1016:$D$1039=$D1530)*(I$1016:I$1039) ) )</f>
        <v>8.7118397375844085E-6</v>
      </c>
      <c r="J1530" s="1379">
        <f t="array" ref="J1530" xml:space="preserve"> SUM(EF[CH4]*(EF[SATIM Code]= $D1530)) * ( SUM( ($A$768:$A$846=$A1530)*($D$768:$D$846= $D1530)*(J$768:J$846) )  +  SUM( ($A$933:$A$1011=$A1530)*($D$933:$D$1011= $D1530)*(J$933:J$1011) ) + SUM( ($E$1016:$E$1039=$E$1427)*($A$1016:$A$1039=$A1530)*($D$1016:$D$1039=$D1530)*(J$1016:J$1039) ) )</f>
        <v>1.1243381841274544E-5</v>
      </c>
      <c r="K1530" s="1379">
        <f t="array" ref="K1530" xml:space="preserve"> SUM(EF[CH4]*(EF[SATIM Code]= $D1530)) * ( SUM( ($A$768:$A$846=$A1530)*($D$768:$D$846= $D1530)*(K$768:K$846) )  +  SUM( ($A$933:$A$1011=$A1530)*($D$933:$D$1011= $D1530)*(K$933:K$1011) ) + SUM( ($E$1016:$E$1039=$E$1427)*($A$1016:$A$1039=$A1530)*($D$1016:$D$1039=$D1530)*(K$1016:K$1039) ) )</f>
        <v>1.3774923944964678E-5</v>
      </c>
      <c r="L1530" s="1379">
        <f t="array" ref="L1530" xml:space="preserve"> SUM(EF[CH4]*(EF[SATIM Code]= $D1530)) * ( SUM( ($A$768:$A$846=$A1530)*($D$768:$D$846= $D1530)*(L$768:L$846) )  +  SUM( ($A$933:$A$1011=$A1530)*($D$933:$D$1011= $D1530)*(L$933:L$1011) ) + SUM( ($E$1016:$E$1039=$E$1427)*($A$1016:$A$1039=$A1530)*($D$1016:$D$1039=$D1530)*(L$1016:L$1039) ) )</f>
        <v>1.7661356121603217E-5</v>
      </c>
      <c r="M1530" s="1379">
        <f t="array" ref="M1530" xml:space="preserve"> SUM(EF[CH4]*(EF[SATIM Code]= $D1530)) * ( SUM( ($A$768:$A$846=$A1530)*($D$768:$D$846= $D1530)*(M$768:M$846) )  +  SUM( ($A$933:$A$1011=$A1530)*($D$933:$D$1011= $D1530)*(M$933:M$1011) ) + SUM( ($E$1016:$E$1039=$E$1427)*($A$1016:$A$1039=$A1530)*($D$1016:$D$1039=$D1530)*(M$1016:M$1039) ) )</f>
        <v>2.1547788298241755E-5</v>
      </c>
      <c r="N1530" s="1379">
        <f t="array" ref="N1530" xml:space="preserve"> SUM(EF[CH4]*(EF[SATIM Code]= $D1530)) * ( SUM( ($A$768:$A$846=$A1530)*($D$768:$D$846= $D1530)*(N$768:N$846) )  +  SUM( ($A$933:$A$1011=$A1530)*($D$933:$D$1011= $D1530)*(N$933:N$1011) ) + SUM( ($E$1016:$E$1039=$E$1427)*($A$1016:$A$1039=$A1530)*($D$1016:$D$1039=$D1530)*(N$1016:N$1039) ) )</f>
        <v>2.6228122368191264E-5</v>
      </c>
      <c r="O1530" s="1379">
        <f t="array" ref="O1530" xml:space="preserve"> SUM(EF[CH4]*(EF[SATIM Code]= $D1530)) * ( SUM( ($A$768:$A$846=$A1530)*($D$768:$D$846= $D1530)*(O$768:O$846) )  +  SUM( ($A$933:$A$1011=$A1530)*($D$933:$D$1011= $D1530)*(O$933:O$1011) ) + SUM( ($E$1016:$E$1039=$E$1427)*($A$1016:$A$1039=$A1530)*($D$1016:$D$1039=$D1530)*(O$1016:O$1039) ) )</f>
        <v>3.0908456438140765E-5</v>
      </c>
    </row>
    <row r="1531" spans="1:15" s="19" customFormat="1" hidden="1" outlineLevel="1">
      <c r="A1531" s="19" t="str">
        <f t="shared" si="297"/>
        <v>MI</v>
      </c>
      <c r="B1531" s="1400" t="str">
        <f>INDEX(EF[UK Vector],MATCH(D1531,EF[SATIM Code],0))</f>
        <v>V.04</v>
      </c>
      <c r="C1531" s="1401" t="str">
        <f>INDEX(Vectors[Description], MATCH($B1531, Vectors[Code], 0))</f>
        <v>Liquid hydrocarbons</v>
      </c>
      <c r="D1531" s="1391" t="s">
        <v>886</v>
      </c>
      <c r="E1531" s="1393"/>
      <c r="F1531" s="1379">
        <f t="array" ref="F1531" xml:space="preserve"> SUM(EF[CH4]*(EF[SATIM Code]= $D1531)) * ( SUM( ($A$768:$A$846=$A1531)*($D$768:$D$846= $D1531)*(F$768:F$846) )  +  SUM( ($A$933:$A$1011=$A1531)*($D$933:$D$1011= $D1531)*(F$933:F$1011) ) + SUM( ($E$1016:$E$1039=$E$1427)*($A$1016:$A$1039=$A1531)*($D$1016:$D$1039=$D1531)*(F$1016:F$1039) ) )</f>
        <v>1.7733968228970001E-3</v>
      </c>
      <c r="G1531" s="1379">
        <f t="array" ref="G1531" xml:space="preserve"> SUM(EF[CH4]*(EF[SATIM Code]= $D1531)) * ( SUM( ($A$768:$A$846=$A1531)*($D$768:$D$846= $D1531)*(G$768:G$846) )  +  SUM( ($A$933:$A$1011=$A1531)*($D$933:$D$1011= $D1531)*(G$933:G$1011) ) + SUM( ($E$1016:$E$1039=$E$1427)*($A$1016:$A$1039=$A1531)*($D$1016:$D$1039=$D1531)*(G$1016:G$1039) ) )</f>
        <v>2.0837129016975193E-3</v>
      </c>
      <c r="H1531" s="1379">
        <f t="array" ref="H1531" xml:space="preserve"> SUM(EF[CH4]*(EF[SATIM Code]= $D1531)) * ( SUM( ($A$768:$A$846=$A1531)*($D$768:$D$846= $D1531)*(H$768:H$846) )  +  SUM( ($A$933:$A$1011=$A1531)*($D$933:$D$1011= $D1531)*(H$933:H$1011) ) + SUM( ($E$1016:$E$1039=$E$1427)*($A$1016:$A$1039=$A1531)*($D$1016:$D$1039=$D1531)*(H$1016:H$1039) ) )</f>
        <v>2.5576830839725796E-3</v>
      </c>
      <c r="I1531" s="1379">
        <f t="array" ref="I1531" xml:space="preserve"> SUM(EF[CH4]*(EF[SATIM Code]= $D1531)) * ( SUM( ($A$768:$A$846=$A1531)*($D$768:$D$846= $D1531)*(I$768:I$846) )  +  SUM( ($A$933:$A$1011=$A1531)*($D$933:$D$1011= $D1531)*(I$933:I$1011) ) + SUM( ($E$1016:$E$1039=$E$1427)*($A$1016:$A$1039=$A1531)*($D$1016:$D$1039=$D1531)*(I$1016:I$1039) ) )</f>
        <v>3.1809689405096321E-3</v>
      </c>
      <c r="J1531" s="1379">
        <f t="array" ref="J1531" xml:space="preserve"> SUM(EF[CH4]*(EF[SATIM Code]= $D1531)) * ( SUM( ($A$768:$A$846=$A1531)*($D$768:$D$846= $D1531)*(J$768:J$846) )  +  SUM( ($A$933:$A$1011=$A1531)*($D$933:$D$1011= $D1531)*(J$933:J$1011) ) + SUM( ($E$1016:$E$1039=$E$1427)*($A$1016:$A$1039=$A1531)*($D$1016:$D$1039=$D1531)*(J$1016:J$1039) ) )</f>
        <v>3.9899587012198704E-3</v>
      </c>
      <c r="K1531" s="1379">
        <f t="array" ref="K1531" xml:space="preserve"> SUM(EF[CH4]*(EF[SATIM Code]= $D1531)) * ( SUM( ($A$768:$A$846=$A1531)*($D$768:$D$846= $D1531)*(K$768:K$846) )  +  SUM( ($A$933:$A$1011=$A1531)*($D$933:$D$1011= $D1531)*(K$933:K$1011) ) + SUM( ($E$1016:$E$1039=$E$1427)*($A$1016:$A$1039=$A1531)*($D$1016:$D$1039=$D1531)*(K$1016:K$1039) ) )</f>
        <v>5.0471987769346392E-3</v>
      </c>
      <c r="L1531" s="1379">
        <f t="array" ref="L1531" xml:space="preserve"> SUM(EF[CH4]*(EF[SATIM Code]= $D1531)) * ( SUM( ($A$768:$A$846=$A1531)*($D$768:$D$846= $D1531)*(L$768:L$846) )  +  SUM( ($A$933:$A$1011=$A1531)*($D$933:$D$1011= $D1531)*(L$933:L$1011) ) + SUM( ($E$1016:$E$1039=$E$1427)*($A$1016:$A$1039=$A1531)*($D$1016:$D$1039=$D1531)*(L$1016:L$1039) ) )</f>
        <v>6.3852734091409393E-3</v>
      </c>
      <c r="M1531" s="1379">
        <f t="array" ref="M1531" xml:space="preserve"> SUM(EF[CH4]*(EF[SATIM Code]= $D1531)) * ( SUM( ($A$768:$A$846=$A1531)*($D$768:$D$846= $D1531)*(M$768:M$846) )  +  SUM( ($A$933:$A$1011=$A1531)*($D$933:$D$1011= $D1531)*(M$933:M$1011) ) + SUM( ($E$1016:$E$1039=$E$1427)*($A$1016:$A$1039=$A1531)*($D$1016:$D$1039=$D1531)*(M$1016:M$1039) ) )</f>
        <v>7.9185675074491309E-3</v>
      </c>
      <c r="N1531" s="1379">
        <f t="array" ref="N1531" xml:space="preserve"> SUM(EF[CH4]*(EF[SATIM Code]= $D1531)) * ( SUM( ($A$768:$A$846=$A1531)*($D$768:$D$846= $D1531)*(N$768:N$846) )  +  SUM( ($A$933:$A$1011=$A1531)*($D$933:$D$1011= $D1531)*(N$933:N$1011) ) + SUM( ($E$1016:$E$1039=$E$1427)*($A$1016:$A$1039=$A1531)*($D$1016:$D$1039=$D1531)*(N$1016:N$1039) ) )</f>
        <v>9.5576963016122778E-3</v>
      </c>
      <c r="O1531" s="1379">
        <f t="array" ref="O1531" xml:space="preserve"> SUM(EF[CH4]*(EF[SATIM Code]= $D1531)) * ( SUM( ($A$768:$A$846=$A1531)*($D$768:$D$846= $D1531)*(O$768:O$846) )  +  SUM( ($A$933:$A$1011=$A1531)*($D$933:$D$1011= $D1531)*(O$933:O$1011) ) + SUM( ($E$1016:$E$1039=$E$1427)*($A$1016:$A$1039=$A1531)*($D$1016:$D$1039=$D1531)*(O$1016:O$1039) ) )</f>
        <v>1.1372879551792031E-2</v>
      </c>
    </row>
    <row r="1532" spans="1:15" s="19" customFormat="1" hidden="1" outlineLevel="1">
      <c r="A1532" s="19" t="str">
        <f t="shared" si="297"/>
        <v>MI</v>
      </c>
      <c r="B1532" s="1400" t="str">
        <f>INDEX(EF[UK Vector],MATCH(D1532,EF[SATIM Code],0))</f>
        <v>V.04</v>
      </c>
      <c r="C1532" s="1401" t="str">
        <f>INDEX(Vectors[Description], MATCH($B1532, Vectors[Code], 0))</f>
        <v>Liquid hydrocarbons</v>
      </c>
      <c r="D1532" s="1406" t="s">
        <v>887</v>
      </c>
      <c r="E1532" s="1393"/>
      <c r="F1532" s="1379">
        <f t="array" ref="F1532" xml:space="preserve"> SUM(EF[CH4]*(EF[SATIM Code]= $D1532)) * ( SUM( ($A$768:$A$846=$A1532)*($D$768:$D$846= $D1532)*(F$768:F$846) )  +  SUM( ($A$933:$A$1011=$A1532)*($D$933:$D$1011= $D1532)*(F$933:F$1011) ) + SUM( ($E$1016:$E$1039=$E$1427)*($A$1016:$A$1039=$A1532)*($D$1016:$D$1039=$D1532)*(F$1016:F$1039) ) )</f>
        <v>3.8789225999999988E-9</v>
      </c>
      <c r="G1532" s="1379">
        <f t="array" ref="G1532" xml:space="preserve"> SUM(EF[CH4]*(EF[SATIM Code]= $D1532)) * ( SUM( ($A$768:$A$846=$A1532)*($D$768:$D$846= $D1532)*(G$768:G$846) )  +  SUM( ($A$933:$A$1011=$A1532)*($D$933:$D$1011= $D1532)*(G$933:G$1011) ) + SUM( ($E$1016:$E$1039=$E$1427)*($A$1016:$A$1039=$A1532)*($D$1016:$D$1039=$D1532)*(G$1016:G$1039) ) )</f>
        <v>4.5560773488413146E-9</v>
      </c>
      <c r="H1532" s="1379">
        <f t="array" ref="H1532" xml:space="preserve"> SUM(EF[CH4]*(EF[SATIM Code]= $D1532)) * ( SUM( ($A$768:$A$846=$A1532)*($D$768:$D$846= $D1532)*(H$768:H$846) )  +  SUM( ($A$933:$A$1011=$A1532)*($D$933:$D$1011= $D1532)*(H$933:H$1011) ) + SUM( ($E$1016:$E$1039=$E$1427)*($A$1016:$A$1039=$A1532)*($D$1016:$D$1039=$D1532)*(H$1016:H$1039) ) )</f>
        <v>5.7490562954753746E-9</v>
      </c>
      <c r="I1532" s="1379">
        <f t="array" ref="I1532" xml:space="preserve"> SUM(EF[CH4]*(EF[SATIM Code]= $D1532)) * ( SUM( ($A$768:$A$846=$A1532)*($D$768:$D$846= $D1532)*(I$768:I$846) )  +  SUM( ($A$933:$A$1011=$A1532)*($D$933:$D$1011= $D1532)*(I$933:I$1011) ) + SUM( ($E$1016:$E$1039=$E$1427)*($A$1016:$A$1039=$A1532)*($D$1016:$D$1039=$D1532)*(I$1016:I$1039) ) )</f>
        <v>6.9420352421094347E-9</v>
      </c>
      <c r="J1532" s="1379">
        <f t="array" ref="J1532" xml:space="preserve"> SUM(EF[CH4]*(EF[SATIM Code]= $D1532)) * ( SUM( ($A$768:$A$846=$A1532)*($D$768:$D$846= $D1532)*(J$768:J$846) )  +  SUM( ($A$933:$A$1011=$A1532)*($D$933:$D$1011= $D1532)*(J$933:J$1011) ) + SUM( ($E$1016:$E$1039=$E$1427)*($A$1016:$A$1039=$A1532)*($D$1016:$D$1039=$D1532)*(J$1016:J$1039) ) )</f>
        <v>8.9592962374974946E-9</v>
      </c>
      <c r="K1532" s="1379">
        <f t="array" ref="K1532" xml:space="preserve"> SUM(EF[CH4]*(EF[SATIM Code]= $D1532)) * ( SUM( ($A$768:$A$846=$A1532)*($D$768:$D$846= $D1532)*(K$768:K$846) )  +  SUM( ($A$933:$A$1011=$A1532)*($D$933:$D$1011= $D1532)*(K$933:K$1011) ) + SUM( ($E$1016:$E$1039=$E$1427)*($A$1016:$A$1039=$A1532)*($D$1016:$D$1039=$D1532)*(K$1016:K$1039) ) )</f>
        <v>1.0976557232885555E-8</v>
      </c>
      <c r="L1532" s="1379">
        <f t="array" ref="L1532" xml:space="preserve"> SUM(EF[CH4]*(EF[SATIM Code]= $D1532)) * ( SUM( ($A$768:$A$846=$A1532)*($D$768:$D$846= $D1532)*(L$768:L$846) )  +  SUM( ($A$933:$A$1011=$A1532)*($D$933:$D$1011= $D1532)*(L$933:L$1011) ) + SUM( ($E$1016:$E$1039=$E$1427)*($A$1016:$A$1039=$A1532)*($D$1016:$D$1039=$D1532)*(L$1016:L$1039) ) )</f>
        <v>1.4073463276725806E-8</v>
      </c>
      <c r="M1532" s="1379">
        <f t="array" ref="M1532" xml:space="preserve"> SUM(EF[CH4]*(EF[SATIM Code]= $D1532)) * ( SUM( ($A$768:$A$846=$A1532)*($D$768:$D$846= $D1532)*(M$768:M$846) )  +  SUM( ($A$933:$A$1011=$A1532)*($D$933:$D$1011= $D1532)*(M$933:M$1011) ) + SUM( ($E$1016:$E$1039=$E$1427)*($A$1016:$A$1039=$A1532)*($D$1016:$D$1039=$D1532)*(M$1016:M$1039) ) )</f>
        <v>1.7170369320566054E-8</v>
      </c>
      <c r="N1532" s="1379">
        <f t="array" ref="N1532" xml:space="preserve"> SUM(EF[CH4]*(EF[SATIM Code]= $D1532)) * ( SUM( ($A$768:$A$846=$A1532)*($D$768:$D$846= $D1532)*(N$768:N$846) )  +  SUM( ($A$933:$A$1011=$A1532)*($D$933:$D$1011= $D1532)*(N$933:N$1011) ) + SUM( ($E$1016:$E$1039=$E$1427)*($A$1016:$A$1039=$A1532)*($D$1016:$D$1039=$D1532)*(N$1016:N$1039) ) )</f>
        <v>2.0899896611829565E-8</v>
      </c>
      <c r="O1532" s="1379">
        <f t="array" ref="O1532" xml:space="preserve"> SUM(EF[CH4]*(EF[SATIM Code]= $D1532)) * ( SUM( ($A$768:$A$846=$A1532)*($D$768:$D$846= $D1532)*(O$768:O$846) )  +  SUM( ($A$933:$A$1011=$A1532)*($D$933:$D$1011= $D1532)*(O$933:O$1011) ) + SUM( ($E$1016:$E$1039=$E$1427)*($A$1016:$A$1039=$A1532)*($D$1016:$D$1039=$D1532)*(O$1016:O$1039) ) )</f>
        <v>2.4629423903093073E-8</v>
      </c>
    </row>
    <row r="1533" spans="1:15" s="19" customFormat="1" hidden="1" outlineLevel="1">
      <c r="A1533" s="19" t="str">
        <f t="shared" si="297"/>
        <v>MI</v>
      </c>
      <c r="B1533" s="1400" t="str">
        <f>INDEX(EF[UK Vector],MATCH(D1533,EF[SATIM Code],0))</f>
        <v>V.09</v>
      </c>
      <c r="C1533" s="1401" t="str">
        <f>INDEX(Vectors[Description], MATCH($B1533, Vectors[Code], 0))</f>
        <v>Dry biomass and waste</v>
      </c>
      <c r="D1533" s="1406" t="s">
        <v>888</v>
      </c>
      <c r="E1533" s="1393"/>
      <c r="F1533" s="1379">
        <f t="array" ref="F1533" xml:space="preserve"> SUM(EF[CH4]*(EF[SATIM Code]= $D1533)) * ( SUM( ($A$768:$A$846=$A1533)*($D$768:$D$846= $D1533)*(F$768:F$846) )  +  SUM( ($A$933:$A$1011=$A1533)*($D$933:$D$1011= $D1533)*(F$933:F$1011) ) + SUM( ($E$1016:$E$1039=$E$1427)*($A$1016:$A$1039=$A1533)*($D$1016:$D$1039=$D1533)*(F$1016:F$1039) ) )</f>
        <v>0</v>
      </c>
      <c r="G1533" s="1379">
        <f t="array" ref="G1533" xml:space="preserve"> SUM(EF[CH4]*(EF[SATIM Code]= $D1533)) * ( SUM( ($A$768:$A$846=$A1533)*($D$768:$D$846= $D1533)*(G$768:G$846) )  +  SUM( ($A$933:$A$1011=$A1533)*($D$933:$D$1011= $D1533)*(G$933:G$1011) ) + SUM( ($E$1016:$E$1039=$E$1427)*($A$1016:$A$1039=$A1533)*($D$1016:$D$1039=$D1533)*(G$1016:G$1039) ) )</f>
        <v>0</v>
      </c>
      <c r="H1533" s="1379">
        <f t="array" ref="H1533" xml:space="preserve"> SUM(EF[CH4]*(EF[SATIM Code]= $D1533)) * ( SUM( ($A$768:$A$846=$A1533)*($D$768:$D$846= $D1533)*(H$768:H$846) )  +  SUM( ($A$933:$A$1011=$A1533)*($D$933:$D$1011= $D1533)*(H$933:H$1011) ) + SUM( ($E$1016:$E$1039=$E$1427)*($A$1016:$A$1039=$A1533)*($D$1016:$D$1039=$D1533)*(H$1016:H$1039) ) )</f>
        <v>0</v>
      </c>
      <c r="I1533" s="1379">
        <f t="array" ref="I1533" xml:space="preserve"> SUM(EF[CH4]*(EF[SATIM Code]= $D1533)) * ( SUM( ($A$768:$A$846=$A1533)*($D$768:$D$846= $D1533)*(I$768:I$846) )  +  SUM( ($A$933:$A$1011=$A1533)*($D$933:$D$1011= $D1533)*(I$933:I$1011) ) + SUM( ($E$1016:$E$1039=$E$1427)*($A$1016:$A$1039=$A1533)*($D$1016:$D$1039=$D1533)*(I$1016:I$1039) ) )</f>
        <v>0</v>
      </c>
      <c r="J1533" s="1379">
        <f t="array" ref="J1533" xml:space="preserve"> SUM(EF[CH4]*(EF[SATIM Code]= $D1533)) * ( SUM( ($A$768:$A$846=$A1533)*($D$768:$D$846= $D1533)*(J$768:J$846) )  +  SUM( ($A$933:$A$1011=$A1533)*($D$933:$D$1011= $D1533)*(J$933:J$1011) ) + SUM( ($E$1016:$E$1039=$E$1427)*($A$1016:$A$1039=$A1533)*($D$1016:$D$1039=$D1533)*(J$1016:J$1039) ) )</f>
        <v>0</v>
      </c>
      <c r="K1533" s="1379">
        <f t="array" ref="K1533" xml:space="preserve"> SUM(EF[CH4]*(EF[SATIM Code]= $D1533)) * ( SUM( ($A$768:$A$846=$A1533)*($D$768:$D$846= $D1533)*(K$768:K$846) )  +  SUM( ($A$933:$A$1011=$A1533)*($D$933:$D$1011= $D1533)*(K$933:K$1011) ) + SUM( ($E$1016:$E$1039=$E$1427)*($A$1016:$A$1039=$A1533)*($D$1016:$D$1039=$D1533)*(K$1016:K$1039) ) )</f>
        <v>0</v>
      </c>
      <c r="L1533" s="1379">
        <f t="array" ref="L1533" xml:space="preserve"> SUM(EF[CH4]*(EF[SATIM Code]= $D1533)) * ( SUM( ($A$768:$A$846=$A1533)*($D$768:$D$846= $D1533)*(L$768:L$846) )  +  SUM( ($A$933:$A$1011=$A1533)*($D$933:$D$1011= $D1533)*(L$933:L$1011) ) + SUM( ($E$1016:$E$1039=$E$1427)*($A$1016:$A$1039=$A1533)*($D$1016:$D$1039=$D1533)*(L$1016:L$1039) ) )</f>
        <v>0</v>
      </c>
      <c r="M1533" s="1379">
        <f t="array" ref="M1533" xml:space="preserve"> SUM(EF[CH4]*(EF[SATIM Code]= $D1533)) * ( SUM( ($A$768:$A$846=$A1533)*($D$768:$D$846= $D1533)*(M$768:M$846) )  +  SUM( ($A$933:$A$1011=$A1533)*($D$933:$D$1011= $D1533)*(M$933:M$1011) ) + SUM( ($E$1016:$E$1039=$E$1427)*($A$1016:$A$1039=$A1533)*($D$1016:$D$1039=$D1533)*(M$1016:M$1039) ) )</f>
        <v>0</v>
      </c>
      <c r="N1533" s="1379">
        <f t="array" ref="N1533" xml:space="preserve"> SUM(EF[CH4]*(EF[SATIM Code]= $D1533)) * ( SUM( ($A$768:$A$846=$A1533)*($D$768:$D$846= $D1533)*(N$768:N$846) )  +  SUM( ($A$933:$A$1011=$A1533)*($D$933:$D$1011= $D1533)*(N$933:N$1011) ) + SUM( ($E$1016:$E$1039=$E$1427)*($A$1016:$A$1039=$A1533)*($D$1016:$D$1039=$D1533)*(N$1016:N$1039) ) )</f>
        <v>0</v>
      </c>
      <c r="O1533" s="1379">
        <f t="array" ref="O1533" xml:space="preserve"> SUM(EF[CH4]*(EF[SATIM Code]= $D1533)) * ( SUM( ($A$768:$A$846=$A1533)*($D$768:$D$846= $D1533)*(O$768:O$846) )  +  SUM( ($A$933:$A$1011=$A1533)*($D$933:$D$1011= $D1533)*(O$933:O$1011) ) + SUM( ($E$1016:$E$1039=$E$1427)*($A$1016:$A$1039=$A1533)*($D$1016:$D$1039=$D1533)*(O$1016:O$1039) ) )</f>
        <v>0</v>
      </c>
    </row>
    <row r="1534" spans="1:15" s="19" customFormat="1" hidden="1" outlineLevel="1">
      <c r="A1534" s="19" t="str">
        <f t="shared" si="297"/>
        <v>MI</v>
      </c>
      <c r="B1534" s="1400" t="str">
        <f>INDEX(EF[UK Vector],MATCH(D1534,EF[SATIM Code],0))</f>
        <v>V.09</v>
      </c>
      <c r="C1534" s="1401" t="str">
        <f>INDEX(Vectors[Description], MATCH($B1534, Vectors[Code], 0))</f>
        <v>Dry biomass and waste</v>
      </c>
      <c r="D1534" s="1388" t="s">
        <v>889</v>
      </c>
      <c r="E1534" s="1393"/>
      <c r="F1534" s="1379">
        <f t="array" ref="F1534" xml:space="preserve"> SUM(EF[CH4]*(EF[SATIM Code]= $D1534)) * ( SUM( ($A$768:$A$846=$A1534)*($D$768:$D$846= $D1534)*(F$768:F$846) )  +  SUM( ($A$933:$A$1011=$A1534)*($D$933:$D$1011= $D1534)*(F$933:F$1011) ) + SUM( ($E$1016:$E$1039=$E$1427)*($A$1016:$A$1039=$A1534)*($D$1016:$D$1039=$D1534)*(F$1016:F$1039) ) )</f>
        <v>0</v>
      </c>
      <c r="G1534" s="1379">
        <f t="array" ref="G1534" xml:space="preserve"> SUM(EF[CH4]*(EF[SATIM Code]= $D1534)) * ( SUM( ($A$768:$A$846=$A1534)*($D$768:$D$846= $D1534)*(G$768:G$846) )  +  SUM( ($A$933:$A$1011=$A1534)*($D$933:$D$1011= $D1534)*(G$933:G$1011) ) + SUM( ($E$1016:$E$1039=$E$1427)*($A$1016:$A$1039=$A1534)*($D$1016:$D$1039=$D1534)*(G$1016:G$1039) ) )</f>
        <v>0</v>
      </c>
      <c r="H1534" s="1379">
        <f t="array" ref="H1534" xml:space="preserve"> SUM(EF[CH4]*(EF[SATIM Code]= $D1534)) * ( SUM( ($A$768:$A$846=$A1534)*($D$768:$D$846= $D1534)*(H$768:H$846) )  +  SUM( ($A$933:$A$1011=$A1534)*($D$933:$D$1011= $D1534)*(H$933:H$1011) ) + SUM( ($E$1016:$E$1039=$E$1427)*($A$1016:$A$1039=$A1534)*($D$1016:$D$1039=$D1534)*(H$1016:H$1039) ) )</f>
        <v>0</v>
      </c>
      <c r="I1534" s="1379">
        <f t="array" ref="I1534" xml:space="preserve"> SUM(EF[CH4]*(EF[SATIM Code]= $D1534)) * ( SUM( ($A$768:$A$846=$A1534)*($D$768:$D$846= $D1534)*(I$768:I$846) )  +  SUM( ($A$933:$A$1011=$A1534)*($D$933:$D$1011= $D1534)*(I$933:I$1011) ) + SUM( ($E$1016:$E$1039=$E$1427)*($A$1016:$A$1039=$A1534)*($D$1016:$D$1039=$D1534)*(I$1016:I$1039) ) )</f>
        <v>0</v>
      </c>
      <c r="J1534" s="1379">
        <f t="array" ref="J1534" xml:space="preserve"> SUM(EF[CH4]*(EF[SATIM Code]= $D1534)) * ( SUM( ($A$768:$A$846=$A1534)*($D$768:$D$846= $D1534)*(J$768:J$846) )  +  SUM( ($A$933:$A$1011=$A1534)*($D$933:$D$1011= $D1534)*(J$933:J$1011) ) + SUM( ($E$1016:$E$1039=$E$1427)*($A$1016:$A$1039=$A1534)*($D$1016:$D$1039=$D1534)*(J$1016:J$1039) ) )</f>
        <v>0</v>
      </c>
      <c r="K1534" s="1379">
        <f t="array" ref="K1534" xml:space="preserve"> SUM(EF[CH4]*(EF[SATIM Code]= $D1534)) * ( SUM( ($A$768:$A$846=$A1534)*($D$768:$D$846= $D1534)*(K$768:K$846) )  +  SUM( ($A$933:$A$1011=$A1534)*($D$933:$D$1011= $D1534)*(K$933:K$1011) ) + SUM( ($E$1016:$E$1039=$E$1427)*($A$1016:$A$1039=$A1534)*($D$1016:$D$1039=$D1534)*(K$1016:K$1039) ) )</f>
        <v>0</v>
      </c>
      <c r="L1534" s="1379">
        <f t="array" ref="L1534" xml:space="preserve"> SUM(EF[CH4]*(EF[SATIM Code]= $D1534)) * ( SUM( ($A$768:$A$846=$A1534)*($D$768:$D$846= $D1534)*(L$768:L$846) )  +  SUM( ($A$933:$A$1011=$A1534)*($D$933:$D$1011= $D1534)*(L$933:L$1011) ) + SUM( ($E$1016:$E$1039=$E$1427)*($A$1016:$A$1039=$A1534)*($D$1016:$D$1039=$D1534)*(L$1016:L$1039) ) )</f>
        <v>0</v>
      </c>
      <c r="M1534" s="1379">
        <f t="array" ref="M1534" xml:space="preserve"> SUM(EF[CH4]*(EF[SATIM Code]= $D1534)) * ( SUM( ($A$768:$A$846=$A1534)*($D$768:$D$846= $D1534)*(M$768:M$846) )  +  SUM( ($A$933:$A$1011=$A1534)*($D$933:$D$1011= $D1534)*(M$933:M$1011) ) + SUM( ($E$1016:$E$1039=$E$1427)*($A$1016:$A$1039=$A1534)*($D$1016:$D$1039=$D1534)*(M$1016:M$1039) ) )</f>
        <v>0</v>
      </c>
      <c r="N1534" s="1379">
        <f t="array" ref="N1534" xml:space="preserve"> SUM(EF[CH4]*(EF[SATIM Code]= $D1534)) * ( SUM( ($A$768:$A$846=$A1534)*($D$768:$D$846= $D1534)*(N$768:N$846) )  +  SUM( ($A$933:$A$1011=$A1534)*($D$933:$D$1011= $D1534)*(N$933:N$1011) ) + SUM( ($E$1016:$E$1039=$E$1427)*($A$1016:$A$1039=$A1534)*($D$1016:$D$1039=$D1534)*(N$1016:N$1039) ) )</f>
        <v>0</v>
      </c>
      <c r="O1534" s="1379">
        <f t="array" ref="O1534" xml:space="preserve"> SUM(EF[CH4]*(EF[SATIM Code]= $D1534)) * ( SUM( ($A$768:$A$846=$A1534)*($D$768:$D$846= $D1534)*(O$768:O$846) )  +  SUM( ($A$933:$A$1011=$A1534)*($D$933:$D$1011= $D1534)*(O$933:O$1011) ) + SUM( ($E$1016:$E$1039=$E$1427)*($A$1016:$A$1039=$A1534)*($D$1016:$D$1039=$D1534)*(O$1016:O$1039) ) )</f>
        <v>0</v>
      </c>
    </row>
    <row r="1535" spans="1:15" s="19" customFormat="1" hidden="1" outlineLevel="1">
      <c r="A1535" s="19" t="str">
        <f t="shared" si="297"/>
        <v>MI</v>
      </c>
      <c r="B1535" s="1400" t="str">
        <f>INDEX(EF[UK Vector],MATCH(D1535,EF[SATIM Code],0))</f>
        <v>V.16</v>
      </c>
      <c r="C1535" s="1401" t="str">
        <f>INDEX(Vectors[Description], MATCH($B1535, Vectors[Code], 0))</f>
        <v>Other Waste</v>
      </c>
      <c r="D1535" s="1408" t="s">
        <v>890</v>
      </c>
      <c r="E1535" s="1393"/>
      <c r="F1535" s="1379">
        <f t="array" ref="F1535" xml:space="preserve"> SUM(EF[CH4]*(EF[SATIM Code]= $D1535)) * ( SUM( ($A$768:$A$846=$A1535)*($D$768:$D$846= $D1535)*(F$768:F$846) )  +  SUM( ($A$933:$A$1011=$A1535)*($D$933:$D$1011= $D1535)*(F$933:F$1011) ) + SUM( ($E$1016:$E$1039=$E$1427)*($A$1016:$A$1039=$A1535)*($D$1016:$D$1039=$D1535)*(F$1016:F$1039) ) )</f>
        <v>0</v>
      </c>
      <c r="G1535" s="1379">
        <f t="array" ref="G1535" xml:space="preserve"> SUM(EF[CH4]*(EF[SATIM Code]= $D1535)) * ( SUM( ($A$768:$A$846=$A1535)*($D$768:$D$846= $D1535)*(G$768:G$846) )  +  SUM( ($A$933:$A$1011=$A1535)*($D$933:$D$1011= $D1535)*(G$933:G$1011) ) + SUM( ($E$1016:$E$1039=$E$1427)*($A$1016:$A$1039=$A1535)*($D$1016:$D$1039=$D1535)*(G$1016:G$1039) ) )</f>
        <v>0</v>
      </c>
      <c r="H1535" s="1379">
        <f t="array" ref="H1535" xml:space="preserve"> SUM(EF[CH4]*(EF[SATIM Code]= $D1535)) * ( SUM( ($A$768:$A$846=$A1535)*($D$768:$D$846= $D1535)*(H$768:H$846) )  +  SUM( ($A$933:$A$1011=$A1535)*($D$933:$D$1011= $D1535)*(H$933:H$1011) ) + SUM( ($E$1016:$E$1039=$E$1427)*($A$1016:$A$1039=$A1535)*($D$1016:$D$1039=$D1535)*(H$1016:H$1039) ) )</f>
        <v>0</v>
      </c>
      <c r="I1535" s="1379">
        <f t="array" ref="I1535" xml:space="preserve"> SUM(EF[CH4]*(EF[SATIM Code]= $D1535)) * ( SUM( ($A$768:$A$846=$A1535)*($D$768:$D$846= $D1535)*(I$768:I$846) )  +  SUM( ($A$933:$A$1011=$A1535)*($D$933:$D$1011= $D1535)*(I$933:I$1011) ) + SUM( ($E$1016:$E$1039=$E$1427)*($A$1016:$A$1039=$A1535)*($D$1016:$D$1039=$D1535)*(I$1016:I$1039) ) )</f>
        <v>0</v>
      </c>
      <c r="J1535" s="1379">
        <f t="array" ref="J1535" xml:space="preserve"> SUM(EF[CH4]*(EF[SATIM Code]= $D1535)) * ( SUM( ($A$768:$A$846=$A1535)*($D$768:$D$846= $D1535)*(J$768:J$846) )  +  SUM( ($A$933:$A$1011=$A1535)*($D$933:$D$1011= $D1535)*(J$933:J$1011) ) + SUM( ($E$1016:$E$1039=$E$1427)*($A$1016:$A$1039=$A1535)*($D$1016:$D$1039=$D1535)*(J$1016:J$1039) ) )</f>
        <v>0</v>
      </c>
      <c r="K1535" s="1379">
        <f t="array" ref="K1535" xml:space="preserve"> SUM(EF[CH4]*(EF[SATIM Code]= $D1535)) * ( SUM( ($A$768:$A$846=$A1535)*($D$768:$D$846= $D1535)*(K$768:K$846) )  +  SUM( ($A$933:$A$1011=$A1535)*($D$933:$D$1011= $D1535)*(K$933:K$1011) ) + SUM( ($E$1016:$E$1039=$E$1427)*($A$1016:$A$1039=$A1535)*($D$1016:$D$1039=$D1535)*(K$1016:K$1039) ) )</f>
        <v>0</v>
      </c>
      <c r="L1535" s="1379">
        <f t="array" ref="L1535" xml:space="preserve"> SUM(EF[CH4]*(EF[SATIM Code]= $D1535)) * ( SUM( ($A$768:$A$846=$A1535)*($D$768:$D$846= $D1535)*(L$768:L$846) )  +  SUM( ($A$933:$A$1011=$A1535)*($D$933:$D$1011= $D1535)*(L$933:L$1011) ) + SUM( ($E$1016:$E$1039=$E$1427)*($A$1016:$A$1039=$A1535)*($D$1016:$D$1039=$D1535)*(L$1016:L$1039) ) )</f>
        <v>0</v>
      </c>
      <c r="M1535" s="1379">
        <f t="array" ref="M1535" xml:space="preserve"> SUM(EF[CH4]*(EF[SATIM Code]= $D1535)) * ( SUM( ($A$768:$A$846=$A1535)*($D$768:$D$846= $D1535)*(M$768:M$846) )  +  SUM( ($A$933:$A$1011=$A1535)*($D$933:$D$1011= $D1535)*(M$933:M$1011) ) + SUM( ($E$1016:$E$1039=$E$1427)*($A$1016:$A$1039=$A1535)*($D$1016:$D$1039=$D1535)*(M$1016:M$1039) ) )</f>
        <v>0</v>
      </c>
      <c r="N1535" s="1379">
        <f t="array" ref="N1535" xml:space="preserve"> SUM(EF[CH4]*(EF[SATIM Code]= $D1535)) * ( SUM( ($A$768:$A$846=$A1535)*($D$768:$D$846= $D1535)*(N$768:N$846) )  +  SUM( ($A$933:$A$1011=$A1535)*($D$933:$D$1011= $D1535)*(N$933:N$1011) ) + SUM( ($E$1016:$E$1039=$E$1427)*($A$1016:$A$1039=$A1535)*($D$1016:$D$1039=$D1535)*(N$1016:N$1039) ) )</f>
        <v>0</v>
      </c>
      <c r="O1535" s="1379">
        <f t="array" ref="O1535" xml:space="preserve"> SUM(EF[CH4]*(EF[SATIM Code]= $D1535)) * ( SUM( ($A$768:$A$846=$A1535)*($D$768:$D$846= $D1535)*(O$768:O$846) )  +  SUM( ($A$933:$A$1011=$A1535)*($D$933:$D$1011= $D1535)*(O$933:O$1011) ) + SUM( ($E$1016:$E$1039=$E$1427)*($A$1016:$A$1039=$A1535)*($D$1016:$D$1039=$D1535)*(O$1016:O$1039) ) )</f>
        <v>0</v>
      </c>
    </row>
    <row r="1536" spans="1:15" s="19" customFormat="1" hidden="1" outlineLevel="1">
      <c r="B1536" s="1393"/>
      <c r="C1536" s="1407" t="str">
        <f>D21</f>
        <v>Iron  &amp; Steel  - 351</v>
      </c>
      <c r="D1536" s="1391"/>
      <c r="E1536" s="1393"/>
      <c r="F1536" s="1379">
        <f t="array" ref="F1536" xml:space="preserve"> SUM(EF[CH4]*(EF[SATIM Code]= $D1536)) * ( SUM( ($A$768:$A$846=$A1536)*($D$768:$D$846= $D1536)*(F$768:F$846) )  +  SUM( ($A$933:$A$1011=$A1536)*($D$933:$D$1011= $D1536)*(F$933:F$1011) ) + SUM( ($E$1016:$E$1039=$E$1427)*($A$1016:$A$1039=$A1536)*($D$1016:$D$1039=$D1536)*(F$1016:F$1039) ) )</f>
        <v>0</v>
      </c>
      <c r="G1536" s="1379">
        <f t="array" ref="G1536" xml:space="preserve"> SUM(EF[CH4]*(EF[SATIM Code]= $D1536)) * ( SUM( ($A$768:$A$846=$A1536)*($D$768:$D$846= $D1536)*(G$768:G$846) )  +  SUM( ($A$933:$A$1011=$A1536)*($D$933:$D$1011= $D1536)*(G$933:G$1011) ) + SUM( ($E$1016:$E$1039=$E$1427)*($A$1016:$A$1039=$A1536)*($D$1016:$D$1039=$D1536)*(G$1016:G$1039) ) )</f>
        <v>0</v>
      </c>
      <c r="H1536" s="1379">
        <f t="array" ref="H1536" xml:space="preserve"> SUM(EF[CH4]*(EF[SATIM Code]= $D1536)) * ( SUM( ($A$768:$A$846=$A1536)*($D$768:$D$846= $D1536)*(H$768:H$846) )  +  SUM( ($A$933:$A$1011=$A1536)*($D$933:$D$1011= $D1536)*(H$933:H$1011) ) + SUM( ($E$1016:$E$1039=$E$1427)*($A$1016:$A$1039=$A1536)*($D$1016:$D$1039=$D1536)*(H$1016:H$1039) ) )</f>
        <v>0</v>
      </c>
      <c r="I1536" s="1379">
        <f t="array" ref="I1536" xml:space="preserve"> SUM(EF[CH4]*(EF[SATIM Code]= $D1536)) * ( SUM( ($A$768:$A$846=$A1536)*($D$768:$D$846= $D1536)*(I$768:I$846) )  +  SUM( ($A$933:$A$1011=$A1536)*($D$933:$D$1011= $D1536)*(I$933:I$1011) ) + SUM( ($E$1016:$E$1039=$E$1427)*($A$1016:$A$1039=$A1536)*($D$1016:$D$1039=$D1536)*(I$1016:I$1039) ) )</f>
        <v>0</v>
      </c>
      <c r="J1536" s="1379">
        <f t="array" ref="J1536" xml:space="preserve"> SUM(EF[CH4]*(EF[SATIM Code]= $D1536)) * ( SUM( ($A$768:$A$846=$A1536)*($D$768:$D$846= $D1536)*(J$768:J$846) )  +  SUM( ($A$933:$A$1011=$A1536)*($D$933:$D$1011= $D1536)*(J$933:J$1011) ) + SUM( ($E$1016:$E$1039=$E$1427)*($A$1016:$A$1039=$A1536)*($D$1016:$D$1039=$D1536)*(J$1016:J$1039) ) )</f>
        <v>0</v>
      </c>
      <c r="K1536" s="1379">
        <f t="array" ref="K1536" xml:space="preserve"> SUM(EF[CH4]*(EF[SATIM Code]= $D1536)) * ( SUM( ($A$768:$A$846=$A1536)*($D$768:$D$846= $D1536)*(K$768:K$846) )  +  SUM( ($A$933:$A$1011=$A1536)*($D$933:$D$1011= $D1536)*(K$933:K$1011) ) + SUM( ($E$1016:$E$1039=$E$1427)*($A$1016:$A$1039=$A1536)*($D$1016:$D$1039=$D1536)*(K$1016:K$1039) ) )</f>
        <v>0</v>
      </c>
      <c r="L1536" s="1379">
        <f t="array" ref="L1536" xml:space="preserve"> SUM(EF[CH4]*(EF[SATIM Code]= $D1536)) * ( SUM( ($A$768:$A$846=$A1536)*($D$768:$D$846= $D1536)*(L$768:L$846) )  +  SUM( ($A$933:$A$1011=$A1536)*($D$933:$D$1011= $D1536)*(L$933:L$1011) ) + SUM( ($E$1016:$E$1039=$E$1427)*($A$1016:$A$1039=$A1536)*($D$1016:$D$1039=$D1536)*(L$1016:L$1039) ) )</f>
        <v>0</v>
      </c>
      <c r="M1536" s="1379">
        <f t="array" ref="M1536" xml:space="preserve"> SUM(EF[CH4]*(EF[SATIM Code]= $D1536)) * ( SUM( ($A$768:$A$846=$A1536)*($D$768:$D$846= $D1536)*(M$768:M$846) )  +  SUM( ($A$933:$A$1011=$A1536)*($D$933:$D$1011= $D1536)*(M$933:M$1011) ) + SUM( ($E$1016:$E$1039=$E$1427)*($A$1016:$A$1039=$A1536)*($D$1016:$D$1039=$D1536)*(M$1016:M$1039) ) )</f>
        <v>0</v>
      </c>
      <c r="N1536" s="1379">
        <f t="array" ref="N1536" xml:space="preserve"> SUM(EF[CH4]*(EF[SATIM Code]= $D1536)) * ( SUM( ($A$768:$A$846=$A1536)*($D$768:$D$846= $D1536)*(N$768:N$846) )  +  SUM( ($A$933:$A$1011=$A1536)*($D$933:$D$1011= $D1536)*(N$933:N$1011) ) + SUM( ($E$1016:$E$1039=$E$1427)*($A$1016:$A$1039=$A1536)*($D$1016:$D$1039=$D1536)*(N$1016:N$1039) ) )</f>
        <v>0</v>
      </c>
      <c r="O1536" s="1379">
        <f t="array" ref="O1536" xml:space="preserve"> SUM(EF[CH4]*(EF[SATIM Code]= $D1536)) * ( SUM( ($A$768:$A$846=$A1536)*($D$768:$D$846= $D1536)*(O$768:O$846) )  +  SUM( ($A$933:$A$1011=$A1536)*($D$933:$D$1011= $D1536)*(O$933:O$1011) ) + SUM( ($E$1016:$E$1039=$E$1427)*($A$1016:$A$1039=$A1536)*($D$1016:$D$1039=$D1536)*(O$1016:O$1039) ) )</f>
        <v>0</v>
      </c>
    </row>
    <row r="1537" spans="1:15" s="19" customFormat="1" hidden="1" outlineLevel="1">
      <c r="A1537" s="1438" t="str">
        <f>INDEX($C$20:$C$27,MATCH($C1536,$D$20:$D$27,0))</f>
        <v>IS</v>
      </c>
      <c r="B1537" s="1400" t="str">
        <f>INDEX(EF[UK Vector],MATCH(D1537,EF[SATIM Code],0))</f>
        <v>V.03</v>
      </c>
      <c r="C1537" s="1401" t="str">
        <f>INDEX(Vectors[Description], MATCH($B1537, Vectors[Code], 0))</f>
        <v>Solid hydrocarbons</v>
      </c>
      <c r="D1537" s="1391" t="s">
        <v>882</v>
      </c>
      <c r="E1537" s="1393"/>
      <c r="F1537" s="1379">
        <f t="array" ref="F1537" xml:space="preserve"> SUM(EF[CH4]*(EF[SATIM Code]= $D1537)) * ( SUM( ($A$768:$A$846=$A1537)*($D$768:$D$846= $D1537)*(F$768:F$846) )  +  SUM( ($A$933:$A$1011=$A1537)*($D$933:$D$1011= $D1537)*(F$933:F$1011) ) + SUM( ($E$1016:$E$1039=$E$1427)*($A$1016:$A$1039=$A1537)*($D$1016:$D$1039=$D1537)*(F$1016:F$1039) ) )</f>
        <v>2.6327851192156091E-3</v>
      </c>
      <c r="G1537" s="1379">
        <f t="array" ref="G1537" xml:space="preserve"> SUM(EF[CH4]*(EF[SATIM Code]= $D1537)) * ( SUM( ($A$768:$A$846=$A1537)*($D$768:$D$846= $D1537)*(G$768:G$846) )  +  SUM( ($A$933:$A$1011=$A1537)*($D$933:$D$1011= $D1537)*(G$933:G$1011) ) + SUM( ($E$1016:$E$1039=$E$1427)*($A$1016:$A$1039=$A1537)*($D$1016:$D$1039=$D1537)*(G$1016:G$1039) ) )</f>
        <v>3.047846535839855E-3</v>
      </c>
      <c r="H1537" s="1379">
        <f t="array" ref="H1537" xml:space="preserve"> SUM(EF[CH4]*(EF[SATIM Code]= $D1537)) * ( SUM( ($A$768:$A$846=$A1537)*($D$768:$D$846= $D1537)*(H$768:H$846) )  +  SUM( ($A$933:$A$1011=$A1537)*($D$933:$D$1011= $D1537)*(H$933:H$1011) ) + SUM( ($E$1016:$E$1039=$E$1427)*($A$1016:$A$1039=$A1537)*($D$1016:$D$1039=$D1537)*(H$1016:H$1039) ) )</f>
        <v>3.9395534118895495E-3</v>
      </c>
      <c r="I1537" s="1379">
        <f t="array" ref="I1537" xml:space="preserve"> SUM(EF[CH4]*(EF[SATIM Code]= $D1537)) * ( SUM( ($A$768:$A$846=$A1537)*($D$768:$D$846= $D1537)*(I$768:I$846) )  +  SUM( ($A$933:$A$1011=$A1537)*($D$933:$D$1011= $D1537)*(I$933:I$1011) ) + SUM( ($E$1016:$E$1039=$E$1427)*($A$1016:$A$1039=$A1537)*($D$1016:$D$1039=$D1537)*(I$1016:I$1039) ) )</f>
        <v>4.8312602879392449E-3</v>
      </c>
      <c r="J1537" s="1379">
        <f t="array" ref="J1537" xml:space="preserve"> SUM(EF[CH4]*(EF[SATIM Code]= $D1537)) * ( SUM( ($A$768:$A$846=$A1537)*($D$768:$D$846= $D1537)*(J$768:J$846) )  +  SUM( ($A$933:$A$1011=$A1537)*($D$933:$D$1011= $D1537)*(J$933:J$1011) ) + SUM( ($E$1016:$E$1039=$E$1427)*($A$1016:$A$1039=$A1537)*($D$1016:$D$1039=$D1537)*(J$1016:J$1039) ) )</f>
        <v>6.2169031714988908E-3</v>
      </c>
      <c r="K1537" s="1379">
        <f t="array" ref="K1537" xml:space="preserve"> SUM(EF[CH4]*(EF[SATIM Code]= $D1537)) * ( SUM( ($A$768:$A$846=$A1537)*($D$768:$D$846= $D1537)*(K$768:K$846) )  +  SUM( ($A$933:$A$1011=$A1537)*($D$933:$D$1011= $D1537)*(K$933:K$1011) ) + SUM( ($E$1016:$E$1039=$E$1427)*($A$1016:$A$1039=$A1537)*($D$1016:$D$1039=$D1537)*(K$1016:K$1039) ) )</f>
        <v>7.6025460550585349E-3</v>
      </c>
      <c r="L1537" s="1379">
        <f t="array" ref="L1537" xml:space="preserve"> SUM(EF[CH4]*(EF[SATIM Code]= $D1537)) * ( SUM( ($A$768:$A$846=$A1537)*($D$768:$D$846= $D1537)*(L$768:L$846) )  +  SUM( ($A$933:$A$1011=$A1537)*($D$933:$D$1011= $D1537)*(L$933:L$1011) ) + SUM( ($E$1016:$E$1039=$E$1427)*($A$1016:$A$1039=$A1537)*($D$1016:$D$1039=$D1537)*(L$1016:L$1039) ) )</f>
        <v>9.4308467063708625E-3</v>
      </c>
      <c r="M1537" s="1379">
        <f t="array" ref="M1537" xml:space="preserve"> SUM(EF[CH4]*(EF[SATIM Code]= $D1537)) * ( SUM( ($A$768:$A$846=$A1537)*($D$768:$D$846= $D1537)*(M$768:M$846) )  +  SUM( ($A$933:$A$1011=$A1537)*($D$933:$D$1011= $D1537)*(M$933:M$1011) ) + SUM( ($E$1016:$E$1039=$E$1427)*($A$1016:$A$1039=$A1537)*($D$1016:$D$1039=$D1537)*(M$1016:M$1039) ) )</f>
        <v>1.1259147357683189E-2</v>
      </c>
      <c r="N1537" s="1379">
        <f t="array" ref="N1537" xml:space="preserve"> SUM(EF[CH4]*(EF[SATIM Code]= $D1537)) * ( SUM( ($A$768:$A$846=$A1537)*($D$768:$D$846= $D1537)*(N$768:N$846) )  +  SUM( ($A$933:$A$1011=$A1537)*($D$933:$D$1011= $D1537)*(N$933:N$1011) ) + SUM( ($E$1016:$E$1039=$E$1427)*($A$1016:$A$1039=$A1537)*($D$1016:$D$1039=$D1537)*(N$1016:N$1039) ) )</f>
        <v>1.3399589210486625E-2</v>
      </c>
      <c r="O1537" s="1379">
        <f t="array" ref="O1537" xml:space="preserve"> SUM(EF[CH4]*(EF[SATIM Code]= $D1537)) * ( SUM( ($A$768:$A$846=$A1537)*($D$768:$D$846= $D1537)*(O$768:O$846) )  +  SUM( ($A$933:$A$1011=$A1537)*($D$933:$D$1011= $D1537)*(O$933:O$1011) ) + SUM( ($E$1016:$E$1039=$E$1427)*($A$1016:$A$1039=$A1537)*($D$1016:$D$1039=$D1537)*(O$1016:O$1039) ) )</f>
        <v>1.5540031063290058E-2</v>
      </c>
    </row>
    <row r="1538" spans="1:15" s="19" customFormat="1" hidden="1" outlineLevel="1">
      <c r="A1538" s="19" t="str">
        <f t="shared" ref="A1538:A1545" si="298">A1537</f>
        <v>IS</v>
      </c>
      <c r="B1538" s="1400" t="str">
        <f>INDEX(EF[UK Vector],MATCH(D1538,EF[SATIM Code],0))</f>
        <v>V.03</v>
      </c>
      <c r="C1538" s="1401" t="str">
        <f>INDEX(Vectors[Description], MATCH($B1538, Vectors[Code], 0))</f>
        <v>Solid hydrocarbons</v>
      </c>
      <c r="D1538" s="1391" t="s">
        <v>883</v>
      </c>
      <c r="E1538" s="1393"/>
      <c r="F1538" s="1379">
        <f t="array" ref="F1538" xml:space="preserve"> SUM(EF[CH4]*(EF[SATIM Code]= $D1538)) * ( SUM( ($A$768:$A$846=$A1538)*($D$768:$D$846= $D1538)*(F$768:F$846) )  +  SUM( ($A$933:$A$1011=$A1538)*($D$933:$D$1011= $D1538)*(F$933:F$1011) ) + SUM( ($E$1016:$E$1039=$E$1427)*($A$1016:$A$1039=$A1538)*($D$1016:$D$1039=$D1538)*(F$1016:F$1039) ) )</f>
        <v>0</v>
      </c>
      <c r="G1538" s="1379">
        <f t="array" ref="G1538" xml:space="preserve"> SUM(EF[CH4]*(EF[SATIM Code]= $D1538)) * ( SUM( ($A$768:$A$846=$A1538)*($D$768:$D$846= $D1538)*(G$768:G$846) )  +  SUM( ($A$933:$A$1011=$A1538)*($D$933:$D$1011= $D1538)*(G$933:G$1011) ) + SUM( ($E$1016:$E$1039=$E$1427)*($A$1016:$A$1039=$A1538)*($D$1016:$D$1039=$D1538)*(G$1016:G$1039) ) )</f>
        <v>0</v>
      </c>
      <c r="H1538" s="1379">
        <f t="array" ref="H1538" xml:space="preserve"> SUM(EF[CH4]*(EF[SATIM Code]= $D1538)) * ( SUM( ($A$768:$A$846=$A1538)*($D$768:$D$846= $D1538)*(H$768:H$846) )  +  SUM( ($A$933:$A$1011=$A1538)*($D$933:$D$1011= $D1538)*(H$933:H$1011) ) + SUM( ($E$1016:$E$1039=$E$1427)*($A$1016:$A$1039=$A1538)*($D$1016:$D$1039=$D1538)*(H$1016:H$1039) ) )</f>
        <v>0</v>
      </c>
      <c r="I1538" s="1379">
        <f t="array" ref="I1538" xml:space="preserve"> SUM(EF[CH4]*(EF[SATIM Code]= $D1538)) * ( SUM( ($A$768:$A$846=$A1538)*($D$768:$D$846= $D1538)*(I$768:I$846) )  +  SUM( ($A$933:$A$1011=$A1538)*($D$933:$D$1011= $D1538)*(I$933:I$1011) ) + SUM( ($E$1016:$E$1039=$E$1427)*($A$1016:$A$1039=$A1538)*($D$1016:$D$1039=$D1538)*(I$1016:I$1039) ) )</f>
        <v>0</v>
      </c>
      <c r="J1538" s="1379">
        <f t="array" ref="J1538" xml:space="preserve"> SUM(EF[CH4]*(EF[SATIM Code]= $D1538)) * ( SUM( ($A$768:$A$846=$A1538)*($D$768:$D$846= $D1538)*(J$768:J$846) )  +  SUM( ($A$933:$A$1011=$A1538)*($D$933:$D$1011= $D1538)*(J$933:J$1011) ) + SUM( ($E$1016:$E$1039=$E$1427)*($A$1016:$A$1039=$A1538)*($D$1016:$D$1039=$D1538)*(J$1016:J$1039) ) )</f>
        <v>0</v>
      </c>
      <c r="K1538" s="1379">
        <f t="array" ref="K1538" xml:space="preserve"> SUM(EF[CH4]*(EF[SATIM Code]= $D1538)) * ( SUM( ($A$768:$A$846=$A1538)*($D$768:$D$846= $D1538)*(K$768:K$846) )  +  SUM( ($A$933:$A$1011=$A1538)*($D$933:$D$1011= $D1538)*(K$933:K$1011) ) + SUM( ($E$1016:$E$1039=$E$1427)*($A$1016:$A$1039=$A1538)*($D$1016:$D$1039=$D1538)*(K$1016:K$1039) ) )</f>
        <v>0</v>
      </c>
      <c r="L1538" s="1379">
        <f t="array" ref="L1538" xml:space="preserve"> SUM(EF[CH4]*(EF[SATIM Code]= $D1538)) * ( SUM( ($A$768:$A$846=$A1538)*($D$768:$D$846= $D1538)*(L$768:L$846) )  +  SUM( ($A$933:$A$1011=$A1538)*($D$933:$D$1011= $D1538)*(L$933:L$1011) ) + SUM( ($E$1016:$E$1039=$E$1427)*($A$1016:$A$1039=$A1538)*($D$1016:$D$1039=$D1538)*(L$1016:L$1039) ) )</f>
        <v>0</v>
      </c>
      <c r="M1538" s="1379">
        <f t="array" ref="M1538" xml:space="preserve"> SUM(EF[CH4]*(EF[SATIM Code]= $D1538)) * ( SUM( ($A$768:$A$846=$A1538)*($D$768:$D$846= $D1538)*(M$768:M$846) )  +  SUM( ($A$933:$A$1011=$A1538)*($D$933:$D$1011= $D1538)*(M$933:M$1011) ) + SUM( ($E$1016:$E$1039=$E$1427)*($A$1016:$A$1039=$A1538)*($D$1016:$D$1039=$D1538)*(M$1016:M$1039) ) )</f>
        <v>0</v>
      </c>
      <c r="N1538" s="1379">
        <f t="array" ref="N1538" xml:space="preserve"> SUM(EF[CH4]*(EF[SATIM Code]= $D1538)) * ( SUM( ($A$768:$A$846=$A1538)*($D$768:$D$846= $D1538)*(N$768:N$846) )  +  SUM( ($A$933:$A$1011=$A1538)*($D$933:$D$1011= $D1538)*(N$933:N$1011) ) + SUM( ($E$1016:$E$1039=$E$1427)*($A$1016:$A$1039=$A1538)*($D$1016:$D$1039=$D1538)*(N$1016:N$1039) ) )</f>
        <v>0</v>
      </c>
      <c r="O1538" s="1379">
        <f t="array" ref="O1538" xml:space="preserve"> SUM(EF[CH4]*(EF[SATIM Code]= $D1538)) * ( SUM( ($A$768:$A$846=$A1538)*($D$768:$D$846= $D1538)*(O$768:O$846) )  +  SUM( ($A$933:$A$1011=$A1538)*($D$933:$D$1011= $D1538)*(O$933:O$1011) ) + SUM( ($E$1016:$E$1039=$E$1427)*($A$1016:$A$1039=$A1538)*($D$1016:$D$1039=$D1538)*(O$1016:O$1039) ) )</f>
        <v>0</v>
      </c>
    </row>
    <row r="1539" spans="1:15" s="19" customFormat="1" hidden="1" outlineLevel="1">
      <c r="A1539" s="19" t="str">
        <f t="shared" si="298"/>
        <v>IS</v>
      </c>
      <c r="B1539" s="1400" t="str">
        <f>INDEX(EF[UK Vector],MATCH(D1539,EF[SATIM Code],0))</f>
        <v>V.05</v>
      </c>
      <c r="C1539" s="1401" t="str">
        <f>INDEX(Vectors[Description], MATCH($B1539, Vectors[Code], 0))</f>
        <v>Gaseous hydrocarbons</v>
      </c>
      <c r="D1539" s="1406" t="s">
        <v>869</v>
      </c>
      <c r="E1539" s="1393"/>
      <c r="F1539" s="1379">
        <f t="array" ref="F1539" xml:space="preserve"> SUM(EF[CH4]*(EF[SATIM Code]= $D1539)) * ( SUM( ($A$768:$A$846=$A1539)*($D$768:$D$846= $D1539)*(F$768:F$846) )  +  SUM( ($A$933:$A$1011=$A1539)*($D$933:$D$1011= $D1539)*(F$933:F$1011) ) + SUM( ($E$1016:$E$1039=$E$1427)*($A$1016:$A$1039=$A1539)*($D$1016:$D$1039=$D1539)*(F$1016:F$1039) ) )</f>
        <v>4.6149809999999994E-4</v>
      </c>
      <c r="G1539" s="1379">
        <f t="array" ref="G1539" xml:space="preserve"> SUM(EF[CH4]*(EF[SATIM Code]= $D1539)) * ( SUM( ($A$768:$A$846=$A1539)*($D$768:$D$846= $D1539)*(G$768:G$846) )  +  SUM( ($A$933:$A$1011=$A1539)*($D$933:$D$1011= $D1539)*(G$933:G$1011) ) + SUM( ($E$1016:$E$1039=$E$1427)*($A$1016:$A$1039=$A1539)*($D$1016:$D$1039=$D1539)*(G$1016:G$1039) ) )</f>
        <v>5.3425377373780467E-4</v>
      </c>
      <c r="H1539" s="1379">
        <f t="array" ref="H1539" xml:space="preserve"> SUM(EF[CH4]*(EF[SATIM Code]= $D1539)) * ( SUM( ($A$768:$A$846=$A1539)*($D$768:$D$846= $D1539)*(H$768:H$846) )  +  SUM( ($A$933:$A$1011=$A1539)*($D$933:$D$1011= $D1539)*(H$933:H$1011) ) + SUM( ($E$1016:$E$1039=$E$1427)*($A$1016:$A$1039=$A1539)*($D$1016:$D$1039=$D1539)*(H$1016:H$1039) ) )</f>
        <v>6.9056012249765894E-4</v>
      </c>
      <c r="I1539" s="1379">
        <f t="array" ref="I1539" xml:space="preserve"> SUM(EF[CH4]*(EF[SATIM Code]= $D1539)) * ( SUM( ($A$768:$A$846=$A1539)*($D$768:$D$846= $D1539)*(I$768:I$846) )  +  SUM( ($A$933:$A$1011=$A1539)*($D$933:$D$1011= $D1539)*(I$933:I$1011) ) + SUM( ($E$1016:$E$1039=$E$1427)*($A$1016:$A$1039=$A1539)*($D$1016:$D$1039=$D1539)*(I$1016:I$1039) ) )</f>
        <v>8.468664712575132E-4</v>
      </c>
      <c r="J1539" s="1379">
        <f t="array" ref="J1539" xml:space="preserve"> SUM(EF[CH4]*(EF[SATIM Code]= $D1539)) * ( SUM( ($A$768:$A$846=$A1539)*($D$768:$D$846= $D1539)*(J$768:J$846) )  +  SUM( ($A$933:$A$1011=$A1539)*($D$933:$D$1011= $D1539)*(J$933:J$1011) ) + SUM( ($E$1016:$E$1039=$E$1427)*($A$1016:$A$1039=$A1539)*($D$1016:$D$1039=$D1539)*(J$1016:J$1039) ) )</f>
        <v>1.0897543368011378E-3</v>
      </c>
      <c r="K1539" s="1379">
        <f t="array" ref="K1539" xml:space="preserve"> SUM(EF[CH4]*(EF[SATIM Code]= $D1539)) * ( SUM( ($A$768:$A$846=$A1539)*($D$768:$D$846= $D1539)*(K$768:K$846) )  +  SUM( ($A$933:$A$1011=$A1539)*($D$933:$D$1011= $D1539)*(K$933:K$1011) ) + SUM( ($E$1016:$E$1039=$E$1427)*($A$1016:$A$1039=$A1539)*($D$1016:$D$1039=$D1539)*(K$1016:K$1039) ) )</f>
        <v>1.3326422023447629E-3</v>
      </c>
      <c r="L1539" s="1379">
        <f t="array" ref="L1539" xml:space="preserve"> SUM(EF[CH4]*(EF[SATIM Code]= $D1539)) * ( SUM( ($A$768:$A$846=$A1539)*($D$768:$D$846= $D1539)*(L$768:L$846) )  +  SUM( ($A$933:$A$1011=$A1539)*($D$933:$D$1011= $D1539)*(L$933:L$1011) ) + SUM( ($E$1016:$E$1039=$E$1427)*($A$1016:$A$1039=$A1539)*($D$1016:$D$1039=$D1539)*(L$1016:L$1039) ) )</f>
        <v>1.6531230766292481E-3</v>
      </c>
      <c r="M1539" s="1379">
        <f t="array" ref="M1539" xml:space="preserve"> SUM(EF[CH4]*(EF[SATIM Code]= $D1539)) * ( SUM( ($A$768:$A$846=$A1539)*($D$768:$D$846= $D1539)*(M$768:M$846) )  +  SUM( ($A$933:$A$1011=$A1539)*($D$933:$D$1011= $D1539)*(M$933:M$1011) ) + SUM( ($E$1016:$E$1039=$E$1427)*($A$1016:$A$1039=$A1539)*($D$1016:$D$1039=$D1539)*(M$1016:M$1039) ) )</f>
        <v>1.9736039509137336E-3</v>
      </c>
      <c r="N1539" s="1379">
        <f t="array" ref="N1539" xml:space="preserve"> SUM(EF[CH4]*(EF[SATIM Code]= $D1539)) * ( SUM( ($A$768:$A$846=$A1539)*($D$768:$D$846= $D1539)*(N$768:N$846) )  +  SUM( ($A$933:$A$1011=$A1539)*($D$933:$D$1011= $D1539)*(N$933:N$1011) ) + SUM( ($E$1016:$E$1039=$E$1427)*($A$1016:$A$1039=$A1539)*($D$1016:$D$1039=$D1539)*(N$1016:N$1039) ) )</f>
        <v>2.3487997240209456E-3</v>
      </c>
      <c r="O1539" s="1379">
        <f t="array" ref="O1539" xml:space="preserve"> SUM(EF[CH4]*(EF[SATIM Code]= $D1539)) * ( SUM( ($A$768:$A$846=$A1539)*($D$768:$D$846= $D1539)*(O$768:O$846) )  +  SUM( ($A$933:$A$1011=$A1539)*($D$933:$D$1011= $D1539)*(O$933:O$1011) ) + SUM( ($E$1016:$E$1039=$E$1427)*($A$1016:$A$1039=$A1539)*($D$1016:$D$1039=$D1539)*(O$1016:O$1039) ) )</f>
        <v>2.723995497128158E-3</v>
      </c>
    </row>
    <row r="1540" spans="1:15" s="19" customFormat="1" hidden="1" outlineLevel="1">
      <c r="A1540" s="19" t="str">
        <f t="shared" si="298"/>
        <v>IS</v>
      </c>
      <c r="B1540" s="1400" t="str">
        <f>INDEX(EF[UK Vector],MATCH(D1540,EF[SATIM Code],0))</f>
        <v>V.04</v>
      </c>
      <c r="C1540" s="1401" t="str">
        <f>INDEX(Vectors[Description], MATCH($B1540, Vectors[Code], 0))</f>
        <v>Liquid hydrocarbons</v>
      </c>
      <c r="D1540" s="1406" t="s">
        <v>885</v>
      </c>
      <c r="E1540" s="1393"/>
      <c r="F1540" s="1379">
        <f t="array" ref="F1540" xml:space="preserve"> SUM(EF[CH4]*(EF[SATIM Code]= $D1540)) * ( SUM( ($A$768:$A$846=$A1540)*($D$768:$D$846= $D1540)*(F$768:F$846) )  +  SUM( ($A$933:$A$1011=$A1540)*($D$933:$D$1011= $D1540)*(F$933:F$1011) ) + SUM( ($E$1016:$E$1039=$E$1427)*($A$1016:$A$1039=$A1540)*($D$1016:$D$1039=$D1540)*(F$1016:F$1039) ) )</f>
        <v>0</v>
      </c>
      <c r="G1540" s="1379">
        <f t="array" ref="G1540" xml:space="preserve"> SUM(EF[CH4]*(EF[SATIM Code]= $D1540)) * ( SUM( ($A$768:$A$846=$A1540)*($D$768:$D$846= $D1540)*(G$768:G$846) )  +  SUM( ($A$933:$A$1011=$A1540)*($D$933:$D$1011= $D1540)*(G$933:G$1011) ) + SUM( ($E$1016:$E$1039=$E$1427)*($A$1016:$A$1039=$A1540)*($D$1016:$D$1039=$D1540)*(G$1016:G$1039) ) )</f>
        <v>0</v>
      </c>
      <c r="H1540" s="1379">
        <f t="array" ref="H1540" xml:space="preserve"> SUM(EF[CH4]*(EF[SATIM Code]= $D1540)) * ( SUM( ($A$768:$A$846=$A1540)*($D$768:$D$846= $D1540)*(H$768:H$846) )  +  SUM( ($A$933:$A$1011=$A1540)*($D$933:$D$1011= $D1540)*(H$933:H$1011) ) + SUM( ($E$1016:$E$1039=$E$1427)*($A$1016:$A$1039=$A1540)*($D$1016:$D$1039=$D1540)*(H$1016:H$1039) ) )</f>
        <v>0</v>
      </c>
      <c r="I1540" s="1379">
        <f t="array" ref="I1540" xml:space="preserve"> SUM(EF[CH4]*(EF[SATIM Code]= $D1540)) * ( SUM( ($A$768:$A$846=$A1540)*($D$768:$D$846= $D1540)*(I$768:I$846) )  +  SUM( ($A$933:$A$1011=$A1540)*($D$933:$D$1011= $D1540)*(I$933:I$1011) ) + SUM( ($E$1016:$E$1039=$E$1427)*($A$1016:$A$1039=$A1540)*($D$1016:$D$1039=$D1540)*(I$1016:I$1039) ) )</f>
        <v>0</v>
      </c>
      <c r="J1540" s="1379">
        <f t="array" ref="J1540" xml:space="preserve"> SUM(EF[CH4]*(EF[SATIM Code]= $D1540)) * ( SUM( ($A$768:$A$846=$A1540)*($D$768:$D$846= $D1540)*(J$768:J$846) )  +  SUM( ($A$933:$A$1011=$A1540)*($D$933:$D$1011= $D1540)*(J$933:J$1011) ) + SUM( ($E$1016:$E$1039=$E$1427)*($A$1016:$A$1039=$A1540)*($D$1016:$D$1039=$D1540)*(J$1016:J$1039) ) )</f>
        <v>0</v>
      </c>
      <c r="K1540" s="1379">
        <f t="array" ref="K1540" xml:space="preserve"> SUM(EF[CH4]*(EF[SATIM Code]= $D1540)) * ( SUM( ($A$768:$A$846=$A1540)*($D$768:$D$846= $D1540)*(K$768:K$846) )  +  SUM( ($A$933:$A$1011=$A1540)*($D$933:$D$1011= $D1540)*(K$933:K$1011) ) + SUM( ($E$1016:$E$1039=$E$1427)*($A$1016:$A$1039=$A1540)*($D$1016:$D$1039=$D1540)*(K$1016:K$1039) ) )</f>
        <v>0</v>
      </c>
      <c r="L1540" s="1379">
        <f t="array" ref="L1540" xml:space="preserve"> SUM(EF[CH4]*(EF[SATIM Code]= $D1540)) * ( SUM( ($A$768:$A$846=$A1540)*($D$768:$D$846= $D1540)*(L$768:L$846) )  +  SUM( ($A$933:$A$1011=$A1540)*($D$933:$D$1011= $D1540)*(L$933:L$1011) ) + SUM( ($E$1016:$E$1039=$E$1427)*($A$1016:$A$1039=$A1540)*($D$1016:$D$1039=$D1540)*(L$1016:L$1039) ) )</f>
        <v>0</v>
      </c>
      <c r="M1540" s="1379">
        <f t="array" ref="M1540" xml:space="preserve"> SUM(EF[CH4]*(EF[SATIM Code]= $D1540)) * ( SUM( ($A$768:$A$846=$A1540)*($D$768:$D$846= $D1540)*(M$768:M$846) )  +  SUM( ($A$933:$A$1011=$A1540)*($D$933:$D$1011= $D1540)*(M$933:M$1011) ) + SUM( ($E$1016:$E$1039=$E$1427)*($A$1016:$A$1039=$A1540)*($D$1016:$D$1039=$D1540)*(M$1016:M$1039) ) )</f>
        <v>0</v>
      </c>
      <c r="N1540" s="1379">
        <f t="array" ref="N1540" xml:space="preserve"> SUM(EF[CH4]*(EF[SATIM Code]= $D1540)) * ( SUM( ($A$768:$A$846=$A1540)*($D$768:$D$846= $D1540)*(N$768:N$846) )  +  SUM( ($A$933:$A$1011=$A1540)*($D$933:$D$1011= $D1540)*(N$933:N$1011) ) + SUM( ($E$1016:$E$1039=$E$1427)*($A$1016:$A$1039=$A1540)*($D$1016:$D$1039=$D1540)*(N$1016:N$1039) ) )</f>
        <v>0</v>
      </c>
      <c r="O1540" s="1379">
        <f t="array" ref="O1540" xml:space="preserve"> SUM(EF[CH4]*(EF[SATIM Code]= $D1540)) * ( SUM( ($A$768:$A$846=$A1540)*($D$768:$D$846= $D1540)*(O$768:O$846) )  +  SUM( ($A$933:$A$1011=$A1540)*($D$933:$D$1011= $D1540)*(O$933:O$1011) ) + SUM( ($E$1016:$E$1039=$E$1427)*($A$1016:$A$1039=$A1540)*($D$1016:$D$1039=$D1540)*(O$1016:O$1039) ) )</f>
        <v>0</v>
      </c>
    </row>
    <row r="1541" spans="1:15" s="19" customFormat="1" hidden="1" outlineLevel="1">
      <c r="A1541" s="19" t="str">
        <f t="shared" si="298"/>
        <v>IS</v>
      </c>
      <c r="B1541" s="1400" t="str">
        <f>INDEX(EF[UK Vector],MATCH(D1541,EF[SATIM Code],0))</f>
        <v>V.04</v>
      </c>
      <c r="C1541" s="1401" t="str">
        <f>INDEX(Vectors[Description], MATCH($B1541, Vectors[Code], 0))</f>
        <v>Liquid hydrocarbons</v>
      </c>
      <c r="D1541" s="1391" t="s">
        <v>886</v>
      </c>
      <c r="E1541" s="1393"/>
      <c r="F1541" s="1379">
        <f t="array" ref="F1541" xml:space="preserve"> SUM(EF[CH4]*(EF[SATIM Code]= $D1541)) * ( SUM( ($A$768:$A$846=$A1541)*($D$768:$D$846= $D1541)*(F$768:F$846) )  +  SUM( ($A$933:$A$1011=$A1541)*($D$933:$D$1011= $D1541)*(F$933:F$1011) ) + SUM( ($E$1016:$E$1039=$E$1427)*($A$1016:$A$1039=$A1541)*($D$1016:$D$1039=$D1541)*(F$1016:F$1039) ) )</f>
        <v>0</v>
      </c>
      <c r="G1541" s="1379">
        <f t="array" ref="G1541" xml:space="preserve"> SUM(EF[CH4]*(EF[SATIM Code]= $D1541)) * ( SUM( ($A$768:$A$846=$A1541)*($D$768:$D$846= $D1541)*(G$768:G$846) )  +  SUM( ($A$933:$A$1011=$A1541)*($D$933:$D$1011= $D1541)*(G$933:G$1011) ) + SUM( ($E$1016:$E$1039=$E$1427)*($A$1016:$A$1039=$A1541)*($D$1016:$D$1039=$D1541)*(G$1016:G$1039) ) )</f>
        <v>0</v>
      </c>
      <c r="H1541" s="1379">
        <f t="array" ref="H1541" xml:space="preserve"> SUM(EF[CH4]*(EF[SATIM Code]= $D1541)) * ( SUM( ($A$768:$A$846=$A1541)*($D$768:$D$846= $D1541)*(H$768:H$846) )  +  SUM( ($A$933:$A$1011=$A1541)*($D$933:$D$1011= $D1541)*(H$933:H$1011) ) + SUM( ($E$1016:$E$1039=$E$1427)*($A$1016:$A$1039=$A1541)*($D$1016:$D$1039=$D1541)*(H$1016:H$1039) ) )</f>
        <v>0</v>
      </c>
      <c r="I1541" s="1379">
        <f t="array" ref="I1541" xml:space="preserve"> SUM(EF[CH4]*(EF[SATIM Code]= $D1541)) * ( SUM( ($A$768:$A$846=$A1541)*($D$768:$D$846= $D1541)*(I$768:I$846) )  +  SUM( ($A$933:$A$1011=$A1541)*($D$933:$D$1011= $D1541)*(I$933:I$1011) ) + SUM( ($E$1016:$E$1039=$E$1427)*($A$1016:$A$1039=$A1541)*($D$1016:$D$1039=$D1541)*(I$1016:I$1039) ) )</f>
        <v>0</v>
      </c>
      <c r="J1541" s="1379">
        <f t="array" ref="J1541" xml:space="preserve"> SUM(EF[CH4]*(EF[SATIM Code]= $D1541)) * ( SUM( ($A$768:$A$846=$A1541)*($D$768:$D$846= $D1541)*(J$768:J$846) )  +  SUM( ($A$933:$A$1011=$A1541)*($D$933:$D$1011= $D1541)*(J$933:J$1011) ) + SUM( ($E$1016:$E$1039=$E$1427)*($A$1016:$A$1039=$A1541)*($D$1016:$D$1039=$D1541)*(J$1016:J$1039) ) )</f>
        <v>0</v>
      </c>
      <c r="K1541" s="1379">
        <f t="array" ref="K1541" xml:space="preserve"> SUM(EF[CH4]*(EF[SATIM Code]= $D1541)) * ( SUM( ($A$768:$A$846=$A1541)*($D$768:$D$846= $D1541)*(K$768:K$846) )  +  SUM( ($A$933:$A$1011=$A1541)*($D$933:$D$1011= $D1541)*(K$933:K$1011) ) + SUM( ($E$1016:$E$1039=$E$1427)*($A$1016:$A$1039=$A1541)*($D$1016:$D$1039=$D1541)*(K$1016:K$1039) ) )</f>
        <v>0</v>
      </c>
      <c r="L1541" s="1379">
        <f t="array" ref="L1541" xml:space="preserve"> SUM(EF[CH4]*(EF[SATIM Code]= $D1541)) * ( SUM( ($A$768:$A$846=$A1541)*($D$768:$D$846= $D1541)*(L$768:L$846) )  +  SUM( ($A$933:$A$1011=$A1541)*($D$933:$D$1011= $D1541)*(L$933:L$1011) ) + SUM( ($E$1016:$E$1039=$E$1427)*($A$1016:$A$1039=$A1541)*($D$1016:$D$1039=$D1541)*(L$1016:L$1039) ) )</f>
        <v>0</v>
      </c>
      <c r="M1541" s="1379">
        <f t="array" ref="M1541" xml:space="preserve"> SUM(EF[CH4]*(EF[SATIM Code]= $D1541)) * ( SUM( ($A$768:$A$846=$A1541)*($D$768:$D$846= $D1541)*(M$768:M$846) )  +  SUM( ($A$933:$A$1011=$A1541)*($D$933:$D$1011= $D1541)*(M$933:M$1011) ) + SUM( ($E$1016:$E$1039=$E$1427)*($A$1016:$A$1039=$A1541)*($D$1016:$D$1039=$D1541)*(M$1016:M$1039) ) )</f>
        <v>0</v>
      </c>
      <c r="N1541" s="1379">
        <f t="array" ref="N1541" xml:space="preserve"> SUM(EF[CH4]*(EF[SATIM Code]= $D1541)) * ( SUM( ($A$768:$A$846=$A1541)*($D$768:$D$846= $D1541)*(N$768:N$846) )  +  SUM( ($A$933:$A$1011=$A1541)*($D$933:$D$1011= $D1541)*(N$933:N$1011) ) + SUM( ($E$1016:$E$1039=$E$1427)*($A$1016:$A$1039=$A1541)*($D$1016:$D$1039=$D1541)*(N$1016:N$1039) ) )</f>
        <v>0</v>
      </c>
      <c r="O1541" s="1379">
        <f t="array" ref="O1541" xml:space="preserve"> SUM(EF[CH4]*(EF[SATIM Code]= $D1541)) * ( SUM( ($A$768:$A$846=$A1541)*($D$768:$D$846= $D1541)*(O$768:O$846) )  +  SUM( ($A$933:$A$1011=$A1541)*($D$933:$D$1011= $D1541)*(O$933:O$1011) ) + SUM( ($E$1016:$E$1039=$E$1427)*($A$1016:$A$1039=$A1541)*($D$1016:$D$1039=$D1541)*(O$1016:O$1039) ) )</f>
        <v>0</v>
      </c>
    </row>
    <row r="1542" spans="1:15" s="19" customFormat="1" hidden="1" outlineLevel="1">
      <c r="A1542" s="19" t="str">
        <f t="shared" si="298"/>
        <v>IS</v>
      </c>
      <c r="B1542" s="1400" t="str">
        <f>INDEX(EF[UK Vector],MATCH(D1542,EF[SATIM Code],0))</f>
        <v>V.04</v>
      </c>
      <c r="C1542" s="1401" t="str">
        <f>INDEX(Vectors[Description], MATCH($B1542, Vectors[Code], 0))</f>
        <v>Liquid hydrocarbons</v>
      </c>
      <c r="D1542" s="1406" t="s">
        <v>887</v>
      </c>
      <c r="E1542" s="1393"/>
      <c r="F1542" s="1379">
        <f t="array" ref="F1542" xml:space="preserve"> SUM(EF[CH4]*(EF[SATIM Code]= $D1542)) * ( SUM( ($A$768:$A$846=$A1542)*($D$768:$D$846= $D1542)*(F$768:F$846) )  +  SUM( ($A$933:$A$1011=$A1542)*($D$933:$D$1011= $D1542)*(F$933:F$1011) ) + SUM( ($E$1016:$E$1039=$E$1427)*($A$1016:$A$1039=$A1542)*($D$1016:$D$1039=$D1542)*(F$1016:F$1039) ) )</f>
        <v>2.4317999999999999E-4</v>
      </c>
      <c r="G1542" s="1379">
        <f t="array" ref="G1542" xml:space="preserve"> SUM(EF[CH4]*(EF[SATIM Code]= $D1542)) * ( SUM( ($A$768:$A$846=$A1542)*($D$768:$D$846= $D1542)*(G$768:G$846) )  +  SUM( ($A$933:$A$1011=$A1542)*($D$933:$D$1011= $D1542)*(G$933:G$1011) ) + SUM( ($E$1016:$E$1039=$E$1427)*($A$1016:$A$1039=$A1542)*($D$1016:$D$1039=$D1542)*(G$1016:G$1039) ) )</f>
        <v>2.8151758955791877E-4</v>
      </c>
      <c r="H1542" s="1379">
        <f t="array" ref="H1542" xml:space="preserve"> SUM(EF[CH4]*(EF[SATIM Code]= $D1542)) * ( SUM( ($A$768:$A$846=$A1542)*($D$768:$D$846= $D1542)*(H$768:H$846) )  +  SUM( ($A$933:$A$1011=$A1542)*($D$933:$D$1011= $D1542)*(H$933:H$1011) ) + SUM( ($E$1016:$E$1039=$E$1427)*($A$1016:$A$1039=$A1542)*($D$1016:$D$1039=$D1542)*(H$1016:H$1039) ) )</f>
        <v>3.6388104434011918E-4</v>
      </c>
      <c r="I1542" s="1379">
        <f t="array" ref="I1542" xml:space="preserve"> SUM(EF[CH4]*(EF[SATIM Code]= $D1542)) * ( SUM( ($A$768:$A$846=$A1542)*($D$768:$D$846= $D1542)*(I$768:I$846) )  +  SUM( ($A$933:$A$1011=$A1542)*($D$933:$D$1011= $D1542)*(I$933:I$1011) ) + SUM( ($E$1016:$E$1039=$E$1427)*($A$1016:$A$1039=$A1542)*($D$1016:$D$1039=$D1542)*(I$1016:I$1039) ) )</f>
        <v>4.4624449912231953E-4</v>
      </c>
      <c r="J1542" s="1379">
        <f t="array" ref="J1542" xml:space="preserve"> SUM(EF[CH4]*(EF[SATIM Code]= $D1542)) * ( SUM( ($A$768:$A$846=$A1542)*($D$768:$D$846= $D1542)*(J$768:J$846) )  +  SUM( ($A$933:$A$1011=$A1542)*($D$933:$D$1011= $D1542)*(J$933:J$1011) ) + SUM( ($E$1016:$E$1039=$E$1427)*($A$1016:$A$1039=$A1542)*($D$1016:$D$1039=$D1542)*(J$1016:J$1039) ) )</f>
        <v>5.7423087900752097E-4</v>
      </c>
      <c r="K1542" s="1379">
        <f t="array" ref="K1542" xml:space="preserve"> SUM(EF[CH4]*(EF[SATIM Code]= $D1542)) * ( SUM( ($A$768:$A$846=$A1542)*($D$768:$D$846= $D1542)*(K$768:K$846) )  +  SUM( ($A$933:$A$1011=$A1542)*($D$933:$D$1011= $D1542)*(K$933:K$1011) ) + SUM( ($E$1016:$E$1039=$E$1427)*($A$1016:$A$1039=$A1542)*($D$1016:$D$1039=$D1542)*(K$1016:K$1039) ) )</f>
        <v>7.0221725889272235E-4</v>
      </c>
      <c r="L1542" s="1379">
        <f t="array" ref="L1542" xml:space="preserve"> SUM(EF[CH4]*(EF[SATIM Code]= $D1542)) * ( SUM( ($A$768:$A$846=$A1542)*($D$768:$D$846= $D1542)*(L$768:L$846) )  +  SUM( ($A$933:$A$1011=$A1542)*($D$933:$D$1011= $D1542)*(L$933:L$1011) ) + SUM( ($E$1016:$E$1039=$E$1427)*($A$1016:$A$1039=$A1542)*($D$1016:$D$1039=$D1542)*(L$1016:L$1039) ) )</f>
        <v>8.7109019468270977E-4</v>
      </c>
      <c r="M1542" s="1379">
        <f t="array" ref="M1542" xml:space="preserve"> SUM(EF[CH4]*(EF[SATIM Code]= $D1542)) * ( SUM( ($A$768:$A$846=$A1542)*($D$768:$D$846= $D1542)*(M$768:M$846) )  +  SUM( ($A$933:$A$1011=$A1542)*($D$933:$D$1011= $D1542)*(M$933:M$1011) ) + SUM( ($E$1016:$E$1039=$E$1427)*($A$1016:$A$1039=$A1542)*($D$1016:$D$1039=$D1542)*(M$1016:M$1039) ) )</f>
        <v>1.039963130472697E-3</v>
      </c>
      <c r="N1542" s="1379">
        <f t="array" ref="N1542" xml:space="preserve"> SUM(EF[CH4]*(EF[SATIM Code]= $D1542)) * ( SUM( ($A$768:$A$846=$A1542)*($D$768:$D$846= $D1542)*(N$768:N$846) )  +  SUM( ($A$933:$A$1011=$A1542)*($D$933:$D$1011= $D1542)*(N$933:N$1011) ) + SUM( ($E$1016:$E$1039=$E$1427)*($A$1016:$A$1039=$A1542)*($D$1016:$D$1039=$D1542)*(N$1016:N$1039) ) )</f>
        <v>1.2376673205965825E-3</v>
      </c>
      <c r="O1542" s="1379">
        <f t="array" ref="O1542" xml:space="preserve"> SUM(EF[CH4]*(EF[SATIM Code]= $D1542)) * ( SUM( ($A$768:$A$846=$A1542)*($D$768:$D$846= $D1542)*(O$768:O$846) )  +  SUM( ($A$933:$A$1011=$A1542)*($D$933:$D$1011= $D1542)*(O$933:O$1011) ) + SUM( ($E$1016:$E$1039=$E$1427)*($A$1016:$A$1039=$A1542)*($D$1016:$D$1039=$D1542)*(O$1016:O$1039) ) )</f>
        <v>1.435371510720468E-3</v>
      </c>
    </row>
    <row r="1543" spans="1:15" s="19" customFormat="1" hidden="1" outlineLevel="1">
      <c r="A1543" s="19" t="str">
        <f t="shared" si="298"/>
        <v>IS</v>
      </c>
      <c r="B1543" s="1400" t="str">
        <f>INDEX(EF[UK Vector],MATCH(D1543,EF[SATIM Code],0))</f>
        <v>V.09</v>
      </c>
      <c r="C1543" s="1401" t="str">
        <f>INDEX(Vectors[Description], MATCH($B1543, Vectors[Code], 0))</f>
        <v>Dry biomass and waste</v>
      </c>
      <c r="D1543" s="1406" t="s">
        <v>888</v>
      </c>
      <c r="E1543" s="1393"/>
      <c r="F1543" s="1379">
        <f t="array" ref="F1543" xml:space="preserve"> SUM(EF[CH4]*(EF[SATIM Code]= $D1543)) * ( SUM( ($A$768:$A$846=$A1543)*($D$768:$D$846= $D1543)*(F$768:F$846) )  +  SUM( ($A$933:$A$1011=$A1543)*($D$933:$D$1011= $D1543)*(F$933:F$1011) ) + SUM( ($E$1016:$E$1039=$E$1427)*($A$1016:$A$1039=$A1543)*($D$1016:$D$1039=$D1543)*(F$1016:F$1039) ) )</f>
        <v>0</v>
      </c>
      <c r="G1543" s="1379">
        <f t="array" ref="G1543" xml:space="preserve"> SUM(EF[CH4]*(EF[SATIM Code]= $D1543)) * ( SUM( ($A$768:$A$846=$A1543)*($D$768:$D$846= $D1543)*(G$768:G$846) )  +  SUM( ($A$933:$A$1011=$A1543)*($D$933:$D$1011= $D1543)*(G$933:G$1011) ) + SUM( ($E$1016:$E$1039=$E$1427)*($A$1016:$A$1039=$A1543)*($D$1016:$D$1039=$D1543)*(G$1016:G$1039) ) )</f>
        <v>0</v>
      </c>
      <c r="H1543" s="1379">
        <f t="array" ref="H1543" xml:space="preserve"> SUM(EF[CH4]*(EF[SATIM Code]= $D1543)) * ( SUM( ($A$768:$A$846=$A1543)*($D$768:$D$846= $D1543)*(H$768:H$846) )  +  SUM( ($A$933:$A$1011=$A1543)*($D$933:$D$1011= $D1543)*(H$933:H$1011) ) + SUM( ($E$1016:$E$1039=$E$1427)*($A$1016:$A$1039=$A1543)*($D$1016:$D$1039=$D1543)*(H$1016:H$1039) ) )</f>
        <v>0</v>
      </c>
      <c r="I1543" s="1379">
        <f t="array" ref="I1543" xml:space="preserve"> SUM(EF[CH4]*(EF[SATIM Code]= $D1543)) * ( SUM( ($A$768:$A$846=$A1543)*($D$768:$D$846= $D1543)*(I$768:I$846) )  +  SUM( ($A$933:$A$1011=$A1543)*($D$933:$D$1011= $D1543)*(I$933:I$1011) ) + SUM( ($E$1016:$E$1039=$E$1427)*($A$1016:$A$1039=$A1543)*($D$1016:$D$1039=$D1543)*(I$1016:I$1039) ) )</f>
        <v>0</v>
      </c>
      <c r="J1543" s="1379">
        <f t="array" ref="J1543" xml:space="preserve"> SUM(EF[CH4]*(EF[SATIM Code]= $D1543)) * ( SUM( ($A$768:$A$846=$A1543)*($D$768:$D$846= $D1543)*(J$768:J$846) )  +  SUM( ($A$933:$A$1011=$A1543)*($D$933:$D$1011= $D1543)*(J$933:J$1011) ) + SUM( ($E$1016:$E$1039=$E$1427)*($A$1016:$A$1039=$A1543)*($D$1016:$D$1039=$D1543)*(J$1016:J$1039) ) )</f>
        <v>0</v>
      </c>
      <c r="K1543" s="1379">
        <f t="array" ref="K1543" xml:space="preserve"> SUM(EF[CH4]*(EF[SATIM Code]= $D1543)) * ( SUM( ($A$768:$A$846=$A1543)*($D$768:$D$846= $D1543)*(K$768:K$846) )  +  SUM( ($A$933:$A$1011=$A1543)*($D$933:$D$1011= $D1543)*(K$933:K$1011) ) + SUM( ($E$1016:$E$1039=$E$1427)*($A$1016:$A$1039=$A1543)*($D$1016:$D$1039=$D1543)*(K$1016:K$1039) ) )</f>
        <v>0</v>
      </c>
      <c r="L1543" s="1379">
        <f t="array" ref="L1543" xml:space="preserve"> SUM(EF[CH4]*(EF[SATIM Code]= $D1543)) * ( SUM( ($A$768:$A$846=$A1543)*($D$768:$D$846= $D1543)*(L$768:L$846) )  +  SUM( ($A$933:$A$1011=$A1543)*($D$933:$D$1011= $D1543)*(L$933:L$1011) ) + SUM( ($E$1016:$E$1039=$E$1427)*($A$1016:$A$1039=$A1543)*($D$1016:$D$1039=$D1543)*(L$1016:L$1039) ) )</f>
        <v>0</v>
      </c>
      <c r="M1543" s="1379">
        <f t="array" ref="M1543" xml:space="preserve"> SUM(EF[CH4]*(EF[SATIM Code]= $D1543)) * ( SUM( ($A$768:$A$846=$A1543)*($D$768:$D$846= $D1543)*(M$768:M$846) )  +  SUM( ($A$933:$A$1011=$A1543)*($D$933:$D$1011= $D1543)*(M$933:M$1011) ) + SUM( ($E$1016:$E$1039=$E$1427)*($A$1016:$A$1039=$A1543)*($D$1016:$D$1039=$D1543)*(M$1016:M$1039) ) )</f>
        <v>0</v>
      </c>
      <c r="N1543" s="1379">
        <f t="array" ref="N1543" xml:space="preserve"> SUM(EF[CH4]*(EF[SATIM Code]= $D1543)) * ( SUM( ($A$768:$A$846=$A1543)*($D$768:$D$846= $D1543)*(N$768:N$846) )  +  SUM( ($A$933:$A$1011=$A1543)*($D$933:$D$1011= $D1543)*(N$933:N$1011) ) + SUM( ($E$1016:$E$1039=$E$1427)*($A$1016:$A$1039=$A1543)*($D$1016:$D$1039=$D1543)*(N$1016:N$1039) ) )</f>
        <v>0</v>
      </c>
      <c r="O1543" s="1379">
        <f t="array" ref="O1543" xml:space="preserve"> SUM(EF[CH4]*(EF[SATIM Code]= $D1543)) * ( SUM( ($A$768:$A$846=$A1543)*($D$768:$D$846= $D1543)*(O$768:O$846) )  +  SUM( ($A$933:$A$1011=$A1543)*($D$933:$D$1011= $D1543)*(O$933:O$1011) ) + SUM( ($E$1016:$E$1039=$E$1427)*($A$1016:$A$1039=$A1543)*($D$1016:$D$1039=$D1543)*(O$1016:O$1039) ) )</f>
        <v>0</v>
      </c>
    </row>
    <row r="1544" spans="1:15" s="19" customFormat="1" hidden="1" outlineLevel="1">
      <c r="A1544" s="19" t="str">
        <f t="shared" si="298"/>
        <v>IS</v>
      </c>
      <c r="B1544" s="1400" t="str">
        <f>INDEX(EF[UK Vector],MATCH(D1544,EF[SATIM Code],0))</f>
        <v>V.09</v>
      </c>
      <c r="C1544" s="1401" t="str">
        <f>INDEX(Vectors[Description], MATCH($B1544, Vectors[Code], 0))</f>
        <v>Dry biomass and waste</v>
      </c>
      <c r="D1544" s="1388" t="s">
        <v>889</v>
      </c>
      <c r="E1544" s="1393"/>
      <c r="F1544" s="1379">
        <f t="array" ref="F1544" xml:space="preserve"> SUM(EF[CH4]*(EF[SATIM Code]= $D1544)) * ( SUM( ($A$768:$A$846=$A1544)*($D$768:$D$846= $D1544)*(F$768:F$846) )  +  SUM( ($A$933:$A$1011=$A1544)*($D$933:$D$1011= $D1544)*(F$933:F$1011) ) + SUM( ($E$1016:$E$1039=$E$1427)*($A$1016:$A$1039=$A1544)*($D$1016:$D$1039=$D1544)*(F$1016:F$1039) ) )</f>
        <v>0</v>
      </c>
      <c r="G1544" s="1379">
        <f t="array" ref="G1544" xml:space="preserve"> SUM(EF[CH4]*(EF[SATIM Code]= $D1544)) * ( SUM( ($A$768:$A$846=$A1544)*($D$768:$D$846= $D1544)*(G$768:G$846) )  +  SUM( ($A$933:$A$1011=$A1544)*($D$933:$D$1011= $D1544)*(G$933:G$1011) ) + SUM( ($E$1016:$E$1039=$E$1427)*($A$1016:$A$1039=$A1544)*($D$1016:$D$1039=$D1544)*(G$1016:G$1039) ) )</f>
        <v>0</v>
      </c>
      <c r="H1544" s="1379">
        <f t="array" ref="H1544" xml:space="preserve"> SUM(EF[CH4]*(EF[SATIM Code]= $D1544)) * ( SUM( ($A$768:$A$846=$A1544)*($D$768:$D$846= $D1544)*(H$768:H$846) )  +  SUM( ($A$933:$A$1011=$A1544)*($D$933:$D$1011= $D1544)*(H$933:H$1011) ) + SUM( ($E$1016:$E$1039=$E$1427)*($A$1016:$A$1039=$A1544)*($D$1016:$D$1039=$D1544)*(H$1016:H$1039) ) )</f>
        <v>0</v>
      </c>
      <c r="I1544" s="1379">
        <f t="array" ref="I1544" xml:space="preserve"> SUM(EF[CH4]*(EF[SATIM Code]= $D1544)) * ( SUM( ($A$768:$A$846=$A1544)*($D$768:$D$846= $D1544)*(I$768:I$846) )  +  SUM( ($A$933:$A$1011=$A1544)*($D$933:$D$1011= $D1544)*(I$933:I$1011) ) + SUM( ($E$1016:$E$1039=$E$1427)*($A$1016:$A$1039=$A1544)*($D$1016:$D$1039=$D1544)*(I$1016:I$1039) ) )</f>
        <v>0</v>
      </c>
      <c r="J1544" s="1379">
        <f t="array" ref="J1544" xml:space="preserve"> SUM(EF[CH4]*(EF[SATIM Code]= $D1544)) * ( SUM( ($A$768:$A$846=$A1544)*($D$768:$D$846= $D1544)*(J$768:J$846) )  +  SUM( ($A$933:$A$1011=$A1544)*($D$933:$D$1011= $D1544)*(J$933:J$1011) ) + SUM( ($E$1016:$E$1039=$E$1427)*($A$1016:$A$1039=$A1544)*($D$1016:$D$1039=$D1544)*(J$1016:J$1039) ) )</f>
        <v>0</v>
      </c>
      <c r="K1544" s="1379">
        <f t="array" ref="K1544" xml:space="preserve"> SUM(EF[CH4]*(EF[SATIM Code]= $D1544)) * ( SUM( ($A$768:$A$846=$A1544)*($D$768:$D$846= $D1544)*(K$768:K$846) )  +  SUM( ($A$933:$A$1011=$A1544)*($D$933:$D$1011= $D1544)*(K$933:K$1011) ) + SUM( ($E$1016:$E$1039=$E$1427)*($A$1016:$A$1039=$A1544)*($D$1016:$D$1039=$D1544)*(K$1016:K$1039) ) )</f>
        <v>0</v>
      </c>
      <c r="L1544" s="1379">
        <f t="array" ref="L1544" xml:space="preserve"> SUM(EF[CH4]*(EF[SATIM Code]= $D1544)) * ( SUM( ($A$768:$A$846=$A1544)*($D$768:$D$846= $D1544)*(L$768:L$846) )  +  SUM( ($A$933:$A$1011=$A1544)*($D$933:$D$1011= $D1544)*(L$933:L$1011) ) + SUM( ($E$1016:$E$1039=$E$1427)*($A$1016:$A$1039=$A1544)*($D$1016:$D$1039=$D1544)*(L$1016:L$1039) ) )</f>
        <v>0</v>
      </c>
      <c r="M1544" s="1379">
        <f t="array" ref="M1544" xml:space="preserve"> SUM(EF[CH4]*(EF[SATIM Code]= $D1544)) * ( SUM( ($A$768:$A$846=$A1544)*($D$768:$D$846= $D1544)*(M$768:M$846) )  +  SUM( ($A$933:$A$1011=$A1544)*($D$933:$D$1011= $D1544)*(M$933:M$1011) ) + SUM( ($E$1016:$E$1039=$E$1427)*($A$1016:$A$1039=$A1544)*($D$1016:$D$1039=$D1544)*(M$1016:M$1039) ) )</f>
        <v>0</v>
      </c>
      <c r="N1544" s="1379">
        <f t="array" ref="N1544" xml:space="preserve"> SUM(EF[CH4]*(EF[SATIM Code]= $D1544)) * ( SUM( ($A$768:$A$846=$A1544)*($D$768:$D$846= $D1544)*(N$768:N$846) )  +  SUM( ($A$933:$A$1011=$A1544)*($D$933:$D$1011= $D1544)*(N$933:N$1011) ) + SUM( ($E$1016:$E$1039=$E$1427)*($A$1016:$A$1039=$A1544)*($D$1016:$D$1039=$D1544)*(N$1016:N$1039) ) )</f>
        <v>0</v>
      </c>
      <c r="O1544" s="1379">
        <f t="array" ref="O1544" xml:space="preserve"> SUM(EF[CH4]*(EF[SATIM Code]= $D1544)) * ( SUM( ($A$768:$A$846=$A1544)*($D$768:$D$846= $D1544)*(O$768:O$846) )  +  SUM( ($A$933:$A$1011=$A1544)*($D$933:$D$1011= $D1544)*(O$933:O$1011) ) + SUM( ($E$1016:$E$1039=$E$1427)*($A$1016:$A$1039=$A1544)*($D$1016:$D$1039=$D1544)*(O$1016:O$1039) ) )</f>
        <v>0</v>
      </c>
    </row>
    <row r="1545" spans="1:15" s="19" customFormat="1" hidden="1" outlineLevel="1">
      <c r="A1545" s="19" t="str">
        <f t="shared" si="298"/>
        <v>IS</v>
      </c>
      <c r="B1545" s="1400" t="str">
        <f>INDEX(EF[UK Vector],MATCH(D1545,EF[SATIM Code],0))</f>
        <v>V.16</v>
      </c>
      <c r="C1545" s="1401" t="str">
        <f>INDEX(Vectors[Description], MATCH($B1545, Vectors[Code], 0))</f>
        <v>Other Waste</v>
      </c>
      <c r="D1545" s="1408" t="s">
        <v>890</v>
      </c>
      <c r="E1545" s="1401"/>
      <c r="F1545" s="1379">
        <f t="array" ref="F1545" xml:space="preserve"> SUM(EF[CH4]*(EF[SATIM Code]= $D1545)) * ( SUM( ($A$768:$A$846=$A1545)*($D$768:$D$846= $D1545)*(F$768:F$846) )  +  SUM( ($A$933:$A$1011=$A1545)*($D$933:$D$1011= $D1545)*(F$933:F$1011) ) + SUM( ($E$1016:$E$1039=$E$1427)*($A$1016:$A$1039=$A1545)*($D$1016:$D$1039=$D1545)*(F$1016:F$1039) ) )</f>
        <v>0</v>
      </c>
      <c r="G1545" s="1379">
        <f t="array" ref="G1545" xml:space="preserve"> SUM(EF[CH4]*(EF[SATIM Code]= $D1545)) * ( SUM( ($A$768:$A$846=$A1545)*($D$768:$D$846= $D1545)*(G$768:G$846) )  +  SUM( ($A$933:$A$1011=$A1545)*($D$933:$D$1011= $D1545)*(G$933:G$1011) ) + SUM( ($E$1016:$E$1039=$E$1427)*($A$1016:$A$1039=$A1545)*($D$1016:$D$1039=$D1545)*(G$1016:G$1039) ) )</f>
        <v>0</v>
      </c>
      <c r="H1545" s="1379">
        <f t="array" ref="H1545" xml:space="preserve"> SUM(EF[CH4]*(EF[SATIM Code]= $D1545)) * ( SUM( ($A$768:$A$846=$A1545)*($D$768:$D$846= $D1545)*(H$768:H$846) )  +  SUM( ($A$933:$A$1011=$A1545)*($D$933:$D$1011= $D1545)*(H$933:H$1011) ) + SUM( ($E$1016:$E$1039=$E$1427)*($A$1016:$A$1039=$A1545)*($D$1016:$D$1039=$D1545)*(H$1016:H$1039) ) )</f>
        <v>0</v>
      </c>
      <c r="I1545" s="1379">
        <f t="array" ref="I1545" xml:space="preserve"> SUM(EF[CH4]*(EF[SATIM Code]= $D1545)) * ( SUM( ($A$768:$A$846=$A1545)*($D$768:$D$846= $D1545)*(I$768:I$846) )  +  SUM( ($A$933:$A$1011=$A1545)*($D$933:$D$1011= $D1545)*(I$933:I$1011) ) + SUM( ($E$1016:$E$1039=$E$1427)*($A$1016:$A$1039=$A1545)*($D$1016:$D$1039=$D1545)*(I$1016:I$1039) ) )</f>
        <v>0</v>
      </c>
      <c r="J1545" s="1379">
        <f t="array" ref="J1545" xml:space="preserve"> SUM(EF[CH4]*(EF[SATIM Code]= $D1545)) * ( SUM( ($A$768:$A$846=$A1545)*($D$768:$D$846= $D1545)*(J$768:J$846) )  +  SUM( ($A$933:$A$1011=$A1545)*($D$933:$D$1011= $D1545)*(J$933:J$1011) ) + SUM( ($E$1016:$E$1039=$E$1427)*($A$1016:$A$1039=$A1545)*($D$1016:$D$1039=$D1545)*(J$1016:J$1039) ) )</f>
        <v>0</v>
      </c>
      <c r="K1545" s="1379">
        <f t="array" ref="K1545" xml:space="preserve"> SUM(EF[CH4]*(EF[SATIM Code]= $D1545)) * ( SUM( ($A$768:$A$846=$A1545)*($D$768:$D$846= $D1545)*(K$768:K$846) )  +  SUM( ($A$933:$A$1011=$A1545)*($D$933:$D$1011= $D1545)*(K$933:K$1011) ) + SUM( ($E$1016:$E$1039=$E$1427)*($A$1016:$A$1039=$A1545)*($D$1016:$D$1039=$D1545)*(K$1016:K$1039) ) )</f>
        <v>0</v>
      </c>
      <c r="L1545" s="1379">
        <f t="array" ref="L1545" xml:space="preserve"> SUM(EF[CH4]*(EF[SATIM Code]= $D1545)) * ( SUM( ($A$768:$A$846=$A1545)*($D$768:$D$846= $D1545)*(L$768:L$846) )  +  SUM( ($A$933:$A$1011=$A1545)*($D$933:$D$1011= $D1545)*(L$933:L$1011) ) + SUM( ($E$1016:$E$1039=$E$1427)*($A$1016:$A$1039=$A1545)*($D$1016:$D$1039=$D1545)*(L$1016:L$1039) ) )</f>
        <v>0</v>
      </c>
      <c r="M1545" s="1379">
        <f t="array" ref="M1545" xml:space="preserve"> SUM(EF[CH4]*(EF[SATIM Code]= $D1545)) * ( SUM( ($A$768:$A$846=$A1545)*($D$768:$D$846= $D1545)*(M$768:M$846) )  +  SUM( ($A$933:$A$1011=$A1545)*($D$933:$D$1011= $D1545)*(M$933:M$1011) ) + SUM( ($E$1016:$E$1039=$E$1427)*($A$1016:$A$1039=$A1545)*($D$1016:$D$1039=$D1545)*(M$1016:M$1039) ) )</f>
        <v>0</v>
      </c>
      <c r="N1545" s="1379">
        <f t="array" ref="N1545" xml:space="preserve"> SUM(EF[CH4]*(EF[SATIM Code]= $D1545)) * ( SUM( ($A$768:$A$846=$A1545)*($D$768:$D$846= $D1545)*(N$768:N$846) )  +  SUM( ($A$933:$A$1011=$A1545)*($D$933:$D$1011= $D1545)*(N$933:N$1011) ) + SUM( ($E$1016:$E$1039=$E$1427)*($A$1016:$A$1039=$A1545)*($D$1016:$D$1039=$D1545)*(N$1016:N$1039) ) )</f>
        <v>0</v>
      </c>
      <c r="O1545" s="1379">
        <f t="array" ref="O1545" xml:space="preserve"> SUM(EF[CH4]*(EF[SATIM Code]= $D1545)) * ( SUM( ($A$768:$A$846=$A1545)*($D$768:$D$846= $D1545)*(O$768:O$846) )  +  SUM( ($A$933:$A$1011=$A1545)*($D$933:$D$1011= $D1545)*(O$933:O$1011) ) + SUM( ($E$1016:$E$1039=$E$1427)*($A$1016:$A$1039=$A1545)*($D$1016:$D$1039=$D1545)*(O$1016:O$1039) ) )</f>
        <v>0</v>
      </c>
    </row>
    <row r="1546" spans="1:15" s="19" customFormat="1" hidden="1" outlineLevel="1">
      <c r="B1546" s="1393"/>
      <c r="C1546" s="1407" t="str">
        <f>D22</f>
        <v>Chemicals  -33</v>
      </c>
      <c r="D1546" s="1391"/>
      <c r="E1546" s="1401"/>
      <c r="F1546" s="1379">
        <f t="array" ref="F1546" xml:space="preserve"> SUM(EF[CH4]*(EF[SATIM Code]= $D1546)) * ( SUM( ($A$768:$A$846=$A1546)*($D$768:$D$846= $D1546)*(F$768:F$846) )  +  SUM( ($A$933:$A$1011=$A1546)*($D$933:$D$1011= $D1546)*(F$933:F$1011) ) + SUM( ($E$1016:$E$1039=$E$1427)*($A$1016:$A$1039=$A1546)*($D$1016:$D$1039=$D1546)*(F$1016:F$1039) ) )</f>
        <v>0</v>
      </c>
      <c r="G1546" s="1379">
        <f t="array" ref="G1546" xml:space="preserve"> SUM(EF[CH4]*(EF[SATIM Code]= $D1546)) * ( SUM( ($A$768:$A$846=$A1546)*($D$768:$D$846= $D1546)*(G$768:G$846) )  +  SUM( ($A$933:$A$1011=$A1546)*($D$933:$D$1011= $D1546)*(G$933:G$1011) ) + SUM( ($E$1016:$E$1039=$E$1427)*($A$1016:$A$1039=$A1546)*($D$1016:$D$1039=$D1546)*(G$1016:G$1039) ) )</f>
        <v>0</v>
      </c>
      <c r="H1546" s="1379">
        <f t="array" ref="H1546" xml:space="preserve"> SUM(EF[CH4]*(EF[SATIM Code]= $D1546)) * ( SUM( ($A$768:$A$846=$A1546)*($D$768:$D$846= $D1546)*(H$768:H$846) )  +  SUM( ($A$933:$A$1011=$A1546)*($D$933:$D$1011= $D1546)*(H$933:H$1011) ) + SUM( ($E$1016:$E$1039=$E$1427)*($A$1016:$A$1039=$A1546)*($D$1016:$D$1039=$D1546)*(H$1016:H$1039) ) )</f>
        <v>0</v>
      </c>
      <c r="I1546" s="1379">
        <f t="array" ref="I1546" xml:space="preserve"> SUM(EF[CH4]*(EF[SATIM Code]= $D1546)) * ( SUM( ($A$768:$A$846=$A1546)*($D$768:$D$846= $D1546)*(I$768:I$846) )  +  SUM( ($A$933:$A$1011=$A1546)*($D$933:$D$1011= $D1546)*(I$933:I$1011) ) + SUM( ($E$1016:$E$1039=$E$1427)*($A$1016:$A$1039=$A1546)*($D$1016:$D$1039=$D1546)*(I$1016:I$1039) ) )</f>
        <v>0</v>
      </c>
      <c r="J1546" s="1379">
        <f t="array" ref="J1546" xml:space="preserve"> SUM(EF[CH4]*(EF[SATIM Code]= $D1546)) * ( SUM( ($A$768:$A$846=$A1546)*($D$768:$D$846= $D1546)*(J$768:J$846) )  +  SUM( ($A$933:$A$1011=$A1546)*($D$933:$D$1011= $D1546)*(J$933:J$1011) ) + SUM( ($E$1016:$E$1039=$E$1427)*($A$1016:$A$1039=$A1546)*($D$1016:$D$1039=$D1546)*(J$1016:J$1039) ) )</f>
        <v>0</v>
      </c>
      <c r="K1546" s="1379">
        <f t="array" ref="K1546" xml:space="preserve"> SUM(EF[CH4]*(EF[SATIM Code]= $D1546)) * ( SUM( ($A$768:$A$846=$A1546)*($D$768:$D$846= $D1546)*(K$768:K$846) )  +  SUM( ($A$933:$A$1011=$A1546)*($D$933:$D$1011= $D1546)*(K$933:K$1011) ) + SUM( ($E$1016:$E$1039=$E$1427)*($A$1016:$A$1039=$A1546)*($D$1016:$D$1039=$D1546)*(K$1016:K$1039) ) )</f>
        <v>0</v>
      </c>
      <c r="L1546" s="1379">
        <f t="array" ref="L1546" xml:space="preserve"> SUM(EF[CH4]*(EF[SATIM Code]= $D1546)) * ( SUM( ($A$768:$A$846=$A1546)*($D$768:$D$846= $D1546)*(L$768:L$846) )  +  SUM( ($A$933:$A$1011=$A1546)*($D$933:$D$1011= $D1546)*(L$933:L$1011) ) + SUM( ($E$1016:$E$1039=$E$1427)*($A$1016:$A$1039=$A1546)*($D$1016:$D$1039=$D1546)*(L$1016:L$1039) ) )</f>
        <v>0</v>
      </c>
      <c r="M1546" s="1379">
        <f t="array" ref="M1546" xml:space="preserve"> SUM(EF[CH4]*(EF[SATIM Code]= $D1546)) * ( SUM( ($A$768:$A$846=$A1546)*($D$768:$D$846= $D1546)*(M$768:M$846) )  +  SUM( ($A$933:$A$1011=$A1546)*($D$933:$D$1011= $D1546)*(M$933:M$1011) ) + SUM( ($E$1016:$E$1039=$E$1427)*($A$1016:$A$1039=$A1546)*($D$1016:$D$1039=$D1546)*(M$1016:M$1039) ) )</f>
        <v>0</v>
      </c>
      <c r="N1546" s="1379">
        <f t="array" ref="N1546" xml:space="preserve"> SUM(EF[CH4]*(EF[SATIM Code]= $D1546)) * ( SUM( ($A$768:$A$846=$A1546)*($D$768:$D$846= $D1546)*(N$768:N$846) )  +  SUM( ($A$933:$A$1011=$A1546)*($D$933:$D$1011= $D1546)*(N$933:N$1011) ) + SUM( ($E$1016:$E$1039=$E$1427)*($A$1016:$A$1039=$A1546)*($D$1016:$D$1039=$D1546)*(N$1016:N$1039) ) )</f>
        <v>0</v>
      </c>
      <c r="O1546" s="1379">
        <f t="array" ref="O1546" xml:space="preserve"> SUM(EF[CH4]*(EF[SATIM Code]= $D1546)) * ( SUM( ($A$768:$A$846=$A1546)*($D$768:$D$846= $D1546)*(O$768:O$846) )  +  SUM( ($A$933:$A$1011=$A1546)*($D$933:$D$1011= $D1546)*(O$933:O$1011) ) + SUM( ($E$1016:$E$1039=$E$1427)*($A$1016:$A$1039=$A1546)*($D$1016:$D$1039=$D1546)*(O$1016:O$1039) ) )</f>
        <v>0</v>
      </c>
    </row>
    <row r="1547" spans="1:15" s="19" customFormat="1" hidden="1" outlineLevel="1">
      <c r="A1547" s="1438" t="str">
        <f>INDEX($C$20:$C$27,MATCH($C1546,$D$20:$D$27,0))</f>
        <v>CP</v>
      </c>
      <c r="B1547" s="1400" t="str">
        <f>INDEX(EF[UK Vector],MATCH(D1547,EF[SATIM Code],0))</f>
        <v>V.03</v>
      </c>
      <c r="C1547" s="1401" t="str">
        <f>INDEX(Vectors[Description], MATCH($B1547, Vectors[Code], 0))</f>
        <v>Solid hydrocarbons</v>
      </c>
      <c r="D1547" s="1391" t="s">
        <v>882</v>
      </c>
      <c r="E1547" s="1387"/>
      <c r="F1547" s="1379">
        <f t="array" ref="F1547" xml:space="preserve"> SUM(EF[CH4]*(EF[SATIM Code]= $D1547)) * ( SUM( ($A$768:$A$846=$A1547)*($D$768:$D$846= $D1547)*(F$768:F$846) )  +  SUM( ($A$933:$A$1011=$A1547)*($D$933:$D$1011= $D1547)*(F$933:F$1011) ) + SUM( ($E$1016:$E$1039=$E$1427)*($A$1016:$A$1039=$A1547)*($D$1016:$D$1039=$D1547)*(F$1016:F$1039) ) )</f>
        <v>1.067679711E-3</v>
      </c>
      <c r="G1547" s="1379">
        <f t="array" ref="G1547" xml:space="preserve"> SUM(EF[CH4]*(EF[SATIM Code]= $D1547)) * ( SUM( ($A$768:$A$846=$A1547)*($D$768:$D$846= $D1547)*(G$768:G$846) )  +  SUM( ($A$933:$A$1011=$A1547)*($D$933:$D$1011= $D1547)*(G$933:G$1011) ) + SUM( ($E$1016:$E$1039=$E$1427)*($A$1016:$A$1039=$A1547)*($D$1016:$D$1039=$D1547)*(G$1016:G$1039) ) )</f>
        <v>1.2181890167402688E-3</v>
      </c>
      <c r="H1547" s="1379">
        <f t="array" ref="H1547" xml:space="preserve"> SUM(EF[CH4]*(EF[SATIM Code]= $D1547)) * ( SUM( ($A$768:$A$846=$A1547)*($D$768:$D$846= $D1547)*(H$768:H$846) )  +  SUM( ($A$933:$A$1011=$A1547)*($D$933:$D$1011= $D1547)*(H$933:H$1011) ) + SUM( ($E$1016:$E$1039=$E$1427)*($A$1016:$A$1039=$A1547)*($D$1016:$D$1039=$D1547)*(H$1016:H$1039) ) )</f>
        <v>1.3463837709000684E-3</v>
      </c>
      <c r="I1547" s="1379">
        <f t="array" ref="I1547" xml:space="preserve"> SUM(EF[CH4]*(EF[SATIM Code]= $D1547)) * ( SUM( ($A$768:$A$846=$A1547)*($D$768:$D$846= $D1547)*(I$768:I$846) )  +  SUM( ($A$933:$A$1011=$A1547)*($D$933:$D$1011= $D1547)*(I$933:I$1011) ) + SUM( ($E$1016:$E$1039=$E$1427)*($A$1016:$A$1039=$A1547)*($D$1016:$D$1039=$D1547)*(I$1016:I$1039) ) )</f>
        <v>1.474578525059868E-3</v>
      </c>
      <c r="J1547" s="1379">
        <f t="array" ref="J1547" xml:space="preserve"> SUM(EF[CH4]*(EF[SATIM Code]= $D1547)) * ( SUM( ($A$768:$A$846=$A1547)*($D$768:$D$846= $D1547)*(J$768:J$846) )  +  SUM( ($A$933:$A$1011=$A1547)*($D$933:$D$1011= $D1547)*(J$933:J$1011) ) + SUM( ($E$1016:$E$1039=$E$1427)*($A$1016:$A$1039=$A1547)*($D$1016:$D$1039=$D1547)*(J$1016:J$1039) ) )</f>
        <v>1.651540737097302E-3</v>
      </c>
      <c r="K1547" s="1379">
        <f t="array" ref="K1547" xml:space="preserve"> SUM(EF[CH4]*(EF[SATIM Code]= $D1547)) * ( SUM( ($A$768:$A$846=$A1547)*($D$768:$D$846= $D1547)*(K$768:K$846) )  +  SUM( ($A$933:$A$1011=$A1547)*($D$933:$D$1011= $D1547)*(K$933:K$1011) ) + SUM( ($E$1016:$E$1039=$E$1427)*($A$1016:$A$1039=$A1547)*($D$1016:$D$1039=$D1547)*(K$1016:K$1039) ) )</f>
        <v>1.8285029491347355E-3</v>
      </c>
      <c r="L1547" s="1379">
        <f t="array" ref="L1547" xml:space="preserve"> SUM(EF[CH4]*(EF[SATIM Code]= $D1547)) * ( SUM( ($A$768:$A$846=$A1547)*($D$768:$D$846= $D1547)*(L$768:L$846) )  +  SUM( ($A$933:$A$1011=$A1547)*($D$933:$D$1011= $D1547)*(L$933:L$1011) ) + SUM( ($E$1016:$E$1039=$E$1427)*($A$1016:$A$1039=$A1547)*($D$1016:$D$1039=$D1547)*(L$1016:L$1039) ) )</f>
        <v>2.200215962421084E-3</v>
      </c>
      <c r="M1547" s="1379">
        <f t="array" ref="M1547" xml:space="preserve"> SUM(EF[CH4]*(EF[SATIM Code]= $D1547)) * ( SUM( ($A$768:$A$846=$A1547)*($D$768:$D$846= $D1547)*(M$768:M$846) )  +  SUM( ($A$933:$A$1011=$A1547)*($D$933:$D$1011= $D1547)*(M$933:M$1011) ) + SUM( ($E$1016:$E$1039=$E$1427)*($A$1016:$A$1039=$A1547)*($D$1016:$D$1039=$D1547)*(M$1016:M$1039) ) )</f>
        <v>2.5719289757074318E-3</v>
      </c>
      <c r="N1547" s="1379">
        <f t="array" ref="N1547" xml:space="preserve"> SUM(EF[CH4]*(EF[SATIM Code]= $D1547)) * ( SUM( ($A$768:$A$846=$A1547)*($D$768:$D$846= $D1547)*(N$768:N$846) )  +  SUM( ($A$933:$A$1011=$A1547)*($D$933:$D$1011= $D1547)*(N$933:N$1011) ) + SUM( ($E$1016:$E$1039=$E$1427)*($A$1016:$A$1039=$A1547)*($D$1016:$D$1039=$D1547)*(N$1016:N$1039) ) )</f>
        <v>2.9383380387620361E-3</v>
      </c>
      <c r="O1547" s="1379">
        <f t="array" ref="O1547" xml:space="preserve"> SUM(EF[CH4]*(EF[SATIM Code]= $D1547)) * ( SUM( ($A$768:$A$846=$A1547)*($D$768:$D$846= $D1547)*(O$768:O$846) )  +  SUM( ($A$933:$A$1011=$A1547)*($D$933:$D$1011= $D1547)*(O$933:O$1011) ) + SUM( ($E$1016:$E$1039=$E$1427)*($A$1016:$A$1039=$A1547)*($D$1016:$D$1039=$D1547)*(O$1016:O$1039) ) )</f>
        <v>3.30474710181664E-3</v>
      </c>
    </row>
    <row r="1548" spans="1:15" s="19" customFormat="1" hidden="1" outlineLevel="1">
      <c r="A1548" s="19" t="str">
        <f t="shared" ref="A1548:A1555" si="299">A1547</f>
        <v>CP</v>
      </c>
      <c r="B1548" s="1400" t="str">
        <f>INDEX(EF[UK Vector],MATCH(D1548,EF[SATIM Code],0))</f>
        <v>V.03</v>
      </c>
      <c r="C1548" s="1401" t="str">
        <f>INDEX(Vectors[Description], MATCH($B1548, Vectors[Code], 0))</f>
        <v>Solid hydrocarbons</v>
      </c>
      <c r="D1548" s="1391" t="s">
        <v>883</v>
      </c>
      <c r="E1548" s="1387"/>
      <c r="F1548" s="1379">
        <f t="array" ref="F1548" xml:space="preserve"> SUM(EF[CH4]*(EF[SATIM Code]= $D1548)) * ( SUM( ($A$768:$A$846=$A1548)*($D$768:$D$846= $D1548)*(F$768:F$846) )  +  SUM( ($A$933:$A$1011=$A1548)*($D$933:$D$1011= $D1548)*(F$933:F$1011) ) + SUM( ($E$1016:$E$1039=$E$1427)*($A$1016:$A$1039=$A1548)*($D$1016:$D$1039=$D1548)*(F$1016:F$1039) ) )</f>
        <v>0</v>
      </c>
      <c r="G1548" s="1379">
        <f t="array" ref="G1548" xml:space="preserve"> SUM(EF[CH4]*(EF[SATIM Code]= $D1548)) * ( SUM( ($A$768:$A$846=$A1548)*($D$768:$D$846= $D1548)*(G$768:G$846) )  +  SUM( ($A$933:$A$1011=$A1548)*($D$933:$D$1011= $D1548)*(G$933:G$1011) ) + SUM( ($E$1016:$E$1039=$E$1427)*($A$1016:$A$1039=$A1548)*($D$1016:$D$1039=$D1548)*(G$1016:G$1039) ) )</f>
        <v>0</v>
      </c>
      <c r="H1548" s="1379">
        <f t="array" ref="H1548" xml:space="preserve"> SUM(EF[CH4]*(EF[SATIM Code]= $D1548)) * ( SUM( ($A$768:$A$846=$A1548)*($D$768:$D$846= $D1548)*(H$768:H$846) )  +  SUM( ($A$933:$A$1011=$A1548)*($D$933:$D$1011= $D1548)*(H$933:H$1011) ) + SUM( ($E$1016:$E$1039=$E$1427)*($A$1016:$A$1039=$A1548)*($D$1016:$D$1039=$D1548)*(H$1016:H$1039) ) )</f>
        <v>0</v>
      </c>
      <c r="I1548" s="1379">
        <f t="array" ref="I1548" xml:space="preserve"> SUM(EF[CH4]*(EF[SATIM Code]= $D1548)) * ( SUM( ($A$768:$A$846=$A1548)*($D$768:$D$846= $D1548)*(I$768:I$846) )  +  SUM( ($A$933:$A$1011=$A1548)*($D$933:$D$1011= $D1548)*(I$933:I$1011) ) + SUM( ($E$1016:$E$1039=$E$1427)*($A$1016:$A$1039=$A1548)*($D$1016:$D$1039=$D1548)*(I$1016:I$1039) ) )</f>
        <v>0</v>
      </c>
      <c r="J1548" s="1379">
        <f t="array" ref="J1548" xml:space="preserve"> SUM(EF[CH4]*(EF[SATIM Code]= $D1548)) * ( SUM( ($A$768:$A$846=$A1548)*($D$768:$D$846= $D1548)*(J$768:J$846) )  +  SUM( ($A$933:$A$1011=$A1548)*($D$933:$D$1011= $D1548)*(J$933:J$1011) ) + SUM( ($E$1016:$E$1039=$E$1427)*($A$1016:$A$1039=$A1548)*($D$1016:$D$1039=$D1548)*(J$1016:J$1039) ) )</f>
        <v>0</v>
      </c>
      <c r="K1548" s="1379">
        <f t="array" ref="K1548" xml:space="preserve"> SUM(EF[CH4]*(EF[SATIM Code]= $D1548)) * ( SUM( ($A$768:$A$846=$A1548)*($D$768:$D$846= $D1548)*(K$768:K$846) )  +  SUM( ($A$933:$A$1011=$A1548)*($D$933:$D$1011= $D1548)*(K$933:K$1011) ) + SUM( ($E$1016:$E$1039=$E$1427)*($A$1016:$A$1039=$A1548)*($D$1016:$D$1039=$D1548)*(K$1016:K$1039) ) )</f>
        <v>0</v>
      </c>
      <c r="L1548" s="1379">
        <f t="array" ref="L1548" xml:space="preserve"> SUM(EF[CH4]*(EF[SATIM Code]= $D1548)) * ( SUM( ($A$768:$A$846=$A1548)*($D$768:$D$846= $D1548)*(L$768:L$846) )  +  SUM( ($A$933:$A$1011=$A1548)*($D$933:$D$1011= $D1548)*(L$933:L$1011) ) + SUM( ($E$1016:$E$1039=$E$1427)*($A$1016:$A$1039=$A1548)*($D$1016:$D$1039=$D1548)*(L$1016:L$1039) ) )</f>
        <v>0</v>
      </c>
      <c r="M1548" s="1379">
        <f t="array" ref="M1548" xml:space="preserve"> SUM(EF[CH4]*(EF[SATIM Code]= $D1548)) * ( SUM( ($A$768:$A$846=$A1548)*($D$768:$D$846= $D1548)*(M$768:M$846) )  +  SUM( ($A$933:$A$1011=$A1548)*($D$933:$D$1011= $D1548)*(M$933:M$1011) ) + SUM( ($E$1016:$E$1039=$E$1427)*($A$1016:$A$1039=$A1548)*($D$1016:$D$1039=$D1548)*(M$1016:M$1039) ) )</f>
        <v>0</v>
      </c>
      <c r="N1548" s="1379">
        <f t="array" ref="N1548" xml:space="preserve"> SUM(EF[CH4]*(EF[SATIM Code]= $D1548)) * ( SUM( ($A$768:$A$846=$A1548)*($D$768:$D$846= $D1548)*(N$768:N$846) )  +  SUM( ($A$933:$A$1011=$A1548)*($D$933:$D$1011= $D1548)*(N$933:N$1011) ) + SUM( ($E$1016:$E$1039=$E$1427)*($A$1016:$A$1039=$A1548)*($D$1016:$D$1039=$D1548)*(N$1016:N$1039) ) )</f>
        <v>0</v>
      </c>
      <c r="O1548" s="1379">
        <f t="array" ref="O1548" xml:space="preserve"> SUM(EF[CH4]*(EF[SATIM Code]= $D1548)) * ( SUM( ($A$768:$A$846=$A1548)*($D$768:$D$846= $D1548)*(O$768:O$846) )  +  SUM( ($A$933:$A$1011=$A1548)*($D$933:$D$1011= $D1548)*(O$933:O$1011) ) + SUM( ($E$1016:$E$1039=$E$1427)*($A$1016:$A$1039=$A1548)*($D$1016:$D$1039=$D1548)*(O$1016:O$1039) ) )</f>
        <v>0</v>
      </c>
    </row>
    <row r="1549" spans="1:15" s="19" customFormat="1" hidden="1" outlineLevel="1">
      <c r="A1549" s="19" t="str">
        <f t="shared" si="299"/>
        <v>CP</v>
      </c>
      <c r="B1549" s="1400" t="str">
        <f>INDEX(EF[UK Vector],MATCH(D1549,EF[SATIM Code],0))</f>
        <v>V.05</v>
      </c>
      <c r="C1549" s="1401" t="str">
        <f>INDEX(Vectors[Description], MATCH($B1549, Vectors[Code], 0))</f>
        <v>Gaseous hydrocarbons</v>
      </c>
      <c r="D1549" s="1406" t="s">
        <v>869</v>
      </c>
      <c r="E1549" s="1401"/>
      <c r="F1549" s="1379">
        <f t="array" ref="F1549" xml:space="preserve"> SUM(EF[CH4]*(EF[SATIM Code]= $D1549)) * ( SUM( ($A$768:$A$846=$A1549)*($D$768:$D$846= $D1549)*(F$768:F$846) )  +  SUM( ($A$933:$A$1011=$A1549)*($D$933:$D$1011= $D1549)*(F$933:F$1011) ) + SUM( ($E$1016:$E$1039=$E$1427)*($A$1016:$A$1039=$A1549)*($D$1016:$D$1039=$D1549)*(F$1016:F$1039) ) )</f>
        <v>1.2415601099999998E-3</v>
      </c>
      <c r="G1549" s="1379">
        <f t="array" ref="G1549" xml:space="preserve"> SUM(EF[CH4]*(EF[SATIM Code]= $D1549)) * ( SUM( ($A$768:$A$846=$A1549)*($D$768:$D$846= $D1549)*(G$768:G$846) )  +  SUM( ($A$933:$A$1011=$A1549)*($D$933:$D$1011= $D1549)*(G$933:G$1011) ) + SUM( ($E$1016:$E$1039=$E$1427)*($A$1016:$A$1039=$A1549)*($D$1016:$D$1039=$D1549)*(G$1016:G$1039) ) )</f>
        <v>1.4165810907919741E-3</v>
      </c>
      <c r="H1549" s="1379">
        <f t="array" ref="H1549" xml:space="preserve"> SUM(EF[CH4]*(EF[SATIM Code]= $D1549)) * ( SUM( ($A$768:$A$846=$A1549)*($D$768:$D$846= $D1549)*(H$768:H$846) )  +  SUM( ($A$933:$A$1011=$A1549)*($D$933:$D$1011= $D1549)*(H$933:H$1011) ) + SUM( ($E$1016:$E$1039=$E$1427)*($A$1016:$A$1039=$A1549)*($D$1016:$D$1039=$D1549)*(H$1016:H$1039) ) )</f>
        <v>1.5656534122346953E-3</v>
      </c>
      <c r="I1549" s="1379">
        <f t="array" ref="I1549" xml:space="preserve"> SUM(EF[CH4]*(EF[SATIM Code]= $D1549)) * ( SUM( ($A$768:$A$846=$A1549)*($D$768:$D$846= $D1549)*(I$768:I$846) )  +  SUM( ($A$933:$A$1011=$A1549)*($D$933:$D$1011= $D1549)*(I$933:I$1011) ) + SUM( ($E$1016:$E$1039=$E$1427)*($A$1016:$A$1039=$A1549)*($D$1016:$D$1039=$D1549)*(I$1016:I$1039) ) )</f>
        <v>1.7147257336774166E-3</v>
      </c>
      <c r="J1549" s="1379">
        <f t="array" ref="J1549" xml:space="preserve"> SUM(EF[CH4]*(EF[SATIM Code]= $D1549)) * ( SUM( ($A$768:$A$846=$A1549)*($D$768:$D$846= $D1549)*(J$768:J$846) )  +  SUM( ($A$933:$A$1011=$A1549)*($D$933:$D$1011= $D1549)*(J$933:J$1011) ) + SUM( ($E$1016:$E$1039=$E$1427)*($A$1016:$A$1039=$A1549)*($D$1016:$D$1039=$D1549)*(J$1016:J$1039) ) )</f>
        <v>1.9205076935474396E-3</v>
      </c>
      <c r="K1549" s="1379">
        <f t="array" ref="K1549" xml:space="preserve"> SUM(EF[CH4]*(EF[SATIM Code]= $D1549)) * ( SUM( ($A$768:$A$846=$A1549)*($D$768:$D$846= $D1549)*(K$768:K$846) )  +  SUM( ($A$933:$A$1011=$A1549)*($D$933:$D$1011= $D1549)*(K$933:K$1011) ) + SUM( ($E$1016:$E$1039=$E$1427)*($A$1016:$A$1039=$A1549)*($D$1016:$D$1039=$D1549)*(K$1016:K$1039) ) )</f>
        <v>2.1262896534174625E-3</v>
      </c>
      <c r="L1549" s="1379">
        <f t="array" ref="L1549" xml:space="preserve"> SUM(EF[CH4]*(EF[SATIM Code]= $D1549)) * ( SUM( ($A$768:$A$846=$A1549)*($D$768:$D$846= $D1549)*(L$768:L$846) )  +  SUM( ($A$933:$A$1011=$A1549)*($D$933:$D$1011= $D1549)*(L$933:L$1011) ) + SUM( ($E$1016:$E$1039=$E$1427)*($A$1016:$A$1039=$A1549)*($D$1016:$D$1039=$D1549)*(L$1016:L$1039) ) )</f>
        <v>2.5585391800399923E-3</v>
      </c>
      <c r="M1549" s="1379">
        <f t="array" ref="M1549" xml:space="preserve"> SUM(EF[CH4]*(EF[SATIM Code]= $D1549)) * ( SUM( ($A$768:$A$846=$A1549)*($D$768:$D$846= $D1549)*(M$768:M$846) )  +  SUM( ($A$933:$A$1011=$A1549)*($D$933:$D$1011= $D1549)*(M$933:M$1011) ) + SUM( ($E$1016:$E$1039=$E$1427)*($A$1016:$A$1039=$A1549)*($D$1016:$D$1039=$D1549)*(M$1016:M$1039) ) )</f>
        <v>2.9907887066625226E-3</v>
      </c>
      <c r="N1549" s="1379">
        <f t="array" ref="N1549" xml:space="preserve"> SUM(EF[CH4]*(EF[SATIM Code]= $D1549)) * ( SUM( ($A$768:$A$846=$A1549)*($D$768:$D$846= $D1549)*(N$768:N$846) )  +  SUM( ($A$933:$A$1011=$A1549)*($D$933:$D$1011= $D1549)*(N$933:N$1011) ) + SUM( ($E$1016:$E$1039=$E$1427)*($A$1016:$A$1039=$A1549)*($D$1016:$D$1039=$D1549)*(N$1016:N$1039) ) )</f>
        <v>3.4168704912503262E-3</v>
      </c>
      <c r="O1549" s="1379">
        <f t="array" ref="O1549" xml:space="preserve"> SUM(EF[CH4]*(EF[SATIM Code]= $D1549)) * ( SUM( ($A$768:$A$846=$A1549)*($D$768:$D$846= $D1549)*(O$768:O$846) )  +  SUM( ($A$933:$A$1011=$A1549)*($D$933:$D$1011= $D1549)*(O$933:O$1011) ) + SUM( ($E$1016:$E$1039=$E$1427)*($A$1016:$A$1039=$A1549)*($D$1016:$D$1039=$D1549)*(O$1016:O$1039) ) )</f>
        <v>3.8429522758381307E-3</v>
      </c>
    </row>
    <row r="1550" spans="1:15" s="19" customFormat="1" hidden="1" outlineLevel="1">
      <c r="A1550" s="19" t="str">
        <f t="shared" si="299"/>
        <v>CP</v>
      </c>
      <c r="B1550" s="1400" t="str">
        <f>INDEX(EF[UK Vector],MATCH(D1550,EF[SATIM Code],0))</f>
        <v>V.04</v>
      </c>
      <c r="C1550" s="1401" t="str">
        <f>INDEX(Vectors[Description], MATCH($B1550, Vectors[Code], 0))</f>
        <v>Liquid hydrocarbons</v>
      </c>
      <c r="D1550" s="1406" t="s">
        <v>885</v>
      </c>
      <c r="E1550" s="1401"/>
      <c r="F1550" s="1379">
        <f t="array" ref="F1550" xml:space="preserve"> SUM(EF[CH4]*(EF[SATIM Code]= $D1550)) * ( SUM( ($A$768:$A$846=$A1550)*($D$768:$D$846= $D1550)*(F$768:F$846) )  +  SUM( ($A$933:$A$1011=$A1550)*($D$933:$D$1011= $D1550)*(F$933:F$1011) ) + SUM( ($E$1016:$E$1039=$E$1427)*($A$1016:$A$1039=$A1550)*($D$1016:$D$1039=$D1550)*(F$1016:F$1039) ) )</f>
        <v>0</v>
      </c>
      <c r="G1550" s="1379">
        <f t="array" ref="G1550" xml:space="preserve"> SUM(EF[CH4]*(EF[SATIM Code]= $D1550)) * ( SUM( ($A$768:$A$846=$A1550)*($D$768:$D$846= $D1550)*(G$768:G$846) )  +  SUM( ($A$933:$A$1011=$A1550)*($D$933:$D$1011= $D1550)*(G$933:G$1011) ) + SUM( ($E$1016:$E$1039=$E$1427)*($A$1016:$A$1039=$A1550)*($D$1016:$D$1039=$D1550)*(G$1016:G$1039) ) )</f>
        <v>0</v>
      </c>
      <c r="H1550" s="1379">
        <f t="array" ref="H1550" xml:space="preserve"> SUM(EF[CH4]*(EF[SATIM Code]= $D1550)) * ( SUM( ($A$768:$A$846=$A1550)*($D$768:$D$846= $D1550)*(H$768:H$846) )  +  SUM( ($A$933:$A$1011=$A1550)*($D$933:$D$1011= $D1550)*(H$933:H$1011) ) + SUM( ($E$1016:$E$1039=$E$1427)*($A$1016:$A$1039=$A1550)*($D$1016:$D$1039=$D1550)*(H$1016:H$1039) ) )</f>
        <v>0</v>
      </c>
      <c r="I1550" s="1379">
        <f t="array" ref="I1550" xml:space="preserve"> SUM(EF[CH4]*(EF[SATIM Code]= $D1550)) * ( SUM( ($A$768:$A$846=$A1550)*($D$768:$D$846= $D1550)*(I$768:I$846) )  +  SUM( ($A$933:$A$1011=$A1550)*($D$933:$D$1011= $D1550)*(I$933:I$1011) ) + SUM( ($E$1016:$E$1039=$E$1427)*($A$1016:$A$1039=$A1550)*($D$1016:$D$1039=$D1550)*(I$1016:I$1039) ) )</f>
        <v>0</v>
      </c>
      <c r="J1550" s="1379">
        <f t="array" ref="J1550" xml:space="preserve"> SUM(EF[CH4]*(EF[SATIM Code]= $D1550)) * ( SUM( ($A$768:$A$846=$A1550)*($D$768:$D$846= $D1550)*(J$768:J$846) )  +  SUM( ($A$933:$A$1011=$A1550)*($D$933:$D$1011= $D1550)*(J$933:J$1011) ) + SUM( ($E$1016:$E$1039=$E$1427)*($A$1016:$A$1039=$A1550)*($D$1016:$D$1039=$D1550)*(J$1016:J$1039) ) )</f>
        <v>0</v>
      </c>
      <c r="K1550" s="1379">
        <f t="array" ref="K1550" xml:space="preserve"> SUM(EF[CH4]*(EF[SATIM Code]= $D1550)) * ( SUM( ($A$768:$A$846=$A1550)*($D$768:$D$846= $D1550)*(K$768:K$846) )  +  SUM( ($A$933:$A$1011=$A1550)*($D$933:$D$1011= $D1550)*(K$933:K$1011) ) + SUM( ($E$1016:$E$1039=$E$1427)*($A$1016:$A$1039=$A1550)*($D$1016:$D$1039=$D1550)*(K$1016:K$1039) ) )</f>
        <v>0</v>
      </c>
      <c r="L1550" s="1379">
        <f t="array" ref="L1550" xml:space="preserve"> SUM(EF[CH4]*(EF[SATIM Code]= $D1550)) * ( SUM( ($A$768:$A$846=$A1550)*($D$768:$D$846= $D1550)*(L$768:L$846) )  +  SUM( ($A$933:$A$1011=$A1550)*($D$933:$D$1011= $D1550)*(L$933:L$1011) ) + SUM( ($E$1016:$E$1039=$E$1427)*($A$1016:$A$1039=$A1550)*($D$1016:$D$1039=$D1550)*(L$1016:L$1039) ) )</f>
        <v>0</v>
      </c>
      <c r="M1550" s="1379">
        <f t="array" ref="M1550" xml:space="preserve"> SUM(EF[CH4]*(EF[SATIM Code]= $D1550)) * ( SUM( ($A$768:$A$846=$A1550)*($D$768:$D$846= $D1550)*(M$768:M$846) )  +  SUM( ($A$933:$A$1011=$A1550)*($D$933:$D$1011= $D1550)*(M$933:M$1011) ) + SUM( ($E$1016:$E$1039=$E$1427)*($A$1016:$A$1039=$A1550)*($D$1016:$D$1039=$D1550)*(M$1016:M$1039) ) )</f>
        <v>0</v>
      </c>
      <c r="N1550" s="1379">
        <f t="array" ref="N1550" xml:space="preserve"> SUM(EF[CH4]*(EF[SATIM Code]= $D1550)) * ( SUM( ($A$768:$A$846=$A1550)*($D$768:$D$846= $D1550)*(N$768:N$846) )  +  SUM( ($A$933:$A$1011=$A1550)*($D$933:$D$1011= $D1550)*(N$933:N$1011) ) + SUM( ($E$1016:$E$1039=$E$1427)*($A$1016:$A$1039=$A1550)*($D$1016:$D$1039=$D1550)*(N$1016:N$1039) ) )</f>
        <v>0</v>
      </c>
      <c r="O1550" s="1379">
        <f t="array" ref="O1550" xml:space="preserve"> SUM(EF[CH4]*(EF[SATIM Code]= $D1550)) * ( SUM( ($A$768:$A$846=$A1550)*($D$768:$D$846= $D1550)*(O$768:O$846) )  +  SUM( ($A$933:$A$1011=$A1550)*($D$933:$D$1011= $D1550)*(O$933:O$1011) ) + SUM( ($E$1016:$E$1039=$E$1427)*($A$1016:$A$1039=$A1550)*($D$1016:$D$1039=$D1550)*(O$1016:O$1039) ) )</f>
        <v>0</v>
      </c>
    </row>
    <row r="1551" spans="1:15" s="19" customFormat="1" hidden="1" outlineLevel="1">
      <c r="A1551" s="19" t="str">
        <f t="shared" si="299"/>
        <v>CP</v>
      </c>
      <c r="B1551" s="1400" t="str">
        <f>INDEX(EF[UK Vector],MATCH(D1551,EF[SATIM Code],0))</f>
        <v>V.04</v>
      </c>
      <c r="C1551" s="1401" t="str">
        <f>INDEX(Vectors[Description], MATCH($B1551, Vectors[Code], 0))</f>
        <v>Liquid hydrocarbons</v>
      </c>
      <c r="D1551" s="1391" t="s">
        <v>886</v>
      </c>
      <c r="E1551" s="1392"/>
      <c r="F1551" s="1379">
        <f t="array" ref="F1551" xml:space="preserve"> SUM(EF[CH4]*(EF[SATIM Code]= $D1551)) * ( SUM( ($A$768:$A$846=$A1551)*($D$768:$D$846= $D1551)*(F$768:F$846) )  +  SUM( ($A$933:$A$1011=$A1551)*($D$933:$D$1011= $D1551)*(F$933:F$1011) ) + SUM( ($E$1016:$E$1039=$E$1427)*($A$1016:$A$1039=$A1551)*($D$1016:$D$1039=$D1551)*(F$1016:F$1039) ) )</f>
        <v>0</v>
      </c>
      <c r="G1551" s="1379">
        <f t="array" ref="G1551" xml:space="preserve"> SUM(EF[CH4]*(EF[SATIM Code]= $D1551)) * ( SUM( ($A$768:$A$846=$A1551)*($D$768:$D$846= $D1551)*(G$768:G$846) )  +  SUM( ($A$933:$A$1011=$A1551)*($D$933:$D$1011= $D1551)*(G$933:G$1011) ) + SUM( ($E$1016:$E$1039=$E$1427)*($A$1016:$A$1039=$A1551)*($D$1016:$D$1039=$D1551)*(G$1016:G$1039) ) )</f>
        <v>0</v>
      </c>
      <c r="H1551" s="1379">
        <f t="array" ref="H1551" xml:space="preserve"> SUM(EF[CH4]*(EF[SATIM Code]= $D1551)) * ( SUM( ($A$768:$A$846=$A1551)*($D$768:$D$846= $D1551)*(H$768:H$846) )  +  SUM( ($A$933:$A$1011=$A1551)*($D$933:$D$1011= $D1551)*(H$933:H$1011) ) + SUM( ($E$1016:$E$1039=$E$1427)*($A$1016:$A$1039=$A1551)*($D$1016:$D$1039=$D1551)*(H$1016:H$1039) ) )</f>
        <v>0</v>
      </c>
      <c r="I1551" s="1379">
        <f t="array" ref="I1551" xml:space="preserve"> SUM(EF[CH4]*(EF[SATIM Code]= $D1551)) * ( SUM( ($A$768:$A$846=$A1551)*($D$768:$D$846= $D1551)*(I$768:I$846) )  +  SUM( ($A$933:$A$1011=$A1551)*($D$933:$D$1011= $D1551)*(I$933:I$1011) ) + SUM( ($E$1016:$E$1039=$E$1427)*($A$1016:$A$1039=$A1551)*($D$1016:$D$1039=$D1551)*(I$1016:I$1039) ) )</f>
        <v>0</v>
      </c>
      <c r="J1551" s="1379">
        <f t="array" ref="J1551" xml:space="preserve"> SUM(EF[CH4]*(EF[SATIM Code]= $D1551)) * ( SUM( ($A$768:$A$846=$A1551)*($D$768:$D$846= $D1551)*(J$768:J$846) )  +  SUM( ($A$933:$A$1011=$A1551)*($D$933:$D$1011= $D1551)*(J$933:J$1011) ) + SUM( ($E$1016:$E$1039=$E$1427)*($A$1016:$A$1039=$A1551)*($D$1016:$D$1039=$D1551)*(J$1016:J$1039) ) )</f>
        <v>0</v>
      </c>
      <c r="K1551" s="1379">
        <f t="array" ref="K1551" xml:space="preserve"> SUM(EF[CH4]*(EF[SATIM Code]= $D1551)) * ( SUM( ($A$768:$A$846=$A1551)*($D$768:$D$846= $D1551)*(K$768:K$846) )  +  SUM( ($A$933:$A$1011=$A1551)*($D$933:$D$1011= $D1551)*(K$933:K$1011) ) + SUM( ($E$1016:$E$1039=$E$1427)*($A$1016:$A$1039=$A1551)*($D$1016:$D$1039=$D1551)*(K$1016:K$1039) ) )</f>
        <v>0</v>
      </c>
      <c r="L1551" s="1379">
        <f t="array" ref="L1551" xml:space="preserve"> SUM(EF[CH4]*(EF[SATIM Code]= $D1551)) * ( SUM( ($A$768:$A$846=$A1551)*($D$768:$D$846= $D1551)*(L$768:L$846) )  +  SUM( ($A$933:$A$1011=$A1551)*($D$933:$D$1011= $D1551)*(L$933:L$1011) ) + SUM( ($E$1016:$E$1039=$E$1427)*($A$1016:$A$1039=$A1551)*($D$1016:$D$1039=$D1551)*(L$1016:L$1039) ) )</f>
        <v>0</v>
      </c>
      <c r="M1551" s="1379">
        <f t="array" ref="M1551" xml:space="preserve"> SUM(EF[CH4]*(EF[SATIM Code]= $D1551)) * ( SUM( ($A$768:$A$846=$A1551)*($D$768:$D$846= $D1551)*(M$768:M$846) )  +  SUM( ($A$933:$A$1011=$A1551)*($D$933:$D$1011= $D1551)*(M$933:M$1011) ) + SUM( ($E$1016:$E$1039=$E$1427)*($A$1016:$A$1039=$A1551)*($D$1016:$D$1039=$D1551)*(M$1016:M$1039) ) )</f>
        <v>0</v>
      </c>
      <c r="N1551" s="1379">
        <f t="array" ref="N1551" xml:space="preserve"> SUM(EF[CH4]*(EF[SATIM Code]= $D1551)) * ( SUM( ($A$768:$A$846=$A1551)*($D$768:$D$846= $D1551)*(N$768:N$846) )  +  SUM( ($A$933:$A$1011=$A1551)*($D$933:$D$1011= $D1551)*(N$933:N$1011) ) + SUM( ($E$1016:$E$1039=$E$1427)*($A$1016:$A$1039=$A1551)*($D$1016:$D$1039=$D1551)*(N$1016:N$1039) ) )</f>
        <v>0</v>
      </c>
      <c r="O1551" s="1379">
        <f t="array" ref="O1551" xml:space="preserve"> SUM(EF[CH4]*(EF[SATIM Code]= $D1551)) * ( SUM( ($A$768:$A$846=$A1551)*($D$768:$D$846= $D1551)*(O$768:O$846) )  +  SUM( ($A$933:$A$1011=$A1551)*($D$933:$D$1011= $D1551)*(O$933:O$1011) ) + SUM( ($E$1016:$E$1039=$E$1427)*($A$1016:$A$1039=$A1551)*($D$1016:$D$1039=$D1551)*(O$1016:O$1039) ) )</f>
        <v>0</v>
      </c>
    </row>
    <row r="1552" spans="1:15" s="19" customFormat="1" hidden="1" outlineLevel="1">
      <c r="A1552" s="19" t="str">
        <f t="shared" si="299"/>
        <v>CP</v>
      </c>
      <c r="B1552" s="1400" t="str">
        <f>INDEX(EF[UK Vector],MATCH(D1552,EF[SATIM Code],0))</f>
        <v>V.04</v>
      </c>
      <c r="C1552" s="1401" t="str">
        <f>INDEX(Vectors[Description], MATCH($B1552, Vectors[Code], 0))</f>
        <v>Liquid hydrocarbons</v>
      </c>
      <c r="D1552" s="1406" t="s">
        <v>887</v>
      </c>
      <c r="E1552" s="1393"/>
      <c r="F1552" s="1379">
        <f t="array" ref="F1552" xml:space="preserve"> SUM(EF[CH4]*(EF[SATIM Code]= $D1552)) * ( SUM( ($A$768:$A$846=$A1552)*($D$768:$D$846= $D1552)*(F$768:F$846) )  +  SUM( ($A$933:$A$1011=$A1552)*($D$933:$D$1011= $D1552)*(F$933:F$1011) ) + SUM( ($E$1016:$E$1039=$E$1427)*($A$1016:$A$1039=$A1552)*($D$1016:$D$1039=$D1552)*(F$1016:F$1039) ) )</f>
        <v>0</v>
      </c>
      <c r="G1552" s="1379">
        <f t="array" ref="G1552" xml:space="preserve"> SUM(EF[CH4]*(EF[SATIM Code]= $D1552)) * ( SUM( ($A$768:$A$846=$A1552)*($D$768:$D$846= $D1552)*(G$768:G$846) )  +  SUM( ($A$933:$A$1011=$A1552)*($D$933:$D$1011= $D1552)*(G$933:G$1011) ) + SUM( ($E$1016:$E$1039=$E$1427)*($A$1016:$A$1039=$A1552)*($D$1016:$D$1039=$D1552)*(G$1016:G$1039) ) )</f>
        <v>0</v>
      </c>
      <c r="H1552" s="1379">
        <f t="array" ref="H1552" xml:space="preserve"> SUM(EF[CH4]*(EF[SATIM Code]= $D1552)) * ( SUM( ($A$768:$A$846=$A1552)*($D$768:$D$846= $D1552)*(H$768:H$846) )  +  SUM( ($A$933:$A$1011=$A1552)*($D$933:$D$1011= $D1552)*(H$933:H$1011) ) + SUM( ($E$1016:$E$1039=$E$1427)*($A$1016:$A$1039=$A1552)*($D$1016:$D$1039=$D1552)*(H$1016:H$1039) ) )</f>
        <v>0</v>
      </c>
      <c r="I1552" s="1379">
        <f t="array" ref="I1552" xml:space="preserve"> SUM(EF[CH4]*(EF[SATIM Code]= $D1552)) * ( SUM( ($A$768:$A$846=$A1552)*($D$768:$D$846= $D1552)*(I$768:I$846) )  +  SUM( ($A$933:$A$1011=$A1552)*($D$933:$D$1011= $D1552)*(I$933:I$1011) ) + SUM( ($E$1016:$E$1039=$E$1427)*($A$1016:$A$1039=$A1552)*($D$1016:$D$1039=$D1552)*(I$1016:I$1039) ) )</f>
        <v>0</v>
      </c>
      <c r="J1552" s="1379">
        <f t="array" ref="J1552" xml:space="preserve"> SUM(EF[CH4]*(EF[SATIM Code]= $D1552)) * ( SUM( ($A$768:$A$846=$A1552)*($D$768:$D$846= $D1552)*(J$768:J$846) )  +  SUM( ($A$933:$A$1011=$A1552)*($D$933:$D$1011= $D1552)*(J$933:J$1011) ) + SUM( ($E$1016:$E$1039=$E$1427)*($A$1016:$A$1039=$A1552)*($D$1016:$D$1039=$D1552)*(J$1016:J$1039) ) )</f>
        <v>0</v>
      </c>
      <c r="K1552" s="1379">
        <f t="array" ref="K1552" xml:space="preserve"> SUM(EF[CH4]*(EF[SATIM Code]= $D1552)) * ( SUM( ($A$768:$A$846=$A1552)*($D$768:$D$846= $D1552)*(K$768:K$846) )  +  SUM( ($A$933:$A$1011=$A1552)*($D$933:$D$1011= $D1552)*(K$933:K$1011) ) + SUM( ($E$1016:$E$1039=$E$1427)*($A$1016:$A$1039=$A1552)*($D$1016:$D$1039=$D1552)*(K$1016:K$1039) ) )</f>
        <v>0</v>
      </c>
      <c r="L1552" s="1379">
        <f t="array" ref="L1552" xml:space="preserve"> SUM(EF[CH4]*(EF[SATIM Code]= $D1552)) * ( SUM( ($A$768:$A$846=$A1552)*($D$768:$D$846= $D1552)*(L$768:L$846) )  +  SUM( ($A$933:$A$1011=$A1552)*($D$933:$D$1011= $D1552)*(L$933:L$1011) ) + SUM( ($E$1016:$E$1039=$E$1427)*($A$1016:$A$1039=$A1552)*($D$1016:$D$1039=$D1552)*(L$1016:L$1039) ) )</f>
        <v>0</v>
      </c>
      <c r="M1552" s="1379">
        <f t="array" ref="M1552" xml:space="preserve"> SUM(EF[CH4]*(EF[SATIM Code]= $D1552)) * ( SUM( ($A$768:$A$846=$A1552)*($D$768:$D$846= $D1552)*(M$768:M$846) )  +  SUM( ($A$933:$A$1011=$A1552)*($D$933:$D$1011= $D1552)*(M$933:M$1011) ) + SUM( ($E$1016:$E$1039=$E$1427)*($A$1016:$A$1039=$A1552)*($D$1016:$D$1039=$D1552)*(M$1016:M$1039) ) )</f>
        <v>0</v>
      </c>
      <c r="N1552" s="1379">
        <f t="array" ref="N1552" xml:space="preserve"> SUM(EF[CH4]*(EF[SATIM Code]= $D1552)) * ( SUM( ($A$768:$A$846=$A1552)*($D$768:$D$846= $D1552)*(N$768:N$846) )  +  SUM( ($A$933:$A$1011=$A1552)*($D$933:$D$1011= $D1552)*(N$933:N$1011) ) + SUM( ($E$1016:$E$1039=$E$1427)*($A$1016:$A$1039=$A1552)*($D$1016:$D$1039=$D1552)*(N$1016:N$1039) ) )</f>
        <v>0</v>
      </c>
      <c r="O1552" s="1379">
        <f t="array" ref="O1552" xml:space="preserve"> SUM(EF[CH4]*(EF[SATIM Code]= $D1552)) * ( SUM( ($A$768:$A$846=$A1552)*($D$768:$D$846= $D1552)*(O$768:O$846) )  +  SUM( ($A$933:$A$1011=$A1552)*($D$933:$D$1011= $D1552)*(O$933:O$1011) ) + SUM( ($E$1016:$E$1039=$E$1427)*($A$1016:$A$1039=$A1552)*($D$1016:$D$1039=$D1552)*(O$1016:O$1039) ) )</f>
        <v>0</v>
      </c>
    </row>
    <row r="1553" spans="1:15" s="19" customFormat="1" hidden="1" outlineLevel="1">
      <c r="A1553" s="19" t="str">
        <f t="shared" si="299"/>
        <v>CP</v>
      </c>
      <c r="B1553" s="1400" t="str">
        <f>INDEX(EF[UK Vector],MATCH(D1553,EF[SATIM Code],0))</f>
        <v>V.09</v>
      </c>
      <c r="C1553" s="1401" t="str">
        <f>INDEX(Vectors[Description], MATCH($B1553, Vectors[Code], 0))</f>
        <v>Dry biomass and waste</v>
      </c>
      <c r="D1553" s="1406" t="s">
        <v>888</v>
      </c>
      <c r="E1553" s="1393"/>
      <c r="F1553" s="1379">
        <f t="array" ref="F1553" xml:space="preserve"> SUM(EF[CH4]*(EF[SATIM Code]= $D1553)) * ( SUM( ($A$768:$A$846=$A1553)*($D$768:$D$846= $D1553)*(F$768:F$846) )  +  SUM( ($A$933:$A$1011=$A1553)*($D$933:$D$1011= $D1553)*(F$933:F$1011) ) + SUM( ($E$1016:$E$1039=$E$1427)*($A$1016:$A$1039=$A1553)*($D$1016:$D$1039=$D1553)*(F$1016:F$1039) ) )</f>
        <v>0</v>
      </c>
      <c r="G1553" s="1379">
        <f t="array" ref="G1553" xml:space="preserve"> SUM(EF[CH4]*(EF[SATIM Code]= $D1553)) * ( SUM( ($A$768:$A$846=$A1553)*($D$768:$D$846= $D1553)*(G$768:G$846) )  +  SUM( ($A$933:$A$1011=$A1553)*($D$933:$D$1011= $D1553)*(G$933:G$1011) ) + SUM( ($E$1016:$E$1039=$E$1427)*($A$1016:$A$1039=$A1553)*($D$1016:$D$1039=$D1553)*(G$1016:G$1039) ) )</f>
        <v>0</v>
      </c>
      <c r="H1553" s="1379">
        <f t="array" ref="H1553" xml:space="preserve"> SUM(EF[CH4]*(EF[SATIM Code]= $D1553)) * ( SUM( ($A$768:$A$846=$A1553)*($D$768:$D$846= $D1553)*(H$768:H$846) )  +  SUM( ($A$933:$A$1011=$A1553)*($D$933:$D$1011= $D1553)*(H$933:H$1011) ) + SUM( ($E$1016:$E$1039=$E$1427)*($A$1016:$A$1039=$A1553)*($D$1016:$D$1039=$D1553)*(H$1016:H$1039) ) )</f>
        <v>0</v>
      </c>
      <c r="I1553" s="1379">
        <f t="array" ref="I1553" xml:space="preserve"> SUM(EF[CH4]*(EF[SATIM Code]= $D1553)) * ( SUM( ($A$768:$A$846=$A1553)*($D$768:$D$846= $D1553)*(I$768:I$846) )  +  SUM( ($A$933:$A$1011=$A1553)*($D$933:$D$1011= $D1553)*(I$933:I$1011) ) + SUM( ($E$1016:$E$1039=$E$1427)*($A$1016:$A$1039=$A1553)*($D$1016:$D$1039=$D1553)*(I$1016:I$1039) ) )</f>
        <v>0</v>
      </c>
      <c r="J1553" s="1379">
        <f t="array" ref="J1553" xml:space="preserve"> SUM(EF[CH4]*(EF[SATIM Code]= $D1553)) * ( SUM( ($A$768:$A$846=$A1553)*($D$768:$D$846= $D1553)*(J$768:J$846) )  +  SUM( ($A$933:$A$1011=$A1553)*($D$933:$D$1011= $D1553)*(J$933:J$1011) ) + SUM( ($E$1016:$E$1039=$E$1427)*($A$1016:$A$1039=$A1553)*($D$1016:$D$1039=$D1553)*(J$1016:J$1039) ) )</f>
        <v>0</v>
      </c>
      <c r="K1553" s="1379">
        <f t="array" ref="K1553" xml:space="preserve"> SUM(EF[CH4]*(EF[SATIM Code]= $D1553)) * ( SUM( ($A$768:$A$846=$A1553)*($D$768:$D$846= $D1553)*(K$768:K$846) )  +  SUM( ($A$933:$A$1011=$A1553)*($D$933:$D$1011= $D1553)*(K$933:K$1011) ) + SUM( ($E$1016:$E$1039=$E$1427)*($A$1016:$A$1039=$A1553)*($D$1016:$D$1039=$D1553)*(K$1016:K$1039) ) )</f>
        <v>0</v>
      </c>
      <c r="L1553" s="1379">
        <f t="array" ref="L1553" xml:space="preserve"> SUM(EF[CH4]*(EF[SATIM Code]= $D1553)) * ( SUM( ($A$768:$A$846=$A1553)*($D$768:$D$846= $D1553)*(L$768:L$846) )  +  SUM( ($A$933:$A$1011=$A1553)*($D$933:$D$1011= $D1553)*(L$933:L$1011) ) + SUM( ($E$1016:$E$1039=$E$1427)*($A$1016:$A$1039=$A1553)*($D$1016:$D$1039=$D1553)*(L$1016:L$1039) ) )</f>
        <v>0</v>
      </c>
      <c r="M1553" s="1379">
        <f t="array" ref="M1553" xml:space="preserve"> SUM(EF[CH4]*(EF[SATIM Code]= $D1553)) * ( SUM( ($A$768:$A$846=$A1553)*($D$768:$D$846= $D1553)*(M$768:M$846) )  +  SUM( ($A$933:$A$1011=$A1553)*($D$933:$D$1011= $D1553)*(M$933:M$1011) ) + SUM( ($E$1016:$E$1039=$E$1427)*($A$1016:$A$1039=$A1553)*($D$1016:$D$1039=$D1553)*(M$1016:M$1039) ) )</f>
        <v>0</v>
      </c>
      <c r="N1553" s="1379">
        <f t="array" ref="N1553" xml:space="preserve"> SUM(EF[CH4]*(EF[SATIM Code]= $D1553)) * ( SUM( ($A$768:$A$846=$A1553)*($D$768:$D$846= $D1553)*(N$768:N$846) )  +  SUM( ($A$933:$A$1011=$A1553)*($D$933:$D$1011= $D1553)*(N$933:N$1011) ) + SUM( ($E$1016:$E$1039=$E$1427)*($A$1016:$A$1039=$A1553)*($D$1016:$D$1039=$D1553)*(N$1016:N$1039) ) )</f>
        <v>0</v>
      </c>
      <c r="O1553" s="1379">
        <f t="array" ref="O1553" xml:space="preserve"> SUM(EF[CH4]*(EF[SATIM Code]= $D1553)) * ( SUM( ($A$768:$A$846=$A1553)*($D$768:$D$846= $D1553)*(O$768:O$846) )  +  SUM( ($A$933:$A$1011=$A1553)*($D$933:$D$1011= $D1553)*(O$933:O$1011) ) + SUM( ($E$1016:$E$1039=$E$1427)*($A$1016:$A$1039=$A1553)*($D$1016:$D$1039=$D1553)*(O$1016:O$1039) ) )</f>
        <v>0</v>
      </c>
    </row>
    <row r="1554" spans="1:15" s="19" customFormat="1" hidden="1" outlineLevel="1">
      <c r="A1554" s="19" t="str">
        <f t="shared" si="299"/>
        <v>CP</v>
      </c>
      <c r="B1554" s="1400" t="str">
        <f>INDEX(EF[UK Vector],MATCH(D1554,EF[SATIM Code],0))</f>
        <v>V.09</v>
      </c>
      <c r="C1554" s="1401" t="str">
        <f>INDEX(Vectors[Description], MATCH($B1554, Vectors[Code], 0))</f>
        <v>Dry biomass and waste</v>
      </c>
      <c r="D1554" s="1388" t="s">
        <v>889</v>
      </c>
      <c r="E1554" s="1393"/>
      <c r="F1554" s="1379">
        <f t="array" ref="F1554" xml:space="preserve"> SUM(EF[CH4]*(EF[SATIM Code]= $D1554)) * ( SUM( ($A$768:$A$846=$A1554)*($D$768:$D$846= $D1554)*(F$768:F$846) )  +  SUM( ($A$933:$A$1011=$A1554)*($D$933:$D$1011= $D1554)*(F$933:F$1011) ) + SUM( ($E$1016:$E$1039=$E$1427)*($A$1016:$A$1039=$A1554)*($D$1016:$D$1039=$D1554)*(F$1016:F$1039) ) )</f>
        <v>0</v>
      </c>
      <c r="G1554" s="1379">
        <f t="array" ref="G1554" xml:space="preserve"> SUM(EF[CH4]*(EF[SATIM Code]= $D1554)) * ( SUM( ($A$768:$A$846=$A1554)*($D$768:$D$846= $D1554)*(G$768:G$846) )  +  SUM( ($A$933:$A$1011=$A1554)*($D$933:$D$1011= $D1554)*(G$933:G$1011) ) + SUM( ($E$1016:$E$1039=$E$1427)*($A$1016:$A$1039=$A1554)*($D$1016:$D$1039=$D1554)*(G$1016:G$1039) ) )</f>
        <v>0</v>
      </c>
      <c r="H1554" s="1379">
        <f t="array" ref="H1554" xml:space="preserve"> SUM(EF[CH4]*(EF[SATIM Code]= $D1554)) * ( SUM( ($A$768:$A$846=$A1554)*($D$768:$D$846= $D1554)*(H$768:H$846) )  +  SUM( ($A$933:$A$1011=$A1554)*($D$933:$D$1011= $D1554)*(H$933:H$1011) ) + SUM( ($E$1016:$E$1039=$E$1427)*($A$1016:$A$1039=$A1554)*($D$1016:$D$1039=$D1554)*(H$1016:H$1039) ) )</f>
        <v>0</v>
      </c>
      <c r="I1554" s="1379">
        <f t="array" ref="I1554" xml:space="preserve"> SUM(EF[CH4]*(EF[SATIM Code]= $D1554)) * ( SUM( ($A$768:$A$846=$A1554)*($D$768:$D$846= $D1554)*(I$768:I$846) )  +  SUM( ($A$933:$A$1011=$A1554)*($D$933:$D$1011= $D1554)*(I$933:I$1011) ) + SUM( ($E$1016:$E$1039=$E$1427)*($A$1016:$A$1039=$A1554)*($D$1016:$D$1039=$D1554)*(I$1016:I$1039) ) )</f>
        <v>0</v>
      </c>
      <c r="J1554" s="1379">
        <f t="array" ref="J1554" xml:space="preserve"> SUM(EF[CH4]*(EF[SATIM Code]= $D1554)) * ( SUM( ($A$768:$A$846=$A1554)*($D$768:$D$846= $D1554)*(J$768:J$846) )  +  SUM( ($A$933:$A$1011=$A1554)*($D$933:$D$1011= $D1554)*(J$933:J$1011) ) + SUM( ($E$1016:$E$1039=$E$1427)*($A$1016:$A$1039=$A1554)*($D$1016:$D$1039=$D1554)*(J$1016:J$1039) ) )</f>
        <v>0</v>
      </c>
      <c r="K1554" s="1379">
        <f t="array" ref="K1554" xml:space="preserve"> SUM(EF[CH4]*(EF[SATIM Code]= $D1554)) * ( SUM( ($A$768:$A$846=$A1554)*($D$768:$D$846= $D1554)*(K$768:K$846) )  +  SUM( ($A$933:$A$1011=$A1554)*($D$933:$D$1011= $D1554)*(K$933:K$1011) ) + SUM( ($E$1016:$E$1039=$E$1427)*($A$1016:$A$1039=$A1554)*($D$1016:$D$1039=$D1554)*(K$1016:K$1039) ) )</f>
        <v>0</v>
      </c>
      <c r="L1554" s="1379">
        <f t="array" ref="L1554" xml:space="preserve"> SUM(EF[CH4]*(EF[SATIM Code]= $D1554)) * ( SUM( ($A$768:$A$846=$A1554)*($D$768:$D$846= $D1554)*(L$768:L$846) )  +  SUM( ($A$933:$A$1011=$A1554)*($D$933:$D$1011= $D1554)*(L$933:L$1011) ) + SUM( ($E$1016:$E$1039=$E$1427)*($A$1016:$A$1039=$A1554)*($D$1016:$D$1039=$D1554)*(L$1016:L$1039) ) )</f>
        <v>0</v>
      </c>
      <c r="M1554" s="1379">
        <f t="array" ref="M1554" xml:space="preserve"> SUM(EF[CH4]*(EF[SATIM Code]= $D1554)) * ( SUM( ($A$768:$A$846=$A1554)*($D$768:$D$846= $D1554)*(M$768:M$846) )  +  SUM( ($A$933:$A$1011=$A1554)*($D$933:$D$1011= $D1554)*(M$933:M$1011) ) + SUM( ($E$1016:$E$1039=$E$1427)*($A$1016:$A$1039=$A1554)*($D$1016:$D$1039=$D1554)*(M$1016:M$1039) ) )</f>
        <v>0</v>
      </c>
      <c r="N1554" s="1379">
        <f t="array" ref="N1554" xml:space="preserve"> SUM(EF[CH4]*(EF[SATIM Code]= $D1554)) * ( SUM( ($A$768:$A$846=$A1554)*($D$768:$D$846= $D1554)*(N$768:N$846) )  +  SUM( ($A$933:$A$1011=$A1554)*($D$933:$D$1011= $D1554)*(N$933:N$1011) ) + SUM( ($E$1016:$E$1039=$E$1427)*($A$1016:$A$1039=$A1554)*($D$1016:$D$1039=$D1554)*(N$1016:N$1039) ) )</f>
        <v>0</v>
      </c>
      <c r="O1554" s="1379">
        <f t="array" ref="O1554" xml:space="preserve"> SUM(EF[CH4]*(EF[SATIM Code]= $D1554)) * ( SUM( ($A$768:$A$846=$A1554)*($D$768:$D$846= $D1554)*(O$768:O$846) )  +  SUM( ($A$933:$A$1011=$A1554)*($D$933:$D$1011= $D1554)*(O$933:O$1011) ) + SUM( ($E$1016:$E$1039=$E$1427)*($A$1016:$A$1039=$A1554)*($D$1016:$D$1039=$D1554)*(O$1016:O$1039) ) )</f>
        <v>0</v>
      </c>
    </row>
    <row r="1555" spans="1:15" s="19" customFormat="1" hidden="1" outlineLevel="1">
      <c r="A1555" s="19" t="str">
        <f t="shared" si="299"/>
        <v>CP</v>
      </c>
      <c r="B1555" s="1400" t="str">
        <f>INDEX(EF[UK Vector],MATCH(D1555,EF[SATIM Code],0))</f>
        <v>V.16</v>
      </c>
      <c r="C1555" s="1401" t="str">
        <f>INDEX(Vectors[Description], MATCH($B1555, Vectors[Code], 0))</f>
        <v>Other Waste</v>
      </c>
      <c r="D1555" s="1408" t="s">
        <v>890</v>
      </c>
      <c r="E1555" s="1393"/>
      <c r="F1555" s="1379">
        <f t="array" ref="F1555" xml:space="preserve"> SUM(EF[CH4]*(EF[SATIM Code]= $D1555)) * ( SUM( ($A$768:$A$846=$A1555)*($D$768:$D$846= $D1555)*(F$768:F$846) )  +  SUM( ($A$933:$A$1011=$A1555)*($D$933:$D$1011= $D1555)*(F$933:F$1011) ) + SUM( ($E$1016:$E$1039=$E$1427)*($A$1016:$A$1039=$A1555)*($D$1016:$D$1039=$D1555)*(F$1016:F$1039) ) )</f>
        <v>0</v>
      </c>
      <c r="G1555" s="1379">
        <f t="array" ref="G1555" xml:space="preserve"> SUM(EF[CH4]*(EF[SATIM Code]= $D1555)) * ( SUM( ($A$768:$A$846=$A1555)*($D$768:$D$846= $D1555)*(G$768:G$846) )  +  SUM( ($A$933:$A$1011=$A1555)*($D$933:$D$1011= $D1555)*(G$933:G$1011) ) + SUM( ($E$1016:$E$1039=$E$1427)*($A$1016:$A$1039=$A1555)*($D$1016:$D$1039=$D1555)*(G$1016:G$1039) ) )</f>
        <v>0</v>
      </c>
      <c r="H1555" s="1379">
        <f t="array" ref="H1555" xml:space="preserve"> SUM(EF[CH4]*(EF[SATIM Code]= $D1555)) * ( SUM( ($A$768:$A$846=$A1555)*($D$768:$D$846= $D1555)*(H$768:H$846) )  +  SUM( ($A$933:$A$1011=$A1555)*($D$933:$D$1011= $D1555)*(H$933:H$1011) ) + SUM( ($E$1016:$E$1039=$E$1427)*($A$1016:$A$1039=$A1555)*($D$1016:$D$1039=$D1555)*(H$1016:H$1039) ) )</f>
        <v>0</v>
      </c>
      <c r="I1555" s="1379">
        <f t="array" ref="I1555" xml:space="preserve"> SUM(EF[CH4]*(EF[SATIM Code]= $D1555)) * ( SUM( ($A$768:$A$846=$A1555)*($D$768:$D$846= $D1555)*(I$768:I$846) )  +  SUM( ($A$933:$A$1011=$A1555)*($D$933:$D$1011= $D1555)*(I$933:I$1011) ) + SUM( ($E$1016:$E$1039=$E$1427)*($A$1016:$A$1039=$A1555)*($D$1016:$D$1039=$D1555)*(I$1016:I$1039) ) )</f>
        <v>0</v>
      </c>
      <c r="J1555" s="1379">
        <f t="array" ref="J1555" xml:space="preserve"> SUM(EF[CH4]*(EF[SATIM Code]= $D1555)) * ( SUM( ($A$768:$A$846=$A1555)*($D$768:$D$846= $D1555)*(J$768:J$846) )  +  SUM( ($A$933:$A$1011=$A1555)*($D$933:$D$1011= $D1555)*(J$933:J$1011) ) + SUM( ($E$1016:$E$1039=$E$1427)*($A$1016:$A$1039=$A1555)*($D$1016:$D$1039=$D1555)*(J$1016:J$1039) ) )</f>
        <v>0</v>
      </c>
      <c r="K1555" s="1379">
        <f t="array" ref="K1555" xml:space="preserve"> SUM(EF[CH4]*(EF[SATIM Code]= $D1555)) * ( SUM( ($A$768:$A$846=$A1555)*($D$768:$D$846= $D1555)*(K$768:K$846) )  +  SUM( ($A$933:$A$1011=$A1555)*($D$933:$D$1011= $D1555)*(K$933:K$1011) ) + SUM( ($E$1016:$E$1039=$E$1427)*($A$1016:$A$1039=$A1555)*($D$1016:$D$1039=$D1555)*(K$1016:K$1039) ) )</f>
        <v>0</v>
      </c>
      <c r="L1555" s="1379">
        <f t="array" ref="L1555" xml:space="preserve"> SUM(EF[CH4]*(EF[SATIM Code]= $D1555)) * ( SUM( ($A$768:$A$846=$A1555)*($D$768:$D$846= $D1555)*(L$768:L$846) )  +  SUM( ($A$933:$A$1011=$A1555)*($D$933:$D$1011= $D1555)*(L$933:L$1011) ) + SUM( ($E$1016:$E$1039=$E$1427)*($A$1016:$A$1039=$A1555)*($D$1016:$D$1039=$D1555)*(L$1016:L$1039) ) )</f>
        <v>0</v>
      </c>
      <c r="M1555" s="1379">
        <f t="array" ref="M1555" xml:space="preserve"> SUM(EF[CH4]*(EF[SATIM Code]= $D1555)) * ( SUM( ($A$768:$A$846=$A1555)*($D$768:$D$846= $D1555)*(M$768:M$846) )  +  SUM( ($A$933:$A$1011=$A1555)*($D$933:$D$1011= $D1555)*(M$933:M$1011) ) + SUM( ($E$1016:$E$1039=$E$1427)*($A$1016:$A$1039=$A1555)*($D$1016:$D$1039=$D1555)*(M$1016:M$1039) ) )</f>
        <v>0</v>
      </c>
      <c r="N1555" s="1379">
        <f t="array" ref="N1555" xml:space="preserve"> SUM(EF[CH4]*(EF[SATIM Code]= $D1555)) * ( SUM( ($A$768:$A$846=$A1555)*($D$768:$D$846= $D1555)*(N$768:N$846) )  +  SUM( ($A$933:$A$1011=$A1555)*($D$933:$D$1011= $D1555)*(N$933:N$1011) ) + SUM( ($E$1016:$E$1039=$E$1427)*($A$1016:$A$1039=$A1555)*($D$1016:$D$1039=$D1555)*(N$1016:N$1039) ) )</f>
        <v>0</v>
      </c>
      <c r="O1555" s="1379">
        <f t="array" ref="O1555" xml:space="preserve"> SUM(EF[CH4]*(EF[SATIM Code]= $D1555)) * ( SUM( ($A$768:$A$846=$A1555)*($D$768:$D$846= $D1555)*(O$768:O$846) )  +  SUM( ($A$933:$A$1011=$A1555)*($D$933:$D$1011= $D1555)*(O$933:O$1011) ) + SUM( ($E$1016:$E$1039=$E$1427)*($A$1016:$A$1039=$A1555)*($D$1016:$D$1039=$D1555)*(O$1016:O$1039) ) )</f>
        <v>0</v>
      </c>
    </row>
    <row r="1556" spans="1:15" s="19" customFormat="1" hidden="1" outlineLevel="1">
      <c r="B1556" s="1393"/>
      <c r="C1556" s="1407" t="str">
        <f>D23</f>
        <v>Non-Ferrous metals  - 352</v>
      </c>
      <c r="D1556" s="1391"/>
      <c r="E1556" s="1393"/>
      <c r="F1556" s="1379">
        <f t="array" ref="F1556" xml:space="preserve"> SUM(EF[CH4]*(EF[SATIM Code]= $D1556)) * ( SUM( ($A$768:$A$846=$A1556)*($D$768:$D$846= $D1556)*(F$768:F$846) )  +  SUM( ($A$933:$A$1011=$A1556)*($D$933:$D$1011= $D1556)*(F$933:F$1011) ) + SUM( ($E$1016:$E$1039=$E$1427)*($A$1016:$A$1039=$A1556)*($D$1016:$D$1039=$D1556)*(F$1016:F$1039) ) )</f>
        <v>0</v>
      </c>
      <c r="G1556" s="1379">
        <f t="array" ref="G1556" xml:space="preserve"> SUM(EF[CH4]*(EF[SATIM Code]= $D1556)) * ( SUM( ($A$768:$A$846=$A1556)*($D$768:$D$846= $D1556)*(G$768:G$846) )  +  SUM( ($A$933:$A$1011=$A1556)*($D$933:$D$1011= $D1556)*(G$933:G$1011) ) + SUM( ($E$1016:$E$1039=$E$1427)*($A$1016:$A$1039=$A1556)*($D$1016:$D$1039=$D1556)*(G$1016:G$1039) ) )</f>
        <v>0</v>
      </c>
      <c r="H1556" s="1379">
        <f t="array" ref="H1556" xml:space="preserve"> SUM(EF[CH4]*(EF[SATIM Code]= $D1556)) * ( SUM( ($A$768:$A$846=$A1556)*($D$768:$D$846= $D1556)*(H$768:H$846) )  +  SUM( ($A$933:$A$1011=$A1556)*($D$933:$D$1011= $D1556)*(H$933:H$1011) ) + SUM( ($E$1016:$E$1039=$E$1427)*($A$1016:$A$1039=$A1556)*($D$1016:$D$1039=$D1556)*(H$1016:H$1039) ) )</f>
        <v>0</v>
      </c>
      <c r="I1556" s="1379">
        <f t="array" ref="I1556" xml:space="preserve"> SUM(EF[CH4]*(EF[SATIM Code]= $D1556)) * ( SUM( ($A$768:$A$846=$A1556)*($D$768:$D$846= $D1556)*(I$768:I$846) )  +  SUM( ($A$933:$A$1011=$A1556)*($D$933:$D$1011= $D1556)*(I$933:I$1011) ) + SUM( ($E$1016:$E$1039=$E$1427)*($A$1016:$A$1039=$A1556)*($D$1016:$D$1039=$D1556)*(I$1016:I$1039) ) )</f>
        <v>0</v>
      </c>
      <c r="J1556" s="1379">
        <f t="array" ref="J1556" xml:space="preserve"> SUM(EF[CH4]*(EF[SATIM Code]= $D1556)) * ( SUM( ($A$768:$A$846=$A1556)*($D$768:$D$846= $D1556)*(J$768:J$846) )  +  SUM( ($A$933:$A$1011=$A1556)*($D$933:$D$1011= $D1556)*(J$933:J$1011) ) + SUM( ($E$1016:$E$1039=$E$1427)*($A$1016:$A$1039=$A1556)*($D$1016:$D$1039=$D1556)*(J$1016:J$1039) ) )</f>
        <v>0</v>
      </c>
      <c r="K1556" s="1379">
        <f t="array" ref="K1556" xml:space="preserve"> SUM(EF[CH4]*(EF[SATIM Code]= $D1556)) * ( SUM( ($A$768:$A$846=$A1556)*($D$768:$D$846= $D1556)*(K$768:K$846) )  +  SUM( ($A$933:$A$1011=$A1556)*($D$933:$D$1011= $D1556)*(K$933:K$1011) ) + SUM( ($E$1016:$E$1039=$E$1427)*($A$1016:$A$1039=$A1556)*($D$1016:$D$1039=$D1556)*(K$1016:K$1039) ) )</f>
        <v>0</v>
      </c>
      <c r="L1556" s="1379">
        <f t="array" ref="L1556" xml:space="preserve"> SUM(EF[CH4]*(EF[SATIM Code]= $D1556)) * ( SUM( ($A$768:$A$846=$A1556)*($D$768:$D$846= $D1556)*(L$768:L$846) )  +  SUM( ($A$933:$A$1011=$A1556)*($D$933:$D$1011= $D1556)*(L$933:L$1011) ) + SUM( ($E$1016:$E$1039=$E$1427)*($A$1016:$A$1039=$A1556)*($D$1016:$D$1039=$D1556)*(L$1016:L$1039) ) )</f>
        <v>0</v>
      </c>
      <c r="M1556" s="1379">
        <f t="array" ref="M1556" xml:space="preserve"> SUM(EF[CH4]*(EF[SATIM Code]= $D1556)) * ( SUM( ($A$768:$A$846=$A1556)*($D$768:$D$846= $D1556)*(M$768:M$846) )  +  SUM( ($A$933:$A$1011=$A1556)*($D$933:$D$1011= $D1556)*(M$933:M$1011) ) + SUM( ($E$1016:$E$1039=$E$1427)*($A$1016:$A$1039=$A1556)*($D$1016:$D$1039=$D1556)*(M$1016:M$1039) ) )</f>
        <v>0</v>
      </c>
      <c r="N1556" s="1379">
        <f t="array" ref="N1556" xml:space="preserve"> SUM(EF[CH4]*(EF[SATIM Code]= $D1556)) * ( SUM( ($A$768:$A$846=$A1556)*($D$768:$D$846= $D1556)*(N$768:N$846) )  +  SUM( ($A$933:$A$1011=$A1556)*($D$933:$D$1011= $D1556)*(N$933:N$1011) ) + SUM( ($E$1016:$E$1039=$E$1427)*($A$1016:$A$1039=$A1556)*($D$1016:$D$1039=$D1556)*(N$1016:N$1039) ) )</f>
        <v>0</v>
      </c>
      <c r="O1556" s="1379">
        <f t="array" ref="O1556" xml:space="preserve"> SUM(EF[CH4]*(EF[SATIM Code]= $D1556)) * ( SUM( ($A$768:$A$846=$A1556)*($D$768:$D$846= $D1556)*(O$768:O$846) )  +  SUM( ($A$933:$A$1011=$A1556)*($D$933:$D$1011= $D1556)*(O$933:O$1011) ) + SUM( ($E$1016:$E$1039=$E$1427)*($A$1016:$A$1039=$A1556)*($D$1016:$D$1039=$D1556)*(O$1016:O$1039) ) )</f>
        <v>0</v>
      </c>
    </row>
    <row r="1557" spans="1:15" s="19" customFormat="1" hidden="1" outlineLevel="1">
      <c r="A1557" s="1438" t="str">
        <f>INDEX($C$20:$C$27,MATCH($C1556,$D$20:$D$27,0))</f>
        <v>NF</v>
      </c>
      <c r="B1557" s="1400" t="str">
        <f>INDEX(EF[UK Vector],MATCH(D1557,EF[SATIM Code],0))</f>
        <v>V.03</v>
      </c>
      <c r="C1557" s="1401" t="str">
        <f>INDEX(Vectors[Description], MATCH($B1557, Vectors[Code], 0))</f>
        <v>Solid hydrocarbons</v>
      </c>
      <c r="D1557" s="1391" t="s">
        <v>882</v>
      </c>
      <c r="E1557" s="1393"/>
      <c r="F1557" s="1379">
        <f t="array" ref="F1557" xml:space="preserve"> SUM(EF[CH4]*(EF[SATIM Code]= $D1557)) * ( SUM( ($A$768:$A$846=$A1557)*($D$768:$D$846= $D1557)*(F$768:F$846) )  +  SUM( ($A$933:$A$1011=$A1557)*($D$933:$D$1011= $D1557)*(F$933:F$1011) ) + SUM( ($E$1016:$E$1039=$E$1427)*($A$1016:$A$1039=$A1557)*($D$1016:$D$1039=$D1557)*(F$1016:F$1039) ) )</f>
        <v>1.7009999999999995E-5</v>
      </c>
      <c r="G1557" s="1379">
        <f t="array" ref="G1557" xml:space="preserve"> SUM(EF[CH4]*(EF[SATIM Code]= $D1557)) * ( SUM( ($A$768:$A$846=$A1557)*($D$768:$D$846= $D1557)*(G$768:G$846) )  +  SUM( ($A$933:$A$1011=$A1557)*($D$933:$D$1011= $D1557)*(G$933:G$1011) ) + SUM( ($E$1016:$E$1039=$E$1427)*($A$1016:$A$1039=$A1557)*($D$1016:$D$1039=$D1557)*(G$1016:G$1039) ) )</f>
        <v>1.9708209614790577E-5</v>
      </c>
      <c r="H1557" s="1379">
        <f t="array" ref="H1557" xml:space="preserve"> SUM(EF[CH4]*(EF[SATIM Code]= $D1557)) * ( SUM( ($A$768:$A$846=$A1557)*($D$768:$D$846= $D1557)*(H$768:H$846) )  +  SUM( ($A$933:$A$1011=$A1557)*($D$933:$D$1011= $D1557)*(H$933:H$1011) ) + SUM( ($E$1016:$E$1039=$E$1427)*($A$1016:$A$1039=$A1557)*($D$1016:$D$1039=$D1557)*(H$1016:H$1039) ) )</f>
        <v>2.4504051031117664E-5</v>
      </c>
      <c r="I1557" s="1379">
        <f t="array" ref="I1557" xml:space="preserve"> SUM(EF[CH4]*(EF[SATIM Code]= $D1557)) * ( SUM( ($A$768:$A$846=$A1557)*($D$768:$D$846= $D1557)*(I$768:I$846) )  +  SUM( ($A$933:$A$1011=$A1557)*($D$933:$D$1011= $D1557)*(I$933:I$1011) ) + SUM( ($E$1016:$E$1039=$E$1427)*($A$1016:$A$1039=$A1557)*($D$1016:$D$1039=$D1557)*(I$1016:I$1039) ) )</f>
        <v>2.9299892447444753E-5</v>
      </c>
      <c r="J1557" s="1379">
        <f t="array" ref="J1557" xml:space="preserve"> SUM(EF[CH4]*(EF[SATIM Code]= $D1557)) * ( SUM( ($A$768:$A$846=$A1557)*($D$768:$D$846= $D1557)*(J$768:J$846) )  +  SUM( ($A$933:$A$1011=$A1557)*($D$933:$D$1011= $D1557)*(J$933:J$1011) ) + SUM( ($E$1016:$E$1039=$E$1427)*($A$1016:$A$1039=$A1557)*($D$1016:$D$1039=$D1557)*(J$1016:J$1039) ) )</f>
        <v>3.6056906030920396E-5</v>
      </c>
      <c r="K1557" s="1379">
        <f t="array" ref="K1557" xml:space="preserve"> SUM(EF[CH4]*(EF[SATIM Code]= $D1557)) * ( SUM( ($A$768:$A$846=$A1557)*($D$768:$D$846= $D1557)*(K$768:K$846) )  +  SUM( ($A$933:$A$1011=$A1557)*($D$933:$D$1011= $D1557)*(K$933:K$1011) ) + SUM( ($E$1016:$E$1039=$E$1427)*($A$1016:$A$1039=$A1557)*($D$1016:$D$1039=$D1557)*(K$1016:K$1039) ) )</f>
        <v>4.2813919614396031E-5</v>
      </c>
      <c r="L1557" s="1379">
        <f t="array" ref="L1557" xml:space="preserve"> SUM(EF[CH4]*(EF[SATIM Code]= $D1557)) * ( SUM( ($A$768:$A$846=$A1557)*($D$768:$D$846= $D1557)*(L$768:L$846) )  +  SUM( ($A$933:$A$1011=$A1557)*($D$933:$D$1011= $D1557)*(L$933:L$1011) ) + SUM( ($E$1016:$E$1039=$E$1427)*($A$1016:$A$1039=$A1557)*($D$1016:$D$1039=$D1557)*(L$1016:L$1039) ) )</f>
        <v>5.2645110997773596E-5</v>
      </c>
      <c r="M1557" s="1379">
        <f t="array" ref="M1557" xml:space="preserve"> SUM(EF[CH4]*(EF[SATIM Code]= $D1557)) * ( SUM( ($A$768:$A$846=$A1557)*($D$768:$D$846= $D1557)*(M$768:M$846) )  +  SUM( ($A$933:$A$1011=$A1557)*($D$933:$D$1011= $D1557)*(M$933:M$1011) ) + SUM( ($E$1016:$E$1039=$E$1427)*($A$1016:$A$1039=$A1557)*($D$1016:$D$1039=$D1557)*(M$1016:M$1039) ) )</f>
        <v>6.2476302381151168E-5</v>
      </c>
      <c r="N1557" s="1379">
        <f t="array" ref="N1557" xml:space="preserve"> SUM(EF[CH4]*(EF[SATIM Code]= $D1557)) * ( SUM( ($A$768:$A$846=$A1557)*($D$768:$D$846= $D1557)*(N$768:N$846) )  +  SUM( ($A$933:$A$1011=$A1557)*($D$933:$D$1011= $D1557)*(N$933:N$1011) ) + SUM( ($E$1016:$E$1039=$E$1427)*($A$1016:$A$1039=$A1557)*($D$1016:$D$1039=$D1557)*(N$1016:N$1039) ) )</f>
        <v>7.3430573076858774E-5</v>
      </c>
      <c r="O1557" s="1379">
        <f t="array" ref="O1557" xml:space="preserve"> SUM(EF[CH4]*(EF[SATIM Code]= $D1557)) * ( SUM( ($A$768:$A$846=$A1557)*($D$768:$D$846= $D1557)*(O$768:O$846) )  +  SUM( ($A$933:$A$1011=$A1557)*($D$933:$D$1011= $D1557)*(O$933:O$1011) ) + SUM( ($E$1016:$E$1039=$E$1427)*($A$1016:$A$1039=$A1557)*($D$1016:$D$1039=$D1557)*(O$1016:O$1039) ) )</f>
        <v>8.4384843772566367E-5</v>
      </c>
    </row>
    <row r="1558" spans="1:15" s="19" customFormat="1" hidden="1" outlineLevel="1">
      <c r="A1558" s="19" t="str">
        <f t="shared" ref="A1558:A1565" si="300">A1557</f>
        <v>NF</v>
      </c>
      <c r="B1558" s="1400" t="str">
        <f>INDEX(EF[UK Vector],MATCH(D1558,EF[SATIM Code],0))</f>
        <v>V.03</v>
      </c>
      <c r="C1558" s="1401" t="str">
        <f>INDEX(Vectors[Description], MATCH($B1558, Vectors[Code], 0))</f>
        <v>Solid hydrocarbons</v>
      </c>
      <c r="D1558" s="1391" t="s">
        <v>883</v>
      </c>
      <c r="E1558" s="1401"/>
      <c r="F1558" s="1379">
        <f t="array" ref="F1558" xml:space="preserve"> SUM(EF[CH4]*(EF[SATIM Code]= $D1558)) * ( SUM( ($A$768:$A$846=$A1558)*($D$768:$D$846= $D1558)*(F$768:F$846) )  +  SUM( ($A$933:$A$1011=$A1558)*($D$933:$D$1011= $D1558)*(F$933:F$1011) ) + SUM( ($E$1016:$E$1039=$E$1427)*($A$1016:$A$1039=$A1558)*($D$1016:$D$1039=$D1558)*(F$1016:F$1039) ) )</f>
        <v>0</v>
      </c>
      <c r="G1558" s="1379">
        <f t="array" ref="G1558" xml:space="preserve"> SUM(EF[CH4]*(EF[SATIM Code]= $D1558)) * ( SUM( ($A$768:$A$846=$A1558)*($D$768:$D$846= $D1558)*(G$768:G$846) )  +  SUM( ($A$933:$A$1011=$A1558)*($D$933:$D$1011= $D1558)*(G$933:G$1011) ) + SUM( ($E$1016:$E$1039=$E$1427)*($A$1016:$A$1039=$A1558)*($D$1016:$D$1039=$D1558)*(G$1016:G$1039) ) )</f>
        <v>0</v>
      </c>
      <c r="H1558" s="1379">
        <f t="array" ref="H1558" xml:space="preserve"> SUM(EF[CH4]*(EF[SATIM Code]= $D1558)) * ( SUM( ($A$768:$A$846=$A1558)*($D$768:$D$846= $D1558)*(H$768:H$846) )  +  SUM( ($A$933:$A$1011=$A1558)*($D$933:$D$1011= $D1558)*(H$933:H$1011) ) + SUM( ($E$1016:$E$1039=$E$1427)*($A$1016:$A$1039=$A1558)*($D$1016:$D$1039=$D1558)*(H$1016:H$1039) ) )</f>
        <v>0</v>
      </c>
      <c r="I1558" s="1379">
        <f t="array" ref="I1558" xml:space="preserve"> SUM(EF[CH4]*(EF[SATIM Code]= $D1558)) * ( SUM( ($A$768:$A$846=$A1558)*($D$768:$D$846= $D1558)*(I$768:I$846) )  +  SUM( ($A$933:$A$1011=$A1558)*($D$933:$D$1011= $D1558)*(I$933:I$1011) ) + SUM( ($E$1016:$E$1039=$E$1427)*($A$1016:$A$1039=$A1558)*($D$1016:$D$1039=$D1558)*(I$1016:I$1039) ) )</f>
        <v>0</v>
      </c>
      <c r="J1558" s="1379">
        <f t="array" ref="J1558" xml:space="preserve"> SUM(EF[CH4]*(EF[SATIM Code]= $D1558)) * ( SUM( ($A$768:$A$846=$A1558)*($D$768:$D$846= $D1558)*(J$768:J$846) )  +  SUM( ($A$933:$A$1011=$A1558)*($D$933:$D$1011= $D1558)*(J$933:J$1011) ) + SUM( ($E$1016:$E$1039=$E$1427)*($A$1016:$A$1039=$A1558)*($D$1016:$D$1039=$D1558)*(J$1016:J$1039) ) )</f>
        <v>0</v>
      </c>
      <c r="K1558" s="1379">
        <f t="array" ref="K1558" xml:space="preserve"> SUM(EF[CH4]*(EF[SATIM Code]= $D1558)) * ( SUM( ($A$768:$A$846=$A1558)*($D$768:$D$846= $D1558)*(K$768:K$846) )  +  SUM( ($A$933:$A$1011=$A1558)*($D$933:$D$1011= $D1558)*(K$933:K$1011) ) + SUM( ($E$1016:$E$1039=$E$1427)*($A$1016:$A$1039=$A1558)*($D$1016:$D$1039=$D1558)*(K$1016:K$1039) ) )</f>
        <v>0</v>
      </c>
      <c r="L1558" s="1379">
        <f t="array" ref="L1558" xml:space="preserve"> SUM(EF[CH4]*(EF[SATIM Code]= $D1558)) * ( SUM( ($A$768:$A$846=$A1558)*($D$768:$D$846= $D1558)*(L$768:L$846) )  +  SUM( ($A$933:$A$1011=$A1558)*($D$933:$D$1011= $D1558)*(L$933:L$1011) ) + SUM( ($E$1016:$E$1039=$E$1427)*($A$1016:$A$1039=$A1558)*($D$1016:$D$1039=$D1558)*(L$1016:L$1039) ) )</f>
        <v>0</v>
      </c>
      <c r="M1558" s="1379">
        <f t="array" ref="M1558" xml:space="preserve"> SUM(EF[CH4]*(EF[SATIM Code]= $D1558)) * ( SUM( ($A$768:$A$846=$A1558)*($D$768:$D$846= $D1558)*(M$768:M$846) )  +  SUM( ($A$933:$A$1011=$A1558)*($D$933:$D$1011= $D1558)*(M$933:M$1011) ) + SUM( ($E$1016:$E$1039=$E$1427)*($A$1016:$A$1039=$A1558)*($D$1016:$D$1039=$D1558)*(M$1016:M$1039) ) )</f>
        <v>0</v>
      </c>
      <c r="N1558" s="1379">
        <f t="array" ref="N1558" xml:space="preserve"> SUM(EF[CH4]*(EF[SATIM Code]= $D1558)) * ( SUM( ($A$768:$A$846=$A1558)*($D$768:$D$846= $D1558)*(N$768:N$846) )  +  SUM( ($A$933:$A$1011=$A1558)*($D$933:$D$1011= $D1558)*(N$933:N$1011) ) + SUM( ($E$1016:$E$1039=$E$1427)*($A$1016:$A$1039=$A1558)*($D$1016:$D$1039=$D1558)*(N$1016:N$1039) ) )</f>
        <v>0</v>
      </c>
      <c r="O1558" s="1379">
        <f t="array" ref="O1558" xml:space="preserve"> SUM(EF[CH4]*(EF[SATIM Code]= $D1558)) * ( SUM( ($A$768:$A$846=$A1558)*($D$768:$D$846= $D1558)*(O$768:O$846) )  +  SUM( ($A$933:$A$1011=$A1558)*($D$933:$D$1011= $D1558)*(O$933:O$1011) ) + SUM( ($E$1016:$E$1039=$E$1427)*($A$1016:$A$1039=$A1558)*($D$1016:$D$1039=$D1558)*(O$1016:O$1039) ) )</f>
        <v>0</v>
      </c>
    </row>
    <row r="1559" spans="1:15" s="19" customFormat="1" hidden="1" outlineLevel="1">
      <c r="A1559" s="19" t="str">
        <f t="shared" si="300"/>
        <v>NF</v>
      </c>
      <c r="B1559" s="1400" t="str">
        <f>INDEX(EF[UK Vector],MATCH(D1559,EF[SATIM Code],0))</f>
        <v>V.05</v>
      </c>
      <c r="C1559" s="1401" t="str">
        <f>INDEX(Vectors[Description], MATCH($B1559, Vectors[Code], 0))</f>
        <v>Gaseous hydrocarbons</v>
      </c>
      <c r="D1559" s="1406" t="s">
        <v>869</v>
      </c>
      <c r="E1559" s="1393"/>
      <c r="F1559" s="1379">
        <f t="array" ref="F1559" xml:space="preserve"> SUM(EF[CH4]*(EF[SATIM Code]= $D1559)) * ( SUM( ($A$768:$A$846=$A1559)*($D$768:$D$846= $D1559)*(F$768:F$846) )  +  SUM( ($A$933:$A$1011=$A1559)*($D$933:$D$1011= $D1559)*(F$933:F$1011) ) + SUM( ($E$1016:$E$1039=$E$1427)*($A$1016:$A$1039=$A1559)*($D$1016:$D$1039=$D1559)*(F$1016:F$1039) ) )</f>
        <v>0</v>
      </c>
      <c r="G1559" s="1379">
        <f t="array" ref="G1559" xml:space="preserve"> SUM(EF[CH4]*(EF[SATIM Code]= $D1559)) * ( SUM( ($A$768:$A$846=$A1559)*($D$768:$D$846= $D1559)*(G$768:G$846) )  +  SUM( ($A$933:$A$1011=$A1559)*($D$933:$D$1011= $D1559)*(G$933:G$1011) ) + SUM( ($E$1016:$E$1039=$E$1427)*($A$1016:$A$1039=$A1559)*($D$1016:$D$1039=$D1559)*(G$1016:G$1039) ) )</f>
        <v>0</v>
      </c>
      <c r="H1559" s="1379">
        <f t="array" ref="H1559" xml:space="preserve"> SUM(EF[CH4]*(EF[SATIM Code]= $D1559)) * ( SUM( ($A$768:$A$846=$A1559)*($D$768:$D$846= $D1559)*(H$768:H$846) )  +  SUM( ($A$933:$A$1011=$A1559)*($D$933:$D$1011= $D1559)*(H$933:H$1011) ) + SUM( ($E$1016:$E$1039=$E$1427)*($A$1016:$A$1039=$A1559)*($D$1016:$D$1039=$D1559)*(H$1016:H$1039) ) )</f>
        <v>0</v>
      </c>
      <c r="I1559" s="1379">
        <f t="array" ref="I1559" xml:space="preserve"> SUM(EF[CH4]*(EF[SATIM Code]= $D1559)) * ( SUM( ($A$768:$A$846=$A1559)*($D$768:$D$846= $D1559)*(I$768:I$846) )  +  SUM( ($A$933:$A$1011=$A1559)*($D$933:$D$1011= $D1559)*(I$933:I$1011) ) + SUM( ($E$1016:$E$1039=$E$1427)*($A$1016:$A$1039=$A1559)*($D$1016:$D$1039=$D1559)*(I$1016:I$1039) ) )</f>
        <v>0</v>
      </c>
      <c r="J1559" s="1379">
        <f t="array" ref="J1559" xml:space="preserve"> SUM(EF[CH4]*(EF[SATIM Code]= $D1559)) * ( SUM( ($A$768:$A$846=$A1559)*($D$768:$D$846= $D1559)*(J$768:J$846) )  +  SUM( ($A$933:$A$1011=$A1559)*($D$933:$D$1011= $D1559)*(J$933:J$1011) ) + SUM( ($E$1016:$E$1039=$E$1427)*($A$1016:$A$1039=$A1559)*($D$1016:$D$1039=$D1559)*(J$1016:J$1039) ) )</f>
        <v>0</v>
      </c>
      <c r="K1559" s="1379">
        <f t="array" ref="K1559" xml:space="preserve"> SUM(EF[CH4]*(EF[SATIM Code]= $D1559)) * ( SUM( ($A$768:$A$846=$A1559)*($D$768:$D$846= $D1559)*(K$768:K$846) )  +  SUM( ($A$933:$A$1011=$A1559)*($D$933:$D$1011= $D1559)*(K$933:K$1011) ) + SUM( ($E$1016:$E$1039=$E$1427)*($A$1016:$A$1039=$A1559)*($D$1016:$D$1039=$D1559)*(K$1016:K$1039) ) )</f>
        <v>0</v>
      </c>
      <c r="L1559" s="1379">
        <f t="array" ref="L1559" xml:space="preserve"> SUM(EF[CH4]*(EF[SATIM Code]= $D1559)) * ( SUM( ($A$768:$A$846=$A1559)*($D$768:$D$846= $D1559)*(L$768:L$846) )  +  SUM( ($A$933:$A$1011=$A1559)*($D$933:$D$1011= $D1559)*(L$933:L$1011) ) + SUM( ($E$1016:$E$1039=$E$1427)*($A$1016:$A$1039=$A1559)*($D$1016:$D$1039=$D1559)*(L$1016:L$1039) ) )</f>
        <v>0</v>
      </c>
      <c r="M1559" s="1379">
        <f t="array" ref="M1559" xml:space="preserve"> SUM(EF[CH4]*(EF[SATIM Code]= $D1559)) * ( SUM( ($A$768:$A$846=$A1559)*($D$768:$D$846= $D1559)*(M$768:M$846) )  +  SUM( ($A$933:$A$1011=$A1559)*($D$933:$D$1011= $D1559)*(M$933:M$1011) ) + SUM( ($E$1016:$E$1039=$E$1427)*($A$1016:$A$1039=$A1559)*($D$1016:$D$1039=$D1559)*(M$1016:M$1039) ) )</f>
        <v>0</v>
      </c>
      <c r="N1559" s="1379">
        <f t="array" ref="N1559" xml:space="preserve"> SUM(EF[CH4]*(EF[SATIM Code]= $D1559)) * ( SUM( ($A$768:$A$846=$A1559)*($D$768:$D$846= $D1559)*(N$768:N$846) )  +  SUM( ($A$933:$A$1011=$A1559)*($D$933:$D$1011= $D1559)*(N$933:N$1011) ) + SUM( ($E$1016:$E$1039=$E$1427)*($A$1016:$A$1039=$A1559)*($D$1016:$D$1039=$D1559)*(N$1016:N$1039) ) )</f>
        <v>0</v>
      </c>
      <c r="O1559" s="1379">
        <f t="array" ref="O1559" xml:space="preserve"> SUM(EF[CH4]*(EF[SATIM Code]= $D1559)) * ( SUM( ($A$768:$A$846=$A1559)*($D$768:$D$846= $D1559)*(O$768:O$846) )  +  SUM( ($A$933:$A$1011=$A1559)*($D$933:$D$1011= $D1559)*(O$933:O$1011) ) + SUM( ($E$1016:$E$1039=$E$1427)*($A$1016:$A$1039=$A1559)*($D$1016:$D$1039=$D1559)*(O$1016:O$1039) ) )</f>
        <v>0</v>
      </c>
    </row>
    <row r="1560" spans="1:15" s="19" customFormat="1" hidden="1" outlineLevel="1">
      <c r="A1560" s="19" t="str">
        <f t="shared" si="300"/>
        <v>NF</v>
      </c>
      <c r="B1560" s="1400" t="str">
        <f>INDEX(EF[UK Vector],MATCH(D1560,EF[SATIM Code],0))</f>
        <v>V.04</v>
      </c>
      <c r="C1560" s="1401" t="str">
        <f>INDEX(Vectors[Description], MATCH($B1560, Vectors[Code], 0))</f>
        <v>Liquid hydrocarbons</v>
      </c>
      <c r="D1560" s="1406" t="s">
        <v>885</v>
      </c>
      <c r="E1560" s="1401"/>
      <c r="F1560" s="1379">
        <f t="array" ref="F1560" xml:space="preserve"> SUM(EF[CH4]*(EF[SATIM Code]= $D1560)) * ( SUM( ($A$768:$A$846=$A1560)*($D$768:$D$846= $D1560)*(F$768:F$846) )  +  SUM( ($A$933:$A$1011=$A1560)*($D$933:$D$1011= $D1560)*(F$933:F$1011) ) + SUM( ($E$1016:$E$1039=$E$1427)*($A$1016:$A$1039=$A1560)*($D$1016:$D$1039=$D1560)*(F$1016:F$1039) ) )</f>
        <v>0</v>
      </c>
      <c r="G1560" s="1379">
        <f t="array" ref="G1560" xml:space="preserve"> SUM(EF[CH4]*(EF[SATIM Code]= $D1560)) * ( SUM( ($A$768:$A$846=$A1560)*($D$768:$D$846= $D1560)*(G$768:G$846) )  +  SUM( ($A$933:$A$1011=$A1560)*($D$933:$D$1011= $D1560)*(G$933:G$1011) ) + SUM( ($E$1016:$E$1039=$E$1427)*($A$1016:$A$1039=$A1560)*($D$1016:$D$1039=$D1560)*(G$1016:G$1039) ) )</f>
        <v>0</v>
      </c>
      <c r="H1560" s="1379">
        <f t="array" ref="H1560" xml:space="preserve"> SUM(EF[CH4]*(EF[SATIM Code]= $D1560)) * ( SUM( ($A$768:$A$846=$A1560)*($D$768:$D$846= $D1560)*(H$768:H$846) )  +  SUM( ($A$933:$A$1011=$A1560)*($D$933:$D$1011= $D1560)*(H$933:H$1011) ) + SUM( ($E$1016:$E$1039=$E$1427)*($A$1016:$A$1039=$A1560)*($D$1016:$D$1039=$D1560)*(H$1016:H$1039) ) )</f>
        <v>0</v>
      </c>
      <c r="I1560" s="1379">
        <f t="array" ref="I1560" xml:space="preserve"> SUM(EF[CH4]*(EF[SATIM Code]= $D1560)) * ( SUM( ($A$768:$A$846=$A1560)*($D$768:$D$846= $D1560)*(I$768:I$846) )  +  SUM( ($A$933:$A$1011=$A1560)*($D$933:$D$1011= $D1560)*(I$933:I$1011) ) + SUM( ($E$1016:$E$1039=$E$1427)*($A$1016:$A$1039=$A1560)*($D$1016:$D$1039=$D1560)*(I$1016:I$1039) ) )</f>
        <v>0</v>
      </c>
      <c r="J1560" s="1379">
        <f t="array" ref="J1560" xml:space="preserve"> SUM(EF[CH4]*(EF[SATIM Code]= $D1560)) * ( SUM( ($A$768:$A$846=$A1560)*($D$768:$D$846= $D1560)*(J$768:J$846) )  +  SUM( ($A$933:$A$1011=$A1560)*($D$933:$D$1011= $D1560)*(J$933:J$1011) ) + SUM( ($E$1016:$E$1039=$E$1427)*($A$1016:$A$1039=$A1560)*($D$1016:$D$1039=$D1560)*(J$1016:J$1039) ) )</f>
        <v>0</v>
      </c>
      <c r="K1560" s="1379">
        <f t="array" ref="K1560" xml:space="preserve"> SUM(EF[CH4]*(EF[SATIM Code]= $D1560)) * ( SUM( ($A$768:$A$846=$A1560)*($D$768:$D$846= $D1560)*(K$768:K$846) )  +  SUM( ($A$933:$A$1011=$A1560)*($D$933:$D$1011= $D1560)*(K$933:K$1011) ) + SUM( ($E$1016:$E$1039=$E$1427)*($A$1016:$A$1039=$A1560)*($D$1016:$D$1039=$D1560)*(K$1016:K$1039) ) )</f>
        <v>0</v>
      </c>
      <c r="L1560" s="1379">
        <f t="array" ref="L1560" xml:space="preserve"> SUM(EF[CH4]*(EF[SATIM Code]= $D1560)) * ( SUM( ($A$768:$A$846=$A1560)*($D$768:$D$846= $D1560)*(L$768:L$846) )  +  SUM( ($A$933:$A$1011=$A1560)*($D$933:$D$1011= $D1560)*(L$933:L$1011) ) + SUM( ($E$1016:$E$1039=$E$1427)*($A$1016:$A$1039=$A1560)*($D$1016:$D$1039=$D1560)*(L$1016:L$1039) ) )</f>
        <v>0</v>
      </c>
      <c r="M1560" s="1379">
        <f t="array" ref="M1560" xml:space="preserve"> SUM(EF[CH4]*(EF[SATIM Code]= $D1560)) * ( SUM( ($A$768:$A$846=$A1560)*($D$768:$D$846= $D1560)*(M$768:M$846) )  +  SUM( ($A$933:$A$1011=$A1560)*($D$933:$D$1011= $D1560)*(M$933:M$1011) ) + SUM( ($E$1016:$E$1039=$E$1427)*($A$1016:$A$1039=$A1560)*($D$1016:$D$1039=$D1560)*(M$1016:M$1039) ) )</f>
        <v>0</v>
      </c>
      <c r="N1560" s="1379">
        <f t="array" ref="N1560" xml:space="preserve"> SUM(EF[CH4]*(EF[SATIM Code]= $D1560)) * ( SUM( ($A$768:$A$846=$A1560)*($D$768:$D$846= $D1560)*(N$768:N$846) )  +  SUM( ($A$933:$A$1011=$A1560)*($D$933:$D$1011= $D1560)*(N$933:N$1011) ) + SUM( ($E$1016:$E$1039=$E$1427)*($A$1016:$A$1039=$A1560)*($D$1016:$D$1039=$D1560)*(N$1016:N$1039) ) )</f>
        <v>0</v>
      </c>
      <c r="O1560" s="1379">
        <f t="array" ref="O1560" xml:space="preserve"> SUM(EF[CH4]*(EF[SATIM Code]= $D1560)) * ( SUM( ($A$768:$A$846=$A1560)*($D$768:$D$846= $D1560)*(O$768:O$846) )  +  SUM( ($A$933:$A$1011=$A1560)*($D$933:$D$1011= $D1560)*(O$933:O$1011) ) + SUM( ($E$1016:$E$1039=$E$1427)*($A$1016:$A$1039=$A1560)*($D$1016:$D$1039=$D1560)*(O$1016:O$1039) ) )</f>
        <v>0</v>
      </c>
    </row>
    <row r="1561" spans="1:15" s="19" customFormat="1" hidden="1" outlineLevel="1">
      <c r="A1561" s="19" t="str">
        <f t="shared" si="300"/>
        <v>NF</v>
      </c>
      <c r="B1561" s="1400" t="str">
        <f>INDEX(EF[UK Vector],MATCH(D1561,EF[SATIM Code],0))</f>
        <v>V.04</v>
      </c>
      <c r="C1561" s="1401" t="str">
        <f>INDEX(Vectors[Description], MATCH($B1561, Vectors[Code], 0))</f>
        <v>Liquid hydrocarbons</v>
      </c>
      <c r="D1561" s="1391" t="s">
        <v>886</v>
      </c>
      <c r="E1561" s="1393"/>
      <c r="F1561" s="1379">
        <f t="array" ref="F1561" xml:space="preserve"> SUM(EF[CH4]*(EF[SATIM Code]= $D1561)) * ( SUM( ($A$768:$A$846=$A1561)*($D$768:$D$846= $D1561)*(F$768:F$846) )  +  SUM( ($A$933:$A$1011=$A1561)*($D$933:$D$1011= $D1561)*(F$933:F$1011) ) + SUM( ($E$1016:$E$1039=$E$1427)*($A$1016:$A$1039=$A1561)*($D$1016:$D$1039=$D1561)*(F$1016:F$1039) ) )</f>
        <v>0</v>
      </c>
      <c r="G1561" s="1379">
        <f t="array" ref="G1561" xml:space="preserve"> SUM(EF[CH4]*(EF[SATIM Code]= $D1561)) * ( SUM( ($A$768:$A$846=$A1561)*($D$768:$D$846= $D1561)*(G$768:G$846) )  +  SUM( ($A$933:$A$1011=$A1561)*($D$933:$D$1011= $D1561)*(G$933:G$1011) ) + SUM( ($E$1016:$E$1039=$E$1427)*($A$1016:$A$1039=$A1561)*($D$1016:$D$1039=$D1561)*(G$1016:G$1039) ) )</f>
        <v>0</v>
      </c>
      <c r="H1561" s="1379">
        <f t="array" ref="H1561" xml:space="preserve"> SUM(EF[CH4]*(EF[SATIM Code]= $D1561)) * ( SUM( ($A$768:$A$846=$A1561)*($D$768:$D$846= $D1561)*(H$768:H$846) )  +  SUM( ($A$933:$A$1011=$A1561)*($D$933:$D$1011= $D1561)*(H$933:H$1011) ) + SUM( ($E$1016:$E$1039=$E$1427)*($A$1016:$A$1039=$A1561)*($D$1016:$D$1039=$D1561)*(H$1016:H$1039) ) )</f>
        <v>0</v>
      </c>
      <c r="I1561" s="1379">
        <f t="array" ref="I1561" xml:space="preserve"> SUM(EF[CH4]*(EF[SATIM Code]= $D1561)) * ( SUM( ($A$768:$A$846=$A1561)*($D$768:$D$846= $D1561)*(I$768:I$846) )  +  SUM( ($A$933:$A$1011=$A1561)*($D$933:$D$1011= $D1561)*(I$933:I$1011) ) + SUM( ($E$1016:$E$1039=$E$1427)*($A$1016:$A$1039=$A1561)*($D$1016:$D$1039=$D1561)*(I$1016:I$1039) ) )</f>
        <v>0</v>
      </c>
      <c r="J1561" s="1379">
        <f t="array" ref="J1561" xml:space="preserve"> SUM(EF[CH4]*(EF[SATIM Code]= $D1561)) * ( SUM( ($A$768:$A$846=$A1561)*($D$768:$D$846= $D1561)*(J$768:J$846) )  +  SUM( ($A$933:$A$1011=$A1561)*($D$933:$D$1011= $D1561)*(J$933:J$1011) ) + SUM( ($E$1016:$E$1039=$E$1427)*($A$1016:$A$1039=$A1561)*($D$1016:$D$1039=$D1561)*(J$1016:J$1039) ) )</f>
        <v>0</v>
      </c>
      <c r="K1561" s="1379">
        <f t="array" ref="K1561" xml:space="preserve"> SUM(EF[CH4]*(EF[SATIM Code]= $D1561)) * ( SUM( ($A$768:$A$846=$A1561)*($D$768:$D$846= $D1561)*(K$768:K$846) )  +  SUM( ($A$933:$A$1011=$A1561)*($D$933:$D$1011= $D1561)*(K$933:K$1011) ) + SUM( ($E$1016:$E$1039=$E$1427)*($A$1016:$A$1039=$A1561)*($D$1016:$D$1039=$D1561)*(K$1016:K$1039) ) )</f>
        <v>0</v>
      </c>
      <c r="L1561" s="1379">
        <f t="array" ref="L1561" xml:space="preserve"> SUM(EF[CH4]*(EF[SATIM Code]= $D1561)) * ( SUM( ($A$768:$A$846=$A1561)*($D$768:$D$846= $D1561)*(L$768:L$846) )  +  SUM( ($A$933:$A$1011=$A1561)*($D$933:$D$1011= $D1561)*(L$933:L$1011) ) + SUM( ($E$1016:$E$1039=$E$1427)*($A$1016:$A$1039=$A1561)*($D$1016:$D$1039=$D1561)*(L$1016:L$1039) ) )</f>
        <v>0</v>
      </c>
      <c r="M1561" s="1379">
        <f t="array" ref="M1561" xml:space="preserve"> SUM(EF[CH4]*(EF[SATIM Code]= $D1561)) * ( SUM( ($A$768:$A$846=$A1561)*($D$768:$D$846= $D1561)*(M$768:M$846) )  +  SUM( ($A$933:$A$1011=$A1561)*($D$933:$D$1011= $D1561)*(M$933:M$1011) ) + SUM( ($E$1016:$E$1039=$E$1427)*($A$1016:$A$1039=$A1561)*($D$1016:$D$1039=$D1561)*(M$1016:M$1039) ) )</f>
        <v>0</v>
      </c>
      <c r="N1561" s="1379">
        <f t="array" ref="N1561" xml:space="preserve"> SUM(EF[CH4]*(EF[SATIM Code]= $D1561)) * ( SUM( ($A$768:$A$846=$A1561)*($D$768:$D$846= $D1561)*(N$768:N$846) )  +  SUM( ($A$933:$A$1011=$A1561)*($D$933:$D$1011= $D1561)*(N$933:N$1011) ) + SUM( ($E$1016:$E$1039=$E$1427)*($A$1016:$A$1039=$A1561)*($D$1016:$D$1039=$D1561)*(N$1016:N$1039) ) )</f>
        <v>0</v>
      </c>
      <c r="O1561" s="1379">
        <f t="array" ref="O1561" xml:space="preserve"> SUM(EF[CH4]*(EF[SATIM Code]= $D1561)) * ( SUM( ($A$768:$A$846=$A1561)*($D$768:$D$846= $D1561)*(O$768:O$846) )  +  SUM( ($A$933:$A$1011=$A1561)*($D$933:$D$1011= $D1561)*(O$933:O$1011) ) + SUM( ($E$1016:$E$1039=$E$1427)*($A$1016:$A$1039=$A1561)*($D$1016:$D$1039=$D1561)*(O$1016:O$1039) ) )</f>
        <v>0</v>
      </c>
    </row>
    <row r="1562" spans="1:15" s="19" customFormat="1" hidden="1" outlineLevel="1">
      <c r="A1562" s="19" t="str">
        <f t="shared" si="300"/>
        <v>NF</v>
      </c>
      <c r="B1562" s="1400" t="str">
        <f>INDEX(EF[UK Vector],MATCH(D1562,EF[SATIM Code],0))</f>
        <v>V.04</v>
      </c>
      <c r="C1562" s="1401" t="str">
        <f>INDEX(Vectors[Description], MATCH($B1562, Vectors[Code], 0))</f>
        <v>Liquid hydrocarbons</v>
      </c>
      <c r="D1562" s="1406" t="s">
        <v>887</v>
      </c>
      <c r="E1562" s="1393"/>
      <c r="F1562" s="1379">
        <f t="array" ref="F1562" xml:space="preserve"> SUM(EF[CH4]*(EF[SATIM Code]= $D1562)) * ( SUM( ($A$768:$A$846=$A1562)*($D$768:$D$846= $D1562)*(F$768:F$846) )  +  SUM( ($A$933:$A$1011=$A1562)*($D$933:$D$1011= $D1562)*(F$933:F$1011) ) + SUM( ($E$1016:$E$1039=$E$1427)*($A$1016:$A$1039=$A1562)*($D$1016:$D$1039=$D1562)*(F$1016:F$1039) ) )</f>
        <v>0</v>
      </c>
      <c r="G1562" s="1379">
        <f t="array" ref="G1562" xml:space="preserve"> SUM(EF[CH4]*(EF[SATIM Code]= $D1562)) * ( SUM( ($A$768:$A$846=$A1562)*($D$768:$D$846= $D1562)*(G$768:G$846) )  +  SUM( ($A$933:$A$1011=$A1562)*($D$933:$D$1011= $D1562)*(G$933:G$1011) ) + SUM( ($E$1016:$E$1039=$E$1427)*($A$1016:$A$1039=$A1562)*($D$1016:$D$1039=$D1562)*(G$1016:G$1039) ) )</f>
        <v>0</v>
      </c>
      <c r="H1562" s="1379">
        <f t="array" ref="H1562" xml:space="preserve"> SUM(EF[CH4]*(EF[SATIM Code]= $D1562)) * ( SUM( ($A$768:$A$846=$A1562)*($D$768:$D$846= $D1562)*(H$768:H$846) )  +  SUM( ($A$933:$A$1011=$A1562)*($D$933:$D$1011= $D1562)*(H$933:H$1011) ) + SUM( ($E$1016:$E$1039=$E$1427)*($A$1016:$A$1039=$A1562)*($D$1016:$D$1039=$D1562)*(H$1016:H$1039) ) )</f>
        <v>0</v>
      </c>
      <c r="I1562" s="1379">
        <f t="array" ref="I1562" xml:space="preserve"> SUM(EF[CH4]*(EF[SATIM Code]= $D1562)) * ( SUM( ($A$768:$A$846=$A1562)*($D$768:$D$846= $D1562)*(I$768:I$846) )  +  SUM( ($A$933:$A$1011=$A1562)*($D$933:$D$1011= $D1562)*(I$933:I$1011) ) + SUM( ($E$1016:$E$1039=$E$1427)*($A$1016:$A$1039=$A1562)*($D$1016:$D$1039=$D1562)*(I$1016:I$1039) ) )</f>
        <v>0</v>
      </c>
      <c r="J1562" s="1379">
        <f t="array" ref="J1562" xml:space="preserve"> SUM(EF[CH4]*(EF[SATIM Code]= $D1562)) * ( SUM( ($A$768:$A$846=$A1562)*($D$768:$D$846= $D1562)*(J$768:J$846) )  +  SUM( ($A$933:$A$1011=$A1562)*($D$933:$D$1011= $D1562)*(J$933:J$1011) ) + SUM( ($E$1016:$E$1039=$E$1427)*($A$1016:$A$1039=$A1562)*($D$1016:$D$1039=$D1562)*(J$1016:J$1039) ) )</f>
        <v>0</v>
      </c>
      <c r="K1562" s="1379">
        <f t="array" ref="K1562" xml:space="preserve"> SUM(EF[CH4]*(EF[SATIM Code]= $D1562)) * ( SUM( ($A$768:$A$846=$A1562)*($D$768:$D$846= $D1562)*(K$768:K$846) )  +  SUM( ($A$933:$A$1011=$A1562)*($D$933:$D$1011= $D1562)*(K$933:K$1011) ) + SUM( ($E$1016:$E$1039=$E$1427)*($A$1016:$A$1039=$A1562)*($D$1016:$D$1039=$D1562)*(K$1016:K$1039) ) )</f>
        <v>0</v>
      </c>
      <c r="L1562" s="1379">
        <f t="array" ref="L1562" xml:space="preserve"> SUM(EF[CH4]*(EF[SATIM Code]= $D1562)) * ( SUM( ($A$768:$A$846=$A1562)*($D$768:$D$846= $D1562)*(L$768:L$846) )  +  SUM( ($A$933:$A$1011=$A1562)*($D$933:$D$1011= $D1562)*(L$933:L$1011) ) + SUM( ($E$1016:$E$1039=$E$1427)*($A$1016:$A$1039=$A1562)*($D$1016:$D$1039=$D1562)*(L$1016:L$1039) ) )</f>
        <v>0</v>
      </c>
      <c r="M1562" s="1379">
        <f t="array" ref="M1562" xml:space="preserve"> SUM(EF[CH4]*(EF[SATIM Code]= $D1562)) * ( SUM( ($A$768:$A$846=$A1562)*($D$768:$D$846= $D1562)*(M$768:M$846) )  +  SUM( ($A$933:$A$1011=$A1562)*($D$933:$D$1011= $D1562)*(M$933:M$1011) ) + SUM( ($E$1016:$E$1039=$E$1427)*($A$1016:$A$1039=$A1562)*($D$1016:$D$1039=$D1562)*(M$1016:M$1039) ) )</f>
        <v>0</v>
      </c>
      <c r="N1562" s="1379">
        <f t="array" ref="N1562" xml:space="preserve"> SUM(EF[CH4]*(EF[SATIM Code]= $D1562)) * ( SUM( ($A$768:$A$846=$A1562)*($D$768:$D$846= $D1562)*(N$768:N$846) )  +  SUM( ($A$933:$A$1011=$A1562)*($D$933:$D$1011= $D1562)*(N$933:N$1011) ) + SUM( ($E$1016:$E$1039=$E$1427)*($A$1016:$A$1039=$A1562)*($D$1016:$D$1039=$D1562)*(N$1016:N$1039) ) )</f>
        <v>0</v>
      </c>
      <c r="O1562" s="1379">
        <f t="array" ref="O1562" xml:space="preserve"> SUM(EF[CH4]*(EF[SATIM Code]= $D1562)) * ( SUM( ($A$768:$A$846=$A1562)*($D$768:$D$846= $D1562)*(O$768:O$846) )  +  SUM( ($A$933:$A$1011=$A1562)*($D$933:$D$1011= $D1562)*(O$933:O$1011) ) + SUM( ($E$1016:$E$1039=$E$1427)*($A$1016:$A$1039=$A1562)*($D$1016:$D$1039=$D1562)*(O$1016:O$1039) ) )</f>
        <v>0</v>
      </c>
    </row>
    <row r="1563" spans="1:15" s="19" customFormat="1" hidden="1" outlineLevel="1">
      <c r="A1563" s="19" t="str">
        <f t="shared" si="300"/>
        <v>NF</v>
      </c>
      <c r="B1563" s="1400" t="str">
        <f>INDEX(EF[UK Vector],MATCH(D1563,EF[SATIM Code],0))</f>
        <v>V.09</v>
      </c>
      <c r="C1563" s="1401" t="str">
        <f>INDEX(Vectors[Description], MATCH($B1563, Vectors[Code], 0))</f>
        <v>Dry biomass and waste</v>
      </c>
      <c r="D1563" s="1406" t="s">
        <v>888</v>
      </c>
      <c r="E1563" s="1393"/>
      <c r="F1563" s="1379">
        <f t="array" ref="F1563" xml:space="preserve"> SUM(EF[CH4]*(EF[SATIM Code]= $D1563)) * ( SUM( ($A$768:$A$846=$A1563)*($D$768:$D$846= $D1563)*(F$768:F$846) )  +  SUM( ($A$933:$A$1011=$A1563)*($D$933:$D$1011= $D1563)*(F$933:F$1011) ) + SUM( ($E$1016:$E$1039=$E$1427)*($A$1016:$A$1039=$A1563)*($D$1016:$D$1039=$D1563)*(F$1016:F$1039) ) )</f>
        <v>0</v>
      </c>
      <c r="G1563" s="1379">
        <f t="array" ref="G1563" xml:space="preserve"> SUM(EF[CH4]*(EF[SATIM Code]= $D1563)) * ( SUM( ($A$768:$A$846=$A1563)*($D$768:$D$846= $D1563)*(G$768:G$846) )  +  SUM( ($A$933:$A$1011=$A1563)*($D$933:$D$1011= $D1563)*(G$933:G$1011) ) + SUM( ($E$1016:$E$1039=$E$1427)*($A$1016:$A$1039=$A1563)*($D$1016:$D$1039=$D1563)*(G$1016:G$1039) ) )</f>
        <v>0</v>
      </c>
      <c r="H1563" s="1379">
        <f t="array" ref="H1563" xml:space="preserve"> SUM(EF[CH4]*(EF[SATIM Code]= $D1563)) * ( SUM( ($A$768:$A$846=$A1563)*($D$768:$D$846= $D1563)*(H$768:H$846) )  +  SUM( ($A$933:$A$1011=$A1563)*($D$933:$D$1011= $D1563)*(H$933:H$1011) ) + SUM( ($E$1016:$E$1039=$E$1427)*($A$1016:$A$1039=$A1563)*($D$1016:$D$1039=$D1563)*(H$1016:H$1039) ) )</f>
        <v>0</v>
      </c>
      <c r="I1563" s="1379">
        <f t="array" ref="I1563" xml:space="preserve"> SUM(EF[CH4]*(EF[SATIM Code]= $D1563)) * ( SUM( ($A$768:$A$846=$A1563)*($D$768:$D$846= $D1563)*(I$768:I$846) )  +  SUM( ($A$933:$A$1011=$A1563)*($D$933:$D$1011= $D1563)*(I$933:I$1011) ) + SUM( ($E$1016:$E$1039=$E$1427)*($A$1016:$A$1039=$A1563)*($D$1016:$D$1039=$D1563)*(I$1016:I$1039) ) )</f>
        <v>0</v>
      </c>
      <c r="J1563" s="1379">
        <f t="array" ref="J1563" xml:space="preserve"> SUM(EF[CH4]*(EF[SATIM Code]= $D1563)) * ( SUM( ($A$768:$A$846=$A1563)*($D$768:$D$846= $D1563)*(J$768:J$846) )  +  SUM( ($A$933:$A$1011=$A1563)*($D$933:$D$1011= $D1563)*(J$933:J$1011) ) + SUM( ($E$1016:$E$1039=$E$1427)*($A$1016:$A$1039=$A1563)*($D$1016:$D$1039=$D1563)*(J$1016:J$1039) ) )</f>
        <v>0</v>
      </c>
      <c r="K1563" s="1379">
        <f t="array" ref="K1563" xml:space="preserve"> SUM(EF[CH4]*(EF[SATIM Code]= $D1563)) * ( SUM( ($A$768:$A$846=$A1563)*($D$768:$D$846= $D1563)*(K$768:K$846) )  +  SUM( ($A$933:$A$1011=$A1563)*($D$933:$D$1011= $D1563)*(K$933:K$1011) ) + SUM( ($E$1016:$E$1039=$E$1427)*($A$1016:$A$1039=$A1563)*($D$1016:$D$1039=$D1563)*(K$1016:K$1039) ) )</f>
        <v>0</v>
      </c>
      <c r="L1563" s="1379">
        <f t="array" ref="L1563" xml:space="preserve"> SUM(EF[CH4]*(EF[SATIM Code]= $D1563)) * ( SUM( ($A$768:$A$846=$A1563)*($D$768:$D$846= $D1563)*(L$768:L$846) )  +  SUM( ($A$933:$A$1011=$A1563)*($D$933:$D$1011= $D1563)*(L$933:L$1011) ) + SUM( ($E$1016:$E$1039=$E$1427)*($A$1016:$A$1039=$A1563)*($D$1016:$D$1039=$D1563)*(L$1016:L$1039) ) )</f>
        <v>0</v>
      </c>
      <c r="M1563" s="1379">
        <f t="array" ref="M1563" xml:space="preserve"> SUM(EF[CH4]*(EF[SATIM Code]= $D1563)) * ( SUM( ($A$768:$A$846=$A1563)*($D$768:$D$846= $D1563)*(M$768:M$846) )  +  SUM( ($A$933:$A$1011=$A1563)*($D$933:$D$1011= $D1563)*(M$933:M$1011) ) + SUM( ($E$1016:$E$1039=$E$1427)*($A$1016:$A$1039=$A1563)*($D$1016:$D$1039=$D1563)*(M$1016:M$1039) ) )</f>
        <v>0</v>
      </c>
      <c r="N1563" s="1379">
        <f t="array" ref="N1563" xml:space="preserve"> SUM(EF[CH4]*(EF[SATIM Code]= $D1563)) * ( SUM( ($A$768:$A$846=$A1563)*($D$768:$D$846= $D1563)*(N$768:N$846) )  +  SUM( ($A$933:$A$1011=$A1563)*($D$933:$D$1011= $D1563)*(N$933:N$1011) ) + SUM( ($E$1016:$E$1039=$E$1427)*($A$1016:$A$1039=$A1563)*($D$1016:$D$1039=$D1563)*(N$1016:N$1039) ) )</f>
        <v>0</v>
      </c>
      <c r="O1563" s="1379">
        <f t="array" ref="O1563" xml:space="preserve"> SUM(EF[CH4]*(EF[SATIM Code]= $D1563)) * ( SUM( ($A$768:$A$846=$A1563)*($D$768:$D$846= $D1563)*(O$768:O$846) )  +  SUM( ($A$933:$A$1011=$A1563)*($D$933:$D$1011= $D1563)*(O$933:O$1011) ) + SUM( ($E$1016:$E$1039=$E$1427)*($A$1016:$A$1039=$A1563)*($D$1016:$D$1039=$D1563)*(O$1016:O$1039) ) )</f>
        <v>0</v>
      </c>
    </row>
    <row r="1564" spans="1:15" s="19" customFormat="1" hidden="1" outlineLevel="1">
      <c r="A1564" s="19" t="str">
        <f t="shared" si="300"/>
        <v>NF</v>
      </c>
      <c r="B1564" s="1400" t="str">
        <f>INDEX(EF[UK Vector],MATCH(D1564,EF[SATIM Code],0))</f>
        <v>V.09</v>
      </c>
      <c r="C1564" s="1401" t="str">
        <f>INDEX(Vectors[Description], MATCH($B1564, Vectors[Code], 0))</f>
        <v>Dry biomass and waste</v>
      </c>
      <c r="D1564" s="1388" t="s">
        <v>889</v>
      </c>
      <c r="E1564" s="1393"/>
      <c r="F1564" s="1379">
        <f t="array" ref="F1564" xml:space="preserve"> SUM(EF[CH4]*(EF[SATIM Code]= $D1564)) * ( SUM( ($A$768:$A$846=$A1564)*($D$768:$D$846= $D1564)*(F$768:F$846) )  +  SUM( ($A$933:$A$1011=$A1564)*($D$933:$D$1011= $D1564)*(F$933:F$1011) ) + SUM( ($E$1016:$E$1039=$E$1427)*($A$1016:$A$1039=$A1564)*($D$1016:$D$1039=$D1564)*(F$1016:F$1039) ) )</f>
        <v>0</v>
      </c>
      <c r="G1564" s="1379">
        <f t="array" ref="G1564" xml:space="preserve"> SUM(EF[CH4]*(EF[SATIM Code]= $D1564)) * ( SUM( ($A$768:$A$846=$A1564)*($D$768:$D$846= $D1564)*(G$768:G$846) )  +  SUM( ($A$933:$A$1011=$A1564)*($D$933:$D$1011= $D1564)*(G$933:G$1011) ) + SUM( ($E$1016:$E$1039=$E$1427)*($A$1016:$A$1039=$A1564)*($D$1016:$D$1039=$D1564)*(G$1016:G$1039) ) )</f>
        <v>0</v>
      </c>
      <c r="H1564" s="1379">
        <f t="array" ref="H1564" xml:space="preserve"> SUM(EF[CH4]*(EF[SATIM Code]= $D1564)) * ( SUM( ($A$768:$A$846=$A1564)*($D$768:$D$846= $D1564)*(H$768:H$846) )  +  SUM( ($A$933:$A$1011=$A1564)*($D$933:$D$1011= $D1564)*(H$933:H$1011) ) + SUM( ($E$1016:$E$1039=$E$1427)*($A$1016:$A$1039=$A1564)*($D$1016:$D$1039=$D1564)*(H$1016:H$1039) ) )</f>
        <v>0</v>
      </c>
      <c r="I1564" s="1379">
        <f t="array" ref="I1564" xml:space="preserve"> SUM(EF[CH4]*(EF[SATIM Code]= $D1564)) * ( SUM( ($A$768:$A$846=$A1564)*($D$768:$D$846= $D1564)*(I$768:I$846) )  +  SUM( ($A$933:$A$1011=$A1564)*($D$933:$D$1011= $D1564)*(I$933:I$1011) ) + SUM( ($E$1016:$E$1039=$E$1427)*($A$1016:$A$1039=$A1564)*($D$1016:$D$1039=$D1564)*(I$1016:I$1039) ) )</f>
        <v>0</v>
      </c>
      <c r="J1564" s="1379">
        <f t="array" ref="J1564" xml:space="preserve"> SUM(EF[CH4]*(EF[SATIM Code]= $D1564)) * ( SUM( ($A$768:$A$846=$A1564)*($D$768:$D$846= $D1564)*(J$768:J$846) )  +  SUM( ($A$933:$A$1011=$A1564)*($D$933:$D$1011= $D1564)*(J$933:J$1011) ) + SUM( ($E$1016:$E$1039=$E$1427)*($A$1016:$A$1039=$A1564)*($D$1016:$D$1039=$D1564)*(J$1016:J$1039) ) )</f>
        <v>0</v>
      </c>
      <c r="K1564" s="1379">
        <f t="array" ref="K1564" xml:space="preserve"> SUM(EF[CH4]*(EF[SATIM Code]= $D1564)) * ( SUM( ($A$768:$A$846=$A1564)*($D$768:$D$846= $D1564)*(K$768:K$846) )  +  SUM( ($A$933:$A$1011=$A1564)*($D$933:$D$1011= $D1564)*(K$933:K$1011) ) + SUM( ($E$1016:$E$1039=$E$1427)*($A$1016:$A$1039=$A1564)*($D$1016:$D$1039=$D1564)*(K$1016:K$1039) ) )</f>
        <v>0</v>
      </c>
      <c r="L1564" s="1379">
        <f t="array" ref="L1564" xml:space="preserve"> SUM(EF[CH4]*(EF[SATIM Code]= $D1564)) * ( SUM( ($A$768:$A$846=$A1564)*($D$768:$D$846= $D1564)*(L$768:L$846) )  +  SUM( ($A$933:$A$1011=$A1564)*($D$933:$D$1011= $D1564)*(L$933:L$1011) ) + SUM( ($E$1016:$E$1039=$E$1427)*($A$1016:$A$1039=$A1564)*($D$1016:$D$1039=$D1564)*(L$1016:L$1039) ) )</f>
        <v>0</v>
      </c>
      <c r="M1564" s="1379">
        <f t="array" ref="M1564" xml:space="preserve"> SUM(EF[CH4]*(EF[SATIM Code]= $D1564)) * ( SUM( ($A$768:$A$846=$A1564)*($D$768:$D$846= $D1564)*(M$768:M$846) )  +  SUM( ($A$933:$A$1011=$A1564)*($D$933:$D$1011= $D1564)*(M$933:M$1011) ) + SUM( ($E$1016:$E$1039=$E$1427)*($A$1016:$A$1039=$A1564)*($D$1016:$D$1039=$D1564)*(M$1016:M$1039) ) )</f>
        <v>0</v>
      </c>
      <c r="N1564" s="1379">
        <f t="array" ref="N1564" xml:space="preserve"> SUM(EF[CH4]*(EF[SATIM Code]= $D1564)) * ( SUM( ($A$768:$A$846=$A1564)*($D$768:$D$846= $D1564)*(N$768:N$846) )  +  SUM( ($A$933:$A$1011=$A1564)*($D$933:$D$1011= $D1564)*(N$933:N$1011) ) + SUM( ($E$1016:$E$1039=$E$1427)*($A$1016:$A$1039=$A1564)*($D$1016:$D$1039=$D1564)*(N$1016:N$1039) ) )</f>
        <v>0</v>
      </c>
      <c r="O1564" s="1379">
        <f t="array" ref="O1564" xml:space="preserve"> SUM(EF[CH4]*(EF[SATIM Code]= $D1564)) * ( SUM( ($A$768:$A$846=$A1564)*($D$768:$D$846= $D1564)*(O$768:O$846) )  +  SUM( ($A$933:$A$1011=$A1564)*($D$933:$D$1011= $D1564)*(O$933:O$1011) ) + SUM( ($E$1016:$E$1039=$E$1427)*($A$1016:$A$1039=$A1564)*($D$1016:$D$1039=$D1564)*(O$1016:O$1039) ) )</f>
        <v>0</v>
      </c>
    </row>
    <row r="1565" spans="1:15" s="19" customFormat="1" hidden="1" outlineLevel="1">
      <c r="A1565" s="19" t="str">
        <f t="shared" si="300"/>
        <v>NF</v>
      </c>
      <c r="B1565" s="1400" t="str">
        <f>INDEX(EF[UK Vector],MATCH(D1565,EF[SATIM Code],0))</f>
        <v>V.16</v>
      </c>
      <c r="C1565" s="1401" t="str">
        <f>INDEX(Vectors[Description], MATCH($B1565, Vectors[Code], 0))</f>
        <v>Other Waste</v>
      </c>
      <c r="D1565" s="1408" t="s">
        <v>890</v>
      </c>
      <c r="E1565" s="1393"/>
      <c r="F1565" s="1379">
        <f t="array" ref="F1565" xml:space="preserve"> SUM(EF[CH4]*(EF[SATIM Code]= $D1565)) * ( SUM( ($A$768:$A$846=$A1565)*($D$768:$D$846= $D1565)*(F$768:F$846) )  +  SUM( ($A$933:$A$1011=$A1565)*($D$933:$D$1011= $D1565)*(F$933:F$1011) ) + SUM( ($E$1016:$E$1039=$E$1427)*($A$1016:$A$1039=$A1565)*($D$1016:$D$1039=$D1565)*(F$1016:F$1039) ) )</f>
        <v>0</v>
      </c>
      <c r="G1565" s="1379">
        <f t="array" ref="G1565" xml:space="preserve"> SUM(EF[CH4]*(EF[SATIM Code]= $D1565)) * ( SUM( ($A$768:$A$846=$A1565)*($D$768:$D$846= $D1565)*(G$768:G$846) )  +  SUM( ($A$933:$A$1011=$A1565)*($D$933:$D$1011= $D1565)*(G$933:G$1011) ) + SUM( ($E$1016:$E$1039=$E$1427)*($A$1016:$A$1039=$A1565)*($D$1016:$D$1039=$D1565)*(G$1016:G$1039) ) )</f>
        <v>0</v>
      </c>
      <c r="H1565" s="1379">
        <f t="array" ref="H1565" xml:space="preserve"> SUM(EF[CH4]*(EF[SATIM Code]= $D1565)) * ( SUM( ($A$768:$A$846=$A1565)*($D$768:$D$846= $D1565)*(H$768:H$846) )  +  SUM( ($A$933:$A$1011=$A1565)*($D$933:$D$1011= $D1565)*(H$933:H$1011) ) + SUM( ($E$1016:$E$1039=$E$1427)*($A$1016:$A$1039=$A1565)*($D$1016:$D$1039=$D1565)*(H$1016:H$1039) ) )</f>
        <v>0</v>
      </c>
      <c r="I1565" s="1379">
        <f t="array" ref="I1565" xml:space="preserve"> SUM(EF[CH4]*(EF[SATIM Code]= $D1565)) * ( SUM( ($A$768:$A$846=$A1565)*($D$768:$D$846= $D1565)*(I$768:I$846) )  +  SUM( ($A$933:$A$1011=$A1565)*($D$933:$D$1011= $D1565)*(I$933:I$1011) ) + SUM( ($E$1016:$E$1039=$E$1427)*($A$1016:$A$1039=$A1565)*($D$1016:$D$1039=$D1565)*(I$1016:I$1039) ) )</f>
        <v>0</v>
      </c>
      <c r="J1565" s="1379">
        <f t="array" ref="J1565" xml:space="preserve"> SUM(EF[CH4]*(EF[SATIM Code]= $D1565)) * ( SUM( ($A$768:$A$846=$A1565)*($D$768:$D$846= $D1565)*(J$768:J$846) )  +  SUM( ($A$933:$A$1011=$A1565)*($D$933:$D$1011= $D1565)*(J$933:J$1011) ) + SUM( ($E$1016:$E$1039=$E$1427)*($A$1016:$A$1039=$A1565)*($D$1016:$D$1039=$D1565)*(J$1016:J$1039) ) )</f>
        <v>0</v>
      </c>
      <c r="K1565" s="1379">
        <f t="array" ref="K1565" xml:space="preserve"> SUM(EF[CH4]*(EF[SATIM Code]= $D1565)) * ( SUM( ($A$768:$A$846=$A1565)*($D$768:$D$846= $D1565)*(K$768:K$846) )  +  SUM( ($A$933:$A$1011=$A1565)*($D$933:$D$1011= $D1565)*(K$933:K$1011) ) + SUM( ($E$1016:$E$1039=$E$1427)*($A$1016:$A$1039=$A1565)*($D$1016:$D$1039=$D1565)*(K$1016:K$1039) ) )</f>
        <v>0</v>
      </c>
      <c r="L1565" s="1379">
        <f t="array" ref="L1565" xml:space="preserve"> SUM(EF[CH4]*(EF[SATIM Code]= $D1565)) * ( SUM( ($A$768:$A$846=$A1565)*($D$768:$D$846= $D1565)*(L$768:L$846) )  +  SUM( ($A$933:$A$1011=$A1565)*($D$933:$D$1011= $D1565)*(L$933:L$1011) ) + SUM( ($E$1016:$E$1039=$E$1427)*($A$1016:$A$1039=$A1565)*($D$1016:$D$1039=$D1565)*(L$1016:L$1039) ) )</f>
        <v>0</v>
      </c>
      <c r="M1565" s="1379">
        <f t="array" ref="M1565" xml:space="preserve"> SUM(EF[CH4]*(EF[SATIM Code]= $D1565)) * ( SUM( ($A$768:$A$846=$A1565)*($D$768:$D$846= $D1565)*(M$768:M$846) )  +  SUM( ($A$933:$A$1011=$A1565)*($D$933:$D$1011= $D1565)*(M$933:M$1011) ) + SUM( ($E$1016:$E$1039=$E$1427)*($A$1016:$A$1039=$A1565)*($D$1016:$D$1039=$D1565)*(M$1016:M$1039) ) )</f>
        <v>0</v>
      </c>
      <c r="N1565" s="1379">
        <f t="array" ref="N1565" xml:space="preserve"> SUM(EF[CH4]*(EF[SATIM Code]= $D1565)) * ( SUM( ($A$768:$A$846=$A1565)*($D$768:$D$846= $D1565)*(N$768:N$846) )  +  SUM( ($A$933:$A$1011=$A1565)*($D$933:$D$1011= $D1565)*(N$933:N$1011) ) + SUM( ($E$1016:$E$1039=$E$1427)*($A$1016:$A$1039=$A1565)*($D$1016:$D$1039=$D1565)*(N$1016:N$1039) ) )</f>
        <v>0</v>
      </c>
      <c r="O1565" s="1379">
        <f t="array" ref="O1565" xml:space="preserve"> SUM(EF[CH4]*(EF[SATIM Code]= $D1565)) * ( SUM( ($A$768:$A$846=$A1565)*($D$768:$D$846= $D1565)*(O$768:O$846) )  +  SUM( ($A$933:$A$1011=$A1565)*($D$933:$D$1011= $D1565)*(O$933:O$1011) ) + SUM( ($E$1016:$E$1039=$E$1427)*($A$1016:$A$1039=$A1565)*($D$1016:$D$1039=$D1565)*(O$1016:O$1039) ) )</f>
        <v>0</v>
      </c>
    </row>
    <row r="1566" spans="1:15" s="19" customFormat="1" hidden="1" outlineLevel="1">
      <c r="B1566" s="1393"/>
      <c r="C1566" s="1407" t="str">
        <f>D24</f>
        <v>N.M.M Products  -34</v>
      </c>
      <c r="D1566" s="1391"/>
      <c r="E1566" s="1393"/>
      <c r="F1566" s="1379">
        <f t="array" ref="F1566" xml:space="preserve"> SUM(EF[CH4]*(EF[SATIM Code]= $D1566)) * ( SUM( ($A$768:$A$846=$A1566)*($D$768:$D$846= $D1566)*(F$768:F$846) )  +  SUM( ($A$933:$A$1011=$A1566)*($D$933:$D$1011= $D1566)*(F$933:F$1011) ) + SUM( ($E$1016:$E$1039=$E$1427)*($A$1016:$A$1039=$A1566)*($D$1016:$D$1039=$D1566)*(F$1016:F$1039) ) )</f>
        <v>0</v>
      </c>
      <c r="G1566" s="1379">
        <f t="array" ref="G1566" xml:space="preserve"> SUM(EF[CH4]*(EF[SATIM Code]= $D1566)) * ( SUM( ($A$768:$A$846=$A1566)*($D$768:$D$846= $D1566)*(G$768:G$846) )  +  SUM( ($A$933:$A$1011=$A1566)*($D$933:$D$1011= $D1566)*(G$933:G$1011) ) + SUM( ($E$1016:$E$1039=$E$1427)*($A$1016:$A$1039=$A1566)*($D$1016:$D$1039=$D1566)*(G$1016:G$1039) ) )</f>
        <v>0</v>
      </c>
      <c r="H1566" s="1379">
        <f t="array" ref="H1566" xml:space="preserve"> SUM(EF[CH4]*(EF[SATIM Code]= $D1566)) * ( SUM( ($A$768:$A$846=$A1566)*($D$768:$D$846= $D1566)*(H$768:H$846) )  +  SUM( ($A$933:$A$1011=$A1566)*($D$933:$D$1011= $D1566)*(H$933:H$1011) ) + SUM( ($E$1016:$E$1039=$E$1427)*($A$1016:$A$1039=$A1566)*($D$1016:$D$1039=$D1566)*(H$1016:H$1039) ) )</f>
        <v>0</v>
      </c>
      <c r="I1566" s="1379">
        <f t="array" ref="I1566" xml:space="preserve"> SUM(EF[CH4]*(EF[SATIM Code]= $D1566)) * ( SUM( ($A$768:$A$846=$A1566)*($D$768:$D$846= $D1566)*(I$768:I$846) )  +  SUM( ($A$933:$A$1011=$A1566)*($D$933:$D$1011= $D1566)*(I$933:I$1011) ) + SUM( ($E$1016:$E$1039=$E$1427)*($A$1016:$A$1039=$A1566)*($D$1016:$D$1039=$D1566)*(I$1016:I$1039) ) )</f>
        <v>0</v>
      </c>
      <c r="J1566" s="1379">
        <f t="array" ref="J1566" xml:space="preserve"> SUM(EF[CH4]*(EF[SATIM Code]= $D1566)) * ( SUM( ($A$768:$A$846=$A1566)*($D$768:$D$846= $D1566)*(J$768:J$846) )  +  SUM( ($A$933:$A$1011=$A1566)*($D$933:$D$1011= $D1566)*(J$933:J$1011) ) + SUM( ($E$1016:$E$1039=$E$1427)*($A$1016:$A$1039=$A1566)*($D$1016:$D$1039=$D1566)*(J$1016:J$1039) ) )</f>
        <v>0</v>
      </c>
      <c r="K1566" s="1379">
        <f t="array" ref="K1566" xml:space="preserve"> SUM(EF[CH4]*(EF[SATIM Code]= $D1566)) * ( SUM( ($A$768:$A$846=$A1566)*($D$768:$D$846= $D1566)*(K$768:K$846) )  +  SUM( ($A$933:$A$1011=$A1566)*($D$933:$D$1011= $D1566)*(K$933:K$1011) ) + SUM( ($E$1016:$E$1039=$E$1427)*($A$1016:$A$1039=$A1566)*($D$1016:$D$1039=$D1566)*(K$1016:K$1039) ) )</f>
        <v>0</v>
      </c>
      <c r="L1566" s="1379">
        <f t="array" ref="L1566" xml:space="preserve"> SUM(EF[CH4]*(EF[SATIM Code]= $D1566)) * ( SUM( ($A$768:$A$846=$A1566)*($D$768:$D$846= $D1566)*(L$768:L$846) )  +  SUM( ($A$933:$A$1011=$A1566)*($D$933:$D$1011= $D1566)*(L$933:L$1011) ) + SUM( ($E$1016:$E$1039=$E$1427)*($A$1016:$A$1039=$A1566)*($D$1016:$D$1039=$D1566)*(L$1016:L$1039) ) )</f>
        <v>0</v>
      </c>
      <c r="M1566" s="1379">
        <f t="array" ref="M1566" xml:space="preserve"> SUM(EF[CH4]*(EF[SATIM Code]= $D1566)) * ( SUM( ($A$768:$A$846=$A1566)*($D$768:$D$846= $D1566)*(M$768:M$846) )  +  SUM( ($A$933:$A$1011=$A1566)*($D$933:$D$1011= $D1566)*(M$933:M$1011) ) + SUM( ($E$1016:$E$1039=$E$1427)*($A$1016:$A$1039=$A1566)*($D$1016:$D$1039=$D1566)*(M$1016:M$1039) ) )</f>
        <v>0</v>
      </c>
      <c r="N1566" s="1379">
        <f t="array" ref="N1566" xml:space="preserve"> SUM(EF[CH4]*(EF[SATIM Code]= $D1566)) * ( SUM( ($A$768:$A$846=$A1566)*($D$768:$D$846= $D1566)*(N$768:N$846) )  +  SUM( ($A$933:$A$1011=$A1566)*($D$933:$D$1011= $D1566)*(N$933:N$1011) ) + SUM( ($E$1016:$E$1039=$E$1427)*($A$1016:$A$1039=$A1566)*($D$1016:$D$1039=$D1566)*(N$1016:N$1039) ) )</f>
        <v>0</v>
      </c>
      <c r="O1566" s="1379">
        <f t="array" ref="O1566" xml:space="preserve"> SUM(EF[CH4]*(EF[SATIM Code]= $D1566)) * ( SUM( ($A$768:$A$846=$A1566)*($D$768:$D$846= $D1566)*(O$768:O$846) )  +  SUM( ($A$933:$A$1011=$A1566)*($D$933:$D$1011= $D1566)*(O$933:O$1011) ) + SUM( ($E$1016:$E$1039=$E$1427)*($A$1016:$A$1039=$A1566)*($D$1016:$D$1039=$D1566)*(O$1016:O$1039) ) )</f>
        <v>0</v>
      </c>
    </row>
    <row r="1567" spans="1:15" s="19" customFormat="1" hidden="1" outlineLevel="1">
      <c r="A1567" s="1438" t="str">
        <f>INDEX($C$20:$C$27,MATCH($C1566,$D$20:$D$27,0))</f>
        <v>NM</v>
      </c>
      <c r="B1567" s="1400" t="str">
        <f>INDEX(EF[UK Vector],MATCH(D1567,EF[SATIM Code],0))</f>
        <v>V.03</v>
      </c>
      <c r="C1567" s="1401" t="str">
        <f>INDEX(Vectors[Description], MATCH($B1567, Vectors[Code], 0))</f>
        <v>Solid hydrocarbons</v>
      </c>
      <c r="D1567" s="1391" t="s">
        <v>882</v>
      </c>
      <c r="E1567" s="1393"/>
      <c r="F1567" s="1379">
        <f t="array" ref="F1567" xml:space="preserve"> SUM(EF[CH4]*(EF[SATIM Code]= $D1567)) * ( SUM( ($A$768:$A$846=$A1567)*($D$768:$D$846= $D1567)*(F$768:F$846) )  +  SUM( ($A$933:$A$1011=$A1567)*($D$933:$D$1011= $D1567)*(F$933:F$1011) ) + SUM( ($E$1016:$E$1039=$E$1427)*($A$1016:$A$1039=$A1567)*($D$1016:$D$1039=$D1567)*(F$1016:F$1039) ) )</f>
        <v>1.1339999999999998E-3</v>
      </c>
      <c r="G1567" s="1379">
        <f t="array" ref="G1567" xml:space="preserve"> SUM(EF[CH4]*(EF[SATIM Code]= $D1567)) * ( SUM( ($A$768:$A$846=$A1567)*($D$768:$D$846= $D1567)*(G$768:G$846) )  +  SUM( ($A$933:$A$1011=$A1567)*($D$933:$D$1011= $D1567)*(G$933:G$1011) ) + SUM( ($E$1016:$E$1039=$E$1427)*($A$1016:$A$1039=$A1567)*($D$1016:$D$1039=$D1567)*(G$1016:G$1039) ) )</f>
        <v>1.3357706499411621E-3</v>
      </c>
      <c r="H1567" s="1379">
        <f t="array" ref="H1567" xml:space="preserve"> SUM(EF[CH4]*(EF[SATIM Code]= $D1567)) * ( SUM( ($A$768:$A$846=$A1567)*($D$768:$D$846= $D1567)*(H$768:H$846) )  +  SUM( ($A$933:$A$1011=$A1567)*($D$933:$D$1011= $D1567)*(H$933:H$1011) ) + SUM( ($E$1016:$E$1039=$E$1427)*($A$1016:$A$1039=$A1567)*($D$1016:$D$1039=$D1567)*(H$1016:H$1039) ) )</f>
        <v>1.6672250046935947E-3</v>
      </c>
      <c r="I1567" s="1379">
        <f t="array" ref="I1567" xml:space="preserve"> SUM(EF[CH4]*(EF[SATIM Code]= $D1567)) * ( SUM( ($A$768:$A$846=$A1567)*($D$768:$D$846= $D1567)*(I$768:I$846) )  +  SUM( ($A$933:$A$1011=$A1567)*($D$933:$D$1011= $D1567)*(I$933:I$1011) ) + SUM( ($E$1016:$E$1039=$E$1427)*($A$1016:$A$1039=$A1567)*($D$1016:$D$1039=$D1567)*(I$1016:I$1039) ) )</f>
        <v>1.9986793594460274E-3</v>
      </c>
      <c r="J1567" s="1379">
        <f t="array" ref="J1567" xml:space="preserve"> SUM(EF[CH4]*(EF[SATIM Code]= $D1567)) * ( SUM( ($A$768:$A$846=$A1567)*($D$768:$D$846= $D1567)*(J$768:J$846) )  +  SUM( ($A$933:$A$1011=$A1567)*($D$933:$D$1011= $D1567)*(J$933:J$1011) ) + SUM( ($E$1016:$E$1039=$E$1427)*($A$1016:$A$1039=$A1567)*($D$1016:$D$1039=$D1567)*(J$1016:J$1039) ) )</f>
        <v>2.5301696556386359E-3</v>
      </c>
      <c r="K1567" s="1379">
        <f t="array" ref="K1567" xml:space="preserve"> SUM(EF[CH4]*(EF[SATIM Code]= $D1567)) * ( SUM( ($A$768:$A$846=$A1567)*($D$768:$D$846= $D1567)*(K$768:K$846) )  +  SUM( ($A$933:$A$1011=$A1567)*($D$933:$D$1011= $D1567)*(K$933:K$1011) ) + SUM( ($E$1016:$E$1039=$E$1427)*($A$1016:$A$1039=$A1567)*($D$1016:$D$1039=$D1567)*(K$1016:K$1039) ) )</f>
        <v>3.0616599518312453E-3</v>
      </c>
      <c r="L1567" s="1379">
        <f t="array" ref="L1567" xml:space="preserve"> SUM(EF[CH4]*(EF[SATIM Code]= $D1567)) * ( SUM( ($A$768:$A$846=$A1567)*($D$768:$D$846= $D1567)*(L$768:L$846) )  +  SUM( ($A$933:$A$1011=$A1567)*($D$933:$D$1011= $D1567)*(L$933:L$1011) ) + SUM( ($E$1016:$E$1039=$E$1427)*($A$1016:$A$1039=$A1567)*($D$1016:$D$1039=$D1567)*(L$1016:L$1039) ) )</f>
        <v>3.9248218256867154E-3</v>
      </c>
      <c r="M1567" s="1379">
        <f t="array" ref="M1567" xml:space="preserve"> SUM(EF[CH4]*(EF[SATIM Code]= $D1567)) * ( SUM( ($A$768:$A$846=$A1567)*($D$768:$D$846= $D1567)*(M$768:M$846) )  +  SUM( ($A$933:$A$1011=$A1567)*($D$933:$D$1011= $D1567)*(M$933:M$1011) ) + SUM( ($E$1016:$E$1039=$E$1427)*($A$1016:$A$1039=$A1567)*($D$1016:$D$1039=$D1567)*(M$1016:M$1039) ) )</f>
        <v>4.7879836995421855E-3</v>
      </c>
      <c r="N1567" s="1379">
        <f t="array" ref="N1567" xml:space="preserve"> SUM(EF[CH4]*(EF[SATIM Code]= $D1567)) * ( SUM( ($A$768:$A$846=$A1567)*($D$768:$D$846= $D1567)*(N$768:N$846) )  +  SUM( ($A$933:$A$1011=$A1567)*($D$933:$D$1011= $D1567)*(N$933:N$1011) ) + SUM( ($E$1016:$E$1039=$E$1427)*($A$1016:$A$1039=$A1567)*($D$1016:$D$1039=$D1567)*(N$1016:N$1039) ) )</f>
        <v>5.8240300344016734E-3</v>
      </c>
      <c r="O1567" s="1379">
        <f t="array" ref="O1567" xml:space="preserve"> SUM(EF[CH4]*(EF[SATIM Code]= $D1567)) * ( SUM( ($A$768:$A$846=$A1567)*($D$768:$D$846= $D1567)*(O$768:O$846) )  +  SUM( ($A$933:$A$1011=$A1567)*($D$933:$D$1011= $D1567)*(O$933:O$1011) ) + SUM( ($E$1016:$E$1039=$E$1427)*($A$1016:$A$1039=$A1567)*($D$1016:$D$1039=$D1567)*(O$1016:O$1039) ) )</f>
        <v>6.8600763692611621E-3</v>
      </c>
    </row>
    <row r="1568" spans="1:15" s="19" customFormat="1" hidden="1" outlineLevel="1">
      <c r="A1568" s="19" t="str">
        <f t="shared" ref="A1568:A1575" si="301">A1567</f>
        <v>NM</v>
      </c>
      <c r="B1568" s="1400" t="str">
        <f>INDEX(EF[UK Vector],MATCH(D1568,EF[SATIM Code],0))</f>
        <v>V.03</v>
      </c>
      <c r="C1568" s="1401" t="str">
        <f>INDEX(Vectors[Description], MATCH($B1568, Vectors[Code], 0))</f>
        <v>Solid hydrocarbons</v>
      </c>
      <c r="D1568" s="1391" t="s">
        <v>883</v>
      </c>
      <c r="E1568" s="1393"/>
      <c r="F1568" s="1379">
        <f t="array" ref="F1568" xml:space="preserve"> SUM(EF[CH4]*(EF[SATIM Code]= $D1568)) * ( SUM( ($A$768:$A$846=$A1568)*($D$768:$D$846= $D1568)*(F$768:F$846) )  +  SUM( ($A$933:$A$1011=$A1568)*($D$933:$D$1011= $D1568)*(F$933:F$1011) ) + SUM( ($E$1016:$E$1039=$E$1427)*($A$1016:$A$1039=$A1568)*($D$1016:$D$1039=$D1568)*(F$1016:F$1039) ) )</f>
        <v>0</v>
      </c>
      <c r="G1568" s="1379">
        <f t="array" ref="G1568" xml:space="preserve"> SUM(EF[CH4]*(EF[SATIM Code]= $D1568)) * ( SUM( ($A$768:$A$846=$A1568)*($D$768:$D$846= $D1568)*(G$768:G$846) )  +  SUM( ($A$933:$A$1011=$A1568)*($D$933:$D$1011= $D1568)*(G$933:G$1011) ) + SUM( ($E$1016:$E$1039=$E$1427)*($A$1016:$A$1039=$A1568)*($D$1016:$D$1039=$D1568)*(G$1016:G$1039) ) )</f>
        <v>0</v>
      </c>
      <c r="H1568" s="1379">
        <f t="array" ref="H1568" xml:space="preserve"> SUM(EF[CH4]*(EF[SATIM Code]= $D1568)) * ( SUM( ($A$768:$A$846=$A1568)*($D$768:$D$846= $D1568)*(H$768:H$846) )  +  SUM( ($A$933:$A$1011=$A1568)*($D$933:$D$1011= $D1568)*(H$933:H$1011) ) + SUM( ($E$1016:$E$1039=$E$1427)*($A$1016:$A$1039=$A1568)*($D$1016:$D$1039=$D1568)*(H$1016:H$1039) ) )</f>
        <v>0</v>
      </c>
      <c r="I1568" s="1379">
        <f t="array" ref="I1568" xml:space="preserve"> SUM(EF[CH4]*(EF[SATIM Code]= $D1568)) * ( SUM( ($A$768:$A$846=$A1568)*($D$768:$D$846= $D1568)*(I$768:I$846) )  +  SUM( ($A$933:$A$1011=$A1568)*($D$933:$D$1011= $D1568)*(I$933:I$1011) ) + SUM( ($E$1016:$E$1039=$E$1427)*($A$1016:$A$1039=$A1568)*($D$1016:$D$1039=$D1568)*(I$1016:I$1039) ) )</f>
        <v>0</v>
      </c>
      <c r="J1568" s="1379">
        <f t="array" ref="J1568" xml:space="preserve"> SUM(EF[CH4]*(EF[SATIM Code]= $D1568)) * ( SUM( ($A$768:$A$846=$A1568)*($D$768:$D$846= $D1568)*(J$768:J$846) )  +  SUM( ($A$933:$A$1011=$A1568)*($D$933:$D$1011= $D1568)*(J$933:J$1011) ) + SUM( ($E$1016:$E$1039=$E$1427)*($A$1016:$A$1039=$A1568)*($D$1016:$D$1039=$D1568)*(J$1016:J$1039) ) )</f>
        <v>0</v>
      </c>
      <c r="K1568" s="1379">
        <f t="array" ref="K1568" xml:space="preserve"> SUM(EF[CH4]*(EF[SATIM Code]= $D1568)) * ( SUM( ($A$768:$A$846=$A1568)*($D$768:$D$846= $D1568)*(K$768:K$846) )  +  SUM( ($A$933:$A$1011=$A1568)*($D$933:$D$1011= $D1568)*(K$933:K$1011) ) + SUM( ($E$1016:$E$1039=$E$1427)*($A$1016:$A$1039=$A1568)*($D$1016:$D$1039=$D1568)*(K$1016:K$1039) ) )</f>
        <v>0</v>
      </c>
      <c r="L1568" s="1379">
        <f t="array" ref="L1568" xml:space="preserve"> SUM(EF[CH4]*(EF[SATIM Code]= $D1568)) * ( SUM( ($A$768:$A$846=$A1568)*($D$768:$D$846= $D1568)*(L$768:L$846) )  +  SUM( ($A$933:$A$1011=$A1568)*($D$933:$D$1011= $D1568)*(L$933:L$1011) ) + SUM( ($E$1016:$E$1039=$E$1427)*($A$1016:$A$1039=$A1568)*($D$1016:$D$1039=$D1568)*(L$1016:L$1039) ) )</f>
        <v>0</v>
      </c>
      <c r="M1568" s="1379">
        <f t="array" ref="M1568" xml:space="preserve"> SUM(EF[CH4]*(EF[SATIM Code]= $D1568)) * ( SUM( ($A$768:$A$846=$A1568)*($D$768:$D$846= $D1568)*(M$768:M$846) )  +  SUM( ($A$933:$A$1011=$A1568)*($D$933:$D$1011= $D1568)*(M$933:M$1011) ) + SUM( ($E$1016:$E$1039=$E$1427)*($A$1016:$A$1039=$A1568)*($D$1016:$D$1039=$D1568)*(M$1016:M$1039) ) )</f>
        <v>0</v>
      </c>
      <c r="N1568" s="1379">
        <f t="array" ref="N1568" xml:space="preserve"> SUM(EF[CH4]*(EF[SATIM Code]= $D1568)) * ( SUM( ($A$768:$A$846=$A1568)*($D$768:$D$846= $D1568)*(N$768:N$846) )  +  SUM( ($A$933:$A$1011=$A1568)*($D$933:$D$1011= $D1568)*(N$933:N$1011) ) + SUM( ($E$1016:$E$1039=$E$1427)*($A$1016:$A$1039=$A1568)*($D$1016:$D$1039=$D1568)*(N$1016:N$1039) ) )</f>
        <v>0</v>
      </c>
      <c r="O1568" s="1379">
        <f t="array" ref="O1568" xml:space="preserve"> SUM(EF[CH4]*(EF[SATIM Code]= $D1568)) * ( SUM( ($A$768:$A$846=$A1568)*($D$768:$D$846= $D1568)*(O$768:O$846) )  +  SUM( ($A$933:$A$1011=$A1568)*($D$933:$D$1011= $D1568)*(O$933:O$1011) ) + SUM( ($E$1016:$E$1039=$E$1427)*($A$1016:$A$1039=$A1568)*($D$1016:$D$1039=$D1568)*(O$1016:O$1039) ) )</f>
        <v>0</v>
      </c>
    </row>
    <row r="1569" spans="1:15" s="19" customFormat="1" hidden="1" outlineLevel="1">
      <c r="A1569" s="19" t="str">
        <f t="shared" si="301"/>
        <v>NM</v>
      </c>
      <c r="B1569" s="1400" t="str">
        <f>INDEX(EF[UK Vector],MATCH(D1569,EF[SATIM Code],0))</f>
        <v>V.05</v>
      </c>
      <c r="C1569" s="1401" t="str">
        <f>INDEX(Vectors[Description], MATCH($B1569, Vectors[Code], 0))</f>
        <v>Gaseous hydrocarbons</v>
      </c>
      <c r="D1569" s="1406" t="s">
        <v>869</v>
      </c>
      <c r="E1569" s="1393"/>
      <c r="F1569" s="1379">
        <f t="array" ref="F1569" xml:space="preserve"> SUM(EF[CH4]*(EF[SATIM Code]= $D1569)) * ( SUM( ($A$768:$A$846=$A1569)*($D$768:$D$846= $D1569)*(F$768:F$846) )  +  SUM( ($A$933:$A$1011=$A1569)*($D$933:$D$1011= $D1569)*(F$933:F$1011) ) + SUM( ($E$1016:$E$1039=$E$1427)*($A$1016:$A$1039=$A1569)*($D$1016:$D$1039=$D1569)*(F$1016:F$1039) ) )</f>
        <v>1.6523849999999999E-4</v>
      </c>
      <c r="G1569" s="1379">
        <f t="array" ref="G1569" xml:space="preserve"> SUM(EF[CH4]*(EF[SATIM Code]= $D1569)) * ( SUM( ($A$768:$A$846=$A1569)*($D$768:$D$846= $D1569)*(G$768:G$846) )  +  SUM( ($A$933:$A$1011=$A1569)*($D$933:$D$1011= $D1569)*(G$933:G$1011) ) + SUM( ($E$1016:$E$1039=$E$1427)*($A$1016:$A$1039=$A1569)*($D$1016:$D$1039=$D1569)*(G$1016:G$1039) ) )</f>
        <v>1.9463909924188953E-4</v>
      </c>
      <c r="H1569" s="1379">
        <f t="array" ref="H1569" xml:space="preserve"> SUM(EF[CH4]*(EF[SATIM Code]= $D1569)) * ( SUM( ($A$768:$A$846=$A1569)*($D$768:$D$846= $D1569)*(H$768:H$846) )  +  SUM( ($A$933:$A$1011=$A1569)*($D$933:$D$1011= $D1569)*(H$933:H$1011) ) + SUM( ($E$1016:$E$1039=$E$1427)*($A$1016:$A$1039=$A1569)*($D$1016:$D$1039=$D1569)*(H$1016:H$1039) ) )</f>
        <v>2.4293629535984354E-4</v>
      </c>
      <c r="I1569" s="1379">
        <f t="array" ref="I1569" xml:space="preserve"> SUM(EF[CH4]*(EF[SATIM Code]= $D1569)) * ( SUM( ($A$768:$A$846=$A1569)*($D$768:$D$846= $D1569)*(I$768:I$846) )  +  SUM( ($A$933:$A$1011=$A1569)*($D$933:$D$1011= $D1569)*(I$933:I$1011) ) + SUM( ($E$1016:$E$1039=$E$1427)*($A$1016:$A$1039=$A1569)*($D$1016:$D$1039=$D1569)*(I$1016:I$1039) ) )</f>
        <v>2.9123349147779754E-4</v>
      </c>
      <c r="J1569" s="1379">
        <f t="array" ref="J1569" xml:space="preserve"> SUM(EF[CH4]*(EF[SATIM Code]= $D1569)) * ( SUM( ($A$768:$A$846=$A1569)*($D$768:$D$846= $D1569)*(J$768:J$846) )  +  SUM( ($A$933:$A$1011=$A1569)*($D$933:$D$1011= $D1569)*(J$933:J$1011) ) + SUM( ($E$1016:$E$1039=$E$1427)*($A$1016:$A$1039=$A1569)*($D$1016:$D$1039=$D1569)*(J$1016:J$1039) ) )</f>
        <v>3.6867851732208534E-4</v>
      </c>
      <c r="K1569" s="1379">
        <f t="array" ref="K1569" xml:space="preserve"> SUM(EF[CH4]*(EF[SATIM Code]= $D1569)) * ( SUM( ($A$768:$A$846=$A1569)*($D$768:$D$846= $D1569)*(K$768:K$846) )  +  SUM( ($A$933:$A$1011=$A1569)*($D$933:$D$1011= $D1569)*(K$933:K$1011) ) + SUM( ($E$1016:$E$1039=$E$1427)*($A$1016:$A$1039=$A1569)*($D$1016:$D$1039=$D1569)*(K$1016:K$1039) ) )</f>
        <v>4.4612354316637319E-4</v>
      </c>
      <c r="L1569" s="1379">
        <f t="array" ref="L1569" xml:space="preserve"> SUM(EF[CH4]*(EF[SATIM Code]= $D1569)) * ( SUM( ($A$768:$A$846=$A1569)*($D$768:$D$846= $D1569)*(L$768:L$846) )  +  SUM( ($A$933:$A$1011=$A1569)*($D$933:$D$1011= $D1569)*(L$933:L$1011) ) + SUM( ($E$1016:$E$1039=$E$1427)*($A$1016:$A$1039=$A1569)*($D$1016:$D$1039=$D1569)*(L$1016:L$1039) ) )</f>
        <v>5.7189741732251696E-4</v>
      </c>
      <c r="M1569" s="1379">
        <f t="array" ref="M1569" xml:space="preserve"> SUM(EF[CH4]*(EF[SATIM Code]= $D1569)) * ( SUM( ($A$768:$A$846=$A1569)*($D$768:$D$846= $D1569)*(M$768:M$846) )  +  SUM( ($A$933:$A$1011=$A1569)*($D$933:$D$1011= $D1569)*(M$933:M$1011) ) + SUM( ($E$1016:$E$1039=$E$1427)*($A$1016:$A$1039=$A1569)*($D$1016:$D$1039=$D1569)*(M$1016:M$1039) ) )</f>
        <v>6.9767129147866084E-4</v>
      </c>
      <c r="N1569" s="1379">
        <f t="array" ref="N1569" xml:space="preserve"> SUM(EF[CH4]*(EF[SATIM Code]= $D1569)) * ( SUM( ($A$768:$A$846=$A1569)*($D$768:$D$846= $D1569)*(N$768:N$846) )  +  SUM( ($A$933:$A$1011=$A1569)*($D$933:$D$1011= $D1569)*(N$933:N$1011) ) + SUM( ($E$1016:$E$1039=$E$1427)*($A$1016:$A$1039=$A1569)*($D$1016:$D$1039=$D1569)*(N$1016:N$1039) ) )</f>
        <v>8.4863667269795523E-4</v>
      </c>
      <c r="O1569" s="1379">
        <f t="array" ref="O1569" xml:space="preserve"> SUM(EF[CH4]*(EF[SATIM Code]= $D1569)) * ( SUM( ($A$768:$A$846=$A1569)*($D$768:$D$846= $D1569)*(O$768:O$846) )  +  SUM( ($A$933:$A$1011=$A1569)*($D$933:$D$1011= $D1569)*(O$933:O$1011) ) + SUM( ($E$1016:$E$1039=$E$1427)*($A$1016:$A$1039=$A1569)*($D$1016:$D$1039=$D1569)*(O$1016:O$1039) ) )</f>
        <v>9.996020539172494E-4</v>
      </c>
    </row>
    <row r="1570" spans="1:15" s="19" customFormat="1" hidden="1" outlineLevel="1">
      <c r="A1570" s="19" t="str">
        <f t="shared" si="301"/>
        <v>NM</v>
      </c>
      <c r="B1570" s="1400" t="str">
        <f>INDEX(EF[UK Vector],MATCH(D1570,EF[SATIM Code],0))</f>
        <v>V.04</v>
      </c>
      <c r="C1570" s="1401" t="str">
        <f>INDEX(Vectors[Description], MATCH($B1570, Vectors[Code], 0))</f>
        <v>Liquid hydrocarbons</v>
      </c>
      <c r="D1570" s="1406" t="s">
        <v>885</v>
      </c>
      <c r="E1570" s="1393"/>
      <c r="F1570" s="1379">
        <f t="array" ref="F1570" xml:space="preserve"> SUM(EF[CH4]*(EF[SATIM Code]= $D1570)) * ( SUM( ($A$768:$A$846=$A1570)*($D$768:$D$846= $D1570)*(F$768:F$846) )  +  SUM( ($A$933:$A$1011=$A1570)*($D$933:$D$1011= $D1570)*(F$933:F$1011) ) + SUM( ($E$1016:$E$1039=$E$1427)*($A$1016:$A$1039=$A1570)*($D$1016:$D$1039=$D1570)*(F$1016:F$1039) ) )</f>
        <v>0</v>
      </c>
      <c r="G1570" s="1379">
        <f t="array" ref="G1570" xml:space="preserve"> SUM(EF[CH4]*(EF[SATIM Code]= $D1570)) * ( SUM( ($A$768:$A$846=$A1570)*($D$768:$D$846= $D1570)*(G$768:G$846) )  +  SUM( ($A$933:$A$1011=$A1570)*($D$933:$D$1011= $D1570)*(G$933:G$1011) ) + SUM( ($E$1016:$E$1039=$E$1427)*($A$1016:$A$1039=$A1570)*($D$1016:$D$1039=$D1570)*(G$1016:G$1039) ) )</f>
        <v>0</v>
      </c>
      <c r="H1570" s="1379">
        <f t="array" ref="H1570" xml:space="preserve"> SUM(EF[CH4]*(EF[SATIM Code]= $D1570)) * ( SUM( ($A$768:$A$846=$A1570)*($D$768:$D$846= $D1570)*(H$768:H$846) )  +  SUM( ($A$933:$A$1011=$A1570)*($D$933:$D$1011= $D1570)*(H$933:H$1011) ) + SUM( ($E$1016:$E$1039=$E$1427)*($A$1016:$A$1039=$A1570)*($D$1016:$D$1039=$D1570)*(H$1016:H$1039) ) )</f>
        <v>0</v>
      </c>
      <c r="I1570" s="1379">
        <f t="array" ref="I1570" xml:space="preserve"> SUM(EF[CH4]*(EF[SATIM Code]= $D1570)) * ( SUM( ($A$768:$A$846=$A1570)*($D$768:$D$846= $D1570)*(I$768:I$846) )  +  SUM( ($A$933:$A$1011=$A1570)*($D$933:$D$1011= $D1570)*(I$933:I$1011) ) + SUM( ($E$1016:$E$1039=$E$1427)*($A$1016:$A$1039=$A1570)*($D$1016:$D$1039=$D1570)*(I$1016:I$1039) ) )</f>
        <v>0</v>
      </c>
      <c r="J1570" s="1379">
        <f t="array" ref="J1570" xml:space="preserve"> SUM(EF[CH4]*(EF[SATIM Code]= $D1570)) * ( SUM( ($A$768:$A$846=$A1570)*($D$768:$D$846= $D1570)*(J$768:J$846) )  +  SUM( ($A$933:$A$1011=$A1570)*($D$933:$D$1011= $D1570)*(J$933:J$1011) ) + SUM( ($E$1016:$E$1039=$E$1427)*($A$1016:$A$1039=$A1570)*($D$1016:$D$1039=$D1570)*(J$1016:J$1039) ) )</f>
        <v>0</v>
      </c>
      <c r="K1570" s="1379">
        <f t="array" ref="K1570" xml:space="preserve"> SUM(EF[CH4]*(EF[SATIM Code]= $D1570)) * ( SUM( ($A$768:$A$846=$A1570)*($D$768:$D$846= $D1570)*(K$768:K$846) )  +  SUM( ($A$933:$A$1011=$A1570)*($D$933:$D$1011= $D1570)*(K$933:K$1011) ) + SUM( ($E$1016:$E$1039=$E$1427)*($A$1016:$A$1039=$A1570)*($D$1016:$D$1039=$D1570)*(K$1016:K$1039) ) )</f>
        <v>0</v>
      </c>
      <c r="L1570" s="1379">
        <f t="array" ref="L1570" xml:space="preserve"> SUM(EF[CH4]*(EF[SATIM Code]= $D1570)) * ( SUM( ($A$768:$A$846=$A1570)*($D$768:$D$846= $D1570)*(L$768:L$846) )  +  SUM( ($A$933:$A$1011=$A1570)*($D$933:$D$1011= $D1570)*(L$933:L$1011) ) + SUM( ($E$1016:$E$1039=$E$1427)*($A$1016:$A$1039=$A1570)*($D$1016:$D$1039=$D1570)*(L$1016:L$1039) ) )</f>
        <v>0</v>
      </c>
      <c r="M1570" s="1379">
        <f t="array" ref="M1570" xml:space="preserve"> SUM(EF[CH4]*(EF[SATIM Code]= $D1570)) * ( SUM( ($A$768:$A$846=$A1570)*($D$768:$D$846= $D1570)*(M$768:M$846) )  +  SUM( ($A$933:$A$1011=$A1570)*($D$933:$D$1011= $D1570)*(M$933:M$1011) ) + SUM( ($E$1016:$E$1039=$E$1427)*($A$1016:$A$1039=$A1570)*($D$1016:$D$1039=$D1570)*(M$1016:M$1039) ) )</f>
        <v>0</v>
      </c>
      <c r="N1570" s="1379">
        <f t="array" ref="N1570" xml:space="preserve"> SUM(EF[CH4]*(EF[SATIM Code]= $D1570)) * ( SUM( ($A$768:$A$846=$A1570)*($D$768:$D$846= $D1570)*(N$768:N$846) )  +  SUM( ($A$933:$A$1011=$A1570)*($D$933:$D$1011= $D1570)*(N$933:N$1011) ) + SUM( ($E$1016:$E$1039=$E$1427)*($A$1016:$A$1039=$A1570)*($D$1016:$D$1039=$D1570)*(N$1016:N$1039) ) )</f>
        <v>0</v>
      </c>
      <c r="O1570" s="1379">
        <f t="array" ref="O1570" xml:space="preserve"> SUM(EF[CH4]*(EF[SATIM Code]= $D1570)) * ( SUM( ($A$768:$A$846=$A1570)*($D$768:$D$846= $D1570)*(O$768:O$846) )  +  SUM( ($A$933:$A$1011=$A1570)*($D$933:$D$1011= $D1570)*(O$933:O$1011) ) + SUM( ($E$1016:$E$1039=$E$1427)*($A$1016:$A$1039=$A1570)*($D$1016:$D$1039=$D1570)*(O$1016:O$1039) ) )</f>
        <v>0</v>
      </c>
    </row>
    <row r="1571" spans="1:15" s="19" customFormat="1" hidden="1" outlineLevel="1">
      <c r="A1571" s="19" t="str">
        <f t="shared" si="301"/>
        <v>NM</v>
      </c>
      <c r="B1571" s="1400" t="str">
        <f>INDEX(EF[UK Vector],MATCH(D1571,EF[SATIM Code],0))</f>
        <v>V.04</v>
      </c>
      <c r="C1571" s="1401" t="str">
        <f>INDEX(Vectors[Description], MATCH($B1571, Vectors[Code], 0))</f>
        <v>Liquid hydrocarbons</v>
      </c>
      <c r="D1571" s="1391" t="s">
        <v>886</v>
      </c>
      <c r="E1571" s="1393"/>
      <c r="F1571" s="1379">
        <f t="array" ref="F1571" xml:space="preserve"> SUM(EF[CH4]*(EF[SATIM Code]= $D1571)) * ( SUM( ($A$768:$A$846=$A1571)*($D$768:$D$846= $D1571)*(F$768:F$846) )  +  SUM( ($A$933:$A$1011=$A1571)*($D$933:$D$1011= $D1571)*(F$933:F$1011) ) + SUM( ($E$1016:$E$1039=$E$1427)*($A$1016:$A$1039=$A1571)*($D$1016:$D$1039=$D1571)*(F$1016:F$1039) ) )</f>
        <v>0</v>
      </c>
      <c r="G1571" s="1379">
        <f t="array" ref="G1571" xml:space="preserve"> SUM(EF[CH4]*(EF[SATIM Code]= $D1571)) * ( SUM( ($A$768:$A$846=$A1571)*($D$768:$D$846= $D1571)*(G$768:G$846) )  +  SUM( ($A$933:$A$1011=$A1571)*($D$933:$D$1011= $D1571)*(G$933:G$1011) ) + SUM( ($E$1016:$E$1039=$E$1427)*($A$1016:$A$1039=$A1571)*($D$1016:$D$1039=$D1571)*(G$1016:G$1039) ) )</f>
        <v>0</v>
      </c>
      <c r="H1571" s="1379">
        <f t="array" ref="H1571" xml:space="preserve"> SUM(EF[CH4]*(EF[SATIM Code]= $D1571)) * ( SUM( ($A$768:$A$846=$A1571)*($D$768:$D$846= $D1571)*(H$768:H$846) )  +  SUM( ($A$933:$A$1011=$A1571)*($D$933:$D$1011= $D1571)*(H$933:H$1011) ) + SUM( ($E$1016:$E$1039=$E$1427)*($A$1016:$A$1039=$A1571)*($D$1016:$D$1039=$D1571)*(H$1016:H$1039) ) )</f>
        <v>0</v>
      </c>
      <c r="I1571" s="1379">
        <f t="array" ref="I1571" xml:space="preserve"> SUM(EF[CH4]*(EF[SATIM Code]= $D1571)) * ( SUM( ($A$768:$A$846=$A1571)*($D$768:$D$846= $D1571)*(I$768:I$846) )  +  SUM( ($A$933:$A$1011=$A1571)*($D$933:$D$1011= $D1571)*(I$933:I$1011) ) + SUM( ($E$1016:$E$1039=$E$1427)*($A$1016:$A$1039=$A1571)*($D$1016:$D$1039=$D1571)*(I$1016:I$1039) ) )</f>
        <v>0</v>
      </c>
      <c r="J1571" s="1379">
        <f t="array" ref="J1571" xml:space="preserve"> SUM(EF[CH4]*(EF[SATIM Code]= $D1571)) * ( SUM( ($A$768:$A$846=$A1571)*($D$768:$D$846= $D1571)*(J$768:J$846) )  +  SUM( ($A$933:$A$1011=$A1571)*($D$933:$D$1011= $D1571)*(J$933:J$1011) ) + SUM( ($E$1016:$E$1039=$E$1427)*($A$1016:$A$1039=$A1571)*($D$1016:$D$1039=$D1571)*(J$1016:J$1039) ) )</f>
        <v>0</v>
      </c>
      <c r="K1571" s="1379">
        <f t="array" ref="K1571" xml:space="preserve"> SUM(EF[CH4]*(EF[SATIM Code]= $D1571)) * ( SUM( ($A$768:$A$846=$A1571)*($D$768:$D$846= $D1571)*(K$768:K$846) )  +  SUM( ($A$933:$A$1011=$A1571)*($D$933:$D$1011= $D1571)*(K$933:K$1011) ) + SUM( ($E$1016:$E$1039=$E$1427)*($A$1016:$A$1039=$A1571)*($D$1016:$D$1039=$D1571)*(K$1016:K$1039) ) )</f>
        <v>0</v>
      </c>
      <c r="L1571" s="1379">
        <f t="array" ref="L1571" xml:space="preserve"> SUM(EF[CH4]*(EF[SATIM Code]= $D1571)) * ( SUM( ($A$768:$A$846=$A1571)*($D$768:$D$846= $D1571)*(L$768:L$846) )  +  SUM( ($A$933:$A$1011=$A1571)*($D$933:$D$1011= $D1571)*(L$933:L$1011) ) + SUM( ($E$1016:$E$1039=$E$1427)*($A$1016:$A$1039=$A1571)*($D$1016:$D$1039=$D1571)*(L$1016:L$1039) ) )</f>
        <v>0</v>
      </c>
      <c r="M1571" s="1379">
        <f t="array" ref="M1571" xml:space="preserve"> SUM(EF[CH4]*(EF[SATIM Code]= $D1571)) * ( SUM( ($A$768:$A$846=$A1571)*($D$768:$D$846= $D1571)*(M$768:M$846) )  +  SUM( ($A$933:$A$1011=$A1571)*($D$933:$D$1011= $D1571)*(M$933:M$1011) ) + SUM( ($E$1016:$E$1039=$E$1427)*($A$1016:$A$1039=$A1571)*($D$1016:$D$1039=$D1571)*(M$1016:M$1039) ) )</f>
        <v>0</v>
      </c>
      <c r="N1571" s="1379">
        <f t="array" ref="N1571" xml:space="preserve"> SUM(EF[CH4]*(EF[SATIM Code]= $D1571)) * ( SUM( ($A$768:$A$846=$A1571)*($D$768:$D$846= $D1571)*(N$768:N$846) )  +  SUM( ($A$933:$A$1011=$A1571)*($D$933:$D$1011= $D1571)*(N$933:N$1011) ) + SUM( ($E$1016:$E$1039=$E$1427)*($A$1016:$A$1039=$A1571)*($D$1016:$D$1039=$D1571)*(N$1016:N$1039) ) )</f>
        <v>0</v>
      </c>
      <c r="O1571" s="1379">
        <f t="array" ref="O1571" xml:space="preserve"> SUM(EF[CH4]*(EF[SATIM Code]= $D1571)) * ( SUM( ($A$768:$A$846=$A1571)*($D$768:$D$846= $D1571)*(O$768:O$846) )  +  SUM( ($A$933:$A$1011=$A1571)*($D$933:$D$1011= $D1571)*(O$933:O$1011) ) + SUM( ($E$1016:$E$1039=$E$1427)*($A$1016:$A$1039=$A1571)*($D$1016:$D$1039=$D1571)*(O$1016:O$1039) ) )</f>
        <v>0</v>
      </c>
    </row>
    <row r="1572" spans="1:15" s="19" customFormat="1" hidden="1" outlineLevel="1">
      <c r="A1572" s="19" t="str">
        <f t="shared" si="301"/>
        <v>NM</v>
      </c>
      <c r="B1572" s="1400" t="str">
        <f>INDEX(EF[UK Vector],MATCH(D1572,EF[SATIM Code],0))</f>
        <v>V.04</v>
      </c>
      <c r="C1572" s="1401" t="str">
        <f>INDEX(Vectors[Description], MATCH($B1572, Vectors[Code], 0))</f>
        <v>Liquid hydrocarbons</v>
      </c>
      <c r="D1572" s="1406" t="s">
        <v>887</v>
      </c>
      <c r="E1572" s="1393"/>
      <c r="F1572" s="1379">
        <f t="array" ref="F1572" xml:space="preserve"> SUM(EF[CH4]*(EF[SATIM Code]= $D1572)) * ( SUM( ($A$768:$A$846=$A1572)*($D$768:$D$846= $D1572)*(F$768:F$846) )  +  SUM( ($A$933:$A$1011=$A1572)*($D$933:$D$1011= $D1572)*(F$933:F$1011) ) + SUM( ($E$1016:$E$1039=$E$1427)*($A$1016:$A$1039=$A1572)*($D$1016:$D$1039=$D1572)*(F$1016:F$1039) ) )</f>
        <v>0</v>
      </c>
      <c r="G1572" s="1379">
        <f t="array" ref="G1572" xml:space="preserve"> SUM(EF[CH4]*(EF[SATIM Code]= $D1572)) * ( SUM( ($A$768:$A$846=$A1572)*($D$768:$D$846= $D1572)*(G$768:G$846) )  +  SUM( ($A$933:$A$1011=$A1572)*($D$933:$D$1011= $D1572)*(G$933:G$1011) ) + SUM( ($E$1016:$E$1039=$E$1427)*($A$1016:$A$1039=$A1572)*($D$1016:$D$1039=$D1572)*(G$1016:G$1039) ) )</f>
        <v>0</v>
      </c>
      <c r="H1572" s="1379">
        <f t="array" ref="H1572" xml:space="preserve"> SUM(EF[CH4]*(EF[SATIM Code]= $D1572)) * ( SUM( ($A$768:$A$846=$A1572)*($D$768:$D$846= $D1572)*(H$768:H$846) )  +  SUM( ($A$933:$A$1011=$A1572)*($D$933:$D$1011= $D1572)*(H$933:H$1011) ) + SUM( ($E$1016:$E$1039=$E$1427)*($A$1016:$A$1039=$A1572)*($D$1016:$D$1039=$D1572)*(H$1016:H$1039) ) )</f>
        <v>0</v>
      </c>
      <c r="I1572" s="1379">
        <f t="array" ref="I1572" xml:space="preserve"> SUM(EF[CH4]*(EF[SATIM Code]= $D1572)) * ( SUM( ($A$768:$A$846=$A1572)*($D$768:$D$846= $D1572)*(I$768:I$846) )  +  SUM( ($A$933:$A$1011=$A1572)*($D$933:$D$1011= $D1572)*(I$933:I$1011) ) + SUM( ($E$1016:$E$1039=$E$1427)*($A$1016:$A$1039=$A1572)*($D$1016:$D$1039=$D1572)*(I$1016:I$1039) ) )</f>
        <v>0</v>
      </c>
      <c r="J1572" s="1379">
        <f t="array" ref="J1572" xml:space="preserve"> SUM(EF[CH4]*(EF[SATIM Code]= $D1572)) * ( SUM( ($A$768:$A$846=$A1572)*($D$768:$D$846= $D1572)*(J$768:J$846) )  +  SUM( ($A$933:$A$1011=$A1572)*($D$933:$D$1011= $D1572)*(J$933:J$1011) ) + SUM( ($E$1016:$E$1039=$E$1427)*($A$1016:$A$1039=$A1572)*($D$1016:$D$1039=$D1572)*(J$1016:J$1039) ) )</f>
        <v>0</v>
      </c>
      <c r="K1572" s="1379">
        <f t="array" ref="K1572" xml:space="preserve"> SUM(EF[CH4]*(EF[SATIM Code]= $D1572)) * ( SUM( ($A$768:$A$846=$A1572)*($D$768:$D$846= $D1572)*(K$768:K$846) )  +  SUM( ($A$933:$A$1011=$A1572)*($D$933:$D$1011= $D1572)*(K$933:K$1011) ) + SUM( ($E$1016:$E$1039=$E$1427)*($A$1016:$A$1039=$A1572)*($D$1016:$D$1039=$D1572)*(K$1016:K$1039) ) )</f>
        <v>0</v>
      </c>
      <c r="L1572" s="1379">
        <f t="array" ref="L1572" xml:space="preserve"> SUM(EF[CH4]*(EF[SATIM Code]= $D1572)) * ( SUM( ($A$768:$A$846=$A1572)*($D$768:$D$846= $D1572)*(L$768:L$846) )  +  SUM( ($A$933:$A$1011=$A1572)*($D$933:$D$1011= $D1572)*(L$933:L$1011) ) + SUM( ($E$1016:$E$1039=$E$1427)*($A$1016:$A$1039=$A1572)*($D$1016:$D$1039=$D1572)*(L$1016:L$1039) ) )</f>
        <v>0</v>
      </c>
      <c r="M1572" s="1379">
        <f t="array" ref="M1572" xml:space="preserve"> SUM(EF[CH4]*(EF[SATIM Code]= $D1572)) * ( SUM( ($A$768:$A$846=$A1572)*($D$768:$D$846= $D1572)*(M$768:M$846) )  +  SUM( ($A$933:$A$1011=$A1572)*($D$933:$D$1011= $D1572)*(M$933:M$1011) ) + SUM( ($E$1016:$E$1039=$E$1427)*($A$1016:$A$1039=$A1572)*($D$1016:$D$1039=$D1572)*(M$1016:M$1039) ) )</f>
        <v>0</v>
      </c>
      <c r="N1572" s="1379">
        <f t="array" ref="N1572" xml:space="preserve"> SUM(EF[CH4]*(EF[SATIM Code]= $D1572)) * ( SUM( ($A$768:$A$846=$A1572)*($D$768:$D$846= $D1572)*(N$768:N$846) )  +  SUM( ($A$933:$A$1011=$A1572)*($D$933:$D$1011= $D1572)*(N$933:N$1011) ) + SUM( ($E$1016:$E$1039=$E$1427)*($A$1016:$A$1039=$A1572)*($D$1016:$D$1039=$D1572)*(N$1016:N$1039) ) )</f>
        <v>0</v>
      </c>
      <c r="O1572" s="1379">
        <f t="array" ref="O1572" xml:space="preserve"> SUM(EF[CH4]*(EF[SATIM Code]= $D1572)) * ( SUM( ($A$768:$A$846=$A1572)*($D$768:$D$846= $D1572)*(O$768:O$846) )  +  SUM( ($A$933:$A$1011=$A1572)*($D$933:$D$1011= $D1572)*(O$933:O$1011) ) + SUM( ($E$1016:$E$1039=$E$1427)*($A$1016:$A$1039=$A1572)*($D$1016:$D$1039=$D1572)*(O$1016:O$1039) ) )</f>
        <v>0</v>
      </c>
    </row>
    <row r="1573" spans="1:15" s="19" customFormat="1" hidden="1" outlineLevel="1">
      <c r="A1573" s="19" t="str">
        <f t="shared" si="301"/>
        <v>NM</v>
      </c>
      <c r="B1573" s="1400" t="str">
        <f>INDEX(EF[UK Vector],MATCH(D1573,EF[SATIM Code],0))</f>
        <v>V.09</v>
      </c>
      <c r="C1573" s="1401" t="str">
        <f>INDEX(Vectors[Description], MATCH($B1573, Vectors[Code], 0))</f>
        <v>Dry biomass and waste</v>
      </c>
      <c r="D1573" s="1406" t="s">
        <v>888</v>
      </c>
      <c r="E1573" s="1393"/>
      <c r="F1573" s="1379">
        <f t="array" ref="F1573" xml:space="preserve"> SUM(EF[CH4]*(EF[SATIM Code]= $D1573)) * ( SUM( ($A$768:$A$846=$A1573)*($D$768:$D$846= $D1573)*(F$768:F$846) )  +  SUM( ($A$933:$A$1011=$A1573)*($D$933:$D$1011= $D1573)*(F$933:F$1011) ) + SUM( ($E$1016:$E$1039=$E$1427)*($A$1016:$A$1039=$A1573)*($D$1016:$D$1039=$D1573)*(F$1016:F$1039) ) )</f>
        <v>0</v>
      </c>
      <c r="G1573" s="1379">
        <f t="array" ref="G1573" xml:space="preserve"> SUM(EF[CH4]*(EF[SATIM Code]= $D1573)) * ( SUM( ($A$768:$A$846=$A1573)*($D$768:$D$846= $D1573)*(G$768:G$846) )  +  SUM( ($A$933:$A$1011=$A1573)*($D$933:$D$1011= $D1573)*(G$933:G$1011) ) + SUM( ($E$1016:$E$1039=$E$1427)*($A$1016:$A$1039=$A1573)*($D$1016:$D$1039=$D1573)*(G$1016:G$1039) ) )</f>
        <v>0</v>
      </c>
      <c r="H1573" s="1379">
        <f t="array" ref="H1573" xml:space="preserve"> SUM(EF[CH4]*(EF[SATIM Code]= $D1573)) * ( SUM( ($A$768:$A$846=$A1573)*($D$768:$D$846= $D1573)*(H$768:H$846) )  +  SUM( ($A$933:$A$1011=$A1573)*($D$933:$D$1011= $D1573)*(H$933:H$1011) ) + SUM( ($E$1016:$E$1039=$E$1427)*($A$1016:$A$1039=$A1573)*($D$1016:$D$1039=$D1573)*(H$1016:H$1039) ) )</f>
        <v>0</v>
      </c>
      <c r="I1573" s="1379">
        <f t="array" ref="I1573" xml:space="preserve"> SUM(EF[CH4]*(EF[SATIM Code]= $D1573)) * ( SUM( ($A$768:$A$846=$A1573)*($D$768:$D$846= $D1573)*(I$768:I$846) )  +  SUM( ($A$933:$A$1011=$A1573)*($D$933:$D$1011= $D1573)*(I$933:I$1011) ) + SUM( ($E$1016:$E$1039=$E$1427)*($A$1016:$A$1039=$A1573)*($D$1016:$D$1039=$D1573)*(I$1016:I$1039) ) )</f>
        <v>0</v>
      </c>
      <c r="J1573" s="1379">
        <f t="array" ref="J1573" xml:space="preserve"> SUM(EF[CH4]*(EF[SATIM Code]= $D1573)) * ( SUM( ($A$768:$A$846=$A1573)*($D$768:$D$846= $D1573)*(J$768:J$846) )  +  SUM( ($A$933:$A$1011=$A1573)*($D$933:$D$1011= $D1573)*(J$933:J$1011) ) + SUM( ($E$1016:$E$1039=$E$1427)*($A$1016:$A$1039=$A1573)*($D$1016:$D$1039=$D1573)*(J$1016:J$1039) ) )</f>
        <v>0</v>
      </c>
      <c r="K1573" s="1379">
        <f t="array" ref="K1573" xml:space="preserve"> SUM(EF[CH4]*(EF[SATIM Code]= $D1573)) * ( SUM( ($A$768:$A$846=$A1573)*($D$768:$D$846= $D1573)*(K$768:K$846) )  +  SUM( ($A$933:$A$1011=$A1573)*($D$933:$D$1011= $D1573)*(K$933:K$1011) ) + SUM( ($E$1016:$E$1039=$E$1427)*($A$1016:$A$1039=$A1573)*($D$1016:$D$1039=$D1573)*(K$1016:K$1039) ) )</f>
        <v>0</v>
      </c>
      <c r="L1573" s="1379">
        <f t="array" ref="L1573" xml:space="preserve"> SUM(EF[CH4]*(EF[SATIM Code]= $D1573)) * ( SUM( ($A$768:$A$846=$A1573)*($D$768:$D$846= $D1573)*(L$768:L$846) )  +  SUM( ($A$933:$A$1011=$A1573)*($D$933:$D$1011= $D1573)*(L$933:L$1011) ) + SUM( ($E$1016:$E$1039=$E$1427)*($A$1016:$A$1039=$A1573)*($D$1016:$D$1039=$D1573)*(L$1016:L$1039) ) )</f>
        <v>0</v>
      </c>
      <c r="M1573" s="1379">
        <f t="array" ref="M1573" xml:space="preserve"> SUM(EF[CH4]*(EF[SATIM Code]= $D1573)) * ( SUM( ($A$768:$A$846=$A1573)*($D$768:$D$846= $D1573)*(M$768:M$846) )  +  SUM( ($A$933:$A$1011=$A1573)*($D$933:$D$1011= $D1573)*(M$933:M$1011) ) + SUM( ($E$1016:$E$1039=$E$1427)*($A$1016:$A$1039=$A1573)*($D$1016:$D$1039=$D1573)*(M$1016:M$1039) ) )</f>
        <v>0</v>
      </c>
      <c r="N1573" s="1379">
        <f t="array" ref="N1573" xml:space="preserve"> SUM(EF[CH4]*(EF[SATIM Code]= $D1573)) * ( SUM( ($A$768:$A$846=$A1573)*($D$768:$D$846= $D1573)*(N$768:N$846) )  +  SUM( ($A$933:$A$1011=$A1573)*($D$933:$D$1011= $D1573)*(N$933:N$1011) ) + SUM( ($E$1016:$E$1039=$E$1427)*($A$1016:$A$1039=$A1573)*($D$1016:$D$1039=$D1573)*(N$1016:N$1039) ) )</f>
        <v>0</v>
      </c>
      <c r="O1573" s="1379">
        <f t="array" ref="O1573" xml:space="preserve"> SUM(EF[CH4]*(EF[SATIM Code]= $D1573)) * ( SUM( ($A$768:$A$846=$A1573)*($D$768:$D$846= $D1573)*(O$768:O$846) )  +  SUM( ($A$933:$A$1011=$A1573)*($D$933:$D$1011= $D1573)*(O$933:O$1011) ) + SUM( ($E$1016:$E$1039=$E$1427)*($A$1016:$A$1039=$A1573)*($D$1016:$D$1039=$D1573)*(O$1016:O$1039) ) )</f>
        <v>0</v>
      </c>
    </row>
    <row r="1574" spans="1:15" s="19" customFormat="1" hidden="1" outlineLevel="1">
      <c r="A1574" s="19" t="str">
        <f t="shared" si="301"/>
        <v>NM</v>
      </c>
      <c r="B1574" s="1400" t="str">
        <f>INDEX(EF[UK Vector],MATCH(D1574,EF[SATIM Code],0))</f>
        <v>V.09</v>
      </c>
      <c r="C1574" s="1401" t="str">
        <f>INDEX(Vectors[Description], MATCH($B1574, Vectors[Code], 0))</f>
        <v>Dry biomass and waste</v>
      </c>
      <c r="D1574" s="1388" t="s">
        <v>889</v>
      </c>
      <c r="E1574" s="1393"/>
      <c r="F1574" s="1379">
        <f t="array" ref="F1574" xml:space="preserve"> SUM(EF[CH4]*(EF[SATIM Code]= $D1574)) * ( SUM( ($A$768:$A$846=$A1574)*($D$768:$D$846= $D1574)*(F$768:F$846) )  +  SUM( ($A$933:$A$1011=$A1574)*($D$933:$D$1011= $D1574)*(F$933:F$1011) ) + SUM( ($E$1016:$E$1039=$E$1427)*($A$1016:$A$1039=$A1574)*($D$1016:$D$1039=$D1574)*(F$1016:F$1039) ) )</f>
        <v>0</v>
      </c>
      <c r="G1574" s="1379">
        <f t="array" ref="G1574" xml:space="preserve"> SUM(EF[CH4]*(EF[SATIM Code]= $D1574)) * ( SUM( ($A$768:$A$846=$A1574)*($D$768:$D$846= $D1574)*(G$768:G$846) )  +  SUM( ($A$933:$A$1011=$A1574)*($D$933:$D$1011= $D1574)*(G$933:G$1011) ) + SUM( ($E$1016:$E$1039=$E$1427)*($A$1016:$A$1039=$A1574)*($D$1016:$D$1039=$D1574)*(G$1016:G$1039) ) )</f>
        <v>0</v>
      </c>
      <c r="H1574" s="1379">
        <f t="array" ref="H1574" xml:space="preserve"> SUM(EF[CH4]*(EF[SATIM Code]= $D1574)) * ( SUM( ($A$768:$A$846=$A1574)*($D$768:$D$846= $D1574)*(H$768:H$846) )  +  SUM( ($A$933:$A$1011=$A1574)*($D$933:$D$1011= $D1574)*(H$933:H$1011) ) + SUM( ($E$1016:$E$1039=$E$1427)*($A$1016:$A$1039=$A1574)*($D$1016:$D$1039=$D1574)*(H$1016:H$1039) ) )</f>
        <v>0</v>
      </c>
      <c r="I1574" s="1379">
        <f t="array" ref="I1574" xml:space="preserve"> SUM(EF[CH4]*(EF[SATIM Code]= $D1574)) * ( SUM( ($A$768:$A$846=$A1574)*($D$768:$D$846= $D1574)*(I$768:I$846) )  +  SUM( ($A$933:$A$1011=$A1574)*($D$933:$D$1011= $D1574)*(I$933:I$1011) ) + SUM( ($E$1016:$E$1039=$E$1427)*($A$1016:$A$1039=$A1574)*($D$1016:$D$1039=$D1574)*(I$1016:I$1039) ) )</f>
        <v>0</v>
      </c>
      <c r="J1574" s="1379">
        <f t="array" ref="J1574" xml:space="preserve"> SUM(EF[CH4]*(EF[SATIM Code]= $D1574)) * ( SUM( ($A$768:$A$846=$A1574)*($D$768:$D$846= $D1574)*(J$768:J$846) )  +  SUM( ($A$933:$A$1011=$A1574)*($D$933:$D$1011= $D1574)*(J$933:J$1011) ) + SUM( ($E$1016:$E$1039=$E$1427)*($A$1016:$A$1039=$A1574)*($D$1016:$D$1039=$D1574)*(J$1016:J$1039) ) )</f>
        <v>0</v>
      </c>
      <c r="K1574" s="1379">
        <f t="array" ref="K1574" xml:space="preserve"> SUM(EF[CH4]*(EF[SATIM Code]= $D1574)) * ( SUM( ($A$768:$A$846=$A1574)*($D$768:$D$846= $D1574)*(K$768:K$846) )  +  SUM( ($A$933:$A$1011=$A1574)*($D$933:$D$1011= $D1574)*(K$933:K$1011) ) + SUM( ($E$1016:$E$1039=$E$1427)*($A$1016:$A$1039=$A1574)*($D$1016:$D$1039=$D1574)*(K$1016:K$1039) ) )</f>
        <v>0</v>
      </c>
      <c r="L1574" s="1379">
        <f t="array" ref="L1574" xml:space="preserve"> SUM(EF[CH4]*(EF[SATIM Code]= $D1574)) * ( SUM( ($A$768:$A$846=$A1574)*($D$768:$D$846= $D1574)*(L$768:L$846) )  +  SUM( ($A$933:$A$1011=$A1574)*($D$933:$D$1011= $D1574)*(L$933:L$1011) ) + SUM( ($E$1016:$E$1039=$E$1427)*($A$1016:$A$1039=$A1574)*($D$1016:$D$1039=$D1574)*(L$1016:L$1039) ) )</f>
        <v>0</v>
      </c>
      <c r="M1574" s="1379">
        <f t="array" ref="M1574" xml:space="preserve"> SUM(EF[CH4]*(EF[SATIM Code]= $D1574)) * ( SUM( ($A$768:$A$846=$A1574)*($D$768:$D$846= $D1574)*(M$768:M$846) )  +  SUM( ($A$933:$A$1011=$A1574)*($D$933:$D$1011= $D1574)*(M$933:M$1011) ) + SUM( ($E$1016:$E$1039=$E$1427)*($A$1016:$A$1039=$A1574)*($D$1016:$D$1039=$D1574)*(M$1016:M$1039) ) )</f>
        <v>0</v>
      </c>
      <c r="N1574" s="1379">
        <f t="array" ref="N1574" xml:space="preserve"> SUM(EF[CH4]*(EF[SATIM Code]= $D1574)) * ( SUM( ($A$768:$A$846=$A1574)*($D$768:$D$846= $D1574)*(N$768:N$846) )  +  SUM( ($A$933:$A$1011=$A1574)*($D$933:$D$1011= $D1574)*(N$933:N$1011) ) + SUM( ($E$1016:$E$1039=$E$1427)*($A$1016:$A$1039=$A1574)*($D$1016:$D$1039=$D1574)*(N$1016:N$1039) ) )</f>
        <v>0</v>
      </c>
      <c r="O1574" s="1379">
        <f t="array" ref="O1574" xml:space="preserve"> SUM(EF[CH4]*(EF[SATIM Code]= $D1574)) * ( SUM( ($A$768:$A$846=$A1574)*($D$768:$D$846= $D1574)*(O$768:O$846) )  +  SUM( ($A$933:$A$1011=$A1574)*($D$933:$D$1011= $D1574)*(O$933:O$1011) ) + SUM( ($E$1016:$E$1039=$E$1427)*($A$1016:$A$1039=$A1574)*($D$1016:$D$1039=$D1574)*(O$1016:O$1039) ) )</f>
        <v>0</v>
      </c>
    </row>
    <row r="1575" spans="1:15" s="19" customFormat="1" hidden="1" outlineLevel="1">
      <c r="A1575" s="19" t="str">
        <f t="shared" si="301"/>
        <v>NM</v>
      </c>
      <c r="B1575" s="1400" t="str">
        <f>INDEX(EF[UK Vector],MATCH(D1575,EF[SATIM Code],0))</f>
        <v>V.16</v>
      </c>
      <c r="C1575" s="1401" t="str">
        <f>INDEX(Vectors[Description], MATCH($B1575, Vectors[Code], 0))</f>
        <v>Other Waste</v>
      </c>
      <c r="D1575" s="1408" t="s">
        <v>890</v>
      </c>
      <c r="E1575" s="1393"/>
      <c r="F1575" s="1379">
        <f t="array" ref="F1575" xml:space="preserve"> SUM(EF[CH4]*(EF[SATIM Code]= $D1575)) * ( SUM( ($A$768:$A$846=$A1575)*($D$768:$D$846= $D1575)*(F$768:F$846) )  +  SUM( ($A$933:$A$1011=$A1575)*($D$933:$D$1011= $D1575)*(F$933:F$1011) ) + SUM( ($E$1016:$E$1039=$E$1427)*($A$1016:$A$1039=$A1575)*($D$1016:$D$1039=$D1575)*(F$1016:F$1039) ) )</f>
        <v>0</v>
      </c>
      <c r="G1575" s="1379">
        <f t="array" ref="G1575" xml:space="preserve"> SUM(EF[CH4]*(EF[SATIM Code]= $D1575)) * ( SUM( ($A$768:$A$846=$A1575)*($D$768:$D$846= $D1575)*(G$768:G$846) )  +  SUM( ($A$933:$A$1011=$A1575)*($D$933:$D$1011= $D1575)*(G$933:G$1011) ) + SUM( ($E$1016:$E$1039=$E$1427)*($A$1016:$A$1039=$A1575)*($D$1016:$D$1039=$D1575)*(G$1016:G$1039) ) )</f>
        <v>0</v>
      </c>
      <c r="H1575" s="1379">
        <f t="array" ref="H1575" xml:space="preserve"> SUM(EF[CH4]*(EF[SATIM Code]= $D1575)) * ( SUM( ($A$768:$A$846=$A1575)*($D$768:$D$846= $D1575)*(H$768:H$846) )  +  SUM( ($A$933:$A$1011=$A1575)*($D$933:$D$1011= $D1575)*(H$933:H$1011) ) + SUM( ($E$1016:$E$1039=$E$1427)*($A$1016:$A$1039=$A1575)*($D$1016:$D$1039=$D1575)*(H$1016:H$1039) ) )</f>
        <v>0</v>
      </c>
      <c r="I1575" s="1379">
        <f t="array" ref="I1575" xml:space="preserve"> SUM(EF[CH4]*(EF[SATIM Code]= $D1575)) * ( SUM( ($A$768:$A$846=$A1575)*($D$768:$D$846= $D1575)*(I$768:I$846) )  +  SUM( ($A$933:$A$1011=$A1575)*($D$933:$D$1011= $D1575)*(I$933:I$1011) ) + SUM( ($E$1016:$E$1039=$E$1427)*($A$1016:$A$1039=$A1575)*($D$1016:$D$1039=$D1575)*(I$1016:I$1039) ) )</f>
        <v>0</v>
      </c>
      <c r="J1575" s="1379">
        <f t="array" ref="J1575" xml:space="preserve"> SUM(EF[CH4]*(EF[SATIM Code]= $D1575)) * ( SUM( ($A$768:$A$846=$A1575)*($D$768:$D$846= $D1575)*(J$768:J$846) )  +  SUM( ($A$933:$A$1011=$A1575)*($D$933:$D$1011= $D1575)*(J$933:J$1011) ) + SUM( ($E$1016:$E$1039=$E$1427)*($A$1016:$A$1039=$A1575)*($D$1016:$D$1039=$D1575)*(J$1016:J$1039) ) )</f>
        <v>0</v>
      </c>
      <c r="K1575" s="1379">
        <f t="array" ref="K1575" xml:space="preserve"> SUM(EF[CH4]*(EF[SATIM Code]= $D1575)) * ( SUM( ($A$768:$A$846=$A1575)*($D$768:$D$846= $D1575)*(K$768:K$846) )  +  SUM( ($A$933:$A$1011=$A1575)*($D$933:$D$1011= $D1575)*(K$933:K$1011) ) + SUM( ($E$1016:$E$1039=$E$1427)*($A$1016:$A$1039=$A1575)*($D$1016:$D$1039=$D1575)*(K$1016:K$1039) ) )</f>
        <v>0</v>
      </c>
      <c r="L1575" s="1379">
        <f t="array" ref="L1575" xml:space="preserve"> SUM(EF[CH4]*(EF[SATIM Code]= $D1575)) * ( SUM( ($A$768:$A$846=$A1575)*($D$768:$D$846= $D1575)*(L$768:L$846) )  +  SUM( ($A$933:$A$1011=$A1575)*($D$933:$D$1011= $D1575)*(L$933:L$1011) ) + SUM( ($E$1016:$E$1039=$E$1427)*($A$1016:$A$1039=$A1575)*($D$1016:$D$1039=$D1575)*(L$1016:L$1039) ) )</f>
        <v>0</v>
      </c>
      <c r="M1575" s="1379">
        <f t="array" ref="M1575" xml:space="preserve"> SUM(EF[CH4]*(EF[SATIM Code]= $D1575)) * ( SUM( ($A$768:$A$846=$A1575)*($D$768:$D$846= $D1575)*(M$768:M$846) )  +  SUM( ($A$933:$A$1011=$A1575)*($D$933:$D$1011= $D1575)*(M$933:M$1011) ) + SUM( ($E$1016:$E$1039=$E$1427)*($A$1016:$A$1039=$A1575)*($D$1016:$D$1039=$D1575)*(M$1016:M$1039) ) )</f>
        <v>0</v>
      </c>
      <c r="N1575" s="1379">
        <f t="array" ref="N1575" xml:space="preserve"> SUM(EF[CH4]*(EF[SATIM Code]= $D1575)) * ( SUM( ($A$768:$A$846=$A1575)*($D$768:$D$846= $D1575)*(N$768:N$846) )  +  SUM( ($A$933:$A$1011=$A1575)*($D$933:$D$1011= $D1575)*(N$933:N$1011) ) + SUM( ($E$1016:$E$1039=$E$1427)*($A$1016:$A$1039=$A1575)*($D$1016:$D$1039=$D1575)*(N$1016:N$1039) ) )</f>
        <v>0</v>
      </c>
      <c r="O1575" s="1379">
        <f t="array" ref="O1575" xml:space="preserve"> SUM(EF[CH4]*(EF[SATIM Code]= $D1575)) * ( SUM( ($A$768:$A$846=$A1575)*($D$768:$D$846= $D1575)*(O$768:O$846) )  +  SUM( ($A$933:$A$1011=$A1575)*($D$933:$D$1011= $D1575)*(O$933:O$1011) ) + SUM( ($E$1016:$E$1039=$E$1427)*($A$1016:$A$1039=$A1575)*($D$1016:$D$1039=$D1575)*(O$1016:O$1039) ) )</f>
        <v>0</v>
      </c>
    </row>
    <row r="1576" spans="1:15" s="19" customFormat="1" hidden="1" outlineLevel="1">
      <c r="B1576" s="1393"/>
      <c r="C1576" s="1407" t="str">
        <f>D25</f>
        <v>Food, Beverage &amp; Tabacco  - 30</v>
      </c>
      <c r="D1576" s="1391"/>
      <c r="E1576" s="1393"/>
      <c r="F1576" s="1379">
        <f t="array" ref="F1576" xml:space="preserve"> SUM(EF[CH4]*(EF[SATIM Code]= $D1576)) * ( SUM( ($A$768:$A$846=$A1576)*($D$768:$D$846= $D1576)*(F$768:F$846) )  +  SUM( ($A$933:$A$1011=$A1576)*($D$933:$D$1011= $D1576)*(F$933:F$1011) ) + SUM( ($E$1016:$E$1039=$E$1427)*($A$1016:$A$1039=$A1576)*($D$1016:$D$1039=$D1576)*(F$1016:F$1039) ) )</f>
        <v>0</v>
      </c>
      <c r="G1576" s="1379">
        <f t="array" ref="G1576" xml:space="preserve"> SUM(EF[CH4]*(EF[SATIM Code]= $D1576)) * ( SUM( ($A$768:$A$846=$A1576)*($D$768:$D$846= $D1576)*(G$768:G$846) )  +  SUM( ($A$933:$A$1011=$A1576)*($D$933:$D$1011= $D1576)*(G$933:G$1011) ) + SUM( ($E$1016:$E$1039=$E$1427)*($A$1016:$A$1039=$A1576)*($D$1016:$D$1039=$D1576)*(G$1016:G$1039) ) )</f>
        <v>0</v>
      </c>
      <c r="H1576" s="1379">
        <f t="array" ref="H1576" xml:space="preserve"> SUM(EF[CH4]*(EF[SATIM Code]= $D1576)) * ( SUM( ($A$768:$A$846=$A1576)*($D$768:$D$846= $D1576)*(H$768:H$846) )  +  SUM( ($A$933:$A$1011=$A1576)*($D$933:$D$1011= $D1576)*(H$933:H$1011) ) + SUM( ($E$1016:$E$1039=$E$1427)*($A$1016:$A$1039=$A1576)*($D$1016:$D$1039=$D1576)*(H$1016:H$1039) ) )</f>
        <v>0</v>
      </c>
      <c r="I1576" s="1379">
        <f t="array" ref="I1576" xml:space="preserve"> SUM(EF[CH4]*(EF[SATIM Code]= $D1576)) * ( SUM( ($A$768:$A$846=$A1576)*($D$768:$D$846= $D1576)*(I$768:I$846) )  +  SUM( ($A$933:$A$1011=$A1576)*($D$933:$D$1011= $D1576)*(I$933:I$1011) ) + SUM( ($E$1016:$E$1039=$E$1427)*($A$1016:$A$1039=$A1576)*($D$1016:$D$1039=$D1576)*(I$1016:I$1039) ) )</f>
        <v>0</v>
      </c>
      <c r="J1576" s="1379">
        <f t="array" ref="J1576" xml:space="preserve"> SUM(EF[CH4]*(EF[SATIM Code]= $D1576)) * ( SUM( ($A$768:$A$846=$A1576)*($D$768:$D$846= $D1576)*(J$768:J$846) )  +  SUM( ($A$933:$A$1011=$A1576)*($D$933:$D$1011= $D1576)*(J$933:J$1011) ) + SUM( ($E$1016:$E$1039=$E$1427)*($A$1016:$A$1039=$A1576)*($D$1016:$D$1039=$D1576)*(J$1016:J$1039) ) )</f>
        <v>0</v>
      </c>
      <c r="K1576" s="1379">
        <f t="array" ref="K1576" xml:space="preserve"> SUM(EF[CH4]*(EF[SATIM Code]= $D1576)) * ( SUM( ($A$768:$A$846=$A1576)*($D$768:$D$846= $D1576)*(K$768:K$846) )  +  SUM( ($A$933:$A$1011=$A1576)*($D$933:$D$1011= $D1576)*(K$933:K$1011) ) + SUM( ($E$1016:$E$1039=$E$1427)*($A$1016:$A$1039=$A1576)*($D$1016:$D$1039=$D1576)*(K$1016:K$1039) ) )</f>
        <v>0</v>
      </c>
      <c r="L1576" s="1379">
        <f t="array" ref="L1576" xml:space="preserve"> SUM(EF[CH4]*(EF[SATIM Code]= $D1576)) * ( SUM( ($A$768:$A$846=$A1576)*($D$768:$D$846= $D1576)*(L$768:L$846) )  +  SUM( ($A$933:$A$1011=$A1576)*($D$933:$D$1011= $D1576)*(L$933:L$1011) ) + SUM( ($E$1016:$E$1039=$E$1427)*($A$1016:$A$1039=$A1576)*($D$1016:$D$1039=$D1576)*(L$1016:L$1039) ) )</f>
        <v>0</v>
      </c>
      <c r="M1576" s="1379">
        <f t="array" ref="M1576" xml:space="preserve"> SUM(EF[CH4]*(EF[SATIM Code]= $D1576)) * ( SUM( ($A$768:$A$846=$A1576)*($D$768:$D$846= $D1576)*(M$768:M$846) )  +  SUM( ($A$933:$A$1011=$A1576)*($D$933:$D$1011= $D1576)*(M$933:M$1011) ) + SUM( ($E$1016:$E$1039=$E$1427)*($A$1016:$A$1039=$A1576)*($D$1016:$D$1039=$D1576)*(M$1016:M$1039) ) )</f>
        <v>0</v>
      </c>
      <c r="N1576" s="1379">
        <f t="array" ref="N1576" xml:space="preserve"> SUM(EF[CH4]*(EF[SATIM Code]= $D1576)) * ( SUM( ($A$768:$A$846=$A1576)*($D$768:$D$846= $D1576)*(N$768:N$846) )  +  SUM( ($A$933:$A$1011=$A1576)*($D$933:$D$1011= $D1576)*(N$933:N$1011) ) + SUM( ($E$1016:$E$1039=$E$1427)*($A$1016:$A$1039=$A1576)*($D$1016:$D$1039=$D1576)*(N$1016:N$1039) ) )</f>
        <v>0</v>
      </c>
      <c r="O1576" s="1379">
        <f t="array" ref="O1576" xml:space="preserve"> SUM(EF[CH4]*(EF[SATIM Code]= $D1576)) * ( SUM( ($A$768:$A$846=$A1576)*($D$768:$D$846= $D1576)*(O$768:O$846) )  +  SUM( ($A$933:$A$1011=$A1576)*($D$933:$D$1011= $D1576)*(O$933:O$1011) ) + SUM( ($E$1016:$E$1039=$E$1427)*($A$1016:$A$1039=$A1576)*($D$1016:$D$1039=$D1576)*(O$1016:O$1039) ) )</f>
        <v>0</v>
      </c>
    </row>
    <row r="1577" spans="1:15" s="19" customFormat="1" hidden="1" outlineLevel="1">
      <c r="A1577" s="1438" t="str">
        <f>INDEX($C$20:$C$27,MATCH($C1576,$D$20:$D$27,0))</f>
        <v>FB</v>
      </c>
      <c r="B1577" s="1400" t="str">
        <f>INDEX(EF[UK Vector],MATCH(D1577,EF[SATIM Code],0))</f>
        <v>V.03</v>
      </c>
      <c r="C1577" s="1401" t="str">
        <f>INDEX(Vectors[Description], MATCH($B1577, Vectors[Code], 0))</f>
        <v>Solid hydrocarbons</v>
      </c>
      <c r="D1577" s="1391" t="s">
        <v>882</v>
      </c>
      <c r="E1577" s="1393"/>
      <c r="F1577" s="1379">
        <f t="array" ref="F1577" xml:space="preserve"> SUM(EF[CH4]*(EF[SATIM Code]= $D1577)) * ( SUM( ($A$768:$A$846=$A1577)*($D$768:$D$846= $D1577)*(F$768:F$846) )  +  SUM( ($A$933:$A$1011=$A1577)*($D$933:$D$1011= $D1577)*(F$933:F$1011) ) + SUM( ($E$1016:$E$1039=$E$1427)*($A$1016:$A$1039=$A1577)*($D$1016:$D$1039=$D1577)*(F$1016:F$1039) ) )</f>
        <v>5.3932478291280847E-4</v>
      </c>
      <c r="G1577" s="1379">
        <f t="array" ref="G1577" xml:space="preserve"> SUM(EF[CH4]*(EF[SATIM Code]= $D1577)) * ( SUM( ($A$768:$A$846=$A1577)*($D$768:$D$846= $D1577)*(G$768:G$846) )  +  SUM( ($A$933:$A$1011=$A1577)*($D$933:$D$1011= $D1577)*(G$933:G$1011) ) + SUM( ($E$1016:$E$1039=$E$1427)*($A$1016:$A$1039=$A1577)*($D$1016:$D$1039=$D1577)*(G$1016:G$1039) ) )</f>
        <v>6.4142368048969195E-4</v>
      </c>
      <c r="H1577" s="1379">
        <f t="array" ref="H1577" xml:space="preserve"> SUM(EF[CH4]*(EF[SATIM Code]= $D1577)) * ( SUM( ($A$768:$A$846=$A1577)*($D$768:$D$846= $D1577)*(H$768:H$846) )  +  SUM( ($A$933:$A$1011=$A1577)*($D$933:$D$1011= $D1577)*(H$933:H$1011) ) + SUM( ($E$1016:$E$1039=$E$1427)*($A$1016:$A$1039=$A1577)*($D$1016:$D$1039=$D1577)*(H$1016:H$1039) ) )</f>
        <v>8.3091230533860125E-4</v>
      </c>
      <c r="I1577" s="1379">
        <f t="array" ref="I1577" xml:space="preserve"> SUM(EF[CH4]*(EF[SATIM Code]= $D1577)) * ( SUM( ($A$768:$A$846=$A1577)*($D$768:$D$846= $D1577)*(I$768:I$846) )  +  SUM( ($A$933:$A$1011=$A1577)*($D$933:$D$1011= $D1577)*(I$933:I$1011) ) + SUM( ($E$1016:$E$1039=$E$1427)*($A$1016:$A$1039=$A1577)*($D$1016:$D$1039=$D1577)*(I$1016:I$1039) ) )</f>
        <v>1.0204009301875107E-3</v>
      </c>
      <c r="J1577" s="1379">
        <f t="array" ref="J1577" xml:space="preserve"> SUM(EF[CH4]*(EF[SATIM Code]= $D1577)) * ( SUM( ($A$768:$A$846=$A1577)*($D$768:$D$846= $D1577)*(J$768:J$846) )  +  SUM( ($A$933:$A$1011=$A1577)*($D$933:$D$1011= $D1577)*(J$933:J$1011) ) + SUM( ($E$1016:$E$1039=$E$1427)*($A$1016:$A$1039=$A1577)*($D$1016:$D$1039=$D1577)*(J$1016:J$1039) ) )</f>
        <v>1.2993457000007678E-3</v>
      </c>
      <c r="K1577" s="1379">
        <f t="array" ref="K1577" xml:space="preserve"> SUM(EF[CH4]*(EF[SATIM Code]= $D1577)) * ( SUM( ($A$768:$A$846=$A1577)*($D$768:$D$846= $D1577)*(K$768:K$846) )  +  SUM( ($A$933:$A$1011=$A1577)*($D$933:$D$1011= $D1577)*(K$933:K$1011) ) + SUM( ($E$1016:$E$1039=$E$1427)*($A$1016:$A$1039=$A1577)*($D$1016:$D$1039=$D1577)*(K$1016:K$1039) ) )</f>
        <v>1.5782904698140251E-3</v>
      </c>
      <c r="L1577" s="1379">
        <f t="array" ref="L1577" xml:space="preserve"> SUM(EF[CH4]*(EF[SATIM Code]= $D1577)) * ( SUM( ($A$768:$A$846=$A1577)*($D$768:$D$846= $D1577)*(L$768:L$846) )  +  SUM( ($A$933:$A$1011=$A1577)*($D$933:$D$1011= $D1577)*(L$933:L$1011) ) + SUM( ($E$1016:$E$1039=$E$1427)*($A$1016:$A$1039=$A1577)*($D$1016:$D$1039=$D1577)*(L$1016:L$1039) ) )</f>
        <v>1.9884553345678644E-3</v>
      </c>
      <c r="M1577" s="1379">
        <f t="array" ref="M1577" xml:space="preserve"> SUM(EF[CH4]*(EF[SATIM Code]= $D1577)) * ( SUM( ($A$768:$A$846=$A1577)*($D$768:$D$846= $D1577)*(M$768:M$846) )  +  SUM( ($A$933:$A$1011=$A1577)*($D$933:$D$1011= $D1577)*(M$933:M$1011) ) + SUM( ($E$1016:$E$1039=$E$1427)*($A$1016:$A$1039=$A1577)*($D$1016:$D$1039=$D1577)*(M$1016:M$1039) ) )</f>
        <v>2.3986201993217034E-3</v>
      </c>
      <c r="N1577" s="1379">
        <f t="array" ref="N1577" xml:space="preserve"> SUM(EF[CH4]*(EF[SATIM Code]= $D1577)) * ( SUM( ($A$768:$A$846=$A1577)*($D$768:$D$846= $D1577)*(N$768:N$846) )  +  SUM( ($A$933:$A$1011=$A1577)*($D$933:$D$1011= $D1577)*(N$933:N$1011) ) + SUM( ($E$1016:$E$1039=$E$1427)*($A$1016:$A$1039=$A1577)*($D$1016:$D$1039=$D1577)*(N$1016:N$1039) ) )</f>
        <v>2.8735483085415938E-3</v>
      </c>
      <c r="O1577" s="1379">
        <f t="array" ref="O1577" xml:space="preserve"> SUM(EF[CH4]*(EF[SATIM Code]= $D1577)) * ( SUM( ($A$768:$A$846=$A1577)*($D$768:$D$846= $D1577)*(O$768:O$846) )  +  SUM( ($A$933:$A$1011=$A1577)*($D$933:$D$1011= $D1577)*(O$933:O$1011) ) + SUM( ($E$1016:$E$1039=$E$1427)*($A$1016:$A$1039=$A1577)*($D$1016:$D$1039=$D1577)*(O$1016:O$1039) ) )</f>
        <v>3.3484764177614842E-3</v>
      </c>
    </row>
    <row r="1578" spans="1:15" s="19" customFormat="1" hidden="1" outlineLevel="1">
      <c r="A1578" s="19" t="str">
        <f t="shared" ref="A1578:A1585" si="302">A1577</f>
        <v>FB</v>
      </c>
      <c r="B1578" s="1400" t="str">
        <f>INDEX(EF[UK Vector],MATCH(D1578,EF[SATIM Code],0))</f>
        <v>V.03</v>
      </c>
      <c r="C1578" s="1401" t="str">
        <f>INDEX(Vectors[Description], MATCH($B1578, Vectors[Code], 0))</f>
        <v>Solid hydrocarbons</v>
      </c>
      <c r="D1578" s="1391" t="s">
        <v>883</v>
      </c>
      <c r="E1578" s="1393"/>
      <c r="F1578" s="1379">
        <f t="array" ref="F1578" xml:space="preserve"> SUM(EF[CH4]*(EF[SATIM Code]= $D1578)) * ( SUM( ($A$768:$A$846=$A1578)*($D$768:$D$846= $D1578)*(F$768:F$846) )  +  SUM( ($A$933:$A$1011=$A1578)*($D$933:$D$1011= $D1578)*(F$933:F$1011) ) + SUM( ($E$1016:$E$1039=$E$1427)*($A$1016:$A$1039=$A1578)*($D$1016:$D$1039=$D1578)*(F$1016:F$1039) ) )</f>
        <v>0</v>
      </c>
      <c r="G1578" s="1379">
        <f t="array" ref="G1578" xml:space="preserve"> SUM(EF[CH4]*(EF[SATIM Code]= $D1578)) * ( SUM( ($A$768:$A$846=$A1578)*($D$768:$D$846= $D1578)*(G$768:G$846) )  +  SUM( ($A$933:$A$1011=$A1578)*($D$933:$D$1011= $D1578)*(G$933:G$1011) ) + SUM( ($E$1016:$E$1039=$E$1427)*($A$1016:$A$1039=$A1578)*($D$1016:$D$1039=$D1578)*(G$1016:G$1039) ) )</f>
        <v>0</v>
      </c>
      <c r="H1578" s="1379">
        <f t="array" ref="H1578" xml:space="preserve"> SUM(EF[CH4]*(EF[SATIM Code]= $D1578)) * ( SUM( ($A$768:$A$846=$A1578)*($D$768:$D$846= $D1578)*(H$768:H$846) )  +  SUM( ($A$933:$A$1011=$A1578)*($D$933:$D$1011= $D1578)*(H$933:H$1011) ) + SUM( ($E$1016:$E$1039=$E$1427)*($A$1016:$A$1039=$A1578)*($D$1016:$D$1039=$D1578)*(H$1016:H$1039) ) )</f>
        <v>0</v>
      </c>
      <c r="I1578" s="1379">
        <f t="array" ref="I1578" xml:space="preserve"> SUM(EF[CH4]*(EF[SATIM Code]= $D1578)) * ( SUM( ($A$768:$A$846=$A1578)*($D$768:$D$846= $D1578)*(I$768:I$846) )  +  SUM( ($A$933:$A$1011=$A1578)*($D$933:$D$1011= $D1578)*(I$933:I$1011) ) + SUM( ($E$1016:$E$1039=$E$1427)*($A$1016:$A$1039=$A1578)*($D$1016:$D$1039=$D1578)*(I$1016:I$1039) ) )</f>
        <v>0</v>
      </c>
      <c r="J1578" s="1379">
        <f t="array" ref="J1578" xml:space="preserve"> SUM(EF[CH4]*(EF[SATIM Code]= $D1578)) * ( SUM( ($A$768:$A$846=$A1578)*($D$768:$D$846= $D1578)*(J$768:J$846) )  +  SUM( ($A$933:$A$1011=$A1578)*($D$933:$D$1011= $D1578)*(J$933:J$1011) ) + SUM( ($E$1016:$E$1039=$E$1427)*($A$1016:$A$1039=$A1578)*($D$1016:$D$1039=$D1578)*(J$1016:J$1039) ) )</f>
        <v>0</v>
      </c>
      <c r="K1578" s="1379">
        <f t="array" ref="K1578" xml:space="preserve"> SUM(EF[CH4]*(EF[SATIM Code]= $D1578)) * ( SUM( ($A$768:$A$846=$A1578)*($D$768:$D$846= $D1578)*(K$768:K$846) )  +  SUM( ($A$933:$A$1011=$A1578)*($D$933:$D$1011= $D1578)*(K$933:K$1011) ) + SUM( ($E$1016:$E$1039=$E$1427)*($A$1016:$A$1039=$A1578)*($D$1016:$D$1039=$D1578)*(K$1016:K$1039) ) )</f>
        <v>0</v>
      </c>
      <c r="L1578" s="1379">
        <f t="array" ref="L1578" xml:space="preserve"> SUM(EF[CH4]*(EF[SATIM Code]= $D1578)) * ( SUM( ($A$768:$A$846=$A1578)*($D$768:$D$846= $D1578)*(L$768:L$846) )  +  SUM( ($A$933:$A$1011=$A1578)*($D$933:$D$1011= $D1578)*(L$933:L$1011) ) + SUM( ($E$1016:$E$1039=$E$1427)*($A$1016:$A$1039=$A1578)*($D$1016:$D$1039=$D1578)*(L$1016:L$1039) ) )</f>
        <v>0</v>
      </c>
      <c r="M1578" s="1379">
        <f t="array" ref="M1578" xml:space="preserve"> SUM(EF[CH4]*(EF[SATIM Code]= $D1578)) * ( SUM( ($A$768:$A$846=$A1578)*($D$768:$D$846= $D1578)*(M$768:M$846) )  +  SUM( ($A$933:$A$1011=$A1578)*($D$933:$D$1011= $D1578)*(M$933:M$1011) ) + SUM( ($E$1016:$E$1039=$E$1427)*($A$1016:$A$1039=$A1578)*($D$1016:$D$1039=$D1578)*(M$1016:M$1039) ) )</f>
        <v>0</v>
      </c>
      <c r="N1578" s="1379">
        <f t="array" ref="N1578" xml:space="preserve"> SUM(EF[CH4]*(EF[SATIM Code]= $D1578)) * ( SUM( ($A$768:$A$846=$A1578)*($D$768:$D$846= $D1578)*(N$768:N$846) )  +  SUM( ($A$933:$A$1011=$A1578)*($D$933:$D$1011= $D1578)*(N$933:N$1011) ) + SUM( ($E$1016:$E$1039=$E$1427)*($A$1016:$A$1039=$A1578)*($D$1016:$D$1039=$D1578)*(N$1016:N$1039) ) )</f>
        <v>0</v>
      </c>
      <c r="O1578" s="1379">
        <f t="array" ref="O1578" xml:space="preserve"> SUM(EF[CH4]*(EF[SATIM Code]= $D1578)) * ( SUM( ($A$768:$A$846=$A1578)*($D$768:$D$846= $D1578)*(O$768:O$846) )  +  SUM( ($A$933:$A$1011=$A1578)*($D$933:$D$1011= $D1578)*(O$933:O$1011) ) + SUM( ($E$1016:$E$1039=$E$1427)*($A$1016:$A$1039=$A1578)*($D$1016:$D$1039=$D1578)*(O$1016:O$1039) ) )</f>
        <v>0</v>
      </c>
    </row>
    <row r="1579" spans="1:15" s="19" customFormat="1" hidden="1" outlineLevel="1">
      <c r="A1579" s="19" t="str">
        <f t="shared" si="302"/>
        <v>FB</v>
      </c>
      <c r="B1579" s="1400" t="str">
        <f>INDEX(EF[UK Vector],MATCH(D1579,EF[SATIM Code],0))</f>
        <v>V.05</v>
      </c>
      <c r="C1579" s="1401" t="str">
        <f>INDEX(Vectors[Description], MATCH($B1579, Vectors[Code], 0))</f>
        <v>Gaseous hydrocarbons</v>
      </c>
      <c r="D1579" s="1406" t="s">
        <v>869</v>
      </c>
      <c r="E1579" s="1393"/>
      <c r="F1579" s="1379">
        <f t="array" ref="F1579" xml:space="preserve"> SUM(EF[CH4]*(EF[SATIM Code]= $D1579)) * ( SUM( ($A$768:$A$846=$A1579)*($D$768:$D$846= $D1579)*(F$768:F$846) )  +  SUM( ($A$933:$A$1011=$A1579)*($D$933:$D$1011= $D1579)*(F$933:F$1011) ) + SUM( ($E$1016:$E$1039=$E$1427)*($A$1016:$A$1039=$A1579)*($D$1016:$D$1039=$D1579)*(F$1016:F$1039) ) )</f>
        <v>2.1438689021429627E-5</v>
      </c>
      <c r="G1579" s="1379">
        <f t="array" ref="G1579" xml:space="preserve"> SUM(EF[CH4]*(EF[SATIM Code]= $D1579)) * ( SUM( ($A$768:$A$846=$A1579)*($D$768:$D$846= $D1579)*(G$768:G$846) )  +  SUM( ($A$933:$A$1011=$A1579)*($D$933:$D$1011= $D1579)*(G$933:G$1011) ) + SUM( ($E$1016:$E$1039=$E$1427)*($A$1016:$A$1039=$A1579)*($D$1016:$D$1039=$D1579)*(G$1016:G$1039) ) )</f>
        <v>2.5839970819134356E-5</v>
      </c>
      <c r="H1579" s="1379">
        <f t="array" ref="H1579" xml:space="preserve"> SUM(EF[CH4]*(EF[SATIM Code]= $D1579)) * ( SUM( ($A$768:$A$846=$A1579)*($D$768:$D$846= $D1579)*(H$768:H$846) )  +  SUM( ($A$933:$A$1011=$A1579)*($D$933:$D$1011= $D1579)*(H$933:H$1011) ) + SUM( ($E$1016:$E$1039=$E$1427)*($A$1016:$A$1039=$A1579)*($D$1016:$D$1039=$D1579)*(H$1016:H$1039) ) )</f>
        <v>3.4008451137852624E-5</v>
      </c>
      <c r="I1579" s="1379">
        <f t="array" ref="I1579" xml:space="preserve"> SUM(EF[CH4]*(EF[SATIM Code]= $D1579)) * ( SUM( ($A$768:$A$846=$A1579)*($D$768:$D$846= $D1579)*(I$768:I$846) )  +  SUM( ($A$933:$A$1011=$A1579)*($D$933:$D$1011= $D1579)*(I$933:I$1011) ) + SUM( ($E$1016:$E$1039=$E$1427)*($A$1016:$A$1039=$A1579)*($D$1016:$D$1039=$D1579)*(I$1016:I$1039) ) )</f>
        <v>4.2176931456570881E-5</v>
      </c>
      <c r="J1579" s="1379">
        <f t="array" ref="J1579" xml:space="preserve"> SUM(EF[CH4]*(EF[SATIM Code]= $D1579)) * ( SUM( ($A$768:$A$846=$A1579)*($D$768:$D$846= $D1579)*(J$768:J$846) )  +  SUM( ($A$933:$A$1011=$A1579)*($D$933:$D$1011= $D1579)*(J$933:J$1011) ) + SUM( ($E$1016:$E$1039=$E$1427)*($A$1016:$A$1039=$A1579)*($D$1016:$D$1039=$D1579)*(J$1016:J$1039) ) )</f>
        <v>5.420168948120596E-5</v>
      </c>
      <c r="K1579" s="1379">
        <f t="array" ref="K1579" xml:space="preserve"> SUM(EF[CH4]*(EF[SATIM Code]= $D1579)) * ( SUM( ($A$768:$A$846=$A1579)*($D$768:$D$846= $D1579)*(K$768:K$846) )  +  SUM( ($A$933:$A$1011=$A1579)*($D$933:$D$1011= $D1579)*(K$933:K$1011) ) + SUM( ($E$1016:$E$1039=$E$1427)*($A$1016:$A$1039=$A1579)*($D$1016:$D$1039=$D1579)*(K$1016:K$1039) ) )</f>
        <v>6.6226447505841044E-5</v>
      </c>
      <c r="L1579" s="1379">
        <f t="array" ref="L1579" xml:space="preserve"> SUM(EF[CH4]*(EF[SATIM Code]= $D1579)) * ( SUM( ($A$768:$A$846=$A1579)*($D$768:$D$846= $D1579)*(L$768:L$846) )  +  SUM( ($A$933:$A$1011=$A1579)*($D$933:$D$1011= $D1579)*(L$933:L$1011) ) + SUM( ($E$1016:$E$1039=$E$1427)*($A$1016:$A$1039=$A1579)*($D$1016:$D$1039=$D1579)*(L$1016:L$1039) ) )</f>
        <v>8.3907844623177071E-5</v>
      </c>
      <c r="M1579" s="1379">
        <f t="array" ref="M1579" xml:space="preserve"> SUM(EF[CH4]*(EF[SATIM Code]= $D1579)) * ( SUM( ($A$768:$A$846=$A1579)*($D$768:$D$846= $D1579)*(M$768:M$846) )  +  SUM( ($A$933:$A$1011=$A1579)*($D$933:$D$1011= $D1579)*(M$933:M$1011) ) + SUM( ($E$1016:$E$1039=$E$1427)*($A$1016:$A$1039=$A1579)*($D$1016:$D$1039=$D1579)*(M$1016:M$1039) ) )</f>
        <v>1.015892417405131E-4</v>
      </c>
      <c r="N1579" s="1379">
        <f t="array" ref="N1579" xml:space="preserve"> SUM(EF[CH4]*(EF[SATIM Code]= $D1579)) * ( SUM( ($A$768:$A$846=$A1579)*($D$768:$D$846= $D1579)*(N$768:N$846) )  +  SUM( ($A$933:$A$1011=$A1579)*($D$933:$D$1011= $D1579)*(N$933:N$1011) ) + SUM( ($E$1016:$E$1039=$E$1427)*($A$1016:$A$1039=$A1579)*($D$1016:$D$1039=$D1579)*(N$1016:N$1039) ) )</f>
        <v>1.220624543993841E-4</v>
      </c>
      <c r="O1579" s="1379">
        <f t="array" ref="O1579" xml:space="preserve"> SUM(EF[CH4]*(EF[SATIM Code]= $D1579)) * ( SUM( ($A$768:$A$846=$A1579)*($D$768:$D$846= $D1579)*(O$768:O$846) )  +  SUM( ($A$933:$A$1011=$A1579)*($D$933:$D$1011= $D1579)*(O$933:O$1011) ) + SUM( ($E$1016:$E$1039=$E$1427)*($A$1016:$A$1039=$A1579)*($D$1016:$D$1039=$D1579)*(O$1016:O$1039) ) )</f>
        <v>1.425356670582551E-4</v>
      </c>
    </row>
    <row r="1580" spans="1:15" s="19" customFormat="1" hidden="1" outlineLevel="1">
      <c r="A1580" s="19" t="str">
        <f t="shared" si="302"/>
        <v>FB</v>
      </c>
      <c r="B1580" s="1400" t="str">
        <f>INDEX(EF[UK Vector],MATCH(D1580,EF[SATIM Code],0))</f>
        <v>V.04</v>
      </c>
      <c r="C1580" s="1401" t="str">
        <f>INDEX(Vectors[Description], MATCH($B1580, Vectors[Code], 0))</f>
        <v>Liquid hydrocarbons</v>
      </c>
      <c r="D1580" s="1406" t="s">
        <v>885</v>
      </c>
      <c r="E1580" s="1393"/>
      <c r="F1580" s="1379">
        <f t="array" ref="F1580" xml:space="preserve"> SUM(EF[CH4]*(EF[SATIM Code]= $D1580)) * ( SUM( ($A$768:$A$846=$A1580)*($D$768:$D$846= $D1580)*(F$768:F$846) )  +  SUM( ($A$933:$A$1011=$A1580)*($D$933:$D$1011= $D1580)*(F$933:F$1011) ) + SUM( ($E$1016:$E$1039=$E$1427)*($A$1016:$A$1039=$A1580)*($D$1016:$D$1039=$D1580)*(F$1016:F$1039) ) )</f>
        <v>0</v>
      </c>
      <c r="G1580" s="1379">
        <f t="array" ref="G1580" xml:space="preserve"> SUM(EF[CH4]*(EF[SATIM Code]= $D1580)) * ( SUM( ($A$768:$A$846=$A1580)*($D$768:$D$846= $D1580)*(G$768:G$846) )  +  SUM( ($A$933:$A$1011=$A1580)*($D$933:$D$1011= $D1580)*(G$933:G$1011) ) + SUM( ($E$1016:$E$1039=$E$1427)*($A$1016:$A$1039=$A1580)*($D$1016:$D$1039=$D1580)*(G$1016:G$1039) ) )</f>
        <v>0</v>
      </c>
      <c r="H1580" s="1379">
        <f t="array" ref="H1580" xml:space="preserve"> SUM(EF[CH4]*(EF[SATIM Code]= $D1580)) * ( SUM( ($A$768:$A$846=$A1580)*($D$768:$D$846= $D1580)*(H$768:H$846) )  +  SUM( ($A$933:$A$1011=$A1580)*($D$933:$D$1011= $D1580)*(H$933:H$1011) ) + SUM( ($E$1016:$E$1039=$E$1427)*($A$1016:$A$1039=$A1580)*($D$1016:$D$1039=$D1580)*(H$1016:H$1039) ) )</f>
        <v>0</v>
      </c>
      <c r="I1580" s="1379">
        <f t="array" ref="I1580" xml:space="preserve"> SUM(EF[CH4]*(EF[SATIM Code]= $D1580)) * ( SUM( ($A$768:$A$846=$A1580)*($D$768:$D$846= $D1580)*(I$768:I$846) )  +  SUM( ($A$933:$A$1011=$A1580)*($D$933:$D$1011= $D1580)*(I$933:I$1011) ) + SUM( ($E$1016:$E$1039=$E$1427)*($A$1016:$A$1039=$A1580)*($D$1016:$D$1039=$D1580)*(I$1016:I$1039) ) )</f>
        <v>0</v>
      </c>
      <c r="J1580" s="1379">
        <f t="array" ref="J1580" xml:space="preserve"> SUM(EF[CH4]*(EF[SATIM Code]= $D1580)) * ( SUM( ($A$768:$A$846=$A1580)*($D$768:$D$846= $D1580)*(J$768:J$846) )  +  SUM( ($A$933:$A$1011=$A1580)*($D$933:$D$1011= $D1580)*(J$933:J$1011) ) + SUM( ($E$1016:$E$1039=$E$1427)*($A$1016:$A$1039=$A1580)*($D$1016:$D$1039=$D1580)*(J$1016:J$1039) ) )</f>
        <v>0</v>
      </c>
      <c r="K1580" s="1379">
        <f t="array" ref="K1580" xml:space="preserve"> SUM(EF[CH4]*(EF[SATIM Code]= $D1580)) * ( SUM( ($A$768:$A$846=$A1580)*($D$768:$D$846= $D1580)*(K$768:K$846) )  +  SUM( ($A$933:$A$1011=$A1580)*($D$933:$D$1011= $D1580)*(K$933:K$1011) ) + SUM( ($E$1016:$E$1039=$E$1427)*($A$1016:$A$1039=$A1580)*($D$1016:$D$1039=$D1580)*(K$1016:K$1039) ) )</f>
        <v>0</v>
      </c>
      <c r="L1580" s="1379">
        <f t="array" ref="L1580" xml:space="preserve"> SUM(EF[CH4]*(EF[SATIM Code]= $D1580)) * ( SUM( ($A$768:$A$846=$A1580)*($D$768:$D$846= $D1580)*(L$768:L$846) )  +  SUM( ($A$933:$A$1011=$A1580)*($D$933:$D$1011= $D1580)*(L$933:L$1011) ) + SUM( ($E$1016:$E$1039=$E$1427)*($A$1016:$A$1039=$A1580)*($D$1016:$D$1039=$D1580)*(L$1016:L$1039) ) )</f>
        <v>0</v>
      </c>
      <c r="M1580" s="1379">
        <f t="array" ref="M1580" xml:space="preserve"> SUM(EF[CH4]*(EF[SATIM Code]= $D1580)) * ( SUM( ($A$768:$A$846=$A1580)*($D$768:$D$846= $D1580)*(M$768:M$846) )  +  SUM( ($A$933:$A$1011=$A1580)*($D$933:$D$1011= $D1580)*(M$933:M$1011) ) + SUM( ($E$1016:$E$1039=$E$1427)*($A$1016:$A$1039=$A1580)*($D$1016:$D$1039=$D1580)*(M$1016:M$1039) ) )</f>
        <v>0</v>
      </c>
      <c r="N1580" s="1379">
        <f t="array" ref="N1580" xml:space="preserve"> SUM(EF[CH4]*(EF[SATIM Code]= $D1580)) * ( SUM( ($A$768:$A$846=$A1580)*($D$768:$D$846= $D1580)*(N$768:N$846) )  +  SUM( ($A$933:$A$1011=$A1580)*($D$933:$D$1011= $D1580)*(N$933:N$1011) ) + SUM( ($E$1016:$E$1039=$E$1427)*($A$1016:$A$1039=$A1580)*($D$1016:$D$1039=$D1580)*(N$1016:N$1039) ) )</f>
        <v>0</v>
      </c>
      <c r="O1580" s="1379">
        <f t="array" ref="O1580" xml:space="preserve"> SUM(EF[CH4]*(EF[SATIM Code]= $D1580)) * ( SUM( ($A$768:$A$846=$A1580)*($D$768:$D$846= $D1580)*(O$768:O$846) )  +  SUM( ($A$933:$A$1011=$A1580)*($D$933:$D$1011= $D1580)*(O$933:O$1011) ) + SUM( ($E$1016:$E$1039=$E$1427)*($A$1016:$A$1039=$A1580)*($D$1016:$D$1039=$D1580)*(O$1016:O$1039) ) )</f>
        <v>0</v>
      </c>
    </row>
    <row r="1581" spans="1:15" s="19" customFormat="1" hidden="1" outlineLevel="1">
      <c r="A1581" s="19" t="str">
        <f t="shared" si="302"/>
        <v>FB</v>
      </c>
      <c r="B1581" s="1400" t="str">
        <f>INDEX(EF[UK Vector],MATCH(D1581,EF[SATIM Code],0))</f>
        <v>V.04</v>
      </c>
      <c r="C1581" s="1401" t="str">
        <f>INDEX(Vectors[Description], MATCH($B1581, Vectors[Code], 0))</f>
        <v>Liquid hydrocarbons</v>
      </c>
      <c r="D1581" s="1391" t="s">
        <v>886</v>
      </c>
      <c r="E1581" s="1393"/>
      <c r="F1581" s="1379">
        <f t="array" ref="F1581" xml:space="preserve"> SUM(EF[CH4]*(EF[SATIM Code]= $D1581)) * ( SUM( ($A$768:$A$846=$A1581)*($D$768:$D$846= $D1581)*(F$768:F$846) )  +  SUM( ($A$933:$A$1011=$A1581)*($D$933:$D$1011= $D1581)*(F$933:F$1011) ) + SUM( ($E$1016:$E$1039=$E$1427)*($A$1016:$A$1039=$A1581)*($D$1016:$D$1039=$D1581)*(F$1016:F$1039) ) )</f>
        <v>0</v>
      </c>
      <c r="G1581" s="1379">
        <f t="array" ref="G1581" xml:space="preserve"> SUM(EF[CH4]*(EF[SATIM Code]= $D1581)) * ( SUM( ($A$768:$A$846=$A1581)*($D$768:$D$846= $D1581)*(G$768:G$846) )  +  SUM( ($A$933:$A$1011=$A1581)*($D$933:$D$1011= $D1581)*(G$933:G$1011) ) + SUM( ($E$1016:$E$1039=$E$1427)*($A$1016:$A$1039=$A1581)*($D$1016:$D$1039=$D1581)*(G$1016:G$1039) ) )</f>
        <v>0</v>
      </c>
      <c r="H1581" s="1379">
        <f t="array" ref="H1581" xml:space="preserve"> SUM(EF[CH4]*(EF[SATIM Code]= $D1581)) * ( SUM( ($A$768:$A$846=$A1581)*($D$768:$D$846= $D1581)*(H$768:H$846) )  +  SUM( ($A$933:$A$1011=$A1581)*($D$933:$D$1011= $D1581)*(H$933:H$1011) ) + SUM( ($E$1016:$E$1039=$E$1427)*($A$1016:$A$1039=$A1581)*($D$1016:$D$1039=$D1581)*(H$1016:H$1039) ) )</f>
        <v>0</v>
      </c>
      <c r="I1581" s="1379">
        <f t="array" ref="I1581" xml:space="preserve"> SUM(EF[CH4]*(EF[SATIM Code]= $D1581)) * ( SUM( ($A$768:$A$846=$A1581)*($D$768:$D$846= $D1581)*(I$768:I$846) )  +  SUM( ($A$933:$A$1011=$A1581)*($D$933:$D$1011= $D1581)*(I$933:I$1011) ) + SUM( ($E$1016:$E$1039=$E$1427)*($A$1016:$A$1039=$A1581)*($D$1016:$D$1039=$D1581)*(I$1016:I$1039) ) )</f>
        <v>0</v>
      </c>
      <c r="J1581" s="1379">
        <f t="array" ref="J1581" xml:space="preserve"> SUM(EF[CH4]*(EF[SATIM Code]= $D1581)) * ( SUM( ($A$768:$A$846=$A1581)*($D$768:$D$846= $D1581)*(J$768:J$846) )  +  SUM( ($A$933:$A$1011=$A1581)*($D$933:$D$1011= $D1581)*(J$933:J$1011) ) + SUM( ($E$1016:$E$1039=$E$1427)*($A$1016:$A$1039=$A1581)*($D$1016:$D$1039=$D1581)*(J$1016:J$1039) ) )</f>
        <v>0</v>
      </c>
      <c r="K1581" s="1379">
        <f t="array" ref="K1581" xml:space="preserve"> SUM(EF[CH4]*(EF[SATIM Code]= $D1581)) * ( SUM( ($A$768:$A$846=$A1581)*($D$768:$D$846= $D1581)*(K$768:K$846) )  +  SUM( ($A$933:$A$1011=$A1581)*($D$933:$D$1011= $D1581)*(K$933:K$1011) ) + SUM( ($E$1016:$E$1039=$E$1427)*($A$1016:$A$1039=$A1581)*($D$1016:$D$1039=$D1581)*(K$1016:K$1039) ) )</f>
        <v>0</v>
      </c>
      <c r="L1581" s="1379">
        <f t="array" ref="L1581" xml:space="preserve"> SUM(EF[CH4]*(EF[SATIM Code]= $D1581)) * ( SUM( ($A$768:$A$846=$A1581)*($D$768:$D$846= $D1581)*(L$768:L$846) )  +  SUM( ($A$933:$A$1011=$A1581)*($D$933:$D$1011= $D1581)*(L$933:L$1011) ) + SUM( ($E$1016:$E$1039=$E$1427)*($A$1016:$A$1039=$A1581)*($D$1016:$D$1039=$D1581)*(L$1016:L$1039) ) )</f>
        <v>0</v>
      </c>
      <c r="M1581" s="1379">
        <f t="array" ref="M1581" xml:space="preserve"> SUM(EF[CH4]*(EF[SATIM Code]= $D1581)) * ( SUM( ($A$768:$A$846=$A1581)*($D$768:$D$846= $D1581)*(M$768:M$846) )  +  SUM( ($A$933:$A$1011=$A1581)*($D$933:$D$1011= $D1581)*(M$933:M$1011) ) + SUM( ($E$1016:$E$1039=$E$1427)*($A$1016:$A$1039=$A1581)*($D$1016:$D$1039=$D1581)*(M$1016:M$1039) ) )</f>
        <v>0</v>
      </c>
      <c r="N1581" s="1379">
        <f t="array" ref="N1581" xml:space="preserve"> SUM(EF[CH4]*(EF[SATIM Code]= $D1581)) * ( SUM( ($A$768:$A$846=$A1581)*($D$768:$D$846= $D1581)*(N$768:N$846) )  +  SUM( ($A$933:$A$1011=$A1581)*($D$933:$D$1011= $D1581)*(N$933:N$1011) ) + SUM( ($E$1016:$E$1039=$E$1427)*($A$1016:$A$1039=$A1581)*($D$1016:$D$1039=$D1581)*(N$1016:N$1039) ) )</f>
        <v>0</v>
      </c>
      <c r="O1581" s="1379">
        <f t="array" ref="O1581" xml:space="preserve"> SUM(EF[CH4]*(EF[SATIM Code]= $D1581)) * ( SUM( ($A$768:$A$846=$A1581)*($D$768:$D$846= $D1581)*(O$768:O$846) )  +  SUM( ($A$933:$A$1011=$A1581)*($D$933:$D$1011= $D1581)*(O$933:O$1011) ) + SUM( ($E$1016:$E$1039=$E$1427)*($A$1016:$A$1039=$A1581)*($D$1016:$D$1039=$D1581)*(O$1016:O$1039) ) )</f>
        <v>0</v>
      </c>
    </row>
    <row r="1582" spans="1:15" s="19" customFormat="1" hidden="1" outlineLevel="1">
      <c r="A1582" s="19" t="str">
        <f t="shared" si="302"/>
        <v>FB</v>
      </c>
      <c r="B1582" s="1400" t="str">
        <f>INDEX(EF[UK Vector],MATCH(D1582,EF[SATIM Code],0))</f>
        <v>V.04</v>
      </c>
      <c r="C1582" s="1401" t="str">
        <f>INDEX(Vectors[Description], MATCH($B1582, Vectors[Code], 0))</f>
        <v>Liquid hydrocarbons</v>
      </c>
      <c r="D1582" s="1406" t="s">
        <v>887</v>
      </c>
      <c r="E1582" s="1393"/>
      <c r="F1582" s="1379">
        <f t="array" ref="F1582" xml:space="preserve"> SUM(EF[CH4]*(EF[SATIM Code]= $D1582)) * ( SUM( ($A$768:$A$846=$A1582)*($D$768:$D$846= $D1582)*(F$768:F$846) )  +  SUM( ($A$933:$A$1011=$A1582)*($D$933:$D$1011= $D1582)*(F$933:F$1011) ) + SUM( ($E$1016:$E$1039=$E$1427)*($A$1016:$A$1039=$A1582)*($D$1016:$D$1039=$D1582)*(F$1016:F$1039) ) )</f>
        <v>0</v>
      </c>
      <c r="G1582" s="1379">
        <f t="array" ref="G1582" xml:space="preserve"> SUM(EF[CH4]*(EF[SATIM Code]= $D1582)) * ( SUM( ($A$768:$A$846=$A1582)*($D$768:$D$846= $D1582)*(G$768:G$846) )  +  SUM( ($A$933:$A$1011=$A1582)*($D$933:$D$1011= $D1582)*(G$933:G$1011) ) + SUM( ($E$1016:$E$1039=$E$1427)*($A$1016:$A$1039=$A1582)*($D$1016:$D$1039=$D1582)*(G$1016:G$1039) ) )</f>
        <v>0</v>
      </c>
      <c r="H1582" s="1379">
        <f t="array" ref="H1582" xml:space="preserve"> SUM(EF[CH4]*(EF[SATIM Code]= $D1582)) * ( SUM( ($A$768:$A$846=$A1582)*($D$768:$D$846= $D1582)*(H$768:H$846) )  +  SUM( ($A$933:$A$1011=$A1582)*($D$933:$D$1011= $D1582)*(H$933:H$1011) ) + SUM( ($E$1016:$E$1039=$E$1427)*($A$1016:$A$1039=$A1582)*($D$1016:$D$1039=$D1582)*(H$1016:H$1039) ) )</f>
        <v>0</v>
      </c>
      <c r="I1582" s="1379">
        <f t="array" ref="I1582" xml:space="preserve"> SUM(EF[CH4]*(EF[SATIM Code]= $D1582)) * ( SUM( ($A$768:$A$846=$A1582)*($D$768:$D$846= $D1582)*(I$768:I$846) )  +  SUM( ($A$933:$A$1011=$A1582)*($D$933:$D$1011= $D1582)*(I$933:I$1011) ) + SUM( ($E$1016:$E$1039=$E$1427)*($A$1016:$A$1039=$A1582)*($D$1016:$D$1039=$D1582)*(I$1016:I$1039) ) )</f>
        <v>0</v>
      </c>
      <c r="J1582" s="1379">
        <f t="array" ref="J1582" xml:space="preserve"> SUM(EF[CH4]*(EF[SATIM Code]= $D1582)) * ( SUM( ($A$768:$A$846=$A1582)*($D$768:$D$846= $D1582)*(J$768:J$846) )  +  SUM( ($A$933:$A$1011=$A1582)*($D$933:$D$1011= $D1582)*(J$933:J$1011) ) + SUM( ($E$1016:$E$1039=$E$1427)*($A$1016:$A$1039=$A1582)*($D$1016:$D$1039=$D1582)*(J$1016:J$1039) ) )</f>
        <v>0</v>
      </c>
      <c r="K1582" s="1379">
        <f t="array" ref="K1582" xml:space="preserve"> SUM(EF[CH4]*(EF[SATIM Code]= $D1582)) * ( SUM( ($A$768:$A$846=$A1582)*($D$768:$D$846= $D1582)*(K$768:K$846) )  +  SUM( ($A$933:$A$1011=$A1582)*($D$933:$D$1011= $D1582)*(K$933:K$1011) ) + SUM( ($E$1016:$E$1039=$E$1427)*($A$1016:$A$1039=$A1582)*($D$1016:$D$1039=$D1582)*(K$1016:K$1039) ) )</f>
        <v>0</v>
      </c>
      <c r="L1582" s="1379">
        <f t="array" ref="L1582" xml:space="preserve"> SUM(EF[CH4]*(EF[SATIM Code]= $D1582)) * ( SUM( ($A$768:$A$846=$A1582)*($D$768:$D$846= $D1582)*(L$768:L$846) )  +  SUM( ($A$933:$A$1011=$A1582)*($D$933:$D$1011= $D1582)*(L$933:L$1011) ) + SUM( ($E$1016:$E$1039=$E$1427)*($A$1016:$A$1039=$A1582)*($D$1016:$D$1039=$D1582)*(L$1016:L$1039) ) )</f>
        <v>0</v>
      </c>
      <c r="M1582" s="1379">
        <f t="array" ref="M1582" xml:space="preserve"> SUM(EF[CH4]*(EF[SATIM Code]= $D1582)) * ( SUM( ($A$768:$A$846=$A1582)*($D$768:$D$846= $D1582)*(M$768:M$846) )  +  SUM( ($A$933:$A$1011=$A1582)*($D$933:$D$1011= $D1582)*(M$933:M$1011) ) + SUM( ($E$1016:$E$1039=$E$1427)*($A$1016:$A$1039=$A1582)*($D$1016:$D$1039=$D1582)*(M$1016:M$1039) ) )</f>
        <v>0</v>
      </c>
      <c r="N1582" s="1379">
        <f t="array" ref="N1582" xml:space="preserve"> SUM(EF[CH4]*(EF[SATIM Code]= $D1582)) * ( SUM( ($A$768:$A$846=$A1582)*($D$768:$D$846= $D1582)*(N$768:N$846) )  +  SUM( ($A$933:$A$1011=$A1582)*($D$933:$D$1011= $D1582)*(N$933:N$1011) ) + SUM( ($E$1016:$E$1039=$E$1427)*($A$1016:$A$1039=$A1582)*($D$1016:$D$1039=$D1582)*(N$1016:N$1039) ) )</f>
        <v>0</v>
      </c>
      <c r="O1582" s="1379">
        <f t="array" ref="O1582" xml:space="preserve"> SUM(EF[CH4]*(EF[SATIM Code]= $D1582)) * ( SUM( ($A$768:$A$846=$A1582)*($D$768:$D$846= $D1582)*(O$768:O$846) )  +  SUM( ($A$933:$A$1011=$A1582)*($D$933:$D$1011= $D1582)*(O$933:O$1011) ) + SUM( ($E$1016:$E$1039=$E$1427)*($A$1016:$A$1039=$A1582)*($D$1016:$D$1039=$D1582)*(O$1016:O$1039) ) )</f>
        <v>0</v>
      </c>
    </row>
    <row r="1583" spans="1:15" s="19" customFormat="1" hidden="1" outlineLevel="1">
      <c r="A1583" s="19" t="str">
        <f t="shared" si="302"/>
        <v>FB</v>
      </c>
      <c r="B1583" s="1400" t="str">
        <f>INDEX(EF[UK Vector],MATCH(D1583,EF[SATIM Code],0))</f>
        <v>V.09</v>
      </c>
      <c r="C1583" s="1401" t="str">
        <f>INDEX(Vectors[Description], MATCH($B1583, Vectors[Code], 0))</f>
        <v>Dry biomass and waste</v>
      </c>
      <c r="D1583" s="1406" t="s">
        <v>888</v>
      </c>
      <c r="E1583" s="1393"/>
      <c r="F1583" s="1379">
        <f t="array" ref="F1583" xml:space="preserve"> SUM(EF[CH4]*(EF[SATIM Code]= $D1583)) * ( SUM( ($A$768:$A$846=$A1583)*($D$768:$D$846= $D1583)*(F$768:F$846) )  +  SUM( ($A$933:$A$1011=$A1583)*($D$933:$D$1011= $D1583)*(F$933:F$1011) ) + SUM( ($E$1016:$E$1039=$E$1427)*($A$1016:$A$1039=$A1583)*($D$1016:$D$1039=$D1583)*(F$1016:F$1039) ) )</f>
        <v>0</v>
      </c>
      <c r="G1583" s="1379">
        <f t="array" ref="G1583" xml:space="preserve"> SUM(EF[CH4]*(EF[SATIM Code]= $D1583)) * ( SUM( ($A$768:$A$846=$A1583)*($D$768:$D$846= $D1583)*(G$768:G$846) )  +  SUM( ($A$933:$A$1011=$A1583)*($D$933:$D$1011= $D1583)*(G$933:G$1011) ) + SUM( ($E$1016:$E$1039=$E$1427)*($A$1016:$A$1039=$A1583)*($D$1016:$D$1039=$D1583)*(G$1016:G$1039) ) )</f>
        <v>0</v>
      </c>
      <c r="H1583" s="1379">
        <f t="array" ref="H1583" xml:space="preserve"> SUM(EF[CH4]*(EF[SATIM Code]= $D1583)) * ( SUM( ($A$768:$A$846=$A1583)*($D$768:$D$846= $D1583)*(H$768:H$846) )  +  SUM( ($A$933:$A$1011=$A1583)*($D$933:$D$1011= $D1583)*(H$933:H$1011) ) + SUM( ($E$1016:$E$1039=$E$1427)*($A$1016:$A$1039=$A1583)*($D$1016:$D$1039=$D1583)*(H$1016:H$1039) ) )</f>
        <v>0</v>
      </c>
      <c r="I1583" s="1379">
        <f t="array" ref="I1583" xml:space="preserve"> SUM(EF[CH4]*(EF[SATIM Code]= $D1583)) * ( SUM( ($A$768:$A$846=$A1583)*($D$768:$D$846= $D1583)*(I$768:I$846) )  +  SUM( ($A$933:$A$1011=$A1583)*($D$933:$D$1011= $D1583)*(I$933:I$1011) ) + SUM( ($E$1016:$E$1039=$E$1427)*($A$1016:$A$1039=$A1583)*($D$1016:$D$1039=$D1583)*(I$1016:I$1039) ) )</f>
        <v>0</v>
      </c>
      <c r="J1583" s="1379">
        <f t="array" ref="J1583" xml:space="preserve"> SUM(EF[CH4]*(EF[SATIM Code]= $D1583)) * ( SUM( ($A$768:$A$846=$A1583)*($D$768:$D$846= $D1583)*(J$768:J$846) )  +  SUM( ($A$933:$A$1011=$A1583)*($D$933:$D$1011= $D1583)*(J$933:J$1011) ) + SUM( ($E$1016:$E$1039=$E$1427)*($A$1016:$A$1039=$A1583)*($D$1016:$D$1039=$D1583)*(J$1016:J$1039) ) )</f>
        <v>0</v>
      </c>
      <c r="K1583" s="1379">
        <f t="array" ref="K1583" xml:space="preserve"> SUM(EF[CH4]*(EF[SATIM Code]= $D1583)) * ( SUM( ($A$768:$A$846=$A1583)*($D$768:$D$846= $D1583)*(K$768:K$846) )  +  SUM( ($A$933:$A$1011=$A1583)*($D$933:$D$1011= $D1583)*(K$933:K$1011) ) + SUM( ($E$1016:$E$1039=$E$1427)*($A$1016:$A$1039=$A1583)*($D$1016:$D$1039=$D1583)*(K$1016:K$1039) ) )</f>
        <v>0</v>
      </c>
      <c r="L1583" s="1379">
        <f t="array" ref="L1583" xml:space="preserve"> SUM(EF[CH4]*(EF[SATIM Code]= $D1583)) * ( SUM( ($A$768:$A$846=$A1583)*($D$768:$D$846= $D1583)*(L$768:L$846) )  +  SUM( ($A$933:$A$1011=$A1583)*($D$933:$D$1011= $D1583)*(L$933:L$1011) ) + SUM( ($E$1016:$E$1039=$E$1427)*($A$1016:$A$1039=$A1583)*($D$1016:$D$1039=$D1583)*(L$1016:L$1039) ) )</f>
        <v>0</v>
      </c>
      <c r="M1583" s="1379">
        <f t="array" ref="M1583" xml:space="preserve"> SUM(EF[CH4]*(EF[SATIM Code]= $D1583)) * ( SUM( ($A$768:$A$846=$A1583)*($D$768:$D$846= $D1583)*(M$768:M$846) )  +  SUM( ($A$933:$A$1011=$A1583)*($D$933:$D$1011= $D1583)*(M$933:M$1011) ) + SUM( ($E$1016:$E$1039=$E$1427)*($A$1016:$A$1039=$A1583)*($D$1016:$D$1039=$D1583)*(M$1016:M$1039) ) )</f>
        <v>0</v>
      </c>
      <c r="N1583" s="1379">
        <f t="array" ref="N1583" xml:space="preserve"> SUM(EF[CH4]*(EF[SATIM Code]= $D1583)) * ( SUM( ($A$768:$A$846=$A1583)*($D$768:$D$846= $D1583)*(N$768:N$846) )  +  SUM( ($A$933:$A$1011=$A1583)*($D$933:$D$1011= $D1583)*(N$933:N$1011) ) + SUM( ($E$1016:$E$1039=$E$1427)*($A$1016:$A$1039=$A1583)*($D$1016:$D$1039=$D1583)*(N$1016:N$1039) ) )</f>
        <v>0</v>
      </c>
      <c r="O1583" s="1379">
        <f t="array" ref="O1583" xml:space="preserve"> SUM(EF[CH4]*(EF[SATIM Code]= $D1583)) * ( SUM( ($A$768:$A$846=$A1583)*($D$768:$D$846= $D1583)*(O$768:O$846) )  +  SUM( ($A$933:$A$1011=$A1583)*($D$933:$D$1011= $D1583)*(O$933:O$1011) ) + SUM( ($E$1016:$E$1039=$E$1427)*($A$1016:$A$1039=$A1583)*($D$1016:$D$1039=$D1583)*(O$1016:O$1039) ) )</f>
        <v>0</v>
      </c>
    </row>
    <row r="1584" spans="1:15" s="19" customFormat="1" hidden="1" outlineLevel="1">
      <c r="A1584" s="19" t="str">
        <f t="shared" si="302"/>
        <v>FB</v>
      </c>
      <c r="B1584" s="1400" t="str">
        <f>INDEX(EF[UK Vector],MATCH(D1584,EF[SATIM Code],0))</f>
        <v>V.09</v>
      </c>
      <c r="C1584" s="1401" t="str">
        <f>INDEX(Vectors[Description], MATCH($B1584, Vectors[Code], 0))</f>
        <v>Dry biomass and waste</v>
      </c>
      <c r="D1584" s="1388" t="s">
        <v>889</v>
      </c>
      <c r="E1584" s="1393"/>
      <c r="F1584" s="1379">
        <f t="array" ref="F1584" xml:space="preserve"> SUM(EF[CH4]*(EF[SATIM Code]= $D1584)) * ( SUM( ($A$768:$A$846=$A1584)*($D$768:$D$846= $D1584)*(F$768:F$846) )  +  SUM( ($A$933:$A$1011=$A1584)*($D$933:$D$1011= $D1584)*(F$933:F$1011) ) + SUM( ($E$1016:$E$1039=$E$1427)*($A$1016:$A$1039=$A1584)*($D$1016:$D$1039=$D1584)*(F$1016:F$1039) ) )</f>
        <v>0</v>
      </c>
      <c r="G1584" s="1379">
        <f t="array" ref="G1584" xml:space="preserve"> SUM(EF[CH4]*(EF[SATIM Code]= $D1584)) * ( SUM( ($A$768:$A$846=$A1584)*($D$768:$D$846= $D1584)*(G$768:G$846) )  +  SUM( ($A$933:$A$1011=$A1584)*($D$933:$D$1011= $D1584)*(G$933:G$1011) ) + SUM( ($E$1016:$E$1039=$E$1427)*($A$1016:$A$1039=$A1584)*($D$1016:$D$1039=$D1584)*(G$1016:G$1039) ) )</f>
        <v>0</v>
      </c>
      <c r="H1584" s="1379">
        <f t="array" ref="H1584" xml:space="preserve"> SUM(EF[CH4]*(EF[SATIM Code]= $D1584)) * ( SUM( ($A$768:$A$846=$A1584)*($D$768:$D$846= $D1584)*(H$768:H$846) )  +  SUM( ($A$933:$A$1011=$A1584)*($D$933:$D$1011= $D1584)*(H$933:H$1011) ) + SUM( ($E$1016:$E$1039=$E$1427)*($A$1016:$A$1039=$A1584)*($D$1016:$D$1039=$D1584)*(H$1016:H$1039) ) )</f>
        <v>0</v>
      </c>
      <c r="I1584" s="1379">
        <f t="array" ref="I1584" xml:space="preserve"> SUM(EF[CH4]*(EF[SATIM Code]= $D1584)) * ( SUM( ($A$768:$A$846=$A1584)*($D$768:$D$846= $D1584)*(I$768:I$846) )  +  SUM( ($A$933:$A$1011=$A1584)*($D$933:$D$1011= $D1584)*(I$933:I$1011) ) + SUM( ($E$1016:$E$1039=$E$1427)*($A$1016:$A$1039=$A1584)*($D$1016:$D$1039=$D1584)*(I$1016:I$1039) ) )</f>
        <v>0</v>
      </c>
      <c r="J1584" s="1379">
        <f t="array" ref="J1584" xml:space="preserve"> SUM(EF[CH4]*(EF[SATIM Code]= $D1584)) * ( SUM( ($A$768:$A$846=$A1584)*($D$768:$D$846= $D1584)*(J$768:J$846) )  +  SUM( ($A$933:$A$1011=$A1584)*($D$933:$D$1011= $D1584)*(J$933:J$1011) ) + SUM( ($E$1016:$E$1039=$E$1427)*($A$1016:$A$1039=$A1584)*($D$1016:$D$1039=$D1584)*(J$1016:J$1039) ) )</f>
        <v>0</v>
      </c>
      <c r="K1584" s="1379">
        <f t="array" ref="K1584" xml:space="preserve"> SUM(EF[CH4]*(EF[SATIM Code]= $D1584)) * ( SUM( ($A$768:$A$846=$A1584)*($D$768:$D$846= $D1584)*(K$768:K$846) )  +  SUM( ($A$933:$A$1011=$A1584)*($D$933:$D$1011= $D1584)*(K$933:K$1011) ) + SUM( ($E$1016:$E$1039=$E$1427)*($A$1016:$A$1039=$A1584)*($D$1016:$D$1039=$D1584)*(K$1016:K$1039) ) )</f>
        <v>0</v>
      </c>
      <c r="L1584" s="1379">
        <f t="array" ref="L1584" xml:space="preserve"> SUM(EF[CH4]*(EF[SATIM Code]= $D1584)) * ( SUM( ($A$768:$A$846=$A1584)*($D$768:$D$846= $D1584)*(L$768:L$846) )  +  SUM( ($A$933:$A$1011=$A1584)*($D$933:$D$1011= $D1584)*(L$933:L$1011) ) + SUM( ($E$1016:$E$1039=$E$1427)*($A$1016:$A$1039=$A1584)*($D$1016:$D$1039=$D1584)*(L$1016:L$1039) ) )</f>
        <v>0</v>
      </c>
      <c r="M1584" s="1379">
        <f t="array" ref="M1584" xml:space="preserve"> SUM(EF[CH4]*(EF[SATIM Code]= $D1584)) * ( SUM( ($A$768:$A$846=$A1584)*($D$768:$D$846= $D1584)*(M$768:M$846) )  +  SUM( ($A$933:$A$1011=$A1584)*($D$933:$D$1011= $D1584)*(M$933:M$1011) ) + SUM( ($E$1016:$E$1039=$E$1427)*($A$1016:$A$1039=$A1584)*($D$1016:$D$1039=$D1584)*(M$1016:M$1039) ) )</f>
        <v>0</v>
      </c>
      <c r="N1584" s="1379">
        <f t="array" ref="N1584" xml:space="preserve"> SUM(EF[CH4]*(EF[SATIM Code]= $D1584)) * ( SUM( ($A$768:$A$846=$A1584)*($D$768:$D$846= $D1584)*(N$768:N$846) )  +  SUM( ($A$933:$A$1011=$A1584)*($D$933:$D$1011= $D1584)*(N$933:N$1011) ) + SUM( ($E$1016:$E$1039=$E$1427)*($A$1016:$A$1039=$A1584)*($D$1016:$D$1039=$D1584)*(N$1016:N$1039) ) )</f>
        <v>0</v>
      </c>
      <c r="O1584" s="1379">
        <f t="array" ref="O1584" xml:space="preserve"> SUM(EF[CH4]*(EF[SATIM Code]= $D1584)) * ( SUM( ($A$768:$A$846=$A1584)*($D$768:$D$846= $D1584)*(O$768:O$846) )  +  SUM( ($A$933:$A$1011=$A1584)*($D$933:$D$1011= $D1584)*(O$933:O$1011) ) + SUM( ($E$1016:$E$1039=$E$1427)*($A$1016:$A$1039=$A1584)*($D$1016:$D$1039=$D1584)*(O$1016:O$1039) ) )</f>
        <v>0</v>
      </c>
    </row>
    <row r="1585" spans="1:15" s="19" customFormat="1" hidden="1" outlineLevel="1">
      <c r="A1585" s="19" t="str">
        <f t="shared" si="302"/>
        <v>FB</v>
      </c>
      <c r="B1585" s="1400" t="str">
        <f>INDEX(EF[UK Vector],MATCH(D1585,EF[SATIM Code],0))</f>
        <v>V.16</v>
      </c>
      <c r="C1585" s="1401" t="str">
        <f>INDEX(Vectors[Description], MATCH($B1585, Vectors[Code], 0))</f>
        <v>Other Waste</v>
      </c>
      <c r="D1585" s="1408" t="s">
        <v>890</v>
      </c>
      <c r="E1585" s="1393"/>
      <c r="F1585" s="1379">
        <f t="array" ref="F1585" xml:space="preserve"> SUM(EF[CH4]*(EF[SATIM Code]= $D1585)) * ( SUM( ($A$768:$A$846=$A1585)*($D$768:$D$846= $D1585)*(F$768:F$846) )  +  SUM( ($A$933:$A$1011=$A1585)*($D$933:$D$1011= $D1585)*(F$933:F$1011) ) + SUM( ($E$1016:$E$1039=$E$1427)*($A$1016:$A$1039=$A1585)*($D$1016:$D$1039=$D1585)*(F$1016:F$1039) ) )</f>
        <v>0</v>
      </c>
      <c r="G1585" s="1379">
        <f t="array" ref="G1585" xml:space="preserve"> SUM(EF[CH4]*(EF[SATIM Code]= $D1585)) * ( SUM( ($A$768:$A$846=$A1585)*($D$768:$D$846= $D1585)*(G$768:G$846) )  +  SUM( ($A$933:$A$1011=$A1585)*($D$933:$D$1011= $D1585)*(G$933:G$1011) ) + SUM( ($E$1016:$E$1039=$E$1427)*($A$1016:$A$1039=$A1585)*($D$1016:$D$1039=$D1585)*(G$1016:G$1039) ) )</f>
        <v>0</v>
      </c>
      <c r="H1585" s="1379">
        <f t="array" ref="H1585" xml:space="preserve"> SUM(EF[CH4]*(EF[SATIM Code]= $D1585)) * ( SUM( ($A$768:$A$846=$A1585)*($D$768:$D$846= $D1585)*(H$768:H$846) )  +  SUM( ($A$933:$A$1011=$A1585)*($D$933:$D$1011= $D1585)*(H$933:H$1011) ) + SUM( ($E$1016:$E$1039=$E$1427)*($A$1016:$A$1039=$A1585)*($D$1016:$D$1039=$D1585)*(H$1016:H$1039) ) )</f>
        <v>0</v>
      </c>
      <c r="I1585" s="1379">
        <f t="array" ref="I1585" xml:space="preserve"> SUM(EF[CH4]*(EF[SATIM Code]= $D1585)) * ( SUM( ($A$768:$A$846=$A1585)*($D$768:$D$846= $D1585)*(I$768:I$846) )  +  SUM( ($A$933:$A$1011=$A1585)*($D$933:$D$1011= $D1585)*(I$933:I$1011) ) + SUM( ($E$1016:$E$1039=$E$1427)*($A$1016:$A$1039=$A1585)*($D$1016:$D$1039=$D1585)*(I$1016:I$1039) ) )</f>
        <v>0</v>
      </c>
      <c r="J1585" s="1379">
        <f t="array" ref="J1585" xml:space="preserve"> SUM(EF[CH4]*(EF[SATIM Code]= $D1585)) * ( SUM( ($A$768:$A$846=$A1585)*($D$768:$D$846= $D1585)*(J$768:J$846) )  +  SUM( ($A$933:$A$1011=$A1585)*($D$933:$D$1011= $D1585)*(J$933:J$1011) ) + SUM( ($E$1016:$E$1039=$E$1427)*($A$1016:$A$1039=$A1585)*($D$1016:$D$1039=$D1585)*(J$1016:J$1039) ) )</f>
        <v>0</v>
      </c>
      <c r="K1585" s="1379">
        <f t="array" ref="K1585" xml:space="preserve"> SUM(EF[CH4]*(EF[SATIM Code]= $D1585)) * ( SUM( ($A$768:$A$846=$A1585)*($D$768:$D$846= $D1585)*(K$768:K$846) )  +  SUM( ($A$933:$A$1011=$A1585)*($D$933:$D$1011= $D1585)*(K$933:K$1011) ) + SUM( ($E$1016:$E$1039=$E$1427)*($A$1016:$A$1039=$A1585)*($D$1016:$D$1039=$D1585)*(K$1016:K$1039) ) )</f>
        <v>0</v>
      </c>
      <c r="L1585" s="1379">
        <f t="array" ref="L1585" xml:space="preserve"> SUM(EF[CH4]*(EF[SATIM Code]= $D1585)) * ( SUM( ($A$768:$A$846=$A1585)*($D$768:$D$846= $D1585)*(L$768:L$846) )  +  SUM( ($A$933:$A$1011=$A1585)*($D$933:$D$1011= $D1585)*(L$933:L$1011) ) + SUM( ($E$1016:$E$1039=$E$1427)*($A$1016:$A$1039=$A1585)*($D$1016:$D$1039=$D1585)*(L$1016:L$1039) ) )</f>
        <v>0</v>
      </c>
      <c r="M1585" s="1379">
        <f t="array" ref="M1585" xml:space="preserve"> SUM(EF[CH4]*(EF[SATIM Code]= $D1585)) * ( SUM( ($A$768:$A$846=$A1585)*($D$768:$D$846= $D1585)*(M$768:M$846) )  +  SUM( ($A$933:$A$1011=$A1585)*($D$933:$D$1011= $D1585)*(M$933:M$1011) ) + SUM( ($E$1016:$E$1039=$E$1427)*($A$1016:$A$1039=$A1585)*($D$1016:$D$1039=$D1585)*(M$1016:M$1039) ) )</f>
        <v>0</v>
      </c>
      <c r="N1585" s="1379">
        <f t="array" ref="N1585" xml:space="preserve"> SUM(EF[CH4]*(EF[SATIM Code]= $D1585)) * ( SUM( ($A$768:$A$846=$A1585)*($D$768:$D$846= $D1585)*(N$768:N$846) )  +  SUM( ($A$933:$A$1011=$A1585)*($D$933:$D$1011= $D1585)*(N$933:N$1011) ) + SUM( ($E$1016:$E$1039=$E$1427)*($A$1016:$A$1039=$A1585)*($D$1016:$D$1039=$D1585)*(N$1016:N$1039) ) )</f>
        <v>0</v>
      </c>
      <c r="O1585" s="1379">
        <f t="array" ref="O1585" xml:space="preserve"> SUM(EF[CH4]*(EF[SATIM Code]= $D1585)) * ( SUM( ($A$768:$A$846=$A1585)*($D$768:$D$846= $D1585)*(O$768:O$846) )  +  SUM( ($A$933:$A$1011=$A1585)*($D$933:$D$1011= $D1585)*(O$933:O$1011) ) + SUM( ($E$1016:$E$1039=$E$1427)*($A$1016:$A$1039=$A1585)*($D$1016:$D$1039=$D1585)*(O$1016:O$1039) ) )</f>
        <v>0</v>
      </c>
    </row>
    <row r="1586" spans="1:15" s="19" customFormat="1" hidden="1" outlineLevel="1">
      <c r="B1586" s="1393"/>
      <c r="C1586" s="1407" t="str">
        <f>D26</f>
        <v>Pulp &amp; Paper Products  -323</v>
      </c>
      <c r="D1586" s="1391"/>
      <c r="E1586" s="1393"/>
      <c r="F1586" s="1379">
        <f t="array" ref="F1586" xml:space="preserve"> SUM(EF[CH4]*(EF[SATIM Code]= $D1586)) * ( SUM( ($A$768:$A$846=$A1586)*($D$768:$D$846= $D1586)*(F$768:F$846) )  +  SUM( ($A$933:$A$1011=$A1586)*($D$933:$D$1011= $D1586)*(F$933:F$1011) ) + SUM( ($E$1016:$E$1039=$E$1427)*($A$1016:$A$1039=$A1586)*($D$1016:$D$1039=$D1586)*(F$1016:F$1039) ) )</f>
        <v>0</v>
      </c>
      <c r="G1586" s="1379">
        <f t="array" ref="G1586" xml:space="preserve"> SUM(EF[CH4]*(EF[SATIM Code]= $D1586)) * ( SUM( ($A$768:$A$846=$A1586)*($D$768:$D$846= $D1586)*(G$768:G$846) )  +  SUM( ($A$933:$A$1011=$A1586)*($D$933:$D$1011= $D1586)*(G$933:G$1011) ) + SUM( ($E$1016:$E$1039=$E$1427)*($A$1016:$A$1039=$A1586)*($D$1016:$D$1039=$D1586)*(G$1016:G$1039) ) )</f>
        <v>0</v>
      </c>
      <c r="H1586" s="1379">
        <f t="array" ref="H1586" xml:space="preserve"> SUM(EF[CH4]*(EF[SATIM Code]= $D1586)) * ( SUM( ($A$768:$A$846=$A1586)*($D$768:$D$846= $D1586)*(H$768:H$846) )  +  SUM( ($A$933:$A$1011=$A1586)*($D$933:$D$1011= $D1586)*(H$933:H$1011) ) + SUM( ($E$1016:$E$1039=$E$1427)*($A$1016:$A$1039=$A1586)*($D$1016:$D$1039=$D1586)*(H$1016:H$1039) ) )</f>
        <v>0</v>
      </c>
      <c r="I1586" s="1379">
        <f t="array" ref="I1586" xml:space="preserve"> SUM(EF[CH4]*(EF[SATIM Code]= $D1586)) * ( SUM( ($A$768:$A$846=$A1586)*($D$768:$D$846= $D1586)*(I$768:I$846) )  +  SUM( ($A$933:$A$1011=$A1586)*($D$933:$D$1011= $D1586)*(I$933:I$1011) ) + SUM( ($E$1016:$E$1039=$E$1427)*($A$1016:$A$1039=$A1586)*($D$1016:$D$1039=$D1586)*(I$1016:I$1039) ) )</f>
        <v>0</v>
      </c>
      <c r="J1586" s="1379">
        <f t="array" ref="J1586" xml:space="preserve"> SUM(EF[CH4]*(EF[SATIM Code]= $D1586)) * ( SUM( ($A$768:$A$846=$A1586)*($D$768:$D$846= $D1586)*(J$768:J$846) )  +  SUM( ($A$933:$A$1011=$A1586)*($D$933:$D$1011= $D1586)*(J$933:J$1011) ) + SUM( ($E$1016:$E$1039=$E$1427)*($A$1016:$A$1039=$A1586)*($D$1016:$D$1039=$D1586)*(J$1016:J$1039) ) )</f>
        <v>0</v>
      </c>
      <c r="K1586" s="1379">
        <f t="array" ref="K1586" xml:space="preserve"> SUM(EF[CH4]*(EF[SATIM Code]= $D1586)) * ( SUM( ($A$768:$A$846=$A1586)*($D$768:$D$846= $D1586)*(K$768:K$846) )  +  SUM( ($A$933:$A$1011=$A1586)*($D$933:$D$1011= $D1586)*(K$933:K$1011) ) + SUM( ($E$1016:$E$1039=$E$1427)*($A$1016:$A$1039=$A1586)*($D$1016:$D$1039=$D1586)*(K$1016:K$1039) ) )</f>
        <v>0</v>
      </c>
      <c r="L1586" s="1379">
        <f t="array" ref="L1586" xml:space="preserve"> SUM(EF[CH4]*(EF[SATIM Code]= $D1586)) * ( SUM( ($A$768:$A$846=$A1586)*($D$768:$D$846= $D1586)*(L$768:L$846) )  +  SUM( ($A$933:$A$1011=$A1586)*($D$933:$D$1011= $D1586)*(L$933:L$1011) ) + SUM( ($E$1016:$E$1039=$E$1427)*($A$1016:$A$1039=$A1586)*($D$1016:$D$1039=$D1586)*(L$1016:L$1039) ) )</f>
        <v>0</v>
      </c>
      <c r="M1586" s="1379">
        <f t="array" ref="M1586" xml:space="preserve"> SUM(EF[CH4]*(EF[SATIM Code]= $D1586)) * ( SUM( ($A$768:$A$846=$A1586)*($D$768:$D$846= $D1586)*(M$768:M$846) )  +  SUM( ($A$933:$A$1011=$A1586)*($D$933:$D$1011= $D1586)*(M$933:M$1011) ) + SUM( ($E$1016:$E$1039=$E$1427)*($A$1016:$A$1039=$A1586)*($D$1016:$D$1039=$D1586)*(M$1016:M$1039) ) )</f>
        <v>0</v>
      </c>
      <c r="N1586" s="1379">
        <f t="array" ref="N1586" xml:space="preserve"> SUM(EF[CH4]*(EF[SATIM Code]= $D1586)) * ( SUM( ($A$768:$A$846=$A1586)*($D$768:$D$846= $D1586)*(N$768:N$846) )  +  SUM( ($A$933:$A$1011=$A1586)*($D$933:$D$1011= $D1586)*(N$933:N$1011) ) + SUM( ($E$1016:$E$1039=$E$1427)*($A$1016:$A$1039=$A1586)*($D$1016:$D$1039=$D1586)*(N$1016:N$1039) ) )</f>
        <v>0</v>
      </c>
      <c r="O1586" s="1379">
        <f t="array" ref="O1586" xml:space="preserve"> SUM(EF[CH4]*(EF[SATIM Code]= $D1586)) * ( SUM( ($A$768:$A$846=$A1586)*($D$768:$D$846= $D1586)*(O$768:O$846) )  +  SUM( ($A$933:$A$1011=$A1586)*($D$933:$D$1011= $D1586)*(O$933:O$1011) ) + SUM( ($E$1016:$E$1039=$E$1427)*($A$1016:$A$1039=$A1586)*($D$1016:$D$1039=$D1586)*(O$1016:O$1039) ) )</f>
        <v>0</v>
      </c>
    </row>
    <row r="1587" spans="1:15" s="19" customFormat="1" hidden="1" outlineLevel="1">
      <c r="A1587" s="1438" t="str">
        <f>INDEX($C$20:$C$27,MATCH($C1586,$D$20:$D$27,0))</f>
        <v>PP</v>
      </c>
      <c r="B1587" s="1400" t="str">
        <f>INDEX(EF[UK Vector],MATCH(D1587,EF[SATIM Code],0))</f>
        <v>V.03</v>
      </c>
      <c r="C1587" s="1401" t="str">
        <f>INDEX(Vectors[Description], MATCH($B1587, Vectors[Code], 0))</f>
        <v>Solid hydrocarbons</v>
      </c>
      <c r="D1587" s="1391" t="s">
        <v>882</v>
      </c>
      <c r="E1587" s="1393"/>
      <c r="F1587" s="1379">
        <f t="array" ref="F1587" xml:space="preserve"> SUM(EF[CH4]*(EF[SATIM Code]= $D1587)) * ( SUM( ($A$768:$A$846=$A1587)*($D$768:$D$846= $D1587)*(F$768:F$846) )  +  SUM( ($A$933:$A$1011=$A1587)*($D$933:$D$1011= $D1587)*(F$933:F$1011) ) + SUM( ($E$1016:$E$1039=$E$1427)*($A$1016:$A$1039=$A1587)*($D$1016:$D$1039=$D1587)*(F$1016:F$1039) ) )</f>
        <v>1.017558934222606E-3</v>
      </c>
      <c r="G1587" s="1379">
        <f t="array" ref="G1587" xml:space="preserve"> SUM(EF[CH4]*(EF[SATIM Code]= $D1587)) * ( SUM( ($A$768:$A$846=$A1587)*($D$768:$D$846= $D1587)*(G$768:G$846) )  +  SUM( ($A$933:$A$1011=$A1587)*($D$933:$D$1011= $D1587)*(G$933:G$1011) ) + SUM( ($E$1016:$E$1039=$E$1427)*($A$1016:$A$1039=$A1587)*($D$1016:$D$1039=$D1587)*(G$1016:G$1039) ) )</f>
        <v>1.2397443058874437E-3</v>
      </c>
      <c r="H1587" s="1379">
        <f t="array" ref="H1587" xml:space="preserve"> SUM(EF[CH4]*(EF[SATIM Code]= $D1587)) * ( SUM( ($A$768:$A$846=$A1587)*($D$768:$D$846= $D1587)*(H$768:H$846) )  +  SUM( ($A$933:$A$1011=$A1587)*($D$933:$D$1011= $D1587)*(H$933:H$1011) ) + SUM( ($E$1016:$E$1039=$E$1427)*($A$1016:$A$1039=$A1587)*($D$1016:$D$1039=$D1587)*(H$1016:H$1039) ) )</f>
        <v>1.5631553803797898E-3</v>
      </c>
      <c r="I1587" s="1379">
        <f t="array" ref="I1587" xml:space="preserve"> SUM(EF[CH4]*(EF[SATIM Code]= $D1587)) * ( SUM( ($A$768:$A$846=$A1587)*($D$768:$D$846= $D1587)*(I$768:I$846) )  +  SUM( ($A$933:$A$1011=$A1587)*($D$933:$D$1011= $D1587)*(I$933:I$1011) ) + SUM( ($E$1016:$E$1039=$E$1427)*($A$1016:$A$1039=$A1587)*($D$1016:$D$1039=$D1587)*(I$1016:I$1039) ) )</f>
        <v>1.8865664548721357E-3</v>
      </c>
      <c r="J1587" s="1379">
        <f t="array" ref="J1587" xml:space="preserve"> SUM(EF[CH4]*(EF[SATIM Code]= $D1587)) * ( SUM( ($A$768:$A$846=$A1587)*($D$768:$D$846= $D1587)*(J$768:J$846) )  +  SUM( ($A$933:$A$1011=$A1587)*($D$933:$D$1011= $D1587)*(J$933:J$1011) ) + SUM( ($E$1016:$E$1039=$E$1427)*($A$1016:$A$1039=$A1587)*($D$1016:$D$1039=$D1587)*(J$1016:J$1039) ) )</f>
        <v>2.3682049650993568E-3</v>
      </c>
      <c r="K1587" s="1379">
        <f t="array" ref="K1587" xml:space="preserve"> SUM(EF[CH4]*(EF[SATIM Code]= $D1587)) * ( SUM( ($A$768:$A$846=$A1587)*($D$768:$D$846= $D1587)*(K$768:K$846) )  +  SUM( ($A$933:$A$1011=$A1587)*($D$933:$D$1011= $D1587)*(K$933:K$1011) ) + SUM( ($E$1016:$E$1039=$E$1427)*($A$1016:$A$1039=$A1587)*($D$1016:$D$1039=$D1587)*(K$1016:K$1039) ) )</f>
        <v>2.8498434753265779E-3</v>
      </c>
      <c r="L1587" s="1379">
        <f t="array" ref="L1587" xml:space="preserve"> SUM(EF[CH4]*(EF[SATIM Code]= $D1587)) * ( SUM( ($A$768:$A$846=$A1587)*($D$768:$D$846= $D1587)*(L$768:L$846) )  +  SUM( ($A$933:$A$1011=$A1587)*($D$933:$D$1011= $D1587)*(L$933:L$1011) ) + SUM( ($E$1016:$E$1039=$E$1427)*($A$1016:$A$1039=$A1587)*($D$1016:$D$1039=$D1587)*(L$1016:L$1039) ) )</f>
        <v>3.6154731180505243E-3</v>
      </c>
      <c r="M1587" s="1379">
        <f t="array" ref="M1587" xml:space="preserve"> SUM(EF[CH4]*(EF[SATIM Code]= $D1587)) * ( SUM( ($A$768:$A$846=$A1587)*($D$768:$D$846= $D1587)*(M$768:M$846) )  +  SUM( ($A$933:$A$1011=$A1587)*($D$933:$D$1011= $D1587)*(M$933:M$1011) ) + SUM( ($E$1016:$E$1039=$E$1427)*($A$1016:$A$1039=$A1587)*($D$1016:$D$1039=$D1587)*(M$1016:M$1039) ) )</f>
        <v>4.3811027607744699E-3</v>
      </c>
      <c r="N1587" s="1379">
        <f t="array" ref="N1587" xml:space="preserve"> SUM(EF[CH4]*(EF[SATIM Code]= $D1587)) * ( SUM( ($A$768:$A$846=$A1587)*($D$768:$D$846= $D1587)*(N$768:N$846) )  +  SUM( ($A$933:$A$1011=$A1587)*($D$933:$D$1011= $D1587)*(N$933:N$1011) ) + SUM( ($E$1016:$E$1039=$E$1427)*($A$1016:$A$1039=$A1587)*($D$1016:$D$1039=$D1587)*(N$1016:N$1039) ) )</f>
        <v>5.2418907027619848E-3</v>
      </c>
      <c r="O1587" s="1379">
        <f t="array" ref="O1587" xml:space="preserve"> SUM(EF[CH4]*(EF[SATIM Code]= $D1587)) * ( SUM( ($A$768:$A$846=$A1587)*($D$768:$D$846= $D1587)*(O$768:O$846) )  +  SUM( ($A$933:$A$1011=$A1587)*($D$933:$D$1011= $D1587)*(O$933:O$1011) ) + SUM( ($E$1016:$E$1039=$E$1427)*($A$1016:$A$1039=$A1587)*($D$1016:$D$1039=$D1587)*(O$1016:O$1039) ) )</f>
        <v>6.1026786447494997E-3</v>
      </c>
    </row>
    <row r="1588" spans="1:15" s="19" customFormat="1" hidden="1" outlineLevel="1">
      <c r="A1588" s="19" t="str">
        <f t="shared" ref="A1588:A1595" si="303">A1587</f>
        <v>PP</v>
      </c>
      <c r="B1588" s="1400" t="str">
        <f>INDEX(EF[UK Vector],MATCH(D1588,EF[SATIM Code],0))</f>
        <v>V.03</v>
      </c>
      <c r="C1588" s="1401" t="str">
        <f>INDEX(Vectors[Description], MATCH($B1588, Vectors[Code], 0))</f>
        <v>Solid hydrocarbons</v>
      </c>
      <c r="D1588" s="1391" t="s">
        <v>883</v>
      </c>
      <c r="E1588" s="1393"/>
      <c r="F1588" s="1379">
        <f t="array" ref="F1588" xml:space="preserve"> SUM(EF[CH4]*(EF[SATIM Code]= $D1588)) * ( SUM( ($A$768:$A$846=$A1588)*($D$768:$D$846= $D1588)*(F$768:F$846) )  +  SUM( ($A$933:$A$1011=$A1588)*($D$933:$D$1011= $D1588)*(F$933:F$1011) ) + SUM( ($E$1016:$E$1039=$E$1427)*($A$1016:$A$1039=$A1588)*($D$1016:$D$1039=$D1588)*(F$1016:F$1039) ) )</f>
        <v>0</v>
      </c>
      <c r="G1588" s="1379">
        <f t="array" ref="G1588" xml:space="preserve"> SUM(EF[CH4]*(EF[SATIM Code]= $D1588)) * ( SUM( ($A$768:$A$846=$A1588)*($D$768:$D$846= $D1588)*(G$768:G$846) )  +  SUM( ($A$933:$A$1011=$A1588)*($D$933:$D$1011= $D1588)*(G$933:G$1011) ) + SUM( ($E$1016:$E$1039=$E$1427)*($A$1016:$A$1039=$A1588)*($D$1016:$D$1039=$D1588)*(G$1016:G$1039) ) )</f>
        <v>0</v>
      </c>
      <c r="H1588" s="1379">
        <f t="array" ref="H1588" xml:space="preserve"> SUM(EF[CH4]*(EF[SATIM Code]= $D1588)) * ( SUM( ($A$768:$A$846=$A1588)*($D$768:$D$846= $D1588)*(H$768:H$846) )  +  SUM( ($A$933:$A$1011=$A1588)*($D$933:$D$1011= $D1588)*(H$933:H$1011) ) + SUM( ($E$1016:$E$1039=$E$1427)*($A$1016:$A$1039=$A1588)*($D$1016:$D$1039=$D1588)*(H$1016:H$1039) ) )</f>
        <v>0</v>
      </c>
      <c r="I1588" s="1379">
        <f t="array" ref="I1588" xml:space="preserve"> SUM(EF[CH4]*(EF[SATIM Code]= $D1588)) * ( SUM( ($A$768:$A$846=$A1588)*($D$768:$D$846= $D1588)*(I$768:I$846) )  +  SUM( ($A$933:$A$1011=$A1588)*($D$933:$D$1011= $D1588)*(I$933:I$1011) ) + SUM( ($E$1016:$E$1039=$E$1427)*($A$1016:$A$1039=$A1588)*($D$1016:$D$1039=$D1588)*(I$1016:I$1039) ) )</f>
        <v>0</v>
      </c>
      <c r="J1588" s="1379">
        <f t="array" ref="J1588" xml:space="preserve"> SUM(EF[CH4]*(EF[SATIM Code]= $D1588)) * ( SUM( ($A$768:$A$846=$A1588)*($D$768:$D$846= $D1588)*(J$768:J$846) )  +  SUM( ($A$933:$A$1011=$A1588)*($D$933:$D$1011= $D1588)*(J$933:J$1011) ) + SUM( ($E$1016:$E$1039=$E$1427)*($A$1016:$A$1039=$A1588)*($D$1016:$D$1039=$D1588)*(J$1016:J$1039) ) )</f>
        <v>0</v>
      </c>
      <c r="K1588" s="1379">
        <f t="array" ref="K1588" xml:space="preserve"> SUM(EF[CH4]*(EF[SATIM Code]= $D1588)) * ( SUM( ($A$768:$A$846=$A1588)*($D$768:$D$846= $D1588)*(K$768:K$846) )  +  SUM( ($A$933:$A$1011=$A1588)*($D$933:$D$1011= $D1588)*(K$933:K$1011) ) + SUM( ($E$1016:$E$1039=$E$1427)*($A$1016:$A$1039=$A1588)*($D$1016:$D$1039=$D1588)*(K$1016:K$1039) ) )</f>
        <v>0</v>
      </c>
      <c r="L1588" s="1379">
        <f t="array" ref="L1588" xml:space="preserve"> SUM(EF[CH4]*(EF[SATIM Code]= $D1588)) * ( SUM( ($A$768:$A$846=$A1588)*($D$768:$D$846= $D1588)*(L$768:L$846) )  +  SUM( ($A$933:$A$1011=$A1588)*($D$933:$D$1011= $D1588)*(L$933:L$1011) ) + SUM( ($E$1016:$E$1039=$E$1427)*($A$1016:$A$1039=$A1588)*($D$1016:$D$1039=$D1588)*(L$1016:L$1039) ) )</f>
        <v>0</v>
      </c>
      <c r="M1588" s="1379">
        <f t="array" ref="M1588" xml:space="preserve"> SUM(EF[CH4]*(EF[SATIM Code]= $D1588)) * ( SUM( ($A$768:$A$846=$A1588)*($D$768:$D$846= $D1588)*(M$768:M$846) )  +  SUM( ($A$933:$A$1011=$A1588)*($D$933:$D$1011= $D1588)*(M$933:M$1011) ) + SUM( ($E$1016:$E$1039=$E$1427)*($A$1016:$A$1039=$A1588)*($D$1016:$D$1039=$D1588)*(M$1016:M$1039) ) )</f>
        <v>0</v>
      </c>
      <c r="N1588" s="1379">
        <f t="array" ref="N1588" xml:space="preserve"> SUM(EF[CH4]*(EF[SATIM Code]= $D1588)) * ( SUM( ($A$768:$A$846=$A1588)*($D$768:$D$846= $D1588)*(N$768:N$846) )  +  SUM( ($A$933:$A$1011=$A1588)*($D$933:$D$1011= $D1588)*(N$933:N$1011) ) + SUM( ($E$1016:$E$1039=$E$1427)*($A$1016:$A$1039=$A1588)*($D$1016:$D$1039=$D1588)*(N$1016:N$1039) ) )</f>
        <v>0</v>
      </c>
      <c r="O1588" s="1379">
        <f t="array" ref="O1588" xml:space="preserve"> SUM(EF[CH4]*(EF[SATIM Code]= $D1588)) * ( SUM( ($A$768:$A$846=$A1588)*($D$768:$D$846= $D1588)*(O$768:O$846) )  +  SUM( ($A$933:$A$1011=$A1588)*($D$933:$D$1011= $D1588)*(O$933:O$1011) ) + SUM( ($E$1016:$E$1039=$E$1427)*($A$1016:$A$1039=$A1588)*($D$1016:$D$1039=$D1588)*(O$1016:O$1039) ) )</f>
        <v>0</v>
      </c>
    </row>
    <row r="1589" spans="1:15" s="19" customFormat="1" hidden="1" outlineLevel="1">
      <c r="A1589" s="19" t="str">
        <f t="shared" si="303"/>
        <v>PP</v>
      </c>
      <c r="B1589" s="1400" t="str">
        <f>INDEX(EF[UK Vector],MATCH(D1589,EF[SATIM Code],0))</f>
        <v>V.05</v>
      </c>
      <c r="C1589" s="1401" t="str">
        <f>INDEX(Vectors[Description], MATCH($B1589, Vectors[Code], 0))</f>
        <v>Gaseous hydrocarbons</v>
      </c>
      <c r="D1589" s="1406" t="s">
        <v>869</v>
      </c>
      <c r="E1589" s="1393"/>
      <c r="F1589" s="1379">
        <f t="array" ref="F1589" xml:space="preserve"> SUM(EF[CH4]*(EF[SATIM Code]= $D1589)) * ( SUM( ($A$768:$A$846=$A1589)*($D$768:$D$846= $D1589)*(F$768:F$846) )  +  SUM( ($A$933:$A$1011=$A1589)*($D$933:$D$1011= $D1589)*(F$933:F$1011) ) + SUM( ($E$1016:$E$1039=$E$1427)*($A$1016:$A$1039=$A1589)*($D$1016:$D$1039=$D1589)*(F$1016:F$1039) ) )</f>
        <v>2.8777811204143323E-5</v>
      </c>
      <c r="G1589" s="1379">
        <f t="array" ref="G1589" xml:space="preserve"> SUM(EF[CH4]*(EF[SATIM Code]= $D1589)) * ( SUM( ($A$768:$A$846=$A1589)*($D$768:$D$846= $D1589)*(G$768:G$846) )  +  SUM( ($A$933:$A$1011=$A1589)*($D$933:$D$1011= $D1589)*(G$933:G$1011) ) + SUM( ($E$1016:$E$1039=$E$1427)*($A$1016:$A$1039=$A1589)*($D$1016:$D$1039=$D1589)*(G$1016:G$1039) ) )</f>
        <v>3.9478025546033148E-5</v>
      </c>
      <c r="H1589" s="1379">
        <f t="array" ref="H1589" xml:space="preserve"> SUM(EF[CH4]*(EF[SATIM Code]= $D1589)) * ( SUM( ($A$768:$A$846=$A1589)*($D$768:$D$846= $D1589)*(H$768:H$846) )  +  SUM( ($A$933:$A$1011=$A1589)*($D$933:$D$1011= $D1589)*(H$933:H$1011) ) + SUM( ($E$1016:$E$1039=$E$1427)*($A$1016:$A$1039=$A1589)*($D$1016:$D$1039=$D1589)*(H$1016:H$1039) ) )</f>
        <v>5.5053163511592784E-5</v>
      </c>
      <c r="I1589" s="1379">
        <f t="array" ref="I1589" xml:space="preserve"> SUM(EF[CH4]*(EF[SATIM Code]= $D1589)) * ( SUM( ($A$768:$A$846=$A1589)*($D$768:$D$846= $D1589)*(I$768:I$846) )  +  SUM( ($A$933:$A$1011=$A1589)*($D$933:$D$1011= $D1589)*(I$933:I$1011) ) + SUM( ($E$1016:$E$1039=$E$1427)*($A$1016:$A$1039=$A1589)*($D$1016:$D$1039=$D1589)*(I$1016:I$1039) ) )</f>
        <v>7.0628301477152408E-5</v>
      </c>
      <c r="J1589" s="1379">
        <f t="array" ref="J1589" xml:space="preserve"> SUM(EF[CH4]*(EF[SATIM Code]= $D1589)) * ( SUM( ($A$768:$A$846=$A1589)*($D$768:$D$846= $D1589)*(J$768:J$846) )  +  SUM( ($A$933:$A$1011=$A1589)*($D$933:$D$1011= $D1589)*(J$933:J$1011) ) + SUM( ($E$1016:$E$1039=$E$1427)*($A$1016:$A$1039=$A1589)*($D$1016:$D$1039=$D1589)*(J$1016:J$1039) ) )</f>
        <v>9.382350670656737E-5</v>
      </c>
      <c r="K1589" s="1379">
        <f t="array" ref="K1589" xml:space="preserve"> SUM(EF[CH4]*(EF[SATIM Code]= $D1589)) * ( SUM( ($A$768:$A$846=$A1589)*($D$768:$D$846= $D1589)*(K$768:K$846) )  +  SUM( ($A$933:$A$1011=$A1589)*($D$933:$D$1011= $D1589)*(K$933:K$1011) ) + SUM( ($E$1016:$E$1039=$E$1427)*($A$1016:$A$1039=$A1589)*($D$1016:$D$1039=$D1589)*(K$1016:K$1039) ) )</f>
        <v>1.1701871193598232E-4</v>
      </c>
      <c r="L1589" s="1379">
        <f t="array" ref="L1589" xml:space="preserve"> SUM(EF[CH4]*(EF[SATIM Code]= $D1589)) * ( SUM( ($A$768:$A$846=$A1589)*($D$768:$D$846= $D1589)*(L$768:L$846) )  +  SUM( ($A$933:$A$1011=$A1589)*($D$933:$D$1011= $D1589)*(L$933:L$1011) ) + SUM( ($E$1016:$E$1039=$E$1427)*($A$1016:$A$1039=$A1589)*($D$1016:$D$1039=$D1589)*(L$1016:L$1039) ) )</f>
        <v>1.5389063209105363E-4</v>
      </c>
      <c r="M1589" s="1379">
        <f t="array" ref="M1589" xml:space="preserve"> SUM(EF[CH4]*(EF[SATIM Code]= $D1589)) * ( SUM( ($A$768:$A$846=$A1589)*($D$768:$D$846= $D1589)*(M$768:M$846) )  +  SUM( ($A$933:$A$1011=$A1589)*($D$933:$D$1011= $D1589)*(M$933:M$1011) ) + SUM( ($E$1016:$E$1039=$E$1427)*($A$1016:$A$1039=$A1589)*($D$1016:$D$1039=$D1589)*(M$1016:M$1039) ) )</f>
        <v>1.9076255224612494E-4</v>
      </c>
      <c r="N1589" s="1379">
        <f t="array" ref="N1589" xml:space="preserve"> SUM(EF[CH4]*(EF[SATIM Code]= $D1589)) * ( SUM( ($A$768:$A$846=$A1589)*($D$768:$D$846= $D1589)*(N$768:N$846) )  +  SUM( ($A$933:$A$1011=$A1589)*($D$933:$D$1011= $D1589)*(N$933:N$1011) ) + SUM( ($E$1016:$E$1039=$E$1427)*($A$1016:$A$1039=$A1589)*($D$1016:$D$1039=$D1589)*(N$1016:N$1039) ) )</f>
        <v>2.3221719623625517E-4</v>
      </c>
      <c r="O1589" s="1379">
        <f t="array" ref="O1589" xml:space="preserve"> SUM(EF[CH4]*(EF[SATIM Code]= $D1589)) * ( SUM( ($A$768:$A$846=$A1589)*($D$768:$D$846= $D1589)*(O$768:O$846) )  +  SUM( ($A$933:$A$1011=$A1589)*($D$933:$D$1011= $D1589)*(O$933:O$1011) ) + SUM( ($E$1016:$E$1039=$E$1427)*($A$1016:$A$1039=$A1589)*($D$1016:$D$1039=$D1589)*(O$1016:O$1039) ) )</f>
        <v>2.7367184022638539E-4</v>
      </c>
    </row>
    <row r="1590" spans="1:15" s="19" customFormat="1" hidden="1" outlineLevel="1">
      <c r="A1590" s="19" t="str">
        <f t="shared" si="303"/>
        <v>PP</v>
      </c>
      <c r="B1590" s="1400" t="str">
        <f>INDEX(EF[UK Vector],MATCH(D1590,EF[SATIM Code],0))</f>
        <v>V.04</v>
      </c>
      <c r="C1590" s="1401" t="str">
        <f>INDEX(Vectors[Description], MATCH($B1590, Vectors[Code], 0))</f>
        <v>Liquid hydrocarbons</v>
      </c>
      <c r="D1590" s="1406" t="s">
        <v>885</v>
      </c>
      <c r="E1590" s="1393"/>
      <c r="F1590" s="1379">
        <f t="array" ref="F1590" xml:space="preserve"> SUM(EF[CH4]*(EF[SATIM Code]= $D1590)) * ( SUM( ($A$768:$A$846=$A1590)*($D$768:$D$846= $D1590)*(F$768:F$846) )  +  SUM( ($A$933:$A$1011=$A1590)*($D$933:$D$1011= $D1590)*(F$933:F$1011) ) + SUM( ($E$1016:$E$1039=$E$1427)*($A$1016:$A$1039=$A1590)*($D$1016:$D$1039=$D1590)*(F$1016:F$1039) ) )</f>
        <v>0</v>
      </c>
      <c r="G1590" s="1379">
        <f t="array" ref="G1590" xml:space="preserve"> SUM(EF[CH4]*(EF[SATIM Code]= $D1590)) * ( SUM( ($A$768:$A$846=$A1590)*($D$768:$D$846= $D1590)*(G$768:G$846) )  +  SUM( ($A$933:$A$1011=$A1590)*($D$933:$D$1011= $D1590)*(G$933:G$1011) ) + SUM( ($E$1016:$E$1039=$E$1427)*($A$1016:$A$1039=$A1590)*($D$1016:$D$1039=$D1590)*(G$1016:G$1039) ) )</f>
        <v>0</v>
      </c>
      <c r="H1590" s="1379">
        <f t="array" ref="H1590" xml:space="preserve"> SUM(EF[CH4]*(EF[SATIM Code]= $D1590)) * ( SUM( ($A$768:$A$846=$A1590)*($D$768:$D$846= $D1590)*(H$768:H$846) )  +  SUM( ($A$933:$A$1011=$A1590)*($D$933:$D$1011= $D1590)*(H$933:H$1011) ) + SUM( ($E$1016:$E$1039=$E$1427)*($A$1016:$A$1039=$A1590)*($D$1016:$D$1039=$D1590)*(H$1016:H$1039) ) )</f>
        <v>0</v>
      </c>
      <c r="I1590" s="1379">
        <f t="array" ref="I1590" xml:space="preserve"> SUM(EF[CH4]*(EF[SATIM Code]= $D1590)) * ( SUM( ($A$768:$A$846=$A1590)*($D$768:$D$846= $D1590)*(I$768:I$846) )  +  SUM( ($A$933:$A$1011=$A1590)*($D$933:$D$1011= $D1590)*(I$933:I$1011) ) + SUM( ($E$1016:$E$1039=$E$1427)*($A$1016:$A$1039=$A1590)*($D$1016:$D$1039=$D1590)*(I$1016:I$1039) ) )</f>
        <v>0</v>
      </c>
      <c r="J1590" s="1379">
        <f t="array" ref="J1590" xml:space="preserve"> SUM(EF[CH4]*(EF[SATIM Code]= $D1590)) * ( SUM( ($A$768:$A$846=$A1590)*($D$768:$D$846= $D1590)*(J$768:J$846) )  +  SUM( ($A$933:$A$1011=$A1590)*($D$933:$D$1011= $D1590)*(J$933:J$1011) ) + SUM( ($E$1016:$E$1039=$E$1427)*($A$1016:$A$1039=$A1590)*($D$1016:$D$1039=$D1590)*(J$1016:J$1039) ) )</f>
        <v>0</v>
      </c>
      <c r="K1590" s="1379">
        <f t="array" ref="K1590" xml:space="preserve"> SUM(EF[CH4]*(EF[SATIM Code]= $D1590)) * ( SUM( ($A$768:$A$846=$A1590)*($D$768:$D$846= $D1590)*(K$768:K$846) )  +  SUM( ($A$933:$A$1011=$A1590)*($D$933:$D$1011= $D1590)*(K$933:K$1011) ) + SUM( ($E$1016:$E$1039=$E$1427)*($A$1016:$A$1039=$A1590)*($D$1016:$D$1039=$D1590)*(K$1016:K$1039) ) )</f>
        <v>0</v>
      </c>
      <c r="L1590" s="1379">
        <f t="array" ref="L1590" xml:space="preserve"> SUM(EF[CH4]*(EF[SATIM Code]= $D1590)) * ( SUM( ($A$768:$A$846=$A1590)*($D$768:$D$846= $D1590)*(L$768:L$846) )  +  SUM( ($A$933:$A$1011=$A1590)*($D$933:$D$1011= $D1590)*(L$933:L$1011) ) + SUM( ($E$1016:$E$1039=$E$1427)*($A$1016:$A$1039=$A1590)*($D$1016:$D$1039=$D1590)*(L$1016:L$1039) ) )</f>
        <v>0</v>
      </c>
      <c r="M1590" s="1379">
        <f t="array" ref="M1590" xml:space="preserve"> SUM(EF[CH4]*(EF[SATIM Code]= $D1590)) * ( SUM( ($A$768:$A$846=$A1590)*($D$768:$D$846= $D1590)*(M$768:M$846) )  +  SUM( ($A$933:$A$1011=$A1590)*($D$933:$D$1011= $D1590)*(M$933:M$1011) ) + SUM( ($E$1016:$E$1039=$E$1427)*($A$1016:$A$1039=$A1590)*($D$1016:$D$1039=$D1590)*(M$1016:M$1039) ) )</f>
        <v>0</v>
      </c>
      <c r="N1590" s="1379">
        <f t="array" ref="N1590" xml:space="preserve"> SUM(EF[CH4]*(EF[SATIM Code]= $D1590)) * ( SUM( ($A$768:$A$846=$A1590)*($D$768:$D$846= $D1590)*(N$768:N$846) )  +  SUM( ($A$933:$A$1011=$A1590)*($D$933:$D$1011= $D1590)*(N$933:N$1011) ) + SUM( ($E$1016:$E$1039=$E$1427)*($A$1016:$A$1039=$A1590)*($D$1016:$D$1039=$D1590)*(N$1016:N$1039) ) )</f>
        <v>0</v>
      </c>
      <c r="O1590" s="1379">
        <f t="array" ref="O1590" xml:space="preserve"> SUM(EF[CH4]*(EF[SATIM Code]= $D1590)) * ( SUM( ($A$768:$A$846=$A1590)*($D$768:$D$846= $D1590)*(O$768:O$846) )  +  SUM( ($A$933:$A$1011=$A1590)*($D$933:$D$1011= $D1590)*(O$933:O$1011) ) + SUM( ($E$1016:$E$1039=$E$1427)*($A$1016:$A$1039=$A1590)*($D$1016:$D$1039=$D1590)*(O$1016:O$1039) ) )</f>
        <v>0</v>
      </c>
    </row>
    <row r="1591" spans="1:15" s="19" customFormat="1" hidden="1" outlineLevel="1">
      <c r="A1591" s="19" t="str">
        <f t="shared" si="303"/>
        <v>PP</v>
      </c>
      <c r="B1591" s="1400" t="str">
        <f>INDEX(EF[UK Vector],MATCH(D1591,EF[SATIM Code],0))</f>
        <v>V.04</v>
      </c>
      <c r="C1591" s="1401" t="str">
        <f>INDEX(Vectors[Description], MATCH($B1591, Vectors[Code], 0))</f>
        <v>Liquid hydrocarbons</v>
      </c>
      <c r="D1591" s="1391" t="s">
        <v>886</v>
      </c>
      <c r="E1591" s="1393"/>
      <c r="F1591" s="1379">
        <f t="array" ref="F1591" xml:space="preserve"> SUM(EF[CH4]*(EF[SATIM Code]= $D1591)) * ( SUM( ($A$768:$A$846=$A1591)*($D$768:$D$846= $D1591)*(F$768:F$846) )  +  SUM( ($A$933:$A$1011=$A1591)*($D$933:$D$1011= $D1591)*(F$933:F$1011) ) + SUM( ($E$1016:$E$1039=$E$1427)*($A$1016:$A$1039=$A1591)*($D$1016:$D$1039=$D1591)*(F$1016:F$1039) ) )</f>
        <v>0</v>
      </c>
      <c r="G1591" s="1379">
        <f t="array" ref="G1591" xml:space="preserve"> SUM(EF[CH4]*(EF[SATIM Code]= $D1591)) * ( SUM( ($A$768:$A$846=$A1591)*($D$768:$D$846= $D1591)*(G$768:G$846) )  +  SUM( ($A$933:$A$1011=$A1591)*($D$933:$D$1011= $D1591)*(G$933:G$1011) ) + SUM( ($E$1016:$E$1039=$E$1427)*($A$1016:$A$1039=$A1591)*($D$1016:$D$1039=$D1591)*(G$1016:G$1039) ) )</f>
        <v>0</v>
      </c>
      <c r="H1591" s="1379">
        <f t="array" ref="H1591" xml:space="preserve"> SUM(EF[CH4]*(EF[SATIM Code]= $D1591)) * ( SUM( ($A$768:$A$846=$A1591)*($D$768:$D$846= $D1591)*(H$768:H$846) )  +  SUM( ($A$933:$A$1011=$A1591)*($D$933:$D$1011= $D1591)*(H$933:H$1011) ) + SUM( ($E$1016:$E$1039=$E$1427)*($A$1016:$A$1039=$A1591)*($D$1016:$D$1039=$D1591)*(H$1016:H$1039) ) )</f>
        <v>0</v>
      </c>
      <c r="I1591" s="1379">
        <f t="array" ref="I1591" xml:space="preserve"> SUM(EF[CH4]*(EF[SATIM Code]= $D1591)) * ( SUM( ($A$768:$A$846=$A1591)*($D$768:$D$846= $D1591)*(I$768:I$846) )  +  SUM( ($A$933:$A$1011=$A1591)*($D$933:$D$1011= $D1591)*(I$933:I$1011) ) + SUM( ($E$1016:$E$1039=$E$1427)*($A$1016:$A$1039=$A1591)*($D$1016:$D$1039=$D1591)*(I$1016:I$1039) ) )</f>
        <v>0</v>
      </c>
      <c r="J1591" s="1379">
        <f t="array" ref="J1591" xml:space="preserve"> SUM(EF[CH4]*(EF[SATIM Code]= $D1591)) * ( SUM( ($A$768:$A$846=$A1591)*($D$768:$D$846= $D1591)*(J$768:J$846) )  +  SUM( ($A$933:$A$1011=$A1591)*($D$933:$D$1011= $D1591)*(J$933:J$1011) ) + SUM( ($E$1016:$E$1039=$E$1427)*($A$1016:$A$1039=$A1591)*($D$1016:$D$1039=$D1591)*(J$1016:J$1039) ) )</f>
        <v>0</v>
      </c>
      <c r="K1591" s="1379">
        <f t="array" ref="K1591" xml:space="preserve"> SUM(EF[CH4]*(EF[SATIM Code]= $D1591)) * ( SUM( ($A$768:$A$846=$A1591)*($D$768:$D$846= $D1591)*(K$768:K$846) )  +  SUM( ($A$933:$A$1011=$A1591)*($D$933:$D$1011= $D1591)*(K$933:K$1011) ) + SUM( ($E$1016:$E$1039=$E$1427)*($A$1016:$A$1039=$A1591)*($D$1016:$D$1039=$D1591)*(K$1016:K$1039) ) )</f>
        <v>0</v>
      </c>
      <c r="L1591" s="1379">
        <f t="array" ref="L1591" xml:space="preserve"> SUM(EF[CH4]*(EF[SATIM Code]= $D1591)) * ( SUM( ($A$768:$A$846=$A1591)*($D$768:$D$846= $D1591)*(L$768:L$846) )  +  SUM( ($A$933:$A$1011=$A1591)*($D$933:$D$1011= $D1591)*(L$933:L$1011) ) + SUM( ($E$1016:$E$1039=$E$1427)*($A$1016:$A$1039=$A1591)*($D$1016:$D$1039=$D1591)*(L$1016:L$1039) ) )</f>
        <v>0</v>
      </c>
      <c r="M1591" s="1379">
        <f t="array" ref="M1591" xml:space="preserve"> SUM(EF[CH4]*(EF[SATIM Code]= $D1591)) * ( SUM( ($A$768:$A$846=$A1591)*($D$768:$D$846= $D1591)*(M$768:M$846) )  +  SUM( ($A$933:$A$1011=$A1591)*($D$933:$D$1011= $D1591)*(M$933:M$1011) ) + SUM( ($E$1016:$E$1039=$E$1427)*($A$1016:$A$1039=$A1591)*($D$1016:$D$1039=$D1591)*(M$1016:M$1039) ) )</f>
        <v>0</v>
      </c>
      <c r="N1591" s="1379">
        <f t="array" ref="N1591" xml:space="preserve"> SUM(EF[CH4]*(EF[SATIM Code]= $D1591)) * ( SUM( ($A$768:$A$846=$A1591)*($D$768:$D$846= $D1591)*(N$768:N$846) )  +  SUM( ($A$933:$A$1011=$A1591)*($D$933:$D$1011= $D1591)*(N$933:N$1011) ) + SUM( ($E$1016:$E$1039=$E$1427)*($A$1016:$A$1039=$A1591)*($D$1016:$D$1039=$D1591)*(N$1016:N$1039) ) )</f>
        <v>0</v>
      </c>
      <c r="O1591" s="1379">
        <f t="array" ref="O1591" xml:space="preserve"> SUM(EF[CH4]*(EF[SATIM Code]= $D1591)) * ( SUM( ($A$768:$A$846=$A1591)*($D$768:$D$846= $D1591)*(O$768:O$846) )  +  SUM( ($A$933:$A$1011=$A1591)*($D$933:$D$1011= $D1591)*(O$933:O$1011) ) + SUM( ($E$1016:$E$1039=$E$1427)*($A$1016:$A$1039=$A1591)*($D$1016:$D$1039=$D1591)*(O$1016:O$1039) ) )</f>
        <v>0</v>
      </c>
    </row>
    <row r="1592" spans="1:15" s="19" customFormat="1" hidden="1" outlineLevel="1">
      <c r="A1592" s="19" t="str">
        <f t="shared" si="303"/>
        <v>PP</v>
      </c>
      <c r="B1592" s="1400" t="str">
        <f>INDEX(EF[UK Vector],MATCH(D1592,EF[SATIM Code],0))</f>
        <v>V.04</v>
      </c>
      <c r="C1592" s="1401" t="str">
        <f>INDEX(Vectors[Description], MATCH($B1592, Vectors[Code], 0))</f>
        <v>Liquid hydrocarbons</v>
      </c>
      <c r="D1592" s="1406" t="s">
        <v>887</v>
      </c>
      <c r="E1592" s="1393"/>
      <c r="F1592" s="1379">
        <f t="array" ref="F1592" xml:space="preserve"> SUM(EF[CH4]*(EF[SATIM Code]= $D1592)) * ( SUM( ($A$768:$A$846=$A1592)*($D$768:$D$846= $D1592)*(F$768:F$846) )  +  SUM( ($A$933:$A$1011=$A1592)*($D$933:$D$1011= $D1592)*(F$933:F$1011) ) + SUM( ($E$1016:$E$1039=$E$1427)*($A$1016:$A$1039=$A1592)*($D$1016:$D$1039=$D1592)*(F$1016:F$1039) ) )</f>
        <v>0</v>
      </c>
      <c r="G1592" s="1379">
        <f t="array" ref="G1592" xml:space="preserve"> SUM(EF[CH4]*(EF[SATIM Code]= $D1592)) * ( SUM( ($A$768:$A$846=$A1592)*($D$768:$D$846= $D1592)*(G$768:G$846) )  +  SUM( ($A$933:$A$1011=$A1592)*($D$933:$D$1011= $D1592)*(G$933:G$1011) ) + SUM( ($E$1016:$E$1039=$E$1427)*($A$1016:$A$1039=$A1592)*($D$1016:$D$1039=$D1592)*(G$1016:G$1039) ) )</f>
        <v>0</v>
      </c>
      <c r="H1592" s="1379">
        <f t="array" ref="H1592" xml:space="preserve"> SUM(EF[CH4]*(EF[SATIM Code]= $D1592)) * ( SUM( ($A$768:$A$846=$A1592)*($D$768:$D$846= $D1592)*(H$768:H$846) )  +  SUM( ($A$933:$A$1011=$A1592)*($D$933:$D$1011= $D1592)*(H$933:H$1011) ) + SUM( ($E$1016:$E$1039=$E$1427)*($A$1016:$A$1039=$A1592)*($D$1016:$D$1039=$D1592)*(H$1016:H$1039) ) )</f>
        <v>0</v>
      </c>
      <c r="I1592" s="1379">
        <f t="array" ref="I1592" xml:space="preserve"> SUM(EF[CH4]*(EF[SATIM Code]= $D1592)) * ( SUM( ($A$768:$A$846=$A1592)*($D$768:$D$846= $D1592)*(I$768:I$846) )  +  SUM( ($A$933:$A$1011=$A1592)*($D$933:$D$1011= $D1592)*(I$933:I$1011) ) + SUM( ($E$1016:$E$1039=$E$1427)*($A$1016:$A$1039=$A1592)*($D$1016:$D$1039=$D1592)*(I$1016:I$1039) ) )</f>
        <v>0</v>
      </c>
      <c r="J1592" s="1379">
        <f t="array" ref="J1592" xml:space="preserve"> SUM(EF[CH4]*(EF[SATIM Code]= $D1592)) * ( SUM( ($A$768:$A$846=$A1592)*($D$768:$D$846= $D1592)*(J$768:J$846) )  +  SUM( ($A$933:$A$1011=$A1592)*($D$933:$D$1011= $D1592)*(J$933:J$1011) ) + SUM( ($E$1016:$E$1039=$E$1427)*($A$1016:$A$1039=$A1592)*($D$1016:$D$1039=$D1592)*(J$1016:J$1039) ) )</f>
        <v>0</v>
      </c>
      <c r="K1592" s="1379">
        <f t="array" ref="K1592" xml:space="preserve"> SUM(EF[CH4]*(EF[SATIM Code]= $D1592)) * ( SUM( ($A$768:$A$846=$A1592)*($D$768:$D$846= $D1592)*(K$768:K$846) )  +  SUM( ($A$933:$A$1011=$A1592)*($D$933:$D$1011= $D1592)*(K$933:K$1011) ) + SUM( ($E$1016:$E$1039=$E$1427)*($A$1016:$A$1039=$A1592)*($D$1016:$D$1039=$D1592)*(K$1016:K$1039) ) )</f>
        <v>0</v>
      </c>
      <c r="L1592" s="1379">
        <f t="array" ref="L1592" xml:space="preserve"> SUM(EF[CH4]*(EF[SATIM Code]= $D1592)) * ( SUM( ($A$768:$A$846=$A1592)*($D$768:$D$846= $D1592)*(L$768:L$846) )  +  SUM( ($A$933:$A$1011=$A1592)*($D$933:$D$1011= $D1592)*(L$933:L$1011) ) + SUM( ($E$1016:$E$1039=$E$1427)*($A$1016:$A$1039=$A1592)*($D$1016:$D$1039=$D1592)*(L$1016:L$1039) ) )</f>
        <v>0</v>
      </c>
      <c r="M1592" s="1379">
        <f t="array" ref="M1592" xml:space="preserve"> SUM(EF[CH4]*(EF[SATIM Code]= $D1592)) * ( SUM( ($A$768:$A$846=$A1592)*($D$768:$D$846= $D1592)*(M$768:M$846) )  +  SUM( ($A$933:$A$1011=$A1592)*($D$933:$D$1011= $D1592)*(M$933:M$1011) ) + SUM( ($E$1016:$E$1039=$E$1427)*($A$1016:$A$1039=$A1592)*($D$1016:$D$1039=$D1592)*(M$1016:M$1039) ) )</f>
        <v>0</v>
      </c>
      <c r="N1592" s="1379">
        <f t="array" ref="N1592" xml:space="preserve"> SUM(EF[CH4]*(EF[SATIM Code]= $D1592)) * ( SUM( ($A$768:$A$846=$A1592)*($D$768:$D$846= $D1592)*(N$768:N$846) )  +  SUM( ($A$933:$A$1011=$A1592)*($D$933:$D$1011= $D1592)*(N$933:N$1011) ) + SUM( ($E$1016:$E$1039=$E$1427)*($A$1016:$A$1039=$A1592)*($D$1016:$D$1039=$D1592)*(N$1016:N$1039) ) )</f>
        <v>0</v>
      </c>
      <c r="O1592" s="1379">
        <f t="array" ref="O1592" xml:space="preserve"> SUM(EF[CH4]*(EF[SATIM Code]= $D1592)) * ( SUM( ($A$768:$A$846=$A1592)*($D$768:$D$846= $D1592)*(O$768:O$846) )  +  SUM( ($A$933:$A$1011=$A1592)*($D$933:$D$1011= $D1592)*(O$933:O$1011) ) + SUM( ($E$1016:$E$1039=$E$1427)*($A$1016:$A$1039=$A1592)*($D$1016:$D$1039=$D1592)*(O$1016:O$1039) ) )</f>
        <v>0</v>
      </c>
    </row>
    <row r="1593" spans="1:15" s="19" customFormat="1" hidden="1" outlineLevel="1">
      <c r="A1593" s="19" t="str">
        <f t="shared" si="303"/>
        <v>PP</v>
      </c>
      <c r="B1593" s="1400" t="str">
        <f>INDEX(EF[UK Vector],MATCH(D1593,EF[SATIM Code],0))</f>
        <v>V.09</v>
      </c>
      <c r="C1593" s="1401" t="str">
        <f>INDEX(Vectors[Description], MATCH($B1593, Vectors[Code], 0))</f>
        <v>Dry biomass and waste</v>
      </c>
      <c r="D1593" s="1406" t="s">
        <v>888</v>
      </c>
      <c r="E1593" s="1393"/>
      <c r="F1593" s="1379">
        <f t="array" ref="F1593" xml:space="preserve"> SUM(EF[CH4]*(EF[SATIM Code]= $D1593)) * ( SUM( ($A$768:$A$846=$A1593)*($D$768:$D$846= $D1593)*(F$768:F$846) )  +  SUM( ($A$933:$A$1011=$A1593)*($D$933:$D$1011= $D1593)*(F$933:F$1011) ) + SUM( ($E$1016:$E$1039=$E$1427)*($A$1016:$A$1039=$A1593)*($D$1016:$D$1039=$D1593)*(F$1016:F$1039) ) )</f>
        <v>0</v>
      </c>
      <c r="G1593" s="1379">
        <f t="array" ref="G1593" xml:space="preserve"> SUM(EF[CH4]*(EF[SATIM Code]= $D1593)) * ( SUM( ($A$768:$A$846=$A1593)*($D$768:$D$846= $D1593)*(G$768:G$846) )  +  SUM( ($A$933:$A$1011=$A1593)*($D$933:$D$1011= $D1593)*(G$933:G$1011) ) + SUM( ($E$1016:$E$1039=$E$1427)*($A$1016:$A$1039=$A1593)*($D$1016:$D$1039=$D1593)*(G$1016:G$1039) ) )</f>
        <v>0</v>
      </c>
      <c r="H1593" s="1379">
        <f t="array" ref="H1593" xml:space="preserve"> SUM(EF[CH4]*(EF[SATIM Code]= $D1593)) * ( SUM( ($A$768:$A$846=$A1593)*($D$768:$D$846= $D1593)*(H$768:H$846) )  +  SUM( ($A$933:$A$1011=$A1593)*($D$933:$D$1011= $D1593)*(H$933:H$1011) ) + SUM( ($E$1016:$E$1039=$E$1427)*($A$1016:$A$1039=$A1593)*($D$1016:$D$1039=$D1593)*(H$1016:H$1039) ) )</f>
        <v>0</v>
      </c>
      <c r="I1593" s="1379">
        <f t="array" ref="I1593" xml:space="preserve"> SUM(EF[CH4]*(EF[SATIM Code]= $D1593)) * ( SUM( ($A$768:$A$846=$A1593)*($D$768:$D$846= $D1593)*(I$768:I$846) )  +  SUM( ($A$933:$A$1011=$A1593)*($D$933:$D$1011= $D1593)*(I$933:I$1011) ) + SUM( ($E$1016:$E$1039=$E$1427)*($A$1016:$A$1039=$A1593)*($D$1016:$D$1039=$D1593)*(I$1016:I$1039) ) )</f>
        <v>0</v>
      </c>
      <c r="J1593" s="1379">
        <f t="array" ref="J1593" xml:space="preserve"> SUM(EF[CH4]*(EF[SATIM Code]= $D1593)) * ( SUM( ($A$768:$A$846=$A1593)*($D$768:$D$846= $D1593)*(J$768:J$846) )  +  SUM( ($A$933:$A$1011=$A1593)*($D$933:$D$1011= $D1593)*(J$933:J$1011) ) + SUM( ($E$1016:$E$1039=$E$1427)*($A$1016:$A$1039=$A1593)*($D$1016:$D$1039=$D1593)*(J$1016:J$1039) ) )</f>
        <v>0</v>
      </c>
      <c r="K1593" s="1379">
        <f t="array" ref="K1593" xml:space="preserve"> SUM(EF[CH4]*(EF[SATIM Code]= $D1593)) * ( SUM( ($A$768:$A$846=$A1593)*($D$768:$D$846= $D1593)*(K$768:K$846) )  +  SUM( ($A$933:$A$1011=$A1593)*($D$933:$D$1011= $D1593)*(K$933:K$1011) ) + SUM( ($E$1016:$E$1039=$E$1427)*($A$1016:$A$1039=$A1593)*($D$1016:$D$1039=$D1593)*(K$1016:K$1039) ) )</f>
        <v>0</v>
      </c>
      <c r="L1593" s="1379">
        <f t="array" ref="L1593" xml:space="preserve"> SUM(EF[CH4]*(EF[SATIM Code]= $D1593)) * ( SUM( ($A$768:$A$846=$A1593)*($D$768:$D$846= $D1593)*(L$768:L$846) )  +  SUM( ($A$933:$A$1011=$A1593)*($D$933:$D$1011= $D1593)*(L$933:L$1011) ) + SUM( ($E$1016:$E$1039=$E$1427)*($A$1016:$A$1039=$A1593)*($D$1016:$D$1039=$D1593)*(L$1016:L$1039) ) )</f>
        <v>0</v>
      </c>
      <c r="M1593" s="1379">
        <f t="array" ref="M1593" xml:space="preserve"> SUM(EF[CH4]*(EF[SATIM Code]= $D1593)) * ( SUM( ($A$768:$A$846=$A1593)*($D$768:$D$846= $D1593)*(M$768:M$846) )  +  SUM( ($A$933:$A$1011=$A1593)*($D$933:$D$1011= $D1593)*(M$933:M$1011) ) + SUM( ($E$1016:$E$1039=$E$1427)*($A$1016:$A$1039=$A1593)*($D$1016:$D$1039=$D1593)*(M$1016:M$1039) ) )</f>
        <v>0</v>
      </c>
      <c r="N1593" s="1379">
        <f t="array" ref="N1593" xml:space="preserve"> SUM(EF[CH4]*(EF[SATIM Code]= $D1593)) * ( SUM( ($A$768:$A$846=$A1593)*($D$768:$D$846= $D1593)*(N$768:N$846) )  +  SUM( ($A$933:$A$1011=$A1593)*($D$933:$D$1011= $D1593)*(N$933:N$1011) ) + SUM( ($E$1016:$E$1039=$E$1427)*($A$1016:$A$1039=$A1593)*($D$1016:$D$1039=$D1593)*(N$1016:N$1039) ) )</f>
        <v>0</v>
      </c>
      <c r="O1593" s="1379">
        <f t="array" ref="O1593" xml:space="preserve"> SUM(EF[CH4]*(EF[SATIM Code]= $D1593)) * ( SUM( ($A$768:$A$846=$A1593)*($D$768:$D$846= $D1593)*(O$768:O$846) )  +  SUM( ($A$933:$A$1011=$A1593)*($D$933:$D$1011= $D1593)*(O$933:O$1011) ) + SUM( ($E$1016:$E$1039=$E$1427)*($A$1016:$A$1039=$A1593)*($D$1016:$D$1039=$D1593)*(O$1016:O$1039) ) )</f>
        <v>0</v>
      </c>
    </row>
    <row r="1594" spans="1:15" s="19" customFormat="1" hidden="1" outlineLevel="1">
      <c r="A1594" s="19" t="str">
        <f t="shared" si="303"/>
        <v>PP</v>
      </c>
      <c r="B1594" s="1400" t="str">
        <f>INDEX(EF[UK Vector],MATCH(D1594,EF[SATIM Code],0))</f>
        <v>V.09</v>
      </c>
      <c r="C1594" s="1401" t="str">
        <f>INDEX(Vectors[Description], MATCH($B1594, Vectors[Code], 0))</f>
        <v>Dry biomass and waste</v>
      </c>
      <c r="D1594" s="1388" t="s">
        <v>889</v>
      </c>
      <c r="E1594" s="1393"/>
      <c r="F1594" s="1379">
        <f t="array" ref="F1594" xml:space="preserve"> SUM(EF[CH4]*(EF[SATIM Code]= $D1594)) * ( SUM( ($A$768:$A$846=$A1594)*($D$768:$D$846= $D1594)*(F$768:F$846) )  +  SUM( ($A$933:$A$1011=$A1594)*($D$933:$D$1011= $D1594)*(F$933:F$1011) ) + SUM( ($E$1016:$E$1039=$E$1427)*($A$1016:$A$1039=$A1594)*($D$1016:$D$1039=$D1594)*(F$1016:F$1039) ) )</f>
        <v>0</v>
      </c>
      <c r="G1594" s="1379">
        <f t="array" ref="G1594" xml:space="preserve"> SUM(EF[CH4]*(EF[SATIM Code]= $D1594)) * ( SUM( ($A$768:$A$846=$A1594)*($D$768:$D$846= $D1594)*(G$768:G$846) )  +  SUM( ($A$933:$A$1011=$A1594)*($D$933:$D$1011= $D1594)*(G$933:G$1011) ) + SUM( ($E$1016:$E$1039=$E$1427)*($A$1016:$A$1039=$A1594)*($D$1016:$D$1039=$D1594)*(G$1016:G$1039) ) )</f>
        <v>0</v>
      </c>
      <c r="H1594" s="1379">
        <f t="array" ref="H1594" xml:space="preserve"> SUM(EF[CH4]*(EF[SATIM Code]= $D1594)) * ( SUM( ($A$768:$A$846=$A1594)*($D$768:$D$846= $D1594)*(H$768:H$846) )  +  SUM( ($A$933:$A$1011=$A1594)*($D$933:$D$1011= $D1594)*(H$933:H$1011) ) + SUM( ($E$1016:$E$1039=$E$1427)*($A$1016:$A$1039=$A1594)*($D$1016:$D$1039=$D1594)*(H$1016:H$1039) ) )</f>
        <v>0</v>
      </c>
      <c r="I1594" s="1379">
        <f t="array" ref="I1594" xml:space="preserve"> SUM(EF[CH4]*(EF[SATIM Code]= $D1594)) * ( SUM( ($A$768:$A$846=$A1594)*($D$768:$D$846= $D1594)*(I$768:I$846) )  +  SUM( ($A$933:$A$1011=$A1594)*($D$933:$D$1011= $D1594)*(I$933:I$1011) ) + SUM( ($E$1016:$E$1039=$E$1427)*($A$1016:$A$1039=$A1594)*($D$1016:$D$1039=$D1594)*(I$1016:I$1039) ) )</f>
        <v>0</v>
      </c>
      <c r="J1594" s="1379">
        <f t="array" ref="J1594" xml:space="preserve"> SUM(EF[CH4]*(EF[SATIM Code]= $D1594)) * ( SUM( ($A$768:$A$846=$A1594)*($D$768:$D$846= $D1594)*(J$768:J$846) )  +  SUM( ($A$933:$A$1011=$A1594)*($D$933:$D$1011= $D1594)*(J$933:J$1011) ) + SUM( ($E$1016:$E$1039=$E$1427)*($A$1016:$A$1039=$A1594)*($D$1016:$D$1039=$D1594)*(J$1016:J$1039) ) )</f>
        <v>0</v>
      </c>
      <c r="K1594" s="1379">
        <f t="array" ref="K1594" xml:space="preserve"> SUM(EF[CH4]*(EF[SATIM Code]= $D1594)) * ( SUM( ($A$768:$A$846=$A1594)*($D$768:$D$846= $D1594)*(K$768:K$846) )  +  SUM( ($A$933:$A$1011=$A1594)*($D$933:$D$1011= $D1594)*(K$933:K$1011) ) + SUM( ($E$1016:$E$1039=$E$1427)*($A$1016:$A$1039=$A1594)*($D$1016:$D$1039=$D1594)*(K$1016:K$1039) ) )</f>
        <v>0</v>
      </c>
      <c r="L1594" s="1379">
        <f t="array" ref="L1594" xml:space="preserve"> SUM(EF[CH4]*(EF[SATIM Code]= $D1594)) * ( SUM( ($A$768:$A$846=$A1594)*($D$768:$D$846= $D1594)*(L$768:L$846) )  +  SUM( ($A$933:$A$1011=$A1594)*($D$933:$D$1011= $D1594)*(L$933:L$1011) ) + SUM( ($E$1016:$E$1039=$E$1427)*($A$1016:$A$1039=$A1594)*($D$1016:$D$1039=$D1594)*(L$1016:L$1039) ) )</f>
        <v>0</v>
      </c>
      <c r="M1594" s="1379">
        <f t="array" ref="M1594" xml:space="preserve"> SUM(EF[CH4]*(EF[SATIM Code]= $D1594)) * ( SUM( ($A$768:$A$846=$A1594)*($D$768:$D$846= $D1594)*(M$768:M$846) )  +  SUM( ($A$933:$A$1011=$A1594)*($D$933:$D$1011= $D1594)*(M$933:M$1011) ) + SUM( ($E$1016:$E$1039=$E$1427)*($A$1016:$A$1039=$A1594)*($D$1016:$D$1039=$D1594)*(M$1016:M$1039) ) )</f>
        <v>0</v>
      </c>
      <c r="N1594" s="1379">
        <f t="array" ref="N1594" xml:space="preserve"> SUM(EF[CH4]*(EF[SATIM Code]= $D1594)) * ( SUM( ($A$768:$A$846=$A1594)*($D$768:$D$846= $D1594)*(N$768:N$846) )  +  SUM( ($A$933:$A$1011=$A1594)*($D$933:$D$1011= $D1594)*(N$933:N$1011) ) + SUM( ($E$1016:$E$1039=$E$1427)*($A$1016:$A$1039=$A1594)*($D$1016:$D$1039=$D1594)*(N$1016:N$1039) ) )</f>
        <v>0</v>
      </c>
      <c r="O1594" s="1379">
        <f t="array" ref="O1594" xml:space="preserve"> SUM(EF[CH4]*(EF[SATIM Code]= $D1594)) * ( SUM( ($A$768:$A$846=$A1594)*($D$768:$D$846= $D1594)*(O$768:O$846) )  +  SUM( ($A$933:$A$1011=$A1594)*($D$933:$D$1011= $D1594)*(O$933:O$1011) ) + SUM( ($E$1016:$E$1039=$E$1427)*($A$1016:$A$1039=$A1594)*($D$1016:$D$1039=$D1594)*(O$1016:O$1039) ) )</f>
        <v>0</v>
      </c>
    </row>
    <row r="1595" spans="1:15" s="19" customFormat="1" hidden="1" outlineLevel="1">
      <c r="A1595" s="19" t="str">
        <f t="shared" si="303"/>
        <v>PP</v>
      </c>
      <c r="B1595" s="1400" t="str">
        <f>INDEX(EF[UK Vector],MATCH(D1595,EF[SATIM Code],0))</f>
        <v>V.16</v>
      </c>
      <c r="C1595" s="1401" t="str">
        <f>INDEX(Vectors[Description], MATCH($B1595, Vectors[Code], 0))</f>
        <v>Other Waste</v>
      </c>
      <c r="D1595" s="1408" t="s">
        <v>890</v>
      </c>
      <c r="E1595" s="1393"/>
      <c r="F1595" s="1379">
        <f t="array" ref="F1595" xml:space="preserve"> SUM(EF[CH4]*(EF[SATIM Code]= $D1595)) * ( SUM( ($A$768:$A$846=$A1595)*($D$768:$D$846= $D1595)*(F$768:F$846) )  +  SUM( ($A$933:$A$1011=$A1595)*($D$933:$D$1011= $D1595)*(F$933:F$1011) ) + SUM( ($E$1016:$E$1039=$E$1427)*($A$1016:$A$1039=$A1595)*($D$1016:$D$1039=$D1595)*(F$1016:F$1039) ) )</f>
        <v>0</v>
      </c>
      <c r="G1595" s="1379">
        <f t="array" ref="G1595" xml:space="preserve"> SUM(EF[CH4]*(EF[SATIM Code]= $D1595)) * ( SUM( ($A$768:$A$846=$A1595)*($D$768:$D$846= $D1595)*(G$768:G$846) )  +  SUM( ($A$933:$A$1011=$A1595)*($D$933:$D$1011= $D1595)*(G$933:G$1011) ) + SUM( ($E$1016:$E$1039=$E$1427)*($A$1016:$A$1039=$A1595)*($D$1016:$D$1039=$D1595)*(G$1016:G$1039) ) )</f>
        <v>0</v>
      </c>
      <c r="H1595" s="1379">
        <f t="array" ref="H1595" xml:space="preserve"> SUM(EF[CH4]*(EF[SATIM Code]= $D1595)) * ( SUM( ($A$768:$A$846=$A1595)*($D$768:$D$846= $D1595)*(H$768:H$846) )  +  SUM( ($A$933:$A$1011=$A1595)*($D$933:$D$1011= $D1595)*(H$933:H$1011) ) + SUM( ($E$1016:$E$1039=$E$1427)*($A$1016:$A$1039=$A1595)*($D$1016:$D$1039=$D1595)*(H$1016:H$1039) ) )</f>
        <v>0</v>
      </c>
      <c r="I1595" s="1379">
        <f t="array" ref="I1595" xml:space="preserve"> SUM(EF[CH4]*(EF[SATIM Code]= $D1595)) * ( SUM( ($A$768:$A$846=$A1595)*($D$768:$D$846= $D1595)*(I$768:I$846) )  +  SUM( ($A$933:$A$1011=$A1595)*($D$933:$D$1011= $D1595)*(I$933:I$1011) ) + SUM( ($E$1016:$E$1039=$E$1427)*($A$1016:$A$1039=$A1595)*($D$1016:$D$1039=$D1595)*(I$1016:I$1039) ) )</f>
        <v>0</v>
      </c>
      <c r="J1595" s="1379">
        <f t="array" ref="J1595" xml:space="preserve"> SUM(EF[CH4]*(EF[SATIM Code]= $D1595)) * ( SUM( ($A$768:$A$846=$A1595)*($D$768:$D$846= $D1595)*(J$768:J$846) )  +  SUM( ($A$933:$A$1011=$A1595)*($D$933:$D$1011= $D1595)*(J$933:J$1011) ) + SUM( ($E$1016:$E$1039=$E$1427)*($A$1016:$A$1039=$A1595)*($D$1016:$D$1039=$D1595)*(J$1016:J$1039) ) )</f>
        <v>0</v>
      </c>
      <c r="K1595" s="1379">
        <f t="array" ref="K1595" xml:space="preserve"> SUM(EF[CH4]*(EF[SATIM Code]= $D1595)) * ( SUM( ($A$768:$A$846=$A1595)*($D$768:$D$846= $D1595)*(K$768:K$846) )  +  SUM( ($A$933:$A$1011=$A1595)*($D$933:$D$1011= $D1595)*(K$933:K$1011) ) + SUM( ($E$1016:$E$1039=$E$1427)*($A$1016:$A$1039=$A1595)*($D$1016:$D$1039=$D1595)*(K$1016:K$1039) ) )</f>
        <v>0</v>
      </c>
      <c r="L1595" s="1379">
        <f t="array" ref="L1595" xml:space="preserve"> SUM(EF[CH4]*(EF[SATIM Code]= $D1595)) * ( SUM( ($A$768:$A$846=$A1595)*($D$768:$D$846= $D1595)*(L$768:L$846) )  +  SUM( ($A$933:$A$1011=$A1595)*($D$933:$D$1011= $D1595)*(L$933:L$1011) ) + SUM( ($E$1016:$E$1039=$E$1427)*($A$1016:$A$1039=$A1595)*($D$1016:$D$1039=$D1595)*(L$1016:L$1039) ) )</f>
        <v>0</v>
      </c>
      <c r="M1595" s="1379">
        <f t="array" ref="M1595" xml:space="preserve"> SUM(EF[CH4]*(EF[SATIM Code]= $D1595)) * ( SUM( ($A$768:$A$846=$A1595)*($D$768:$D$846= $D1595)*(M$768:M$846) )  +  SUM( ($A$933:$A$1011=$A1595)*($D$933:$D$1011= $D1595)*(M$933:M$1011) ) + SUM( ($E$1016:$E$1039=$E$1427)*($A$1016:$A$1039=$A1595)*($D$1016:$D$1039=$D1595)*(M$1016:M$1039) ) )</f>
        <v>0</v>
      </c>
      <c r="N1595" s="1379">
        <f t="array" ref="N1595" xml:space="preserve"> SUM(EF[CH4]*(EF[SATIM Code]= $D1595)) * ( SUM( ($A$768:$A$846=$A1595)*($D$768:$D$846= $D1595)*(N$768:N$846) )  +  SUM( ($A$933:$A$1011=$A1595)*($D$933:$D$1011= $D1595)*(N$933:N$1011) ) + SUM( ($E$1016:$E$1039=$E$1427)*($A$1016:$A$1039=$A1595)*($D$1016:$D$1039=$D1595)*(N$1016:N$1039) ) )</f>
        <v>0</v>
      </c>
      <c r="O1595" s="1379">
        <f t="array" ref="O1595" xml:space="preserve"> SUM(EF[CH4]*(EF[SATIM Code]= $D1595)) * ( SUM( ($A$768:$A$846=$A1595)*($D$768:$D$846= $D1595)*(O$768:O$846) )  +  SUM( ($A$933:$A$1011=$A1595)*($D$933:$D$1011= $D1595)*(O$933:O$1011) ) + SUM( ($E$1016:$E$1039=$E$1427)*($A$1016:$A$1039=$A1595)*($D$1016:$D$1039=$D1595)*(O$1016:O$1039) ) )</f>
        <v>0</v>
      </c>
    </row>
    <row r="1596" spans="1:15" s="19" customFormat="1" hidden="1" outlineLevel="1">
      <c r="B1596" s="1393"/>
      <c r="C1596" s="1407" t="str">
        <f>D27</f>
        <v>Other</v>
      </c>
      <c r="D1596" s="1391"/>
      <c r="E1596" s="1393"/>
      <c r="F1596" s="1379">
        <f t="array" ref="F1596" xml:space="preserve"> SUM(EF[CH4]*(EF[SATIM Code]= $D1596)) * ( SUM( ($A$768:$A$846=$A1596)*($D$768:$D$846= $D1596)*(F$768:F$846) )  +  SUM( ($A$933:$A$1011=$A1596)*($D$933:$D$1011= $D1596)*(F$933:F$1011) ) + SUM( ($E$1016:$E$1039=$E$1427)*($A$1016:$A$1039=$A1596)*($D$1016:$D$1039=$D1596)*(F$1016:F$1039) ) )</f>
        <v>0</v>
      </c>
      <c r="G1596" s="1379">
        <f t="array" ref="G1596" xml:space="preserve"> SUM(EF[CH4]*(EF[SATIM Code]= $D1596)) * ( SUM( ($A$768:$A$846=$A1596)*($D$768:$D$846= $D1596)*(G$768:G$846) )  +  SUM( ($A$933:$A$1011=$A1596)*($D$933:$D$1011= $D1596)*(G$933:G$1011) ) + SUM( ($E$1016:$E$1039=$E$1427)*($A$1016:$A$1039=$A1596)*($D$1016:$D$1039=$D1596)*(G$1016:G$1039) ) )</f>
        <v>0</v>
      </c>
      <c r="H1596" s="1379">
        <f t="array" ref="H1596" xml:space="preserve"> SUM(EF[CH4]*(EF[SATIM Code]= $D1596)) * ( SUM( ($A$768:$A$846=$A1596)*($D$768:$D$846= $D1596)*(H$768:H$846) )  +  SUM( ($A$933:$A$1011=$A1596)*($D$933:$D$1011= $D1596)*(H$933:H$1011) ) + SUM( ($E$1016:$E$1039=$E$1427)*($A$1016:$A$1039=$A1596)*($D$1016:$D$1039=$D1596)*(H$1016:H$1039) ) )</f>
        <v>0</v>
      </c>
      <c r="I1596" s="1379">
        <f t="array" ref="I1596" xml:space="preserve"> SUM(EF[CH4]*(EF[SATIM Code]= $D1596)) * ( SUM( ($A$768:$A$846=$A1596)*($D$768:$D$846= $D1596)*(I$768:I$846) )  +  SUM( ($A$933:$A$1011=$A1596)*($D$933:$D$1011= $D1596)*(I$933:I$1011) ) + SUM( ($E$1016:$E$1039=$E$1427)*($A$1016:$A$1039=$A1596)*($D$1016:$D$1039=$D1596)*(I$1016:I$1039) ) )</f>
        <v>0</v>
      </c>
      <c r="J1596" s="1379">
        <f t="array" ref="J1596" xml:space="preserve"> SUM(EF[CH4]*(EF[SATIM Code]= $D1596)) * ( SUM( ($A$768:$A$846=$A1596)*($D$768:$D$846= $D1596)*(J$768:J$846) )  +  SUM( ($A$933:$A$1011=$A1596)*($D$933:$D$1011= $D1596)*(J$933:J$1011) ) + SUM( ($E$1016:$E$1039=$E$1427)*($A$1016:$A$1039=$A1596)*($D$1016:$D$1039=$D1596)*(J$1016:J$1039) ) )</f>
        <v>0</v>
      </c>
      <c r="K1596" s="1379">
        <f t="array" ref="K1596" xml:space="preserve"> SUM(EF[CH4]*(EF[SATIM Code]= $D1596)) * ( SUM( ($A$768:$A$846=$A1596)*($D$768:$D$846= $D1596)*(K$768:K$846) )  +  SUM( ($A$933:$A$1011=$A1596)*($D$933:$D$1011= $D1596)*(K$933:K$1011) ) + SUM( ($E$1016:$E$1039=$E$1427)*($A$1016:$A$1039=$A1596)*($D$1016:$D$1039=$D1596)*(K$1016:K$1039) ) )</f>
        <v>0</v>
      </c>
      <c r="L1596" s="1379">
        <f t="array" ref="L1596" xml:space="preserve"> SUM(EF[CH4]*(EF[SATIM Code]= $D1596)) * ( SUM( ($A$768:$A$846=$A1596)*($D$768:$D$846= $D1596)*(L$768:L$846) )  +  SUM( ($A$933:$A$1011=$A1596)*($D$933:$D$1011= $D1596)*(L$933:L$1011) ) + SUM( ($E$1016:$E$1039=$E$1427)*($A$1016:$A$1039=$A1596)*($D$1016:$D$1039=$D1596)*(L$1016:L$1039) ) )</f>
        <v>0</v>
      </c>
      <c r="M1596" s="1379">
        <f t="array" ref="M1596" xml:space="preserve"> SUM(EF[CH4]*(EF[SATIM Code]= $D1596)) * ( SUM( ($A$768:$A$846=$A1596)*($D$768:$D$846= $D1596)*(M$768:M$846) )  +  SUM( ($A$933:$A$1011=$A1596)*($D$933:$D$1011= $D1596)*(M$933:M$1011) ) + SUM( ($E$1016:$E$1039=$E$1427)*($A$1016:$A$1039=$A1596)*($D$1016:$D$1039=$D1596)*(M$1016:M$1039) ) )</f>
        <v>0</v>
      </c>
      <c r="N1596" s="1379">
        <f t="array" ref="N1596" xml:space="preserve"> SUM(EF[CH4]*(EF[SATIM Code]= $D1596)) * ( SUM( ($A$768:$A$846=$A1596)*($D$768:$D$846= $D1596)*(N$768:N$846) )  +  SUM( ($A$933:$A$1011=$A1596)*($D$933:$D$1011= $D1596)*(N$933:N$1011) ) + SUM( ($E$1016:$E$1039=$E$1427)*($A$1016:$A$1039=$A1596)*($D$1016:$D$1039=$D1596)*(N$1016:N$1039) ) )</f>
        <v>0</v>
      </c>
      <c r="O1596" s="1379">
        <f t="array" ref="O1596" xml:space="preserve"> SUM(EF[CH4]*(EF[SATIM Code]= $D1596)) * ( SUM( ($A$768:$A$846=$A1596)*($D$768:$D$846= $D1596)*(O$768:O$846) )  +  SUM( ($A$933:$A$1011=$A1596)*($D$933:$D$1011= $D1596)*(O$933:O$1011) ) + SUM( ($E$1016:$E$1039=$E$1427)*($A$1016:$A$1039=$A1596)*($D$1016:$D$1039=$D1596)*(O$1016:O$1039) ) )</f>
        <v>0</v>
      </c>
    </row>
    <row r="1597" spans="1:15" s="19" customFormat="1" hidden="1" outlineLevel="1">
      <c r="A1597" s="1438" t="str">
        <f>INDEX($C$20:$C$27,MATCH($C1596,$D$20:$D$27,0))</f>
        <v>OT</v>
      </c>
      <c r="B1597" s="1400" t="str">
        <f>INDEX(EF[UK Vector],MATCH(D1597,EF[SATIM Code],0))</f>
        <v>V.03</v>
      </c>
      <c r="C1597" s="1401" t="str">
        <f>INDEX(Vectors[Description], MATCH($B1597, Vectors[Code], 0))</f>
        <v>Solid hydrocarbons</v>
      </c>
      <c r="D1597" s="1391" t="s">
        <v>882</v>
      </c>
      <c r="E1597" s="1393"/>
      <c r="F1597" s="1379">
        <f t="array" ref="F1597" xml:space="preserve"> SUM(EF[CH4]*(EF[SATIM Code]= $D1597)) * ( SUM( ($A$768:$A$846=$A1597)*($D$768:$D$846= $D1597)*(F$768:F$846) )  +  SUM( ($A$933:$A$1011=$A1597)*($D$933:$D$1011= $D1597)*(F$933:F$1011) ) + SUM( ($E$1016:$E$1039=$E$1427)*($A$1016:$A$1039=$A1597)*($D$1016:$D$1039=$D1597)*(F$1016:F$1039) ) )</f>
        <v>3.2436665737843886E-3</v>
      </c>
      <c r="G1597" s="1379">
        <f t="array" ref="G1597" xml:space="preserve"> SUM(EF[CH4]*(EF[SATIM Code]= $D1597)) * ( SUM( ($A$768:$A$846=$A1597)*($D$768:$D$846= $D1597)*(G$768:G$846) )  +  SUM( ($A$933:$A$1011=$A1597)*($D$933:$D$1011= $D1597)*(G$933:G$1011) ) + SUM( ($E$1016:$E$1039=$E$1427)*($A$1016:$A$1039=$A1597)*($D$1016:$D$1039=$D1597)*(G$1016:G$1039) ) )</f>
        <v>3.7915489215461702E-3</v>
      </c>
      <c r="H1597" s="1379">
        <f t="array" ref="H1597" xml:space="preserve"> SUM(EF[CH4]*(EF[SATIM Code]= $D1597)) * ( SUM( ($A$768:$A$846=$A1597)*($D$768:$D$846= $D1597)*(H$768:H$846) )  +  SUM( ($A$933:$A$1011=$A1597)*($D$933:$D$1011= $D1597)*(H$933:H$1011) ) + SUM( ($E$1016:$E$1039=$E$1427)*($A$1016:$A$1039=$A1597)*($D$1016:$D$1039=$D1597)*(H$1016:H$1039) ) )</f>
        <v>4.590917906765214E-3</v>
      </c>
      <c r="I1597" s="1379">
        <f t="array" ref="I1597" xml:space="preserve"> SUM(EF[CH4]*(EF[SATIM Code]= $D1597)) * ( SUM( ($A$768:$A$846=$A1597)*($D$768:$D$846= $D1597)*(I$768:I$846) )  +  SUM( ($A$933:$A$1011=$A1597)*($D$933:$D$1011= $D1597)*(I$933:I$1011) ) + SUM( ($E$1016:$E$1039=$E$1427)*($A$1016:$A$1039=$A1597)*($D$1016:$D$1039=$D1597)*(I$1016:I$1039) ) )</f>
        <v>5.3902868919842584E-3</v>
      </c>
      <c r="J1597" s="1379">
        <f t="array" ref="J1597" xml:space="preserve"> SUM(EF[CH4]*(EF[SATIM Code]= $D1597)) * ( SUM( ($A$768:$A$846=$A1597)*($D$768:$D$846= $D1597)*(J$768:J$846) )  +  SUM( ($A$933:$A$1011=$A1597)*($D$933:$D$1011= $D1597)*(J$933:J$1011) ) + SUM( ($E$1016:$E$1039=$E$1427)*($A$1016:$A$1039=$A1597)*($D$1016:$D$1039=$D1597)*(J$1016:J$1039) ) )</f>
        <v>6.6582159767781413E-3</v>
      </c>
      <c r="K1597" s="1379">
        <f t="array" ref="K1597" xml:space="preserve"> SUM(EF[CH4]*(EF[SATIM Code]= $D1597)) * ( SUM( ($A$768:$A$846=$A1597)*($D$768:$D$846= $D1597)*(K$768:K$846) )  +  SUM( ($A$933:$A$1011=$A1597)*($D$933:$D$1011= $D1597)*(K$933:K$1011) ) + SUM( ($E$1016:$E$1039=$E$1427)*($A$1016:$A$1039=$A1597)*($D$1016:$D$1039=$D1597)*(K$1016:K$1039) ) )</f>
        <v>7.9261450615720225E-3</v>
      </c>
      <c r="L1597" s="1379">
        <f t="array" ref="L1597" xml:space="preserve"> SUM(EF[CH4]*(EF[SATIM Code]= $D1597)) * ( SUM( ($A$768:$A$846=$A1597)*($D$768:$D$846= $D1597)*(L$768:L$846) )  +  SUM( ($A$933:$A$1011=$A1597)*($D$933:$D$1011= $D1597)*(L$933:L$1011) ) + SUM( ($E$1016:$E$1039=$E$1427)*($A$1016:$A$1039=$A1597)*($D$1016:$D$1039=$D1597)*(L$1016:L$1039) ) )</f>
        <v>1.0082359284676292E-2</v>
      </c>
      <c r="M1597" s="1379">
        <f t="array" ref="M1597" xml:space="preserve"> SUM(EF[CH4]*(EF[SATIM Code]= $D1597)) * ( SUM( ($A$768:$A$846=$A1597)*($D$768:$D$846= $D1597)*(M$768:M$846) )  +  SUM( ($A$933:$A$1011=$A1597)*($D$933:$D$1011= $D1597)*(M$933:M$1011) ) + SUM( ($E$1016:$E$1039=$E$1427)*($A$1016:$A$1039=$A1597)*($D$1016:$D$1039=$D1597)*(M$1016:M$1039) ) )</f>
        <v>1.223857350778056E-2</v>
      </c>
      <c r="N1597" s="1379">
        <f t="array" ref="N1597" xml:space="preserve"> SUM(EF[CH4]*(EF[SATIM Code]= $D1597)) * ( SUM( ($A$768:$A$846=$A1597)*($D$768:$D$846= $D1597)*(N$768:N$846) )  +  SUM( ($A$933:$A$1011=$A1597)*($D$933:$D$1011= $D1597)*(N$933:N$1011) ) + SUM( ($E$1016:$E$1039=$E$1427)*($A$1016:$A$1039=$A1597)*($D$1016:$D$1039=$D1597)*(N$1016:N$1039) ) )</f>
        <v>1.4768139034157197E-2</v>
      </c>
      <c r="O1597" s="1379">
        <f t="array" ref="O1597" xml:space="preserve"> SUM(EF[CH4]*(EF[SATIM Code]= $D1597)) * ( SUM( ($A$768:$A$846=$A1597)*($D$768:$D$846= $D1597)*(O$768:O$846) )  +  SUM( ($A$933:$A$1011=$A1597)*($D$933:$D$1011= $D1597)*(O$933:O$1011) ) + SUM( ($E$1016:$E$1039=$E$1427)*($A$1016:$A$1039=$A1597)*($D$1016:$D$1039=$D1597)*(O$1016:O$1039) ) )</f>
        <v>1.7297704560533835E-2</v>
      </c>
    </row>
    <row r="1598" spans="1:15" s="19" customFormat="1" hidden="1" outlineLevel="1">
      <c r="A1598" s="19" t="str">
        <f t="shared" ref="A1598:A1605" si="304">A1597</f>
        <v>OT</v>
      </c>
      <c r="B1598" s="1400" t="str">
        <f>INDEX(EF[UK Vector],MATCH(D1598,EF[SATIM Code],0))</f>
        <v>V.03</v>
      </c>
      <c r="C1598" s="1401" t="str">
        <f>INDEX(Vectors[Description], MATCH($B1598, Vectors[Code], 0))</f>
        <v>Solid hydrocarbons</v>
      </c>
      <c r="D1598" s="1391" t="s">
        <v>883</v>
      </c>
      <c r="E1598" s="1393"/>
      <c r="F1598" s="1379">
        <f t="array" ref="F1598" xml:space="preserve"> SUM(EF[CH4]*(EF[SATIM Code]= $D1598)) * ( SUM( ($A$768:$A$846=$A1598)*($D$768:$D$846= $D1598)*(F$768:F$846) )  +  SUM( ($A$933:$A$1011=$A1598)*($D$933:$D$1011= $D1598)*(F$933:F$1011) ) + SUM( ($E$1016:$E$1039=$E$1427)*($A$1016:$A$1039=$A1598)*($D$1016:$D$1039=$D1598)*(F$1016:F$1039) ) )</f>
        <v>0</v>
      </c>
      <c r="G1598" s="1379">
        <f t="array" ref="G1598" xml:space="preserve"> SUM(EF[CH4]*(EF[SATIM Code]= $D1598)) * ( SUM( ($A$768:$A$846=$A1598)*($D$768:$D$846= $D1598)*(G$768:G$846) )  +  SUM( ($A$933:$A$1011=$A1598)*($D$933:$D$1011= $D1598)*(G$933:G$1011) ) + SUM( ($E$1016:$E$1039=$E$1427)*($A$1016:$A$1039=$A1598)*($D$1016:$D$1039=$D1598)*(G$1016:G$1039) ) )</f>
        <v>0</v>
      </c>
      <c r="H1598" s="1379">
        <f t="array" ref="H1598" xml:space="preserve"> SUM(EF[CH4]*(EF[SATIM Code]= $D1598)) * ( SUM( ($A$768:$A$846=$A1598)*($D$768:$D$846= $D1598)*(H$768:H$846) )  +  SUM( ($A$933:$A$1011=$A1598)*($D$933:$D$1011= $D1598)*(H$933:H$1011) ) + SUM( ($E$1016:$E$1039=$E$1427)*($A$1016:$A$1039=$A1598)*($D$1016:$D$1039=$D1598)*(H$1016:H$1039) ) )</f>
        <v>0</v>
      </c>
      <c r="I1598" s="1379">
        <f t="array" ref="I1598" xml:space="preserve"> SUM(EF[CH4]*(EF[SATIM Code]= $D1598)) * ( SUM( ($A$768:$A$846=$A1598)*($D$768:$D$846= $D1598)*(I$768:I$846) )  +  SUM( ($A$933:$A$1011=$A1598)*($D$933:$D$1011= $D1598)*(I$933:I$1011) ) + SUM( ($E$1016:$E$1039=$E$1427)*($A$1016:$A$1039=$A1598)*($D$1016:$D$1039=$D1598)*(I$1016:I$1039) ) )</f>
        <v>0</v>
      </c>
      <c r="J1598" s="1379">
        <f t="array" ref="J1598" xml:space="preserve"> SUM(EF[CH4]*(EF[SATIM Code]= $D1598)) * ( SUM( ($A$768:$A$846=$A1598)*($D$768:$D$846= $D1598)*(J$768:J$846) )  +  SUM( ($A$933:$A$1011=$A1598)*($D$933:$D$1011= $D1598)*(J$933:J$1011) ) + SUM( ($E$1016:$E$1039=$E$1427)*($A$1016:$A$1039=$A1598)*($D$1016:$D$1039=$D1598)*(J$1016:J$1039) ) )</f>
        <v>0</v>
      </c>
      <c r="K1598" s="1379">
        <f t="array" ref="K1598" xml:space="preserve"> SUM(EF[CH4]*(EF[SATIM Code]= $D1598)) * ( SUM( ($A$768:$A$846=$A1598)*($D$768:$D$846= $D1598)*(K$768:K$846) )  +  SUM( ($A$933:$A$1011=$A1598)*($D$933:$D$1011= $D1598)*(K$933:K$1011) ) + SUM( ($E$1016:$E$1039=$E$1427)*($A$1016:$A$1039=$A1598)*($D$1016:$D$1039=$D1598)*(K$1016:K$1039) ) )</f>
        <v>0</v>
      </c>
      <c r="L1598" s="1379">
        <f t="array" ref="L1598" xml:space="preserve"> SUM(EF[CH4]*(EF[SATIM Code]= $D1598)) * ( SUM( ($A$768:$A$846=$A1598)*($D$768:$D$846= $D1598)*(L$768:L$846) )  +  SUM( ($A$933:$A$1011=$A1598)*($D$933:$D$1011= $D1598)*(L$933:L$1011) ) + SUM( ($E$1016:$E$1039=$E$1427)*($A$1016:$A$1039=$A1598)*($D$1016:$D$1039=$D1598)*(L$1016:L$1039) ) )</f>
        <v>0</v>
      </c>
      <c r="M1598" s="1379">
        <f t="array" ref="M1598" xml:space="preserve"> SUM(EF[CH4]*(EF[SATIM Code]= $D1598)) * ( SUM( ($A$768:$A$846=$A1598)*($D$768:$D$846= $D1598)*(M$768:M$846) )  +  SUM( ($A$933:$A$1011=$A1598)*($D$933:$D$1011= $D1598)*(M$933:M$1011) ) + SUM( ($E$1016:$E$1039=$E$1427)*($A$1016:$A$1039=$A1598)*($D$1016:$D$1039=$D1598)*(M$1016:M$1039) ) )</f>
        <v>0</v>
      </c>
      <c r="N1598" s="1379">
        <f t="array" ref="N1598" xml:space="preserve"> SUM(EF[CH4]*(EF[SATIM Code]= $D1598)) * ( SUM( ($A$768:$A$846=$A1598)*($D$768:$D$846= $D1598)*(N$768:N$846) )  +  SUM( ($A$933:$A$1011=$A1598)*($D$933:$D$1011= $D1598)*(N$933:N$1011) ) + SUM( ($E$1016:$E$1039=$E$1427)*($A$1016:$A$1039=$A1598)*($D$1016:$D$1039=$D1598)*(N$1016:N$1039) ) )</f>
        <v>0</v>
      </c>
      <c r="O1598" s="1379">
        <f t="array" ref="O1598" xml:space="preserve"> SUM(EF[CH4]*(EF[SATIM Code]= $D1598)) * ( SUM( ($A$768:$A$846=$A1598)*($D$768:$D$846= $D1598)*(O$768:O$846) )  +  SUM( ($A$933:$A$1011=$A1598)*($D$933:$D$1011= $D1598)*(O$933:O$1011) ) + SUM( ($E$1016:$E$1039=$E$1427)*($A$1016:$A$1039=$A1598)*($D$1016:$D$1039=$D1598)*(O$1016:O$1039) ) )</f>
        <v>0</v>
      </c>
    </row>
    <row r="1599" spans="1:15" s="19" customFormat="1" hidden="1" outlineLevel="1">
      <c r="A1599" s="19" t="str">
        <f t="shared" si="304"/>
        <v>OT</v>
      </c>
      <c r="B1599" s="1400" t="str">
        <f>INDEX(EF[UK Vector],MATCH(D1599,EF[SATIM Code],0))</f>
        <v>V.05</v>
      </c>
      <c r="C1599" s="1401" t="str">
        <f>INDEX(Vectors[Description], MATCH($B1599, Vectors[Code], 0))</f>
        <v>Gaseous hydrocarbons</v>
      </c>
      <c r="D1599" s="1406" t="s">
        <v>869</v>
      </c>
      <c r="E1599" s="1393"/>
      <c r="F1599" s="1379">
        <f t="array" ref="F1599" xml:space="preserve"> SUM(EF[CH4]*(EF[SATIM Code]= $D1599)) * ( SUM( ($A$768:$A$846=$A1599)*($D$768:$D$846= $D1599)*(F$768:F$846) )  +  SUM( ($A$933:$A$1011=$A1599)*($D$933:$D$1011= $D1599)*(F$933:F$1011) ) + SUM( ($E$1016:$E$1039=$E$1427)*($A$1016:$A$1039=$A1599)*($D$1016:$D$1039=$D1599)*(F$1016:F$1039) ) )</f>
        <v>1.7716670999999996E-4</v>
      </c>
      <c r="G1599" s="1379">
        <f t="array" ref="G1599" xml:space="preserve"> SUM(EF[CH4]*(EF[SATIM Code]= $D1599)) * ( SUM( ($A$768:$A$846=$A1599)*($D$768:$D$846= $D1599)*(G$768:G$846) )  +  SUM( ($A$933:$A$1011=$A1599)*($D$933:$D$1011= $D1599)*(G$933:G$1011) ) + SUM( ($E$1016:$E$1039=$E$1427)*($A$1016:$A$1039=$A1599)*($D$1016:$D$1039=$D1599)*(G$1016:G$1039) ) )</f>
        <v>2.0709164550494094E-4</v>
      </c>
      <c r="H1599" s="1379">
        <f t="array" ref="H1599" xml:space="preserve"> SUM(EF[CH4]*(EF[SATIM Code]= $D1599)) * ( SUM( ($A$768:$A$846=$A1599)*($D$768:$D$846= $D1599)*(H$768:H$846) )  +  SUM( ($A$933:$A$1011=$A1599)*($D$933:$D$1011= $D1599)*(H$933:H$1011) ) + SUM( ($E$1016:$E$1039=$E$1427)*($A$1016:$A$1039=$A1599)*($D$1016:$D$1039=$D1599)*(H$1016:H$1039) ) )</f>
        <v>2.5075259830813451E-4</v>
      </c>
      <c r="I1599" s="1379">
        <f t="array" ref="I1599" xml:space="preserve"> SUM(EF[CH4]*(EF[SATIM Code]= $D1599)) * ( SUM( ($A$768:$A$846=$A1599)*($D$768:$D$846= $D1599)*(I$768:I$846) )  +  SUM( ($A$933:$A$1011=$A1599)*($D$933:$D$1011= $D1599)*(I$933:I$1011) ) + SUM( ($E$1016:$E$1039=$E$1427)*($A$1016:$A$1039=$A1599)*($D$1016:$D$1039=$D1599)*(I$1016:I$1039) ) )</f>
        <v>2.94413551111328E-4</v>
      </c>
      <c r="J1599" s="1379">
        <f t="array" ref="J1599" xml:space="preserve"> SUM(EF[CH4]*(EF[SATIM Code]= $D1599)) * ( SUM( ($A$768:$A$846=$A1599)*($D$768:$D$846= $D1599)*(J$768:J$846) )  +  SUM( ($A$933:$A$1011=$A1599)*($D$933:$D$1011= $D1599)*(J$933:J$1011) ) + SUM( ($E$1016:$E$1039=$E$1427)*($A$1016:$A$1039=$A1599)*($D$1016:$D$1039=$D1599)*(J$1016:J$1039) ) )</f>
        <v>3.6366691589356619E-4</v>
      </c>
      <c r="K1599" s="1379">
        <f t="array" ref="K1599" xml:space="preserve"> SUM(EF[CH4]*(EF[SATIM Code]= $D1599)) * ( SUM( ($A$768:$A$846=$A1599)*($D$768:$D$846= $D1599)*(K$768:K$846) )  +  SUM( ($A$933:$A$1011=$A1599)*($D$933:$D$1011= $D1599)*(K$933:K$1011) ) + SUM( ($E$1016:$E$1039=$E$1427)*($A$1016:$A$1039=$A1599)*($D$1016:$D$1039=$D1599)*(K$1016:K$1039) ) )</f>
        <v>4.3292028067580443E-4</v>
      </c>
      <c r="L1599" s="1379">
        <f t="array" ref="L1599" xml:space="preserve"> SUM(EF[CH4]*(EF[SATIM Code]= $D1599)) * ( SUM( ($A$768:$A$846=$A1599)*($D$768:$D$846= $D1599)*(L$768:L$846) )  +  SUM( ($A$933:$A$1011=$A1599)*($D$933:$D$1011= $D1599)*(L$933:L$1011) ) + SUM( ($E$1016:$E$1039=$E$1427)*($A$1016:$A$1039=$A1599)*($D$1016:$D$1039=$D1599)*(L$1016:L$1039) ) )</f>
        <v>5.5069113389790314E-4</v>
      </c>
      <c r="M1599" s="1379">
        <f t="array" ref="M1599" xml:space="preserve"> SUM(EF[CH4]*(EF[SATIM Code]= $D1599)) * ( SUM( ($A$768:$A$846=$A1599)*($D$768:$D$846= $D1599)*(M$768:M$846) )  +  SUM( ($A$933:$A$1011=$A1599)*($D$933:$D$1011= $D1599)*(M$933:M$1011) ) + SUM( ($E$1016:$E$1039=$E$1427)*($A$1016:$A$1039=$A1599)*($D$1016:$D$1039=$D1599)*(M$1016:M$1039) ) )</f>
        <v>6.6846198712000181E-4</v>
      </c>
      <c r="N1599" s="1379">
        <f t="array" ref="N1599" xml:space="preserve"> SUM(EF[CH4]*(EF[SATIM Code]= $D1599)) * ( SUM( ($A$768:$A$846=$A1599)*($D$768:$D$846= $D1599)*(N$768:N$846) )  +  SUM( ($A$933:$A$1011=$A1599)*($D$933:$D$1011= $D1599)*(N$933:N$1011) ) + SUM( ($E$1016:$E$1039=$E$1427)*($A$1016:$A$1039=$A1599)*($D$1016:$D$1039=$D1599)*(N$1016:N$1039) ) )</f>
        <v>8.0662501708726026E-4</v>
      </c>
      <c r="O1599" s="1379">
        <f t="array" ref="O1599" xml:space="preserve"> SUM(EF[CH4]*(EF[SATIM Code]= $D1599)) * ( SUM( ($A$768:$A$846=$A1599)*($D$768:$D$846= $D1599)*(O$768:O$846) )  +  SUM( ($A$933:$A$1011=$A1599)*($D$933:$D$1011= $D1599)*(O$933:O$1011) ) + SUM( ($E$1016:$E$1039=$E$1427)*($A$1016:$A$1039=$A1599)*($D$1016:$D$1039=$D1599)*(O$1016:O$1039) ) )</f>
        <v>9.4478804705451871E-4</v>
      </c>
    </row>
    <row r="1600" spans="1:15" s="19" customFormat="1" hidden="1" outlineLevel="1">
      <c r="A1600" s="19" t="str">
        <f t="shared" si="304"/>
        <v>OT</v>
      </c>
      <c r="B1600" s="1400" t="str">
        <f>INDEX(EF[UK Vector],MATCH(D1600,EF[SATIM Code],0))</f>
        <v>V.04</v>
      </c>
      <c r="C1600" s="1401" t="str">
        <f>INDEX(Vectors[Description], MATCH($B1600, Vectors[Code], 0))</f>
        <v>Liquid hydrocarbons</v>
      </c>
      <c r="D1600" s="1406" t="s">
        <v>885</v>
      </c>
      <c r="E1600" s="1393"/>
      <c r="F1600" s="1379">
        <f t="array" ref="F1600" xml:space="preserve"> SUM(EF[CH4]*(EF[SATIM Code]= $D1600)) * ( SUM( ($A$768:$A$846=$A1600)*($D$768:$D$846= $D1600)*(F$768:F$846) )  +  SUM( ($A$933:$A$1011=$A1600)*($D$933:$D$1011= $D1600)*(F$933:F$1011) ) + SUM( ($E$1016:$E$1039=$E$1427)*($A$1016:$A$1039=$A1600)*($D$1016:$D$1039=$D1600)*(F$1016:F$1039) ) )</f>
        <v>5.6542213728000006E-6</v>
      </c>
      <c r="G1600" s="1379">
        <f t="array" ref="G1600" xml:space="preserve"> SUM(EF[CH4]*(EF[SATIM Code]= $D1600)) * ( SUM( ($A$768:$A$846=$A1600)*($D$768:$D$846= $D1600)*(G$768:G$846) )  +  SUM( ($A$933:$A$1011=$A1600)*($D$933:$D$1011= $D1600)*(G$933:G$1011) ) + SUM( ($E$1016:$E$1039=$E$1427)*($A$1016:$A$1039=$A1600)*($D$1016:$D$1039=$D1600)*(G$1016:G$1039) ) )</f>
        <v>6.6092665385182028E-6</v>
      </c>
      <c r="H1600" s="1379">
        <f t="array" ref="H1600" xml:space="preserve"> SUM(EF[CH4]*(EF[SATIM Code]= $D1600)) * ( SUM( ($A$768:$A$846=$A1600)*($D$768:$D$846= $D1600)*(H$768:H$846) )  +  SUM( ($A$933:$A$1011=$A1600)*($D$933:$D$1011= $D1600)*(H$933:H$1011) ) + SUM( ($E$1016:$E$1039=$E$1427)*($A$1016:$A$1039=$A1600)*($D$1016:$D$1039=$D1600)*(H$1016:H$1039) ) )</f>
        <v>8.0026924958926389E-6</v>
      </c>
      <c r="I1600" s="1379">
        <f t="array" ref="I1600" xml:space="preserve"> SUM(EF[CH4]*(EF[SATIM Code]= $D1600)) * ( SUM( ($A$768:$A$846=$A1600)*($D$768:$D$846= $D1600)*(I$768:I$846) )  +  SUM( ($A$933:$A$1011=$A1600)*($D$933:$D$1011= $D1600)*(I$933:I$1011) ) + SUM( ($E$1016:$E$1039=$E$1427)*($A$1016:$A$1039=$A1600)*($D$1016:$D$1039=$D1600)*(I$1016:I$1039) ) )</f>
        <v>9.396118453267075E-6</v>
      </c>
      <c r="J1600" s="1379">
        <f t="array" ref="J1600" xml:space="preserve"> SUM(EF[CH4]*(EF[SATIM Code]= $D1600)) * ( SUM( ($A$768:$A$846=$A1600)*($D$768:$D$846= $D1600)*(J$768:J$846) )  +  SUM( ($A$933:$A$1011=$A1600)*($D$933:$D$1011= $D1600)*(J$933:J$1011) ) + SUM( ($E$1016:$E$1039=$E$1427)*($A$1016:$A$1039=$A1600)*($D$1016:$D$1039=$D1600)*(J$1016:J$1039) ) )</f>
        <v>1.1606318412898577E-5</v>
      </c>
      <c r="K1600" s="1379">
        <f t="array" ref="K1600" xml:space="preserve"> SUM(EF[CH4]*(EF[SATIM Code]= $D1600)) * ( SUM( ($A$768:$A$846=$A1600)*($D$768:$D$846= $D1600)*(K$768:K$846) )  +  SUM( ($A$933:$A$1011=$A1600)*($D$933:$D$1011= $D1600)*(K$933:K$1011) ) + SUM( ($E$1016:$E$1039=$E$1427)*($A$1016:$A$1039=$A1600)*($D$1016:$D$1039=$D1600)*(K$1016:K$1039) ) )</f>
        <v>1.3816518372530079E-5</v>
      </c>
      <c r="L1600" s="1379">
        <f t="array" ref="L1600" xml:space="preserve"> SUM(EF[CH4]*(EF[SATIM Code]= $D1600)) * ( SUM( ($A$768:$A$846=$A1600)*($D$768:$D$846= $D1600)*(L$768:L$846) )  +  SUM( ($A$933:$A$1011=$A1600)*($D$933:$D$1011= $D1600)*(L$933:L$1011) ) + SUM( ($E$1016:$E$1039=$E$1427)*($A$1016:$A$1039=$A1600)*($D$1016:$D$1039=$D1600)*(L$1016:L$1039) ) )</f>
        <v>1.7575139139271655E-5</v>
      </c>
      <c r="M1600" s="1379">
        <f t="array" ref="M1600" xml:space="preserve"> SUM(EF[CH4]*(EF[SATIM Code]= $D1600)) * ( SUM( ($A$768:$A$846=$A1600)*($D$768:$D$846= $D1600)*(M$768:M$846) )  +  SUM( ($A$933:$A$1011=$A1600)*($D$933:$D$1011= $D1600)*(M$933:M$1011) ) + SUM( ($E$1016:$E$1039=$E$1427)*($A$1016:$A$1039=$A1600)*($D$1016:$D$1039=$D1600)*(M$1016:M$1039) ) )</f>
        <v>2.133375990601323E-5</v>
      </c>
      <c r="N1600" s="1379">
        <f t="array" ref="N1600" xml:space="preserve"> SUM(EF[CH4]*(EF[SATIM Code]= $D1600)) * ( SUM( ($A$768:$A$846=$A1600)*($D$768:$D$846= $D1600)*(N$768:N$846) )  +  SUM( ($A$933:$A$1011=$A1600)*($D$933:$D$1011= $D1600)*(N$933:N$1011) ) + SUM( ($E$1016:$E$1039=$E$1427)*($A$1016:$A$1039=$A1600)*($D$1016:$D$1039=$D1600)*(N$1016:N$1039) ) )</f>
        <v>2.5743190757732944E-5</v>
      </c>
      <c r="O1600" s="1379">
        <f t="array" ref="O1600" xml:space="preserve"> SUM(EF[CH4]*(EF[SATIM Code]= $D1600)) * ( SUM( ($A$768:$A$846=$A1600)*($D$768:$D$846= $D1600)*(O$768:O$846) )  +  SUM( ($A$933:$A$1011=$A1600)*($D$933:$D$1011= $D1600)*(O$933:O$1011) ) + SUM( ($E$1016:$E$1039=$E$1427)*($A$1016:$A$1039=$A1600)*($D$1016:$D$1039=$D1600)*(O$1016:O$1039) ) )</f>
        <v>3.0152621609452658E-5</v>
      </c>
    </row>
    <row r="1601" spans="1:15" s="19" customFormat="1" hidden="1" outlineLevel="1">
      <c r="A1601" s="19" t="str">
        <f t="shared" si="304"/>
        <v>OT</v>
      </c>
      <c r="B1601" s="1400" t="str">
        <f>INDEX(EF[UK Vector],MATCH(D1601,EF[SATIM Code],0))</f>
        <v>V.04</v>
      </c>
      <c r="C1601" s="1401" t="str">
        <f>INDEX(Vectors[Description], MATCH($B1601, Vectors[Code], 0))</f>
        <v>Liquid hydrocarbons</v>
      </c>
      <c r="D1601" s="1391" t="s">
        <v>886</v>
      </c>
      <c r="E1601" s="1393"/>
      <c r="F1601" s="1379">
        <f t="array" ref="F1601" xml:space="preserve"> SUM(EF[CH4]*(EF[SATIM Code]= $D1601)) * ( SUM( ($A$768:$A$846=$A1601)*($D$768:$D$846= $D1601)*(F$768:F$846) )  +  SUM( ($A$933:$A$1011=$A1601)*($D$933:$D$1011= $D1601)*(F$933:F$1011) ) + SUM( ($E$1016:$E$1039=$E$1427)*($A$1016:$A$1039=$A1601)*($D$1016:$D$1039=$D1601)*(F$1016:F$1039) ) )</f>
        <v>4.9554668279339997E-4</v>
      </c>
      <c r="G1601" s="1379">
        <f t="array" ref="G1601" xml:space="preserve"> SUM(EF[CH4]*(EF[SATIM Code]= $D1601)) * ( SUM( ($A$768:$A$846=$A1601)*($D$768:$D$846= $D1601)*(G$768:G$846) )  +  SUM( ($A$933:$A$1011=$A1601)*($D$933:$D$1011= $D1601)*(G$933:G$1011) ) + SUM( ($E$1016:$E$1039=$E$1427)*($A$1016:$A$1039=$A1601)*($D$1016:$D$1039=$D1601)*(G$1016:G$1039) ) )</f>
        <v>5.7945139374456932E-4</v>
      </c>
      <c r="H1601" s="1379">
        <f t="array" ref="H1601" xml:space="preserve"> SUM(EF[CH4]*(EF[SATIM Code]= $D1601)) * ( SUM( ($A$768:$A$846=$A1601)*($D$768:$D$846= $D1601)*(H$768:H$846) )  +  SUM( ($A$933:$A$1011=$A1601)*($D$933:$D$1011= $D1601)*(H$933:H$1011) ) + SUM( ($E$1016:$E$1039=$E$1427)*($A$1016:$A$1039=$A1601)*($D$1016:$D$1039=$D1601)*(H$1016:H$1039) ) )</f>
        <v>6.891196631254779E-4</v>
      </c>
      <c r="I1601" s="1379">
        <f t="array" ref="I1601" xml:space="preserve"> SUM(EF[CH4]*(EF[SATIM Code]= $D1601)) * ( SUM( ($A$768:$A$846=$A1601)*($D$768:$D$846= $D1601)*(I$768:I$846) )  +  SUM( ($A$933:$A$1011=$A1601)*($D$933:$D$1011= $D1601)*(I$933:I$1011) ) + SUM( ($E$1016:$E$1039=$E$1427)*($A$1016:$A$1039=$A1601)*($D$1016:$D$1039=$D1601)*(I$1016:I$1039) ) )</f>
        <v>8.2534980070879578E-4</v>
      </c>
      <c r="J1601" s="1379">
        <f t="array" ref="J1601" xml:space="preserve"> SUM(EF[CH4]*(EF[SATIM Code]= $D1601)) * ( SUM( ($A$768:$A$846=$A1601)*($D$768:$D$846= $D1601)*(J$768:J$846) )  +  SUM( ($A$933:$A$1011=$A1601)*($D$933:$D$1011= $D1601)*(J$933:J$1011) ) + SUM( ($E$1016:$E$1039=$E$1427)*($A$1016:$A$1039=$A1601)*($D$1016:$D$1039=$D1601)*(J$1016:J$1039) ) )</f>
        <v>9.9691602377442409E-4</v>
      </c>
      <c r="K1601" s="1379">
        <f t="array" ref="K1601" xml:space="preserve"> SUM(EF[CH4]*(EF[SATIM Code]= $D1601)) * ( SUM( ($A$768:$A$846=$A1601)*($D$768:$D$846= $D1601)*(K$768:K$846) )  +  SUM( ($A$933:$A$1011=$A1601)*($D$933:$D$1011= $D1601)*(K$933:K$1011) ) + SUM( ($E$1016:$E$1039=$E$1427)*($A$1016:$A$1039=$A1601)*($D$1016:$D$1039=$D1601)*(K$1016:K$1039) ) )</f>
        <v>1.2178669220241083E-3</v>
      </c>
      <c r="L1601" s="1379">
        <f t="array" ref="L1601" xml:space="preserve"> SUM(EF[CH4]*(EF[SATIM Code]= $D1601)) * ( SUM( ($A$768:$A$846=$A1601)*($D$768:$D$846= $D1601)*(L$768:L$846) )  +  SUM( ($A$933:$A$1011=$A1601)*($D$933:$D$1011= $D1601)*(L$933:L$1011) ) + SUM( ($E$1016:$E$1039=$E$1427)*($A$1016:$A$1039=$A1601)*($D$1016:$D$1039=$D1601)*(L$1016:L$1039) ) )</f>
        <v>1.5303271799591369E-3</v>
      </c>
      <c r="M1601" s="1379">
        <f t="array" ref="M1601" xml:space="preserve"> SUM(EF[CH4]*(EF[SATIM Code]= $D1601)) * ( SUM( ($A$768:$A$846=$A1601)*($D$768:$D$846= $D1601)*(M$768:M$846) )  +  SUM( ($A$933:$A$1011=$A1601)*($D$933:$D$1011= $D1601)*(M$933:M$1011) ) + SUM( ($E$1016:$E$1039=$E$1427)*($A$1016:$A$1039=$A1601)*($D$1016:$D$1039=$D1601)*(M$1016:M$1039) ) )</f>
        <v>1.8860419281853183E-3</v>
      </c>
      <c r="N1601" s="1379">
        <f t="array" ref="N1601" xml:space="preserve"> SUM(EF[CH4]*(EF[SATIM Code]= $D1601)) * ( SUM( ($A$768:$A$846=$A1601)*($D$768:$D$846= $D1601)*(N$768:N$846) )  +  SUM( ($A$933:$A$1011=$A1601)*($D$933:$D$1011= $D1601)*(N$933:N$1011) ) + SUM( ($E$1016:$E$1039=$E$1427)*($A$1016:$A$1039=$A1601)*($D$1016:$D$1039=$D1601)*(N$1016:N$1039) ) )</f>
        <v>2.2640782571085841E-3</v>
      </c>
      <c r="O1601" s="1379">
        <f t="array" ref="O1601" xml:space="preserve"> SUM(EF[CH4]*(EF[SATIM Code]= $D1601)) * ( SUM( ($A$768:$A$846=$A1601)*($D$768:$D$846= $D1601)*(O$768:O$846) )  +  SUM( ($A$933:$A$1011=$A1601)*($D$933:$D$1011= $D1601)*(O$933:O$1011) ) + SUM( ($E$1016:$E$1039=$E$1427)*($A$1016:$A$1039=$A1601)*($D$1016:$D$1039=$D1601)*(O$1016:O$1039) ) )</f>
        <v>2.6690592633758833E-3</v>
      </c>
    </row>
    <row r="1602" spans="1:15" s="19" customFormat="1" hidden="1" outlineLevel="1">
      <c r="A1602" s="19" t="str">
        <f t="shared" si="304"/>
        <v>OT</v>
      </c>
      <c r="B1602" s="1400" t="str">
        <f>INDEX(EF[UK Vector],MATCH(D1602,EF[SATIM Code],0))</f>
        <v>V.04</v>
      </c>
      <c r="C1602" s="1401" t="str">
        <f>INDEX(Vectors[Description], MATCH($B1602, Vectors[Code], 0))</f>
        <v>Liquid hydrocarbons</v>
      </c>
      <c r="D1602" s="1406" t="s">
        <v>887</v>
      </c>
      <c r="E1602" s="1393"/>
      <c r="F1602" s="1379">
        <f t="array" ref="F1602" xml:space="preserve"> SUM(EF[CH4]*(EF[SATIM Code]= $D1602)) * ( SUM( ($A$768:$A$846=$A1602)*($D$768:$D$846= $D1602)*(F$768:F$846) )  +  SUM( ($A$933:$A$1011=$A1602)*($D$933:$D$1011= $D1602)*(F$933:F$1011) ) + SUM( ($E$1016:$E$1039=$E$1427)*($A$1016:$A$1039=$A1602)*($D$1016:$D$1039=$D1602)*(F$1016:F$1039) ) )</f>
        <v>2.3951590109999994E-7</v>
      </c>
      <c r="G1602" s="1379">
        <f t="array" ref="G1602" xml:space="preserve"> SUM(EF[CH4]*(EF[SATIM Code]= $D1602)) * ( SUM( ($A$768:$A$846=$A1602)*($D$768:$D$846= $D1602)*(G$768:G$846) )  +  SUM( ($A$933:$A$1011=$A1602)*($D$933:$D$1011= $D1602)*(G$933:G$1011) ) + SUM( ($E$1016:$E$1039=$E$1427)*($A$1016:$A$1039=$A1602)*($D$1016:$D$1039=$D1602)*(G$1016:G$1039) ) )</f>
        <v>2.7997213519062185E-7</v>
      </c>
      <c r="H1602" s="1379">
        <f t="array" ref="H1602" xml:space="preserve"> SUM(EF[CH4]*(EF[SATIM Code]= $D1602)) * ( SUM( ($A$768:$A$846=$A1602)*($D$768:$D$846= $D1602)*(H$768:H$846) )  +  SUM( ($A$933:$A$1011=$A1602)*($D$933:$D$1011= $D1602)*(H$933:H$1011) ) + SUM( ($E$1016:$E$1039=$E$1427)*($A$1016:$A$1039=$A1602)*($D$1016:$D$1039=$D1602)*(H$1016:H$1039) ) )</f>
        <v>3.389984187037122E-7</v>
      </c>
      <c r="I1602" s="1379">
        <f t="array" ref="I1602" xml:space="preserve"> SUM(EF[CH4]*(EF[SATIM Code]= $D1602)) * ( SUM( ($A$768:$A$846=$A1602)*($D$768:$D$846= $D1602)*(I$768:I$846) )  +  SUM( ($A$933:$A$1011=$A1602)*($D$933:$D$1011= $D1602)*(I$933:I$1011) ) + SUM( ($E$1016:$E$1039=$E$1427)*($A$1016:$A$1039=$A1602)*($D$1016:$D$1039=$D1602)*(I$1016:I$1039) ) )</f>
        <v>3.9802470221680266E-7</v>
      </c>
      <c r="J1602" s="1379">
        <f t="array" ref="J1602" xml:space="preserve"> SUM(EF[CH4]*(EF[SATIM Code]= $D1602)) * ( SUM( ($A$768:$A$846=$A1602)*($D$768:$D$846= $D1602)*(J$768:J$846) )  +  SUM( ($A$933:$A$1011=$A1602)*($D$933:$D$1011= $D1602)*(J$933:J$1011) ) + SUM( ($E$1016:$E$1039=$E$1427)*($A$1016:$A$1039=$A1602)*($D$1016:$D$1039=$D1602)*(J$1016:J$1039) ) )</f>
        <v>4.9164997792477734E-7</v>
      </c>
      <c r="K1602" s="1379">
        <f t="array" ref="K1602" xml:space="preserve"> SUM(EF[CH4]*(EF[SATIM Code]= $D1602)) * ( SUM( ($A$768:$A$846=$A1602)*($D$768:$D$846= $D1602)*(K$768:K$846) )  +  SUM( ($A$933:$A$1011=$A1602)*($D$933:$D$1011= $D1602)*(K$933:K$1011) ) + SUM( ($E$1016:$E$1039=$E$1427)*($A$1016:$A$1039=$A1602)*($D$1016:$D$1039=$D1602)*(K$1016:K$1039) ) )</f>
        <v>5.8527525363275198E-7</v>
      </c>
      <c r="L1602" s="1379">
        <f t="array" ref="L1602" xml:space="preserve"> SUM(EF[CH4]*(EF[SATIM Code]= $D1602)) * ( SUM( ($A$768:$A$846=$A1602)*($D$768:$D$846= $D1602)*(L$768:L$846) )  +  SUM( ($A$933:$A$1011=$A1602)*($D$933:$D$1011= $D1602)*(L$933:L$1011) ) + SUM( ($E$1016:$E$1039=$E$1427)*($A$1016:$A$1039=$A1602)*($D$1016:$D$1039=$D1602)*(L$1016:L$1039) ) )</f>
        <v>7.4449247922105142E-7</v>
      </c>
      <c r="M1602" s="1379">
        <f t="array" ref="M1602" xml:space="preserve"> SUM(EF[CH4]*(EF[SATIM Code]= $D1602)) * ( SUM( ($A$768:$A$846=$A1602)*($D$768:$D$846= $D1602)*(M$768:M$846) )  +  SUM( ($A$933:$A$1011=$A1602)*($D$933:$D$1011= $D1602)*(M$933:M$1011) ) + SUM( ($E$1016:$E$1039=$E$1427)*($A$1016:$A$1039=$A1602)*($D$1016:$D$1039=$D1602)*(M$1016:M$1039) ) )</f>
        <v>9.0370970480935064E-7</v>
      </c>
      <c r="N1602" s="1379">
        <f t="array" ref="N1602" xml:space="preserve"> SUM(EF[CH4]*(EF[SATIM Code]= $D1602)) * ( SUM( ($A$768:$A$846=$A1602)*($D$768:$D$846= $D1602)*(N$768:N$846) )  +  SUM( ($A$933:$A$1011=$A1602)*($D$933:$D$1011= $D1602)*(N$933:N$1011) ) + SUM( ($E$1016:$E$1039=$E$1427)*($A$1016:$A$1039=$A1602)*($D$1016:$D$1039=$D1602)*(N$1016:N$1039) ) )</f>
        <v>1.0904956005417611E-6</v>
      </c>
      <c r="O1602" s="1379">
        <f t="array" ref="O1602" xml:space="preserve"> SUM(EF[CH4]*(EF[SATIM Code]= $D1602)) * ( SUM( ($A$768:$A$846=$A1602)*($D$768:$D$846= $D1602)*(O$768:O$846) )  +  SUM( ($A$933:$A$1011=$A1602)*($D$933:$D$1011= $D1602)*(O$933:O$1011) ) + SUM( ($E$1016:$E$1039=$E$1427)*($A$1016:$A$1039=$A1602)*($D$1016:$D$1039=$D1602)*(O$1016:O$1039) ) )</f>
        <v>1.2772814962741717E-6</v>
      </c>
    </row>
    <row r="1603" spans="1:15" s="19" customFormat="1" hidden="1" outlineLevel="1">
      <c r="A1603" s="19" t="str">
        <f t="shared" si="304"/>
        <v>OT</v>
      </c>
      <c r="B1603" s="1400" t="str">
        <f>INDEX(EF[UK Vector],MATCH(D1603,EF[SATIM Code],0))</f>
        <v>V.09</v>
      </c>
      <c r="C1603" s="1401" t="str">
        <f>INDEX(Vectors[Description], MATCH($B1603, Vectors[Code], 0))</f>
        <v>Dry biomass and waste</v>
      </c>
      <c r="D1603" s="1406" t="s">
        <v>888</v>
      </c>
      <c r="E1603" s="1385"/>
      <c r="F1603" s="1379">
        <f t="array" ref="F1603" xml:space="preserve"> SUM(EF[CH4]*(EF[SATIM Code]= $D1603)) * ( SUM( ($A$768:$A$846=$A1603)*($D$768:$D$846= $D1603)*(F$768:F$846) )  +  SUM( ($A$933:$A$1011=$A1603)*($D$933:$D$1011= $D1603)*(F$933:F$1011) ) + SUM( ($E$1016:$E$1039=$E$1427)*($A$1016:$A$1039=$A1603)*($D$1016:$D$1039=$D1603)*(F$1016:F$1039) ) )</f>
        <v>0</v>
      </c>
      <c r="G1603" s="1379">
        <f t="array" ref="G1603" xml:space="preserve"> SUM(EF[CH4]*(EF[SATIM Code]= $D1603)) * ( SUM( ($A$768:$A$846=$A1603)*($D$768:$D$846= $D1603)*(G$768:G$846) )  +  SUM( ($A$933:$A$1011=$A1603)*($D$933:$D$1011= $D1603)*(G$933:G$1011) ) + SUM( ($E$1016:$E$1039=$E$1427)*($A$1016:$A$1039=$A1603)*($D$1016:$D$1039=$D1603)*(G$1016:G$1039) ) )</f>
        <v>0</v>
      </c>
      <c r="H1603" s="1379">
        <f t="array" ref="H1603" xml:space="preserve"> SUM(EF[CH4]*(EF[SATIM Code]= $D1603)) * ( SUM( ($A$768:$A$846=$A1603)*($D$768:$D$846= $D1603)*(H$768:H$846) )  +  SUM( ($A$933:$A$1011=$A1603)*($D$933:$D$1011= $D1603)*(H$933:H$1011) ) + SUM( ($E$1016:$E$1039=$E$1427)*($A$1016:$A$1039=$A1603)*($D$1016:$D$1039=$D1603)*(H$1016:H$1039) ) )</f>
        <v>0</v>
      </c>
      <c r="I1603" s="1379">
        <f t="array" ref="I1603" xml:space="preserve"> SUM(EF[CH4]*(EF[SATIM Code]= $D1603)) * ( SUM( ($A$768:$A$846=$A1603)*($D$768:$D$846= $D1603)*(I$768:I$846) )  +  SUM( ($A$933:$A$1011=$A1603)*($D$933:$D$1011= $D1603)*(I$933:I$1011) ) + SUM( ($E$1016:$E$1039=$E$1427)*($A$1016:$A$1039=$A1603)*($D$1016:$D$1039=$D1603)*(I$1016:I$1039) ) )</f>
        <v>0</v>
      </c>
      <c r="J1603" s="1379">
        <f t="array" ref="J1603" xml:space="preserve"> SUM(EF[CH4]*(EF[SATIM Code]= $D1603)) * ( SUM( ($A$768:$A$846=$A1603)*($D$768:$D$846= $D1603)*(J$768:J$846) )  +  SUM( ($A$933:$A$1011=$A1603)*($D$933:$D$1011= $D1603)*(J$933:J$1011) ) + SUM( ($E$1016:$E$1039=$E$1427)*($A$1016:$A$1039=$A1603)*($D$1016:$D$1039=$D1603)*(J$1016:J$1039) ) )</f>
        <v>0</v>
      </c>
      <c r="K1603" s="1379">
        <f t="array" ref="K1603" xml:space="preserve"> SUM(EF[CH4]*(EF[SATIM Code]= $D1603)) * ( SUM( ($A$768:$A$846=$A1603)*($D$768:$D$846= $D1603)*(K$768:K$846) )  +  SUM( ($A$933:$A$1011=$A1603)*($D$933:$D$1011= $D1603)*(K$933:K$1011) ) + SUM( ($E$1016:$E$1039=$E$1427)*($A$1016:$A$1039=$A1603)*($D$1016:$D$1039=$D1603)*(K$1016:K$1039) ) )</f>
        <v>0</v>
      </c>
      <c r="L1603" s="1379">
        <f t="array" ref="L1603" xml:space="preserve"> SUM(EF[CH4]*(EF[SATIM Code]= $D1603)) * ( SUM( ($A$768:$A$846=$A1603)*($D$768:$D$846= $D1603)*(L$768:L$846) )  +  SUM( ($A$933:$A$1011=$A1603)*($D$933:$D$1011= $D1603)*(L$933:L$1011) ) + SUM( ($E$1016:$E$1039=$E$1427)*($A$1016:$A$1039=$A1603)*($D$1016:$D$1039=$D1603)*(L$1016:L$1039) ) )</f>
        <v>0</v>
      </c>
      <c r="M1603" s="1379">
        <f t="array" ref="M1603" xml:space="preserve"> SUM(EF[CH4]*(EF[SATIM Code]= $D1603)) * ( SUM( ($A$768:$A$846=$A1603)*($D$768:$D$846= $D1603)*(M$768:M$846) )  +  SUM( ($A$933:$A$1011=$A1603)*($D$933:$D$1011= $D1603)*(M$933:M$1011) ) + SUM( ($E$1016:$E$1039=$E$1427)*($A$1016:$A$1039=$A1603)*($D$1016:$D$1039=$D1603)*(M$1016:M$1039) ) )</f>
        <v>0</v>
      </c>
      <c r="N1603" s="1379">
        <f t="array" ref="N1603" xml:space="preserve"> SUM(EF[CH4]*(EF[SATIM Code]= $D1603)) * ( SUM( ($A$768:$A$846=$A1603)*($D$768:$D$846= $D1603)*(N$768:N$846) )  +  SUM( ($A$933:$A$1011=$A1603)*($D$933:$D$1011= $D1603)*(N$933:N$1011) ) + SUM( ($E$1016:$E$1039=$E$1427)*($A$1016:$A$1039=$A1603)*($D$1016:$D$1039=$D1603)*(N$1016:N$1039) ) )</f>
        <v>0</v>
      </c>
      <c r="O1603" s="1379">
        <f t="array" ref="O1603" xml:space="preserve"> SUM(EF[CH4]*(EF[SATIM Code]= $D1603)) * ( SUM( ($A$768:$A$846=$A1603)*($D$768:$D$846= $D1603)*(O$768:O$846) )  +  SUM( ($A$933:$A$1011=$A1603)*($D$933:$D$1011= $D1603)*(O$933:O$1011) ) + SUM( ($E$1016:$E$1039=$E$1427)*($A$1016:$A$1039=$A1603)*($D$1016:$D$1039=$D1603)*(O$1016:O$1039) ) )</f>
        <v>0</v>
      </c>
    </row>
    <row r="1604" spans="1:15" s="19" customFormat="1" hidden="1" outlineLevel="1">
      <c r="A1604" s="19" t="str">
        <f t="shared" si="304"/>
        <v>OT</v>
      </c>
      <c r="B1604" s="1400" t="str">
        <f>INDEX(EF[UK Vector],MATCH(D1604,EF[SATIM Code],0))</f>
        <v>V.09</v>
      </c>
      <c r="C1604" s="1401" t="str">
        <f>INDEX(Vectors[Description], MATCH($B1604, Vectors[Code], 0))</f>
        <v>Dry biomass and waste</v>
      </c>
      <c r="D1604" s="1388" t="s">
        <v>889</v>
      </c>
      <c r="E1604" s="1385"/>
      <c r="F1604" s="1379">
        <f t="array" ref="F1604" xml:space="preserve"> SUM(EF[CH4]*(EF[SATIM Code]= $D1604)) * ( SUM( ($A$768:$A$846=$A1604)*($D$768:$D$846= $D1604)*(F$768:F$846) )  +  SUM( ($A$933:$A$1011=$A1604)*($D$933:$D$1011= $D1604)*(F$933:F$1011) ) + SUM( ($E$1016:$E$1039=$E$1427)*($A$1016:$A$1039=$A1604)*($D$1016:$D$1039=$D1604)*(F$1016:F$1039) ) )</f>
        <v>0</v>
      </c>
      <c r="G1604" s="1379">
        <f t="array" ref="G1604" xml:space="preserve"> SUM(EF[CH4]*(EF[SATIM Code]= $D1604)) * ( SUM( ($A$768:$A$846=$A1604)*($D$768:$D$846= $D1604)*(G$768:G$846) )  +  SUM( ($A$933:$A$1011=$A1604)*($D$933:$D$1011= $D1604)*(G$933:G$1011) ) + SUM( ($E$1016:$E$1039=$E$1427)*($A$1016:$A$1039=$A1604)*($D$1016:$D$1039=$D1604)*(G$1016:G$1039) ) )</f>
        <v>0</v>
      </c>
      <c r="H1604" s="1379">
        <f t="array" ref="H1604" xml:space="preserve"> SUM(EF[CH4]*(EF[SATIM Code]= $D1604)) * ( SUM( ($A$768:$A$846=$A1604)*($D$768:$D$846= $D1604)*(H$768:H$846) )  +  SUM( ($A$933:$A$1011=$A1604)*($D$933:$D$1011= $D1604)*(H$933:H$1011) ) + SUM( ($E$1016:$E$1039=$E$1427)*($A$1016:$A$1039=$A1604)*($D$1016:$D$1039=$D1604)*(H$1016:H$1039) ) )</f>
        <v>0</v>
      </c>
      <c r="I1604" s="1379">
        <f t="array" ref="I1604" xml:space="preserve"> SUM(EF[CH4]*(EF[SATIM Code]= $D1604)) * ( SUM( ($A$768:$A$846=$A1604)*($D$768:$D$846= $D1604)*(I$768:I$846) )  +  SUM( ($A$933:$A$1011=$A1604)*($D$933:$D$1011= $D1604)*(I$933:I$1011) ) + SUM( ($E$1016:$E$1039=$E$1427)*($A$1016:$A$1039=$A1604)*($D$1016:$D$1039=$D1604)*(I$1016:I$1039) ) )</f>
        <v>0</v>
      </c>
      <c r="J1604" s="1379">
        <f t="array" ref="J1604" xml:space="preserve"> SUM(EF[CH4]*(EF[SATIM Code]= $D1604)) * ( SUM( ($A$768:$A$846=$A1604)*($D$768:$D$846= $D1604)*(J$768:J$846) )  +  SUM( ($A$933:$A$1011=$A1604)*($D$933:$D$1011= $D1604)*(J$933:J$1011) ) + SUM( ($E$1016:$E$1039=$E$1427)*($A$1016:$A$1039=$A1604)*($D$1016:$D$1039=$D1604)*(J$1016:J$1039) ) )</f>
        <v>0</v>
      </c>
      <c r="K1604" s="1379">
        <f t="array" ref="K1604" xml:space="preserve"> SUM(EF[CH4]*(EF[SATIM Code]= $D1604)) * ( SUM( ($A$768:$A$846=$A1604)*($D$768:$D$846= $D1604)*(K$768:K$846) )  +  SUM( ($A$933:$A$1011=$A1604)*($D$933:$D$1011= $D1604)*(K$933:K$1011) ) + SUM( ($E$1016:$E$1039=$E$1427)*($A$1016:$A$1039=$A1604)*($D$1016:$D$1039=$D1604)*(K$1016:K$1039) ) )</f>
        <v>0</v>
      </c>
      <c r="L1604" s="1379">
        <f t="array" ref="L1604" xml:space="preserve"> SUM(EF[CH4]*(EF[SATIM Code]= $D1604)) * ( SUM( ($A$768:$A$846=$A1604)*($D$768:$D$846= $D1604)*(L$768:L$846) )  +  SUM( ($A$933:$A$1011=$A1604)*($D$933:$D$1011= $D1604)*(L$933:L$1011) ) + SUM( ($E$1016:$E$1039=$E$1427)*($A$1016:$A$1039=$A1604)*($D$1016:$D$1039=$D1604)*(L$1016:L$1039) ) )</f>
        <v>0</v>
      </c>
      <c r="M1604" s="1379">
        <f t="array" ref="M1604" xml:space="preserve"> SUM(EF[CH4]*(EF[SATIM Code]= $D1604)) * ( SUM( ($A$768:$A$846=$A1604)*($D$768:$D$846= $D1604)*(M$768:M$846) )  +  SUM( ($A$933:$A$1011=$A1604)*($D$933:$D$1011= $D1604)*(M$933:M$1011) ) + SUM( ($E$1016:$E$1039=$E$1427)*($A$1016:$A$1039=$A1604)*($D$1016:$D$1039=$D1604)*(M$1016:M$1039) ) )</f>
        <v>0</v>
      </c>
      <c r="N1604" s="1379">
        <f t="array" ref="N1604" xml:space="preserve"> SUM(EF[CH4]*(EF[SATIM Code]= $D1604)) * ( SUM( ($A$768:$A$846=$A1604)*($D$768:$D$846= $D1604)*(N$768:N$846) )  +  SUM( ($A$933:$A$1011=$A1604)*($D$933:$D$1011= $D1604)*(N$933:N$1011) ) + SUM( ($E$1016:$E$1039=$E$1427)*($A$1016:$A$1039=$A1604)*($D$1016:$D$1039=$D1604)*(N$1016:N$1039) ) )</f>
        <v>0</v>
      </c>
      <c r="O1604" s="1379">
        <f t="array" ref="O1604" xml:space="preserve"> SUM(EF[CH4]*(EF[SATIM Code]= $D1604)) * ( SUM( ($A$768:$A$846=$A1604)*($D$768:$D$846= $D1604)*(O$768:O$846) )  +  SUM( ($A$933:$A$1011=$A1604)*($D$933:$D$1011= $D1604)*(O$933:O$1011) ) + SUM( ($E$1016:$E$1039=$E$1427)*($A$1016:$A$1039=$A1604)*($D$1016:$D$1039=$D1604)*(O$1016:O$1039) ) )</f>
        <v>0</v>
      </c>
    </row>
    <row r="1605" spans="1:15" s="19" customFormat="1" hidden="1" outlineLevel="1">
      <c r="A1605" s="19" t="str">
        <f t="shared" si="304"/>
        <v>OT</v>
      </c>
      <c r="B1605" s="1442" t="str">
        <f>INDEX(EF[UK Vector],MATCH(D1605,EF[SATIM Code],0))</f>
        <v>V.16</v>
      </c>
      <c r="C1605" s="1412" t="str">
        <f>INDEX(Vectors[Description], MATCH($B1605, Vectors[Code], 0))</f>
        <v>Other Waste</v>
      </c>
      <c r="D1605" s="1384" t="s">
        <v>890</v>
      </c>
      <c r="E1605" s="1383"/>
      <c r="F1605" s="1379">
        <f t="array" ref="F1605" xml:space="preserve"> SUM(EF[CH4]*(EF[SATIM Code]= $D1605)) * ( SUM( ($A$768:$A$846=$A1605)*($D$768:$D$846= $D1605)*(F$768:F$846) )  +  SUM( ($A$933:$A$1011=$A1605)*($D$933:$D$1011= $D1605)*(F$933:F$1011) ) + SUM( ($E$1016:$E$1039=$E$1427)*($A$1016:$A$1039=$A1605)*($D$1016:$D$1039=$D1605)*(F$1016:F$1039) ) )</f>
        <v>0</v>
      </c>
      <c r="G1605" s="1379">
        <f t="array" ref="G1605" xml:space="preserve"> SUM(EF[CH4]*(EF[SATIM Code]= $D1605)) * ( SUM( ($A$768:$A$846=$A1605)*($D$768:$D$846= $D1605)*(G$768:G$846) )  +  SUM( ($A$933:$A$1011=$A1605)*($D$933:$D$1011= $D1605)*(G$933:G$1011) ) + SUM( ($E$1016:$E$1039=$E$1427)*($A$1016:$A$1039=$A1605)*($D$1016:$D$1039=$D1605)*(G$1016:G$1039) ) )</f>
        <v>0</v>
      </c>
      <c r="H1605" s="1379">
        <f t="array" ref="H1605" xml:space="preserve"> SUM(EF[CH4]*(EF[SATIM Code]= $D1605)) * ( SUM( ($A$768:$A$846=$A1605)*($D$768:$D$846= $D1605)*(H$768:H$846) )  +  SUM( ($A$933:$A$1011=$A1605)*($D$933:$D$1011= $D1605)*(H$933:H$1011) ) + SUM( ($E$1016:$E$1039=$E$1427)*($A$1016:$A$1039=$A1605)*($D$1016:$D$1039=$D1605)*(H$1016:H$1039) ) )</f>
        <v>0</v>
      </c>
      <c r="I1605" s="1379">
        <f t="array" ref="I1605" xml:space="preserve"> SUM(EF[CH4]*(EF[SATIM Code]= $D1605)) * ( SUM( ($A$768:$A$846=$A1605)*($D$768:$D$846= $D1605)*(I$768:I$846) )  +  SUM( ($A$933:$A$1011=$A1605)*($D$933:$D$1011= $D1605)*(I$933:I$1011) ) + SUM( ($E$1016:$E$1039=$E$1427)*($A$1016:$A$1039=$A1605)*($D$1016:$D$1039=$D1605)*(I$1016:I$1039) ) )</f>
        <v>0</v>
      </c>
      <c r="J1605" s="1379">
        <f t="array" ref="J1605" xml:space="preserve"> SUM(EF[CH4]*(EF[SATIM Code]= $D1605)) * ( SUM( ($A$768:$A$846=$A1605)*($D$768:$D$846= $D1605)*(J$768:J$846) )  +  SUM( ($A$933:$A$1011=$A1605)*($D$933:$D$1011= $D1605)*(J$933:J$1011) ) + SUM( ($E$1016:$E$1039=$E$1427)*($A$1016:$A$1039=$A1605)*($D$1016:$D$1039=$D1605)*(J$1016:J$1039) ) )</f>
        <v>0</v>
      </c>
      <c r="K1605" s="1379">
        <f t="array" ref="K1605" xml:space="preserve"> SUM(EF[CH4]*(EF[SATIM Code]= $D1605)) * ( SUM( ($A$768:$A$846=$A1605)*($D$768:$D$846= $D1605)*(K$768:K$846) )  +  SUM( ($A$933:$A$1011=$A1605)*($D$933:$D$1011= $D1605)*(K$933:K$1011) ) + SUM( ($E$1016:$E$1039=$E$1427)*($A$1016:$A$1039=$A1605)*($D$1016:$D$1039=$D1605)*(K$1016:K$1039) ) )</f>
        <v>0</v>
      </c>
      <c r="L1605" s="1379">
        <f t="array" ref="L1605" xml:space="preserve"> SUM(EF[CH4]*(EF[SATIM Code]= $D1605)) * ( SUM( ($A$768:$A$846=$A1605)*($D$768:$D$846= $D1605)*(L$768:L$846) )  +  SUM( ($A$933:$A$1011=$A1605)*($D$933:$D$1011= $D1605)*(L$933:L$1011) ) + SUM( ($E$1016:$E$1039=$E$1427)*($A$1016:$A$1039=$A1605)*($D$1016:$D$1039=$D1605)*(L$1016:L$1039) ) )</f>
        <v>0</v>
      </c>
      <c r="M1605" s="1379">
        <f t="array" ref="M1605" xml:space="preserve"> SUM(EF[CH4]*(EF[SATIM Code]= $D1605)) * ( SUM( ($A$768:$A$846=$A1605)*($D$768:$D$846= $D1605)*(M$768:M$846) )  +  SUM( ($A$933:$A$1011=$A1605)*($D$933:$D$1011= $D1605)*(M$933:M$1011) ) + SUM( ($E$1016:$E$1039=$E$1427)*($A$1016:$A$1039=$A1605)*($D$1016:$D$1039=$D1605)*(M$1016:M$1039) ) )</f>
        <v>0</v>
      </c>
      <c r="N1605" s="1379">
        <f t="array" ref="N1605" xml:space="preserve"> SUM(EF[CH4]*(EF[SATIM Code]= $D1605)) * ( SUM( ($A$768:$A$846=$A1605)*($D$768:$D$846= $D1605)*(N$768:N$846) )  +  SUM( ($A$933:$A$1011=$A1605)*($D$933:$D$1011= $D1605)*(N$933:N$1011) ) + SUM( ($E$1016:$E$1039=$E$1427)*($A$1016:$A$1039=$A1605)*($D$1016:$D$1039=$D1605)*(N$1016:N$1039) ) )</f>
        <v>0</v>
      </c>
      <c r="O1605" s="1379">
        <f t="array" ref="O1605" xml:space="preserve"> SUM(EF[CH4]*(EF[SATIM Code]= $D1605)) * ( SUM( ($A$768:$A$846=$A1605)*($D$768:$D$846= $D1605)*(O$768:O$846) )  +  SUM( ($A$933:$A$1011=$A1605)*($D$933:$D$1011= $D1605)*(O$933:O$1011) ) + SUM( ($E$1016:$E$1039=$E$1427)*($A$1016:$A$1039=$A1605)*($D$1016:$D$1039=$D1605)*(O$1016:O$1039) ) )</f>
        <v>0</v>
      </c>
    </row>
    <row r="1606" spans="1:15" s="19" customFormat="1" hidden="1" outlineLevel="1">
      <c r="A1606" s="166"/>
      <c r="B1606" s="1442"/>
      <c r="C1606" s="1412"/>
      <c r="D1606" s="1384"/>
      <c r="E1606" s="1383"/>
      <c r="F1606" s="1382"/>
      <c r="G1606" s="1382"/>
      <c r="H1606" s="1382"/>
      <c r="I1606" s="1382"/>
      <c r="J1606" s="1382"/>
      <c r="K1606" s="1382"/>
      <c r="L1606" s="1382"/>
      <c r="M1606" s="1382"/>
      <c r="N1606" s="1382"/>
      <c r="O1606" s="1382"/>
    </row>
    <row r="1607" spans="1:15" s="19" customFormat="1" hidden="1" outlineLevel="1">
      <c r="B1607" s="347"/>
      <c r="D1607" s="17"/>
      <c r="E1607" s="154"/>
      <c r="F1607" s="71"/>
      <c r="G1607" s="71"/>
      <c r="H1607" s="71"/>
      <c r="I1607" s="71"/>
      <c r="J1607" s="71"/>
      <c r="K1607" s="71"/>
      <c r="L1607" s="71"/>
      <c r="M1607" s="71"/>
      <c r="N1607" s="71"/>
      <c r="O1607" s="71"/>
    </row>
    <row r="1608" spans="1:15" s="19" customFormat="1">
      <c r="A1608" s="348" t="str">
        <f t="shared" ref="A1608:A1615" si="305">C20</f>
        <v>MI</v>
      </c>
      <c r="B1608" s="76"/>
      <c r="C1608" s="348" t="str">
        <f t="shared" ref="C1608:C1615" si="306">D20</f>
        <v>Mining SIC2</v>
      </c>
      <c r="D1608" s="73"/>
      <c r="E1608" s="154"/>
      <c r="F1608" s="653">
        <f t="array" ref="F1608">SUM( ($A$1527:$A$1606=$A1608)  * (F$1527:F$1606) )</f>
        <v>2.9580969650819999E-3</v>
      </c>
      <c r="G1608" s="653">
        <f t="array" ref="G1608">SUM( ($A$1527:$A$1606=$A1608)  * (G$1527:G$1606) )</f>
        <v>3.4752295777400275E-3</v>
      </c>
      <c r="H1608" s="653">
        <f t="array" ref="H1608">SUM( ($A$1527:$A$1606=$A1608)  * (H$1527:H$1606) )</f>
        <v>4.3135592673950703E-3</v>
      </c>
      <c r="I1608" s="653">
        <f t="array" ref="I1608">SUM( ($A$1527:$A$1606=$A1608)  * (I$1527:I$1606) )</f>
        <v>5.3012046313121054E-3</v>
      </c>
      <c r="J1608" s="653">
        <f t="array" ref="J1608">SUM( ($A$1527:$A$1606=$A1608)  * (J$1527:J$1606) )</f>
        <v>6.7263060380914064E-3</v>
      </c>
      <c r="K1608" s="653">
        <f t="array" ref="K1608">SUM( ($A$1527:$A$1606=$A1608)  * (K$1527:K$1606) )</f>
        <v>8.3996577598752387E-3</v>
      </c>
      <c r="L1608" s="653">
        <f t="array" ref="L1608">SUM( ($A$1527:$A$1606=$A1608)  * (L$1527:L$1606) )</f>
        <v>1.0683589117985564E-2</v>
      </c>
      <c r="M1608" s="653">
        <f t="array" ref="M1608">SUM( ($A$1527:$A$1606=$A1608)  * (M$1527:M$1606) )</f>
        <v>1.3162739942197783E-2</v>
      </c>
      <c r="N1608" s="653">
        <f t="array" ref="N1608">SUM( ($A$1527:$A$1606=$A1608)  * (N$1527:N$1606) )</f>
        <v>1.5940940578692282E-2</v>
      </c>
      <c r="O1608" s="653">
        <f t="array" ref="O1608">SUM( ($A$1527:$A$1606=$A1608)  * (O$1527:O$1606) )</f>
        <v>1.8895195671203385E-2</v>
      </c>
    </row>
    <row r="1609" spans="1:15" s="19" customFormat="1">
      <c r="A1609" s="1459" t="str">
        <f t="shared" si="305"/>
        <v>IS</v>
      </c>
      <c r="B1609" s="76"/>
      <c r="C1609" s="1459" t="str">
        <f t="shared" si="306"/>
        <v>Iron  &amp; Steel  - 351</v>
      </c>
      <c r="D1609" s="73"/>
      <c r="E1609" s="154"/>
      <c r="F1609" s="653">
        <f t="array" ref="F1609">SUM( ($A$1527:$A$1606=$A1609)  * (F$1527:F$1606) )</f>
        <v>3.3374632192156089E-3</v>
      </c>
      <c r="G1609" s="653">
        <f t="array" ref="G1609">SUM( ($A$1527:$A$1606=$A1609)  * (G$1527:G$1606) )</f>
        <v>3.8636178991355787E-3</v>
      </c>
      <c r="H1609" s="653">
        <f t="array" ref="H1609">SUM( ($A$1527:$A$1606=$A1609)  * (H$1527:H$1606) )</f>
        <v>4.9939945787273272E-3</v>
      </c>
      <c r="I1609" s="653">
        <f t="array" ref="I1609">SUM( ($A$1527:$A$1606=$A1609)  * (I$1527:I$1606) )</f>
        <v>6.124371258319077E-3</v>
      </c>
      <c r="J1609" s="653">
        <f t="array" ref="J1609">SUM( ($A$1527:$A$1606=$A1609)  * (J$1527:J$1606) )</f>
        <v>7.8808883873075497E-3</v>
      </c>
      <c r="K1609" s="653">
        <f t="array" ref="K1609">SUM( ($A$1527:$A$1606=$A1609)  * (K$1527:K$1606) )</f>
        <v>9.6374055162960215E-3</v>
      </c>
      <c r="L1609" s="653">
        <f t="array" ref="L1609">SUM( ($A$1527:$A$1606=$A1609)  * (L$1527:L$1606) )</f>
        <v>1.1955059977682821E-2</v>
      </c>
      <c r="M1609" s="653">
        <f t="array" ref="M1609">SUM( ($A$1527:$A$1606=$A1609)  * (M$1527:M$1606) )</f>
        <v>1.427271443906962E-2</v>
      </c>
      <c r="N1609" s="653">
        <f t="array" ref="N1609">SUM( ($A$1527:$A$1606=$A1609)  * (N$1527:N$1606) )</f>
        <v>1.6986056255104152E-2</v>
      </c>
      <c r="O1609" s="653">
        <f t="array" ref="O1609">SUM( ($A$1527:$A$1606=$A1609)  * (O$1527:O$1606) )</f>
        <v>1.9699398071138682E-2</v>
      </c>
    </row>
    <row r="1610" spans="1:15" s="19" customFormat="1">
      <c r="A1610" s="1459" t="str">
        <f t="shared" si="305"/>
        <v>CP</v>
      </c>
      <c r="B1610" s="76"/>
      <c r="C1610" s="1459" t="str">
        <f t="shared" si="306"/>
        <v>Chemicals  -33</v>
      </c>
      <c r="D1610" s="73"/>
      <c r="E1610" s="154"/>
      <c r="F1610" s="653">
        <f t="array" ref="F1610">SUM( ($A$1527:$A$1606=$A1610)  * (F$1527:F$1606) )</f>
        <v>2.309239821E-3</v>
      </c>
      <c r="G1610" s="653">
        <f t="array" ref="G1610">SUM( ($A$1527:$A$1606=$A1610)  * (G$1527:G$1606) )</f>
        <v>2.6347701075322429E-3</v>
      </c>
      <c r="H1610" s="653">
        <f t="array" ref="H1610">SUM( ($A$1527:$A$1606=$A1610)  * (H$1527:H$1606) )</f>
        <v>2.9120371831347636E-3</v>
      </c>
      <c r="I1610" s="653">
        <f t="array" ref="I1610">SUM( ($A$1527:$A$1606=$A1610)  * (I$1527:I$1606) )</f>
        <v>3.1893042587372846E-3</v>
      </c>
      <c r="J1610" s="653">
        <f t="array" ref="J1610">SUM( ($A$1527:$A$1606=$A1610)  * (J$1527:J$1606) )</f>
        <v>3.5720484306447416E-3</v>
      </c>
      <c r="K1610" s="653">
        <f t="array" ref="K1610">SUM( ($A$1527:$A$1606=$A1610)  * (K$1527:K$1606) )</f>
        <v>3.9547926025521977E-3</v>
      </c>
      <c r="L1610" s="653">
        <f t="array" ref="L1610">SUM( ($A$1527:$A$1606=$A1610)  * (L$1527:L$1606) )</f>
        <v>4.7587551424610759E-3</v>
      </c>
      <c r="M1610" s="653">
        <f t="array" ref="M1610">SUM( ($A$1527:$A$1606=$A1610)  * (M$1527:M$1606) )</f>
        <v>5.562717682369954E-3</v>
      </c>
      <c r="N1610" s="653">
        <f t="array" ref="N1610">SUM( ($A$1527:$A$1606=$A1610)  * (N$1527:N$1606) )</f>
        <v>6.3552085300123623E-3</v>
      </c>
      <c r="O1610" s="653">
        <f t="array" ref="O1610">SUM( ($A$1527:$A$1606=$A1610)  * (O$1527:O$1606) )</f>
        <v>7.1476993776547707E-3</v>
      </c>
    </row>
    <row r="1611" spans="1:15" s="19" customFormat="1">
      <c r="A1611" s="1459" t="str">
        <f t="shared" si="305"/>
        <v>NF</v>
      </c>
      <c r="B1611" s="76"/>
      <c r="C1611" s="1459" t="str">
        <f t="shared" si="306"/>
        <v>Non-Ferrous metals  - 352</v>
      </c>
      <c r="D1611" s="73"/>
      <c r="E1611" s="154"/>
      <c r="F1611" s="653">
        <f t="array" ref="F1611">SUM( ($A$1527:$A$1606=$A1611)  * (F$1527:F$1606) )</f>
        <v>1.7009999999999995E-5</v>
      </c>
      <c r="G1611" s="653">
        <f t="array" ref="G1611">SUM( ($A$1527:$A$1606=$A1611)  * (G$1527:G$1606) )</f>
        <v>1.9708209614790577E-5</v>
      </c>
      <c r="H1611" s="653">
        <f t="array" ref="H1611">SUM( ($A$1527:$A$1606=$A1611)  * (H$1527:H$1606) )</f>
        <v>2.4504051031117664E-5</v>
      </c>
      <c r="I1611" s="653">
        <f t="array" ref="I1611">SUM( ($A$1527:$A$1606=$A1611)  * (I$1527:I$1606) )</f>
        <v>2.9299892447444753E-5</v>
      </c>
      <c r="J1611" s="653">
        <f t="array" ref="J1611">SUM( ($A$1527:$A$1606=$A1611)  * (J$1527:J$1606) )</f>
        <v>3.6056906030920396E-5</v>
      </c>
      <c r="K1611" s="653">
        <f t="array" ref="K1611">SUM( ($A$1527:$A$1606=$A1611)  * (K$1527:K$1606) )</f>
        <v>4.2813919614396031E-5</v>
      </c>
      <c r="L1611" s="653">
        <f t="array" ref="L1611">SUM( ($A$1527:$A$1606=$A1611)  * (L$1527:L$1606) )</f>
        <v>5.2645110997773596E-5</v>
      </c>
      <c r="M1611" s="653">
        <f t="array" ref="M1611">SUM( ($A$1527:$A$1606=$A1611)  * (M$1527:M$1606) )</f>
        <v>6.2476302381151168E-5</v>
      </c>
      <c r="N1611" s="653">
        <f t="array" ref="N1611">SUM( ($A$1527:$A$1606=$A1611)  * (N$1527:N$1606) )</f>
        <v>7.3430573076858774E-5</v>
      </c>
      <c r="O1611" s="653">
        <f t="array" ref="O1611">SUM( ($A$1527:$A$1606=$A1611)  * (O$1527:O$1606) )</f>
        <v>8.4384843772566367E-5</v>
      </c>
    </row>
    <row r="1612" spans="1:15" s="19" customFormat="1">
      <c r="A1612" s="1459" t="str">
        <f t="shared" si="305"/>
        <v>NM</v>
      </c>
      <c r="B1612" s="76"/>
      <c r="C1612" s="1459" t="str">
        <f t="shared" si="306"/>
        <v>N.M.M Products  -34</v>
      </c>
      <c r="D1612" s="73"/>
      <c r="E1612" s="154"/>
      <c r="F1612" s="653">
        <f t="array" ref="F1612">SUM( ($A$1527:$A$1606=$A1612)  * (F$1527:F$1606) )</f>
        <v>1.2992384999999998E-3</v>
      </c>
      <c r="G1612" s="653">
        <f t="array" ref="G1612">SUM( ($A$1527:$A$1606=$A1612)  * (G$1527:G$1606) )</f>
        <v>1.5304097491830517E-3</v>
      </c>
      <c r="H1612" s="653">
        <f t="array" ref="H1612">SUM( ($A$1527:$A$1606=$A1612)  * (H$1527:H$1606) )</f>
        <v>1.9101613000534383E-3</v>
      </c>
      <c r="I1612" s="653">
        <f t="array" ref="I1612">SUM( ($A$1527:$A$1606=$A1612)  * (I$1527:I$1606) )</f>
        <v>2.2899128509238247E-3</v>
      </c>
      <c r="J1612" s="653">
        <f t="array" ref="J1612">SUM( ($A$1527:$A$1606=$A1612)  * (J$1527:J$1606) )</f>
        <v>2.8988481729607211E-3</v>
      </c>
      <c r="K1612" s="653">
        <f t="array" ref="K1612">SUM( ($A$1527:$A$1606=$A1612)  * (K$1527:K$1606) )</f>
        <v>3.5077834949976184E-3</v>
      </c>
      <c r="L1612" s="653">
        <f t="array" ref="L1612">SUM( ($A$1527:$A$1606=$A1612)  * (L$1527:L$1606) )</f>
        <v>4.4967192430092322E-3</v>
      </c>
      <c r="M1612" s="653">
        <f t="array" ref="M1612">SUM( ($A$1527:$A$1606=$A1612)  * (M$1527:M$1606) )</f>
        <v>5.4856549910208465E-3</v>
      </c>
      <c r="N1612" s="653">
        <f t="array" ref="N1612">SUM( ($A$1527:$A$1606=$A1612)  * (N$1527:N$1606) )</f>
        <v>6.6726667070996287E-3</v>
      </c>
      <c r="O1612" s="653">
        <f t="array" ref="O1612">SUM( ($A$1527:$A$1606=$A1612)  * (O$1527:O$1606) )</f>
        <v>7.8596784231784109E-3</v>
      </c>
    </row>
    <row r="1613" spans="1:15" s="19" customFormat="1">
      <c r="A1613" s="1459" t="str">
        <f t="shared" si="305"/>
        <v>FB</v>
      </c>
      <c r="B1613" s="76"/>
      <c r="C1613" s="1459" t="str">
        <f t="shared" si="306"/>
        <v>Food, Beverage &amp; Tabacco  - 30</v>
      </c>
      <c r="D1613" s="73"/>
      <c r="E1613" s="154"/>
      <c r="F1613" s="653">
        <f t="array" ref="F1613">SUM( ($A$1527:$A$1606=$A1613)  * (F$1527:F$1606) )</f>
        <v>5.6076347193423815E-4</v>
      </c>
      <c r="G1613" s="653">
        <f t="array" ref="G1613">SUM( ($A$1527:$A$1606=$A1613)  * (G$1527:G$1606) )</f>
        <v>6.6726365130882629E-4</v>
      </c>
      <c r="H1613" s="653">
        <f t="array" ref="H1613">SUM( ($A$1527:$A$1606=$A1613)  * (H$1527:H$1606) )</f>
        <v>8.6492075647645389E-4</v>
      </c>
      <c r="I1613" s="653">
        <f t="array" ref="I1613">SUM( ($A$1527:$A$1606=$A1613)  * (I$1527:I$1606) )</f>
        <v>1.0625778616440815E-3</v>
      </c>
      <c r="J1613" s="653">
        <f t="array" ref="J1613">SUM( ($A$1527:$A$1606=$A1613)  * (J$1527:J$1606) )</f>
        <v>1.3535473894819737E-3</v>
      </c>
      <c r="K1613" s="653">
        <f t="array" ref="K1613">SUM( ($A$1527:$A$1606=$A1613)  * (K$1527:K$1606) )</f>
        <v>1.6445169173198663E-3</v>
      </c>
      <c r="L1613" s="653">
        <f t="array" ref="L1613">SUM( ($A$1527:$A$1606=$A1613)  * (L$1527:L$1606) )</f>
        <v>2.0723631791910416E-3</v>
      </c>
      <c r="M1613" s="653">
        <f t="array" ref="M1613">SUM( ($A$1527:$A$1606=$A1613)  * (M$1527:M$1606) )</f>
        <v>2.5002094410622165E-3</v>
      </c>
      <c r="N1613" s="653">
        <f t="array" ref="N1613">SUM( ($A$1527:$A$1606=$A1613)  * (N$1527:N$1606) )</f>
        <v>2.9956107629409779E-3</v>
      </c>
      <c r="O1613" s="653">
        <f t="array" ref="O1613">SUM( ($A$1527:$A$1606=$A1613)  * (O$1527:O$1606) )</f>
        <v>3.4910120848197393E-3</v>
      </c>
    </row>
    <row r="1614" spans="1:15" s="19" customFormat="1">
      <c r="A1614" s="1459" t="str">
        <f t="shared" si="305"/>
        <v>PP</v>
      </c>
      <c r="B1614" s="76"/>
      <c r="C1614" s="1459" t="str">
        <f t="shared" si="306"/>
        <v>Pulp &amp; Paper Products  -323</v>
      </c>
      <c r="D1614" s="73"/>
      <c r="E1614" s="154"/>
      <c r="F1614" s="653">
        <f t="array" ref="F1614">SUM( ($A$1527:$A$1606=$A1614)  * (F$1527:F$1606) )</f>
        <v>1.0463367454267493E-3</v>
      </c>
      <c r="G1614" s="653">
        <f t="array" ref="G1614">SUM( ($A$1527:$A$1606=$A1614)  * (G$1527:G$1606) )</f>
        <v>1.2792223314334768E-3</v>
      </c>
      <c r="H1614" s="653">
        <f t="array" ref="H1614">SUM( ($A$1527:$A$1606=$A1614)  * (H$1527:H$1606) )</f>
        <v>1.6182085438913826E-3</v>
      </c>
      <c r="I1614" s="653">
        <f t="array" ref="I1614">SUM( ($A$1527:$A$1606=$A1614)  * (I$1527:I$1606) )</f>
        <v>1.9571947563492881E-3</v>
      </c>
      <c r="J1614" s="653">
        <f t="array" ref="J1614">SUM( ($A$1527:$A$1606=$A1614)  * (J$1527:J$1606) )</f>
        <v>2.462028471805924E-3</v>
      </c>
      <c r="K1614" s="653">
        <f t="array" ref="K1614">SUM( ($A$1527:$A$1606=$A1614)  * (K$1527:K$1606) )</f>
        <v>2.9668621872625603E-3</v>
      </c>
      <c r="L1614" s="653">
        <f t="array" ref="L1614">SUM( ($A$1527:$A$1606=$A1614)  * (L$1527:L$1606) )</f>
        <v>3.7693637501415782E-3</v>
      </c>
      <c r="M1614" s="653">
        <f t="array" ref="M1614">SUM( ($A$1527:$A$1606=$A1614)  * (M$1527:M$1606) )</f>
        <v>4.5718653130205952E-3</v>
      </c>
      <c r="N1614" s="653">
        <f t="array" ref="N1614">SUM( ($A$1527:$A$1606=$A1614)  * (N$1527:N$1606) )</f>
        <v>5.4741078989982402E-3</v>
      </c>
      <c r="O1614" s="653">
        <f t="array" ref="O1614">SUM( ($A$1527:$A$1606=$A1614)  * (O$1527:O$1606) )</f>
        <v>6.3763504849758852E-3</v>
      </c>
    </row>
    <row r="1615" spans="1:15" s="19" customFormat="1">
      <c r="A1615" s="1459" t="str">
        <f t="shared" si="305"/>
        <v>OT</v>
      </c>
      <c r="B1615" s="76"/>
      <c r="C1615" s="1459" t="str">
        <f t="shared" si="306"/>
        <v>Other</v>
      </c>
      <c r="D1615" s="654"/>
      <c r="E1615" s="154"/>
      <c r="F1615" s="653">
        <f t="array" ref="F1615">SUM( ($A$1527:$A$1606=$A1615)  * (F$1527:F$1606) )</f>
        <v>3.9222737038516883E-3</v>
      </c>
      <c r="G1615" s="653">
        <f t="array" ref="G1615">SUM( ($A$1527:$A$1606=$A1615)  * (G$1527:G$1606) )</f>
        <v>4.584981199469389E-3</v>
      </c>
      <c r="H1615" s="653">
        <f t="array" ref="H1615">SUM( ($A$1527:$A$1606=$A1615)  * (H$1527:H$1606) )</f>
        <v>5.5391318591134229E-3</v>
      </c>
      <c r="I1615" s="653">
        <f t="array" ref="I1615">SUM( ($A$1527:$A$1606=$A1615)  * (I$1527:I$1606) )</f>
        <v>6.5198443869598655E-3</v>
      </c>
      <c r="J1615" s="653">
        <f t="array" ref="J1615">SUM( ($A$1527:$A$1606=$A1615)  * (J$1527:J$1606) )</f>
        <v>8.0308968848369546E-3</v>
      </c>
      <c r="K1615" s="653">
        <f t="array" ref="K1615">SUM( ($A$1527:$A$1606=$A1615)  * (K$1527:K$1606) )</f>
        <v>9.5913340578980977E-3</v>
      </c>
      <c r="L1615" s="653">
        <f t="array" ref="L1615">SUM( ($A$1527:$A$1606=$A1615)  * (L$1527:L$1606) )</f>
        <v>1.2181697230151826E-2</v>
      </c>
      <c r="M1615" s="653">
        <f t="array" ref="M1615">SUM( ($A$1527:$A$1606=$A1615)  * (M$1527:M$1606) )</f>
        <v>1.4815314892696703E-2</v>
      </c>
      <c r="N1615" s="653">
        <f t="array" ref="N1615">SUM( ($A$1527:$A$1606=$A1615)  * (N$1527:N$1606) )</f>
        <v>1.7865675994711318E-2</v>
      </c>
      <c r="O1615" s="653">
        <f t="array" ref="O1615">SUM( ($A$1527:$A$1606=$A1615)  * (O$1527:O$1606) )</f>
        <v>2.0942981774069964E-2</v>
      </c>
    </row>
    <row r="1616" spans="1:15" s="19" customFormat="1">
      <c r="B1616" s="347"/>
      <c r="D1616" s="644"/>
      <c r="E1616" s="154"/>
      <c r="F1616" s="22"/>
      <c r="G1616" s="22"/>
      <c r="H1616" s="22"/>
      <c r="I1616" s="22"/>
      <c r="J1616" s="22"/>
      <c r="K1616" s="22"/>
      <c r="L1616" s="22"/>
      <c r="M1616" s="22"/>
      <c r="N1616" s="22"/>
      <c r="O1616" s="22"/>
    </row>
    <row r="1617" spans="1:15" s="19" customFormat="1" ht="17">
      <c r="B1617" s="347"/>
      <c r="C1617" s="348" t="s">
        <v>427</v>
      </c>
      <c r="D1617" s="644"/>
      <c r="E1617" s="194" t="s">
        <v>413</v>
      </c>
      <c r="F1617" s="524">
        <f t="shared" ref="F1617:O1617" si="307">SUM(F1608:F1616)</f>
        <v>1.5450422426510284E-2</v>
      </c>
      <c r="G1617" s="524">
        <f t="shared" si="307"/>
        <v>1.8055202725417385E-2</v>
      </c>
      <c r="H1617" s="524">
        <f t="shared" si="307"/>
        <v>2.2176517539822974E-2</v>
      </c>
      <c r="I1617" s="524">
        <f t="shared" si="307"/>
        <v>2.6473709896692968E-2</v>
      </c>
      <c r="J1617" s="524">
        <f t="shared" si="307"/>
        <v>3.2960620681160194E-2</v>
      </c>
      <c r="K1617" s="524">
        <f t="shared" si="307"/>
        <v>3.9745166455815994E-2</v>
      </c>
      <c r="L1617" s="524">
        <f t="shared" si="307"/>
        <v>4.9970192751620915E-2</v>
      </c>
      <c r="M1617" s="524">
        <f t="shared" si="307"/>
        <v>6.0433693003818879E-2</v>
      </c>
      <c r="N1617" s="524">
        <f t="shared" si="307"/>
        <v>7.2363697300635826E-2</v>
      </c>
      <c r="O1617" s="524">
        <f t="shared" si="307"/>
        <v>8.449670073081339E-2</v>
      </c>
    </row>
    <row r="1618" spans="1:15" s="19" customFormat="1">
      <c r="B1618" s="76"/>
      <c r="C1618" s="1086"/>
      <c r="D1618" s="644"/>
      <c r="E1618" s="196"/>
      <c r="F1618" s="349"/>
      <c r="G1618" s="349"/>
      <c r="H1618" s="349"/>
      <c r="I1618" s="349"/>
      <c r="J1618" s="349"/>
      <c r="K1618" s="349"/>
      <c r="L1618" s="349"/>
      <c r="M1618" s="349"/>
      <c r="N1618" s="349"/>
      <c r="O1618" s="349"/>
    </row>
    <row r="1619" spans="1:15" s="19" customFormat="1" collapsed="1">
      <c r="B1619" s="76" t="s">
        <v>351</v>
      </c>
      <c r="C1619" s="1086"/>
      <c r="D1619" s="644"/>
      <c r="E1619" s="196"/>
      <c r="F1619" s="349"/>
      <c r="G1619" s="349"/>
      <c r="H1619" s="349"/>
      <c r="I1619" s="349"/>
      <c r="J1619" s="349"/>
      <c r="K1619" s="349"/>
      <c r="L1619" s="349"/>
      <c r="M1619" s="349"/>
      <c r="N1619" s="349"/>
      <c r="O1619" s="349"/>
    </row>
    <row r="1620" spans="1:15" s="19" customFormat="1" ht="14" hidden="1" outlineLevel="1">
      <c r="B1620" s="1393"/>
      <c r="C1620" s="1407" t="str">
        <f>D20</f>
        <v>Mining SIC2</v>
      </c>
      <c r="D1620" s="1391"/>
      <c r="E1620" s="1401"/>
      <c r="F1620" s="1390"/>
      <c r="G1620" s="1390"/>
      <c r="H1620" s="1390"/>
      <c r="I1620" s="1390"/>
      <c r="J1620" s="1390"/>
      <c r="K1620" s="1390"/>
      <c r="L1620" s="1390"/>
      <c r="M1620" s="1390"/>
      <c r="N1620" s="1390"/>
      <c r="O1620" s="1390"/>
    </row>
    <row r="1621" spans="1:15" s="19" customFormat="1" hidden="1" outlineLevel="1">
      <c r="A1621" s="1438" t="str">
        <f>INDEX($C$20:$C$27,MATCH($C1620,$D$20:$D$27,0))</f>
        <v>MI</v>
      </c>
      <c r="B1621" s="1400" t="str">
        <f>INDEX(EF[UK Vector],MATCH(D1621,EF[SATIM Code],0))</f>
        <v>V.03</v>
      </c>
      <c r="C1621" s="1401" t="str">
        <f>INDEX(Vectors[Description], MATCH($B1621, Vectors[Code], 0))</f>
        <v>Solid hydrocarbons</v>
      </c>
      <c r="D1621" s="1391" t="s">
        <v>882</v>
      </c>
      <c r="E1621" s="1401" t="str">
        <f>"Mt/"&amp;Preferences.EnergyUnits</f>
        <v>Mt/PJ</v>
      </c>
      <c r="F1621" s="1379">
        <f t="array" ref="F1621" xml:space="preserve"> SUM(EF[N2O] * (EF[SATIM Code]= $D1621))  * (SUM( ($A$768:$A$846=$A1621) * ($D$768:$D$846= $D1621) * (F$768:F$846) )  +  SUM( ($A$933:$A$1011=$A1621) * ($D$933:$D$1011= $D1621) * (F$933:F$1011) ) + SUM( ($E$1016:$E$1039=$E$1427)*($A$1016:$A$1039=$A1621) * ($D$1016:$D$1039=$D1621)*(F$1016:F$1039) ) )</f>
        <v>2.3124547277999993E-2</v>
      </c>
      <c r="G1621" s="1379">
        <f t="array" ref="G1621" xml:space="preserve"> SUM(EF[N2O] * (EF[SATIM Code]= $D1621))  * (SUM( ($A$768:$A$846=$A1621) * ($D$768:$D$846= $D1621) * (G$768:G$846) )  +  SUM( ($A$933:$A$1011=$A1621) * ($D$933:$D$1011= $D1621) * (G$933:G$1011) ) + SUM( ($E$1016:$E$1039=$E$1427)*($A$1016:$A$1039=$A1621) * ($D$1016:$D$1039=$D1621)*(G$1016:G$1039) ) )</f>
        <v>2.7161466448313739E-2</v>
      </c>
      <c r="H1621" s="1379">
        <f t="array" ref="H1621" xml:space="preserve"> SUM(EF[N2O] * (EF[SATIM Code]= $D1621))  * (SUM( ($A$768:$A$846=$A1621) * ($D$768:$D$846= $D1621) * (H$768:H$846) )  +  SUM( ($A$933:$A$1011=$A1621) * ($D$933:$D$1011= $D1621) * (H$933:H$1011) ) + SUM( ($E$1016:$E$1039=$E$1427)*($A$1016:$A$1039=$A1621) * ($D$1016:$D$1039=$D1621)*(H$1016:H$1039) ) )</f>
        <v>3.4273518143570034E-2</v>
      </c>
      <c r="I1621" s="1379">
        <f t="array" ref="I1621" xml:space="preserve"> SUM(EF[N2O] * (EF[SATIM Code]= $D1621))  * (SUM( ($A$768:$A$846=$A1621) * ($D$768:$D$846= $D1621) * (I$768:I$846) )  +  SUM( ($A$933:$A$1011=$A1621) * ($D$933:$D$1011= $D1621) * (I$933:I$1011) ) + SUM( ($E$1016:$E$1039=$E$1427)*($A$1016:$A$1039=$A1621) * ($D$1016:$D$1039=$D1621)*(I$1016:I$1039) ) )</f>
        <v>4.1385569838826325E-2</v>
      </c>
      <c r="J1621" s="1379">
        <f t="array" ref="J1621" xml:space="preserve"> SUM(EF[N2O] * (EF[SATIM Code]= $D1621))  * (SUM( ($A$768:$A$846=$A1621) * ($D$768:$D$846= $D1621) * (J$768:J$846) )  +  SUM( ($A$933:$A$1011=$A1621) * ($D$933:$D$1011= $D1621) * (J$933:J$1011) ) + SUM( ($E$1016:$E$1039=$E$1427)*($A$1016:$A$1039=$A1621) * ($D$1016:$D$1039=$D1621)*(J$1016:J$1039) ) )</f>
        <v>5.341165338581861E-2</v>
      </c>
      <c r="K1621" s="1379">
        <f t="array" ref="K1621" xml:space="preserve"> SUM(EF[N2O] * (EF[SATIM Code]= $D1621))  * (SUM( ($A$768:$A$846=$A1621) * ($D$768:$D$846= $D1621) * (K$768:K$846) )  +  SUM( ($A$933:$A$1011=$A1621) * ($D$933:$D$1011= $D1621) * (K$933:K$1011) ) + SUM( ($E$1016:$E$1039=$E$1427)*($A$1016:$A$1039=$A1621) * ($D$1016:$D$1039=$D1621)*(K$1016:K$1039) ) )</f>
        <v>6.5437736932810894E-2</v>
      </c>
      <c r="L1621" s="1379">
        <f t="array" ref="L1621" xml:space="preserve"> SUM(EF[N2O] * (EF[SATIM Code]= $D1621))  * (SUM( ($A$768:$A$846=$A1621) * ($D$768:$D$846= $D1621) * (L$768:L$846) )  +  SUM( ($A$933:$A$1011=$A1621) * ($D$933:$D$1011= $D1621) * (L$933:L$1011) ) + SUM( ($E$1016:$E$1039=$E$1427)*($A$1016:$A$1039=$A1621) * ($D$1016:$D$1039=$D1621)*(L$1016:L$1039) ) )</f>
        <v>8.3900221909001912E-2</v>
      </c>
      <c r="M1621" s="1379">
        <f t="array" ref="M1621" xml:space="preserve"> SUM(EF[N2O] * (EF[SATIM Code]= $D1621))  * (SUM( ($A$768:$A$846=$A1621) * ($D$768:$D$846= $D1621) * (M$768:M$846) )  +  SUM( ($A$933:$A$1011=$A1621) * ($D$933:$D$1011= $D1621) * (M$933:M$1011) ) + SUM( ($E$1016:$E$1039=$E$1427)*($A$1016:$A$1039=$A1621) * ($D$1016:$D$1039=$D1621)*(M$1016:M$1039) ) )</f>
        <v>0.10236270688519294</v>
      </c>
      <c r="N1621" s="1379">
        <f t="array" ref="N1621" xml:space="preserve"> SUM(EF[N2O] * (EF[SATIM Code]= $D1621))  * (SUM( ($A$768:$A$846=$A1621) * ($D$768:$D$846= $D1621) * (N$768:N$846) )  +  SUM( ($A$933:$A$1011=$A1621) * ($D$933:$D$1011= $D1621) * (N$933:N$1011) ) + SUM( ($E$1016:$E$1039=$E$1427)*($A$1016:$A$1039=$A1621) * ($D$1016:$D$1039=$D1621)*(N$1016:N$1039) ) )</f>
        <v>0.12459662054240649</v>
      </c>
      <c r="O1621" s="1379">
        <f t="array" ref="O1621" xml:space="preserve"> SUM(EF[N2O] * (EF[SATIM Code]= $D1621))  * (SUM( ($A$768:$A$846=$A1621) * ($D$768:$D$846= $D1621) * (O$768:O$846) )  +  SUM( ($A$933:$A$1011=$A1621) * ($D$933:$D$1011= $D1621) * (O$933:O$1011) ) + SUM( ($E$1016:$E$1039=$E$1427)*($A$1016:$A$1039=$A1621) * ($D$1016:$D$1039=$D1621)*(O$1016:O$1039) ) )</f>
        <v>0.14683053419962003</v>
      </c>
    </row>
    <row r="1622" spans="1:15" s="19" customFormat="1" hidden="1" outlineLevel="1">
      <c r="A1622" s="19" t="str">
        <f t="shared" ref="A1622:A1629" si="308">A1621</f>
        <v>MI</v>
      </c>
      <c r="B1622" s="1400" t="str">
        <f>INDEX(EF[UK Vector],MATCH(D1622,EF[SATIM Code],0))</f>
        <v>V.03</v>
      </c>
      <c r="C1622" s="1401" t="str">
        <f>INDEX(Vectors[Description], MATCH($B1622, Vectors[Code], 0))</f>
        <v>Solid hydrocarbons</v>
      </c>
      <c r="D1622" s="1391" t="s">
        <v>883</v>
      </c>
      <c r="E1622" s="1401"/>
      <c r="F1622" s="1379">
        <f t="array" ref="F1622" xml:space="preserve"> SUM(EF[N2O] * (EF[SATIM Code]= $D1622))  * (SUM( ($A$768:$A$846=$A1622) * ($D$768:$D$846= $D1622) * (F$768:F$846) )  +  SUM( ($A$933:$A$1011=$A1622) * ($D$933:$D$1011= $D1622) * (F$933:F$1011) ) + SUM( ($E$1016:$E$1039=$E$1427)*($A$1016:$A$1039=$A1622) * ($D$1016:$D$1039=$D1622)*(F$1016:F$1039) ) )</f>
        <v>0</v>
      </c>
      <c r="G1622" s="1379">
        <f t="array" ref="G1622" xml:space="preserve"> SUM(EF[N2O] * (EF[SATIM Code]= $D1622))  * (SUM( ($A$768:$A$846=$A1622) * ($D$768:$D$846= $D1622) * (G$768:G$846) )  +  SUM( ($A$933:$A$1011=$A1622) * ($D$933:$D$1011= $D1622) * (G$933:G$1011) ) + SUM( ($E$1016:$E$1039=$E$1427)*($A$1016:$A$1039=$A1622) * ($D$1016:$D$1039=$D1622)*(G$1016:G$1039) ) )</f>
        <v>0</v>
      </c>
      <c r="H1622" s="1379">
        <f t="array" ref="H1622" xml:space="preserve"> SUM(EF[N2O] * (EF[SATIM Code]= $D1622))  * (SUM( ($A$768:$A$846=$A1622) * ($D$768:$D$846= $D1622) * (H$768:H$846) )  +  SUM( ($A$933:$A$1011=$A1622) * ($D$933:$D$1011= $D1622) * (H$933:H$1011) ) + SUM( ($E$1016:$E$1039=$E$1427)*($A$1016:$A$1039=$A1622) * ($D$1016:$D$1039=$D1622)*(H$1016:H$1039) ) )</f>
        <v>0</v>
      </c>
      <c r="I1622" s="1379">
        <f t="array" ref="I1622" xml:space="preserve"> SUM(EF[N2O] * (EF[SATIM Code]= $D1622))  * (SUM( ($A$768:$A$846=$A1622) * ($D$768:$D$846= $D1622) * (I$768:I$846) )  +  SUM( ($A$933:$A$1011=$A1622) * ($D$933:$D$1011= $D1622) * (I$933:I$1011) ) + SUM( ($E$1016:$E$1039=$E$1427)*($A$1016:$A$1039=$A1622) * ($D$1016:$D$1039=$D1622)*(I$1016:I$1039) ) )</f>
        <v>0</v>
      </c>
      <c r="J1622" s="1379">
        <f t="array" ref="J1622" xml:space="preserve"> SUM(EF[N2O] * (EF[SATIM Code]= $D1622))  * (SUM( ($A$768:$A$846=$A1622) * ($D$768:$D$846= $D1622) * (J$768:J$846) )  +  SUM( ($A$933:$A$1011=$A1622) * ($D$933:$D$1011= $D1622) * (J$933:J$1011) ) + SUM( ($E$1016:$E$1039=$E$1427)*($A$1016:$A$1039=$A1622) * ($D$1016:$D$1039=$D1622)*(J$1016:J$1039) ) )</f>
        <v>0</v>
      </c>
      <c r="K1622" s="1379">
        <f t="array" ref="K1622" xml:space="preserve"> SUM(EF[N2O] * (EF[SATIM Code]= $D1622))  * (SUM( ($A$768:$A$846=$A1622) * ($D$768:$D$846= $D1622) * (K$768:K$846) )  +  SUM( ($A$933:$A$1011=$A1622) * ($D$933:$D$1011= $D1622) * (K$933:K$1011) ) + SUM( ($E$1016:$E$1039=$E$1427)*($A$1016:$A$1039=$A1622) * ($D$1016:$D$1039=$D1622)*(K$1016:K$1039) ) )</f>
        <v>0</v>
      </c>
      <c r="L1622" s="1379">
        <f t="array" ref="L1622" xml:space="preserve"> SUM(EF[N2O] * (EF[SATIM Code]= $D1622))  * (SUM( ($A$768:$A$846=$A1622) * ($D$768:$D$846= $D1622) * (L$768:L$846) )  +  SUM( ($A$933:$A$1011=$A1622) * ($D$933:$D$1011= $D1622) * (L$933:L$1011) ) + SUM( ($E$1016:$E$1039=$E$1427)*($A$1016:$A$1039=$A1622) * ($D$1016:$D$1039=$D1622)*(L$1016:L$1039) ) )</f>
        <v>0</v>
      </c>
      <c r="M1622" s="1379">
        <f t="array" ref="M1622" xml:space="preserve"> SUM(EF[N2O] * (EF[SATIM Code]= $D1622))  * (SUM( ($A$768:$A$846=$A1622) * ($D$768:$D$846= $D1622) * (M$768:M$846) )  +  SUM( ($A$933:$A$1011=$A1622) * ($D$933:$D$1011= $D1622) * (M$933:M$1011) ) + SUM( ($E$1016:$E$1039=$E$1427)*($A$1016:$A$1039=$A1622) * ($D$1016:$D$1039=$D1622)*(M$1016:M$1039) ) )</f>
        <v>0</v>
      </c>
      <c r="N1622" s="1379">
        <f t="array" ref="N1622" xml:space="preserve"> SUM(EF[N2O] * (EF[SATIM Code]= $D1622))  * (SUM( ($A$768:$A$846=$A1622) * ($D$768:$D$846= $D1622) * (N$768:N$846) )  +  SUM( ($A$933:$A$1011=$A1622) * ($D$933:$D$1011= $D1622) * (N$933:N$1011) ) + SUM( ($E$1016:$E$1039=$E$1427)*($A$1016:$A$1039=$A1622) * ($D$1016:$D$1039=$D1622)*(N$1016:N$1039) ) )</f>
        <v>0</v>
      </c>
      <c r="O1622" s="1379">
        <f t="array" ref="O1622" xml:space="preserve"> SUM(EF[N2O] * (EF[SATIM Code]= $D1622))  * (SUM( ($A$768:$A$846=$A1622) * ($D$768:$D$846= $D1622) * (O$768:O$846) )  +  SUM( ($A$933:$A$1011=$A1622) * ($D$933:$D$1011= $D1622) * (O$933:O$1011) ) + SUM( ($E$1016:$E$1039=$E$1427)*($A$1016:$A$1039=$A1622) * ($D$1016:$D$1039=$D1622)*(O$1016:O$1039) ) )</f>
        <v>0</v>
      </c>
    </row>
    <row r="1623" spans="1:15" s="19" customFormat="1" hidden="1" outlineLevel="1">
      <c r="A1623" s="19" t="str">
        <f t="shared" si="308"/>
        <v>MI</v>
      </c>
      <c r="B1623" s="1400" t="str">
        <f>INDEX(EF[UK Vector],MATCH(D1623,EF[SATIM Code],0))</f>
        <v>V.05</v>
      </c>
      <c r="C1623" s="1401" t="str">
        <f>INDEX(Vectors[Description], MATCH($B1623, Vectors[Code], 0))</f>
        <v>Gaseous hydrocarbons</v>
      </c>
      <c r="D1623" s="1406" t="s">
        <v>869</v>
      </c>
      <c r="E1623" s="1401"/>
      <c r="F1623" s="1379">
        <f t="array" ref="F1623" xml:space="preserve"> SUM(EF[N2O] * (EF[SATIM Code]= $D1623))  * (SUM( ($A$768:$A$846=$A1623) * ($D$768:$D$846= $D1623) * (F$768:F$846) )  +  SUM( ($A$933:$A$1011=$A1623) * ($D$933:$D$1011= $D1623) * (F$933:F$1011) ) + SUM( ($E$1016:$E$1039=$E$1427)*($A$1016:$A$1039=$A1623) * ($D$1016:$D$1039=$D1623)*(F$1016:F$1039) ) )</f>
        <v>8.9898139999999995E-5</v>
      </c>
      <c r="G1623" s="1379">
        <f t="array" ref="G1623" xml:space="preserve"> SUM(EF[N2O] * (EF[SATIM Code]= $D1623))  * (SUM( ($A$768:$A$846=$A1623) * ($D$768:$D$846= $D1623) * (G$768:G$846) )  +  SUM( ($A$933:$A$1011=$A1623) * ($D$933:$D$1011= $D1623) * (G$933:G$1011) ) + SUM( ($E$1016:$E$1039=$E$1427)*($A$1016:$A$1039=$A1623) * ($D$1016:$D$1039=$D1623)*(G$1016:G$1039) ) )</f>
        <v>1.055919185799081E-4</v>
      </c>
      <c r="H1623" s="1379">
        <f t="array" ref="H1623" xml:space="preserve"> SUM(EF[N2O] * (EF[SATIM Code]= $D1623))  * (SUM( ($A$768:$A$846=$A1623) * ($D$768:$D$846= $D1623) * (H$768:H$846) )  +  SUM( ($A$933:$A$1011=$A1623) * ($D$933:$D$1011= $D1623) * (H$933:H$1011) ) + SUM( ($E$1016:$E$1039=$E$1427)*($A$1016:$A$1039=$A1623) * ($D$1016:$D$1039=$D1623)*(H$1016:H$1039) ) )</f>
        <v>1.3324046932994401E-4</v>
      </c>
      <c r="I1623" s="1379">
        <f t="array" ref="I1623" xml:space="preserve"> SUM(EF[N2O] * (EF[SATIM Code]= $D1623))  * (SUM( ($A$768:$A$846=$A1623) * ($D$768:$D$846= $D1623) * (I$768:I$846) )  +  SUM( ($A$933:$A$1011=$A1623) * ($D$933:$D$1011= $D1623) * (I$933:I$1011) ) + SUM( ($E$1016:$E$1039=$E$1427)*($A$1016:$A$1039=$A1623) * ($D$1016:$D$1039=$D1623)*(I$1016:I$1039) ) )</f>
        <v>1.6088902007997991E-4</v>
      </c>
      <c r="J1623" s="1379">
        <f t="array" ref="J1623" xml:space="preserve"> SUM(EF[N2O] * (EF[SATIM Code]= $D1623))  * (SUM( ($A$768:$A$846=$A1623) * ($D$768:$D$846= $D1623) * (J$768:J$846) )  +  SUM( ($A$933:$A$1011=$A1623) * ($D$933:$D$1011= $D1623) * (J$933:J$1011) ) + SUM( ($E$1016:$E$1039=$E$1427)*($A$1016:$A$1039=$A1623) * ($D$1016:$D$1039=$D1623)*(J$1016:J$1039) ) )</f>
        <v>2.0764118042985007E-4</v>
      </c>
      <c r="K1623" s="1379">
        <f t="array" ref="K1623" xml:space="preserve"> SUM(EF[N2O] * (EF[SATIM Code]= $D1623))  * (SUM( ($A$768:$A$846=$A1623) * ($D$768:$D$846= $D1623) * (K$768:K$846) )  +  SUM( ($A$933:$A$1011=$A1623) * ($D$933:$D$1011= $D1623) * (K$933:K$1011) ) + SUM( ($E$1016:$E$1039=$E$1427)*($A$1016:$A$1039=$A1623) * ($D$1016:$D$1039=$D1623)*(K$1016:K$1039) ) )</f>
        <v>2.543933407797202E-4</v>
      </c>
      <c r="L1623" s="1379">
        <f t="array" ref="L1623" xml:space="preserve"> SUM(EF[N2O] * (EF[SATIM Code]= $D1623))  * (SUM( ($A$768:$A$846=$A1623) * ($D$768:$D$846= $D1623) * (L$768:L$846) )  +  SUM( ($A$933:$A$1011=$A1623) * ($D$933:$D$1011= $D1623) * (L$933:L$1011) ) + SUM( ($E$1016:$E$1039=$E$1427)*($A$1016:$A$1039=$A1623) * ($D$1016:$D$1039=$D1623)*(L$1016:L$1039) ) )</f>
        <v>3.2616741874043977E-4</v>
      </c>
      <c r="M1623" s="1379">
        <f t="array" ref="M1623" xml:space="preserve"> SUM(EF[N2O] * (EF[SATIM Code]= $D1623))  * (SUM( ($A$768:$A$846=$A1623) * ($D$768:$D$846= $D1623) * (M$768:M$846) )  +  SUM( ($A$933:$A$1011=$A1623) * ($D$933:$D$1011= $D1623) * (M$933:M$1011) ) + SUM( ($E$1016:$E$1039=$E$1427)*($A$1016:$A$1039=$A1623) * ($D$1016:$D$1039=$D1623)*(M$1016:M$1039) ) )</f>
        <v>3.9794149670115933E-4</v>
      </c>
      <c r="N1623" s="1379">
        <f t="array" ref="N1623" xml:space="preserve"> SUM(EF[N2O] * (EF[SATIM Code]= $D1623))  * (SUM( ($A$768:$A$846=$A1623) * ($D$768:$D$846= $D1623) * (N$768:N$846) )  +  SUM( ($A$933:$A$1011=$A1623) * ($D$933:$D$1011= $D1623) * (N$933:N$1011) ) + SUM( ($E$1016:$E$1039=$E$1427)*($A$1016:$A$1039=$A1623) * ($D$1016:$D$1039=$D1623)*(N$1016:N$1039) ) )</f>
        <v>4.8437724217435536E-4</v>
      </c>
      <c r="O1623" s="1379">
        <f t="array" ref="O1623" xml:space="preserve"> SUM(EF[N2O] * (EF[SATIM Code]= $D1623))  * (SUM( ($A$768:$A$846=$A1623) * ($D$768:$D$846= $D1623) * (O$768:O$846) )  +  SUM( ($A$933:$A$1011=$A1623) * ($D$933:$D$1011= $D1623) * (O$933:O$1011) ) + SUM( ($E$1016:$E$1039=$E$1427)*($A$1016:$A$1039=$A1623) * ($D$1016:$D$1039=$D1623)*(O$1016:O$1039) ) )</f>
        <v>5.7081298764755138E-4</v>
      </c>
    </row>
    <row r="1624" spans="1:15" s="19" customFormat="1" hidden="1" outlineLevel="1">
      <c r="A1624" s="19" t="str">
        <f t="shared" si="308"/>
        <v>MI</v>
      </c>
      <c r="B1624" s="1400" t="str">
        <f>INDEX(EF[UK Vector],MATCH(D1624,EF[SATIM Code],0))</f>
        <v>V.04</v>
      </c>
      <c r="C1624" s="1401" t="str">
        <f>INDEX(Vectors[Description], MATCH($B1624, Vectors[Code], 0))</f>
        <v>Liquid hydrocarbons</v>
      </c>
      <c r="D1624" s="1406" t="s">
        <v>885</v>
      </c>
      <c r="E1624" s="1401"/>
      <c r="F1624" s="1379">
        <f t="array" ref="F1624" xml:space="preserve"> SUM(EF[N2O] * (EF[SATIM Code]= $D1624))  * (SUM( ($A$768:$A$846=$A1624) * ($D$768:$D$846= $D1624) * (F$768:F$846) )  +  SUM( ($A$933:$A$1011=$A1624) * ($D$933:$D$1011= $D1624) * (F$933:F$1011) ) + SUM( ($E$1016:$E$1039=$E$1427)*($A$1016:$A$1039=$A1624) * ($D$1016:$D$1039=$D1624)*(F$1016:F$1039) ) )</f>
        <v>1.4371648012799997E-5</v>
      </c>
      <c r="G1624" s="1379">
        <f t="array" ref="G1624" xml:space="preserve"> SUM(EF[N2O] * (EF[SATIM Code]= $D1624))  * (SUM( ($A$768:$A$846=$A1624) * ($D$768:$D$846= $D1624) * (G$768:G$846) )  +  SUM( ($A$933:$A$1011=$A1624) * ($D$933:$D$1011= $D1624) * (G$933:G$1011) ) + SUM( ($E$1016:$E$1039=$E$1427)*($A$1016:$A$1039=$A1624) * ($D$1016:$D$1039=$D1624)*(G$1016:G$1039) ) )</f>
        <v>1.6880548216310988E-5</v>
      </c>
      <c r="H1624" s="1379">
        <f t="array" ref="H1624" xml:space="preserve"> SUM(EF[N2O] * (EF[SATIM Code]= $D1624))  * (SUM( ($A$768:$A$846=$A1624) * ($D$768:$D$846= $D1624) * (H$768:H$846) )  +  SUM( ($A$933:$A$1011=$A1624) * ($D$933:$D$1011= $D1624) * (H$933:H$1011) ) + SUM( ($E$1016:$E$1039=$E$1427)*($A$1016:$A$1039=$A1624) * ($D$1016:$D$1039=$D1624)*(H$1016:H$1039) ) )</f>
        <v>2.1300608958875333E-5</v>
      </c>
      <c r="I1624" s="1379">
        <f t="array" ref="I1624" xml:space="preserve"> SUM(EF[N2O] * (EF[SATIM Code]= $D1624))  * (SUM( ($A$768:$A$846=$A1624) * ($D$768:$D$846= $D1624) * (I$768:I$846) )  +  SUM( ($A$933:$A$1011=$A1624) * ($D$933:$D$1011= $D1624) * (I$933:I$1011) ) + SUM( ($E$1016:$E$1039=$E$1427)*($A$1016:$A$1039=$A1624) * ($D$1016:$D$1039=$D1624)*(I$1016:I$1039) ) )</f>
        <v>2.5720669701439681E-5</v>
      </c>
      <c r="J1624" s="1379">
        <f t="array" ref="J1624" xml:space="preserve"> SUM(EF[N2O] * (EF[SATIM Code]= $D1624))  * (SUM( ($A$768:$A$846=$A1624) * ($D$768:$D$846= $D1624) * (J$768:J$846) )  +  SUM( ($A$933:$A$1011=$A1624) * ($D$933:$D$1011= $D1624) * (J$933:J$1011) ) + SUM( ($E$1016:$E$1039=$E$1427)*($A$1016:$A$1039=$A1624) * ($D$1016:$D$1039=$D1624)*(J$1016:J$1039) ) )</f>
        <v>3.319474638852484E-5</v>
      </c>
      <c r="K1624" s="1379">
        <f t="array" ref="K1624" xml:space="preserve"> SUM(EF[N2O] * (EF[SATIM Code]= $D1624))  * (SUM( ($A$768:$A$846=$A1624) * ($D$768:$D$846= $D1624) * (K$768:K$846) )  +  SUM( ($A$933:$A$1011=$A1624) * ($D$933:$D$1011= $D1624) * (K$933:K$1011) ) + SUM( ($E$1016:$E$1039=$E$1427)*($A$1016:$A$1039=$A1624) * ($D$1016:$D$1039=$D1624)*(K$1016:K$1039) ) )</f>
        <v>4.0668823075610005E-5</v>
      </c>
      <c r="L1624" s="1379">
        <f t="array" ref="L1624" xml:space="preserve"> SUM(EF[N2O] * (EF[SATIM Code]= $D1624))  * (SUM( ($A$768:$A$846=$A1624) * ($D$768:$D$846= $D1624) * (L$768:L$846) )  +  SUM( ($A$933:$A$1011=$A1624) * ($D$933:$D$1011= $D1624) * (L$933:L$1011) ) + SUM( ($E$1016:$E$1039=$E$1427)*($A$1016:$A$1039=$A1624) * ($D$1016:$D$1039=$D1624)*(L$1016:L$1039) ) )</f>
        <v>5.2143051406638066E-5</v>
      </c>
      <c r="M1624" s="1379">
        <f t="array" ref="M1624" xml:space="preserve"> SUM(EF[N2O] * (EF[SATIM Code]= $D1624))  * (SUM( ($A$768:$A$846=$A1624) * ($D$768:$D$846= $D1624) * (M$768:M$846) )  +  SUM( ($A$933:$A$1011=$A1624) * ($D$933:$D$1011= $D1624) * (M$933:M$1011) ) + SUM( ($E$1016:$E$1039=$E$1427)*($A$1016:$A$1039=$A1624) * ($D$1016:$D$1039=$D1624)*(M$1016:M$1039) ) )</f>
        <v>6.3617279737666134E-5</v>
      </c>
      <c r="N1624" s="1379">
        <f t="array" ref="N1624" xml:space="preserve"> SUM(EF[N2O] * (EF[SATIM Code]= $D1624))  * (SUM( ($A$768:$A$846=$A1624) * ($D$768:$D$846= $D1624) * (N$768:N$846) )  +  SUM( ($A$933:$A$1011=$A1624) * ($D$933:$D$1011= $D1624) * (N$933:N$1011) ) + SUM( ($E$1016:$E$1039=$E$1427)*($A$1016:$A$1039=$A1624) * ($D$1016:$D$1039=$D1624)*(N$1016:N$1039) ) )</f>
        <v>7.7435408896564672E-5</v>
      </c>
      <c r="O1624" s="1379">
        <f t="array" ref="O1624" xml:space="preserve"> SUM(EF[N2O] * (EF[SATIM Code]= $D1624))  * (SUM( ($A$768:$A$846=$A1624) * ($D$768:$D$846= $D1624) * (O$768:O$846) )  +  SUM( ($A$933:$A$1011=$A1624) * ($D$933:$D$1011= $D1624) * (O$933:O$1011) ) + SUM( ($E$1016:$E$1039=$E$1427)*($A$1016:$A$1039=$A1624) * ($D$1016:$D$1039=$D1624)*(O$1016:O$1039) ) )</f>
        <v>9.1253538055463209E-5</v>
      </c>
    </row>
    <row r="1625" spans="1:15" s="19" customFormat="1" hidden="1" outlineLevel="1">
      <c r="A1625" s="19" t="str">
        <f t="shared" si="308"/>
        <v>MI</v>
      </c>
      <c r="B1625" s="1400" t="str">
        <f>INDEX(EF[UK Vector],MATCH(D1625,EF[SATIM Code],0))</f>
        <v>V.04</v>
      </c>
      <c r="C1625" s="1401" t="str">
        <f>INDEX(Vectors[Description], MATCH($B1625, Vectors[Code], 0))</f>
        <v>Liquid hydrocarbons</v>
      </c>
      <c r="D1625" s="1391" t="s">
        <v>886</v>
      </c>
      <c r="E1625" s="1393"/>
      <c r="F1625" s="1379">
        <f t="array" ref="F1625" xml:space="preserve"> SUM(EF[N2O] * (EF[SATIM Code]= $D1625))  * (SUM( ($A$768:$A$846=$A1625) * ($D$768:$D$846= $D1625) * (F$768:F$846) )  +  SUM( ($A$933:$A$1011=$A1625) * ($D$933:$D$1011= $D1625) * (F$933:F$1011) ) + SUM( ($E$1016:$E$1039=$E$1427)*($A$1016:$A$1039=$A1625) * ($D$1016:$D$1039=$D1625)*(F$1016:F$1039) ) )</f>
        <v>5.2357430009340004E-3</v>
      </c>
      <c r="G1625" s="1379">
        <f t="array" ref="G1625" xml:space="preserve"> SUM(EF[N2O] * (EF[SATIM Code]= $D1625))  * (SUM( ($A$768:$A$846=$A1625) * ($D$768:$D$846= $D1625) * (G$768:G$846) )  +  SUM( ($A$933:$A$1011=$A1625) * ($D$933:$D$1011= $D1625) * (G$933:G$1011) ) + SUM( ($E$1016:$E$1039=$E$1427)*($A$1016:$A$1039=$A1625) * ($D$1016:$D$1039=$D1625)*(G$1016:G$1039) ) )</f>
        <v>6.1519142812021992E-3</v>
      </c>
      <c r="H1625" s="1379">
        <f t="array" ref="H1625" xml:space="preserve"> SUM(EF[N2O] * (EF[SATIM Code]= $D1625))  * (SUM( ($A$768:$A$846=$A1625) * ($D$768:$D$846= $D1625) * (H$768:H$846) )  +  SUM( ($A$933:$A$1011=$A1625) * ($D$933:$D$1011= $D1625) * (H$933:H$1011) ) + SUM( ($E$1016:$E$1039=$E$1427)*($A$1016:$A$1039=$A1625) * ($D$1016:$D$1039=$D1625)*(H$1016:H$1039) ) )</f>
        <v>7.5512548193476161E-3</v>
      </c>
      <c r="I1625" s="1379">
        <f t="array" ref="I1625" xml:space="preserve"> SUM(EF[N2O] * (EF[SATIM Code]= $D1625))  * (SUM( ($A$768:$A$846=$A1625) * ($D$768:$D$846= $D1625) * (I$768:I$846) )  +  SUM( ($A$933:$A$1011=$A1625) * ($D$933:$D$1011= $D1625) * (I$933:I$1011) ) + SUM( ($E$1016:$E$1039=$E$1427)*($A$1016:$A$1039=$A1625) * ($D$1016:$D$1039=$D1625)*(I$1016:I$1039) ) )</f>
        <v>9.3914321100760558E-3</v>
      </c>
      <c r="J1625" s="1379">
        <f t="array" ref="J1625" xml:space="preserve"> SUM(EF[N2O] * (EF[SATIM Code]= $D1625))  * (SUM( ($A$768:$A$846=$A1625) * ($D$768:$D$846= $D1625) * (J$768:J$846) )  +  SUM( ($A$933:$A$1011=$A1625) * ($D$933:$D$1011= $D1625) * (J$933:J$1011) ) + SUM( ($E$1016:$E$1039=$E$1427)*($A$1016:$A$1039=$A1625) * ($D$1016:$D$1039=$D1625)*(J$1016:J$1039) ) )</f>
        <v>1.1779878070268189E-2</v>
      </c>
      <c r="K1625" s="1379">
        <f t="array" ref="K1625" xml:space="preserve"> SUM(EF[N2O] * (EF[SATIM Code]= $D1625))  * (SUM( ($A$768:$A$846=$A1625) * ($D$768:$D$846= $D1625) * (K$768:K$846) )  +  SUM( ($A$933:$A$1011=$A1625) * ($D$933:$D$1011= $D1625) * (K$933:K$1011) ) + SUM( ($E$1016:$E$1039=$E$1427)*($A$1016:$A$1039=$A1625) * ($D$1016:$D$1039=$D1625)*(K$1016:K$1039) ) )</f>
        <v>1.4901253531902268E-2</v>
      </c>
      <c r="L1625" s="1379">
        <f t="array" ref="L1625" xml:space="preserve"> SUM(EF[N2O] * (EF[SATIM Code]= $D1625))  * (SUM( ($A$768:$A$846=$A1625) * ($D$768:$D$846= $D1625) * (L$768:L$846) )  +  SUM( ($A$933:$A$1011=$A1625) * ($D$933:$D$1011= $D1625) * (L$933:L$1011) ) + SUM( ($E$1016:$E$1039=$E$1427)*($A$1016:$A$1039=$A1625) * ($D$1016:$D$1039=$D1625)*(L$1016:L$1039) ) )</f>
        <v>1.8851759588892299E-2</v>
      </c>
      <c r="M1625" s="1379">
        <f t="array" ref="M1625" xml:space="preserve"> SUM(EF[N2O] * (EF[SATIM Code]= $D1625))  * (SUM( ($A$768:$A$846=$A1625) * ($D$768:$D$846= $D1625) * (M$768:M$846) )  +  SUM( ($A$933:$A$1011=$A1625) * ($D$933:$D$1011= $D1625) * (M$933:M$1011) ) + SUM( ($E$1016:$E$1039=$E$1427)*($A$1016:$A$1039=$A1625) * ($D$1016:$D$1039=$D1625)*(M$1016:M$1039) ) )</f>
        <v>2.3378627879135527E-2</v>
      </c>
      <c r="N1625" s="1379">
        <f t="array" ref="N1625" xml:space="preserve"> SUM(EF[N2O] * (EF[SATIM Code]= $D1625))  * (SUM( ($A$768:$A$846=$A1625) * ($D$768:$D$846= $D1625) * (N$768:N$846) )  +  SUM( ($A$933:$A$1011=$A1625) * ($D$933:$D$1011= $D1625) * (N$933:N$1011) ) + SUM( ($E$1016:$E$1039=$E$1427)*($A$1016:$A$1039=$A1625) * ($D$1016:$D$1039=$D1625)*(N$1016:N$1039) ) )</f>
        <v>2.8217960509521963E-2</v>
      </c>
      <c r="O1625" s="1379">
        <f t="array" ref="O1625" xml:space="preserve"> SUM(EF[N2O] * (EF[SATIM Code]= $D1625))  * (SUM( ($A$768:$A$846=$A1625) * ($D$768:$D$846= $D1625) * (O$768:O$846) )  +  SUM( ($A$933:$A$1011=$A1625) * ($D$933:$D$1011= $D1625) * (O$933:O$1011) ) + SUM( ($E$1016:$E$1039=$E$1427)*($A$1016:$A$1039=$A1625) * ($D$1016:$D$1039=$D1625)*(O$1016:O$1039) ) )</f>
        <v>3.3577072962433611E-2</v>
      </c>
    </row>
    <row r="1626" spans="1:15" s="19" customFormat="1" hidden="1" outlineLevel="1">
      <c r="A1626" s="19" t="str">
        <f t="shared" si="308"/>
        <v>MI</v>
      </c>
      <c r="B1626" s="1400" t="str">
        <f>INDEX(EF[UK Vector],MATCH(D1626,EF[SATIM Code],0))</f>
        <v>V.04</v>
      </c>
      <c r="C1626" s="1401" t="str">
        <f>INDEX(Vectors[Description], MATCH($B1626, Vectors[Code], 0))</f>
        <v>Liquid hydrocarbons</v>
      </c>
      <c r="D1626" s="1406" t="s">
        <v>887</v>
      </c>
      <c r="E1626" s="1393"/>
      <c r="F1626" s="1379">
        <f t="array" ref="F1626" xml:space="preserve"> SUM(EF[N2O] * (EF[SATIM Code]= $D1626))  * (SUM( ($A$768:$A$846=$A1626) * ($D$768:$D$846= $D1626) * (F$768:F$846) )  +  SUM( ($A$933:$A$1011=$A1626) * ($D$933:$D$1011= $D1626) * (F$933:F$1011) ) + SUM( ($E$1016:$E$1039=$E$1427)*($A$1016:$A$1039=$A1626) * ($D$1016:$D$1039=$D1626)*(F$1016:F$1039) ) )</f>
        <v>1.9086761999999997E-9</v>
      </c>
      <c r="G1626" s="1379">
        <f t="array" ref="G1626" xml:space="preserve"> SUM(EF[N2O] * (EF[SATIM Code]= $D1626))  * (SUM( ($A$768:$A$846=$A1626) * ($D$768:$D$846= $D1626) * (G$768:G$846) )  +  SUM( ($A$933:$A$1011=$A1626) * ($D$933:$D$1011= $D1626) * (G$933:G$1011) ) + SUM( ($E$1016:$E$1039=$E$1427)*($A$1016:$A$1039=$A1626) * ($D$1016:$D$1039=$D1626)*(G$1016:G$1039) ) )</f>
        <v>2.2418793303822342E-9</v>
      </c>
      <c r="H1626" s="1379">
        <f t="array" ref="H1626" xml:space="preserve"> SUM(EF[N2O] * (EF[SATIM Code]= $D1626))  * (SUM( ($A$768:$A$846=$A1626) * ($D$768:$D$846= $D1626) * (H$768:H$846) )  +  SUM( ($A$933:$A$1011=$A1626) * ($D$933:$D$1011= $D1626) * (H$933:H$1011) ) + SUM( ($E$1016:$E$1039=$E$1427)*($A$1016:$A$1039=$A1626) * ($D$1016:$D$1039=$D1626)*(H$1016:H$1039) ) )</f>
        <v>2.8289007168212164E-9</v>
      </c>
      <c r="I1626" s="1379">
        <f t="array" ref="I1626" xml:space="preserve"> SUM(EF[N2O] * (EF[SATIM Code]= $D1626))  * (SUM( ($A$768:$A$846=$A1626) * ($D$768:$D$846= $D1626) * (I$768:I$846) )  +  SUM( ($A$933:$A$1011=$A1626) * ($D$933:$D$1011= $D1626) * (I$933:I$1011) ) + SUM( ($E$1016:$E$1039=$E$1427)*($A$1016:$A$1039=$A1626) * ($D$1016:$D$1039=$D1626)*(I$1016:I$1039) ) )</f>
        <v>3.4159221032601981E-9</v>
      </c>
      <c r="J1626" s="1379">
        <f t="array" ref="J1626" xml:space="preserve"> SUM(EF[N2O] * (EF[SATIM Code]= $D1626))  * (SUM( ($A$768:$A$846=$A1626) * ($D$768:$D$846= $D1626) * (J$768:J$846) )  +  SUM( ($A$933:$A$1011=$A1626) * ($D$933:$D$1011= $D1626) * (J$933:J$1011) ) + SUM( ($E$1016:$E$1039=$E$1427)*($A$1016:$A$1039=$A1626) * ($D$1016:$D$1039=$D1626)*(J$1016:J$1039) ) )</f>
        <v>4.408542593054323E-9</v>
      </c>
      <c r="K1626" s="1379">
        <f t="array" ref="K1626" xml:space="preserve"> SUM(EF[N2O] * (EF[SATIM Code]= $D1626))  * (SUM( ($A$768:$A$846=$A1626) * ($D$768:$D$846= $D1626) * (K$768:K$846) )  +  SUM( ($A$933:$A$1011=$A1626) * ($D$933:$D$1011= $D1626) * (K$933:K$1011) ) + SUM( ($E$1016:$E$1039=$E$1427)*($A$1016:$A$1039=$A1626) * ($D$1016:$D$1039=$D1626)*(K$1016:K$1039) ) )</f>
        <v>5.4011630828484486E-9</v>
      </c>
      <c r="L1626" s="1379">
        <f t="array" ref="L1626" xml:space="preserve"> SUM(EF[N2O] * (EF[SATIM Code]= $D1626))  * (SUM( ($A$768:$A$846=$A1626) * ($D$768:$D$846= $D1626) * (L$768:L$846) )  +  SUM( ($A$933:$A$1011=$A1626) * ($D$933:$D$1011= $D1626) * (L$933:L$1011) ) + SUM( ($E$1016:$E$1039=$E$1427)*($A$1016:$A$1039=$A1626) * ($D$1016:$D$1039=$D1626)*(L$1016:L$1039) ) )</f>
        <v>6.925037485373016E-9</v>
      </c>
      <c r="M1626" s="1379">
        <f t="array" ref="M1626" xml:space="preserve"> SUM(EF[N2O] * (EF[SATIM Code]= $D1626))  * (SUM( ($A$768:$A$846=$A1626) * ($D$768:$D$846= $D1626) * (M$768:M$846) )  +  SUM( ($A$933:$A$1011=$A1626) * ($D$933:$D$1011= $D1626) * (M$933:M$1011) ) + SUM( ($E$1016:$E$1039=$E$1427)*($A$1016:$A$1039=$A1626) * ($D$1016:$D$1039=$D1626)*(M$1016:M$1039) ) )</f>
        <v>8.4489118878975834E-9</v>
      </c>
      <c r="N1626" s="1379">
        <f t="array" ref="N1626" xml:space="preserve"> SUM(EF[N2O] * (EF[SATIM Code]= $D1626))  * (SUM( ($A$768:$A$846=$A1626) * ($D$768:$D$846= $D1626) * (N$768:N$846) )  +  SUM( ($A$933:$A$1011=$A1626) * ($D$933:$D$1011= $D1626) * (N$933:N$1011) ) + SUM( ($E$1016:$E$1039=$E$1427)*($A$1016:$A$1039=$A1626) * ($D$1016:$D$1039=$D1626)*(N$1016:N$1039) ) )</f>
        <v>1.0284076110582802E-8</v>
      </c>
      <c r="O1626" s="1379">
        <f t="array" ref="O1626" xml:space="preserve"> SUM(EF[N2O] * (EF[SATIM Code]= $D1626))  * (SUM( ($A$768:$A$846=$A1626) * ($D$768:$D$846= $D1626) * (O$768:O$846) )  +  SUM( ($A$933:$A$1011=$A1626) * ($D$933:$D$1011= $D1626) * (O$933:O$1011) ) + SUM( ($E$1016:$E$1039=$E$1427)*($A$1016:$A$1039=$A1626) * ($D$1016:$D$1039=$D1626)*(O$1016:O$1039) ) )</f>
        <v>1.2119240333268021E-8</v>
      </c>
    </row>
    <row r="1627" spans="1:15" s="19" customFormat="1" hidden="1" outlineLevel="1">
      <c r="A1627" s="19" t="str">
        <f t="shared" si="308"/>
        <v>MI</v>
      </c>
      <c r="B1627" s="1400" t="str">
        <f>INDEX(EF[UK Vector],MATCH(D1627,EF[SATIM Code],0))</f>
        <v>V.09</v>
      </c>
      <c r="C1627" s="1401" t="str">
        <f>INDEX(Vectors[Description], MATCH($B1627, Vectors[Code], 0))</f>
        <v>Dry biomass and waste</v>
      </c>
      <c r="D1627" s="1406" t="s">
        <v>888</v>
      </c>
      <c r="E1627" s="1393"/>
      <c r="F1627" s="1379">
        <f t="array" ref="F1627" xml:space="preserve"> SUM(EF[N2O] * (EF[SATIM Code]= $D1627))  * (SUM( ($A$768:$A$846=$A1627) * ($D$768:$D$846= $D1627) * (F$768:F$846) )  +  SUM( ($A$933:$A$1011=$A1627) * ($D$933:$D$1011= $D1627) * (F$933:F$1011) ) + SUM( ($E$1016:$E$1039=$E$1427)*($A$1016:$A$1039=$A1627) * ($D$1016:$D$1039=$D1627)*(F$1016:F$1039) ) )</f>
        <v>0</v>
      </c>
      <c r="G1627" s="1379">
        <f t="array" ref="G1627" xml:space="preserve"> SUM(EF[N2O] * (EF[SATIM Code]= $D1627))  * (SUM( ($A$768:$A$846=$A1627) * ($D$768:$D$846= $D1627) * (G$768:G$846) )  +  SUM( ($A$933:$A$1011=$A1627) * ($D$933:$D$1011= $D1627) * (G$933:G$1011) ) + SUM( ($E$1016:$E$1039=$E$1427)*($A$1016:$A$1039=$A1627) * ($D$1016:$D$1039=$D1627)*(G$1016:G$1039) ) )</f>
        <v>0</v>
      </c>
      <c r="H1627" s="1379">
        <f t="array" ref="H1627" xml:space="preserve"> SUM(EF[N2O] * (EF[SATIM Code]= $D1627))  * (SUM( ($A$768:$A$846=$A1627) * ($D$768:$D$846= $D1627) * (H$768:H$846) )  +  SUM( ($A$933:$A$1011=$A1627) * ($D$933:$D$1011= $D1627) * (H$933:H$1011) ) + SUM( ($E$1016:$E$1039=$E$1427)*($A$1016:$A$1039=$A1627) * ($D$1016:$D$1039=$D1627)*(H$1016:H$1039) ) )</f>
        <v>0</v>
      </c>
      <c r="I1627" s="1379">
        <f t="array" ref="I1627" xml:space="preserve"> SUM(EF[N2O] * (EF[SATIM Code]= $D1627))  * (SUM( ($A$768:$A$846=$A1627) * ($D$768:$D$846= $D1627) * (I$768:I$846) )  +  SUM( ($A$933:$A$1011=$A1627) * ($D$933:$D$1011= $D1627) * (I$933:I$1011) ) + SUM( ($E$1016:$E$1039=$E$1427)*($A$1016:$A$1039=$A1627) * ($D$1016:$D$1039=$D1627)*(I$1016:I$1039) ) )</f>
        <v>0</v>
      </c>
      <c r="J1627" s="1379">
        <f t="array" ref="J1627" xml:space="preserve"> SUM(EF[N2O] * (EF[SATIM Code]= $D1627))  * (SUM( ($A$768:$A$846=$A1627) * ($D$768:$D$846= $D1627) * (J$768:J$846) )  +  SUM( ($A$933:$A$1011=$A1627) * ($D$933:$D$1011= $D1627) * (J$933:J$1011) ) + SUM( ($E$1016:$E$1039=$E$1427)*($A$1016:$A$1039=$A1627) * ($D$1016:$D$1039=$D1627)*(J$1016:J$1039) ) )</f>
        <v>0</v>
      </c>
      <c r="K1627" s="1379">
        <f t="array" ref="K1627" xml:space="preserve"> SUM(EF[N2O] * (EF[SATIM Code]= $D1627))  * (SUM( ($A$768:$A$846=$A1627) * ($D$768:$D$846= $D1627) * (K$768:K$846) )  +  SUM( ($A$933:$A$1011=$A1627) * ($D$933:$D$1011= $D1627) * (K$933:K$1011) ) + SUM( ($E$1016:$E$1039=$E$1427)*($A$1016:$A$1039=$A1627) * ($D$1016:$D$1039=$D1627)*(K$1016:K$1039) ) )</f>
        <v>0</v>
      </c>
      <c r="L1627" s="1379">
        <f t="array" ref="L1627" xml:space="preserve"> SUM(EF[N2O] * (EF[SATIM Code]= $D1627))  * (SUM( ($A$768:$A$846=$A1627) * ($D$768:$D$846= $D1627) * (L$768:L$846) )  +  SUM( ($A$933:$A$1011=$A1627) * ($D$933:$D$1011= $D1627) * (L$933:L$1011) ) + SUM( ($E$1016:$E$1039=$E$1427)*($A$1016:$A$1039=$A1627) * ($D$1016:$D$1039=$D1627)*(L$1016:L$1039) ) )</f>
        <v>0</v>
      </c>
      <c r="M1627" s="1379">
        <f t="array" ref="M1627" xml:space="preserve"> SUM(EF[N2O] * (EF[SATIM Code]= $D1627))  * (SUM( ($A$768:$A$846=$A1627) * ($D$768:$D$846= $D1627) * (M$768:M$846) )  +  SUM( ($A$933:$A$1011=$A1627) * ($D$933:$D$1011= $D1627) * (M$933:M$1011) ) + SUM( ($E$1016:$E$1039=$E$1427)*($A$1016:$A$1039=$A1627) * ($D$1016:$D$1039=$D1627)*(M$1016:M$1039) ) )</f>
        <v>0</v>
      </c>
      <c r="N1627" s="1379">
        <f t="array" ref="N1627" xml:space="preserve"> SUM(EF[N2O] * (EF[SATIM Code]= $D1627))  * (SUM( ($A$768:$A$846=$A1627) * ($D$768:$D$846= $D1627) * (N$768:N$846) )  +  SUM( ($A$933:$A$1011=$A1627) * ($D$933:$D$1011= $D1627) * (N$933:N$1011) ) + SUM( ($E$1016:$E$1039=$E$1427)*($A$1016:$A$1039=$A1627) * ($D$1016:$D$1039=$D1627)*(N$1016:N$1039) ) )</f>
        <v>0</v>
      </c>
      <c r="O1627" s="1379">
        <f t="array" ref="O1627" xml:space="preserve"> SUM(EF[N2O] * (EF[SATIM Code]= $D1627))  * (SUM( ($A$768:$A$846=$A1627) * ($D$768:$D$846= $D1627) * (O$768:O$846) )  +  SUM( ($A$933:$A$1011=$A1627) * ($D$933:$D$1011= $D1627) * (O$933:O$1011) ) + SUM( ($E$1016:$E$1039=$E$1427)*($A$1016:$A$1039=$A1627) * ($D$1016:$D$1039=$D1627)*(O$1016:O$1039) ) )</f>
        <v>0</v>
      </c>
    </row>
    <row r="1628" spans="1:15" s="19" customFormat="1" hidden="1" outlineLevel="1">
      <c r="A1628" s="19" t="str">
        <f t="shared" si="308"/>
        <v>MI</v>
      </c>
      <c r="B1628" s="1400" t="str">
        <f>INDEX(EF[UK Vector],MATCH(D1628,EF[SATIM Code],0))</f>
        <v>V.09</v>
      </c>
      <c r="C1628" s="1401" t="str">
        <f>INDEX(Vectors[Description], MATCH($B1628, Vectors[Code], 0))</f>
        <v>Dry biomass and waste</v>
      </c>
      <c r="D1628" s="1388" t="s">
        <v>889</v>
      </c>
      <c r="E1628" s="1393"/>
      <c r="F1628" s="1379">
        <f t="array" ref="F1628" xml:space="preserve"> SUM(EF[N2O] * (EF[SATIM Code]= $D1628))  * (SUM( ($A$768:$A$846=$A1628) * ($D$768:$D$846= $D1628) * (F$768:F$846) )  +  SUM( ($A$933:$A$1011=$A1628) * ($D$933:$D$1011= $D1628) * (F$933:F$1011) ) + SUM( ($E$1016:$E$1039=$E$1427)*($A$1016:$A$1039=$A1628) * ($D$1016:$D$1039=$D1628)*(F$1016:F$1039) ) )</f>
        <v>0</v>
      </c>
      <c r="G1628" s="1379">
        <f t="array" ref="G1628" xml:space="preserve"> SUM(EF[N2O] * (EF[SATIM Code]= $D1628))  * (SUM( ($A$768:$A$846=$A1628) * ($D$768:$D$846= $D1628) * (G$768:G$846) )  +  SUM( ($A$933:$A$1011=$A1628) * ($D$933:$D$1011= $D1628) * (G$933:G$1011) ) + SUM( ($E$1016:$E$1039=$E$1427)*($A$1016:$A$1039=$A1628) * ($D$1016:$D$1039=$D1628)*(G$1016:G$1039) ) )</f>
        <v>0</v>
      </c>
      <c r="H1628" s="1379">
        <f t="array" ref="H1628" xml:space="preserve"> SUM(EF[N2O] * (EF[SATIM Code]= $D1628))  * (SUM( ($A$768:$A$846=$A1628) * ($D$768:$D$846= $D1628) * (H$768:H$846) )  +  SUM( ($A$933:$A$1011=$A1628) * ($D$933:$D$1011= $D1628) * (H$933:H$1011) ) + SUM( ($E$1016:$E$1039=$E$1427)*($A$1016:$A$1039=$A1628) * ($D$1016:$D$1039=$D1628)*(H$1016:H$1039) ) )</f>
        <v>0</v>
      </c>
      <c r="I1628" s="1379">
        <f t="array" ref="I1628" xml:space="preserve"> SUM(EF[N2O] * (EF[SATIM Code]= $D1628))  * (SUM( ($A$768:$A$846=$A1628) * ($D$768:$D$846= $D1628) * (I$768:I$846) )  +  SUM( ($A$933:$A$1011=$A1628) * ($D$933:$D$1011= $D1628) * (I$933:I$1011) ) + SUM( ($E$1016:$E$1039=$E$1427)*($A$1016:$A$1039=$A1628) * ($D$1016:$D$1039=$D1628)*(I$1016:I$1039) ) )</f>
        <v>0</v>
      </c>
      <c r="J1628" s="1379">
        <f t="array" ref="J1628" xml:space="preserve"> SUM(EF[N2O] * (EF[SATIM Code]= $D1628))  * (SUM( ($A$768:$A$846=$A1628) * ($D$768:$D$846= $D1628) * (J$768:J$846) )  +  SUM( ($A$933:$A$1011=$A1628) * ($D$933:$D$1011= $D1628) * (J$933:J$1011) ) + SUM( ($E$1016:$E$1039=$E$1427)*($A$1016:$A$1039=$A1628) * ($D$1016:$D$1039=$D1628)*(J$1016:J$1039) ) )</f>
        <v>0</v>
      </c>
      <c r="K1628" s="1379">
        <f t="array" ref="K1628" xml:space="preserve"> SUM(EF[N2O] * (EF[SATIM Code]= $D1628))  * (SUM( ($A$768:$A$846=$A1628) * ($D$768:$D$846= $D1628) * (K$768:K$846) )  +  SUM( ($A$933:$A$1011=$A1628) * ($D$933:$D$1011= $D1628) * (K$933:K$1011) ) + SUM( ($E$1016:$E$1039=$E$1427)*($A$1016:$A$1039=$A1628) * ($D$1016:$D$1039=$D1628)*(K$1016:K$1039) ) )</f>
        <v>0</v>
      </c>
      <c r="L1628" s="1379">
        <f t="array" ref="L1628" xml:space="preserve"> SUM(EF[N2O] * (EF[SATIM Code]= $D1628))  * (SUM( ($A$768:$A$846=$A1628) * ($D$768:$D$846= $D1628) * (L$768:L$846) )  +  SUM( ($A$933:$A$1011=$A1628) * ($D$933:$D$1011= $D1628) * (L$933:L$1011) ) + SUM( ($E$1016:$E$1039=$E$1427)*($A$1016:$A$1039=$A1628) * ($D$1016:$D$1039=$D1628)*(L$1016:L$1039) ) )</f>
        <v>0</v>
      </c>
      <c r="M1628" s="1379">
        <f t="array" ref="M1628" xml:space="preserve"> SUM(EF[N2O] * (EF[SATIM Code]= $D1628))  * (SUM( ($A$768:$A$846=$A1628) * ($D$768:$D$846= $D1628) * (M$768:M$846) )  +  SUM( ($A$933:$A$1011=$A1628) * ($D$933:$D$1011= $D1628) * (M$933:M$1011) ) + SUM( ($E$1016:$E$1039=$E$1427)*($A$1016:$A$1039=$A1628) * ($D$1016:$D$1039=$D1628)*(M$1016:M$1039) ) )</f>
        <v>0</v>
      </c>
      <c r="N1628" s="1379">
        <f t="array" ref="N1628" xml:space="preserve"> SUM(EF[N2O] * (EF[SATIM Code]= $D1628))  * (SUM( ($A$768:$A$846=$A1628) * ($D$768:$D$846= $D1628) * (N$768:N$846) )  +  SUM( ($A$933:$A$1011=$A1628) * ($D$933:$D$1011= $D1628) * (N$933:N$1011) ) + SUM( ($E$1016:$E$1039=$E$1427)*($A$1016:$A$1039=$A1628) * ($D$1016:$D$1039=$D1628)*(N$1016:N$1039) ) )</f>
        <v>0</v>
      </c>
      <c r="O1628" s="1379">
        <f t="array" ref="O1628" xml:space="preserve"> SUM(EF[N2O] * (EF[SATIM Code]= $D1628))  * (SUM( ($A$768:$A$846=$A1628) * ($D$768:$D$846= $D1628) * (O$768:O$846) )  +  SUM( ($A$933:$A$1011=$A1628) * ($D$933:$D$1011= $D1628) * (O$933:O$1011) ) + SUM( ($E$1016:$E$1039=$E$1427)*($A$1016:$A$1039=$A1628) * ($D$1016:$D$1039=$D1628)*(O$1016:O$1039) ) )</f>
        <v>0</v>
      </c>
    </row>
    <row r="1629" spans="1:15" s="19" customFormat="1" hidden="1" outlineLevel="1">
      <c r="A1629" s="19" t="str">
        <f t="shared" si="308"/>
        <v>MI</v>
      </c>
      <c r="B1629" s="1400" t="str">
        <f>INDEX(EF[UK Vector],MATCH(D1629,EF[SATIM Code],0))</f>
        <v>V.16</v>
      </c>
      <c r="C1629" s="1401" t="str">
        <f>INDEX(Vectors[Description], MATCH($B1629, Vectors[Code], 0))</f>
        <v>Other Waste</v>
      </c>
      <c r="D1629" s="1408" t="s">
        <v>890</v>
      </c>
      <c r="E1629" s="1393"/>
      <c r="F1629" s="1379">
        <f t="array" ref="F1629" xml:space="preserve"> SUM(EF[N2O] * (EF[SATIM Code]= $D1629))  * (SUM( ($A$768:$A$846=$A1629) * ($D$768:$D$846= $D1629) * (F$768:F$846) )  +  SUM( ($A$933:$A$1011=$A1629) * ($D$933:$D$1011= $D1629) * (F$933:F$1011) ) + SUM( ($E$1016:$E$1039=$E$1427)*($A$1016:$A$1039=$A1629) * ($D$1016:$D$1039=$D1629)*(F$1016:F$1039) ) )</f>
        <v>0</v>
      </c>
      <c r="G1629" s="1379">
        <f t="array" ref="G1629" xml:space="preserve"> SUM(EF[N2O] * (EF[SATIM Code]= $D1629))  * (SUM( ($A$768:$A$846=$A1629) * ($D$768:$D$846= $D1629) * (G$768:G$846) )  +  SUM( ($A$933:$A$1011=$A1629) * ($D$933:$D$1011= $D1629) * (G$933:G$1011) ) + SUM( ($E$1016:$E$1039=$E$1427)*($A$1016:$A$1039=$A1629) * ($D$1016:$D$1039=$D1629)*(G$1016:G$1039) ) )</f>
        <v>0</v>
      </c>
      <c r="H1629" s="1379">
        <f t="array" ref="H1629" xml:space="preserve"> SUM(EF[N2O] * (EF[SATIM Code]= $D1629))  * (SUM( ($A$768:$A$846=$A1629) * ($D$768:$D$846= $D1629) * (H$768:H$846) )  +  SUM( ($A$933:$A$1011=$A1629) * ($D$933:$D$1011= $D1629) * (H$933:H$1011) ) + SUM( ($E$1016:$E$1039=$E$1427)*($A$1016:$A$1039=$A1629) * ($D$1016:$D$1039=$D1629)*(H$1016:H$1039) ) )</f>
        <v>0</v>
      </c>
      <c r="I1629" s="1379">
        <f t="array" ref="I1629" xml:space="preserve"> SUM(EF[N2O] * (EF[SATIM Code]= $D1629))  * (SUM( ($A$768:$A$846=$A1629) * ($D$768:$D$846= $D1629) * (I$768:I$846) )  +  SUM( ($A$933:$A$1011=$A1629) * ($D$933:$D$1011= $D1629) * (I$933:I$1011) ) + SUM( ($E$1016:$E$1039=$E$1427)*($A$1016:$A$1039=$A1629) * ($D$1016:$D$1039=$D1629)*(I$1016:I$1039) ) )</f>
        <v>0</v>
      </c>
      <c r="J1629" s="1379">
        <f t="array" ref="J1629" xml:space="preserve"> SUM(EF[N2O] * (EF[SATIM Code]= $D1629))  * (SUM( ($A$768:$A$846=$A1629) * ($D$768:$D$846= $D1629) * (J$768:J$846) )  +  SUM( ($A$933:$A$1011=$A1629) * ($D$933:$D$1011= $D1629) * (J$933:J$1011) ) + SUM( ($E$1016:$E$1039=$E$1427)*($A$1016:$A$1039=$A1629) * ($D$1016:$D$1039=$D1629)*(J$1016:J$1039) ) )</f>
        <v>0</v>
      </c>
      <c r="K1629" s="1379">
        <f t="array" ref="K1629" xml:space="preserve"> SUM(EF[N2O] * (EF[SATIM Code]= $D1629))  * (SUM( ($A$768:$A$846=$A1629) * ($D$768:$D$846= $D1629) * (K$768:K$846) )  +  SUM( ($A$933:$A$1011=$A1629) * ($D$933:$D$1011= $D1629) * (K$933:K$1011) ) + SUM( ($E$1016:$E$1039=$E$1427)*($A$1016:$A$1039=$A1629) * ($D$1016:$D$1039=$D1629)*(K$1016:K$1039) ) )</f>
        <v>0</v>
      </c>
      <c r="L1629" s="1379">
        <f t="array" ref="L1629" xml:space="preserve"> SUM(EF[N2O] * (EF[SATIM Code]= $D1629))  * (SUM( ($A$768:$A$846=$A1629) * ($D$768:$D$846= $D1629) * (L$768:L$846) )  +  SUM( ($A$933:$A$1011=$A1629) * ($D$933:$D$1011= $D1629) * (L$933:L$1011) ) + SUM( ($E$1016:$E$1039=$E$1427)*($A$1016:$A$1039=$A1629) * ($D$1016:$D$1039=$D1629)*(L$1016:L$1039) ) )</f>
        <v>0</v>
      </c>
      <c r="M1629" s="1379">
        <f t="array" ref="M1629" xml:space="preserve"> SUM(EF[N2O] * (EF[SATIM Code]= $D1629))  * (SUM( ($A$768:$A$846=$A1629) * ($D$768:$D$846= $D1629) * (M$768:M$846) )  +  SUM( ($A$933:$A$1011=$A1629) * ($D$933:$D$1011= $D1629) * (M$933:M$1011) ) + SUM( ($E$1016:$E$1039=$E$1427)*($A$1016:$A$1039=$A1629) * ($D$1016:$D$1039=$D1629)*(M$1016:M$1039) ) )</f>
        <v>0</v>
      </c>
      <c r="N1629" s="1379">
        <f t="array" ref="N1629" xml:space="preserve"> SUM(EF[N2O] * (EF[SATIM Code]= $D1629))  * (SUM( ($A$768:$A$846=$A1629) * ($D$768:$D$846= $D1629) * (N$768:N$846) )  +  SUM( ($A$933:$A$1011=$A1629) * ($D$933:$D$1011= $D1629) * (N$933:N$1011) ) + SUM( ($E$1016:$E$1039=$E$1427)*($A$1016:$A$1039=$A1629) * ($D$1016:$D$1039=$D1629)*(N$1016:N$1039) ) )</f>
        <v>0</v>
      </c>
      <c r="O1629" s="1379">
        <f t="array" ref="O1629" xml:space="preserve"> SUM(EF[N2O] * (EF[SATIM Code]= $D1629))  * (SUM( ($A$768:$A$846=$A1629) * ($D$768:$D$846= $D1629) * (O$768:O$846) )  +  SUM( ($A$933:$A$1011=$A1629) * ($D$933:$D$1011= $D1629) * (O$933:O$1011) ) + SUM( ($E$1016:$E$1039=$E$1427)*($A$1016:$A$1039=$A1629) * ($D$1016:$D$1039=$D1629)*(O$1016:O$1039) ) )</f>
        <v>0</v>
      </c>
    </row>
    <row r="1630" spans="1:15" s="19" customFormat="1" hidden="1" outlineLevel="1">
      <c r="B1630" s="1393"/>
      <c r="C1630" s="1407" t="str">
        <f>D21</f>
        <v>Iron  &amp; Steel  - 351</v>
      </c>
      <c r="D1630" s="1391"/>
      <c r="E1630" s="1393"/>
      <c r="F1630" s="1379">
        <f t="array" ref="F1630" xml:space="preserve"> SUM(EF[N2O] * (EF[SATIM Code]= $D1630))  * (SUM( ($A$768:$A$846=$A1630) * ($D$768:$D$846= $D1630) * (F$768:F$846) )  +  SUM( ($A$933:$A$1011=$A1630) * ($D$933:$D$1011= $D1630) * (F$933:F$1011) ) + SUM( ($E$1016:$E$1039=$E$1427)*($A$1016:$A$1039=$A1630) * ($D$1016:$D$1039=$D1630)*(F$1016:F$1039) ) )</f>
        <v>0</v>
      </c>
      <c r="G1630" s="1379">
        <f t="array" ref="G1630" xml:space="preserve"> SUM(EF[N2O] * (EF[SATIM Code]= $D1630))  * (SUM( ($A$768:$A$846=$A1630) * ($D$768:$D$846= $D1630) * (G$768:G$846) )  +  SUM( ($A$933:$A$1011=$A1630) * ($D$933:$D$1011= $D1630) * (G$933:G$1011) ) + SUM( ($E$1016:$E$1039=$E$1427)*($A$1016:$A$1039=$A1630) * ($D$1016:$D$1039=$D1630)*(G$1016:G$1039) ) )</f>
        <v>0</v>
      </c>
      <c r="H1630" s="1379">
        <f t="array" ref="H1630" xml:space="preserve"> SUM(EF[N2O] * (EF[SATIM Code]= $D1630))  * (SUM( ($A$768:$A$846=$A1630) * ($D$768:$D$846= $D1630) * (H$768:H$846) )  +  SUM( ($A$933:$A$1011=$A1630) * ($D$933:$D$1011= $D1630) * (H$933:H$1011) ) + SUM( ($E$1016:$E$1039=$E$1427)*($A$1016:$A$1039=$A1630) * ($D$1016:$D$1039=$D1630)*(H$1016:H$1039) ) )</f>
        <v>0</v>
      </c>
      <c r="I1630" s="1379">
        <f t="array" ref="I1630" xml:space="preserve"> SUM(EF[N2O] * (EF[SATIM Code]= $D1630))  * (SUM( ($A$768:$A$846=$A1630) * ($D$768:$D$846= $D1630) * (I$768:I$846) )  +  SUM( ($A$933:$A$1011=$A1630) * ($D$933:$D$1011= $D1630) * (I$933:I$1011) ) + SUM( ($E$1016:$E$1039=$E$1427)*($A$1016:$A$1039=$A1630) * ($D$1016:$D$1039=$D1630)*(I$1016:I$1039) ) )</f>
        <v>0</v>
      </c>
      <c r="J1630" s="1379">
        <f t="array" ref="J1630" xml:space="preserve"> SUM(EF[N2O] * (EF[SATIM Code]= $D1630))  * (SUM( ($A$768:$A$846=$A1630) * ($D$768:$D$846= $D1630) * (J$768:J$846) )  +  SUM( ($A$933:$A$1011=$A1630) * ($D$933:$D$1011= $D1630) * (J$933:J$1011) ) + SUM( ($E$1016:$E$1039=$E$1427)*($A$1016:$A$1039=$A1630) * ($D$1016:$D$1039=$D1630)*(J$1016:J$1039) ) )</f>
        <v>0</v>
      </c>
      <c r="K1630" s="1379">
        <f t="array" ref="K1630" xml:space="preserve"> SUM(EF[N2O] * (EF[SATIM Code]= $D1630))  * (SUM( ($A$768:$A$846=$A1630) * ($D$768:$D$846= $D1630) * (K$768:K$846) )  +  SUM( ($A$933:$A$1011=$A1630) * ($D$933:$D$1011= $D1630) * (K$933:K$1011) ) + SUM( ($E$1016:$E$1039=$E$1427)*($A$1016:$A$1039=$A1630) * ($D$1016:$D$1039=$D1630)*(K$1016:K$1039) ) )</f>
        <v>0</v>
      </c>
      <c r="L1630" s="1379">
        <f t="array" ref="L1630" xml:space="preserve"> SUM(EF[N2O] * (EF[SATIM Code]= $D1630))  * (SUM( ($A$768:$A$846=$A1630) * ($D$768:$D$846= $D1630) * (L$768:L$846) )  +  SUM( ($A$933:$A$1011=$A1630) * ($D$933:$D$1011= $D1630) * (L$933:L$1011) ) + SUM( ($E$1016:$E$1039=$E$1427)*($A$1016:$A$1039=$A1630) * ($D$1016:$D$1039=$D1630)*(L$1016:L$1039) ) )</f>
        <v>0</v>
      </c>
      <c r="M1630" s="1379">
        <f t="array" ref="M1630" xml:space="preserve"> SUM(EF[N2O] * (EF[SATIM Code]= $D1630))  * (SUM( ($A$768:$A$846=$A1630) * ($D$768:$D$846= $D1630) * (M$768:M$846) )  +  SUM( ($A$933:$A$1011=$A1630) * ($D$933:$D$1011= $D1630) * (M$933:M$1011) ) + SUM( ($E$1016:$E$1039=$E$1427)*($A$1016:$A$1039=$A1630) * ($D$1016:$D$1039=$D1630)*(M$1016:M$1039) ) )</f>
        <v>0</v>
      </c>
      <c r="N1630" s="1379">
        <f t="array" ref="N1630" xml:space="preserve"> SUM(EF[N2O] * (EF[SATIM Code]= $D1630))  * (SUM( ($A$768:$A$846=$A1630) * ($D$768:$D$846= $D1630) * (N$768:N$846) )  +  SUM( ($A$933:$A$1011=$A1630) * ($D$933:$D$1011= $D1630) * (N$933:N$1011) ) + SUM( ($E$1016:$E$1039=$E$1427)*($A$1016:$A$1039=$A1630) * ($D$1016:$D$1039=$D1630)*(N$1016:N$1039) ) )</f>
        <v>0</v>
      </c>
      <c r="O1630" s="1379">
        <f t="array" ref="O1630" xml:space="preserve"> SUM(EF[N2O] * (EF[SATIM Code]= $D1630))  * (SUM( ($A$768:$A$846=$A1630) * ($D$768:$D$846= $D1630) * (O$768:O$846) )  +  SUM( ($A$933:$A$1011=$A1630) * ($D$933:$D$1011= $D1630) * (O$933:O$1011) ) + SUM( ($E$1016:$E$1039=$E$1427)*($A$1016:$A$1039=$A1630) * ($D$1016:$D$1039=$D1630)*(O$1016:O$1039) ) )</f>
        <v>0</v>
      </c>
    </row>
    <row r="1631" spans="1:15" s="19" customFormat="1" hidden="1" outlineLevel="1">
      <c r="A1631" s="1438" t="str">
        <f>INDEX($C$20:$C$27,MATCH($C1630,$D$20:$D$27,0))</f>
        <v>IS</v>
      </c>
      <c r="B1631" s="1400" t="str">
        <f>INDEX(EF[UK Vector],MATCH(D1631,EF[SATIM Code],0))</f>
        <v>V.03</v>
      </c>
      <c r="C1631" s="1401" t="str">
        <f>INDEX(Vectors[Description], MATCH($B1631, Vectors[Code], 0))</f>
        <v>Solid hydrocarbons</v>
      </c>
      <c r="D1631" s="1391" t="s">
        <v>882</v>
      </c>
      <c r="E1631" s="1393"/>
      <c r="F1631" s="1379">
        <f t="array" ref="F1631" xml:space="preserve"> SUM(EF[N2O] * (EF[SATIM Code]= $D1631))  * (SUM( ($A$768:$A$846=$A1631) * ($D$768:$D$846= $D1631) * (F$768:F$846) )  +  SUM( ($A$933:$A$1011=$A1631) * ($D$933:$D$1011= $D1631) * (F$933:F$1011) ) + SUM( ($E$1016:$E$1039=$E$1427)*($A$1016:$A$1039=$A1631) * ($D$1016:$D$1039=$D1631)*(F$1016:F$1039) ) )</f>
        <v>5.4410892463789252E-2</v>
      </c>
      <c r="G1631" s="1379">
        <f t="array" ref="G1631" xml:space="preserve"> SUM(EF[N2O] * (EF[SATIM Code]= $D1631))  * (SUM( ($A$768:$A$846=$A1631) * ($D$768:$D$846= $D1631) * (G$768:G$846) )  +  SUM( ($A$933:$A$1011=$A1631) * ($D$933:$D$1011= $D1631) * (G$933:G$1011) ) + SUM( ($E$1016:$E$1039=$E$1427)*($A$1016:$A$1039=$A1631) * ($D$1016:$D$1039=$D1631)*(G$1016:G$1039) ) )</f>
        <v>6.2988828407357006E-2</v>
      </c>
      <c r="H1631" s="1379">
        <f t="array" ref="H1631" xml:space="preserve"> SUM(EF[N2O] * (EF[SATIM Code]= $D1631))  * (SUM( ($A$768:$A$846=$A1631) * ($D$768:$D$846= $D1631) * (H$768:H$846) )  +  SUM( ($A$933:$A$1011=$A1631) * ($D$933:$D$1011= $D1631) * (H$933:H$1011) ) + SUM( ($E$1016:$E$1039=$E$1427)*($A$1016:$A$1039=$A1631) * ($D$1016:$D$1039=$D1631)*(H$1016:H$1039) ) )</f>
        <v>8.1417437179050686E-2</v>
      </c>
      <c r="I1631" s="1379">
        <f t="array" ref="I1631" xml:space="preserve"> SUM(EF[N2O] * (EF[SATIM Code]= $D1631))  * (SUM( ($A$768:$A$846=$A1631) * ($D$768:$D$846= $D1631) * (I$768:I$846) )  +  SUM( ($A$933:$A$1011=$A1631) * ($D$933:$D$1011= $D1631) * (I$933:I$1011) ) + SUM( ($E$1016:$E$1039=$E$1427)*($A$1016:$A$1039=$A1631) * ($D$1016:$D$1039=$D1631)*(I$1016:I$1039) ) )</f>
        <v>9.9846045950744394E-2</v>
      </c>
      <c r="J1631" s="1379">
        <f t="array" ref="J1631" xml:space="preserve"> SUM(EF[N2O] * (EF[SATIM Code]= $D1631))  * (SUM( ($A$768:$A$846=$A1631) * ($D$768:$D$846= $D1631) * (J$768:J$846) )  +  SUM( ($A$933:$A$1011=$A1631) * ($D$933:$D$1011= $D1631) * (J$933:J$1011) ) + SUM( ($E$1016:$E$1039=$E$1427)*($A$1016:$A$1039=$A1631) * ($D$1016:$D$1039=$D1631)*(J$1016:J$1039) ) )</f>
        <v>0.1284826655443104</v>
      </c>
      <c r="K1631" s="1379">
        <f t="array" ref="K1631" xml:space="preserve"> SUM(EF[N2O] * (EF[SATIM Code]= $D1631))  * (SUM( ($A$768:$A$846=$A1631) * ($D$768:$D$846= $D1631) * (K$768:K$846) )  +  SUM( ($A$933:$A$1011=$A1631) * ($D$933:$D$1011= $D1631) * (K$933:K$1011) ) + SUM( ($E$1016:$E$1039=$E$1427)*($A$1016:$A$1039=$A1631) * ($D$1016:$D$1039=$D1631)*(K$1016:K$1039) ) )</f>
        <v>0.15711928513787637</v>
      </c>
      <c r="L1631" s="1379">
        <f t="array" ref="L1631" xml:space="preserve"> SUM(EF[N2O] * (EF[SATIM Code]= $D1631))  * (SUM( ($A$768:$A$846=$A1631) * ($D$768:$D$846= $D1631) * (L$768:L$846) )  +  SUM( ($A$933:$A$1011=$A1631) * ($D$933:$D$1011= $D1631) * (L$933:L$1011) ) + SUM( ($E$1016:$E$1039=$E$1427)*($A$1016:$A$1039=$A1631) * ($D$1016:$D$1039=$D1631)*(L$1016:L$1039) ) )</f>
        <v>0.19490416526499782</v>
      </c>
      <c r="M1631" s="1379">
        <f t="array" ref="M1631" xml:space="preserve"> SUM(EF[N2O] * (EF[SATIM Code]= $D1631))  * (SUM( ($A$768:$A$846=$A1631) * ($D$768:$D$846= $D1631) * (M$768:M$846) )  +  SUM( ($A$933:$A$1011=$A1631) * ($D$933:$D$1011= $D1631) * (M$933:M$1011) ) + SUM( ($E$1016:$E$1039=$E$1427)*($A$1016:$A$1039=$A1631) * ($D$1016:$D$1039=$D1631)*(M$1016:M$1039) ) )</f>
        <v>0.23268904539211924</v>
      </c>
      <c r="N1631" s="1379">
        <f t="array" ref="N1631" xml:space="preserve"> SUM(EF[N2O] * (EF[SATIM Code]= $D1631))  * (SUM( ($A$768:$A$846=$A1631) * ($D$768:$D$846= $D1631) * (N$768:N$846) )  +  SUM( ($A$933:$A$1011=$A1631) * ($D$933:$D$1011= $D1631) * (N$933:N$1011) ) + SUM( ($E$1016:$E$1039=$E$1427)*($A$1016:$A$1039=$A1631) * ($D$1016:$D$1039=$D1631)*(N$1016:N$1039) ) )</f>
        <v>0.27692484368339021</v>
      </c>
      <c r="O1631" s="1379">
        <f t="array" ref="O1631" xml:space="preserve"> SUM(EF[N2O] * (EF[SATIM Code]= $D1631))  * (SUM( ($A$768:$A$846=$A1631) * ($D$768:$D$846= $D1631) * (O$768:O$846) )  +  SUM( ($A$933:$A$1011=$A1631) * ($D$933:$D$1011= $D1631) * (O$933:O$1011) ) + SUM( ($E$1016:$E$1039=$E$1427)*($A$1016:$A$1039=$A1631) * ($D$1016:$D$1039=$D1631)*(O$1016:O$1039) ) )</f>
        <v>0.32116064197466121</v>
      </c>
    </row>
    <row r="1632" spans="1:15" s="19" customFormat="1" hidden="1" outlineLevel="1">
      <c r="A1632" s="19" t="str">
        <f t="shared" ref="A1632:A1639" si="309">A1631</f>
        <v>IS</v>
      </c>
      <c r="B1632" s="1400" t="str">
        <f>INDEX(EF[UK Vector],MATCH(D1632,EF[SATIM Code],0))</f>
        <v>V.03</v>
      </c>
      <c r="C1632" s="1401" t="str">
        <f>INDEX(Vectors[Description], MATCH($B1632, Vectors[Code], 0))</f>
        <v>Solid hydrocarbons</v>
      </c>
      <c r="D1632" s="1391" t="s">
        <v>883</v>
      </c>
      <c r="E1632" s="1393"/>
      <c r="F1632" s="1379">
        <f t="array" ref="F1632" xml:space="preserve"> SUM(EF[N2O] * (EF[SATIM Code]= $D1632))  * (SUM( ($A$768:$A$846=$A1632) * ($D$768:$D$846= $D1632) * (F$768:F$846) )  +  SUM( ($A$933:$A$1011=$A1632) * ($D$933:$D$1011= $D1632) * (F$933:F$1011) ) + SUM( ($E$1016:$E$1039=$E$1427)*($A$1016:$A$1039=$A1632) * ($D$1016:$D$1039=$D1632)*(F$1016:F$1039) ) )</f>
        <v>0</v>
      </c>
      <c r="G1632" s="1379">
        <f t="array" ref="G1632" xml:space="preserve"> SUM(EF[N2O] * (EF[SATIM Code]= $D1632))  * (SUM( ($A$768:$A$846=$A1632) * ($D$768:$D$846= $D1632) * (G$768:G$846) )  +  SUM( ($A$933:$A$1011=$A1632) * ($D$933:$D$1011= $D1632) * (G$933:G$1011) ) + SUM( ($E$1016:$E$1039=$E$1427)*($A$1016:$A$1039=$A1632) * ($D$1016:$D$1039=$D1632)*(G$1016:G$1039) ) )</f>
        <v>0</v>
      </c>
      <c r="H1632" s="1379">
        <f t="array" ref="H1632" xml:space="preserve"> SUM(EF[N2O] * (EF[SATIM Code]= $D1632))  * (SUM( ($A$768:$A$846=$A1632) * ($D$768:$D$846= $D1632) * (H$768:H$846) )  +  SUM( ($A$933:$A$1011=$A1632) * ($D$933:$D$1011= $D1632) * (H$933:H$1011) ) + SUM( ($E$1016:$E$1039=$E$1427)*($A$1016:$A$1039=$A1632) * ($D$1016:$D$1039=$D1632)*(H$1016:H$1039) ) )</f>
        <v>0</v>
      </c>
      <c r="I1632" s="1379">
        <f t="array" ref="I1632" xml:space="preserve"> SUM(EF[N2O] * (EF[SATIM Code]= $D1632))  * (SUM( ($A$768:$A$846=$A1632) * ($D$768:$D$846= $D1632) * (I$768:I$846) )  +  SUM( ($A$933:$A$1011=$A1632) * ($D$933:$D$1011= $D1632) * (I$933:I$1011) ) + SUM( ($E$1016:$E$1039=$E$1427)*($A$1016:$A$1039=$A1632) * ($D$1016:$D$1039=$D1632)*(I$1016:I$1039) ) )</f>
        <v>0</v>
      </c>
      <c r="J1632" s="1379">
        <f t="array" ref="J1632" xml:space="preserve"> SUM(EF[N2O] * (EF[SATIM Code]= $D1632))  * (SUM( ($A$768:$A$846=$A1632) * ($D$768:$D$846= $D1632) * (J$768:J$846) )  +  SUM( ($A$933:$A$1011=$A1632) * ($D$933:$D$1011= $D1632) * (J$933:J$1011) ) + SUM( ($E$1016:$E$1039=$E$1427)*($A$1016:$A$1039=$A1632) * ($D$1016:$D$1039=$D1632)*(J$1016:J$1039) ) )</f>
        <v>0</v>
      </c>
      <c r="K1632" s="1379">
        <f t="array" ref="K1632" xml:space="preserve"> SUM(EF[N2O] * (EF[SATIM Code]= $D1632))  * (SUM( ($A$768:$A$846=$A1632) * ($D$768:$D$846= $D1632) * (K$768:K$846) )  +  SUM( ($A$933:$A$1011=$A1632) * ($D$933:$D$1011= $D1632) * (K$933:K$1011) ) + SUM( ($E$1016:$E$1039=$E$1427)*($A$1016:$A$1039=$A1632) * ($D$1016:$D$1039=$D1632)*(K$1016:K$1039) ) )</f>
        <v>0</v>
      </c>
      <c r="L1632" s="1379">
        <f t="array" ref="L1632" xml:space="preserve"> SUM(EF[N2O] * (EF[SATIM Code]= $D1632))  * (SUM( ($A$768:$A$846=$A1632) * ($D$768:$D$846= $D1632) * (L$768:L$846) )  +  SUM( ($A$933:$A$1011=$A1632) * ($D$933:$D$1011= $D1632) * (L$933:L$1011) ) + SUM( ($E$1016:$E$1039=$E$1427)*($A$1016:$A$1039=$A1632) * ($D$1016:$D$1039=$D1632)*(L$1016:L$1039) ) )</f>
        <v>0</v>
      </c>
      <c r="M1632" s="1379">
        <f t="array" ref="M1632" xml:space="preserve"> SUM(EF[N2O] * (EF[SATIM Code]= $D1632))  * (SUM( ($A$768:$A$846=$A1632) * ($D$768:$D$846= $D1632) * (M$768:M$846) )  +  SUM( ($A$933:$A$1011=$A1632) * ($D$933:$D$1011= $D1632) * (M$933:M$1011) ) + SUM( ($E$1016:$E$1039=$E$1427)*($A$1016:$A$1039=$A1632) * ($D$1016:$D$1039=$D1632)*(M$1016:M$1039) ) )</f>
        <v>0</v>
      </c>
      <c r="N1632" s="1379">
        <f t="array" ref="N1632" xml:space="preserve"> SUM(EF[N2O] * (EF[SATIM Code]= $D1632))  * (SUM( ($A$768:$A$846=$A1632) * ($D$768:$D$846= $D1632) * (N$768:N$846) )  +  SUM( ($A$933:$A$1011=$A1632) * ($D$933:$D$1011= $D1632) * (N$933:N$1011) ) + SUM( ($E$1016:$E$1039=$E$1427)*($A$1016:$A$1039=$A1632) * ($D$1016:$D$1039=$D1632)*(N$1016:N$1039) ) )</f>
        <v>0</v>
      </c>
      <c r="O1632" s="1379">
        <f t="array" ref="O1632" xml:space="preserve"> SUM(EF[N2O] * (EF[SATIM Code]= $D1632))  * (SUM( ($A$768:$A$846=$A1632) * ($D$768:$D$846= $D1632) * (O$768:O$846) )  +  SUM( ($A$933:$A$1011=$A1632) * ($D$933:$D$1011= $D1632) * (O$933:O$1011) ) + SUM( ($E$1016:$E$1039=$E$1427)*($A$1016:$A$1039=$A1632) * ($D$1016:$D$1039=$D1632)*(O$1016:O$1039) ) )</f>
        <v>0</v>
      </c>
    </row>
    <row r="1633" spans="1:15" s="19" customFormat="1" hidden="1" outlineLevel="1">
      <c r="A1633" s="19" t="str">
        <f t="shared" si="309"/>
        <v>IS</v>
      </c>
      <c r="B1633" s="1400" t="str">
        <f>INDEX(EF[UK Vector],MATCH(D1633,EF[SATIM Code],0))</f>
        <v>V.05</v>
      </c>
      <c r="C1633" s="1401" t="str">
        <f>INDEX(Vectors[Description], MATCH($B1633, Vectors[Code], 0))</f>
        <v>Gaseous hydrocarbons</v>
      </c>
      <c r="D1633" s="1406" t="s">
        <v>869</v>
      </c>
      <c r="E1633" s="1393"/>
      <c r="F1633" s="1379">
        <f t="array" ref="F1633" xml:space="preserve"> SUM(EF[N2O] * (EF[SATIM Code]= $D1633))  * (SUM( ($A$768:$A$846=$A1633) * ($D$768:$D$846= $D1633) * (F$768:F$846) )  +  SUM( ($A$933:$A$1011=$A1633) * ($D$933:$D$1011= $D1633) * (F$933:F$1011) ) + SUM( ($E$1016:$E$1039=$E$1427)*($A$1016:$A$1039=$A1633) * ($D$1016:$D$1039=$D1633)*(F$1016:F$1039) ) )</f>
        <v>6.8125909999999996E-4</v>
      </c>
      <c r="G1633" s="1379">
        <f t="array" ref="G1633" xml:space="preserve"> SUM(EF[N2O] * (EF[SATIM Code]= $D1633))  * (SUM( ($A$768:$A$846=$A1633) * ($D$768:$D$846= $D1633) * (G$768:G$846) )  +  SUM( ($A$933:$A$1011=$A1633) * ($D$933:$D$1011= $D1633) * (G$933:G$1011) ) + SUM( ($E$1016:$E$1039=$E$1427)*($A$1016:$A$1039=$A1633) * ($D$1016:$D$1039=$D1633)*(G$1016:G$1039) ) )</f>
        <v>7.8866033266056885E-4</v>
      </c>
      <c r="H1633" s="1379">
        <f t="array" ref="H1633" xml:space="preserve"> SUM(EF[N2O] * (EF[SATIM Code]= $D1633))  * (SUM( ($A$768:$A$846=$A1633) * ($D$768:$D$846= $D1633) * (H$768:H$846) )  +  SUM( ($A$933:$A$1011=$A1633) * ($D$933:$D$1011= $D1633) * (H$933:H$1011) ) + SUM( ($E$1016:$E$1039=$E$1427)*($A$1016:$A$1039=$A1633) * ($D$1016:$D$1039=$D1633)*(H$1016:H$1039) ) )</f>
        <v>1.0193982760679729E-3</v>
      </c>
      <c r="I1633" s="1379">
        <f t="array" ref="I1633" xml:space="preserve"> SUM(EF[N2O] * (EF[SATIM Code]= $D1633))  * (SUM( ($A$768:$A$846=$A1633) * ($D$768:$D$846= $D1633) * (I$768:I$846) )  +  SUM( ($A$933:$A$1011=$A1633) * ($D$933:$D$1011= $D1633) * (I$933:I$1011) ) + SUM( ($E$1016:$E$1039=$E$1427)*($A$1016:$A$1039=$A1633) * ($D$1016:$D$1039=$D1633)*(I$1016:I$1039) ) )</f>
        <v>1.2501362194753767E-3</v>
      </c>
      <c r="J1633" s="1379">
        <f t="array" ref="J1633" xml:space="preserve"> SUM(EF[N2O] * (EF[SATIM Code]= $D1633))  * (SUM( ($A$768:$A$846=$A1633) * ($D$768:$D$846= $D1633) * (J$768:J$846) )  +  SUM( ($A$933:$A$1011=$A1633) * ($D$933:$D$1011= $D1633) * (J$933:J$1011) ) + SUM( ($E$1016:$E$1039=$E$1427)*($A$1016:$A$1039=$A1633) * ($D$1016:$D$1039=$D1633)*(J$1016:J$1039) ) )</f>
        <v>1.6086849733731084E-3</v>
      </c>
      <c r="K1633" s="1379">
        <f t="array" ref="K1633" xml:space="preserve"> SUM(EF[N2O] * (EF[SATIM Code]= $D1633))  * (SUM( ($A$768:$A$846=$A1633) * ($D$768:$D$846= $D1633) * (K$768:K$846) )  +  SUM( ($A$933:$A$1011=$A1633) * ($D$933:$D$1011= $D1633) * (K$933:K$1011) ) + SUM( ($E$1016:$E$1039=$E$1427)*($A$1016:$A$1039=$A1633) * ($D$1016:$D$1039=$D1633)*(K$1016:K$1039) ) )</f>
        <v>1.9672337272708404E-3</v>
      </c>
      <c r="L1633" s="1379">
        <f t="array" ref="L1633" xml:space="preserve"> SUM(EF[N2O] * (EF[SATIM Code]= $D1633))  * (SUM( ($A$768:$A$846=$A1633) * ($D$768:$D$846= $D1633) * (L$768:L$846) )  +  SUM( ($A$933:$A$1011=$A1633) * ($D$933:$D$1011= $D1633) * (L$933:L$1011) ) + SUM( ($E$1016:$E$1039=$E$1427)*($A$1016:$A$1039=$A1633) * ($D$1016:$D$1039=$D1633)*(L$1016:L$1039) ) )</f>
        <v>2.4403245416907953E-3</v>
      </c>
      <c r="M1633" s="1379">
        <f t="array" ref="M1633" xml:space="preserve"> SUM(EF[N2O] * (EF[SATIM Code]= $D1633))  * (SUM( ($A$768:$A$846=$A1633) * ($D$768:$D$846= $D1633) * (M$768:M$846) )  +  SUM( ($A$933:$A$1011=$A1633) * ($D$933:$D$1011= $D1633) * (M$933:M$1011) ) + SUM( ($E$1016:$E$1039=$E$1427)*($A$1016:$A$1039=$A1633) * ($D$1016:$D$1039=$D1633)*(M$1016:M$1039) ) )</f>
        <v>2.9134153561107498E-3</v>
      </c>
      <c r="N1633" s="1379">
        <f t="array" ref="N1633" xml:space="preserve"> SUM(EF[N2O] * (EF[SATIM Code]= $D1633))  * (SUM( ($A$768:$A$846=$A1633) * ($D$768:$D$846= $D1633) * (N$768:N$846) )  +  SUM( ($A$933:$A$1011=$A1633) * ($D$933:$D$1011= $D1633) * (N$933:N$1011) ) + SUM( ($E$1016:$E$1039=$E$1427)*($A$1016:$A$1039=$A1633) * ($D$1016:$D$1039=$D1633)*(N$1016:N$1039) ) )</f>
        <v>3.4672757830785392E-3</v>
      </c>
      <c r="O1633" s="1379">
        <f t="array" ref="O1633" xml:space="preserve"> SUM(EF[N2O] * (EF[SATIM Code]= $D1633))  * (SUM( ($A$768:$A$846=$A1633) * ($D$768:$D$846= $D1633) * (O$768:O$846) )  +  SUM( ($A$933:$A$1011=$A1633) * ($D$933:$D$1011= $D1633) * (O$933:O$1011) ) + SUM( ($E$1016:$E$1039=$E$1427)*($A$1016:$A$1039=$A1633) * ($D$1016:$D$1039=$D1633)*(O$1016:O$1039) ) )</f>
        <v>4.0211362100463291E-3</v>
      </c>
    </row>
    <row r="1634" spans="1:15" s="19" customFormat="1" hidden="1" outlineLevel="1">
      <c r="A1634" s="19" t="str">
        <f t="shared" si="309"/>
        <v>IS</v>
      </c>
      <c r="B1634" s="1400" t="str">
        <f>INDEX(EF[UK Vector],MATCH(D1634,EF[SATIM Code],0))</f>
        <v>V.04</v>
      </c>
      <c r="C1634" s="1401" t="str">
        <f>INDEX(Vectors[Description], MATCH($B1634, Vectors[Code], 0))</f>
        <v>Liquid hydrocarbons</v>
      </c>
      <c r="D1634" s="1406" t="s">
        <v>885</v>
      </c>
      <c r="E1634" s="1393"/>
      <c r="F1634" s="1379">
        <f t="array" ref="F1634" xml:space="preserve"> SUM(EF[N2O] * (EF[SATIM Code]= $D1634))  * (SUM( ($A$768:$A$846=$A1634) * ($D$768:$D$846= $D1634) * (F$768:F$846) )  +  SUM( ($A$933:$A$1011=$A1634) * ($D$933:$D$1011= $D1634) * (F$933:F$1011) ) + SUM( ($E$1016:$E$1039=$E$1427)*($A$1016:$A$1039=$A1634) * ($D$1016:$D$1039=$D1634)*(F$1016:F$1039) ) )</f>
        <v>0</v>
      </c>
      <c r="G1634" s="1379">
        <f t="array" ref="G1634" xml:space="preserve"> SUM(EF[N2O] * (EF[SATIM Code]= $D1634))  * (SUM( ($A$768:$A$846=$A1634) * ($D$768:$D$846= $D1634) * (G$768:G$846) )  +  SUM( ($A$933:$A$1011=$A1634) * ($D$933:$D$1011= $D1634) * (G$933:G$1011) ) + SUM( ($E$1016:$E$1039=$E$1427)*($A$1016:$A$1039=$A1634) * ($D$1016:$D$1039=$D1634)*(G$1016:G$1039) ) )</f>
        <v>0</v>
      </c>
      <c r="H1634" s="1379">
        <f t="array" ref="H1634" xml:space="preserve"> SUM(EF[N2O] * (EF[SATIM Code]= $D1634))  * (SUM( ($A$768:$A$846=$A1634) * ($D$768:$D$846= $D1634) * (H$768:H$846) )  +  SUM( ($A$933:$A$1011=$A1634) * ($D$933:$D$1011= $D1634) * (H$933:H$1011) ) + SUM( ($E$1016:$E$1039=$E$1427)*($A$1016:$A$1039=$A1634) * ($D$1016:$D$1039=$D1634)*(H$1016:H$1039) ) )</f>
        <v>0</v>
      </c>
      <c r="I1634" s="1379">
        <f t="array" ref="I1634" xml:space="preserve"> SUM(EF[N2O] * (EF[SATIM Code]= $D1634))  * (SUM( ($A$768:$A$846=$A1634) * ($D$768:$D$846= $D1634) * (I$768:I$846) )  +  SUM( ($A$933:$A$1011=$A1634) * ($D$933:$D$1011= $D1634) * (I$933:I$1011) ) + SUM( ($E$1016:$E$1039=$E$1427)*($A$1016:$A$1039=$A1634) * ($D$1016:$D$1039=$D1634)*(I$1016:I$1039) ) )</f>
        <v>0</v>
      </c>
      <c r="J1634" s="1379">
        <f t="array" ref="J1634" xml:space="preserve"> SUM(EF[N2O] * (EF[SATIM Code]= $D1634))  * (SUM( ($A$768:$A$846=$A1634) * ($D$768:$D$846= $D1634) * (J$768:J$846) )  +  SUM( ($A$933:$A$1011=$A1634) * ($D$933:$D$1011= $D1634) * (J$933:J$1011) ) + SUM( ($E$1016:$E$1039=$E$1427)*($A$1016:$A$1039=$A1634) * ($D$1016:$D$1039=$D1634)*(J$1016:J$1039) ) )</f>
        <v>0</v>
      </c>
      <c r="K1634" s="1379">
        <f t="array" ref="K1634" xml:space="preserve"> SUM(EF[N2O] * (EF[SATIM Code]= $D1634))  * (SUM( ($A$768:$A$846=$A1634) * ($D$768:$D$846= $D1634) * (K$768:K$846) )  +  SUM( ($A$933:$A$1011=$A1634) * ($D$933:$D$1011= $D1634) * (K$933:K$1011) ) + SUM( ($E$1016:$E$1039=$E$1427)*($A$1016:$A$1039=$A1634) * ($D$1016:$D$1039=$D1634)*(K$1016:K$1039) ) )</f>
        <v>0</v>
      </c>
      <c r="L1634" s="1379">
        <f t="array" ref="L1634" xml:space="preserve"> SUM(EF[N2O] * (EF[SATIM Code]= $D1634))  * (SUM( ($A$768:$A$846=$A1634) * ($D$768:$D$846= $D1634) * (L$768:L$846) )  +  SUM( ($A$933:$A$1011=$A1634) * ($D$933:$D$1011= $D1634) * (L$933:L$1011) ) + SUM( ($E$1016:$E$1039=$E$1427)*($A$1016:$A$1039=$A1634) * ($D$1016:$D$1039=$D1634)*(L$1016:L$1039) ) )</f>
        <v>0</v>
      </c>
      <c r="M1634" s="1379">
        <f t="array" ref="M1634" xml:space="preserve"> SUM(EF[N2O] * (EF[SATIM Code]= $D1634))  * (SUM( ($A$768:$A$846=$A1634) * ($D$768:$D$846= $D1634) * (M$768:M$846) )  +  SUM( ($A$933:$A$1011=$A1634) * ($D$933:$D$1011= $D1634) * (M$933:M$1011) ) + SUM( ($E$1016:$E$1039=$E$1427)*($A$1016:$A$1039=$A1634) * ($D$1016:$D$1039=$D1634)*(M$1016:M$1039) ) )</f>
        <v>0</v>
      </c>
      <c r="N1634" s="1379">
        <f t="array" ref="N1634" xml:space="preserve"> SUM(EF[N2O] * (EF[SATIM Code]= $D1634))  * (SUM( ($A$768:$A$846=$A1634) * ($D$768:$D$846= $D1634) * (N$768:N$846) )  +  SUM( ($A$933:$A$1011=$A1634) * ($D$933:$D$1011= $D1634) * (N$933:N$1011) ) + SUM( ($E$1016:$E$1039=$E$1427)*($A$1016:$A$1039=$A1634) * ($D$1016:$D$1039=$D1634)*(N$1016:N$1039) ) )</f>
        <v>0</v>
      </c>
      <c r="O1634" s="1379">
        <f t="array" ref="O1634" xml:space="preserve"> SUM(EF[N2O] * (EF[SATIM Code]= $D1634))  * (SUM( ($A$768:$A$846=$A1634) * ($D$768:$D$846= $D1634) * (O$768:O$846) )  +  SUM( ($A$933:$A$1011=$A1634) * ($D$933:$D$1011= $D1634) * (O$933:O$1011) ) + SUM( ($E$1016:$E$1039=$E$1427)*($A$1016:$A$1039=$A1634) * ($D$1016:$D$1039=$D1634)*(O$1016:O$1039) ) )</f>
        <v>0</v>
      </c>
    </row>
    <row r="1635" spans="1:15" s="19" customFormat="1" hidden="1" outlineLevel="1">
      <c r="A1635" s="19" t="str">
        <f t="shared" si="309"/>
        <v>IS</v>
      </c>
      <c r="B1635" s="1400" t="str">
        <f>INDEX(EF[UK Vector],MATCH(D1635,EF[SATIM Code],0))</f>
        <v>V.04</v>
      </c>
      <c r="C1635" s="1401" t="str">
        <f>INDEX(Vectors[Description], MATCH($B1635, Vectors[Code], 0))</f>
        <v>Liquid hydrocarbons</v>
      </c>
      <c r="D1635" s="1391" t="s">
        <v>886</v>
      </c>
      <c r="E1635" s="1393"/>
      <c r="F1635" s="1379">
        <f t="array" ref="F1635" xml:space="preserve"> SUM(EF[N2O] * (EF[SATIM Code]= $D1635))  * (SUM( ($A$768:$A$846=$A1635) * ($D$768:$D$846= $D1635) * (F$768:F$846) )  +  SUM( ($A$933:$A$1011=$A1635) * ($D$933:$D$1011= $D1635) * (F$933:F$1011) ) + SUM( ($E$1016:$E$1039=$E$1427)*($A$1016:$A$1039=$A1635) * ($D$1016:$D$1039=$D1635)*(F$1016:F$1039) ) )</f>
        <v>0</v>
      </c>
      <c r="G1635" s="1379">
        <f t="array" ref="G1635" xml:space="preserve"> SUM(EF[N2O] * (EF[SATIM Code]= $D1635))  * (SUM( ($A$768:$A$846=$A1635) * ($D$768:$D$846= $D1635) * (G$768:G$846) )  +  SUM( ($A$933:$A$1011=$A1635) * ($D$933:$D$1011= $D1635) * (G$933:G$1011) ) + SUM( ($E$1016:$E$1039=$E$1427)*($A$1016:$A$1039=$A1635) * ($D$1016:$D$1039=$D1635)*(G$1016:G$1039) ) )</f>
        <v>0</v>
      </c>
      <c r="H1635" s="1379">
        <f t="array" ref="H1635" xml:space="preserve"> SUM(EF[N2O] * (EF[SATIM Code]= $D1635))  * (SUM( ($A$768:$A$846=$A1635) * ($D$768:$D$846= $D1635) * (H$768:H$846) )  +  SUM( ($A$933:$A$1011=$A1635) * ($D$933:$D$1011= $D1635) * (H$933:H$1011) ) + SUM( ($E$1016:$E$1039=$E$1427)*($A$1016:$A$1039=$A1635) * ($D$1016:$D$1039=$D1635)*(H$1016:H$1039) ) )</f>
        <v>0</v>
      </c>
      <c r="I1635" s="1379">
        <f t="array" ref="I1635" xml:space="preserve"> SUM(EF[N2O] * (EF[SATIM Code]= $D1635))  * (SUM( ($A$768:$A$846=$A1635) * ($D$768:$D$846= $D1635) * (I$768:I$846) )  +  SUM( ($A$933:$A$1011=$A1635) * ($D$933:$D$1011= $D1635) * (I$933:I$1011) ) + SUM( ($E$1016:$E$1039=$E$1427)*($A$1016:$A$1039=$A1635) * ($D$1016:$D$1039=$D1635)*(I$1016:I$1039) ) )</f>
        <v>0</v>
      </c>
      <c r="J1635" s="1379">
        <f t="array" ref="J1635" xml:space="preserve"> SUM(EF[N2O] * (EF[SATIM Code]= $D1635))  * (SUM( ($A$768:$A$846=$A1635) * ($D$768:$D$846= $D1635) * (J$768:J$846) )  +  SUM( ($A$933:$A$1011=$A1635) * ($D$933:$D$1011= $D1635) * (J$933:J$1011) ) + SUM( ($E$1016:$E$1039=$E$1427)*($A$1016:$A$1039=$A1635) * ($D$1016:$D$1039=$D1635)*(J$1016:J$1039) ) )</f>
        <v>0</v>
      </c>
      <c r="K1635" s="1379">
        <f t="array" ref="K1635" xml:space="preserve"> SUM(EF[N2O] * (EF[SATIM Code]= $D1635))  * (SUM( ($A$768:$A$846=$A1635) * ($D$768:$D$846= $D1635) * (K$768:K$846) )  +  SUM( ($A$933:$A$1011=$A1635) * ($D$933:$D$1011= $D1635) * (K$933:K$1011) ) + SUM( ($E$1016:$E$1039=$E$1427)*($A$1016:$A$1039=$A1635) * ($D$1016:$D$1039=$D1635)*(K$1016:K$1039) ) )</f>
        <v>0</v>
      </c>
      <c r="L1635" s="1379">
        <f t="array" ref="L1635" xml:space="preserve"> SUM(EF[N2O] * (EF[SATIM Code]= $D1635))  * (SUM( ($A$768:$A$846=$A1635) * ($D$768:$D$846= $D1635) * (L$768:L$846) )  +  SUM( ($A$933:$A$1011=$A1635) * ($D$933:$D$1011= $D1635) * (L$933:L$1011) ) + SUM( ($E$1016:$E$1039=$E$1427)*($A$1016:$A$1039=$A1635) * ($D$1016:$D$1039=$D1635)*(L$1016:L$1039) ) )</f>
        <v>0</v>
      </c>
      <c r="M1635" s="1379">
        <f t="array" ref="M1635" xml:space="preserve"> SUM(EF[N2O] * (EF[SATIM Code]= $D1635))  * (SUM( ($A$768:$A$846=$A1635) * ($D$768:$D$846= $D1635) * (M$768:M$846) )  +  SUM( ($A$933:$A$1011=$A1635) * ($D$933:$D$1011= $D1635) * (M$933:M$1011) ) + SUM( ($E$1016:$E$1039=$E$1427)*($A$1016:$A$1039=$A1635) * ($D$1016:$D$1039=$D1635)*(M$1016:M$1039) ) )</f>
        <v>0</v>
      </c>
      <c r="N1635" s="1379">
        <f t="array" ref="N1635" xml:space="preserve"> SUM(EF[N2O] * (EF[SATIM Code]= $D1635))  * (SUM( ($A$768:$A$846=$A1635) * ($D$768:$D$846= $D1635) * (N$768:N$846) )  +  SUM( ($A$933:$A$1011=$A1635) * ($D$933:$D$1011= $D1635) * (N$933:N$1011) ) + SUM( ($E$1016:$E$1039=$E$1427)*($A$1016:$A$1039=$A1635) * ($D$1016:$D$1039=$D1635)*(N$1016:N$1039) ) )</f>
        <v>0</v>
      </c>
      <c r="O1635" s="1379">
        <f t="array" ref="O1635" xml:space="preserve"> SUM(EF[N2O] * (EF[SATIM Code]= $D1635))  * (SUM( ($A$768:$A$846=$A1635) * ($D$768:$D$846= $D1635) * (O$768:O$846) )  +  SUM( ($A$933:$A$1011=$A1635) * ($D$933:$D$1011= $D1635) * (O$933:O$1011) ) + SUM( ($E$1016:$E$1039=$E$1427)*($A$1016:$A$1039=$A1635) * ($D$1016:$D$1039=$D1635)*(O$1016:O$1039) ) )</f>
        <v>0</v>
      </c>
    </row>
    <row r="1636" spans="1:15" s="19" customFormat="1" hidden="1" outlineLevel="1">
      <c r="A1636" s="19" t="str">
        <f t="shared" si="309"/>
        <v>IS</v>
      </c>
      <c r="B1636" s="1400" t="str">
        <f>INDEX(EF[UK Vector],MATCH(D1636,EF[SATIM Code],0))</f>
        <v>V.04</v>
      </c>
      <c r="C1636" s="1401" t="str">
        <f>INDEX(Vectors[Description], MATCH($B1636, Vectors[Code], 0))</f>
        <v>Liquid hydrocarbons</v>
      </c>
      <c r="D1636" s="1406" t="s">
        <v>887</v>
      </c>
      <c r="E1636" s="1393"/>
      <c r="F1636" s="1379">
        <f t="array" ref="F1636" xml:space="preserve"> SUM(EF[N2O] * (EF[SATIM Code]= $D1636))  * (SUM( ($A$768:$A$846=$A1636) * ($D$768:$D$846= $D1636) * (F$768:F$846) )  +  SUM( ($A$933:$A$1011=$A1636) * ($D$933:$D$1011= $D1636) * (F$933:F$1011) ) + SUM( ($E$1016:$E$1039=$E$1427)*($A$1016:$A$1039=$A1636) * ($D$1016:$D$1039=$D1636)*(F$1016:F$1039) ) )</f>
        <v>1.1966E-4</v>
      </c>
      <c r="G1636" s="1379">
        <f t="array" ref="G1636" xml:space="preserve"> SUM(EF[N2O] * (EF[SATIM Code]= $D1636))  * (SUM( ($A$768:$A$846=$A1636) * ($D$768:$D$846= $D1636) * (G$768:G$846) )  +  SUM( ($A$933:$A$1011=$A1636) * ($D$933:$D$1011= $D1636) * (G$933:G$1011) ) + SUM( ($E$1016:$E$1039=$E$1427)*($A$1016:$A$1039=$A1636) * ($D$1016:$D$1039=$D1636)*(G$1016:G$1039) ) )</f>
        <v>1.385245281951664E-4</v>
      </c>
      <c r="H1636" s="1379">
        <f t="array" ref="H1636" xml:space="preserve"> SUM(EF[N2O] * (EF[SATIM Code]= $D1636))  * (SUM( ($A$768:$A$846=$A1636) * ($D$768:$D$846= $D1636) * (H$768:H$846) )  +  SUM( ($A$933:$A$1011=$A1636) * ($D$933:$D$1011= $D1636) * (H$933:H$1011) ) + SUM( ($E$1016:$E$1039=$E$1427)*($A$1016:$A$1039=$A1636) * ($D$1016:$D$1039=$D1636)*(H$1016:H$1039) ) )</f>
        <v>1.7905257737370944E-4</v>
      </c>
      <c r="I1636" s="1379">
        <f t="array" ref="I1636" xml:space="preserve"> SUM(EF[N2O] * (EF[SATIM Code]= $D1636))  * (SUM( ($A$768:$A$846=$A1636) * ($D$768:$D$846= $D1636) * (I$768:I$846) )  +  SUM( ($A$933:$A$1011=$A1636) * ($D$933:$D$1011= $D1636) * (I$933:I$1011) ) + SUM( ($E$1016:$E$1039=$E$1427)*($A$1016:$A$1039=$A1636) * ($D$1016:$D$1039=$D1636)*(I$1016:I$1039) ) )</f>
        <v>2.1958062655225247E-4</v>
      </c>
      <c r="J1636" s="1379">
        <f t="array" ref="J1636" xml:space="preserve"> SUM(EF[N2O] * (EF[SATIM Code]= $D1636))  * (SUM( ($A$768:$A$846=$A1636) * ($D$768:$D$846= $D1636) * (J$768:J$846) )  +  SUM( ($A$933:$A$1011=$A1636) * ($D$933:$D$1011= $D1636) * (J$933:J$1011) ) + SUM( ($E$1016:$E$1039=$E$1427)*($A$1016:$A$1039=$A1636) * ($D$1016:$D$1039=$D1636)*(J$1016:J$1039) ) )</f>
        <v>2.8255805157512939E-4</v>
      </c>
      <c r="K1636" s="1379">
        <f t="array" ref="K1636" xml:space="preserve"> SUM(EF[N2O] * (EF[SATIM Code]= $D1636))  * (SUM( ($A$768:$A$846=$A1636) * ($D$768:$D$846= $D1636) * (K$768:K$846) )  +  SUM( ($A$933:$A$1011=$A1636) * ($D$933:$D$1011= $D1636) * (K$933:K$1011) ) + SUM( ($E$1016:$E$1039=$E$1427)*($A$1016:$A$1039=$A1636) * ($D$1016:$D$1039=$D1636)*(K$1016:K$1039) ) )</f>
        <v>3.4553547659800629E-4</v>
      </c>
      <c r="L1636" s="1379">
        <f t="array" ref="L1636" xml:space="preserve"> SUM(EF[N2O] * (EF[SATIM Code]= $D1636))  * (SUM( ($A$768:$A$846=$A1636) * ($D$768:$D$846= $D1636) * (L$768:L$846) )  +  SUM( ($A$933:$A$1011=$A1636) * ($D$933:$D$1011= $D1636) * (L$933:L$1011) ) + SUM( ($E$1016:$E$1039=$E$1427)*($A$1016:$A$1039=$A1636) * ($D$1016:$D$1039=$D1636)*(L$1016:L$1039) ) )</f>
        <v>4.2863168309784132E-4</v>
      </c>
      <c r="M1636" s="1379">
        <f t="array" ref="M1636" xml:space="preserve"> SUM(EF[N2O] * (EF[SATIM Code]= $D1636))  * (SUM( ($A$768:$A$846=$A1636) * ($D$768:$D$846= $D1636) * (M$768:M$846) )  +  SUM( ($A$933:$A$1011=$A1636) * ($D$933:$D$1011= $D1636) * (M$933:M$1011) ) + SUM( ($E$1016:$E$1039=$E$1427)*($A$1016:$A$1039=$A1636) * ($D$1016:$D$1039=$D1636)*(M$1016:M$1039) ) )</f>
        <v>5.1172788959767635E-4</v>
      </c>
      <c r="N1636" s="1379">
        <f t="array" ref="N1636" xml:space="preserve"> SUM(EF[N2O] * (EF[SATIM Code]= $D1636))  * (SUM( ($A$768:$A$846=$A1636) * ($D$768:$D$846= $D1636) * (N$768:N$846) )  +  SUM( ($A$933:$A$1011=$A1636) * ($D$933:$D$1011= $D1636) * (N$933:N$1011) ) + SUM( ($E$1016:$E$1039=$E$1427)*($A$1016:$A$1039=$A1636) * ($D$1016:$D$1039=$D1636)*(N$1016:N$1039) ) )</f>
        <v>6.0901090378562002E-4</v>
      </c>
      <c r="O1636" s="1379">
        <f t="array" ref="O1636" xml:space="preserve"> SUM(EF[N2O] * (EF[SATIM Code]= $D1636))  * (SUM( ($A$768:$A$846=$A1636) * ($D$768:$D$846= $D1636) * (O$768:O$846) )  +  SUM( ($A$933:$A$1011=$A1636) * ($D$933:$D$1011= $D1636) * (O$933:O$1011) ) + SUM( ($E$1016:$E$1039=$E$1427)*($A$1016:$A$1039=$A1636) * ($D$1016:$D$1039=$D1636)*(O$1016:O$1039) ) )</f>
        <v>7.0629391797356368E-4</v>
      </c>
    </row>
    <row r="1637" spans="1:15" s="19" customFormat="1" hidden="1" outlineLevel="1">
      <c r="A1637" s="19" t="str">
        <f t="shared" si="309"/>
        <v>IS</v>
      </c>
      <c r="B1637" s="1400" t="str">
        <f>INDEX(EF[UK Vector],MATCH(D1637,EF[SATIM Code],0))</f>
        <v>V.09</v>
      </c>
      <c r="C1637" s="1401" t="str">
        <f>INDEX(Vectors[Description], MATCH($B1637, Vectors[Code], 0))</f>
        <v>Dry biomass and waste</v>
      </c>
      <c r="D1637" s="1406" t="s">
        <v>888</v>
      </c>
      <c r="E1637" s="1393"/>
      <c r="F1637" s="1379">
        <f t="array" ref="F1637" xml:space="preserve"> SUM(EF[N2O] * (EF[SATIM Code]= $D1637))  * (SUM( ($A$768:$A$846=$A1637) * ($D$768:$D$846= $D1637) * (F$768:F$846) )  +  SUM( ($A$933:$A$1011=$A1637) * ($D$933:$D$1011= $D1637) * (F$933:F$1011) ) + SUM( ($E$1016:$E$1039=$E$1427)*($A$1016:$A$1039=$A1637) * ($D$1016:$D$1039=$D1637)*(F$1016:F$1039) ) )</f>
        <v>0</v>
      </c>
      <c r="G1637" s="1379">
        <f t="array" ref="G1637" xml:space="preserve"> SUM(EF[N2O] * (EF[SATIM Code]= $D1637))  * (SUM( ($A$768:$A$846=$A1637) * ($D$768:$D$846= $D1637) * (G$768:G$846) )  +  SUM( ($A$933:$A$1011=$A1637) * ($D$933:$D$1011= $D1637) * (G$933:G$1011) ) + SUM( ($E$1016:$E$1039=$E$1427)*($A$1016:$A$1039=$A1637) * ($D$1016:$D$1039=$D1637)*(G$1016:G$1039) ) )</f>
        <v>0</v>
      </c>
      <c r="H1637" s="1379">
        <f t="array" ref="H1637" xml:space="preserve"> SUM(EF[N2O] * (EF[SATIM Code]= $D1637))  * (SUM( ($A$768:$A$846=$A1637) * ($D$768:$D$846= $D1637) * (H$768:H$846) )  +  SUM( ($A$933:$A$1011=$A1637) * ($D$933:$D$1011= $D1637) * (H$933:H$1011) ) + SUM( ($E$1016:$E$1039=$E$1427)*($A$1016:$A$1039=$A1637) * ($D$1016:$D$1039=$D1637)*(H$1016:H$1039) ) )</f>
        <v>0</v>
      </c>
      <c r="I1637" s="1379">
        <f t="array" ref="I1637" xml:space="preserve"> SUM(EF[N2O] * (EF[SATIM Code]= $D1637))  * (SUM( ($A$768:$A$846=$A1637) * ($D$768:$D$846= $D1637) * (I$768:I$846) )  +  SUM( ($A$933:$A$1011=$A1637) * ($D$933:$D$1011= $D1637) * (I$933:I$1011) ) + SUM( ($E$1016:$E$1039=$E$1427)*($A$1016:$A$1039=$A1637) * ($D$1016:$D$1039=$D1637)*(I$1016:I$1039) ) )</f>
        <v>0</v>
      </c>
      <c r="J1637" s="1379">
        <f t="array" ref="J1637" xml:space="preserve"> SUM(EF[N2O] * (EF[SATIM Code]= $D1637))  * (SUM( ($A$768:$A$846=$A1637) * ($D$768:$D$846= $D1637) * (J$768:J$846) )  +  SUM( ($A$933:$A$1011=$A1637) * ($D$933:$D$1011= $D1637) * (J$933:J$1011) ) + SUM( ($E$1016:$E$1039=$E$1427)*($A$1016:$A$1039=$A1637) * ($D$1016:$D$1039=$D1637)*(J$1016:J$1039) ) )</f>
        <v>0</v>
      </c>
      <c r="K1637" s="1379">
        <f t="array" ref="K1637" xml:space="preserve"> SUM(EF[N2O] * (EF[SATIM Code]= $D1637))  * (SUM( ($A$768:$A$846=$A1637) * ($D$768:$D$846= $D1637) * (K$768:K$846) )  +  SUM( ($A$933:$A$1011=$A1637) * ($D$933:$D$1011= $D1637) * (K$933:K$1011) ) + SUM( ($E$1016:$E$1039=$E$1427)*($A$1016:$A$1039=$A1637) * ($D$1016:$D$1039=$D1637)*(K$1016:K$1039) ) )</f>
        <v>0</v>
      </c>
      <c r="L1637" s="1379">
        <f t="array" ref="L1637" xml:space="preserve"> SUM(EF[N2O] * (EF[SATIM Code]= $D1637))  * (SUM( ($A$768:$A$846=$A1637) * ($D$768:$D$846= $D1637) * (L$768:L$846) )  +  SUM( ($A$933:$A$1011=$A1637) * ($D$933:$D$1011= $D1637) * (L$933:L$1011) ) + SUM( ($E$1016:$E$1039=$E$1427)*($A$1016:$A$1039=$A1637) * ($D$1016:$D$1039=$D1637)*(L$1016:L$1039) ) )</f>
        <v>0</v>
      </c>
      <c r="M1637" s="1379">
        <f t="array" ref="M1637" xml:space="preserve"> SUM(EF[N2O] * (EF[SATIM Code]= $D1637))  * (SUM( ($A$768:$A$846=$A1637) * ($D$768:$D$846= $D1637) * (M$768:M$846) )  +  SUM( ($A$933:$A$1011=$A1637) * ($D$933:$D$1011= $D1637) * (M$933:M$1011) ) + SUM( ($E$1016:$E$1039=$E$1427)*($A$1016:$A$1039=$A1637) * ($D$1016:$D$1039=$D1637)*(M$1016:M$1039) ) )</f>
        <v>0</v>
      </c>
      <c r="N1637" s="1379">
        <f t="array" ref="N1637" xml:space="preserve"> SUM(EF[N2O] * (EF[SATIM Code]= $D1637))  * (SUM( ($A$768:$A$846=$A1637) * ($D$768:$D$846= $D1637) * (N$768:N$846) )  +  SUM( ($A$933:$A$1011=$A1637) * ($D$933:$D$1011= $D1637) * (N$933:N$1011) ) + SUM( ($E$1016:$E$1039=$E$1427)*($A$1016:$A$1039=$A1637) * ($D$1016:$D$1039=$D1637)*(N$1016:N$1039) ) )</f>
        <v>0</v>
      </c>
      <c r="O1637" s="1379">
        <f t="array" ref="O1637" xml:space="preserve"> SUM(EF[N2O] * (EF[SATIM Code]= $D1637))  * (SUM( ($A$768:$A$846=$A1637) * ($D$768:$D$846= $D1637) * (O$768:O$846) )  +  SUM( ($A$933:$A$1011=$A1637) * ($D$933:$D$1011= $D1637) * (O$933:O$1011) ) + SUM( ($E$1016:$E$1039=$E$1427)*($A$1016:$A$1039=$A1637) * ($D$1016:$D$1039=$D1637)*(O$1016:O$1039) ) )</f>
        <v>0</v>
      </c>
    </row>
    <row r="1638" spans="1:15" s="19" customFormat="1" hidden="1" outlineLevel="1">
      <c r="A1638" s="19" t="str">
        <f t="shared" si="309"/>
        <v>IS</v>
      </c>
      <c r="B1638" s="1400" t="str">
        <f>INDEX(EF[UK Vector],MATCH(D1638,EF[SATIM Code],0))</f>
        <v>V.09</v>
      </c>
      <c r="C1638" s="1401" t="str">
        <f>INDEX(Vectors[Description], MATCH($B1638, Vectors[Code], 0))</f>
        <v>Dry biomass and waste</v>
      </c>
      <c r="D1638" s="1388" t="s">
        <v>889</v>
      </c>
      <c r="E1638" s="1393"/>
      <c r="F1638" s="1379">
        <f t="array" ref="F1638" xml:space="preserve"> SUM(EF[N2O] * (EF[SATIM Code]= $D1638))  * (SUM( ($A$768:$A$846=$A1638) * ($D$768:$D$846= $D1638) * (F$768:F$846) )  +  SUM( ($A$933:$A$1011=$A1638) * ($D$933:$D$1011= $D1638) * (F$933:F$1011) ) + SUM( ($E$1016:$E$1039=$E$1427)*($A$1016:$A$1039=$A1638) * ($D$1016:$D$1039=$D1638)*(F$1016:F$1039) ) )</f>
        <v>0</v>
      </c>
      <c r="G1638" s="1379">
        <f t="array" ref="G1638" xml:space="preserve"> SUM(EF[N2O] * (EF[SATIM Code]= $D1638))  * (SUM( ($A$768:$A$846=$A1638) * ($D$768:$D$846= $D1638) * (G$768:G$846) )  +  SUM( ($A$933:$A$1011=$A1638) * ($D$933:$D$1011= $D1638) * (G$933:G$1011) ) + SUM( ($E$1016:$E$1039=$E$1427)*($A$1016:$A$1039=$A1638) * ($D$1016:$D$1039=$D1638)*(G$1016:G$1039) ) )</f>
        <v>0</v>
      </c>
      <c r="H1638" s="1379">
        <f t="array" ref="H1638" xml:space="preserve"> SUM(EF[N2O] * (EF[SATIM Code]= $D1638))  * (SUM( ($A$768:$A$846=$A1638) * ($D$768:$D$846= $D1638) * (H$768:H$846) )  +  SUM( ($A$933:$A$1011=$A1638) * ($D$933:$D$1011= $D1638) * (H$933:H$1011) ) + SUM( ($E$1016:$E$1039=$E$1427)*($A$1016:$A$1039=$A1638) * ($D$1016:$D$1039=$D1638)*(H$1016:H$1039) ) )</f>
        <v>0</v>
      </c>
      <c r="I1638" s="1379">
        <f t="array" ref="I1638" xml:space="preserve"> SUM(EF[N2O] * (EF[SATIM Code]= $D1638))  * (SUM( ($A$768:$A$846=$A1638) * ($D$768:$D$846= $D1638) * (I$768:I$846) )  +  SUM( ($A$933:$A$1011=$A1638) * ($D$933:$D$1011= $D1638) * (I$933:I$1011) ) + SUM( ($E$1016:$E$1039=$E$1427)*($A$1016:$A$1039=$A1638) * ($D$1016:$D$1039=$D1638)*(I$1016:I$1039) ) )</f>
        <v>0</v>
      </c>
      <c r="J1638" s="1379">
        <f t="array" ref="J1638" xml:space="preserve"> SUM(EF[N2O] * (EF[SATIM Code]= $D1638))  * (SUM( ($A$768:$A$846=$A1638) * ($D$768:$D$846= $D1638) * (J$768:J$846) )  +  SUM( ($A$933:$A$1011=$A1638) * ($D$933:$D$1011= $D1638) * (J$933:J$1011) ) + SUM( ($E$1016:$E$1039=$E$1427)*($A$1016:$A$1039=$A1638) * ($D$1016:$D$1039=$D1638)*(J$1016:J$1039) ) )</f>
        <v>0</v>
      </c>
      <c r="K1638" s="1379">
        <f t="array" ref="K1638" xml:space="preserve"> SUM(EF[N2O] * (EF[SATIM Code]= $D1638))  * (SUM( ($A$768:$A$846=$A1638) * ($D$768:$D$846= $D1638) * (K$768:K$846) )  +  SUM( ($A$933:$A$1011=$A1638) * ($D$933:$D$1011= $D1638) * (K$933:K$1011) ) + SUM( ($E$1016:$E$1039=$E$1427)*($A$1016:$A$1039=$A1638) * ($D$1016:$D$1039=$D1638)*(K$1016:K$1039) ) )</f>
        <v>0</v>
      </c>
      <c r="L1638" s="1379">
        <f t="array" ref="L1638" xml:space="preserve"> SUM(EF[N2O] * (EF[SATIM Code]= $D1638))  * (SUM( ($A$768:$A$846=$A1638) * ($D$768:$D$846= $D1638) * (L$768:L$846) )  +  SUM( ($A$933:$A$1011=$A1638) * ($D$933:$D$1011= $D1638) * (L$933:L$1011) ) + SUM( ($E$1016:$E$1039=$E$1427)*($A$1016:$A$1039=$A1638) * ($D$1016:$D$1039=$D1638)*(L$1016:L$1039) ) )</f>
        <v>0</v>
      </c>
      <c r="M1638" s="1379">
        <f t="array" ref="M1638" xml:space="preserve"> SUM(EF[N2O] * (EF[SATIM Code]= $D1638))  * (SUM( ($A$768:$A$846=$A1638) * ($D$768:$D$846= $D1638) * (M$768:M$846) )  +  SUM( ($A$933:$A$1011=$A1638) * ($D$933:$D$1011= $D1638) * (M$933:M$1011) ) + SUM( ($E$1016:$E$1039=$E$1427)*($A$1016:$A$1039=$A1638) * ($D$1016:$D$1039=$D1638)*(M$1016:M$1039) ) )</f>
        <v>0</v>
      </c>
      <c r="N1638" s="1379">
        <f t="array" ref="N1638" xml:space="preserve"> SUM(EF[N2O] * (EF[SATIM Code]= $D1638))  * (SUM( ($A$768:$A$846=$A1638) * ($D$768:$D$846= $D1638) * (N$768:N$846) )  +  SUM( ($A$933:$A$1011=$A1638) * ($D$933:$D$1011= $D1638) * (N$933:N$1011) ) + SUM( ($E$1016:$E$1039=$E$1427)*($A$1016:$A$1039=$A1638) * ($D$1016:$D$1039=$D1638)*(N$1016:N$1039) ) )</f>
        <v>0</v>
      </c>
      <c r="O1638" s="1379">
        <f t="array" ref="O1638" xml:space="preserve"> SUM(EF[N2O] * (EF[SATIM Code]= $D1638))  * (SUM( ($A$768:$A$846=$A1638) * ($D$768:$D$846= $D1638) * (O$768:O$846) )  +  SUM( ($A$933:$A$1011=$A1638) * ($D$933:$D$1011= $D1638) * (O$933:O$1011) ) + SUM( ($E$1016:$E$1039=$E$1427)*($A$1016:$A$1039=$A1638) * ($D$1016:$D$1039=$D1638)*(O$1016:O$1039) ) )</f>
        <v>0</v>
      </c>
    </row>
    <row r="1639" spans="1:15" s="19" customFormat="1" hidden="1" outlineLevel="1">
      <c r="A1639" s="19" t="str">
        <f t="shared" si="309"/>
        <v>IS</v>
      </c>
      <c r="B1639" s="1400" t="str">
        <f>INDEX(EF[UK Vector],MATCH(D1639,EF[SATIM Code],0))</f>
        <v>V.16</v>
      </c>
      <c r="C1639" s="1401" t="str">
        <f>INDEX(Vectors[Description], MATCH($B1639, Vectors[Code], 0))</f>
        <v>Other Waste</v>
      </c>
      <c r="D1639" s="1408" t="s">
        <v>890</v>
      </c>
      <c r="E1639" s="1401"/>
      <c r="F1639" s="1379">
        <f t="array" ref="F1639" xml:space="preserve"> SUM(EF[N2O] * (EF[SATIM Code]= $D1639))  * (SUM( ($A$768:$A$846=$A1639) * ($D$768:$D$846= $D1639) * (F$768:F$846) )  +  SUM( ($A$933:$A$1011=$A1639) * ($D$933:$D$1011= $D1639) * (F$933:F$1011) ) + SUM( ($E$1016:$E$1039=$E$1427)*($A$1016:$A$1039=$A1639) * ($D$1016:$D$1039=$D1639)*(F$1016:F$1039) ) )</f>
        <v>0</v>
      </c>
      <c r="G1639" s="1379">
        <f t="array" ref="G1639" xml:space="preserve"> SUM(EF[N2O] * (EF[SATIM Code]= $D1639))  * (SUM( ($A$768:$A$846=$A1639) * ($D$768:$D$846= $D1639) * (G$768:G$846) )  +  SUM( ($A$933:$A$1011=$A1639) * ($D$933:$D$1011= $D1639) * (G$933:G$1011) ) + SUM( ($E$1016:$E$1039=$E$1427)*($A$1016:$A$1039=$A1639) * ($D$1016:$D$1039=$D1639)*(G$1016:G$1039) ) )</f>
        <v>0</v>
      </c>
      <c r="H1639" s="1379">
        <f t="array" ref="H1639" xml:space="preserve"> SUM(EF[N2O] * (EF[SATIM Code]= $D1639))  * (SUM( ($A$768:$A$846=$A1639) * ($D$768:$D$846= $D1639) * (H$768:H$846) )  +  SUM( ($A$933:$A$1011=$A1639) * ($D$933:$D$1011= $D1639) * (H$933:H$1011) ) + SUM( ($E$1016:$E$1039=$E$1427)*($A$1016:$A$1039=$A1639) * ($D$1016:$D$1039=$D1639)*(H$1016:H$1039) ) )</f>
        <v>0</v>
      </c>
      <c r="I1639" s="1379">
        <f t="array" ref="I1639" xml:space="preserve"> SUM(EF[N2O] * (EF[SATIM Code]= $D1639))  * (SUM( ($A$768:$A$846=$A1639) * ($D$768:$D$846= $D1639) * (I$768:I$846) )  +  SUM( ($A$933:$A$1011=$A1639) * ($D$933:$D$1011= $D1639) * (I$933:I$1011) ) + SUM( ($E$1016:$E$1039=$E$1427)*($A$1016:$A$1039=$A1639) * ($D$1016:$D$1039=$D1639)*(I$1016:I$1039) ) )</f>
        <v>0</v>
      </c>
      <c r="J1639" s="1379">
        <f t="array" ref="J1639" xml:space="preserve"> SUM(EF[N2O] * (EF[SATIM Code]= $D1639))  * (SUM( ($A$768:$A$846=$A1639) * ($D$768:$D$846= $D1639) * (J$768:J$846) )  +  SUM( ($A$933:$A$1011=$A1639) * ($D$933:$D$1011= $D1639) * (J$933:J$1011) ) + SUM( ($E$1016:$E$1039=$E$1427)*($A$1016:$A$1039=$A1639) * ($D$1016:$D$1039=$D1639)*(J$1016:J$1039) ) )</f>
        <v>0</v>
      </c>
      <c r="K1639" s="1379">
        <f t="array" ref="K1639" xml:space="preserve"> SUM(EF[N2O] * (EF[SATIM Code]= $D1639))  * (SUM( ($A$768:$A$846=$A1639) * ($D$768:$D$846= $D1639) * (K$768:K$846) )  +  SUM( ($A$933:$A$1011=$A1639) * ($D$933:$D$1011= $D1639) * (K$933:K$1011) ) + SUM( ($E$1016:$E$1039=$E$1427)*($A$1016:$A$1039=$A1639) * ($D$1016:$D$1039=$D1639)*(K$1016:K$1039) ) )</f>
        <v>0</v>
      </c>
      <c r="L1639" s="1379">
        <f t="array" ref="L1639" xml:space="preserve"> SUM(EF[N2O] * (EF[SATIM Code]= $D1639))  * (SUM( ($A$768:$A$846=$A1639) * ($D$768:$D$846= $D1639) * (L$768:L$846) )  +  SUM( ($A$933:$A$1011=$A1639) * ($D$933:$D$1011= $D1639) * (L$933:L$1011) ) + SUM( ($E$1016:$E$1039=$E$1427)*($A$1016:$A$1039=$A1639) * ($D$1016:$D$1039=$D1639)*(L$1016:L$1039) ) )</f>
        <v>0</v>
      </c>
      <c r="M1639" s="1379">
        <f t="array" ref="M1639" xml:space="preserve"> SUM(EF[N2O] * (EF[SATIM Code]= $D1639))  * (SUM( ($A$768:$A$846=$A1639) * ($D$768:$D$846= $D1639) * (M$768:M$846) )  +  SUM( ($A$933:$A$1011=$A1639) * ($D$933:$D$1011= $D1639) * (M$933:M$1011) ) + SUM( ($E$1016:$E$1039=$E$1427)*($A$1016:$A$1039=$A1639) * ($D$1016:$D$1039=$D1639)*(M$1016:M$1039) ) )</f>
        <v>0</v>
      </c>
      <c r="N1639" s="1379">
        <f t="array" ref="N1639" xml:space="preserve"> SUM(EF[N2O] * (EF[SATIM Code]= $D1639))  * (SUM( ($A$768:$A$846=$A1639) * ($D$768:$D$846= $D1639) * (N$768:N$846) )  +  SUM( ($A$933:$A$1011=$A1639) * ($D$933:$D$1011= $D1639) * (N$933:N$1011) ) + SUM( ($E$1016:$E$1039=$E$1427)*($A$1016:$A$1039=$A1639) * ($D$1016:$D$1039=$D1639)*(N$1016:N$1039) ) )</f>
        <v>0</v>
      </c>
      <c r="O1639" s="1379">
        <f t="array" ref="O1639" xml:space="preserve"> SUM(EF[N2O] * (EF[SATIM Code]= $D1639))  * (SUM( ($A$768:$A$846=$A1639) * ($D$768:$D$846= $D1639) * (O$768:O$846) )  +  SUM( ($A$933:$A$1011=$A1639) * ($D$933:$D$1011= $D1639) * (O$933:O$1011) ) + SUM( ($E$1016:$E$1039=$E$1427)*($A$1016:$A$1039=$A1639) * ($D$1016:$D$1039=$D1639)*(O$1016:O$1039) ) )</f>
        <v>0</v>
      </c>
    </row>
    <row r="1640" spans="1:15" s="19" customFormat="1" hidden="1" outlineLevel="1">
      <c r="B1640" s="1393"/>
      <c r="C1640" s="1407" t="str">
        <f>D22</f>
        <v>Chemicals  -33</v>
      </c>
      <c r="D1640" s="1391"/>
      <c r="E1640" s="1401"/>
      <c r="F1640" s="1379">
        <f t="array" ref="F1640" xml:space="preserve"> SUM(EF[N2O] * (EF[SATIM Code]= $D1640))  * (SUM( ($A$768:$A$846=$A1640) * ($D$768:$D$846= $D1640) * (F$768:F$846) )  +  SUM( ($A$933:$A$1011=$A1640) * ($D$933:$D$1011= $D1640) * (F$933:F$1011) ) + SUM( ($E$1016:$E$1039=$E$1427)*($A$1016:$A$1039=$A1640) * ($D$1016:$D$1039=$D1640)*(F$1016:F$1039) ) )</f>
        <v>0</v>
      </c>
      <c r="G1640" s="1379">
        <f t="array" ref="G1640" xml:space="preserve"> SUM(EF[N2O] * (EF[SATIM Code]= $D1640))  * (SUM( ($A$768:$A$846=$A1640) * ($D$768:$D$846= $D1640) * (G$768:G$846) )  +  SUM( ($A$933:$A$1011=$A1640) * ($D$933:$D$1011= $D1640) * (G$933:G$1011) ) + SUM( ($E$1016:$E$1039=$E$1427)*($A$1016:$A$1039=$A1640) * ($D$1016:$D$1039=$D1640)*(G$1016:G$1039) ) )</f>
        <v>0</v>
      </c>
      <c r="H1640" s="1379">
        <f t="array" ref="H1640" xml:space="preserve"> SUM(EF[N2O] * (EF[SATIM Code]= $D1640))  * (SUM( ($A$768:$A$846=$A1640) * ($D$768:$D$846= $D1640) * (H$768:H$846) )  +  SUM( ($A$933:$A$1011=$A1640) * ($D$933:$D$1011= $D1640) * (H$933:H$1011) ) + SUM( ($E$1016:$E$1039=$E$1427)*($A$1016:$A$1039=$A1640) * ($D$1016:$D$1039=$D1640)*(H$1016:H$1039) ) )</f>
        <v>0</v>
      </c>
      <c r="I1640" s="1379">
        <f t="array" ref="I1640" xml:space="preserve"> SUM(EF[N2O] * (EF[SATIM Code]= $D1640))  * (SUM( ($A$768:$A$846=$A1640) * ($D$768:$D$846= $D1640) * (I$768:I$846) )  +  SUM( ($A$933:$A$1011=$A1640) * ($D$933:$D$1011= $D1640) * (I$933:I$1011) ) + SUM( ($E$1016:$E$1039=$E$1427)*($A$1016:$A$1039=$A1640) * ($D$1016:$D$1039=$D1640)*(I$1016:I$1039) ) )</f>
        <v>0</v>
      </c>
      <c r="J1640" s="1379">
        <f t="array" ref="J1640" xml:space="preserve"> SUM(EF[N2O] * (EF[SATIM Code]= $D1640))  * (SUM( ($A$768:$A$846=$A1640) * ($D$768:$D$846= $D1640) * (J$768:J$846) )  +  SUM( ($A$933:$A$1011=$A1640) * ($D$933:$D$1011= $D1640) * (J$933:J$1011) ) + SUM( ($E$1016:$E$1039=$E$1427)*($A$1016:$A$1039=$A1640) * ($D$1016:$D$1039=$D1640)*(J$1016:J$1039) ) )</f>
        <v>0</v>
      </c>
      <c r="K1640" s="1379">
        <f t="array" ref="K1640" xml:space="preserve"> SUM(EF[N2O] * (EF[SATIM Code]= $D1640))  * (SUM( ($A$768:$A$846=$A1640) * ($D$768:$D$846= $D1640) * (K$768:K$846) )  +  SUM( ($A$933:$A$1011=$A1640) * ($D$933:$D$1011= $D1640) * (K$933:K$1011) ) + SUM( ($E$1016:$E$1039=$E$1427)*($A$1016:$A$1039=$A1640) * ($D$1016:$D$1039=$D1640)*(K$1016:K$1039) ) )</f>
        <v>0</v>
      </c>
      <c r="L1640" s="1379">
        <f t="array" ref="L1640" xml:space="preserve"> SUM(EF[N2O] * (EF[SATIM Code]= $D1640))  * (SUM( ($A$768:$A$846=$A1640) * ($D$768:$D$846= $D1640) * (L$768:L$846) )  +  SUM( ($A$933:$A$1011=$A1640) * ($D$933:$D$1011= $D1640) * (L$933:L$1011) ) + SUM( ($E$1016:$E$1039=$E$1427)*($A$1016:$A$1039=$A1640) * ($D$1016:$D$1039=$D1640)*(L$1016:L$1039) ) )</f>
        <v>0</v>
      </c>
      <c r="M1640" s="1379">
        <f t="array" ref="M1640" xml:space="preserve"> SUM(EF[N2O] * (EF[SATIM Code]= $D1640))  * (SUM( ($A$768:$A$846=$A1640) * ($D$768:$D$846= $D1640) * (M$768:M$846) )  +  SUM( ($A$933:$A$1011=$A1640) * ($D$933:$D$1011= $D1640) * (M$933:M$1011) ) + SUM( ($E$1016:$E$1039=$E$1427)*($A$1016:$A$1039=$A1640) * ($D$1016:$D$1039=$D1640)*(M$1016:M$1039) ) )</f>
        <v>0</v>
      </c>
      <c r="N1640" s="1379">
        <f t="array" ref="N1640" xml:space="preserve"> SUM(EF[N2O] * (EF[SATIM Code]= $D1640))  * (SUM( ($A$768:$A$846=$A1640) * ($D$768:$D$846= $D1640) * (N$768:N$846) )  +  SUM( ($A$933:$A$1011=$A1640) * ($D$933:$D$1011= $D1640) * (N$933:N$1011) ) + SUM( ($E$1016:$E$1039=$E$1427)*($A$1016:$A$1039=$A1640) * ($D$1016:$D$1039=$D1640)*(N$1016:N$1039) ) )</f>
        <v>0</v>
      </c>
      <c r="O1640" s="1379">
        <f t="array" ref="O1640" xml:space="preserve"> SUM(EF[N2O] * (EF[SATIM Code]= $D1640))  * (SUM( ($A$768:$A$846=$A1640) * ($D$768:$D$846= $D1640) * (O$768:O$846) )  +  SUM( ($A$933:$A$1011=$A1640) * ($D$933:$D$1011= $D1640) * (O$933:O$1011) ) + SUM( ($E$1016:$E$1039=$E$1427)*($A$1016:$A$1039=$A1640) * ($D$1016:$D$1039=$D1640)*(O$1016:O$1039) ) )</f>
        <v>0</v>
      </c>
    </row>
    <row r="1641" spans="1:15" s="19" customFormat="1" hidden="1" outlineLevel="1">
      <c r="A1641" s="1438" t="str">
        <f>INDEX($C$20:$C$27,MATCH($C1640,$D$20:$D$27,0))</f>
        <v>CP</v>
      </c>
      <c r="B1641" s="1400" t="str">
        <f>INDEX(EF[UK Vector],MATCH(D1641,EF[SATIM Code],0))</f>
        <v>V.03</v>
      </c>
      <c r="C1641" s="1401" t="str">
        <f>INDEX(Vectors[Description], MATCH($B1641, Vectors[Code], 0))</f>
        <v>Solid hydrocarbons</v>
      </c>
      <c r="D1641" s="1391" t="s">
        <v>882</v>
      </c>
      <c r="E1641" s="1387"/>
      <c r="F1641" s="1379">
        <f t="array" ref="F1641" xml:space="preserve"> SUM(EF[N2O] * (EF[SATIM Code]= $D1641))  * (SUM( ($A$768:$A$846=$A1641) * ($D$768:$D$846= $D1641) * (F$768:F$846) )  +  SUM( ($A$933:$A$1011=$A1641) * ($D$933:$D$1011= $D1641) * (F$933:F$1011) ) + SUM( ($E$1016:$E$1039=$E$1427)*($A$1016:$A$1039=$A1641) * ($D$1016:$D$1039=$D1641)*(F$1016:F$1039) ) )</f>
        <v>2.2065380693999999E-2</v>
      </c>
      <c r="G1641" s="1379">
        <f t="array" ref="G1641" xml:space="preserve"> SUM(EF[N2O] * (EF[SATIM Code]= $D1641))  * (SUM( ($A$768:$A$846=$A1641) * ($D$768:$D$846= $D1641) * (G$768:G$846) )  +  SUM( ($A$933:$A$1011=$A1641) * ($D$933:$D$1011= $D1641) * (G$933:G$1011) ) + SUM( ($E$1016:$E$1039=$E$1427)*($A$1016:$A$1039=$A1641) * ($D$1016:$D$1039=$D1641)*(G$1016:G$1039) ) )</f>
        <v>2.5175906345965556E-2</v>
      </c>
      <c r="H1641" s="1379">
        <f t="array" ref="H1641" xml:space="preserve"> SUM(EF[N2O] * (EF[SATIM Code]= $D1641))  * (SUM( ($A$768:$A$846=$A1641) * ($D$768:$D$846= $D1641) * (H$768:H$846) )  +  SUM( ($A$933:$A$1011=$A1641) * ($D$933:$D$1011= $D1641) * (H$933:H$1011) ) + SUM( ($E$1016:$E$1039=$E$1427)*($A$1016:$A$1039=$A1641) * ($D$1016:$D$1039=$D1641)*(H$1016:H$1039) ) )</f>
        <v>2.7825264598601414E-2</v>
      </c>
      <c r="I1641" s="1379">
        <f t="array" ref="I1641" xml:space="preserve"> SUM(EF[N2O] * (EF[SATIM Code]= $D1641))  * (SUM( ($A$768:$A$846=$A1641) * ($D$768:$D$846= $D1641) * (I$768:I$846) )  +  SUM( ($A$933:$A$1011=$A1641) * ($D$933:$D$1011= $D1641) * (I$933:I$1011) ) + SUM( ($E$1016:$E$1039=$E$1427)*($A$1016:$A$1039=$A1641) * ($D$1016:$D$1039=$D1641)*(I$1016:I$1039) ) )</f>
        <v>3.0474622851237275E-2</v>
      </c>
      <c r="J1641" s="1379">
        <f t="array" ref="J1641" xml:space="preserve"> SUM(EF[N2O] * (EF[SATIM Code]= $D1641))  * (SUM( ($A$768:$A$846=$A1641) * ($D$768:$D$846= $D1641) * (J$768:J$846) )  +  SUM( ($A$933:$A$1011=$A1641) * ($D$933:$D$1011= $D1641) * (J$933:J$1011) ) + SUM( ($E$1016:$E$1039=$E$1427)*($A$1016:$A$1039=$A1641) * ($D$1016:$D$1039=$D1641)*(J$1016:J$1039) ) )</f>
        <v>3.4131841900010909E-2</v>
      </c>
      <c r="K1641" s="1379">
        <f t="array" ref="K1641" xml:space="preserve"> SUM(EF[N2O] * (EF[SATIM Code]= $D1641))  * (SUM( ($A$768:$A$846=$A1641) * ($D$768:$D$846= $D1641) * (K$768:K$846) )  +  SUM( ($A$933:$A$1011=$A1641) * ($D$933:$D$1011= $D1641) * (K$933:K$1011) ) + SUM( ($E$1016:$E$1039=$E$1427)*($A$1016:$A$1039=$A1641) * ($D$1016:$D$1039=$D1641)*(K$1016:K$1039) ) )</f>
        <v>3.7789060948784536E-2</v>
      </c>
      <c r="L1641" s="1379">
        <f t="array" ref="L1641" xml:space="preserve"> SUM(EF[N2O] * (EF[SATIM Code]= $D1641))  * (SUM( ($A$768:$A$846=$A1641) * ($D$768:$D$846= $D1641) * (L$768:L$846) )  +  SUM( ($A$933:$A$1011=$A1641) * ($D$933:$D$1011= $D1641) * (L$933:L$1011) ) + SUM( ($E$1016:$E$1039=$E$1427)*($A$1016:$A$1039=$A1641) * ($D$1016:$D$1039=$D1641)*(L$1016:L$1039) ) )</f>
        <v>4.5471129890035732E-2</v>
      </c>
      <c r="M1641" s="1379">
        <f t="array" ref="M1641" xml:space="preserve"> SUM(EF[N2O] * (EF[SATIM Code]= $D1641))  * (SUM( ($A$768:$A$846=$A1641) * ($D$768:$D$846= $D1641) * (M$768:M$846) )  +  SUM( ($A$933:$A$1011=$A1641) * ($D$933:$D$1011= $D1641) * (M$933:M$1011) ) + SUM( ($E$1016:$E$1039=$E$1427)*($A$1016:$A$1039=$A1641) * ($D$1016:$D$1039=$D1641)*(M$1016:M$1039) ) )</f>
        <v>5.3153198831286927E-2</v>
      </c>
      <c r="N1641" s="1379">
        <f t="array" ref="N1641" xml:space="preserve"> SUM(EF[N2O] * (EF[SATIM Code]= $D1641))  * (SUM( ($A$768:$A$846=$A1641) * ($D$768:$D$846= $D1641) * (N$768:N$846) )  +  SUM( ($A$933:$A$1011=$A1641) * ($D$933:$D$1011= $D1641) * (N$933:N$1011) ) + SUM( ($E$1016:$E$1039=$E$1427)*($A$1016:$A$1039=$A1641) * ($D$1016:$D$1039=$D1641)*(N$1016:N$1039) ) )</f>
        <v>6.0725652801082074E-2</v>
      </c>
      <c r="O1641" s="1379">
        <f t="array" ref="O1641" xml:space="preserve"> SUM(EF[N2O] * (EF[SATIM Code]= $D1641))  * (SUM( ($A$768:$A$846=$A1641) * ($D$768:$D$846= $D1641) * (O$768:O$846) )  +  SUM( ($A$933:$A$1011=$A1641) * ($D$933:$D$1011= $D1641) * (O$933:O$1011) ) + SUM( ($E$1016:$E$1039=$E$1427)*($A$1016:$A$1039=$A1641) * ($D$1016:$D$1039=$D1641)*(O$1016:O$1039) ) )</f>
        <v>6.829810677087722E-2</v>
      </c>
    </row>
    <row r="1642" spans="1:15" s="19" customFormat="1" hidden="1" outlineLevel="1">
      <c r="A1642" s="19" t="str">
        <f t="shared" ref="A1642:A1649" si="310">A1641</f>
        <v>CP</v>
      </c>
      <c r="B1642" s="1400" t="str">
        <f>INDEX(EF[UK Vector],MATCH(D1642,EF[SATIM Code],0))</f>
        <v>V.03</v>
      </c>
      <c r="C1642" s="1401" t="str">
        <f>INDEX(Vectors[Description], MATCH($B1642, Vectors[Code], 0))</f>
        <v>Solid hydrocarbons</v>
      </c>
      <c r="D1642" s="1391" t="s">
        <v>883</v>
      </c>
      <c r="E1642" s="1387"/>
      <c r="F1642" s="1379">
        <f t="array" ref="F1642" xml:space="preserve"> SUM(EF[N2O] * (EF[SATIM Code]= $D1642))  * (SUM( ($A$768:$A$846=$A1642) * ($D$768:$D$846= $D1642) * (F$768:F$846) )  +  SUM( ($A$933:$A$1011=$A1642) * ($D$933:$D$1011= $D1642) * (F$933:F$1011) ) + SUM( ($E$1016:$E$1039=$E$1427)*($A$1016:$A$1039=$A1642) * ($D$1016:$D$1039=$D1642)*(F$1016:F$1039) ) )</f>
        <v>0</v>
      </c>
      <c r="G1642" s="1379">
        <f t="array" ref="G1642" xml:space="preserve"> SUM(EF[N2O] * (EF[SATIM Code]= $D1642))  * (SUM( ($A$768:$A$846=$A1642) * ($D$768:$D$846= $D1642) * (G$768:G$846) )  +  SUM( ($A$933:$A$1011=$A1642) * ($D$933:$D$1011= $D1642) * (G$933:G$1011) ) + SUM( ($E$1016:$E$1039=$E$1427)*($A$1016:$A$1039=$A1642) * ($D$1016:$D$1039=$D1642)*(G$1016:G$1039) ) )</f>
        <v>0</v>
      </c>
      <c r="H1642" s="1379">
        <f t="array" ref="H1642" xml:space="preserve"> SUM(EF[N2O] * (EF[SATIM Code]= $D1642))  * (SUM( ($A$768:$A$846=$A1642) * ($D$768:$D$846= $D1642) * (H$768:H$846) )  +  SUM( ($A$933:$A$1011=$A1642) * ($D$933:$D$1011= $D1642) * (H$933:H$1011) ) + SUM( ($E$1016:$E$1039=$E$1427)*($A$1016:$A$1039=$A1642) * ($D$1016:$D$1039=$D1642)*(H$1016:H$1039) ) )</f>
        <v>0</v>
      </c>
      <c r="I1642" s="1379">
        <f t="array" ref="I1642" xml:space="preserve"> SUM(EF[N2O] * (EF[SATIM Code]= $D1642))  * (SUM( ($A$768:$A$846=$A1642) * ($D$768:$D$846= $D1642) * (I$768:I$846) )  +  SUM( ($A$933:$A$1011=$A1642) * ($D$933:$D$1011= $D1642) * (I$933:I$1011) ) + SUM( ($E$1016:$E$1039=$E$1427)*($A$1016:$A$1039=$A1642) * ($D$1016:$D$1039=$D1642)*(I$1016:I$1039) ) )</f>
        <v>0</v>
      </c>
      <c r="J1642" s="1379">
        <f t="array" ref="J1642" xml:space="preserve"> SUM(EF[N2O] * (EF[SATIM Code]= $D1642))  * (SUM( ($A$768:$A$846=$A1642) * ($D$768:$D$846= $D1642) * (J$768:J$846) )  +  SUM( ($A$933:$A$1011=$A1642) * ($D$933:$D$1011= $D1642) * (J$933:J$1011) ) + SUM( ($E$1016:$E$1039=$E$1427)*($A$1016:$A$1039=$A1642) * ($D$1016:$D$1039=$D1642)*(J$1016:J$1039) ) )</f>
        <v>0</v>
      </c>
      <c r="K1642" s="1379">
        <f t="array" ref="K1642" xml:space="preserve"> SUM(EF[N2O] * (EF[SATIM Code]= $D1642))  * (SUM( ($A$768:$A$846=$A1642) * ($D$768:$D$846= $D1642) * (K$768:K$846) )  +  SUM( ($A$933:$A$1011=$A1642) * ($D$933:$D$1011= $D1642) * (K$933:K$1011) ) + SUM( ($E$1016:$E$1039=$E$1427)*($A$1016:$A$1039=$A1642) * ($D$1016:$D$1039=$D1642)*(K$1016:K$1039) ) )</f>
        <v>0</v>
      </c>
      <c r="L1642" s="1379">
        <f t="array" ref="L1642" xml:space="preserve"> SUM(EF[N2O] * (EF[SATIM Code]= $D1642))  * (SUM( ($A$768:$A$846=$A1642) * ($D$768:$D$846= $D1642) * (L$768:L$846) )  +  SUM( ($A$933:$A$1011=$A1642) * ($D$933:$D$1011= $D1642) * (L$933:L$1011) ) + SUM( ($E$1016:$E$1039=$E$1427)*($A$1016:$A$1039=$A1642) * ($D$1016:$D$1039=$D1642)*(L$1016:L$1039) ) )</f>
        <v>0</v>
      </c>
      <c r="M1642" s="1379">
        <f t="array" ref="M1642" xml:space="preserve"> SUM(EF[N2O] * (EF[SATIM Code]= $D1642))  * (SUM( ($A$768:$A$846=$A1642) * ($D$768:$D$846= $D1642) * (M$768:M$846) )  +  SUM( ($A$933:$A$1011=$A1642) * ($D$933:$D$1011= $D1642) * (M$933:M$1011) ) + SUM( ($E$1016:$E$1039=$E$1427)*($A$1016:$A$1039=$A1642) * ($D$1016:$D$1039=$D1642)*(M$1016:M$1039) ) )</f>
        <v>0</v>
      </c>
      <c r="N1642" s="1379">
        <f t="array" ref="N1642" xml:space="preserve"> SUM(EF[N2O] * (EF[SATIM Code]= $D1642))  * (SUM( ($A$768:$A$846=$A1642) * ($D$768:$D$846= $D1642) * (N$768:N$846) )  +  SUM( ($A$933:$A$1011=$A1642) * ($D$933:$D$1011= $D1642) * (N$933:N$1011) ) + SUM( ($E$1016:$E$1039=$E$1427)*($A$1016:$A$1039=$A1642) * ($D$1016:$D$1039=$D1642)*(N$1016:N$1039) ) )</f>
        <v>0</v>
      </c>
      <c r="O1642" s="1379">
        <f t="array" ref="O1642" xml:space="preserve"> SUM(EF[N2O] * (EF[SATIM Code]= $D1642))  * (SUM( ($A$768:$A$846=$A1642) * ($D$768:$D$846= $D1642) * (O$768:O$846) )  +  SUM( ($A$933:$A$1011=$A1642) * ($D$933:$D$1011= $D1642) * (O$933:O$1011) ) + SUM( ($E$1016:$E$1039=$E$1427)*($A$1016:$A$1039=$A1642) * ($D$1016:$D$1039=$D1642)*(O$1016:O$1039) ) )</f>
        <v>0</v>
      </c>
    </row>
    <row r="1643" spans="1:15" s="19" customFormat="1" hidden="1" outlineLevel="1">
      <c r="A1643" s="19" t="str">
        <f t="shared" si="310"/>
        <v>CP</v>
      </c>
      <c r="B1643" s="1400" t="str">
        <f>INDEX(EF[UK Vector],MATCH(D1643,EF[SATIM Code],0))</f>
        <v>V.05</v>
      </c>
      <c r="C1643" s="1401" t="str">
        <f>INDEX(Vectors[Description], MATCH($B1643, Vectors[Code], 0))</f>
        <v>Gaseous hydrocarbons</v>
      </c>
      <c r="D1643" s="1406" t="s">
        <v>869</v>
      </c>
      <c r="E1643" s="1401"/>
      <c r="F1643" s="1379">
        <f t="array" ref="F1643" xml:space="preserve"> SUM(EF[N2O] * (EF[SATIM Code]= $D1643))  * (SUM( ($A$768:$A$846=$A1643) * ($D$768:$D$846= $D1643) * (F$768:F$846) )  +  SUM( ($A$933:$A$1011=$A1643) * ($D$933:$D$1011= $D1643) * (F$933:F$1011) ) + SUM( ($E$1016:$E$1039=$E$1427)*($A$1016:$A$1039=$A1643) * ($D$1016:$D$1039=$D1643)*(F$1016:F$1039) ) )</f>
        <v>1.8327792100000001E-3</v>
      </c>
      <c r="G1643" s="1379">
        <f t="array" ref="G1643" xml:space="preserve"> SUM(EF[N2O] * (EF[SATIM Code]= $D1643))  * (SUM( ($A$768:$A$846=$A1643) * ($D$768:$D$846= $D1643) * (G$768:G$846) )  +  SUM( ($A$933:$A$1011=$A1643) * ($D$933:$D$1011= $D1643) * (G$933:G$1011) ) + SUM( ($E$1016:$E$1039=$E$1427)*($A$1016:$A$1039=$A1643) * ($D$1016:$D$1039=$D1643)*(G$1016:G$1039) ) )</f>
        <v>2.0911435149786289E-3</v>
      </c>
      <c r="H1643" s="1379">
        <f t="array" ref="H1643" xml:space="preserve"> SUM(EF[N2O] * (EF[SATIM Code]= $D1643))  * (SUM( ($A$768:$A$846=$A1643) * ($D$768:$D$846= $D1643) * (H$768:H$846) )  +  SUM( ($A$933:$A$1011=$A1643) * ($D$933:$D$1011= $D1643) * (H$933:H$1011) ) + SUM( ($E$1016:$E$1039=$E$1427)*($A$1016:$A$1039=$A1643) * ($D$1016:$D$1039=$D1643)*(H$1016:H$1039) ) )</f>
        <v>2.311202656155979E-3</v>
      </c>
      <c r="I1643" s="1379">
        <f t="array" ref="I1643" xml:space="preserve"> SUM(EF[N2O] * (EF[SATIM Code]= $D1643))  * (SUM( ($A$768:$A$846=$A1643) * ($D$768:$D$846= $D1643) * (I$768:I$846) )  +  SUM( ($A$933:$A$1011=$A1643) * ($D$933:$D$1011= $D1643) * (I$933:I$1011) ) + SUM( ($E$1016:$E$1039=$E$1427)*($A$1016:$A$1039=$A1643) * ($D$1016:$D$1039=$D1643)*(I$1016:I$1039) ) )</f>
        <v>2.5312617973333295E-3</v>
      </c>
      <c r="J1643" s="1379">
        <f t="array" ref="J1643" xml:space="preserve"> SUM(EF[N2O] * (EF[SATIM Code]= $D1643))  * (SUM( ($A$768:$A$846=$A1643) * ($D$768:$D$846= $D1643) * (J$768:J$846) )  +  SUM( ($A$933:$A$1011=$A1643) * ($D$933:$D$1011= $D1643) * (J$933:J$1011) ) + SUM( ($E$1016:$E$1039=$E$1427)*($A$1016:$A$1039=$A1643) * ($D$1016:$D$1039=$D1643)*(J$1016:J$1039) ) )</f>
        <v>2.8350351666652685E-3</v>
      </c>
      <c r="K1643" s="1379">
        <f t="array" ref="K1643" xml:space="preserve"> SUM(EF[N2O] * (EF[SATIM Code]= $D1643))  * (SUM( ($A$768:$A$846=$A1643) * ($D$768:$D$846= $D1643) * (K$768:K$846) )  +  SUM( ($A$933:$A$1011=$A1643) * ($D$933:$D$1011= $D1643) * (K$933:K$1011) ) + SUM( ($E$1016:$E$1039=$E$1427)*($A$1016:$A$1039=$A1643) * ($D$1016:$D$1039=$D1643)*(K$1016:K$1039) ) )</f>
        <v>3.138808535997207E-3</v>
      </c>
      <c r="L1643" s="1379">
        <f t="array" ref="L1643" xml:space="preserve"> SUM(EF[N2O] * (EF[SATIM Code]= $D1643))  * (SUM( ($A$768:$A$846=$A1643) * ($D$768:$D$846= $D1643) * (L$768:L$846) )  +  SUM( ($A$933:$A$1011=$A1643) * ($D$933:$D$1011= $D1643) * (L$933:L$1011) ) + SUM( ($E$1016:$E$1039=$E$1427)*($A$1016:$A$1039=$A1643) * ($D$1016:$D$1039=$D1643)*(L$1016:L$1039) ) )</f>
        <v>3.7768911705352271E-3</v>
      </c>
      <c r="M1643" s="1379">
        <f t="array" ref="M1643" xml:space="preserve"> SUM(EF[N2O] * (EF[SATIM Code]= $D1643))  * (SUM( ($A$768:$A$846=$A1643) * ($D$768:$D$846= $D1643) * (M$768:M$846) )  +  SUM( ($A$933:$A$1011=$A1643) * ($D$933:$D$1011= $D1643) * (M$933:M$1011) ) + SUM( ($E$1016:$E$1039=$E$1427)*($A$1016:$A$1039=$A1643) * ($D$1016:$D$1039=$D1643)*(M$1016:M$1039) ) )</f>
        <v>4.4149738050732476E-3</v>
      </c>
      <c r="N1643" s="1379">
        <f t="array" ref="N1643" xml:space="preserve"> SUM(EF[N2O] * (EF[SATIM Code]= $D1643))  * (SUM( ($A$768:$A$846=$A1643) * ($D$768:$D$846= $D1643) * (N$768:N$846) )  +  SUM( ($A$933:$A$1011=$A1643) * ($D$933:$D$1011= $D1643) * (N$933:N$1011) ) + SUM( ($E$1016:$E$1039=$E$1427)*($A$1016:$A$1039=$A1643) * ($D$1016:$D$1039=$D1643)*(N$1016:N$1039) ) )</f>
        <v>5.043951677560006E-3</v>
      </c>
      <c r="O1643" s="1379">
        <f t="array" ref="O1643" xml:space="preserve"> SUM(EF[N2O] * (EF[SATIM Code]= $D1643))  * (SUM( ($A$768:$A$846=$A1643) * ($D$768:$D$846= $D1643) * (O$768:O$846) )  +  SUM( ($A$933:$A$1011=$A1643) * ($D$933:$D$1011= $D1643) * (O$933:O$1011) ) + SUM( ($E$1016:$E$1039=$E$1427)*($A$1016:$A$1039=$A1643) * ($D$1016:$D$1039=$D1643)*(O$1016:O$1039) ) )</f>
        <v>5.6729295500467652E-3</v>
      </c>
    </row>
    <row r="1644" spans="1:15" s="19" customFormat="1" hidden="1" outlineLevel="1">
      <c r="A1644" s="19" t="str">
        <f t="shared" si="310"/>
        <v>CP</v>
      </c>
      <c r="B1644" s="1400" t="str">
        <f>INDEX(EF[UK Vector],MATCH(D1644,EF[SATIM Code],0))</f>
        <v>V.04</v>
      </c>
      <c r="C1644" s="1401" t="str">
        <f>INDEX(Vectors[Description], MATCH($B1644, Vectors[Code], 0))</f>
        <v>Liquid hydrocarbons</v>
      </c>
      <c r="D1644" s="1406" t="s">
        <v>885</v>
      </c>
      <c r="E1644" s="1401"/>
      <c r="F1644" s="1379">
        <f t="array" ref="F1644" xml:space="preserve"> SUM(EF[N2O] * (EF[SATIM Code]= $D1644))  * (SUM( ($A$768:$A$846=$A1644) * ($D$768:$D$846= $D1644) * (F$768:F$846) )  +  SUM( ($A$933:$A$1011=$A1644) * ($D$933:$D$1011= $D1644) * (F$933:F$1011) ) + SUM( ($E$1016:$E$1039=$E$1427)*($A$1016:$A$1039=$A1644) * ($D$1016:$D$1039=$D1644)*(F$1016:F$1039) ) )</f>
        <v>0</v>
      </c>
      <c r="G1644" s="1379">
        <f t="array" ref="G1644" xml:space="preserve"> SUM(EF[N2O] * (EF[SATIM Code]= $D1644))  * (SUM( ($A$768:$A$846=$A1644) * ($D$768:$D$846= $D1644) * (G$768:G$846) )  +  SUM( ($A$933:$A$1011=$A1644) * ($D$933:$D$1011= $D1644) * (G$933:G$1011) ) + SUM( ($E$1016:$E$1039=$E$1427)*($A$1016:$A$1039=$A1644) * ($D$1016:$D$1039=$D1644)*(G$1016:G$1039) ) )</f>
        <v>0</v>
      </c>
      <c r="H1644" s="1379">
        <f t="array" ref="H1644" xml:space="preserve"> SUM(EF[N2O] * (EF[SATIM Code]= $D1644))  * (SUM( ($A$768:$A$846=$A1644) * ($D$768:$D$846= $D1644) * (H$768:H$846) )  +  SUM( ($A$933:$A$1011=$A1644) * ($D$933:$D$1011= $D1644) * (H$933:H$1011) ) + SUM( ($E$1016:$E$1039=$E$1427)*($A$1016:$A$1039=$A1644) * ($D$1016:$D$1039=$D1644)*(H$1016:H$1039) ) )</f>
        <v>0</v>
      </c>
      <c r="I1644" s="1379">
        <f t="array" ref="I1644" xml:space="preserve"> SUM(EF[N2O] * (EF[SATIM Code]= $D1644))  * (SUM( ($A$768:$A$846=$A1644) * ($D$768:$D$846= $D1644) * (I$768:I$846) )  +  SUM( ($A$933:$A$1011=$A1644) * ($D$933:$D$1011= $D1644) * (I$933:I$1011) ) + SUM( ($E$1016:$E$1039=$E$1427)*($A$1016:$A$1039=$A1644) * ($D$1016:$D$1039=$D1644)*(I$1016:I$1039) ) )</f>
        <v>0</v>
      </c>
      <c r="J1644" s="1379">
        <f t="array" ref="J1644" xml:space="preserve"> SUM(EF[N2O] * (EF[SATIM Code]= $D1644))  * (SUM( ($A$768:$A$846=$A1644) * ($D$768:$D$846= $D1644) * (J$768:J$846) )  +  SUM( ($A$933:$A$1011=$A1644) * ($D$933:$D$1011= $D1644) * (J$933:J$1011) ) + SUM( ($E$1016:$E$1039=$E$1427)*($A$1016:$A$1039=$A1644) * ($D$1016:$D$1039=$D1644)*(J$1016:J$1039) ) )</f>
        <v>0</v>
      </c>
      <c r="K1644" s="1379">
        <f t="array" ref="K1644" xml:space="preserve"> SUM(EF[N2O] * (EF[SATIM Code]= $D1644))  * (SUM( ($A$768:$A$846=$A1644) * ($D$768:$D$846= $D1644) * (K$768:K$846) )  +  SUM( ($A$933:$A$1011=$A1644) * ($D$933:$D$1011= $D1644) * (K$933:K$1011) ) + SUM( ($E$1016:$E$1039=$E$1427)*($A$1016:$A$1039=$A1644) * ($D$1016:$D$1039=$D1644)*(K$1016:K$1039) ) )</f>
        <v>0</v>
      </c>
      <c r="L1644" s="1379">
        <f t="array" ref="L1644" xml:space="preserve"> SUM(EF[N2O] * (EF[SATIM Code]= $D1644))  * (SUM( ($A$768:$A$846=$A1644) * ($D$768:$D$846= $D1644) * (L$768:L$846) )  +  SUM( ($A$933:$A$1011=$A1644) * ($D$933:$D$1011= $D1644) * (L$933:L$1011) ) + SUM( ($E$1016:$E$1039=$E$1427)*($A$1016:$A$1039=$A1644) * ($D$1016:$D$1039=$D1644)*(L$1016:L$1039) ) )</f>
        <v>0</v>
      </c>
      <c r="M1644" s="1379">
        <f t="array" ref="M1644" xml:space="preserve"> SUM(EF[N2O] * (EF[SATIM Code]= $D1644))  * (SUM( ($A$768:$A$846=$A1644) * ($D$768:$D$846= $D1644) * (M$768:M$846) )  +  SUM( ($A$933:$A$1011=$A1644) * ($D$933:$D$1011= $D1644) * (M$933:M$1011) ) + SUM( ($E$1016:$E$1039=$E$1427)*($A$1016:$A$1039=$A1644) * ($D$1016:$D$1039=$D1644)*(M$1016:M$1039) ) )</f>
        <v>0</v>
      </c>
      <c r="N1644" s="1379">
        <f t="array" ref="N1644" xml:space="preserve"> SUM(EF[N2O] * (EF[SATIM Code]= $D1644))  * (SUM( ($A$768:$A$846=$A1644) * ($D$768:$D$846= $D1644) * (N$768:N$846) )  +  SUM( ($A$933:$A$1011=$A1644) * ($D$933:$D$1011= $D1644) * (N$933:N$1011) ) + SUM( ($E$1016:$E$1039=$E$1427)*($A$1016:$A$1039=$A1644) * ($D$1016:$D$1039=$D1644)*(N$1016:N$1039) ) )</f>
        <v>0</v>
      </c>
      <c r="O1644" s="1379">
        <f t="array" ref="O1644" xml:space="preserve"> SUM(EF[N2O] * (EF[SATIM Code]= $D1644))  * (SUM( ($A$768:$A$846=$A1644) * ($D$768:$D$846= $D1644) * (O$768:O$846) )  +  SUM( ($A$933:$A$1011=$A1644) * ($D$933:$D$1011= $D1644) * (O$933:O$1011) ) + SUM( ($E$1016:$E$1039=$E$1427)*($A$1016:$A$1039=$A1644) * ($D$1016:$D$1039=$D1644)*(O$1016:O$1039) ) )</f>
        <v>0</v>
      </c>
    </row>
    <row r="1645" spans="1:15" s="19" customFormat="1" hidden="1" outlineLevel="1">
      <c r="A1645" s="19" t="str">
        <f t="shared" si="310"/>
        <v>CP</v>
      </c>
      <c r="B1645" s="1400" t="str">
        <f>INDEX(EF[UK Vector],MATCH(D1645,EF[SATIM Code],0))</f>
        <v>V.04</v>
      </c>
      <c r="C1645" s="1401" t="str">
        <f>INDEX(Vectors[Description], MATCH($B1645, Vectors[Code], 0))</f>
        <v>Liquid hydrocarbons</v>
      </c>
      <c r="D1645" s="1391" t="s">
        <v>886</v>
      </c>
      <c r="E1645" s="1392"/>
      <c r="F1645" s="1379">
        <f t="array" ref="F1645" xml:space="preserve"> SUM(EF[N2O] * (EF[SATIM Code]= $D1645))  * (SUM( ($A$768:$A$846=$A1645) * ($D$768:$D$846= $D1645) * (F$768:F$846) )  +  SUM( ($A$933:$A$1011=$A1645) * ($D$933:$D$1011= $D1645) * (F$933:F$1011) ) + SUM( ($E$1016:$E$1039=$E$1427)*($A$1016:$A$1039=$A1645) * ($D$1016:$D$1039=$D1645)*(F$1016:F$1039) ) )</f>
        <v>0</v>
      </c>
      <c r="G1645" s="1379">
        <f t="array" ref="G1645" xml:space="preserve"> SUM(EF[N2O] * (EF[SATIM Code]= $D1645))  * (SUM( ($A$768:$A$846=$A1645) * ($D$768:$D$846= $D1645) * (G$768:G$846) )  +  SUM( ($A$933:$A$1011=$A1645) * ($D$933:$D$1011= $D1645) * (G$933:G$1011) ) + SUM( ($E$1016:$E$1039=$E$1427)*($A$1016:$A$1039=$A1645) * ($D$1016:$D$1039=$D1645)*(G$1016:G$1039) ) )</f>
        <v>0</v>
      </c>
      <c r="H1645" s="1379">
        <f t="array" ref="H1645" xml:space="preserve"> SUM(EF[N2O] * (EF[SATIM Code]= $D1645))  * (SUM( ($A$768:$A$846=$A1645) * ($D$768:$D$846= $D1645) * (H$768:H$846) )  +  SUM( ($A$933:$A$1011=$A1645) * ($D$933:$D$1011= $D1645) * (H$933:H$1011) ) + SUM( ($E$1016:$E$1039=$E$1427)*($A$1016:$A$1039=$A1645) * ($D$1016:$D$1039=$D1645)*(H$1016:H$1039) ) )</f>
        <v>0</v>
      </c>
      <c r="I1645" s="1379">
        <f t="array" ref="I1645" xml:space="preserve"> SUM(EF[N2O] * (EF[SATIM Code]= $D1645))  * (SUM( ($A$768:$A$846=$A1645) * ($D$768:$D$846= $D1645) * (I$768:I$846) )  +  SUM( ($A$933:$A$1011=$A1645) * ($D$933:$D$1011= $D1645) * (I$933:I$1011) ) + SUM( ($E$1016:$E$1039=$E$1427)*($A$1016:$A$1039=$A1645) * ($D$1016:$D$1039=$D1645)*(I$1016:I$1039) ) )</f>
        <v>0</v>
      </c>
      <c r="J1645" s="1379">
        <f t="array" ref="J1645" xml:space="preserve"> SUM(EF[N2O] * (EF[SATIM Code]= $D1645))  * (SUM( ($A$768:$A$846=$A1645) * ($D$768:$D$846= $D1645) * (J$768:J$846) )  +  SUM( ($A$933:$A$1011=$A1645) * ($D$933:$D$1011= $D1645) * (J$933:J$1011) ) + SUM( ($E$1016:$E$1039=$E$1427)*($A$1016:$A$1039=$A1645) * ($D$1016:$D$1039=$D1645)*(J$1016:J$1039) ) )</f>
        <v>0</v>
      </c>
      <c r="K1645" s="1379">
        <f t="array" ref="K1645" xml:space="preserve"> SUM(EF[N2O] * (EF[SATIM Code]= $D1645))  * (SUM( ($A$768:$A$846=$A1645) * ($D$768:$D$846= $D1645) * (K$768:K$846) )  +  SUM( ($A$933:$A$1011=$A1645) * ($D$933:$D$1011= $D1645) * (K$933:K$1011) ) + SUM( ($E$1016:$E$1039=$E$1427)*($A$1016:$A$1039=$A1645) * ($D$1016:$D$1039=$D1645)*(K$1016:K$1039) ) )</f>
        <v>0</v>
      </c>
      <c r="L1645" s="1379">
        <f t="array" ref="L1645" xml:space="preserve"> SUM(EF[N2O] * (EF[SATIM Code]= $D1645))  * (SUM( ($A$768:$A$846=$A1645) * ($D$768:$D$846= $D1645) * (L$768:L$846) )  +  SUM( ($A$933:$A$1011=$A1645) * ($D$933:$D$1011= $D1645) * (L$933:L$1011) ) + SUM( ($E$1016:$E$1039=$E$1427)*($A$1016:$A$1039=$A1645) * ($D$1016:$D$1039=$D1645)*(L$1016:L$1039) ) )</f>
        <v>0</v>
      </c>
      <c r="M1645" s="1379">
        <f t="array" ref="M1645" xml:space="preserve"> SUM(EF[N2O] * (EF[SATIM Code]= $D1645))  * (SUM( ($A$768:$A$846=$A1645) * ($D$768:$D$846= $D1645) * (M$768:M$846) )  +  SUM( ($A$933:$A$1011=$A1645) * ($D$933:$D$1011= $D1645) * (M$933:M$1011) ) + SUM( ($E$1016:$E$1039=$E$1427)*($A$1016:$A$1039=$A1645) * ($D$1016:$D$1039=$D1645)*(M$1016:M$1039) ) )</f>
        <v>0</v>
      </c>
      <c r="N1645" s="1379">
        <f t="array" ref="N1645" xml:space="preserve"> SUM(EF[N2O] * (EF[SATIM Code]= $D1645))  * (SUM( ($A$768:$A$846=$A1645) * ($D$768:$D$846= $D1645) * (N$768:N$846) )  +  SUM( ($A$933:$A$1011=$A1645) * ($D$933:$D$1011= $D1645) * (N$933:N$1011) ) + SUM( ($E$1016:$E$1039=$E$1427)*($A$1016:$A$1039=$A1645) * ($D$1016:$D$1039=$D1645)*(N$1016:N$1039) ) )</f>
        <v>0</v>
      </c>
      <c r="O1645" s="1379">
        <f t="array" ref="O1645" xml:space="preserve"> SUM(EF[N2O] * (EF[SATIM Code]= $D1645))  * (SUM( ($A$768:$A$846=$A1645) * ($D$768:$D$846= $D1645) * (O$768:O$846) )  +  SUM( ($A$933:$A$1011=$A1645) * ($D$933:$D$1011= $D1645) * (O$933:O$1011) ) + SUM( ($E$1016:$E$1039=$E$1427)*($A$1016:$A$1039=$A1645) * ($D$1016:$D$1039=$D1645)*(O$1016:O$1039) ) )</f>
        <v>0</v>
      </c>
    </row>
    <row r="1646" spans="1:15" s="19" customFormat="1" hidden="1" outlineLevel="1">
      <c r="A1646" s="19" t="str">
        <f t="shared" si="310"/>
        <v>CP</v>
      </c>
      <c r="B1646" s="1400" t="str">
        <f>INDEX(EF[UK Vector],MATCH(D1646,EF[SATIM Code],0))</f>
        <v>V.04</v>
      </c>
      <c r="C1646" s="1401" t="str">
        <f>INDEX(Vectors[Description], MATCH($B1646, Vectors[Code], 0))</f>
        <v>Liquid hydrocarbons</v>
      </c>
      <c r="D1646" s="1406" t="s">
        <v>887</v>
      </c>
      <c r="E1646" s="1393"/>
      <c r="F1646" s="1379">
        <f t="array" ref="F1646" xml:space="preserve"> SUM(EF[N2O] * (EF[SATIM Code]= $D1646))  * (SUM( ($A$768:$A$846=$A1646) * ($D$768:$D$846= $D1646) * (F$768:F$846) )  +  SUM( ($A$933:$A$1011=$A1646) * ($D$933:$D$1011= $D1646) * (F$933:F$1011) ) + SUM( ($E$1016:$E$1039=$E$1427)*($A$1016:$A$1039=$A1646) * ($D$1016:$D$1039=$D1646)*(F$1016:F$1039) ) )</f>
        <v>0</v>
      </c>
      <c r="G1646" s="1379">
        <f t="array" ref="G1646" xml:space="preserve"> SUM(EF[N2O] * (EF[SATIM Code]= $D1646))  * (SUM( ($A$768:$A$846=$A1646) * ($D$768:$D$846= $D1646) * (G$768:G$846) )  +  SUM( ($A$933:$A$1011=$A1646) * ($D$933:$D$1011= $D1646) * (G$933:G$1011) ) + SUM( ($E$1016:$E$1039=$E$1427)*($A$1016:$A$1039=$A1646) * ($D$1016:$D$1039=$D1646)*(G$1016:G$1039) ) )</f>
        <v>0</v>
      </c>
      <c r="H1646" s="1379">
        <f t="array" ref="H1646" xml:space="preserve"> SUM(EF[N2O] * (EF[SATIM Code]= $D1646))  * (SUM( ($A$768:$A$846=$A1646) * ($D$768:$D$846= $D1646) * (H$768:H$846) )  +  SUM( ($A$933:$A$1011=$A1646) * ($D$933:$D$1011= $D1646) * (H$933:H$1011) ) + SUM( ($E$1016:$E$1039=$E$1427)*($A$1016:$A$1039=$A1646) * ($D$1016:$D$1039=$D1646)*(H$1016:H$1039) ) )</f>
        <v>0</v>
      </c>
      <c r="I1646" s="1379">
        <f t="array" ref="I1646" xml:space="preserve"> SUM(EF[N2O] * (EF[SATIM Code]= $D1646))  * (SUM( ($A$768:$A$846=$A1646) * ($D$768:$D$846= $D1646) * (I$768:I$846) )  +  SUM( ($A$933:$A$1011=$A1646) * ($D$933:$D$1011= $D1646) * (I$933:I$1011) ) + SUM( ($E$1016:$E$1039=$E$1427)*($A$1016:$A$1039=$A1646) * ($D$1016:$D$1039=$D1646)*(I$1016:I$1039) ) )</f>
        <v>0</v>
      </c>
      <c r="J1646" s="1379">
        <f t="array" ref="J1646" xml:space="preserve"> SUM(EF[N2O] * (EF[SATIM Code]= $D1646))  * (SUM( ($A$768:$A$846=$A1646) * ($D$768:$D$846= $D1646) * (J$768:J$846) )  +  SUM( ($A$933:$A$1011=$A1646) * ($D$933:$D$1011= $D1646) * (J$933:J$1011) ) + SUM( ($E$1016:$E$1039=$E$1427)*($A$1016:$A$1039=$A1646) * ($D$1016:$D$1039=$D1646)*(J$1016:J$1039) ) )</f>
        <v>0</v>
      </c>
      <c r="K1646" s="1379">
        <f t="array" ref="K1646" xml:space="preserve"> SUM(EF[N2O] * (EF[SATIM Code]= $D1646))  * (SUM( ($A$768:$A$846=$A1646) * ($D$768:$D$846= $D1646) * (K$768:K$846) )  +  SUM( ($A$933:$A$1011=$A1646) * ($D$933:$D$1011= $D1646) * (K$933:K$1011) ) + SUM( ($E$1016:$E$1039=$E$1427)*($A$1016:$A$1039=$A1646) * ($D$1016:$D$1039=$D1646)*(K$1016:K$1039) ) )</f>
        <v>0</v>
      </c>
      <c r="L1646" s="1379">
        <f t="array" ref="L1646" xml:space="preserve"> SUM(EF[N2O] * (EF[SATIM Code]= $D1646))  * (SUM( ($A$768:$A$846=$A1646) * ($D$768:$D$846= $D1646) * (L$768:L$846) )  +  SUM( ($A$933:$A$1011=$A1646) * ($D$933:$D$1011= $D1646) * (L$933:L$1011) ) + SUM( ($E$1016:$E$1039=$E$1427)*($A$1016:$A$1039=$A1646) * ($D$1016:$D$1039=$D1646)*(L$1016:L$1039) ) )</f>
        <v>0</v>
      </c>
      <c r="M1646" s="1379">
        <f t="array" ref="M1646" xml:space="preserve"> SUM(EF[N2O] * (EF[SATIM Code]= $D1646))  * (SUM( ($A$768:$A$846=$A1646) * ($D$768:$D$846= $D1646) * (M$768:M$846) )  +  SUM( ($A$933:$A$1011=$A1646) * ($D$933:$D$1011= $D1646) * (M$933:M$1011) ) + SUM( ($E$1016:$E$1039=$E$1427)*($A$1016:$A$1039=$A1646) * ($D$1016:$D$1039=$D1646)*(M$1016:M$1039) ) )</f>
        <v>0</v>
      </c>
      <c r="N1646" s="1379">
        <f t="array" ref="N1646" xml:space="preserve"> SUM(EF[N2O] * (EF[SATIM Code]= $D1646))  * (SUM( ($A$768:$A$846=$A1646) * ($D$768:$D$846= $D1646) * (N$768:N$846) )  +  SUM( ($A$933:$A$1011=$A1646) * ($D$933:$D$1011= $D1646) * (N$933:N$1011) ) + SUM( ($E$1016:$E$1039=$E$1427)*($A$1016:$A$1039=$A1646) * ($D$1016:$D$1039=$D1646)*(N$1016:N$1039) ) )</f>
        <v>0</v>
      </c>
      <c r="O1646" s="1379">
        <f t="array" ref="O1646" xml:space="preserve"> SUM(EF[N2O] * (EF[SATIM Code]= $D1646))  * (SUM( ($A$768:$A$846=$A1646) * ($D$768:$D$846= $D1646) * (O$768:O$846) )  +  SUM( ($A$933:$A$1011=$A1646) * ($D$933:$D$1011= $D1646) * (O$933:O$1011) ) + SUM( ($E$1016:$E$1039=$E$1427)*($A$1016:$A$1039=$A1646) * ($D$1016:$D$1039=$D1646)*(O$1016:O$1039) ) )</f>
        <v>0</v>
      </c>
    </row>
    <row r="1647" spans="1:15" s="19" customFormat="1" hidden="1" outlineLevel="1">
      <c r="A1647" s="19" t="str">
        <f t="shared" si="310"/>
        <v>CP</v>
      </c>
      <c r="B1647" s="1400" t="str">
        <f>INDEX(EF[UK Vector],MATCH(D1647,EF[SATIM Code],0))</f>
        <v>V.09</v>
      </c>
      <c r="C1647" s="1401" t="str">
        <f>INDEX(Vectors[Description], MATCH($B1647, Vectors[Code], 0))</f>
        <v>Dry biomass and waste</v>
      </c>
      <c r="D1647" s="1406" t="s">
        <v>888</v>
      </c>
      <c r="E1647" s="1393"/>
      <c r="F1647" s="1379">
        <f t="array" ref="F1647" xml:space="preserve"> SUM(EF[N2O] * (EF[SATIM Code]= $D1647))  * (SUM( ($A$768:$A$846=$A1647) * ($D$768:$D$846= $D1647) * (F$768:F$846) )  +  SUM( ($A$933:$A$1011=$A1647) * ($D$933:$D$1011= $D1647) * (F$933:F$1011) ) + SUM( ($E$1016:$E$1039=$E$1427)*($A$1016:$A$1039=$A1647) * ($D$1016:$D$1039=$D1647)*(F$1016:F$1039) ) )</f>
        <v>0</v>
      </c>
      <c r="G1647" s="1379">
        <f t="array" ref="G1647" xml:space="preserve"> SUM(EF[N2O] * (EF[SATIM Code]= $D1647))  * (SUM( ($A$768:$A$846=$A1647) * ($D$768:$D$846= $D1647) * (G$768:G$846) )  +  SUM( ($A$933:$A$1011=$A1647) * ($D$933:$D$1011= $D1647) * (G$933:G$1011) ) + SUM( ($E$1016:$E$1039=$E$1427)*($A$1016:$A$1039=$A1647) * ($D$1016:$D$1039=$D1647)*(G$1016:G$1039) ) )</f>
        <v>0</v>
      </c>
      <c r="H1647" s="1379">
        <f t="array" ref="H1647" xml:space="preserve"> SUM(EF[N2O] * (EF[SATIM Code]= $D1647))  * (SUM( ($A$768:$A$846=$A1647) * ($D$768:$D$846= $D1647) * (H$768:H$846) )  +  SUM( ($A$933:$A$1011=$A1647) * ($D$933:$D$1011= $D1647) * (H$933:H$1011) ) + SUM( ($E$1016:$E$1039=$E$1427)*($A$1016:$A$1039=$A1647) * ($D$1016:$D$1039=$D1647)*(H$1016:H$1039) ) )</f>
        <v>0</v>
      </c>
      <c r="I1647" s="1379">
        <f t="array" ref="I1647" xml:space="preserve"> SUM(EF[N2O] * (EF[SATIM Code]= $D1647))  * (SUM( ($A$768:$A$846=$A1647) * ($D$768:$D$846= $D1647) * (I$768:I$846) )  +  SUM( ($A$933:$A$1011=$A1647) * ($D$933:$D$1011= $D1647) * (I$933:I$1011) ) + SUM( ($E$1016:$E$1039=$E$1427)*($A$1016:$A$1039=$A1647) * ($D$1016:$D$1039=$D1647)*(I$1016:I$1039) ) )</f>
        <v>0</v>
      </c>
      <c r="J1647" s="1379">
        <f t="array" ref="J1647" xml:space="preserve"> SUM(EF[N2O] * (EF[SATIM Code]= $D1647))  * (SUM( ($A$768:$A$846=$A1647) * ($D$768:$D$846= $D1647) * (J$768:J$846) )  +  SUM( ($A$933:$A$1011=$A1647) * ($D$933:$D$1011= $D1647) * (J$933:J$1011) ) + SUM( ($E$1016:$E$1039=$E$1427)*($A$1016:$A$1039=$A1647) * ($D$1016:$D$1039=$D1647)*(J$1016:J$1039) ) )</f>
        <v>0</v>
      </c>
      <c r="K1647" s="1379">
        <f t="array" ref="K1647" xml:space="preserve"> SUM(EF[N2O] * (EF[SATIM Code]= $D1647))  * (SUM( ($A$768:$A$846=$A1647) * ($D$768:$D$846= $D1647) * (K$768:K$846) )  +  SUM( ($A$933:$A$1011=$A1647) * ($D$933:$D$1011= $D1647) * (K$933:K$1011) ) + SUM( ($E$1016:$E$1039=$E$1427)*($A$1016:$A$1039=$A1647) * ($D$1016:$D$1039=$D1647)*(K$1016:K$1039) ) )</f>
        <v>0</v>
      </c>
      <c r="L1647" s="1379">
        <f t="array" ref="L1647" xml:space="preserve"> SUM(EF[N2O] * (EF[SATIM Code]= $D1647))  * (SUM( ($A$768:$A$846=$A1647) * ($D$768:$D$846= $D1647) * (L$768:L$846) )  +  SUM( ($A$933:$A$1011=$A1647) * ($D$933:$D$1011= $D1647) * (L$933:L$1011) ) + SUM( ($E$1016:$E$1039=$E$1427)*($A$1016:$A$1039=$A1647) * ($D$1016:$D$1039=$D1647)*(L$1016:L$1039) ) )</f>
        <v>0</v>
      </c>
      <c r="M1647" s="1379">
        <f t="array" ref="M1647" xml:space="preserve"> SUM(EF[N2O] * (EF[SATIM Code]= $D1647))  * (SUM( ($A$768:$A$846=$A1647) * ($D$768:$D$846= $D1647) * (M$768:M$846) )  +  SUM( ($A$933:$A$1011=$A1647) * ($D$933:$D$1011= $D1647) * (M$933:M$1011) ) + SUM( ($E$1016:$E$1039=$E$1427)*($A$1016:$A$1039=$A1647) * ($D$1016:$D$1039=$D1647)*(M$1016:M$1039) ) )</f>
        <v>0</v>
      </c>
      <c r="N1647" s="1379">
        <f t="array" ref="N1647" xml:space="preserve"> SUM(EF[N2O] * (EF[SATIM Code]= $D1647))  * (SUM( ($A$768:$A$846=$A1647) * ($D$768:$D$846= $D1647) * (N$768:N$846) )  +  SUM( ($A$933:$A$1011=$A1647) * ($D$933:$D$1011= $D1647) * (N$933:N$1011) ) + SUM( ($E$1016:$E$1039=$E$1427)*($A$1016:$A$1039=$A1647) * ($D$1016:$D$1039=$D1647)*(N$1016:N$1039) ) )</f>
        <v>0</v>
      </c>
      <c r="O1647" s="1379">
        <f t="array" ref="O1647" xml:space="preserve"> SUM(EF[N2O] * (EF[SATIM Code]= $D1647))  * (SUM( ($A$768:$A$846=$A1647) * ($D$768:$D$846= $D1647) * (O$768:O$846) )  +  SUM( ($A$933:$A$1011=$A1647) * ($D$933:$D$1011= $D1647) * (O$933:O$1011) ) + SUM( ($E$1016:$E$1039=$E$1427)*($A$1016:$A$1039=$A1647) * ($D$1016:$D$1039=$D1647)*(O$1016:O$1039) ) )</f>
        <v>0</v>
      </c>
    </row>
    <row r="1648" spans="1:15" s="19" customFormat="1" hidden="1" outlineLevel="1">
      <c r="A1648" s="19" t="str">
        <f t="shared" si="310"/>
        <v>CP</v>
      </c>
      <c r="B1648" s="1400" t="str">
        <f>INDEX(EF[UK Vector],MATCH(D1648,EF[SATIM Code],0))</f>
        <v>V.09</v>
      </c>
      <c r="C1648" s="1401" t="str">
        <f>INDEX(Vectors[Description], MATCH($B1648, Vectors[Code], 0))</f>
        <v>Dry biomass and waste</v>
      </c>
      <c r="D1648" s="1388" t="s">
        <v>889</v>
      </c>
      <c r="E1648" s="1393"/>
      <c r="F1648" s="1379">
        <f t="array" ref="F1648" xml:space="preserve"> SUM(EF[N2O] * (EF[SATIM Code]= $D1648))  * (SUM( ($A$768:$A$846=$A1648) * ($D$768:$D$846= $D1648) * (F$768:F$846) )  +  SUM( ($A$933:$A$1011=$A1648) * ($D$933:$D$1011= $D1648) * (F$933:F$1011) ) + SUM( ($E$1016:$E$1039=$E$1427)*($A$1016:$A$1039=$A1648) * ($D$1016:$D$1039=$D1648)*(F$1016:F$1039) ) )</f>
        <v>0</v>
      </c>
      <c r="G1648" s="1379">
        <f t="array" ref="G1648" xml:space="preserve"> SUM(EF[N2O] * (EF[SATIM Code]= $D1648))  * (SUM( ($A$768:$A$846=$A1648) * ($D$768:$D$846= $D1648) * (G$768:G$846) )  +  SUM( ($A$933:$A$1011=$A1648) * ($D$933:$D$1011= $D1648) * (G$933:G$1011) ) + SUM( ($E$1016:$E$1039=$E$1427)*($A$1016:$A$1039=$A1648) * ($D$1016:$D$1039=$D1648)*(G$1016:G$1039) ) )</f>
        <v>0</v>
      </c>
      <c r="H1648" s="1379">
        <f t="array" ref="H1648" xml:space="preserve"> SUM(EF[N2O] * (EF[SATIM Code]= $D1648))  * (SUM( ($A$768:$A$846=$A1648) * ($D$768:$D$846= $D1648) * (H$768:H$846) )  +  SUM( ($A$933:$A$1011=$A1648) * ($D$933:$D$1011= $D1648) * (H$933:H$1011) ) + SUM( ($E$1016:$E$1039=$E$1427)*($A$1016:$A$1039=$A1648) * ($D$1016:$D$1039=$D1648)*(H$1016:H$1039) ) )</f>
        <v>0</v>
      </c>
      <c r="I1648" s="1379">
        <f t="array" ref="I1648" xml:space="preserve"> SUM(EF[N2O] * (EF[SATIM Code]= $D1648))  * (SUM( ($A$768:$A$846=$A1648) * ($D$768:$D$846= $D1648) * (I$768:I$846) )  +  SUM( ($A$933:$A$1011=$A1648) * ($D$933:$D$1011= $D1648) * (I$933:I$1011) ) + SUM( ($E$1016:$E$1039=$E$1427)*($A$1016:$A$1039=$A1648) * ($D$1016:$D$1039=$D1648)*(I$1016:I$1039) ) )</f>
        <v>0</v>
      </c>
      <c r="J1648" s="1379">
        <f t="array" ref="J1648" xml:space="preserve"> SUM(EF[N2O] * (EF[SATIM Code]= $D1648))  * (SUM( ($A$768:$A$846=$A1648) * ($D$768:$D$846= $D1648) * (J$768:J$846) )  +  SUM( ($A$933:$A$1011=$A1648) * ($D$933:$D$1011= $D1648) * (J$933:J$1011) ) + SUM( ($E$1016:$E$1039=$E$1427)*($A$1016:$A$1039=$A1648) * ($D$1016:$D$1039=$D1648)*(J$1016:J$1039) ) )</f>
        <v>0</v>
      </c>
      <c r="K1648" s="1379">
        <f t="array" ref="K1648" xml:space="preserve"> SUM(EF[N2O] * (EF[SATIM Code]= $D1648))  * (SUM( ($A$768:$A$846=$A1648) * ($D$768:$D$846= $D1648) * (K$768:K$846) )  +  SUM( ($A$933:$A$1011=$A1648) * ($D$933:$D$1011= $D1648) * (K$933:K$1011) ) + SUM( ($E$1016:$E$1039=$E$1427)*($A$1016:$A$1039=$A1648) * ($D$1016:$D$1039=$D1648)*(K$1016:K$1039) ) )</f>
        <v>0</v>
      </c>
      <c r="L1648" s="1379">
        <f t="array" ref="L1648" xml:space="preserve"> SUM(EF[N2O] * (EF[SATIM Code]= $D1648))  * (SUM( ($A$768:$A$846=$A1648) * ($D$768:$D$846= $D1648) * (L$768:L$846) )  +  SUM( ($A$933:$A$1011=$A1648) * ($D$933:$D$1011= $D1648) * (L$933:L$1011) ) + SUM( ($E$1016:$E$1039=$E$1427)*($A$1016:$A$1039=$A1648) * ($D$1016:$D$1039=$D1648)*(L$1016:L$1039) ) )</f>
        <v>0</v>
      </c>
      <c r="M1648" s="1379">
        <f t="array" ref="M1648" xml:space="preserve"> SUM(EF[N2O] * (EF[SATIM Code]= $D1648))  * (SUM( ($A$768:$A$846=$A1648) * ($D$768:$D$846= $D1648) * (M$768:M$846) )  +  SUM( ($A$933:$A$1011=$A1648) * ($D$933:$D$1011= $D1648) * (M$933:M$1011) ) + SUM( ($E$1016:$E$1039=$E$1427)*($A$1016:$A$1039=$A1648) * ($D$1016:$D$1039=$D1648)*(M$1016:M$1039) ) )</f>
        <v>0</v>
      </c>
      <c r="N1648" s="1379">
        <f t="array" ref="N1648" xml:space="preserve"> SUM(EF[N2O] * (EF[SATIM Code]= $D1648))  * (SUM( ($A$768:$A$846=$A1648) * ($D$768:$D$846= $D1648) * (N$768:N$846) )  +  SUM( ($A$933:$A$1011=$A1648) * ($D$933:$D$1011= $D1648) * (N$933:N$1011) ) + SUM( ($E$1016:$E$1039=$E$1427)*($A$1016:$A$1039=$A1648) * ($D$1016:$D$1039=$D1648)*(N$1016:N$1039) ) )</f>
        <v>0</v>
      </c>
      <c r="O1648" s="1379">
        <f t="array" ref="O1648" xml:space="preserve"> SUM(EF[N2O] * (EF[SATIM Code]= $D1648))  * (SUM( ($A$768:$A$846=$A1648) * ($D$768:$D$846= $D1648) * (O$768:O$846) )  +  SUM( ($A$933:$A$1011=$A1648) * ($D$933:$D$1011= $D1648) * (O$933:O$1011) ) + SUM( ($E$1016:$E$1039=$E$1427)*($A$1016:$A$1039=$A1648) * ($D$1016:$D$1039=$D1648)*(O$1016:O$1039) ) )</f>
        <v>0</v>
      </c>
    </row>
    <row r="1649" spans="1:15" s="19" customFormat="1" hidden="1" outlineLevel="1">
      <c r="A1649" s="19" t="str">
        <f t="shared" si="310"/>
        <v>CP</v>
      </c>
      <c r="B1649" s="1400" t="str">
        <f>INDEX(EF[UK Vector],MATCH(D1649,EF[SATIM Code],0))</f>
        <v>V.16</v>
      </c>
      <c r="C1649" s="1401" t="str">
        <f>INDEX(Vectors[Description], MATCH($B1649, Vectors[Code], 0))</f>
        <v>Other Waste</v>
      </c>
      <c r="D1649" s="1408" t="s">
        <v>890</v>
      </c>
      <c r="E1649" s="1393"/>
      <c r="F1649" s="1379">
        <f t="array" ref="F1649" xml:space="preserve"> SUM(EF[N2O] * (EF[SATIM Code]= $D1649))  * (SUM( ($A$768:$A$846=$A1649) * ($D$768:$D$846= $D1649) * (F$768:F$846) )  +  SUM( ($A$933:$A$1011=$A1649) * ($D$933:$D$1011= $D1649) * (F$933:F$1011) ) + SUM( ($E$1016:$E$1039=$E$1427)*($A$1016:$A$1039=$A1649) * ($D$1016:$D$1039=$D1649)*(F$1016:F$1039) ) )</f>
        <v>0</v>
      </c>
      <c r="G1649" s="1379">
        <f t="array" ref="G1649" xml:space="preserve"> SUM(EF[N2O] * (EF[SATIM Code]= $D1649))  * (SUM( ($A$768:$A$846=$A1649) * ($D$768:$D$846= $D1649) * (G$768:G$846) )  +  SUM( ($A$933:$A$1011=$A1649) * ($D$933:$D$1011= $D1649) * (G$933:G$1011) ) + SUM( ($E$1016:$E$1039=$E$1427)*($A$1016:$A$1039=$A1649) * ($D$1016:$D$1039=$D1649)*(G$1016:G$1039) ) )</f>
        <v>0</v>
      </c>
      <c r="H1649" s="1379">
        <f t="array" ref="H1649" xml:space="preserve"> SUM(EF[N2O] * (EF[SATIM Code]= $D1649))  * (SUM( ($A$768:$A$846=$A1649) * ($D$768:$D$846= $D1649) * (H$768:H$846) )  +  SUM( ($A$933:$A$1011=$A1649) * ($D$933:$D$1011= $D1649) * (H$933:H$1011) ) + SUM( ($E$1016:$E$1039=$E$1427)*($A$1016:$A$1039=$A1649) * ($D$1016:$D$1039=$D1649)*(H$1016:H$1039) ) )</f>
        <v>0</v>
      </c>
      <c r="I1649" s="1379">
        <f t="array" ref="I1649" xml:space="preserve"> SUM(EF[N2O] * (EF[SATIM Code]= $D1649))  * (SUM( ($A$768:$A$846=$A1649) * ($D$768:$D$846= $D1649) * (I$768:I$846) )  +  SUM( ($A$933:$A$1011=$A1649) * ($D$933:$D$1011= $D1649) * (I$933:I$1011) ) + SUM( ($E$1016:$E$1039=$E$1427)*($A$1016:$A$1039=$A1649) * ($D$1016:$D$1039=$D1649)*(I$1016:I$1039) ) )</f>
        <v>0</v>
      </c>
      <c r="J1649" s="1379">
        <f t="array" ref="J1649" xml:space="preserve"> SUM(EF[N2O] * (EF[SATIM Code]= $D1649))  * (SUM( ($A$768:$A$846=$A1649) * ($D$768:$D$846= $D1649) * (J$768:J$846) )  +  SUM( ($A$933:$A$1011=$A1649) * ($D$933:$D$1011= $D1649) * (J$933:J$1011) ) + SUM( ($E$1016:$E$1039=$E$1427)*($A$1016:$A$1039=$A1649) * ($D$1016:$D$1039=$D1649)*(J$1016:J$1039) ) )</f>
        <v>0</v>
      </c>
      <c r="K1649" s="1379">
        <f t="array" ref="K1649" xml:space="preserve"> SUM(EF[N2O] * (EF[SATIM Code]= $D1649))  * (SUM( ($A$768:$A$846=$A1649) * ($D$768:$D$846= $D1649) * (K$768:K$846) )  +  SUM( ($A$933:$A$1011=$A1649) * ($D$933:$D$1011= $D1649) * (K$933:K$1011) ) + SUM( ($E$1016:$E$1039=$E$1427)*($A$1016:$A$1039=$A1649) * ($D$1016:$D$1039=$D1649)*(K$1016:K$1039) ) )</f>
        <v>0</v>
      </c>
      <c r="L1649" s="1379">
        <f t="array" ref="L1649" xml:space="preserve"> SUM(EF[N2O] * (EF[SATIM Code]= $D1649))  * (SUM( ($A$768:$A$846=$A1649) * ($D$768:$D$846= $D1649) * (L$768:L$846) )  +  SUM( ($A$933:$A$1011=$A1649) * ($D$933:$D$1011= $D1649) * (L$933:L$1011) ) + SUM( ($E$1016:$E$1039=$E$1427)*($A$1016:$A$1039=$A1649) * ($D$1016:$D$1039=$D1649)*(L$1016:L$1039) ) )</f>
        <v>0</v>
      </c>
      <c r="M1649" s="1379">
        <f t="array" ref="M1649" xml:space="preserve"> SUM(EF[N2O] * (EF[SATIM Code]= $D1649))  * (SUM( ($A$768:$A$846=$A1649) * ($D$768:$D$846= $D1649) * (M$768:M$846) )  +  SUM( ($A$933:$A$1011=$A1649) * ($D$933:$D$1011= $D1649) * (M$933:M$1011) ) + SUM( ($E$1016:$E$1039=$E$1427)*($A$1016:$A$1039=$A1649) * ($D$1016:$D$1039=$D1649)*(M$1016:M$1039) ) )</f>
        <v>0</v>
      </c>
      <c r="N1649" s="1379">
        <f t="array" ref="N1649" xml:space="preserve"> SUM(EF[N2O] * (EF[SATIM Code]= $D1649))  * (SUM( ($A$768:$A$846=$A1649) * ($D$768:$D$846= $D1649) * (N$768:N$846) )  +  SUM( ($A$933:$A$1011=$A1649) * ($D$933:$D$1011= $D1649) * (N$933:N$1011) ) + SUM( ($E$1016:$E$1039=$E$1427)*($A$1016:$A$1039=$A1649) * ($D$1016:$D$1039=$D1649)*(N$1016:N$1039) ) )</f>
        <v>0</v>
      </c>
      <c r="O1649" s="1379">
        <f t="array" ref="O1649" xml:space="preserve"> SUM(EF[N2O] * (EF[SATIM Code]= $D1649))  * (SUM( ($A$768:$A$846=$A1649) * ($D$768:$D$846= $D1649) * (O$768:O$846) )  +  SUM( ($A$933:$A$1011=$A1649) * ($D$933:$D$1011= $D1649) * (O$933:O$1011) ) + SUM( ($E$1016:$E$1039=$E$1427)*($A$1016:$A$1039=$A1649) * ($D$1016:$D$1039=$D1649)*(O$1016:O$1039) ) )</f>
        <v>0</v>
      </c>
    </row>
    <row r="1650" spans="1:15" s="19" customFormat="1" hidden="1" outlineLevel="1">
      <c r="B1650" s="1393"/>
      <c r="C1650" s="1407" t="str">
        <f>D23</f>
        <v>Non-Ferrous metals  - 352</v>
      </c>
      <c r="D1650" s="1391"/>
      <c r="E1650" s="1393"/>
      <c r="F1650" s="1379">
        <f t="array" ref="F1650" xml:space="preserve"> SUM(EF[N2O] * (EF[SATIM Code]= $D1650))  * (SUM( ($A$768:$A$846=$A1650) * ($D$768:$D$846= $D1650) * (F$768:F$846) )  +  SUM( ($A$933:$A$1011=$A1650) * ($D$933:$D$1011= $D1650) * (F$933:F$1011) ) + SUM( ($E$1016:$E$1039=$E$1427)*($A$1016:$A$1039=$A1650) * ($D$1016:$D$1039=$D1650)*(F$1016:F$1039) ) )</f>
        <v>0</v>
      </c>
      <c r="G1650" s="1379">
        <f t="array" ref="G1650" xml:space="preserve"> SUM(EF[N2O] * (EF[SATIM Code]= $D1650))  * (SUM( ($A$768:$A$846=$A1650) * ($D$768:$D$846= $D1650) * (G$768:G$846) )  +  SUM( ($A$933:$A$1011=$A1650) * ($D$933:$D$1011= $D1650) * (G$933:G$1011) ) + SUM( ($E$1016:$E$1039=$E$1427)*($A$1016:$A$1039=$A1650) * ($D$1016:$D$1039=$D1650)*(G$1016:G$1039) ) )</f>
        <v>0</v>
      </c>
      <c r="H1650" s="1379">
        <f t="array" ref="H1650" xml:space="preserve"> SUM(EF[N2O] * (EF[SATIM Code]= $D1650))  * (SUM( ($A$768:$A$846=$A1650) * ($D$768:$D$846= $D1650) * (H$768:H$846) )  +  SUM( ($A$933:$A$1011=$A1650) * ($D$933:$D$1011= $D1650) * (H$933:H$1011) ) + SUM( ($E$1016:$E$1039=$E$1427)*($A$1016:$A$1039=$A1650) * ($D$1016:$D$1039=$D1650)*(H$1016:H$1039) ) )</f>
        <v>0</v>
      </c>
      <c r="I1650" s="1379">
        <f t="array" ref="I1650" xml:space="preserve"> SUM(EF[N2O] * (EF[SATIM Code]= $D1650))  * (SUM( ($A$768:$A$846=$A1650) * ($D$768:$D$846= $D1650) * (I$768:I$846) )  +  SUM( ($A$933:$A$1011=$A1650) * ($D$933:$D$1011= $D1650) * (I$933:I$1011) ) + SUM( ($E$1016:$E$1039=$E$1427)*($A$1016:$A$1039=$A1650) * ($D$1016:$D$1039=$D1650)*(I$1016:I$1039) ) )</f>
        <v>0</v>
      </c>
      <c r="J1650" s="1379">
        <f t="array" ref="J1650" xml:space="preserve"> SUM(EF[N2O] * (EF[SATIM Code]= $D1650))  * (SUM( ($A$768:$A$846=$A1650) * ($D$768:$D$846= $D1650) * (J$768:J$846) )  +  SUM( ($A$933:$A$1011=$A1650) * ($D$933:$D$1011= $D1650) * (J$933:J$1011) ) + SUM( ($E$1016:$E$1039=$E$1427)*($A$1016:$A$1039=$A1650) * ($D$1016:$D$1039=$D1650)*(J$1016:J$1039) ) )</f>
        <v>0</v>
      </c>
      <c r="K1650" s="1379">
        <f t="array" ref="K1650" xml:space="preserve"> SUM(EF[N2O] * (EF[SATIM Code]= $D1650))  * (SUM( ($A$768:$A$846=$A1650) * ($D$768:$D$846= $D1650) * (K$768:K$846) )  +  SUM( ($A$933:$A$1011=$A1650) * ($D$933:$D$1011= $D1650) * (K$933:K$1011) ) + SUM( ($E$1016:$E$1039=$E$1427)*($A$1016:$A$1039=$A1650) * ($D$1016:$D$1039=$D1650)*(K$1016:K$1039) ) )</f>
        <v>0</v>
      </c>
      <c r="L1650" s="1379">
        <f t="array" ref="L1650" xml:space="preserve"> SUM(EF[N2O] * (EF[SATIM Code]= $D1650))  * (SUM( ($A$768:$A$846=$A1650) * ($D$768:$D$846= $D1650) * (L$768:L$846) )  +  SUM( ($A$933:$A$1011=$A1650) * ($D$933:$D$1011= $D1650) * (L$933:L$1011) ) + SUM( ($E$1016:$E$1039=$E$1427)*($A$1016:$A$1039=$A1650) * ($D$1016:$D$1039=$D1650)*(L$1016:L$1039) ) )</f>
        <v>0</v>
      </c>
      <c r="M1650" s="1379">
        <f t="array" ref="M1650" xml:space="preserve"> SUM(EF[N2O] * (EF[SATIM Code]= $D1650))  * (SUM( ($A$768:$A$846=$A1650) * ($D$768:$D$846= $D1650) * (M$768:M$846) )  +  SUM( ($A$933:$A$1011=$A1650) * ($D$933:$D$1011= $D1650) * (M$933:M$1011) ) + SUM( ($E$1016:$E$1039=$E$1427)*($A$1016:$A$1039=$A1650) * ($D$1016:$D$1039=$D1650)*(M$1016:M$1039) ) )</f>
        <v>0</v>
      </c>
      <c r="N1650" s="1379">
        <f t="array" ref="N1650" xml:space="preserve"> SUM(EF[N2O] * (EF[SATIM Code]= $D1650))  * (SUM( ($A$768:$A$846=$A1650) * ($D$768:$D$846= $D1650) * (N$768:N$846) )  +  SUM( ($A$933:$A$1011=$A1650) * ($D$933:$D$1011= $D1650) * (N$933:N$1011) ) + SUM( ($E$1016:$E$1039=$E$1427)*($A$1016:$A$1039=$A1650) * ($D$1016:$D$1039=$D1650)*(N$1016:N$1039) ) )</f>
        <v>0</v>
      </c>
      <c r="O1650" s="1379">
        <f t="array" ref="O1650" xml:space="preserve"> SUM(EF[N2O] * (EF[SATIM Code]= $D1650))  * (SUM( ($A$768:$A$846=$A1650) * ($D$768:$D$846= $D1650) * (O$768:O$846) )  +  SUM( ($A$933:$A$1011=$A1650) * ($D$933:$D$1011= $D1650) * (O$933:O$1011) ) + SUM( ($E$1016:$E$1039=$E$1427)*($A$1016:$A$1039=$A1650) * ($D$1016:$D$1039=$D1650)*(O$1016:O$1039) ) )</f>
        <v>0</v>
      </c>
    </row>
    <row r="1651" spans="1:15" s="19" customFormat="1" hidden="1" outlineLevel="1">
      <c r="A1651" s="1438" t="str">
        <f>INDEX($C$20:$C$27,MATCH($C1650,$D$20:$D$27,0))</f>
        <v>NF</v>
      </c>
      <c r="B1651" s="1400" t="str">
        <f>INDEX(EF[UK Vector],MATCH(D1651,EF[SATIM Code],0))</f>
        <v>V.03</v>
      </c>
      <c r="C1651" s="1401" t="str">
        <f>INDEX(Vectors[Description], MATCH($B1651, Vectors[Code], 0))</f>
        <v>Solid hydrocarbons</v>
      </c>
      <c r="D1651" s="1391" t="s">
        <v>882</v>
      </c>
      <c r="E1651" s="1393"/>
      <c r="F1651" s="1379">
        <f t="array" ref="F1651" xml:space="preserve"> SUM(EF[N2O] * (EF[SATIM Code]= $D1651))  * (SUM( ($A$768:$A$846=$A1651) * ($D$768:$D$846= $D1651) * (F$768:F$846) )  +  SUM( ($A$933:$A$1011=$A1651) * ($D$933:$D$1011= $D1651) * (F$933:F$1011) ) + SUM( ($E$1016:$E$1039=$E$1427)*($A$1016:$A$1039=$A1651) * ($D$1016:$D$1039=$D1651)*(F$1016:F$1039) ) )</f>
        <v>3.5153999999999985E-4</v>
      </c>
      <c r="G1651" s="1379">
        <f t="array" ref="G1651" xml:space="preserve"> SUM(EF[N2O] * (EF[SATIM Code]= $D1651))  * (SUM( ($A$768:$A$846=$A1651) * ($D$768:$D$846= $D1651) * (G$768:G$846) )  +  SUM( ($A$933:$A$1011=$A1651) * ($D$933:$D$1011= $D1651) * (G$933:G$1011) ) + SUM( ($E$1016:$E$1039=$E$1427)*($A$1016:$A$1039=$A1651) * ($D$1016:$D$1039=$D1651)*(G$1016:G$1039) ) )</f>
        <v>4.0730299870567199E-4</v>
      </c>
      <c r="H1651" s="1379">
        <f t="array" ref="H1651" xml:space="preserve"> SUM(EF[N2O] * (EF[SATIM Code]= $D1651))  * (SUM( ($A$768:$A$846=$A1651) * ($D$768:$D$846= $D1651) * (H$768:H$846) )  +  SUM( ($A$933:$A$1011=$A1651) * ($D$933:$D$1011= $D1651) * (H$933:H$1011) ) + SUM( ($E$1016:$E$1039=$E$1427)*($A$1016:$A$1039=$A1651) * ($D$1016:$D$1039=$D1651)*(H$1016:H$1039) ) )</f>
        <v>5.0641705464309842E-4</v>
      </c>
      <c r="I1651" s="1379">
        <f t="array" ref="I1651" xml:space="preserve"> SUM(EF[N2O] * (EF[SATIM Code]= $D1651))  * (SUM( ($A$768:$A$846=$A1651) * ($D$768:$D$846= $D1651) * (I$768:I$846) )  +  SUM( ($A$933:$A$1011=$A1651) * ($D$933:$D$1011= $D1651) * (I$933:I$1011) ) + SUM( ($E$1016:$E$1039=$E$1427)*($A$1016:$A$1039=$A1651) * ($D$1016:$D$1039=$D1651)*(I$1016:I$1039) ) )</f>
        <v>6.0553111058052496E-4</v>
      </c>
      <c r="J1651" s="1379">
        <f t="array" ref="J1651" xml:space="preserve"> SUM(EF[N2O] * (EF[SATIM Code]= $D1651))  * (SUM( ($A$768:$A$846=$A1651) * ($D$768:$D$846= $D1651) * (J$768:J$846) )  +  SUM( ($A$933:$A$1011=$A1651) * ($D$933:$D$1011= $D1651) * (J$933:J$1011) ) + SUM( ($E$1016:$E$1039=$E$1427)*($A$1016:$A$1039=$A1651) * ($D$1016:$D$1039=$D1651)*(J$1016:J$1039) ) )</f>
        <v>7.4517605797235474E-4</v>
      </c>
      <c r="K1651" s="1379">
        <f t="array" ref="K1651" xml:space="preserve"> SUM(EF[N2O] * (EF[SATIM Code]= $D1651))  * (SUM( ($A$768:$A$846=$A1651) * ($D$768:$D$846= $D1651) * (K$768:K$846) )  +  SUM( ($A$933:$A$1011=$A1651) * ($D$933:$D$1011= $D1651) * (K$933:K$1011) ) + SUM( ($E$1016:$E$1039=$E$1427)*($A$1016:$A$1039=$A1651) * ($D$1016:$D$1039=$D1651)*(K$1016:K$1039) ) )</f>
        <v>8.8482100536418462E-4</v>
      </c>
      <c r="L1651" s="1379">
        <f t="array" ref="L1651" xml:space="preserve"> SUM(EF[N2O] * (EF[SATIM Code]= $D1651))  * (SUM( ($A$768:$A$846=$A1651) * ($D$768:$D$846= $D1651) * (L$768:L$846) )  +  SUM( ($A$933:$A$1011=$A1651) * ($D$933:$D$1011= $D1651) * (L$933:L$1011) ) + SUM( ($E$1016:$E$1039=$E$1427)*($A$1016:$A$1039=$A1651) * ($D$1016:$D$1039=$D1651)*(L$1016:L$1039) ) )</f>
        <v>1.0879989606206544E-3</v>
      </c>
      <c r="M1651" s="1379">
        <f t="array" ref="M1651" xml:space="preserve"> SUM(EF[N2O] * (EF[SATIM Code]= $D1651))  * (SUM( ($A$768:$A$846=$A1651) * ($D$768:$D$846= $D1651) * (M$768:M$846) )  +  SUM( ($A$933:$A$1011=$A1651) * ($D$933:$D$1011= $D1651) * (M$933:M$1011) ) + SUM( ($E$1016:$E$1039=$E$1427)*($A$1016:$A$1039=$A1651) * ($D$1016:$D$1039=$D1651)*(M$1016:M$1039) ) )</f>
        <v>1.2911769158771241E-3</v>
      </c>
      <c r="N1651" s="1379">
        <f t="array" ref="N1651" xml:space="preserve"> SUM(EF[N2O] * (EF[SATIM Code]= $D1651))  * (SUM( ($A$768:$A$846=$A1651) * ($D$768:$D$846= $D1651) * (N$768:N$846) )  +  SUM( ($A$933:$A$1011=$A1651) * ($D$933:$D$1011= $D1651) * (N$933:N$1011) ) + SUM( ($E$1016:$E$1039=$E$1427)*($A$1016:$A$1039=$A1651) * ($D$1016:$D$1039=$D1651)*(N$1016:N$1039) ) )</f>
        <v>1.5175651769217479E-3</v>
      </c>
      <c r="O1651" s="1379">
        <f t="array" ref="O1651" xml:space="preserve"> SUM(EF[N2O] * (EF[SATIM Code]= $D1651))  * (SUM( ($A$768:$A$846=$A1651) * ($D$768:$D$846= $D1651) * (O$768:O$846) )  +  SUM( ($A$933:$A$1011=$A1651) * ($D$933:$D$1011= $D1651) * (O$933:O$1011) ) + SUM( ($E$1016:$E$1039=$E$1427)*($A$1016:$A$1039=$A1651) * ($D$1016:$D$1039=$D1651)*(O$1016:O$1039) ) )</f>
        <v>1.7439534379663716E-3</v>
      </c>
    </row>
    <row r="1652" spans="1:15" s="19" customFormat="1" hidden="1" outlineLevel="1">
      <c r="A1652" s="19" t="str">
        <f t="shared" ref="A1652:A1659" si="311">A1651</f>
        <v>NF</v>
      </c>
      <c r="B1652" s="1400" t="str">
        <f>INDEX(EF[UK Vector],MATCH(D1652,EF[SATIM Code],0))</f>
        <v>V.03</v>
      </c>
      <c r="C1652" s="1401" t="str">
        <f>INDEX(Vectors[Description], MATCH($B1652, Vectors[Code], 0))</f>
        <v>Solid hydrocarbons</v>
      </c>
      <c r="D1652" s="1391" t="s">
        <v>883</v>
      </c>
      <c r="E1652" s="1401"/>
      <c r="F1652" s="1379">
        <f t="array" ref="F1652" xml:space="preserve"> SUM(EF[N2O] * (EF[SATIM Code]= $D1652))  * (SUM( ($A$768:$A$846=$A1652) * ($D$768:$D$846= $D1652) * (F$768:F$846) )  +  SUM( ($A$933:$A$1011=$A1652) * ($D$933:$D$1011= $D1652) * (F$933:F$1011) ) + SUM( ($E$1016:$E$1039=$E$1427)*($A$1016:$A$1039=$A1652) * ($D$1016:$D$1039=$D1652)*(F$1016:F$1039) ) )</f>
        <v>0</v>
      </c>
      <c r="G1652" s="1379">
        <f t="array" ref="G1652" xml:space="preserve"> SUM(EF[N2O] * (EF[SATIM Code]= $D1652))  * (SUM( ($A$768:$A$846=$A1652) * ($D$768:$D$846= $D1652) * (G$768:G$846) )  +  SUM( ($A$933:$A$1011=$A1652) * ($D$933:$D$1011= $D1652) * (G$933:G$1011) ) + SUM( ($E$1016:$E$1039=$E$1427)*($A$1016:$A$1039=$A1652) * ($D$1016:$D$1039=$D1652)*(G$1016:G$1039) ) )</f>
        <v>0</v>
      </c>
      <c r="H1652" s="1379">
        <f t="array" ref="H1652" xml:space="preserve"> SUM(EF[N2O] * (EF[SATIM Code]= $D1652))  * (SUM( ($A$768:$A$846=$A1652) * ($D$768:$D$846= $D1652) * (H$768:H$846) )  +  SUM( ($A$933:$A$1011=$A1652) * ($D$933:$D$1011= $D1652) * (H$933:H$1011) ) + SUM( ($E$1016:$E$1039=$E$1427)*($A$1016:$A$1039=$A1652) * ($D$1016:$D$1039=$D1652)*(H$1016:H$1039) ) )</f>
        <v>0</v>
      </c>
      <c r="I1652" s="1379">
        <f t="array" ref="I1652" xml:space="preserve"> SUM(EF[N2O] * (EF[SATIM Code]= $D1652))  * (SUM( ($A$768:$A$846=$A1652) * ($D$768:$D$846= $D1652) * (I$768:I$846) )  +  SUM( ($A$933:$A$1011=$A1652) * ($D$933:$D$1011= $D1652) * (I$933:I$1011) ) + SUM( ($E$1016:$E$1039=$E$1427)*($A$1016:$A$1039=$A1652) * ($D$1016:$D$1039=$D1652)*(I$1016:I$1039) ) )</f>
        <v>0</v>
      </c>
      <c r="J1652" s="1379">
        <f t="array" ref="J1652" xml:space="preserve"> SUM(EF[N2O] * (EF[SATIM Code]= $D1652))  * (SUM( ($A$768:$A$846=$A1652) * ($D$768:$D$846= $D1652) * (J$768:J$846) )  +  SUM( ($A$933:$A$1011=$A1652) * ($D$933:$D$1011= $D1652) * (J$933:J$1011) ) + SUM( ($E$1016:$E$1039=$E$1427)*($A$1016:$A$1039=$A1652) * ($D$1016:$D$1039=$D1652)*(J$1016:J$1039) ) )</f>
        <v>0</v>
      </c>
      <c r="K1652" s="1379">
        <f t="array" ref="K1652" xml:space="preserve"> SUM(EF[N2O] * (EF[SATIM Code]= $D1652))  * (SUM( ($A$768:$A$846=$A1652) * ($D$768:$D$846= $D1652) * (K$768:K$846) )  +  SUM( ($A$933:$A$1011=$A1652) * ($D$933:$D$1011= $D1652) * (K$933:K$1011) ) + SUM( ($E$1016:$E$1039=$E$1427)*($A$1016:$A$1039=$A1652) * ($D$1016:$D$1039=$D1652)*(K$1016:K$1039) ) )</f>
        <v>0</v>
      </c>
      <c r="L1652" s="1379">
        <f t="array" ref="L1652" xml:space="preserve"> SUM(EF[N2O] * (EF[SATIM Code]= $D1652))  * (SUM( ($A$768:$A$846=$A1652) * ($D$768:$D$846= $D1652) * (L$768:L$846) )  +  SUM( ($A$933:$A$1011=$A1652) * ($D$933:$D$1011= $D1652) * (L$933:L$1011) ) + SUM( ($E$1016:$E$1039=$E$1427)*($A$1016:$A$1039=$A1652) * ($D$1016:$D$1039=$D1652)*(L$1016:L$1039) ) )</f>
        <v>0</v>
      </c>
      <c r="M1652" s="1379">
        <f t="array" ref="M1652" xml:space="preserve"> SUM(EF[N2O] * (EF[SATIM Code]= $D1652))  * (SUM( ($A$768:$A$846=$A1652) * ($D$768:$D$846= $D1652) * (M$768:M$846) )  +  SUM( ($A$933:$A$1011=$A1652) * ($D$933:$D$1011= $D1652) * (M$933:M$1011) ) + SUM( ($E$1016:$E$1039=$E$1427)*($A$1016:$A$1039=$A1652) * ($D$1016:$D$1039=$D1652)*(M$1016:M$1039) ) )</f>
        <v>0</v>
      </c>
      <c r="N1652" s="1379">
        <f t="array" ref="N1652" xml:space="preserve"> SUM(EF[N2O] * (EF[SATIM Code]= $D1652))  * (SUM( ($A$768:$A$846=$A1652) * ($D$768:$D$846= $D1652) * (N$768:N$846) )  +  SUM( ($A$933:$A$1011=$A1652) * ($D$933:$D$1011= $D1652) * (N$933:N$1011) ) + SUM( ($E$1016:$E$1039=$E$1427)*($A$1016:$A$1039=$A1652) * ($D$1016:$D$1039=$D1652)*(N$1016:N$1039) ) )</f>
        <v>0</v>
      </c>
      <c r="O1652" s="1379">
        <f t="array" ref="O1652" xml:space="preserve"> SUM(EF[N2O] * (EF[SATIM Code]= $D1652))  * (SUM( ($A$768:$A$846=$A1652) * ($D$768:$D$846= $D1652) * (O$768:O$846) )  +  SUM( ($A$933:$A$1011=$A1652) * ($D$933:$D$1011= $D1652) * (O$933:O$1011) ) + SUM( ($E$1016:$E$1039=$E$1427)*($A$1016:$A$1039=$A1652) * ($D$1016:$D$1039=$D1652)*(O$1016:O$1039) ) )</f>
        <v>0</v>
      </c>
    </row>
    <row r="1653" spans="1:15" s="19" customFormat="1" hidden="1" outlineLevel="1">
      <c r="A1653" s="19" t="str">
        <f t="shared" si="311"/>
        <v>NF</v>
      </c>
      <c r="B1653" s="1400" t="str">
        <f>INDEX(EF[UK Vector],MATCH(D1653,EF[SATIM Code],0))</f>
        <v>V.05</v>
      </c>
      <c r="C1653" s="1401" t="str">
        <f>INDEX(Vectors[Description], MATCH($B1653, Vectors[Code], 0))</f>
        <v>Gaseous hydrocarbons</v>
      </c>
      <c r="D1653" s="1406" t="s">
        <v>869</v>
      </c>
      <c r="E1653" s="1393"/>
      <c r="F1653" s="1379">
        <f t="array" ref="F1653" xml:space="preserve"> SUM(EF[N2O] * (EF[SATIM Code]= $D1653))  * (SUM( ($A$768:$A$846=$A1653) * ($D$768:$D$846= $D1653) * (F$768:F$846) )  +  SUM( ($A$933:$A$1011=$A1653) * ($D$933:$D$1011= $D1653) * (F$933:F$1011) ) + SUM( ($E$1016:$E$1039=$E$1427)*($A$1016:$A$1039=$A1653) * ($D$1016:$D$1039=$D1653)*(F$1016:F$1039) ) )</f>
        <v>0</v>
      </c>
      <c r="G1653" s="1379">
        <f t="array" ref="G1653" xml:space="preserve"> SUM(EF[N2O] * (EF[SATIM Code]= $D1653))  * (SUM( ($A$768:$A$846=$A1653) * ($D$768:$D$846= $D1653) * (G$768:G$846) )  +  SUM( ($A$933:$A$1011=$A1653) * ($D$933:$D$1011= $D1653) * (G$933:G$1011) ) + SUM( ($E$1016:$E$1039=$E$1427)*($A$1016:$A$1039=$A1653) * ($D$1016:$D$1039=$D1653)*(G$1016:G$1039) ) )</f>
        <v>0</v>
      </c>
      <c r="H1653" s="1379">
        <f t="array" ref="H1653" xml:space="preserve"> SUM(EF[N2O] * (EF[SATIM Code]= $D1653))  * (SUM( ($A$768:$A$846=$A1653) * ($D$768:$D$846= $D1653) * (H$768:H$846) )  +  SUM( ($A$933:$A$1011=$A1653) * ($D$933:$D$1011= $D1653) * (H$933:H$1011) ) + SUM( ($E$1016:$E$1039=$E$1427)*($A$1016:$A$1039=$A1653) * ($D$1016:$D$1039=$D1653)*(H$1016:H$1039) ) )</f>
        <v>0</v>
      </c>
      <c r="I1653" s="1379">
        <f t="array" ref="I1653" xml:space="preserve"> SUM(EF[N2O] * (EF[SATIM Code]= $D1653))  * (SUM( ($A$768:$A$846=$A1653) * ($D$768:$D$846= $D1653) * (I$768:I$846) )  +  SUM( ($A$933:$A$1011=$A1653) * ($D$933:$D$1011= $D1653) * (I$933:I$1011) ) + SUM( ($E$1016:$E$1039=$E$1427)*($A$1016:$A$1039=$A1653) * ($D$1016:$D$1039=$D1653)*(I$1016:I$1039) ) )</f>
        <v>0</v>
      </c>
      <c r="J1653" s="1379">
        <f t="array" ref="J1653" xml:space="preserve"> SUM(EF[N2O] * (EF[SATIM Code]= $D1653))  * (SUM( ($A$768:$A$846=$A1653) * ($D$768:$D$846= $D1653) * (J$768:J$846) )  +  SUM( ($A$933:$A$1011=$A1653) * ($D$933:$D$1011= $D1653) * (J$933:J$1011) ) + SUM( ($E$1016:$E$1039=$E$1427)*($A$1016:$A$1039=$A1653) * ($D$1016:$D$1039=$D1653)*(J$1016:J$1039) ) )</f>
        <v>0</v>
      </c>
      <c r="K1653" s="1379">
        <f t="array" ref="K1653" xml:space="preserve"> SUM(EF[N2O] * (EF[SATIM Code]= $D1653))  * (SUM( ($A$768:$A$846=$A1653) * ($D$768:$D$846= $D1653) * (K$768:K$846) )  +  SUM( ($A$933:$A$1011=$A1653) * ($D$933:$D$1011= $D1653) * (K$933:K$1011) ) + SUM( ($E$1016:$E$1039=$E$1427)*($A$1016:$A$1039=$A1653) * ($D$1016:$D$1039=$D1653)*(K$1016:K$1039) ) )</f>
        <v>0</v>
      </c>
      <c r="L1653" s="1379">
        <f t="array" ref="L1653" xml:space="preserve"> SUM(EF[N2O] * (EF[SATIM Code]= $D1653))  * (SUM( ($A$768:$A$846=$A1653) * ($D$768:$D$846= $D1653) * (L$768:L$846) )  +  SUM( ($A$933:$A$1011=$A1653) * ($D$933:$D$1011= $D1653) * (L$933:L$1011) ) + SUM( ($E$1016:$E$1039=$E$1427)*($A$1016:$A$1039=$A1653) * ($D$1016:$D$1039=$D1653)*(L$1016:L$1039) ) )</f>
        <v>0</v>
      </c>
      <c r="M1653" s="1379">
        <f t="array" ref="M1653" xml:space="preserve"> SUM(EF[N2O] * (EF[SATIM Code]= $D1653))  * (SUM( ($A$768:$A$846=$A1653) * ($D$768:$D$846= $D1653) * (M$768:M$846) )  +  SUM( ($A$933:$A$1011=$A1653) * ($D$933:$D$1011= $D1653) * (M$933:M$1011) ) + SUM( ($E$1016:$E$1039=$E$1427)*($A$1016:$A$1039=$A1653) * ($D$1016:$D$1039=$D1653)*(M$1016:M$1039) ) )</f>
        <v>0</v>
      </c>
      <c r="N1653" s="1379">
        <f t="array" ref="N1653" xml:space="preserve"> SUM(EF[N2O] * (EF[SATIM Code]= $D1653))  * (SUM( ($A$768:$A$846=$A1653) * ($D$768:$D$846= $D1653) * (N$768:N$846) )  +  SUM( ($A$933:$A$1011=$A1653) * ($D$933:$D$1011= $D1653) * (N$933:N$1011) ) + SUM( ($E$1016:$E$1039=$E$1427)*($A$1016:$A$1039=$A1653) * ($D$1016:$D$1039=$D1653)*(N$1016:N$1039) ) )</f>
        <v>0</v>
      </c>
      <c r="O1653" s="1379">
        <f t="array" ref="O1653" xml:space="preserve"> SUM(EF[N2O] * (EF[SATIM Code]= $D1653))  * (SUM( ($A$768:$A$846=$A1653) * ($D$768:$D$846= $D1653) * (O$768:O$846) )  +  SUM( ($A$933:$A$1011=$A1653) * ($D$933:$D$1011= $D1653) * (O$933:O$1011) ) + SUM( ($E$1016:$E$1039=$E$1427)*($A$1016:$A$1039=$A1653) * ($D$1016:$D$1039=$D1653)*(O$1016:O$1039) ) )</f>
        <v>0</v>
      </c>
    </row>
    <row r="1654" spans="1:15" s="19" customFormat="1" hidden="1" outlineLevel="1">
      <c r="A1654" s="19" t="str">
        <f t="shared" si="311"/>
        <v>NF</v>
      </c>
      <c r="B1654" s="1400" t="str">
        <f>INDEX(EF[UK Vector],MATCH(D1654,EF[SATIM Code],0))</f>
        <v>V.04</v>
      </c>
      <c r="C1654" s="1401" t="str">
        <f>INDEX(Vectors[Description], MATCH($B1654, Vectors[Code], 0))</f>
        <v>Liquid hydrocarbons</v>
      </c>
      <c r="D1654" s="1406" t="s">
        <v>885</v>
      </c>
      <c r="E1654" s="1401"/>
      <c r="F1654" s="1379">
        <f t="array" ref="F1654" xml:space="preserve"> SUM(EF[N2O] * (EF[SATIM Code]= $D1654))  * (SUM( ($A$768:$A$846=$A1654) * ($D$768:$D$846= $D1654) * (F$768:F$846) )  +  SUM( ($A$933:$A$1011=$A1654) * ($D$933:$D$1011= $D1654) * (F$933:F$1011) ) + SUM( ($E$1016:$E$1039=$E$1427)*($A$1016:$A$1039=$A1654) * ($D$1016:$D$1039=$D1654)*(F$1016:F$1039) ) )</f>
        <v>0</v>
      </c>
      <c r="G1654" s="1379">
        <f t="array" ref="G1654" xml:space="preserve"> SUM(EF[N2O] * (EF[SATIM Code]= $D1654))  * (SUM( ($A$768:$A$846=$A1654) * ($D$768:$D$846= $D1654) * (G$768:G$846) )  +  SUM( ($A$933:$A$1011=$A1654) * ($D$933:$D$1011= $D1654) * (G$933:G$1011) ) + SUM( ($E$1016:$E$1039=$E$1427)*($A$1016:$A$1039=$A1654) * ($D$1016:$D$1039=$D1654)*(G$1016:G$1039) ) )</f>
        <v>0</v>
      </c>
      <c r="H1654" s="1379">
        <f t="array" ref="H1654" xml:space="preserve"> SUM(EF[N2O] * (EF[SATIM Code]= $D1654))  * (SUM( ($A$768:$A$846=$A1654) * ($D$768:$D$846= $D1654) * (H$768:H$846) )  +  SUM( ($A$933:$A$1011=$A1654) * ($D$933:$D$1011= $D1654) * (H$933:H$1011) ) + SUM( ($E$1016:$E$1039=$E$1427)*($A$1016:$A$1039=$A1654) * ($D$1016:$D$1039=$D1654)*(H$1016:H$1039) ) )</f>
        <v>0</v>
      </c>
      <c r="I1654" s="1379">
        <f t="array" ref="I1654" xml:space="preserve"> SUM(EF[N2O] * (EF[SATIM Code]= $D1654))  * (SUM( ($A$768:$A$846=$A1654) * ($D$768:$D$846= $D1654) * (I$768:I$846) )  +  SUM( ($A$933:$A$1011=$A1654) * ($D$933:$D$1011= $D1654) * (I$933:I$1011) ) + SUM( ($E$1016:$E$1039=$E$1427)*($A$1016:$A$1039=$A1654) * ($D$1016:$D$1039=$D1654)*(I$1016:I$1039) ) )</f>
        <v>0</v>
      </c>
      <c r="J1654" s="1379">
        <f t="array" ref="J1654" xml:space="preserve"> SUM(EF[N2O] * (EF[SATIM Code]= $D1654))  * (SUM( ($A$768:$A$846=$A1654) * ($D$768:$D$846= $D1654) * (J$768:J$846) )  +  SUM( ($A$933:$A$1011=$A1654) * ($D$933:$D$1011= $D1654) * (J$933:J$1011) ) + SUM( ($E$1016:$E$1039=$E$1427)*($A$1016:$A$1039=$A1654) * ($D$1016:$D$1039=$D1654)*(J$1016:J$1039) ) )</f>
        <v>0</v>
      </c>
      <c r="K1654" s="1379">
        <f t="array" ref="K1654" xml:space="preserve"> SUM(EF[N2O] * (EF[SATIM Code]= $D1654))  * (SUM( ($A$768:$A$846=$A1654) * ($D$768:$D$846= $D1654) * (K$768:K$846) )  +  SUM( ($A$933:$A$1011=$A1654) * ($D$933:$D$1011= $D1654) * (K$933:K$1011) ) + SUM( ($E$1016:$E$1039=$E$1427)*($A$1016:$A$1039=$A1654) * ($D$1016:$D$1039=$D1654)*(K$1016:K$1039) ) )</f>
        <v>0</v>
      </c>
      <c r="L1654" s="1379">
        <f t="array" ref="L1654" xml:space="preserve"> SUM(EF[N2O] * (EF[SATIM Code]= $D1654))  * (SUM( ($A$768:$A$846=$A1654) * ($D$768:$D$846= $D1654) * (L$768:L$846) )  +  SUM( ($A$933:$A$1011=$A1654) * ($D$933:$D$1011= $D1654) * (L$933:L$1011) ) + SUM( ($E$1016:$E$1039=$E$1427)*($A$1016:$A$1039=$A1654) * ($D$1016:$D$1039=$D1654)*(L$1016:L$1039) ) )</f>
        <v>0</v>
      </c>
      <c r="M1654" s="1379">
        <f t="array" ref="M1654" xml:space="preserve"> SUM(EF[N2O] * (EF[SATIM Code]= $D1654))  * (SUM( ($A$768:$A$846=$A1654) * ($D$768:$D$846= $D1654) * (M$768:M$846) )  +  SUM( ($A$933:$A$1011=$A1654) * ($D$933:$D$1011= $D1654) * (M$933:M$1011) ) + SUM( ($E$1016:$E$1039=$E$1427)*($A$1016:$A$1039=$A1654) * ($D$1016:$D$1039=$D1654)*(M$1016:M$1039) ) )</f>
        <v>0</v>
      </c>
      <c r="N1654" s="1379">
        <f t="array" ref="N1654" xml:space="preserve"> SUM(EF[N2O] * (EF[SATIM Code]= $D1654))  * (SUM( ($A$768:$A$846=$A1654) * ($D$768:$D$846= $D1654) * (N$768:N$846) )  +  SUM( ($A$933:$A$1011=$A1654) * ($D$933:$D$1011= $D1654) * (N$933:N$1011) ) + SUM( ($E$1016:$E$1039=$E$1427)*($A$1016:$A$1039=$A1654) * ($D$1016:$D$1039=$D1654)*(N$1016:N$1039) ) )</f>
        <v>0</v>
      </c>
      <c r="O1654" s="1379">
        <f t="array" ref="O1654" xml:space="preserve"> SUM(EF[N2O] * (EF[SATIM Code]= $D1654))  * (SUM( ($A$768:$A$846=$A1654) * ($D$768:$D$846= $D1654) * (O$768:O$846) )  +  SUM( ($A$933:$A$1011=$A1654) * ($D$933:$D$1011= $D1654) * (O$933:O$1011) ) + SUM( ($E$1016:$E$1039=$E$1427)*($A$1016:$A$1039=$A1654) * ($D$1016:$D$1039=$D1654)*(O$1016:O$1039) ) )</f>
        <v>0</v>
      </c>
    </row>
    <row r="1655" spans="1:15" s="19" customFormat="1" hidden="1" outlineLevel="1">
      <c r="A1655" s="19" t="str">
        <f t="shared" si="311"/>
        <v>NF</v>
      </c>
      <c r="B1655" s="1400" t="str">
        <f>INDEX(EF[UK Vector],MATCH(D1655,EF[SATIM Code],0))</f>
        <v>V.04</v>
      </c>
      <c r="C1655" s="1401" t="str">
        <f>INDEX(Vectors[Description], MATCH($B1655, Vectors[Code], 0))</f>
        <v>Liquid hydrocarbons</v>
      </c>
      <c r="D1655" s="1391" t="s">
        <v>886</v>
      </c>
      <c r="E1655" s="1393"/>
      <c r="F1655" s="1379">
        <f t="array" ref="F1655" xml:space="preserve"> SUM(EF[N2O] * (EF[SATIM Code]= $D1655))  * (SUM( ($A$768:$A$846=$A1655) * ($D$768:$D$846= $D1655) * (F$768:F$846) )  +  SUM( ($A$933:$A$1011=$A1655) * ($D$933:$D$1011= $D1655) * (F$933:F$1011) ) + SUM( ($E$1016:$E$1039=$E$1427)*($A$1016:$A$1039=$A1655) * ($D$1016:$D$1039=$D1655)*(F$1016:F$1039) ) )</f>
        <v>0</v>
      </c>
      <c r="G1655" s="1379">
        <f t="array" ref="G1655" xml:space="preserve"> SUM(EF[N2O] * (EF[SATIM Code]= $D1655))  * (SUM( ($A$768:$A$846=$A1655) * ($D$768:$D$846= $D1655) * (G$768:G$846) )  +  SUM( ($A$933:$A$1011=$A1655) * ($D$933:$D$1011= $D1655) * (G$933:G$1011) ) + SUM( ($E$1016:$E$1039=$E$1427)*($A$1016:$A$1039=$A1655) * ($D$1016:$D$1039=$D1655)*(G$1016:G$1039) ) )</f>
        <v>0</v>
      </c>
      <c r="H1655" s="1379">
        <f t="array" ref="H1655" xml:space="preserve"> SUM(EF[N2O] * (EF[SATIM Code]= $D1655))  * (SUM( ($A$768:$A$846=$A1655) * ($D$768:$D$846= $D1655) * (H$768:H$846) )  +  SUM( ($A$933:$A$1011=$A1655) * ($D$933:$D$1011= $D1655) * (H$933:H$1011) ) + SUM( ($E$1016:$E$1039=$E$1427)*($A$1016:$A$1039=$A1655) * ($D$1016:$D$1039=$D1655)*(H$1016:H$1039) ) )</f>
        <v>0</v>
      </c>
      <c r="I1655" s="1379">
        <f t="array" ref="I1655" xml:space="preserve"> SUM(EF[N2O] * (EF[SATIM Code]= $D1655))  * (SUM( ($A$768:$A$846=$A1655) * ($D$768:$D$846= $D1655) * (I$768:I$846) )  +  SUM( ($A$933:$A$1011=$A1655) * ($D$933:$D$1011= $D1655) * (I$933:I$1011) ) + SUM( ($E$1016:$E$1039=$E$1427)*($A$1016:$A$1039=$A1655) * ($D$1016:$D$1039=$D1655)*(I$1016:I$1039) ) )</f>
        <v>0</v>
      </c>
      <c r="J1655" s="1379">
        <f t="array" ref="J1655" xml:space="preserve"> SUM(EF[N2O] * (EF[SATIM Code]= $D1655))  * (SUM( ($A$768:$A$846=$A1655) * ($D$768:$D$846= $D1655) * (J$768:J$846) )  +  SUM( ($A$933:$A$1011=$A1655) * ($D$933:$D$1011= $D1655) * (J$933:J$1011) ) + SUM( ($E$1016:$E$1039=$E$1427)*($A$1016:$A$1039=$A1655) * ($D$1016:$D$1039=$D1655)*(J$1016:J$1039) ) )</f>
        <v>0</v>
      </c>
      <c r="K1655" s="1379">
        <f t="array" ref="K1655" xml:space="preserve"> SUM(EF[N2O] * (EF[SATIM Code]= $D1655))  * (SUM( ($A$768:$A$846=$A1655) * ($D$768:$D$846= $D1655) * (K$768:K$846) )  +  SUM( ($A$933:$A$1011=$A1655) * ($D$933:$D$1011= $D1655) * (K$933:K$1011) ) + SUM( ($E$1016:$E$1039=$E$1427)*($A$1016:$A$1039=$A1655) * ($D$1016:$D$1039=$D1655)*(K$1016:K$1039) ) )</f>
        <v>0</v>
      </c>
      <c r="L1655" s="1379">
        <f t="array" ref="L1655" xml:space="preserve"> SUM(EF[N2O] * (EF[SATIM Code]= $D1655))  * (SUM( ($A$768:$A$846=$A1655) * ($D$768:$D$846= $D1655) * (L$768:L$846) )  +  SUM( ($A$933:$A$1011=$A1655) * ($D$933:$D$1011= $D1655) * (L$933:L$1011) ) + SUM( ($E$1016:$E$1039=$E$1427)*($A$1016:$A$1039=$A1655) * ($D$1016:$D$1039=$D1655)*(L$1016:L$1039) ) )</f>
        <v>0</v>
      </c>
      <c r="M1655" s="1379">
        <f t="array" ref="M1655" xml:space="preserve"> SUM(EF[N2O] * (EF[SATIM Code]= $D1655))  * (SUM( ($A$768:$A$846=$A1655) * ($D$768:$D$846= $D1655) * (M$768:M$846) )  +  SUM( ($A$933:$A$1011=$A1655) * ($D$933:$D$1011= $D1655) * (M$933:M$1011) ) + SUM( ($E$1016:$E$1039=$E$1427)*($A$1016:$A$1039=$A1655) * ($D$1016:$D$1039=$D1655)*(M$1016:M$1039) ) )</f>
        <v>0</v>
      </c>
      <c r="N1655" s="1379">
        <f t="array" ref="N1655" xml:space="preserve"> SUM(EF[N2O] * (EF[SATIM Code]= $D1655))  * (SUM( ($A$768:$A$846=$A1655) * ($D$768:$D$846= $D1655) * (N$768:N$846) )  +  SUM( ($A$933:$A$1011=$A1655) * ($D$933:$D$1011= $D1655) * (N$933:N$1011) ) + SUM( ($E$1016:$E$1039=$E$1427)*($A$1016:$A$1039=$A1655) * ($D$1016:$D$1039=$D1655)*(N$1016:N$1039) ) )</f>
        <v>0</v>
      </c>
      <c r="O1655" s="1379">
        <f t="array" ref="O1655" xml:space="preserve"> SUM(EF[N2O] * (EF[SATIM Code]= $D1655))  * (SUM( ($A$768:$A$846=$A1655) * ($D$768:$D$846= $D1655) * (O$768:O$846) )  +  SUM( ($A$933:$A$1011=$A1655) * ($D$933:$D$1011= $D1655) * (O$933:O$1011) ) + SUM( ($E$1016:$E$1039=$E$1427)*($A$1016:$A$1039=$A1655) * ($D$1016:$D$1039=$D1655)*(O$1016:O$1039) ) )</f>
        <v>0</v>
      </c>
    </row>
    <row r="1656" spans="1:15" s="19" customFormat="1" hidden="1" outlineLevel="1">
      <c r="A1656" s="19" t="str">
        <f t="shared" si="311"/>
        <v>NF</v>
      </c>
      <c r="B1656" s="1400" t="str">
        <f>INDEX(EF[UK Vector],MATCH(D1656,EF[SATIM Code],0))</f>
        <v>V.04</v>
      </c>
      <c r="C1656" s="1401" t="str">
        <f>INDEX(Vectors[Description], MATCH($B1656, Vectors[Code], 0))</f>
        <v>Liquid hydrocarbons</v>
      </c>
      <c r="D1656" s="1406" t="s">
        <v>887</v>
      </c>
      <c r="E1656" s="1393"/>
      <c r="F1656" s="1379">
        <f t="array" ref="F1656" xml:space="preserve"> SUM(EF[N2O] * (EF[SATIM Code]= $D1656))  * (SUM( ($A$768:$A$846=$A1656) * ($D$768:$D$846= $D1656) * (F$768:F$846) )  +  SUM( ($A$933:$A$1011=$A1656) * ($D$933:$D$1011= $D1656) * (F$933:F$1011) ) + SUM( ($E$1016:$E$1039=$E$1427)*($A$1016:$A$1039=$A1656) * ($D$1016:$D$1039=$D1656)*(F$1016:F$1039) ) )</f>
        <v>0</v>
      </c>
      <c r="G1656" s="1379">
        <f t="array" ref="G1656" xml:space="preserve"> SUM(EF[N2O] * (EF[SATIM Code]= $D1656))  * (SUM( ($A$768:$A$846=$A1656) * ($D$768:$D$846= $D1656) * (G$768:G$846) )  +  SUM( ($A$933:$A$1011=$A1656) * ($D$933:$D$1011= $D1656) * (G$933:G$1011) ) + SUM( ($E$1016:$E$1039=$E$1427)*($A$1016:$A$1039=$A1656) * ($D$1016:$D$1039=$D1656)*(G$1016:G$1039) ) )</f>
        <v>0</v>
      </c>
      <c r="H1656" s="1379">
        <f t="array" ref="H1656" xml:space="preserve"> SUM(EF[N2O] * (EF[SATIM Code]= $D1656))  * (SUM( ($A$768:$A$846=$A1656) * ($D$768:$D$846= $D1656) * (H$768:H$846) )  +  SUM( ($A$933:$A$1011=$A1656) * ($D$933:$D$1011= $D1656) * (H$933:H$1011) ) + SUM( ($E$1016:$E$1039=$E$1427)*($A$1016:$A$1039=$A1656) * ($D$1016:$D$1039=$D1656)*(H$1016:H$1039) ) )</f>
        <v>0</v>
      </c>
      <c r="I1656" s="1379">
        <f t="array" ref="I1656" xml:space="preserve"> SUM(EF[N2O] * (EF[SATIM Code]= $D1656))  * (SUM( ($A$768:$A$846=$A1656) * ($D$768:$D$846= $D1656) * (I$768:I$846) )  +  SUM( ($A$933:$A$1011=$A1656) * ($D$933:$D$1011= $D1656) * (I$933:I$1011) ) + SUM( ($E$1016:$E$1039=$E$1427)*($A$1016:$A$1039=$A1656) * ($D$1016:$D$1039=$D1656)*(I$1016:I$1039) ) )</f>
        <v>0</v>
      </c>
      <c r="J1656" s="1379">
        <f t="array" ref="J1656" xml:space="preserve"> SUM(EF[N2O] * (EF[SATIM Code]= $D1656))  * (SUM( ($A$768:$A$846=$A1656) * ($D$768:$D$846= $D1656) * (J$768:J$846) )  +  SUM( ($A$933:$A$1011=$A1656) * ($D$933:$D$1011= $D1656) * (J$933:J$1011) ) + SUM( ($E$1016:$E$1039=$E$1427)*($A$1016:$A$1039=$A1656) * ($D$1016:$D$1039=$D1656)*(J$1016:J$1039) ) )</f>
        <v>0</v>
      </c>
      <c r="K1656" s="1379">
        <f t="array" ref="K1656" xml:space="preserve"> SUM(EF[N2O] * (EF[SATIM Code]= $D1656))  * (SUM( ($A$768:$A$846=$A1656) * ($D$768:$D$846= $D1656) * (K$768:K$846) )  +  SUM( ($A$933:$A$1011=$A1656) * ($D$933:$D$1011= $D1656) * (K$933:K$1011) ) + SUM( ($E$1016:$E$1039=$E$1427)*($A$1016:$A$1039=$A1656) * ($D$1016:$D$1039=$D1656)*(K$1016:K$1039) ) )</f>
        <v>0</v>
      </c>
      <c r="L1656" s="1379">
        <f t="array" ref="L1656" xml:space="preserve"> SUM(EF[N2O] * (EF[SATIM Code]= $D1656))  * (SUM( ($A$768:$A$846=$A1656) * ($D$768:$D$846= $D1656) * (L$768:L$846) )  +  SUM( ($A$933:$A$1011=$A1656) * ($D$933:$D$1011= $D1656) * (L$933:L$1011) ) + SUM( ($E$1016:$E$1039=$E$1427)*($A$1016:$A$1039=$A1656) * ($D$1016:$D$1039=$D1656)*(L$1016:L$1039) ) )</f>
        <v>0</v>
      </c>
      <c r="M1656" s="1379">
        <f t="array" ref="M1656" xml:space="preserve"> SUM(EF[N2O] * (EF[SATIM Code]= $D1656))  * (SUM( ($A$768:$A$846=$A1656) * ($D$768:$D$846= $D1656) * (M$768:M$846) )  +  SUM( ($A$933:$A$1011=$A1656) * ($D$933:$D$1011= $D1656) * (M$933:M$1011) ) + SUM( ($E$1016:$E$1039=$E$1427)*($A$1016:$A$1039=$A1656) * ($D$1016:$D$1039=$D1656)*(M$1016:M$1039) ) )</f>
        <v>0</v>
      </c>
      <c r="N1656" s="1379">
        <f t="array" ref="N1656" xml:space="preserve"> SUM(EF[N2O] * (EF[SATIM Code]= $D1656))  * (SUM( ($A$768:$A$846=$A1656) * ($D$768:$D$846= $D1656) * (N$768:N$846) )  +  SUM( ($A$933:$A$1011=$A1656) * ($D$933:$D$1011= $D1656) * (N$933:N$1011) ) + SUM( ($E$1016:$E$1039=$E$1427)*($A$1016:$A$1039=$A1656) * ($D$1016:$D$1039=$D1656)*(N$1016:N$1039) ) )</f>
        <v>0</v>
      </c>
      <c r="O1656" s="1379">
        <f t="array" ref="O1656" xml:space="preserve"> SUM(EF[N2O] * (EF[SATIM Code]= $D1656))  * (SUM( ($A$768:$A$846=$A1656) * ($D$768:$D$846= $D1656) * (O$768:O$846) )  +  SUM( ($A$933:$A$1011=$A1656) * ($D$933:$D$1011= $D1656) * (O$933:O$1011) ) + SUM( ($E$1016:$E$1039=$E$1427)*($A$1016:$A$1039=$A1656) * ($D$1016:$D$1039=$D1656)*(O$1016:O$1039) ) )</f>
        <v>0</v>
      </c>
    </row>
    <row r="1657" spans="1:15" s="19" customFormat="1" hidden="1" outlineLevel="1">
      <c r="A1657" s="19" t="str">
        <f t="shared" si="311"/>
        <v>NF</v>
      </c>
      <c r="B1657" s="1400" t="str">
        <f>INDEX(EF[UK Vector],MATCH(D1657,EF[SATIM Code],0))</f>
        <v>V.09</v>
      </c>
      <c r="C1657" s="1401" t="str">
        <f>INDEX(Vectors[Description], MATCH($B1657, Vectors[Code], 0))</f>
        <v>Dry biomass and waste</v>
      </c>
      <c r="D1657" s="1406" t="s">
        <v>888</v>
      </c>
      <c r="E1657" s="1393"/>
      <c r="F1657" s="1379">
        <f t="array" ref="F1657" xml:space="preserve"> SUM(EF[N2O] * (EF[SATIM Code]= $D1657))  * (SUM( ($A$768:$A$846=$A1657) * ($D$768:$D$846= $D1657) * (F$768:F$846) )  +  SUM( ($A$933:$A$1011=$A1657) * ($D$933:$D$1011= $D1657) * (F$933:F$1011) ) + SUM( ($E$1016:$E$1039=$E$1427)*($A$1016:$A$1039=$A1657) * ($D$1016:$D$1039=$D1657)*(F$1016:F$1039) ) )</f>
        <v>0</v>
      </c>
      <c r="G1657" s="1379">
        <f t="array" ref="G1657" xml:space="preserve"> SUM(EF[N2O] * (EF[SATIM Code]= $D1657))  * (SUM( ($A$768:$A$846=$A1657) * ($D$768:$D$846= $D1657) * (G$768:G$846) )  +  SUM( ($A$933:$A$1011=$A1657) * ($D$933:$D$1011= $D1657) * (G$933:G$1011) ) + SUM( ($E$1016:$E$1039=$E$1427)*($A$1016:$A$1039=$A1657) * ($D$1016:$D$1039=$D1657)*(G$1016:G$1039) ) )</f>
        <v>0</v>
      </c>
      <c r="H1657" s="1379">
        <f t="array" ref="H1657" xml:space="preserve"> SUM(EF[N2O] * (EF[SATIM Code]= $D1657))  * (SUM( ($A$768:$A$846=$A1657) * ($D$768:$D$846= $D1657) * (H$768:H$846) )  +  SUM( ($A$933:$A$1011=$A1657) * ($D$933:$D$1011= $D1657) * (H$933:H$1011) ) + SUM( ($E$1016:$E$1039=$E$1427)*($A$1016:$A$1039=$A1657) * ($D$1016:$D$1039=$D1657)*(H$1016:H$1039) ) )</f>
        <v>0</v>
      </c>
      <c r="I1657" s="1379">
        <f t="array" ref="I1657" xml:space="preserve"> SUM(EF[N2O] * (EF[SATIM Code]= $D1657))  * (SUM( ($A$768:$A$846=$A1657) * ($D$768:$D$846= $D1657) * (I$768:I$846) )  +  SUM( ($A$933:$A$1011=$A1657) * ($D$933:$D$1011= $D1657) * (I$933:I$1011) ) + SUM( ($E$1016:$E$1039=$E$1427)*($A$1016:$A$1039=$A1657) * ($D$1016:$D$1039=$D1657)*(I$1016:I$1039) ) )</f>
        <v>0</v>
      </c>
      <c r="J1657" s="1379">
        <f t="array" ref="J1657" xml:space="preserve"> SUM(EF[N2O] * (EF[SATIM Code]= $D1657))  * (SUM( ($A$768:$A$846=$A1657) * ($D$768:$D$846= $D1657) * (J$768:J$846) )  +  SUM( ($A$933:$A$1011=$A1657) * ($D$933:$D$1011= $D1657) * (J$933:J$1011) ) + SUM( ($E$1016:$E$1039=$E$1427)*($A$1016:$A$1039=$A1657) * ($D$1016:$D$1039=$D1657)*(J$1016:J$1039) ) )</f>
        <v>0</v>
      </c>
      <c r="K1657" s="1379">
        <f t="array" ref="K1657" xml:space="preserve"> SUM(EF[N2O] * (EF[SATIM Code]= $D1657))  * (SUM( ($A$768:$A$846=$A1657) * ($D$768:$D$846= $D1657) * (K$768:K$846) )  +  SUM( ($A$933:$A$1011=$A1657) * ($D$933:$D$1011= $D1657) * (K$933:K$1011) ) + SUM( ($E$1016:$E$1039=$E$1427)*($A$1016:$A$1039=$A1657) * ($D$1016:$D$1039=$D1657)*(K$1016:K$1039) ) )</f>
        <v>0</v>
      </c>
      <c r="L1657" s="1379">
        <f t="array" ref="L1657" xml:space="preserve"> SUM(EF[N2O] * (EF[SATIM Code]= $D1657))  * (SUM( ($A$768:$A$846=$A1657) * ($D$768:$D$846= $D1657) * (L$768:L$846) )  +  SUM( ($A$933:$A$1011=$A1657) * ($D$933:$D$1011= $D1657) * (L$933:L$1011) ) + SUM( ($E$1016:$E$1039=$E$1427)*($A$1016:$A$1039=$A1657) * ($D$1016:$D$1039=$D1657)*(L$1016:L$1039) ) )</f>
        <v>0</v>
      </c>
      <c r="M1657" s="1379">
        <f t="array" ref="M1657" xml:space="preserve"> SUM(EF[N2O] * (EF[SATIM Code]= $D1657))  * (SUM( ($A$768:$A$846=$A1657) * ($D$768:$D$846= $D1657) * (M$768:M$846) )  +  SUM( ($A$933:$A$1011=$A1657) * ($D$933:$D$1011= $D1657) * (M$933:M$1011) ) + SUM( ($E$1016:$E$1039=$E$1427)*($A$1016:$A$1039=$A1657) * ($D$1016:$D$1039=$D1657)*(M$1016:M$1039) ) )</f>
        <v>0</v>
      </c>
      <c r="N1657" s="1379">
        <f t="array" ref="N1657" xml:space="preserve"> SUM(EF[N2O] * (EF[SATIM Code]= $D1657))  * (SUM( ($A$768:$A$846=$A1657) * ($D$768:$D$846= $D1657) * (N$768:N$846) )  +  SUM( ($A$933:$A$1011=$A1657) * ($D$933:$D$1011= $D1657) * (N$933:N$1011) ) + SUM( ($E$1016:$E$1039=$E$1427)*($A$1016:$A$1039=$A1657) * ($D$1016:$D$1039=$D1657)*(N$1016:N$1039) ) )</f>
        <v>0</v>
      </c>
      <c r="O1657" s="1379">
        <f t="array" ref="O1657" xml:space="preserve"> SUM(EF[N2O] * (EF[SATIM Code]= $D1657))  * (SUM( ($A$768:$A$846=$A1657) * ($D$768:$D$846= $D1657) * (O$768:O$846) )  +  SUM( ($A$933:$A$1011=$A1657) * ($D$933:$D$1011= $D1657) * (O$933:O$1011) ) + SUM( ($E$1016:$E$1039=$E$1427)*($A$1016:$A$1039=$A1657) * ($D$1016:$D$1039=$D1657)*(O$1016:O$1039) ) )</f>
        <v>0</v>
      </c>
    </row>
    <row r="1658" spans="1:15" s="19" customFormat="1" hidden="1" outlineLevel="1">
      <c r="A1658" s="19" t="str">
        <f t="shared" si="311"/>
        <v>NF</v>
      </c>
      <c r="B1658" s="1400" t="str">
        <f>INDEX(EF[UK Vector],MATCH(D1658,EF[SATIM Code],0))</f>
        <v>V.09</v>
      </c>
      <c r="C1658" s="1401" t="str">
        <f>INDEX(Vectors[Description], MATCH($B1658, Vectors[Code], 0))</f>
        <v>Dry biomass and waste</v>
      </c>
      <c r="D1658" s="1388" t="s">
        <v>889</v>
      </c>
      <c r="E1658" s="1393"/>
      <c r="F1658" s="1379">
        <f t="array" ref="F1658" xml:space="preserve"> SUM(EF[N2O] * (EF[SATIM Code]= $D1658))  * (SUM( ($A$768:$A$846=$A1658) * ($D$768:$D$846= $D1658) * (F$768:F$846) )  +  SUM( ($A$933:$A$1011=$A1658) * ($D$933:$D$1011= $D1658) * (F$933:F$1011) ) + SUM( ($E$1016:$E$1039=$E$1427)*($A$1016:$A$1039=$A1658) * ($D$1016:$D$1039=$D1658)*(F$1016:F$1039) ) )</f>
        <v>0</v>
      </c>
      <c r="G1658" s="1379">
        <f t="array" ref="G1658" xml:space="preserve"> SUM(EF[N2O] * (EF[SATIM Code]= $D1658))  * (SUM( ($A$768:$A$846=$A1658) * ($D$768:$D$846= $D1658) * (G$768:G$846) )  +  SUM( ($A$933:$A$1011=$A1658) * ($D$933:$D$1011= $D1658) * (G$933:G$1011) ) + SUM( ($E$1016:$E$1039=$E$1427)*($A$1016:$A$1039=$A1658) * ($D$1016:$D$1039=$D1658)*(G$1016:G$1039) ) )</f>
        <v>0</v>
      </c>
      <c r="H1658" s="1379">
        <f t="array" ref="H1658" xml:space="preserve"> SUM(EF[N2O] * (EF[SATIM Code]= $D1658))  * (SUM( ($A$768:$A$846=$A1658) * ($D$768:$D$846= $D1658) * (H$768:H$846) )  +  SUM( ($A$933:$A$1011=$A1658) * ($D$933:$D$1011= $D1658) * (H$933:H$1011) ) + SUM( ($E$1016:$E$1039=$E$1427)*($A$1016:$A$1039=$A1658) * ($D$1016:$D$1039=$D1658)*(H$1016:H$1039) ) )</f>
        <v>0</v>
      </c>
      <c r="I1658" s="1379">
        <f t="array" ref="I1658" xml:space="preserve"> SUM(EF[N2O] * (EF[SATIM Code]= $D1658))  * (SUM( ($A$768:$A$846=$A1658) * ($D$768:$D$846= $D1658) * (I$768:I$846) )  +  SUM( ($A$933:$A$1011=$A1658) * ($D$933:$D$1011= $D1658) * (I$933:I$1011) ) + SUM( ($E$1016:$E$1039=$E$1427)*($A$1016:$A$1039=$A1658) * ($D$1016:$D$1039=$D1658)*(I$1016:I$1039) ) )</f>
        <v>0</v>
      </c>
      <c r="J1658" s="1379">
        <f t="array" ref="J1658" xml:space="preserve"> SUM(EF[N2O] * (EF[SATIM Code]= $D1658))  * (SUM( ($A$768:$A$846=$A1658) * ($D$768:$D$846= $D1658) * (J$768:J$846) )  +  SUM( ($A$933:$A$1011=$A1658) * ($D$933:$D$1011= $D1658) * (J$933:J$1011) ) + SUM( ($E$1016:$E$1039=$E$1427)*($A$1016:$A$1039=$A1658) * ($D$1016:$D$1039=$D1658)*(J$1016:J$1039) ) )</f>
        <v>0</v>
      </c>
      <c r="K1658" s="1379">
        <f t="array" ref="K1658" xml:space="preserve"> SUM(EF[N2O] * (EF[SATIM Code]= $D1658))  * (SUM( ($A$768:$A$846=$A1658) * ($D$768:$D$846= $D1658) * (K$768:K$846) )  +  SUM( ($A$933:$A$1011=$A1658) * ($D$933:$D$1011= $D1658) * (K$933:K$1011) ) + SUM( ($E$1016:$E$1039=$E$1427)*($A$1016:$A$1039=$A1658) * ($D$1016:$D$1039=$D1658)*(K$1016:K$1039) ) )</f>
        <v>0</v>
      </c>
      <c r="L1658" s="1379">
        <f t="array" ref="L1658" xml:space="preserve"> SUM(EF[N2O] * (EF[SATIM Code]= $D1658))  * (SUM( ($A$768:$A$846=$A1658) * ($D$768:$D$846= $D1658) * (L$768:L$846) )  +  SUM( ($A$933:$A$1011=$A1658) * ($D$933:$D$1011= $D1658) * (L$933:L$1011) ) + SUM( ($E$1016:$E$1039=$E$1427)*($A$1016:$A$1039=$A1658) * ($D$1016:$D$1039=$D1658)*(L$1016:L$1039) ) )</f>
        <v>0</v>
      </c>
      <c r="M1658" s="1379">
        <f t="array" ref="M1658" xml:space="preserve"> SUM(EF[N2O] * (EF[SATIM Code]= $D1658))  * (SUM( ($A$768:$A$846=$A1658) * ($D$768:$D$846= $D1658) * (M$768:M$846) )  +  SUM( ($A$933:$A$1011=$A1658) * ($D$933:$D$1011= $D1658) * (M$933:M$1011) ) + SUM( ($E$1016:$E$1039=$E$1427)*($A$1016:$A$1039=$A1658) * ($D$1016:$D$1039=$D1658)*(M$1016:M$1039) ) )</f>
        <v>0</v>
      </c>
      <c r="N1658" s="1379">
        <f t="array" ref="N1658" xml:space="preserve"> SUM(EF[N2O] * (EF[SATIM Code]= $D1658))  * (SUM( ($A$768:$A$846=$A1658) * ($D$768:$D$846= $D1658) * (N$768:N$846) )  +  SUM( ($A$933:$A$1011=$A1658) * ($D$933:$D$1011= $D1658) * (N$933:N$1011) ) + SUM( ($E$1016:$E$1039=$E$1427)*($A$1016:$A$1039=$A1658) * ($D$1016:$D$1039=$D1658)*(N$1016:N$1039) ) )</f>
        <v>0</v>
      </c>
      <c r="O1658" s="1379">
        <f t="array" ref="O1658" xml:space="preserve"> SUM(EF[N2O] * (EF[SATIM Code]= $D1658))  * (SUM( ($A$768:$A$846=$A1658) * ($D$768:$D$846= $D1658) * (O$768:O$846) )  +  SUM( ($A$933:$A$1011=$A1658) * ($D$933:$D$1011= $D1658) * (O$933:O$1011) ) + SUM( ($E$1016:$E$1039=$E$1427)*($A$1016:$A$1039=$A1658) * ($D$1016:$D$1039=$D1658)*(O$1016:O$1039) ) )</f>
        <v>0</v>
      </c>
    </row>
    <row r="1659" spans="1:15" s="19" customFormat="1" hidden="1" outlineLevel="1">
      <c r="A1659" s="19" t="str">
        <f t="shared" si="311"/>
        <v>NF</v>
      </c>
      <c r="B1659" s="1400" t="str">
        <f>INDEX(EF[UK Vector],MATCH(D1659,EF[SATIM Code],0))</f>
        <v>V.16</v>
      </c>
      <c r="C1659" s="1401" t="str">
        <f>INDEX(Vectors[Description], MATCH($B1659, Vectors[Code], 0))</f>
        <v>Other Waste</v>
      </c>
      <c r="D1659" s="1408" t="s">
        <v>890</v>
      </c>
      <c r="E1659" s="1393"/>
      <c r="F1659" s="1379">
        <f t="array" ref="F1659" xml:space="preserve"> SUM(EF[N2O] * (EF[SATIM Code]= $D1659))  * (SUM( ($A$768:$A$846=$A1659) * ($D$768:$D$846= $D1659) * (F$768:F$846) )  +  SUM( ($A$933:$A$1011=$A1659) * ($D$933:$D$1011= $D1659) * (F$933:F$1011) ) + SUM( ($E$1016:$E$1039=$E$1427)*($A$1016:$A$1039=$A1659) * ($D$1016:$D$1039=$D1659)*(F$1016:F$1039) ) )</f>
        <v>0</v>
      </c>
      <c r="G1659" s="1379">
        <f t="array" ref="G1659" xml:space="preserve"> SUM(EF[N2O] * (EF[SATIM Code]= $D1659))  * (SUM( ($A$768:$A$846=$A1659) * ($D$768:$D$846= $D1659) * (G$768:G$846) )  +  SUM( ($A$933:$A$1011=$A1659) * ($D$933:$D$1011= $D1659) * (G$933:G$1011) ) + SUM( ($E$1016:$E$1039=$E$1427)*($A$1016:$A$1039=$A1659) * ($D$1016:$D$1039=$D1659)*(G$1016:G$1039) ) )</f>
        <v>0</v>
      </c>
      <c r="H1659" s="1379">
        <f t="array" ref="H1659" xml:space="preserve"> SUM(EF[N2O] * (EF[SATIM Code]= $D1659))  * (SUM( ($A$768:$A$846=$A1659) * ($D$768:$D$846= $D1659) * (H$768:H$846) )  +  SUM( ($A$933:$A$1011=$A1659) * ($D$933:$D$1011= $D1659) * (H$933:H$1011) ) + SUM( ($E$1016:$E$1039=$E$1427)*($A$1016:$A$1039=$A1659) * ($D$1016:$D$1039=$D1659)*(H$1016:H$1039) ) )</f>
        <v>0</v>
      </c>
      <c r="I1659" s="1379">
        <f t="array" ref="I1659" xml:space="preserve"> SUM(EF[N2O] * (EF[SATIM Code]= $D1659))  * (SUM( ($A$768:$A$846=$A1659) * ($D$768:$D$846= $D1659) * (I$768:I$846) )  +  SUM( ($A$933:$A$1011=$A1659) * ($D$933:$D$1011= $D1659) * (I$933:I$1011) ) + SUM( ($E$1016:$E$1039=$E$1427)*($A$1016:$A$1039=$A1659) * ($D$1016:$D$1039=$D1659)*(I$1016:I$1039) ) )</f>
        <v>0</v>
      </c>
      <c r="J1659" s="1379">
        <f t="array" ref="J1659" xml:space="preserve"> SUM(EF[N2O] * (EF[SATIM Code]= $D1659))  * (SUM( ($A$768:$A$846=$A1659) * ($D$768:$D$846= $D1659) * (J$768:J$846) )  +  SUM( ($A$933:$A$1011=$A1659) * ($D$933:$D$1011= $D1659) * (J$933:J$1011) ) + SUM( ($E$1016:$E$1039=$E$1427)*($A$1016:$A$1039=$A1659) * ($D$1016:$D$1039=$D1659)*(J$1016:J$1039) ) )</f>
        <v>0</v>
      </c>
      <c r="K1659" s="1379">
        <f t="array" ref="K1659" xml:space="preserve"> SUM(EF[N2O] * (EF[SATIM Code]= $D1659))  * (SUM( ($A$768:$A$846=$A1659) * ($D$768:$D$846= $D1659) * (K$768:K$846) )  +  SUM( ($A$933:$A$1011=$A1659) * ($D$933:$D$1011= $D1659) * (K$933:K$1011) ) + SUM( ($E$1016:$E$1039=$E$1427)*($A$1016:$A$1039=$A1659) * ($D$1016:$D$1039=$D1659)*(K$1016:K$1039) ) )</f>
        <v>0</v>
      </c>
      <c r="L1659" s="1379">
        <f t="array" ref="L1659" xml:space="preserve"> SUM(EF[N2O] * (EF[SATIM Code]= $D1659))  * (SUM( ($A$768:$A$846=$A1659) * ($D$768:$D$846= $D1659) * (L$768:L$846) )  +  SUM( ($A$933:$A$1011=$A1659) * ($D$933:$D$1011= $D1659) * (L$933:L$1011) ) + SUM( ($E$1016:$E$1039=$E$1427)*($A$1016:$A$1039=$A1659) * ($D$1016:$D$1039=$D1659)*(L$1016:L$1039) ) )</f>
        <v>0</v>
      </c>
      <c r="M1659" s="1379">
        <f t="array" ref="M1659" xml:space="preserve"> SUM(EF[N2O] * (EF[SATIM Code]= $D1659))  * (SUM( ($A$768:$A$846=$A1659) * ($D$768:$D$846= $D1659) * (M$768:M$846) )  +  SUM( ($A$933:$A$1011=$A1659) * ($D$933:$D$1011= $D1659) * (M$933:M$1011) ) + SUM( ($E$1016:$E$1039=$E$1427)*($A$1016:$A$1039=$A1659) * ($D$1016:$D$1039=$D1659)*(M$1016:M$1039) ) )</f>
        <v>0</v>
      </c>
      <c r="N1659" s="1379">
        <f t="array" ref="N1659" xml:space="preserve"> SUM(EF[N2O] * (EF[SATIM Code]= $D1659))  * (SUM( ($A$768:$A$846=$A1659) * ($D$768:$D$846= $D1659) * (N$768:N$846) )  +  SUM( ($A$933:$A$1011=$A1659) * ($D$933:$D$1011= $D1659) * (N$933:N$1011) ) + SUM( ($E$1016:$E$1039=$E$1427)*($A$1016:$A$1039=$A1659) * ($D$1016:$D$1039=$D1659)*(N$1016:N$1039) ) )</f>
        <v>0</v>
      </c>
      <c r="O1659" s="1379">
        <f t="array" ref="O1659" xml:space="preserve"> SUM(EF[N2O] * (EF[SATIM Code]= $D1659))  * (SUM( ($A$768:$A$846=$A1659) * ($D$768:$D$846= $D1659) * (O$768:O$846) )  +  SUM( ($A$933:$A$1011=$A1659) * ($D$933:$D$1011= $D1659) * (O$933:O$1011) ) + SUM( ($E$1016:$E$1039=$E$1427)*($A$1016:$A$1039=$A1659) * ($D$1016:$D$1039=$D1659)*(O$1016:O$1039) ) )</f>
        <v>0</v>
      </c>
    </row>
    <row r="1660" spans="1:15" s="19" customFormat="1" hidden="1" outlineLevel="1">
      <c r="B1660" s="1393"/>
      <c r="C1660" s="1407" t="str">
        <f>D24</f>
        <v>N.M.M Products  -34</v>
      </c>
      <c r="D1660" s="1391"/>
      <c r="E1660" s="1393"/>
      <c r="F1660" s="1379">
        <f t="array" ref="F1660" xml:space="preserve"> SUM(EF[N2O] * (EF[SATIM Code]= $D1660))  * (SUM( ($A$768:$A$846=$A1660) * ($D$768:$D$846= $D1660) * (F$768:F$846) )  +  SUM( ($A$933:$A$1011=$A1660) * ($D$933:$D$1011= $D1660) * (F$933:F$1011) ) + SUM( ($E$1016:$E$1039=$E$1427)*($A$1016:$A$1039=$A1660) * ($D$1016:$D$1039=$D1660)*(F$1016:F$1039) ) )</f>
        <v>0</v>
      </c>
      <c r="G1660" s="1379">
        <f t="array" ref="G1660" xml:space="preserve"> SUM(EF[N2O] * (EF[SATIM Code]= $D1660))  * (SUM( ($A$768:$A$846=$A1660) * ($D$768:$D$846= $D1660) * (G$768:G$846) )  +  SUM( ($A$933:$A$1011=$A1660) * ($D$933:$D$1011= $D1660) * (G$933:G$1011) ) + SUM( ($E$1016:$E$1039=$E$1427)*($A$1016:$A$1039=$A1660) * ($D$1016:$D$1039=$D1660)*(G$1016:G$1039) ) )</f>
        <v>0</v>
      </c>
      <c r="H1660" s="1379">
        <f t="array" ref="H1660" xml:space="preserve"> SUM(EF[N2O] * (EF[SATIM Code]= $D1660))  * (SUM( ($A$768:$A$846=$A1660) * ($D$768:$D$846= $D1660) * (H$768:H$846) )  +  SUM( ($A$933:$A$1011=$A1660) * ($D$933:$D$1011= $D1660) * (H$933:H$1011) ) + SUM( ($E$1016:$E$1039=$E$1427)*($A$1016:$A$1039=$A1660) * ($D$1016:$D$1039=$D1660)*(H$1016:H$1039) ) )</f>
        <v>0</v>
      </c>
      <c r="I1660" s="1379">
        <f t="array" ref="I1660" xml:space="preserve"> SUM(EF[N2O] * (EF[SATIM Code]= $D1660))  * (SUM( ($A$768:$A$846=$A1660) * ($D$768:$D$846= $D1660) * (I$768:I$846) )  +  SUM( ($A$933:$A$1011=$A1660) * ($D$933:$D$1011= $D1660) * (I$933:I$1011) ) + SUM( ($E$1016:$E$1039=$E$1427)*($A$1016:$A$1039=$A1660) * ($D$1016:$D$1039=$D1660)*(I$1016:I$1039) ) )</f>
        <v>0</v>
      </c>
      <c r="J1660" s="1379">
        <f t="array" ref="J1660" xml:space="preserve"> SUM(EF[N2O] * (EF[SATIM Code]= $D1660))  * (SUM( ($A$768:$A$846=$A1660) * ($D$768:$D$846= $D1660) * (J$768:J$846) )  +  SUM( ($A$933:$A$1011=$A1660) * ($D$933:$D$1011= $D1660) * (J$933:J$1011) ) + SUM( ($E$1016:$E$1039=$E$1427)*($A$1016:$A$1039=$A1660) * ($D$1016:$D$1039=$D1660)*(J$1016:J$1039) ) )</f>
        <v>0</v>
      </c>
      <c r="K1660" s="1379">
        <f t="array" ref="K1660" xml:space="preserve"> SUM(EF[N2O] * (EF[SATIM Code]= $D1660))  * (SUM( ($A$768:$A$846=$A1660) * ($D$768:$D$846= $D1660) * (K$768:K$846) )  +  SUM( ($A$933:$A$1011=$A1660) * ($D$933:$D$1011= $D1660) * (K$933:K$1011) ) + SUM( ($E$1016:$E$1039=$E$1427)*($A$1016:$A$1039=$A1660) * ($D$1016:$D$1039=$D1660)*(K$1016:K$1039) ) )</f>
        <v>0</v>
      </c>
      <c r="L1660" s="1379">
        <f t="array" ref="L1660" xml:space="preserve"> SUM(EF[N2O] * (EF[SATIM Code]= $D1660))  * (SUM( ($A$768:$A$846=$A1660) * ($D$768:$D$846= $D1660) * (L$768:L$846) )  +  SUM( ($A$933:$A$1011=$A1660) * ($D$933:$D$1011= $D1660) * (L$933:L$1011) ) + SUM( ($E$1016:$E$1039=$E$1427)*($A$1016:$A$1039=$A1660) * ($D$1016:$D$1039=$D1660)*(L$1016:L$1039) ) )</f>
        <v>0</v>
      </c>
      <c r="M1660" s="1379">
        <f t="array" ref="M1660" xml:space="preserve"> SUM(EF[N2O] * (EF[SATIM Code]= $D1660))  * (SUM( ($A$768:$A$846=$A1660) * ($D$768:$D$846= $D1660) * (M$768:M$846) )  +  SUM( ($A$933:$A$1011=$A1660) * ($D$933:$D$1011= $D1660) * (M$933:M$1011) ) + SUM( ($E$1016:$E$1039=$E$1427)*($A$1016:$A$1039=$A1660) * ($D$1016:$D$1039=$D1660)*(M$1016:M$1039) ) )</f>
        <v>0</v>
      </c>
      <c r="N1660" s="1379">
        <f t="array" ref="N1660" xml:space="preserve"> SUM(EF[N2O] * (EF[SATIM Code]= $D1660))  * (SUM( ($A$768:$A$846=$A1660) * ($D$768:$D$846= $D1660) * (N$768:N$846) )  +  SUM( ($A$933:$A$1011=$A1660) * ($D$933:$D$1011= $D1660) * (N$933:N$1011) ) + SUM( ($E$1016:$E$1039=$E$1427)*($A$1016:$A$1039=$A1660) * ($D$1016:$D$1039=$D1660)*(N$1016:N$1039) ) )</f>
        <v>0</v>
      </c>
      <c r="O1660" s="1379">
        <f t="array" ref="O1660" xml:space="preserve"> SUM(EF[N2O] * (EF[SATIM Code]= $D1660))  * (SUM( ($A$768:$A$846=$A1660) * ($D$768:$D$846= $D1660) * (O$768:O$846) )  +  SUM( ($A$933:$A$1011=$A1660) * ($D$933:$D$1011= $D1660) * (O$933:O$1011) ) + SUM( ($E$1016:$E$1039=$E$1427)*($A$1016:$A$1039=$A1660) * ($D$1016:$D$1039=$D1660)*(O$1016:O$1039) ) )</f>
        <v>0</v>
      </c>
    </row>
    <row r="1661" spans="1:15" s="19" customFormat="1" hidden="1" outlineLevel="1">
      <c r="A1661" s="1438" t="str">
        <f>INDEX($C$20:$C$27,MATCH($C1660,$D$20:$D$27,0))</f>
        <v>NM</v>
      </c>
      <c r="B1661" s="1400" t="str">
        <f>INDEX(EF[UK Vector],MATCH(D1661,EF[SATIM Code],0))</f>
        <v>V.03</v>
      </c>
      <c r="C1661" s="1401" t="str">
        <f>INDEX(Vectors[Description], MATCH($B1661, Vectors[Code], 0))</f>
        <v>Solid hydrocarbons</v>
      </c>
      <c r="D1661" s="1391" t="s">
        <v>882</v>
      </c>
      <c r="E1661" s="1393"/>
      <c r="F1661" s="1379">
        <f t="array" ref="F1661" xml:space="preserve"> SUM(EF[N2O] * (EF[SATIM Code]= $D1661))  * (SUM( ($A$768:$A$846=$A1661) * ($D$768:$D$846= $D1661) * (F$768:F$846) )  +  SUM( ($A$933:$A$1011=$A1661) * ($D$933:$D$1011= $D1661) * (F$933:F$1011) ) + SUM( ($E$1016:$E$1039=$E$1427)*($A$1016:$A$1039=$A1661) * ($D$1016:$D$1039=$D1661)*(F$1016:F$1039) ) )</f>
        <v>2.3435999999999995E-2</v>
      </c>
      <c r="G1661" s="1379">
        <f t="array" ref="G1661" xml:space="preserve"> SUM(EF[N2O] * (EF[SATIM Code]= $D1661))  * (SUM( ($A$768:$A$846=$A1661) * ($D$768:$D$846= $D1661) * (G$768:G$846) )  +  SUM( ($A$933:$A$1011=$A1661) * ($D$933:$D$1011= $D1661) * (G$933:G$1011) ) + SUM( ($E$1016:$E$1039=$E$1427)*($A$1016:$A$1039=$A1661) * ($D$1016:$D$1039=$D1661)*(G$1016:G$1039) ) )</f>
        <v>2.7605926765450681E-2</v>
      </c>
      <c r="H1661" s="1379">
        <f t="array" ref="H1661" xml:space="preserve"> SUM(EF[N2O] * (EF[SATIM Code]= $D1661))  * (SUM( ($A$768:$A$846=$A1661) * ($D$768:$D$846= $D1661) * (H$768:H$846) )  +  SUM( ($A$933:$A$1011=$A1661) * ($D$933:$D$1011= $D1661) * (H$933:H$1011) ) + SUM( ($E$1016:$E$1039=$E$1427)*($A$1016:$A$1039=$A1661) * ($D$1016:$D$1039=$D1661)*(H$1016:H$1039) ) )</f>
        <v>3.4455983430334292E-2</v>
      </c>
      <c r="I1661" s="1379">
        <f t="array" ref="I1661" xml:space="preserve"> SUM(EF[N2O] * (EF[SATIM Code]= $D1661))  * (SUM( ($A$768:$A$846=$A1661) * ($D$768:$D$846= $D1661) * (I$768:I$846) )  +  SUM( ($A$933:$A$1011=$A1661) * ($D$933:$D$1011= $D1661) * (I$933:I$1011) ) + SUM( ($E$1016:$E$1039=$E$1427)*($A$1016:$A$1039=$A1661) * ($D$1016:$D$1039=$D1661)*(I$1016:I$1039) ) )</f>
        <v>4.1306040095217898E-2</v>
      </c>
      <c r="J1661" s="1379">
        <f t="array" ref="J1661" xml:space="preserve"> SUM(EF[N2O] * (EF[SATIM Code]= $D1661))  * (SUM( ($A$768:$A$846=$A1661) * ($D$768:$D$846= $D1661) * (J$768:J$846) )  +  SUM( ($A$933:$A$1011=$A1661) * ($D$933:$D$1011= $D1661) * (J$933:J$1011) ) + SUM( ($E$1016:$E$1039=$E$1427)*($A$1016:$A$1039=$A1661) * ($D$1016:$D$1039=$D1661)*(J$1016:J$1039) ) )</f>
        <v>5.2290172883198482E-2</v>
      </c>
      <c r="K1661" s="1379">
        <f t="array" ref="K1661" xml:space="preserve"> SUM(EF[N2O] * (EF[SATIM Code]= $D1661))  * (SUM( ($A$768:$A$846=$A1661) * ($D$768:$D$846= $D1661) * (K$768:K$846) )  +  SUM( ($A$933:$A$1011=$A1661) * ($D$933:$D$1011= $D1661) * (K$933:K$1011) ) + SUM( ($E$1016:$E$1039=$E$1427)*($A$1016:$A$1039=$A1661) * ($D$1016:$D$1039=$D1661)*(K$1016:K$1039) ) )</f>
        <v>6.327430567117906E-2</v>
      </c>
      <c r="L1661" s="1379">
        <f t="array" ref="L1661" xml:space="preserve"> SUM(EF[N2O] * (EF[SATIM Code]= $D1661))  * (SUM( ($A$768:$A$846=$A1661) * ($D$768:$D$846= $D1661) * (L$768:L$846) )  +  SUM( ($A$933:$A$1011=$A1661) * ($D$933:$D$1011= $D1661) * (L$933:L$1011) ) + SUM( ($E$1016:$E$1039=$E$1427)*($A$1016:$A$1039=$A1661) * ($D$1016:$D$1039=$D1661)*(L$1016:L$1039) ) )</f>
        <v>8.1112984397525442E-2</v>
      </c>
      <c r="M1661" s="1379">
        <f t="array" ref="M1661" xml:space="preserve"> SUM(EF[N2O] * (EF[SATIM Code]= $D1661))  * (SUM( ($A$768:$A$846=$A1661) * ($D$768:$D$846= $D1661) * (M$768:M$846) )  +  SUM( ($A$933:$A$1011=$A1661) * ($D$933:$D$1011= $D1661) * (M$933:M$1011) ) + SUM( ($E$1016:$E$1039=$E$1427)*($A$1016:$A$1039=$A1661) * ($D$1016:$D$1039=$D1661)*(M$1016:M$1039) ) )</f>
        <v>9.8951663123871825E-2</v>
      </c>
      <c r="N1661" s="1379">
        <f t="array" ref="N1661" xml:space="preserve"> SUM(EF[N2O] * (EF[SATIM Code]= $D1661))  * (SUM( ($A$768:$A$846=$A1661) * ($D$768:$D$846= $D1661) * (N$768:N$846) )  +  SUM( ($A$933:$A$1011=$A1661) * ($D$933:$D$1011= $D1661) * (N$933:N$1011) ) + SUM( ($E$1016:$E$1039=$E$1427)*($A$1016:$A$1039=$A1661) * ($D$1016:$D$1039=$D1661)*(N$1016:N$1039) ) )</f>
        <v>0.12036328737763459</v>
      </c>
      <c r="O1661" s="1379">
        <f t="array" ref="O1661" xml:space="preserve"> SUM(EF[N2O] * (EF[SATIM Code]= $D1661))  * (SUM( ($A$768:$A$846=$A1661) * ($D$768:$D$846= $D1661) * (O$768:O$846) )  +  SUM( ($A$933:$A$1011=$A1661) * ($D$933:$D$1011= $D1661) * (O$933:O$1011) ) + SUM( ($E$1016:$E$1039=$E$1427)*($A$1016:$A$1039=$A1661) * ($D$1016:$D$1039=$D1661)*(O$1016:O$1039) ) )</f>
        <v>0.14177491163139735</v>
      </c>
    </row>
    <row r="1662" spans="1:15" s="19" customFormat="1" hidden="1" outlineLevel="1">
      <c r="A1662" s="19" t="str">
        <f t="shared" ref="A1662:A1669" si="312">A1661</f>
        <v>NM</v>
      </c>
      <c r="B1662" s="1400" t="str">
        <f>INDEX(EF[UK Vector],MATCH(D1662,EF[SATIM Code],0))</f>
        <v>V.03</v>
      </c>
      <c r="C1662" s="1401" t="str">
        <f>INDEX(Vectors[Description], MATCH($B1662, Vectors[Code], 0))</f>
        <v>Solid hydrocarbons</v>
      </c>
      <c r="D1662" s="1391" t="s">
        <v>883</v>
      </c>
      <c r="E1662" s="1393"/>
      <c r="F1662" s="1379">
        <f t="array" ref="F1662" xml:space="preserve"> SUM(EF[N2O] * (EF[SATIM Code]= $D1662))  * (SUM( ($A$768:$A$846=$A1662) * ($D$768:$D$846= $D1662) * (F$768:F$846) )  +  SUM( ($A$933:$A$1011=$A1662) * ($D$933:$D$1011= $D1662) * (F$933:F$1011) ) + SUM( ($E$1016:$E$1039=$E$1427)*($A$1016:$A$1039=$A1662) * ($D$1016:$D$1039=$D1662)*(F$1016:F$1039) ) )</f>
        <v>0</v>
      </c>
      <c r="G1662" s="1379">
        <f t="array" ref="G1662" xml:space="preserve"> SUM(EF[N2O] * (EF[SATIM Code]= $D1662))  * (SUM( ($A$768:$A$846=$A1662) * ($D$768:$D$846= $D1662) * (G$768:G$846) )  +  SUM( ($A$933:$A$1011=$A1662) * ($D$933:$D$1011= $D1662) * (G$933:G$1011) ) + SUM( ($E$1016:$E$1039=$E$1427)*($A$1016:$A$1039=$A1662) * ($D$1016:$D$1039=$D1662)*(G$1016:G$1039) ) )</f>
        <v>0</v>
      </c>
      <c r="H1662" s="1379">
        <f t="array" ref="H1662" xml:space="preserve"> SUM(EF[N2O] * (EF[SATIM Code]= $D1662))  * (SUM( ($A$768:$A$846=$A1662) * ($D$768:$D$846= $D1662) * (H$768:H$846) )  +  SUM( ($A$933:$A$1011=$A1662) * ($D$933:$D$1011= $D1662) * (H$933:H$1011) ) + SUM( ($E$1016:$E$1039=$E$1427)*($A$1016:$A$1039=$A1662) * ($D$1016:$D$1039=$D1662)*(H$1016:H$1039) ) )</f>
        <v>0</v>
      </c>
      <c r="I1662" s="1379">
        <f t="array" ref="I1662" xml:space="preserve"> SUM(EF[N2O] * (EF[SATIM Code]= $D1662))  * (SUM( ($A$768:$A$846=$A1662) * ($D$768:$D$846= $D1662) * (I$768:I$846) )  +  SUM( ($A$933:$A$1011=$A1662) * ($D$933:$D$1011= $D1662) * (I$933:I$1011) ) + SUM( ($E$1016:$E$1039=$E$1427)*($A$1016:$A$1039=$A1662) * ($D$1016:$D$1039=$D1662)*(I$1016:I$1039) ) )</f>
        <v>0</v>
      </c>
      <c r="J1662" s="1379">
        <f t="array" ref="J1662" xml:space="preserve"> SUM(EF[N2O] * (EF[SATIM Code]= $D1662))  * (SUM( ($A$768:$A$846=$A1662) * ($D$768:$D$846= $D1662) * (J$768:J$846) )  +  SUM( ($A$933:$A$1011=$A1662) * ($D$933:$D$1011= $D1662) * (J$933:J$1011) ) + SUM( ($E$1016:$E$1039=$E$1427)*($A$1016:$A$1039=$A1662) * ($D$1016:$D$1039=$D1662)*(J$1016:J$1039) ) )</f>
        <v>0</v>
      </c>
      <c r="K1662" s="1379">
        <f t="array" ref="K1662" xml:space="preserve"> SUM(EF[N2O] * (EF[SATIM Code]= $D1662))  * (SUM( ($A$768:$A$846=$A1662) * ($D$768:$D$846= $D1662) * (K$768:K$846) )  +  SUM( ($A$933:$A$1011=$A1662) * ($D$933:$D$1011= $D1662) * (K$933:K$1011) ) + SUM( ($E$1016:$E$1039=$E$1427)*($A$1016:$A$1039=$A1662) * ($D$1016:$D$1039=$D1662)*(K$1016:K$1039) ) )</f>
        <v>0</v>
      </c>
      <c r="L1662" s="1379">
        <f t="array" ref="L1662" xml:space="preserve"> SUM(EF[N2O] * (EF[SATIM Code]= $D1662))  * (SUM( ($A$768:$A$846=$A1662) * ($D$768:$D$846= $D1662) * (L$768:L$846) )  +  SUM( ($A$933:$A$1011=$A1662) * ($D$933:$D$1011= $D1662) * (L$933:L$1011) ) + SUM( ($E$1016:$E$1039=$E$1427)*($A$1016:$A$1039=$A1662) * ($D$1016:$D$1039=$D1662)*(L$1016:L$1039) ) )</f>
        <v>0</v>
      </c>
      <c r="M1662" s="1379">
        <f t="array" ref="M1662" xml:space="preserve"> SUM(EF[N2O] * (EF[SATIM Code]= $D1662))  * (SUM( ($A$768:$A$846=$A1662) * ($D$768:$D$846= $D1662) * (M$768:M$846) )  +  SUM( ($A$933:$A$1011=$A1662) * ($D$933:$D$1011= $D1662) * (M$933:M$1011) ) + SUM( ($E$1016:$E$1039=$E$1427)*($A$1016:$A$1039=$A1662) * ($D$1016:$D$1039=$D1662)*(M$1016:M$1039) ) )</f>
        <v>0</v>
      </c>
      <c r="N1662" s="1379">
        <f t="array" ref="N1662" xml:space="preserve"> SUM(EF[N2O] * (EF[SATIM Code]= $D1662))  * (SUM( ($A$768:$A$846=$A1662) * ($D$768:$D$846= $D1662) * (N$768:N$846) )  +  SUM( ($A$933:$A$1011=$A1662) * ($D$933:$D$1011= $D1662) * (N$933:N$1011) ) + SUM( ($E$1016:$E$1039=$E$1427)*($A$1016:$A$1039=$A1662) * ($D$1016:$D$1039=$D1662)*(N$1016:N$1039) ) )</f>
        <v>0</v>
      </c>
      <c r="O1662" s="1379">
        <f t="array" ref="O1662" xml:space="preserve"> SUM(EF[N2O] * (EF[SATIM Code]= $D1662))  * (SUM( ($A$768:$A$846=$A1662) * ($D$768:$D$846= $D1662) * (O$768:O$846) )  +  SUM( ($A$933:$A$1011=$A1662) * ($D$933:$D$1011= $D1662) * (O$933:O$1011) ) + SUM( ($E$1016:$E$1039=$E$1427)*($A$1016:$A$1039=$A1662) * ($D$1016:$D$1039=$D1662)*(O$1016:O$1039) ) )</f>
        <v>0</v>
      </c>
    </row>
    <row r="1663" spans="1:15" s="19" customFormat="1" hidden="1" outlineLevel="1">
      <c r="A1663" s="19" t="str">
        <f t="shared" si="312"/>
        <v>NM</v>
      </c>
      <c r="B1663" s="1400" t="str">
        <f>INDEX(EF[UK Vector],MATCH(D1663,EF[SATIM Code],0))</f>
        <v>V.05</v>
      </c>
      <c r="C1663" s="1401" t="str">
        <f>INDEX(Vectors[Description], MATCH($B1663, Vectors[Code], 0))</f>
        <v>Gaseous hydrocarbons</v>
      </c>
      <c r="D1663" s="1406" t="s">
        <v>869</v>
      </c>
      <c r="E1663" s="1393"/>
      <c r="F1663" s="1379">
        <f t="array" ref="F1663" xml:space="preserve"> SUM(EF[N2O] * (EF[SATIM Code]= $D1663))  * (SUM( ($A$768:$A$846=$A1663) * ($D$768:$D$846= $D1663) * (F$768:F$846) )  +  SUM( ($A$933:$A$1011=$A1663) * ($D$933:$D$1011= $D1663) * (F$933:F$1011) ) + SUM( ($E$1016:$E$1039=$E$1427)*($A$1016:$A$1039=$A1663) * ($D$1016:$D$1039=$D1663)*(F$1016:F$1039) ) )</f>
        <v>2.4392349999999998E-4</v>
      </c>
      <c r="G1663" s="1379">
        <f t="array" ref="G1663" xml:space="preserve"> SUM(EF[N2O] * (EF[SATIM Code]= $D1663))  * (SUM( ($A$768:$A$846=$A1663) * ($D$768:$D$846= $D1663) * (G$768:G$846) )  +  SUM( ($A$933:$A$1011=$A1663) * ($D$933:$D$1011= $D1663) * (G$933:G$1011) ) + SUM( ($E$1016:$E$1039=$E$1427)*($A$1016:$A$1039=$A1663) * ($D$1016:$D$1039=$D1663)*(G$1016:G$1039) ) )</f>
        <v>2.8732438459517026E-4</v>
      </c>
      <c r="H1663" s="1379">
        <f t="array" ref="H1663" xml:space="preserve"> SUM(EF[N2O] * (EF[SATIM Code]= $D1663))  * (SUM( ($A$768:$A$846=$A1663) * ($D$768:$D$846= $D1663) * (H$768:H$846) )  +  SUM( ($A$933:$A$1011=$A1663) * ($D$933:$D$1011= $D1663) * (H$933:H$1011) ) + SUM( ($E$1016:$E$1039=$E$1427)*($A$1016:$A$1039=$A1663) * ($D$1016:$D$1039=$D1663)*(H$1016:H$1039) ) )</f>
        <v>3.5862024553119762E-4</v>
      </c>
      <c r="I1663" s="1379">
        <f t="array" ref="I1663" xml:space="preserve"> SUM(EF[N2O] * (EF[SATIM Code]= $D1663))  * (SUM( ($A$768:$A$846=$A1663) * ($D$768:$D$846= $D1663) * (I$768:I$846) )  +  SUM( ($A$933:$A$1011=$A1663) * ($D$933:$D$1011= $D1663) * (I$933:I$1011) ) + SUM( ($E$1016:$E$1039=$E$1427)*($A$1016:$A$1039=$A1663) * ($D$1016:$D$1039=$D1663)*(I$1016:I$1039) ) )</f>
        <v>4.2991610646722498E-4</v>
      </c>
      <c r="J1663" s="1379">
        <f t="array" ref="J1663" xml:space="preserve"> SUM(EF[N2O] * (EF[SATIM Code]= $D1663))  * (SUM( ($A$768:$A$846=$A1663) * ($D$768:$D$846= $D1663) * (J$768:J$846) )  +  SUM( ($A$933:$A$1011=$A1663) * ($D$933:$D$1011= $D1663) * (J$933:J$1011) ) + SUM( ($E$1016:$E$1039=$E$1427)*($A$1016:$A$1039=$A1663) * ($D$1016:$D$1039=$D1663)*(J$1016:J$1039) ) )</f>
        <v>5.4423971604688798E-4</v>
      </c>
      <c r="K1663" s="1379">
        <f t="array" ref="K1663" xml:space="preserve"> SUM(EF[N2O] * (EF[SATIM Code]= $D1663))  * (SUM( ($A$768:$A$846=$A1663) * ($D$768:$D$846= $D1663) * (K$768:K$846) )  +  SUM( ($A$933:$A$1011=$A1663) * ($D$933:$D$1011= $D1663) * (K$933:K$1011) ) + SUM( ($E$1016:$E$1039=$E$1427)*($A$1016:$A$1039=$A1663) * ($D$1016:$D$1039=$D1663)*(K$1016:K$1039) ) )</f>
        <v>6.5856332562655093E-4</v>
      </c>
      <c r="L1663" s="1379">
        <f t="array" ref="L1663" xml:space="preserve"> SUM(EF[N2O] * (EF[SATIM Code]= $D1663))  * (SUM( ($A$768:$A$846=$A1663) * ($D$768:$D$846= $D1663) * (L$768:L$846) )  +  SUM( ($A$933:$A$1011=$A1663) * ($D$933:$D$1011= $D1663) * (L$933:L$1011) ) + SUM( ($E$1016:$E$1039=$E$1427)*($A$1016:$A$1039=$A1663) * ($D$1016:$D$1039=$D1663)*(L$1016:L$1039) ) )</f>
        <v>8.4422952080942992E-4</v>
      </c>
      <c r="M1663" s="1379">
        <f t="array" ref="M1663" xml:space="preserve"> SUM(EF[N2O] * (EF[SATIM Code]= $D1663))  * (SUM( ($A$768:$A$846=$A1663) * ($D$768:$D$846= $D1663) * (M$768:M$846) )  +  SUM( ($A$933:$A$1011=$A1663) * ($D$933:$D$1011= $D1663) * (M$933:M$1011) ) + SUM( ($E$1016:$E$1039=$E$1427)*($A$1016:$A$1039=$A1663) * ($D$1016:$D$1039=$D1663)*(M$1016:M$1039) ) )</f>
        <v>1.0298957159923091E-3</v>
      </c>
      <c r="N1663" s="1379">
        <f t="array" ref="N1663" xml:space="preserve"> SUM(EF[N2O] * (EF[SATIM Code]= $D1663))  * (SUM( ($A$768:$A$846=$A1663) * ($D$768:$D$846= $D1663) * (N$768:N$846) )  +  SUM( ($A$933:$A$1011=$A1663) * ($D$933:$D$1011= $D1663) * (N$933:N$1011) ) + SUM( ($E$1016:$E$1039=$E$1427)*($A$1016:$A$1039=$A1663) * ($D$1016:$D$1039=$D1663)*(N$1016:N$1039) ) )</f>
        <v>1.2527493739826958E-3</v>
      </c>
      <c r="O1663" s="1379">
        <f t="array" ref="O1663" xml:space="preserve"> SUM(EF[N2O] * (EF[SATIM Code]= $D1663))  * (SUM( ($A$768:$A$846=$A1663) * ($D$768:$D$846= $D1663) * (O$768:O$846) )  +  SUM( ($A$933:$A$1011=$A1663) * ($D$933:$D$1011= $D1663) * (O$933:O$1011) ) + SUM( ($E$1016:$E$1039=$E$1427)*($A$1016:$A$1039=$A1663) * ($D$1016:$D$1039=$D1663)*(O$1016:O$1039) ) )</f>
        <v>1.4756030319730824E-3</v>
      </c>
    </row>
    <row r="1664" spans="1:15" s="19" customFormat="1" hidden="1" outlineLevel="1">
      <c r="A1664" s="19" t="str">
        <f t="shared" si="312"/>
        <v>NM</v>
      </c>
      <c r="B1664" s="1400" t="str">
        <f>INDEX(EF[UK Vector],MATCH(D1664,EF[SATIM Code],0))</f>
        <v>V.04</v>
      </c>
      <c r="C1664" s="1401" t="str">
        <f>INDEX(Vectors[Description], MATCH($B1664, Vectors[Code], 0))</f>
        <v>Liquid hydrocarbons</v>
      </c>
      <c r="D1664" s="1406" t="s">
        <v>885</v>
      </c>
      <c r="E1664" s="1393"/>
      <c r="F1664" s="1379">
        <f t="array" ref="F1664" xml:space="preserve"> SUM(EF[N2O] * (EF[SATIM Code]= $D1664))  * (SUM( ($A$768:$A$846=$A1664) * ($D$768:$D$846= $D1664) * (F$768:F$846) )  +  SUM( ($A$933:$A$1011=$A1664) * ($D$933:$D$1011= $D1664) * (F$933:F$1011) ) + SUM( ($E$1016:$E$1039=$E$1427)*($A$1016:$A$1039=$A1664) * ($D$1016:$D$1039=$D1664)*(F$1016:F$1039) ) )</f>
        <v>0</v>
      </c>
      <c r="G1664" s="1379">
        <f t="array" ref="G1664" xml:space="preserve"> SUM(EF[N2O] * (EF[SATIM Code]= $D1664))  * (SUM( ($A$768:$A$846=$A1664) * ($D$768:$D$846= $D1664) * (G$768:G$846) )  +  SUM( ($A$933:$A$1011=$A1664) * ($D$933:$D$1011= $D1664) * (G$933:G$1011) ) + SUM( ($E$1016:$E$1039=$E$1427)*($A$1016:$A$1039=$A1664) * ($D$1016:$D$1039=$D1664)*(G$1016:G$1039) ) )</f>
        <v>0</v>
      </c>
      <c r="H1664" s="1379">
        <f t="array" ref="H1664" xml:space="preserve"> SUM(EF[N2O] * (EF[SATIM Code]= $D1664))  * (SUM( ($A$768:$A$846=$A1664) * ($D$768:$D$846= $D1664) * (H$768:H$846) )  +  SUM( ($A$933:$A$1011=$A1664) * ($D$933:$D$1011= $D1664) * (H$933:H$1011) ) + SUM( ($E$1016:$E$1039=$E$1427)*($A$1016:$A$1039=$A1664) * ($D$1016:$D$1039=$D1664)*(H$1016:H$1039) ) )</f>
        <v>0</v>
      </c>
      <c r="I1664" s="1379">
        <f t="array" ref="I1664" xml:space="preserve"> SUM(EF[N2O] * (EF[SATIM Code]= $D1664))  * (SUM( ($A$768:$A$846=$A1664) * ($D$768:$D$846= $D1664) * (I$768:I$846) )  +  SUM( ($A$933:$A$1011=$A1664) * ($D$933:$D$1011= $D1664) * (I$933:I$1011) ) + SUM( ($E$1016:$E$1039=$E$1427)*($A$1016:$A$1039=$A1664) * ($D$1016:$D$1039=$D1664)*(I$1016:I$1039) ) )</f>
        <v>0</v>
      </c>
      <c r="J1664" s="1379">
        <f t="array" ref="J1664" xml:space="preserve"> SUM(EF[N2O] * (EF[SATIM Code]= $D1664))  * (SUM( ($A$768:$A$846=$A1664) * ($D$768:$D$846= $D1664) * (J$768:J$846) )  +  SUM( ($A$933:$A$1011=$A1664) * ($D$933:$D$1011= $D1664) * (J$933:J$1011) ) + SUM( ($E$1016:$E$1039=$E$1427)*($A$1016:$A$1039=$A1664) * ($D$1016:$D$1039=$D1664)*(J$1016:J$1039) ) )</f>
        <v>0</v>
      </c>
      <c r="K1664" s="1379">
        <f t="array" ref="K1664" xml:space="preserve"> SUM(EF[N2O] * (EF[SATIM Code]= $D1664))  * (SUM( ($A$768:$A$846=$A1664) * ($D$768:$D$846= $D1664) * (K$768:K$846) )  +  SUM( ($A$933:$A$1011=$A1664) * ($D$933:$D$1011= $D1664) * (K$933:K$1011) ) + SUM( ($E$1016:$E$1039=$E$1427)*($A$1016:$A$1039=$A1664) * ($D$1016:$D$1039=$D1664)*(K$1016:K$1039) ) )</f>
        <v>0</v>
      </c>
      <c r="L1664" s="1379">
        <f t="array" ref="L1664" xml:space="preserve"> SUM(EF[N2O] * (EF[SATIM Code]= $D1664))  * (SUM( ($A$768:$A$846=$A1664) * ($D$768:$D$846= $D1664) * (L$768:L$846) )  +  SUM( ($A$933:$A$1011=$A1664) * ($D$933:$D$1011= $D1664) * (L$933:L$1011) ) + SUM( ($E$1016:$E$1039=$E$1427)*($A$1016:$A$1039=$A1664) * ($D$1016:$D$1039=$D1664)*(L$1016:L$1039) ) )</f>
        <v>0</v>
      </c>
      <c r="M1664" s="1379">
        <f t="array" ref="M1664" xml:space="preserve"> SUM(EF[N2O] * (EF[SATIM Code]= $D1664))  * (SUM( ($A$768:$A$846=$A1664) * ($D$768:$D$846= $D1664) * (M$768:M$846) )  +  SUM( ($A$933:$A$1011=$A1664) * ($D$933:$D$1011= $D1664) * (M$933:M$1011) ) + SUM( ($E$1016:$E$1039=$E$1427)*($A$1016:$A$1039=$A1664) * ($D$1016:$D$1039=$D1664)*(M$1016:M$1039) ) )</f>
        <v>0</v>
      </c>
      <c r="N1664" s="1379">
        <f t="array" ref="N1664" xml:space="preserve"> SUM(EF[N2O] * (EF[SATIM Code]= $D1664))  * (SUM( ($A$768:$A$846=$A1664) * ($D$768:$D$846= $D1664) * (N$768:N$846) )  +  SUM( ($A$933:$A$1011=$A1664) * ($D$933:$D$1011= $D1664) * (N$933:N$1011) ) + SUM( ($E$1016:$E$1039=$E$1427)*($A$1016:$A$1039=$A1664) * ($D$1016:$D$1039=$D1664)*(N$1016:N$1039) ) )</f>
        <v>0</v>
      </c>
      <c r="O1664" s="1379">
        <f t="array" ref="O1664" xml:space="preserve"> SUM(EF[N2O] * (EF[SATIM Code]= $D1664))  * (SUM( ($A$768:$A$846=$A1664) * ($D$768:$D$846= $D1664) * (O$768:O$846) )  +  SUM( ($A$933:$A$1011=$A1664) * ($D$933:$D$1011= $D1664) * (O$933:O$1011) ) + SUM( ($E$1016:$E$1039=$E$1427)*($A$1016:$A$1039=$A1664) * ($D$1016:$D$1039=$D1664)*(O$1016:O$1039) ) )</f>
        <v>0</v>
      </c>
    </row>
    <row r="1665" spans="1:15" s="19" customFormat="1" hidden="1" outlineLevel="1">
      <c r="A1665" s="19" t="str">
        <f t="shared" si="312"/>
        <v>NM</v>
      </c>
      <c r="B1665" s="1400" t="str">
        <f>INDEX(EF[UK Vector],MATCH(D1665,EF[SATIM Code],0))</f>
        <v>V.04</v>
      </c>
      <c r="C1665" s="1401" t="str">
        <f>INDEX(Vectors[Description], MATCH($B1665, Vectors[Code], 0))</f>
        <v>Liquid hydrocarbons</v>
      </c>
      <c r="D1665" s="1391" t="s">
        <v>886</v>
      </c>
      <c r="E1665" s="1393"/>
      <c r="F1665" s="1379">
        <f t="array" ref="F1665" xml:space="preserve"> SUM(EF[N2O] * (EF[SATIM Code]= $D1665))  * (SUM( ($A$768:$A$846=$A1665) * ($D$768:$D$846= $D1665) * (F$768:F$846) )  +  SUM( ($A$933:$A$1011=$A1665) * ($D$933:$D$1011= $D1665) * (F$933:F$1011) ) + SUM( ($E$1016:$E$1039=$E$1427)*($A$1016:$A$1039=$A1665) * ($D$1016:$D$1039=$D1665)*(F$1016:F$1039) ) )</f>
        <v>0</v>
      </c>
      <c r="G1665" s="1379">
        <f t="array" ref="G1665" xml:space="preserve"> SUM(EF[N2O] * (EF[SATIM Code]= $D1665))  * (SUM( ($A$768:$A$846=$A1665) * ($D$768:$D$846= $D1665) * (G$768:G$846) )  +  SUM( ($A$933:$A$1011=$A1665) * ($D$933:$D$1011= $D1665) * (G$933:G$1011) ) + SUM( ($E$1016:$E$1039=$E$1427)*($A$1016:$A$1039=$A1665) * ($D$1016:$D$1039=$D1665)*(G$1016:G$1039) ) )</f>
        <v>0</v>
      </c>
      <c r="H1665" s="1379">
        <f t="array" ref="H1665" xml:space="preserve"> SUM(EF[N2O] * (EF[SATIM Code]= $D1665))  * (SUM( ($A$768:$A$846=$A1665) * ($D$768:$D$846= $D1665) * (H$768:H$846) )  +  SUM( ($A$933:$A$1011=$A1665) * ($D$933:$D$1011= $D1665) * (H$933:H$1011) ) + SUM( ($E$1016:$E$1039=$E$1427)*($A$1016:$A$1039=$A1665) * ($D$1016:$D$1039=$D1665)*(H$1016:H$1039) ) )</f>
        <v>0</v>
      </c>
      <c r="I1665" s="1379">
        <f t="array" ref="I1665" xml:space="preserve"> SUM(EF[N2O] * (EF[SATIM Code]= $D1665))  * (SUM( ($A$768:$A$846=$A1665) * ($D$768:$D$846= $D1665) * (I$768:I$846) )  +  SUM( ($A$933:$A$1011=$A1665) * ($D$933:$D$1011= $D1665) * (I$933:I$1011) ) + SUM( ($E$1016:$E$1039=$E$1427)*($A$1016:$A$1039=$A1665) * ($D$1016:$D$1039=$D1665)*(I$1016:I$1039) ) )</f>
        <v>0</v>
      </c>
      <c r="J1665" s="1379">
        <f t="array" ref="J1665" xml:space="preserve"> SUM(EF[N2O] * (EF[SATIM Code]= $D1665))  * (SUM( ($A$768:$A$846=$A1665) * ($D$768:$D$846= $D1665) * (J$768:J$846) )  +  SUM( ($A$933:$A$1011=$A1665) * ($D$933:$D$1011= $D1665) * (J$933:J$1011) ) + SUM( ($E$1016:$E$1039=$E$1427)*($A$1016:$A$1039=$A1665) * ($D$1016:$D$1039=$D1665)*(J$1016:J$1039) ) )</f>
        <v>0</v>
      </c>
      <c r="K1665" s="1379">
        <f t="array" ref="K1665" xml:space="preserve"> SUM(EF[N2O] * (EF[SATIM Code]= $D1665))  * (SUM( ($A$768:$A$846=$A1665) * ($D$768:$D$846= $D1665) * (K$768:K$846) )  +  SUM( ($A$933:$A$1011=$A1665) * ($D$933:$D$1011= $D1665) * (K$933:K$1011) ) + SUM( ($E$1016:$E$1039=$E$1427)*($A$1016:$A$1039=$A1665) * ($D$1016:$D$1039=$D1665)*(K$1016:K$1039) ) )</f>
        <v>0</v>
      </c>
      <c r="L1665" s="1379">
        <f t="array" ref="L1665" xml:space="preserve"> SUM(EF[N2O] * (EF[SATIM Code]= $D1665))  * (SUM( ($A$768:$A$846=$A1665) * ($D$768:$D$846= $D1665) * (L$768:L$846) )  +  SUM( ($A$933:$A$1011=$A1665) * ($D$933:$D$1011= $D1665) * (L$933:L$1011) ) + SUM( ($E$1016:$E$1039=$E$1427)*($A$1016:$A$1039=$A1665) * ($D$1016:$D$1039=$D1665)*(L$1016:L$1039) ) )</f>
        <v>0</v>
      </c>
      <c r="M1665" s="1379">
        <f t="array" ref="M1665" xml:space="preserve"> SUM(EF[N2O] * (EF[SATIM Code]= $D1665))  * (SUM( ($A$768:$A$846=$A1665) * ($D$768:$D$846= $D1665) * (M$768:M$846) )  +  SUM( ($A$933:$A$1011=$A1665) * ($D$933:$D$1011= $D1665) * (M$933:M$1011) ) + SUM( ($E$1016:$E$1039=$E$1427)*($A$1016:$A$1039=$A1665) * ($D$1016:$D$1039=$D1665)*(M$1016:M$1039) ) )</f>
        <v>0</v>
      </c>
      <c r="N1665" s="1379">
        <f t="array" ref="N1665" xml:space="preserve"> SUM(EF[N2O] * (EF[SATIM Code]= $D1665))  * (SUM( ($A$768:$A$846=$A1665) * ($D$768:$D$846= $D1665) * (N$768:N$846) )  +  SUM( ($A$933:$A$1011=$A1665) * ($D$933:$D$1011= $D1665) * (N$933:N$1011) ) + SUM( ($E$1016:$E$1039=$E$1427)*($A$1016:$A$1039=$A1665) * ($D$1016:$D$1039=$D1665)*(N$1016:N$1039) ) )</f>
        <v>0</v>
      </c>
      <c r="O1665" s="1379">
        <f t="array" ref="O1665" xml:space="preserve"> SUM(EF[N2O] * (EF[SATIM Code]= $D1665))  * (SUM( ($A$768:$A$846=$A1665) * ($D$768:$D$846= $D1665) * (O$768:O$846) )  +  SUM( ($A$933:$A$1011=$A1665) * ($D$933:$D$1011= $D1665) * (O$933:O$1011) ) + SUM( ($E$1016:$E$1039=$E$1427)*($A$1016:$A$1039=$A1665) * ($D$1016:$D$1039=$D1665)*(O$1016:O$1039) ) )</f>
        <v>0</v>
      </c>
    </row>
    <row r="1666" spans="1:15" s="19" customFormat="1" hidden="1" outlineLevel="1">
      <c r="A1666" s="19" t="str">
        <f t="shared" si="312"/>
        <v>NM</v>
      </c>
      <c r="B1666" s="1400" t="str">
        <f>INDEX(EF[UK Vector],MATCH(D1666,EF[SATIM Code],0))</f>
        <v>V.04</v>
      </c>
      <c r="C1666" s="1401" t="str">
        <f>INDEX(Vectors[Description], MATCH($B1666, Vectors[Code], 0))</f>
        <v>Liquid hydrocarbons</v>
      </c>
      <c r="D1666" s="1406" t="s">
        <v>887</v>
      </c>
      <c r="E1666" s="1393"/>
      <c r="F1666" s="1379">
        <f t="array" ref="F1666" xml:space="preserve"> SUM(EF[N2O] * (EF[SATIM Code]= $D1666))  * (SUM( ($A$768:$A$846=$A1666) * ($D$768:$D$846= $D1666) * (F$768:F$846) )  +  SUM( ($A$933:$A$1011=$A1666) * ($D$933:$D$1011= $D1666) * (F$933:F$1011) ) + SUM( ($E$1016:$E$1039=$E$1427)*($A$1016:$A$1039=$A1666) * ($D$1016:$D$1039=$D1666)*(F$1016:F$1039) ) )</f>
        <v>0</v>
      </c>
      <c r="G1666" s="1379">
        <f t="array" ref="G1666" xml:space="preserve"> SUM(EF[N2O] * (EF[SATIM Code]= $D1666))  * (SUM( ($A$768:$A$846=$A1666) * ($D$768:$D$846= $D1666) * (G$768:G$846) )  +  SUM( ($A$933:$A$1011=$A1666) * ($D$933:$D$1011= $D1666) * (G$933:G$1011) ) + SUM( ($E$1016:$E$1039=$E$1427)*($A$1016:$A$1039=$A1666) * ($D$1016:$D$1039=$D1666)*(G$1016:G$1039) ) )</f>
        <v>0</v>
      </c>
      <c r="H1666" s="1379">
        <f t="array" ref="H1666" xml:space="preserve"> SUM(EF[N2O] * (EF[SATIM Code]= $D1666))  * (SUM( ($A$768:$A$846=$A1666) * ($D$768:$D$846= $D1666) * (H$768:H$846) )  +  SUM( ($A$933:$A$1011=$A1666) * ($D$933:$D$1011= $D1666) * (H$933:H$1011) ) + SUM( ($E$1016:$E$1039=$E$1427)*($A$1016:$A$1039=$A1666) * ($D$1016:$D$1039=$D1666)*(H$1016:H$1039) ) )</f>
        <v>0</v>
      </c>
      <c r="I1666" s="1379">
        <f t="array" ref="I1666" xml:space="preserve"> SUM(EF[N2O] * (EF[SATIM Code]= $D1666))  * (SUM( ($A$768:$A$846=$A1666) * ($D$768:$D$846= $D1666) * (I$768:I$846) )  +  SUM( ($A$933:$A$1011=$A1666) * ($D$933:$D$1011= $D1666) * (I$933:I$1011) ) + SUM( ($E$1016:$E$1039=$E$1427)*($A$1016:$A$1039=$A1666) * ($D$1016:$D$1039=$D1666)*(I$1016:I$1039) ) )</f>
        <v>0</v>
      </c>
      <c r="J1666" s="1379">
        <f t="array" ref="J1666" xml:space="preserve"> SUM(EF[N2O] * (EF[SATIM Code]= $D1666))  * (SUM( ($A$768:$A$846=$A1666) * ($D$768:$D$846= $D1666) * (J$768:J$846) )  +  SUM( ($A$933:$A$1011=$A1666) * ($D$933:$D$1011= $D1666) * (J$933:J$1011) ) + SUM( ($E$1016:$E$1039=$E$1427)*($A$1016:$A$1039=$A1666) * ($D$1016:$D$1039=$D1666)*(J$1016:J$1039) ) )</f>
        <v>0</v>
      </c>
      <c r="K1666" s="1379">
        <f t="array" ref="K1666" xml:space="preserve"> SUM(EF[N2O] * (EF[SATIM Code]= $D1666))  * (SUM( ($A$768:$A$846=$A1666) * ($D$768:$D$846= $D1666) * (K$768:K$846) )  +  SUM( ($A$933:$A$1011=$A1666) * ($D$933:$D$1011= $D1666) * (K$933:K$1011) ) + SUM( ($E$1016:$E$1039=$E$1427)*($A$1016:$A$1039=$A1666) * ($D$1016:$D$1039=$D1666)*(K$1016:K$1039) ) )</f>
        <v>0</v>
      </c>
      <c r="L1666" s="1379">
        <f t="array" ref="L1666" xml:space="preserve"> SUM(EF[N2O] * (EF[SATIM Code]= $D1666))  * (SUM( ($A$768:$A$846=$A1666) * ($D$768:$D$846= $D1666) * (L$768:L$846) )  +  SUM( ($A$933:$A$1011=$A1666) * ($D$933:$D$1011= $D1666) * (L$933:L$1011) ) + SUM( ($E$1016:$E$1039=$E$1427)*($A$1016:$A$1039=$A1666) * ($D$1016:$D$1039=$D1666)*(L$1016:L$1039) ) )</f>
        <v>0</v>
      </c>
      <c r="M1666" s="1379">
        <f t="array" ref="M1666" xml:space="preserve"> SUM(EF[N2O] * (EF[SATIM Code]= $D1666))  * (SUM( ($A$768:$A$846=$A1666) * ($D$768:$D$846= $D1666) * (M$768:M$846) )  +  SUM( ($A$933:$A$1011=$A1666) * ($D$933:$D$1011= $D1666) * (M$933:M$1011) ) + SUM( ($E$1016:$E$1039=$E$1427)*($A$1016:$A$1039=$A1666) * ($D$1016:$D$1039=$D1666)*(M$1016:M$1039) ) )</f>
        <v>0</v>
      </c>
      <c r="N1666" s="1379">
        <f t="array" ref="N1666" xml:space="preserve"> SUM(EF[N2O] * (EF[SATIM Code]= $D1666))  * (SUM( ($A$768:$A$846=$A1666) * ($D$768:$D$846= $D1666) * (N$768:N$846) )  +  SUM( ($A$933:$A$1011=$A1666) * ($D$933:$D$1011= $D1666) * (N$933:N$1011) ) + SUM( ($E$1016:$E$1039=$E$1427)*($A$1016:$A$1039=$A1666) * ($D$1016:$D$1039=$D1666)*(N$1016:N$1039) ) )</f>
        <v>0</v>
      </c>
      <c r="O1666" s="1379">
        <f t="array" ref="O1666" xml:space="preserve"> SUM(EF[N2O] * (EF[SATIM Code]= $D1666))  * (SUM( ($A$768:$A$846=$A1666) * ($D$768:$D$846= $D1666) * (O$768:O$846) )  +  SUM( ($A$933:$A$1011=$A1666) * ($D$933:$D$1011= $D1666) * (O$933:O$1011) ) + SUM( ($E$1016:$E$1039=$E$1427)*($A$1016:$A$1039=$A1666) * ($D$1016:$D$1039=$D1666)*(O$1016:O$1039) ) )</f>
        <v>0</v>
      </c>
    </row>
    <row r="1667" spans="1:15" s="19" customFormat="1" hidden="1" outlineLevel="1">
      <c r="A1667" s="19" t="str">
        <f t="shared" si="312"/>
        <v>NM</v>
      </c>
      <c r="B1667" s="1400" t="str">
        <f>INDEX(EF[UK Vector],MATCH(D1667,EF[SATIM Code],0))</f>
        <v>V.09</v>
      </c>
      <c r="C1667" s="1401" t="str">
        <f>INDEX(Vectors[Description], MATCH($B1667, Vectors[Code], 0))</f>
        <v>Dry biomass and waste</v>
      </c>
      <c r="D1667" s="1406" t="s">
        <v>888</v>
      </c>
      <c r="E1667" s="1393"/>
      <c r="F1667" s="1379">
        <f t="array" ref="F1667" xml:space="preserve"> SUM(EF[N2O] * (EF[SATIM Code]= $D1667))  * (SUM( ($A$768:$A$846=$A1667) * ($D$768:$D$846= $D1667) * (F$768:F$846) )  +  SUM( ($A$933:$A$1011=$A1667) * ($D$933:$D$1011= $D1667) * (F$933:F$1011) ) + SUM( ($E$1016:$E$1039=$E$1427)*($A$1016:$A$1039=$A1667) * ($D$1016:$D$1039=$D1667)*(F$1016:F$1039) ) )</f>
        <v>0</v>
      </c>
      <c r="G1667" s="1379">
        <f t="array" ref="G1667" xml:space="preserve"> SUM(EF[N2O] * (EF[SATIM Code]= $D1667))  * (SUM( ($A$768:$A$846=$A1667) * ($D$768:$D$846= $D1667) * (G$768:G$846) )  +  SUM( ($A$933:$A$1011=$A1667) * ($D$933:$D$1011= $D1667) * (G$933:G$1011) ) + SUM( ($E$1016:$E$1039=$E$1427)*($A$1016:$A$1039=$A1667) * ($D$1016:$D$1039=$D1667)*(G$1016:G$1039) ) )</f>
        <v>0</v>
      </c>
      <c r="H1667" s="1379">
        <f t="array" ref="H1667" xml:space="preserve"> SUM(EF[N2O] * (EF[SATIM Code]= $D1667))  * (SUM( ($A$768:$A$846=$A1667) * ($D$768:$D$846= $D1667) * (H$768:H$846) )  +  SUM( ($A$933:$A$1011=$A1667) * ($D$933:$D$1011= $D1667) * (H$933:H$1011) ) + SUM( ($E$1016:$E$1039=$E$1427)*($A$1016:$A$1039=$A1667) * ($D$1016:$D$1039=$D1667)*(H$1016:H$1039) ) )</f>
        <v>0</v>
      </c>
      <c r="I1667" s="1379">
        <f t="array" ref="I1667" xml:space="preserve"> SUM(EF[N2O] * (EF[SATIM Code]= $D1667))  * (SUM( ($A$768:$A$846=$A1667) * ($D$768:$D$846= $D1667) * (I$768:I$846) )  +  SUM( ($A$933:$A$1011=$A1667) * ($D$933:$D$1011= $D1667) * (I$933:I$1011) ) + SUM( ($E$1016:$E$1039=$E$1427)*($A$1016:$A$1039=$A1667) * ($D$1016:$D$1039=$D1667)*(I$1016:I$1039) ) )</f>
        <v>0</v>
      </c>
      <c r="J1667" s="1379">
        <f t="array" ref="J1667" xml:space="preserve"> SUM(EF[N2O] * (EF[SATIM Code]= $D1667))  * (SUM( ($A$768:$A$846=$A1667) * ($D$768:$D$846= $D1667) * (J$768:J$846) )  +  SUM( ($A$933:$A$1011=$A1667) * ($D$933:$D$1011= $D1667) * (J$933:J$1011) ) + SUM( ($E$1016:$E$1039=$E$1427)*($A$1016:$A$1039=$A1667) * ($D$1016:$D$1039=$D1667)*(J$1016:J$1039) ) )</f>
        <v>0</v>
      </c>
      <c r="K1667" s="1379">
        <f t="array" ref="K1667" xml:space="preserve"> SUM(EF[N2O] * (EF[SATIM Code]= $D1667))  * (SUM( ($A$768:$A$846=$A1667) * ($D$768:$D$846= $D1667) * (K$768:K$846) )  +  SUM( ($A$933:$A$1011=$A1667) * ($D$933:$D$1011= $D1667) * (K$933:K$1011) ) + SUM( ($E$1016:$E$1039=$E$1427)*($A$1016:$A$1039=$A1667) * ($D$1016:$D$1039=$D1667)*(K$1016:K$1039) ) )</f>
        <v>0</v>
      </c>
      <c r="L1667" s="1379">
        <f t="array" ref="L1667" xml:space="preserve"> SUM(EF[N2O] * (EF[SATIM Code]= $D1667))  * (SUM( ($A$768:$A$846=$A1667) * ($D$768:$D$846= $D1667) * (L$768:L$846) )  +  SUM( ($A$933:$A$1011=$A1667) * ($D$933:$D$1011= $D1667) * (L$933:L$1011) ) + SUM( ($E$1016:$E$1039=$E$1427)*($A$1016:$A$1039=$A1667) * ($D$1016:$D$1039=$D1667)*(L$1016:L$1039) ) )</f>
        <v>0</v>
      </c>
      <c r="M1667" s="1379">
        <f t="array" ref="M1667" xml:space="preserve"> SUM(EF[N2O] * (EF[SATIM Code]= $D1667))  * (SUM( ($A$768:$A$846=$A1667) * ($D$768:$D$846= $D1667) * (M$768:M$846) )  +  SUM( ($A$933:$A$1011=$A1667) * ($D$933:$D$1011= $D1667) * (M$933:M$1011) ) + SUM( ($E$1016:$E$1039=$E$1427)*($A$1016:$A$1039=$A1667) * ($D$1016:$D$1039=$D1667)*(M$1016:M$1039) ) )</f>
        <v>0</v>
      </c>
      <c r="N1667" s="1379">
        <f t="array" ref="N1667" xml:space="preserve"> SUM(EF[N2O] * (EF[SATIM Code]= $D1667))  * (SUM( ($A$768:$A$846=$A1667) * ($D$768:$D$846= $D1667) * (N$768:N$846) )  +  SUM( ($A$933:$A$1011=$A1667) * ($D$933:$D$1011= $D1667) * (N$933:N$1011) ) + SUM( ($E$1016:$E$1039=$E$1427)*($A$1016:$A$1039=$A1667) * ($D$1016:$D$1039=$D1667)*(N$1016:N$1039) ) )</f>
        <v>0</v>
      </c>
      <c r="O1667" s="1379">
        <f t="array" ref="O1667" xml:space="preserve"> SUM(EF[N2O] * (EF[SATIM Code]= $D1667))  * (SUM( ($A$768:$A$846=$A1667) * ($D$768:$D$846= $D1667) * (O$768:O$846) )  +  SUM( ($A$933:$A$1011=$A1667) * ($D$933:$D$1011= $D1667) * (O$933:O$1011) ) + SUM( ($E$1016:$E$1039=$E$1427)*($A$1016:$A$1039=$A1667) * ($D$1016:$D$1039=$D1667)*(O$1016:O$1039) ) )</f>
        <v>0</v>
      </c>
    </row>
    <row r="1668" spans="1:15" s="19" customFormat="1" hidden="1" outlineLevel="1">
      <c r="A1668" s="19" t="str">
        <f t="shared" si="312"/>
        <v>NM</v>
      </c>
      <c r="B1668" s="1400" t="str">
        <f>INDEX(EF[UK Vector],MATCH(D1668,EF[SATIM Code],0))</f>
        <v>V.09</v>
      </c>
      <c r="C1668" s="1401" t="str">
        <f>INDEX(Vectors[Description], MATCH($B1668, Vectors[Code], 0))</f>
        <v>Dry biomass and waste</v>
      </c>
      <c r="D1668" s="1388" t="s">
        <v>889</v>
      </c>
      <c r="E1668" s="1393"/>
      <c r="F1668" s="1379">
        <f t="array" ref="F1668" xml:space="preserve"> SUM(EF[N2O] * (EF[SATIM Code]= $D1668))  * (SUM( ($A$768:$A$846=$A1668) * ($D$768:$D$846= $D1668) * (F$768:F$846) )  +  SUM( ($A$933:$A$1011=$A1668) * ($D$933:$D$1011= $D1668) * (F$933:F$1011) ) + SUM( ($E$1016:$E$1039=$E$1427)*($A$1016:$A$1039=$A1668) * ($D$1016:$D$1039=$D1668)*(F$1016:F$1039) ) )</f>
        <v>0</v>
      </c>
      <c r="G1668" s="1379">
        <f t="array" ref="G1668" xml:space="preserve"> SUM(EF[N2O] * (EF[SATIM Code]= $D1668))  * (SUM( ($A$768:$A$846=$A1668) * ($D$768:$D$846= $D1668) * (G$768:G$846) )  +  SUM( ($A$933:$A$1011=$A1668) * ($D$933:$D$1011= $D1668) * (G$933:G$1011) ) + SUM( ($E$1016:$E$1039=$E$1427)*($A$1016:$A$1039=$A1668) * ($D$1016:$D$1039=$D1668)*(G$1016:G$1039) ) )</f>
        <v>0</v>
      </c>
      <c r="H1668" s="1379">
        <f t="array" ref="H1668" xml:space="preserve"> SUM(EF[N2O] * (EF[SATIM Code]= $D1668))  * (SUM( ($A$768:$A$846=$A1668) * ($D$768:$D$846= $D1668) * (H$768:H$846) )  +  SUM( ($A$933:$A$1011=$A1668) * ($D$933:$D$1011= $D1668) * (H$933:H$1011) ) + SUM( ($E$1016:$E$1039=$E$1427)*($A$1016:$A$1039=$A1668) * ($D$1016:$D$1039=$D1668)*(H$1016:H$1039) ) )</f>
        <v>0</v>
      </c>
      <c r="I1668" s="1379">
        <f t="array" ref="I1668" xml:space="preserve"> SUM(EF[N2O] * (EF[SATIM Code]= $D1668))  * (SUM( ($A$768:$A$846=$A1668) * ($D$768:$D$846= $D1668) * (I$768:I$846) )  +  SUM( ($A$933:$A$1011=$A1668) * ($D$933:$D$1011= $D1668) * (I$933:I$1011) ) + SUM( ($E$1016:$E$1039=$E$1427)*($A$1016:$A$1039=$A1668) * ($D$1016:$D$1039=$D1668)*(I$1016:I$1039) ) )</f>
        <v>0</v>
      </c>
      <c r="J1668" s="1379">
        <f t="array" ref="J1668" xml:space="preserve"> SUM(EF[N2O] * (EF[SATIM Code]= $D1668))  * (SUM( ($A$768:$A$846=$A1668) * ($D$768:$D$846= $D1668) * (J$768:J$846) )  +  SUM( ($A$933:$A$1011=$A1668) * ($D$933:$D$1011= $D1668) * (J$933:J$1011) ) + SUM( ($E$1016:$E$1039=$E$1427)*($A$1016:$A$1039=$A1668) * ($D$1016:$D$1039=$D1668)*(J$1016:J$1039) ) )</f>
        <v>0</v>
      </c>
      <c r="K1668" s="1379">
        <f t="array" ref="K1668" xml:space="preserve"> SUM(EF[N2O] * (EF[SATIM Code]= $D1668))  * (SUM( ($A$768:$A$846=$A1668) * ($D$768:$D$846= $D1668) * (K$768:K$846) )  +  SUM( ($A$933:$A$1011=$A1668) * ($D$933:$D$1011= $D1668) * (K$933:K$1011) ) + SUM( ($E$1016:$E$1039=$E$1427)*($A$1016:$A$1039=$A1668) * ($D$1016:$D$1039=$D1668)*(K$1016:K$1039) ) )</f>
        <v>0</v>
      </c>
      <c r="L1668" s="1379">
        <f t="array" ref="L1668" xml:space="preserve"> SUM(EF[N2O] * (EF[SATIM Code]= $D1668))  * (SUM( ($A$768:$A$846=$A1668) * ($D$768:$D$846= $D1668) * (L$768:L$846) )  +  SUM( ($A$933:$A$1011=$A1668) * ($D$933:$D$1011= $D1668) * (L$933:L$1011) ) + SUM( ($E$1016:$E$1039=$E$1427)*($A$1016:$A$1039=$A1668) * ($D$1016:$D$1039=$D1668)*(L$1016:L$1039) ) )</f>
        <v>0</v>
      </c>
      <c r="M1668" s="1379">
        <f t="array" ref="M1668" xml:space="preserve"> SUM(EF[N2O] * (EF[SATIM Code]= $D1668))  * (SUM( ($A$768:$A$846=$A1668) * ($D$768:$D$846= $D1668) * (M$768:M$846) )  +  SUM( ($A$933:$A$1011=$A1668) * ($D$933:$D$1011= $D1668) * (M$933:M$1011) ) + SUM( ($E$1016:$E$1039=$E$1427)*($A$1016:$A$1039=$A1668) * ($D$1016:$D$1039=$D1668)*(M$1016:M$1039) ) )</f>
        <v>0</v>
      </c>
      <c r="N1668" s="1379">
        <f t="array" ref="N1668" xml:space="preserve"> SUM(EF[N2O] * (EF[SATIM Code]= $D1668))  * (SUM( ($A$768:$A$846=$A1668) * ($D$768:$D$846= $D1668) * (N$768:N$846) )  +  SUM( ($A$933:$A$1011=$A1668) * ($D$933:$D$1011= $D1668) * (N$933:N$1011) ) + SUM( ($E$1016:$E$1039=$E$1427)*($A$1016:$A$1039=$A1668) * ($D$1016:$D$1039=$D1668)*(N$1016:N$1039) ) )</f>
        <v>0</v>
      </c>
      <c r="O1668" s="1379">
        <f t="array" ref="O1668" xml:space="preserve"> SUM(EF[N2O] * (EF[SATIM Code]= $D1668))  * (SUM( ($A$768:$A$846=$A1668) * ($D$768:$D$846= $D1668) * (O$768:O$846) )  +  SUM( ($A$933:$A$1011=$A1668) * ($D$933:$D$1011= $D1668) * (O$933:O$1011) ) + SUM( ($E$1016:$E$1039=$E$1427)*($A$1016:$A$1039=$A1668) * ($D$1016:$D$1039=$D1668)*(O$1016:O$1039) ) )</f>
        <v>0</v>
      </c>
    </row>
    <row r="1669" spans="1:15" s="19" customFormat="1" hidden="1" outlineLevel="1">
      <c r="A1669" s="19" t="str">
        <f t="shared" si="312"/>
        <v>NM</v>
      </c>
      <c r="B1669" s="1400" t="str">
        <f>INDEX(EF[UK Vector],MATCH(D1669,EF[SATIM Code],0))</f>
        <v>V.16</v>
      </c>
      <c r="C1669" s="1401" t="str">
        <f>INDEX(Vectors[Description], MATCH($B1669, Vectors[Code], 0))</f>
        <v>Other Waste</v>
      </c>
      <c r="D1669" s="1408" t="s">
        <v>890</v>
      </c>
      <c r="E1669" s="1393"/>
      <c r="F1669" s="1379">
        <f t="array" ref="F1669" xml:space="preserve"> SUM(EF[N2O] * (EF[SATIM Code]= $D1669))  * (SUM( ($A$768:$A$846=$A1669) * ($D$768:$D$846= $D1669) * (F$768:F$846) )  +  SUM( ($A$933:$A$1011=$A1669) * ($D$933:$D$1011= $D1669) * (F$933:F$1011) ) + SUM( ($E$1016:$E$1039=$E$1427)*($A$1016:$A$1039=$A1669) * ($D$1016:$D$1039=$D1669)*(F$1016:F$1039) ) )</f>
        <v>0</v>
      </c>
      <c r="G1669" s="1379">
        <f t="array" ref="G1669" xml:space="preserve"> SUM(EF[N2O] * (EF[SATIM Code]= $D1669))  * (SUM( ($A$768:$A$846=$A1669) * ($D$768:$D$846= $D1669) * (G$768:G$846) )  +  SUM( ($A$933:$A$1011=$A1669) * ($D$933:$D$1011= $D1669) * (G$933:G$1011) ) + SUM( ($E$1016:$E$1039=$E$1427)*($A$1016:$A$1039=$A1669) * ($D$1016:$D$1039=$D1669)*(G$1016:G$1039) ) )</f>
        <v>0</v>
      </c>
      <c r="H1669" s="1379">
        <f t="array" ref="H1669" xml:space="preserve"> SUM(EF[N2O] * (EF[SATIM Code]= $D1669))  * (SUM( ($A$768:$A$846=$A1669) * ($D$768:$D$846= $D1669) * (H$768:H$846) )  +  SUM( ($A$933:$A$1011=$A1669) * ($D$933:$D$1011= $D1669) * (H$933:H$1011) ) + SUM( ($E$1016:$E$1039=$E$1427)*($A$1016:$A$1039=$A1669) * ($D$1016:$D$1039=$D1669)*(H$1016:H$1039) ) )</f>
        <v>0</v>
      </c>
      <c r="I1669" s="1379">
        <f t="array" ref="I1669" xml:space="preserve"> SUM(EF[N2O] * (EF[SATIM Code]= $D1669))  * (SUM( ($A$768:$A$846=$A1669) * ($D$768:$D$846= $D1669) * (I$768:I$846) )  +  SUM( ($A$933:$A$1011=$A1669) * ($D$933:$D$1011= $D1669) * (I$933:I$1011) ) + SUM( ($E$1016:$E$1039=$E$1427)*($A$1016:$A$1039=$A1669) * ($D$1016:$D$1039=$D1669)*(I$1016:I$1039) ) )</f>
        <v>0</v>
      </c>
      <c r="J1669" s="1379">
        <f t="array" ref="J1669" xml:space="preserve"> SUM(EF[N2O] * (EF[SATIM Code]= $D1669))  * (SUM( ($A$768:$A$846=$A1669) * ($D$768:$D$846= $D1669) * (J$768:J$846) )  +  SUM( ($A$933:$A$1011=$A1669) * ($D$933:$D$1011= $D1669) * (J$933:J$1011) ) + SUM( ($E$1016:$E$1039=$E$1427)*($A$1016:$A$1039=$A1669) * ($D$1016:$D$1039=$D1669)*(J$1016:J$1039) ) )</f>
        <v>0</v>
      </c>
      <c r="K1669" s="1379">
        <f t="array" ref="K1669" xml:space="preserve"> SUM(EF[N2O] * (EF[SATIM Code]= $D1669))  * (SUM( ($A$768:$A$846=$A1669) * ($D$768:$D$846= $D1669) * (K$768:K$846) )  +  SUM( ($A$933:$A$1011=$A1669) * ($D$933:$D$1011= $D1669) * (K$933:K$1011) ) + SUM( ($E$1016:$E$1039=$E$1427)*($A$1016:$A$1039=$A1669) * ($D$1016:$D$1039=$D1669)*(K$1016:K$1039) ) )</f>
        <v>0</v>
      </c>
      <c r="L1669" s="1379">
        <f t="array" ref="L1669" xml:space="preserve"> SUM(EF[N2O] * (EF[SATIM Code]= $D1669))  * (SUM( ($A$768:$A$846=$A1669) * ($D$768:$D$846= $D1669) * (L$768:L$846) )  +  SUM( ($A$933:$A$1011=$A1669) * ($D$933:$D$1011= $D1669) * (L$933:L$1011) ) + SUM( ($E$1016:$E$1039=$E$1427)*($A$1016:$A$1039=$A1669) * ($D$1016:$D$1039=$D1669)*(L$1016:L$1039) ) )</f>
        <v>0</v>
      </c>
      <c r="M1669" s="1379">
        <f t="array" ref="M1669" xml:space="preserve"> SUM(EF[N2O] * (EF[SATIM Code]= $D1669))  * (SUM( ($A$768:$A$846=$A1669) * ($D$768:$D$846= $D1669) * (M$768:M$846) )  +  SUM( ($A$933:$A$1011=$A1669) * ($D$933:$D$1011= $D1669) * (M$933:M$1011) ) + SUM( ($E$1016:$E$1039=$E$1427)*($A$1016:$A$1039=$A1669) * ($D$1016:$D$1039=$D1669)*(M$1016:M$1039) ) )</f>
        <v>0</v>
      </c>
      <c r="N1669" s="1379">
        <f t="array" ref="N1669" xml:space="preserve"> SUM(EF[N2O] * (EF[SATIM Code]= $D1669))  * (SUM( ($A$768:$A$846=$A1669) * ($D$768:$D$846= $D1669) * (N$768:N$846) )  +  SUM( ($A$933:$A$1011=$A1669) * ($D$933:$D$1011= $D1669) * (N$933:N$1011) ) + SUM( ($E$1016:$E$1039=$E$1427)*($A$1016:$A$1039=$A1669) * ($D$1016:$D$1039=$D1669)*(N$1016:N$1039) ) )</f>
        <v>0</v>
      </c>
      <c r="O1669" s="1379">
        <f t="array" ref="O1669" xml:space="preserve"> SUM(EF[N2O] * (EF[SATIM Code]= $D1669))  * (SUM( ($A$768:$A$846=$A1669) * ($D$768:$D$846= $D1669) * (O$768:O$846) )  +  SUM( ($A$933:$A$1011=$A1669) * ($D$933:$D$1011= $D1669) * (O$933:O$1011) ) + SUM( ($E$1016:$E$1039=$E$1427)*($A$1016:$A$1039=$A1669) * ($D$1016:$D$1039=$D1669)*(O$1016:O$1039) ) )</f>
        <v>0</v>
      </c>
    </row>
    <row r="1670" spans="1:15" s="19" customFormat="1" hidden="1" outlineLevel="1">
      <c r="B1670" s="1393"/>
      <c r="C1670" s="1407" t="str">
        <f>D25</f>
        <v>Food, Beverage &amp; Tabacco  - 30</v>
      </c>
      <c r="D1670" s="1391"/>
      <c r="E1670" s="1393"/>
      <c r="F1670" s="1379">
        <f t="array" ref="F1670" xml:space="preserve"> SUM(EF[N2O] * (EF[SATIM Code]= $D1670))  * (SUM( ($A$768:$A$846=$A1670) * ($D$768:$D$846= $D1670) * (F$768:F$846) )  +  SUM( ($A$933:$A$1011=$A1670) * ($D$933:$D$1011= $D1670) * (F$933:F$1011) ) + SUM( ($E$1016:$E$1039=$E$1427)*($A$1016:$A$1039=$A1670) * ($D$1016:$D$1039=$D1670)*(F$1016:F$1039) ) )</f>
        <v>0</v>
      </c>
      <c r="G1670" s="1379">
        <f t="array" ref="G1670" xml:space="preserve"> SUM(EF[N2O] * (EF[SATIM Code]= $D1670))  * (SUM( ($A$768:$A$846=$A1670) * ($D$768:$D$846= $D1670) * (G$768:G$846) )  +  SUM( ($A$933:$A$1011=$A1670) * ($D$933:$D$1011= $D1670) * (G$933:G$1011) ) + SUM( ($E$1016:$E$1039=$E$1427)*($A$1016:$A$1039=$A1670) * ($D$1016:$D$1039=$D1670)*(G$1016:G$1039) ) )</f>
        <v>0</v>
      </c>
      <c r="H1670" s="1379">
        <f t="array" ref="H1670" xml:space="preserve"> SUM(EF[N2O] * (EF[SATIM Code]= $D1670))  * (SUM( ($A$768:$A$846=$A1670) * ($D$768:$D$846= $D1670) * (H$768:H$846) )  +  SUM( ($A$933:$A$1011=$A1670) * ($D$933:$D$1011= $D1670) * (H$933:H$1011) ) + SUM( ($E$1016:$E$1039=$E$1427)*($A$1016:$A$1039=$A1670) * ($D$1016:$D$1039=$D1670)*(H$1016:H$1039) ) )</f>
        <v>0</v>
      </c>
      <c r="I1670" s="1379">
        <f t="array" ref="I1670" xml:space="preserve"> SUM(EF[N2O] * (EF[SATIM Code]= $D1670))  * (SUM( ($A$768:$A$846=$A1670) * ($D$768:$D$846= $D1670) * (I$768:I$846) )  +  SUM( ($A$933:$A$1011=$A1670) * ($D$933:$D$1011= $D1670) * (I$933:I$1011) ) + SUM( ($E$1016:$E$1039=$E$1427)*($A$1016:$A$1039=$A1670) * ($D$1016:$D$1039=$D1670)*(I$1016:I$1039) ) )</f>
        <v>0</v>
      </c>
      <c r="J1670" s="1379">
        <f t="array" ref="J1670" xml:space="preserve"> SUM(EF[N2O] * (EF[SATIM Code]= $D1670))  * (SUM( ($A$768:$A$846=$A1670) * ($D$768:$D$846= $D1670) * (J$768:J$846) )  +  SUM( ($A$933:$A$1011=$A1670) * ($D$933:$D$1011= $D1670) * (J$933:J$1011) ) + SUM( ($E$1016:$E$1039=$E$1427)*($A$1016:$A$1039=$A1670) * ($D$1016:$D$1039=$D1670)*(J$1016:J$1039) ) )</f>
        <v>0</v>
      </c>
      <c r="K1670" s="1379">
        <f t="array" ref="K1670" xml:space="preserve"> SUM(EF[N2O] * (EF[SATIM Code]= $D1670))  * (SUM( ($A$768:$A$846=$A1670) * ($D$768:$D$846= $D1670) * (K$768:K$846) )  +  SUM( ($A$933:$A$1011=$A1670) * ($D$933:$D$1011= $D1670) * (K$933:K$1011) ) + SUM( ($E$1016:$E$1039=$E$1427)*($A$1016:$A$1039=$A1670) * ($D$1016:$D$1039=$D1670)*(K$1016:K$1039) ) )</f>
        <v>0</v>
      </c>
      <c r="L1670" s="1379">
        <f t="array" ref="L1670" xml:space="preserve"> SUM(EF[N2O] * (EF[SATIM Code]= $D1670))  * (SUM( ($A$768:$A$846=$A1670) * ($D$768:$D$846= $D1670) * (L$768:L$846) )  +  SUM( ($A$933:$A$1011=$A1670) * ($D$933:$D$1011= $D1670) * (L$933:L$1011) ) + SUM( ($E$1016:$E$1039=$E$1427)*($A$1016:$A$1039=$A1670) * ($D$1016:$D$1039=$D1670)*(L$1016:L$1039) ) )</f>
        <v>0</v>
      </c>
      <c r="M1670" s="1379">
        <f t="array" ref="M1670" xml:space="preserve"> SUM(EF[N2O] * (EF[SATIM Code]= $D1670))  * (SUM( ($A$768:$A$846=$A1670) * ($D$768:$D$846= $D1670) * (M$768:M$846) )  +  SUM( ($A$933:$A$1011=$A1670) * ($D$933:$D$1011= $D1670) * (M$933:M$1011) ) + SUM( ($E$1016:$E$1039=$E$1427)*($A$1016:$A$1039=$A1670) * ($D$1016:$D$1039=$D1670)*(M$1016:M$1039) ) )</f>
        <v>0</v>
      </c>
      <c r="N1670" s="1379">
        <f t="array" ref="N1670" xml:space="preserve"> SUM(EF[N2O] * (EF[SATIM Code]= $D1670))  * (SUM( ($A$768:$A$846=$A1670) * ($D$768:$D$846= $D1670) * (N$768:N$846) )  +  SUM( ($A$933:$A$1011=$A1670) * ($D$933:$D$1011= $D1670) * (N$933:N$1011) ) + SUM( ($E$1016:$E$1039=$E$1427)*($A$1016:$A$1039=$A1670) * ($D$1016:$D$1039=$D1670)*(N$1016:N$1039) ) )</f>
        <v>0</v>
      </c>
      <c r="O1670" s="1379">
        <f t="array" ref="O1670" xml:space="preserve"> SUM(EF[N2O] * (EF[SATIM Code]= $D1670))  * (SUM( ($A$768:$A$846=$A1670) * ($D$768:$D$846= $D1670) * (O$768:O$846) )  +  SUM( ($A$933:$A$1011=$A1670) * ($D$933:$D$1011= $D1670) * (O$933:O$1011) ) + SUM( ($E$1016:$E$1039=$E$1427)*($A$1016:$A$1039=$A1670) * ($D$1016:$D$1039=$D1670)*(O$1016:O$1039) ) )</f>
        <v>0</v>
      </c>
    </row>
    <row r="1671" spans="1:15" s="19" customFormat="1" hidden="1" outlineLevel="1">
      <c r="A1671" s="1438" t="str">
        <f>INDEX($C$20:$C$27,MATCH($C1670,$D$20:$D$27,0))</f>
        <v>FB</v>
      </c>
      <c r="B1671" s="1400" t="str">
        <f>INDEX(EF[UK Vector],MATCH(D1671,EF[SATIM Code],0))</f>
        <v>V.03</v>
      </c>
      <c r="C1671" s="1401" t="str">
        <f>INDEX(Vectors[Description], MATCH($B1671, Vectors[Code], 0))</f>
        <v>Solid hydrocarbons</v>
      </c>
      <c r="D1671" s="1391" t="s">
        <v>882</v>
      </c>
      <c r="E1671" s="1393"/>
      <c r="F1671" s="1379">
        <f t="array" ref="F1671" xml:space="preserve"> SUM(EF[N2O] * (EF[SATIM Code]= $D1671))  * (SUM( ($A$768:$A$846=$A1671) * ($D$768:$D$846= $D1671) * (F$768:F$846) )  +  SUM( ($A$933:$A$1011=$A1671) * ($D$933:$D$1011= $D1671) * (F$933:F$1011) ) + SUM( ($E$1016:$E$1039=$E$1427)*($A$1016:$A$1039=$A1671) * ($D$1016:$D$1039=$D1671)*(F$1016:F$1039) ) )</f>
        <v>1.1146045513531374E-2</v>
      </c>
      <c r="G1671" s="1379">
        <f t="array" ref="G1671" xml:space="preserve"> SUM(EF[N2O] * (EF[SATIM Code]= $D1671))  * (SUM( ($A$768:$A$846=$A1671) * ($D$768:$D$846= $D1671) * (G$768:G$846) )  +  SUM( ($A$933:$A$1011=$A1671) * ($D$933:$D$1011= $D1671) * (G$933:G$1011) ) + SUM( ($E$1016:$E$1039=$E$1427)*($A$1016:$A$1039=$A1671) * ($D$1016:$D$1039=$D1671)*(G$1016:G$1039) ) )</f>
        <v>1.3256089396786968E-2</v>
      </c>
      <c r="H1671" s="1379">
        <f t="array" ref="H1671" xml:space="preserve"> SUM(EF[N2O] * (EF[SATIM Code]= $D1671))  * (SUM( ($A$768:$A$846=$A1671) * ($D$768:$D$846= $D1671) * (H$768:H$846) )  +  SUM( ($A$933:$A$1011=$A1671) * ($D$933:$D$1011= $D1671) * (H$933:H$1011) ) + SUM( ($E$1016:$E$1039=$E$1427)*($A$1016:$A$1039=$A1671) * ($D$1016:$D$1039=$D1671)*(H$1016:H$1039) ) )</f>
        <v>1.7172187643664426E-2</v>
      </c>
      <c r="I1671" s="1379">
        <f t="array" ref="I1671" xml:space="preserve"> SUM(EF[N2O] * (EF[SATIM Code]= $D1671))  * (SUM( ($A$768:$A$846=$A1671) * ($D$768:$D$846= $D1671) * (I$768:I$846) )  +  SUM( ($A$933:$A$1011=$A1671) * ($D$933:$D$1011= $D1671) * (I$933:I$1011) ) + SUM( ($E$1016:$E$1039=$E$1427)*($A$1016:$A$1039=$A1671) * ($D$1016:$D$1039=$D1671)*(I$1016:I$1039) ) )</f>
        <v>2.1088285890541885E-2</v>
      </c>
      <c r="J1671" s="1379">
        <f t="array" ref="J1671" xml:space="preserve"> SUM(EF[N2O] * (EF[SATIM Code]= $D1671))  * (SUM( ($A$768:$A$846=$A1671) * ($D$768:$D$846= $D1671) * (J$768:J$846) )  +  SUM( ($A$933:$A$1011=$A1671) * ($D$933:$D$1011= $D1671) * (J$933:J$1011) ) + SUM( ($E$1016:$E$1039=$E$1427)*($A$1016:$A$1039=$A1671) * ($D$1016:$D$1039=$D1671)*(J$1016:J$1039) ) )</f>
        <v>2.6853144466682535E-2</v>
      </c>
      <c r="K1671" s="1379">
        <f t="array" ref="K1671" xml:space="preserve"> SUM(EF[N2O] * (EF[SATIM Code]= $D1671))  * (SUM( ($A$768:$A$846=$A1671) * ($D$768:$D$846= $D1671) * (K$768:K$846) )  +  SUM( ($A$933:$A$1011=$A1671) * ($D$933:$D$1011= $D1671) * (K$933:K$1011) ) + SUM( ($E$1016:$E$1039=$E$1427)*($A$1016:$A$1039=$A1671) * ($D$1016:$D$1039=$D1671)*(K$1016:K$1039) ) )</f>
        <v>3.2618003042823189E-2</v>
      </c>
      <c r="L1671" s="1379">
        <f t="array" ref="L1671" xml:space="preserve"> SUM(EF[N2O] * (EF[SATIM Code]= $D1671))  * (SUM( ($A$768:$A$846=$A1671) * ($D$768:$D$846= $D1671) * (L$768:L$846) )  +  SUM( ($A$933:$A$1011=$A1671) * ($D$933:$D$1011= $D1671) * (L$933:L$1011) ) + SUM( ($E$1016:$E$1039=$E$1427)*($A$1016:$A$1039=$A1671) * ($D$1016:$D$1039=$D1671)*(L$1016:L$1039) ) )</f>
        <v>4.1094743581069196E-2</v>
      </c>
      <c r="M1671" s="1379">
        <f t="array" ref="M1671" xml:space="preserve"> SUM(EF[N2O] * (EF[SATIM Code]= $D1671))  * (SUM( ($A$768:$A$846=$A1671) * ($D$768:$D$846= $D1671) * (M$768:M$846) )  +  SUM( ($A$933:$A$1011=$A1671) * ($D$933:$D$1011= $D1671) * (M$933:M$1011) ) + SUM( ($E$1016:$E$1039=$E$1427)*($A$1016:$A$1039=$A1671) * ($D$1016:$D$1039=$D1671)*(M$1016:M$1039) ) )</f>
        <v>4.9571484119315203E-2</v>
      </c>
      <c r="N1671" s="1379">
        <f t="array" ref="N1671" xml:space="preserve"> SUM(EF[N2O] * (EF[SATIM Code]= $D1671))  * (SUM( ($A$768:$A$846=$A1671) * ($D$768:$D$846= $D1671) * (N$768:N$846) )  +  SUM( ($A$933:$A$1011=$A1671) * ($D$933:$D$1011= $D1671) * (N$933:N$1011) ) + SUM( ($E$1016:$E$1039=$E$1427)*($A$1016:$A$1039=$A1671) * ($D$1016:$D$1039=$D1671)*(N$1016:N$1039) ) )</f>
        <v>5.938666504319294E-2</v>
      </c>
      <c r="O1671" s="1379">
        <f t="array" ref="O1671" xml:space="preserve"> SUM(EF[N2O] * (EF[SATIM Code]= $D1671))  * (SUM( ($A$768:$A$846=$A1671) * ($D$768:$D$846= $D1671) * (O$768:O$846) )  +  SUM( ($A$933:$A$1011=$A1671) * ($D$933:$D$1011= $D1671) * (O$933:O$1011) ) + SUM( ($E$1016:$E$1039=$E$1427)*($A$1016:$A$1039=$A1671) * ($D$1016:$D$1039=$D1671)*(O$1016:O$1039) ) )</f>
        <v>6.9201845967070671E-2</v>
      </c>
    </row>
    <row r="1672" spans="1:15" s="19" customFormat="1" hidden="1" outlineLevel="1">
      <c r="A1672" s="19" t="str">
        <f t="shared" ref="A1672:A1679" si="313">A1671</f>
        <v>FB</v>
      </c>
      <c r="B1672" s="1400" t="str">
        <f>INDEX(EF[UK Vector],MATCH(D1672,EF[SATIM Code],0))</f>
        <v>V.03</v>
      </c>
      <c r="C1672" s="1401" t="str">
        <f>INDEX(Vectors[Description], MATCH($B1672, Vectors[Code], 0))</f>
        <v>Solid hydrocarbons</v>
      </c>
      <c r="D1672" s="1391" t="s">
        <v>883</v>
      </c>
      <c r="E1672" s="1393"/>
      <c r="F1672" s="1379">
        <f t="array" ref="F1672" xml:space="preserve"> SUM(EF[N2O] * (EF[SATIM Code]= $D1672))  * (SUM( ($A$768:$A$846=$A1672) * ($D$768:$D$846= $D1672) * (F$768:F$846) )  +  SUM( ($A$933:$A$1011=$A1672) * ($D$933:$D$1011= $D1672) * (F$933:F$1011) ) + SUM( ($E$1016:$E$1039=$E$1427)*($A$1016:$A$1039=$A1672) * ($D$1016:$D$1039=$D1672)*(F$1016:F$1039) ) )</f>
        <v>0</v>
      </c>
      <c r="G1672" s="1379">
        <f t="array" ref="G1672" xml:space="preserve"> SUM(EF[N2O] * (EF[SATIM Code]= $D1672))  * (SUM( ($A$768:$A$846=$A1672) * ($D$768:$D$846= $D1672) * (G$768:G$846) )  +  SUM( ($A$933:$A$1011=$A1672) * ($D$933:$D$1011= $D1672) * (G$933:G$1011) ) + SUM( ($E$1016:$E$1039=$E$1427)*($A$1016:$A$1039=$A1672) * ($D$1016:$D$1039=$D1672)*(G$1016:G$1039) ) )</f>
        <v>0</v>
      </c>
      <c r="H1672" s="1379">
        <f t="array" ref="H1672" xml:space="preserve"> SUM(EF[N2O] * (EF[SATIM Code]= $D1672))  * (SUM( ($A$768:$A$846=$A1672) * ($D$768:$D$846= $D1672) * (H$768:H$846) )  +  SUM( ($A$933:$A$1011=$A1672) * ($D$933:$D$1011= $D1672) * (H$933:H$1011) ) + SUM( ($E$1016:$E$1039=$E$1427)*($A$1016:$A$1039=$A1672) * ($D$1016:$D$1039=$D1672)*(H$1016:H$1039) ) )</f>
        <v>0</v>
      </c>
      <c r="I1672" s="1379">
        <f t="array" ref="I1672" xml:space="preserve"> SUM(EF[N2O] * (EF[SATIM Code]= $D1672))  * (SUM( ($A$768:$A$846=$A1672) * ($D$768:$D$846= $D1672) * (I$768:I$846) )  +  SUM( ($A$933:$A$1011=$A1672) * ($D$933:$D$1011= $D1672) * (I$933:I$1011) ) + SUM( ($E$1016:$E$1039=$E$1427)*($A$1016:$A$1039=$A1672) * ($D$1016:$D$1039=$D1672)*(I$1016:I$1039) ) )</f>
        <v>0</v>
      </c>
      <c r="J1672" s="1379">
        <f t="array" ref="J1672" xml:space="preserve"> SUM(EF[N2O] * (EF[SATIM Code]= $D1672))  * (SUM( ($A$768:$A$846=$A1672) * ($D$768:$D$846= $D1672) * (J$768:J$846) )  +  SUM( ($A$933:$A$1011=$A1672) * ($D$933:$D$1011= $D1672) * (J$933:J$1011) ) + SUM( ($E$1016:$E$1039=$E$1427)*($A$1016:$A$1039=$A1672) * ($D$1016:$D$1039=$D1672)*(J$1016:J$1039) ) )</f>
        <v>0</v>
      </c>
      <c r="K1672" s="1379">
        <f t="array" ref="K1672" xml:space="preserve"> SUM(EF[N2O] * (EF[SATIM Code]= $D1672))  * (SUM( ($A$768:$A$846=$A1672) * ($D$768:$D$846= $D1672) * (K$768:K$846) )  +  SUM( ($A$933:$A$1011=$A1672) * ($D$933:$D$1011= $D1672) * (K$933:K$1011) ) + SUM( ($E$1016:$E$1039=$E$1427)*($A$1016:$A$1039=$A1672) * ($D$1016:$D$1039=$D1672)*(K$1016:K$1039) ) )</f>
        <v>0</v>
      </c>
      <c r="L1672" s="1379">
        <f t="array" ref="L1672" xml:space="preserve"> SUM(EF[N2O] * (EF[SATIM Code]= $D1672))  * (SUM( ($A$768:$A$846=$A1672) * ($D$768:$D$846= $D1672) * (L$768:L$846) )  +  SUM( ($A$933:$A$1011=$A1672) * ($D$933:$D$1011= $D1672) * (L$933:L$1011) ) + SUM( ($E$1016:$E$1039=$E$1427)*($A$1016:$A$1039=$A1672) * ($D$1016:$D$1039=$D1672)*(L$1016:L$1039) ) )</f>
        <v>0</v>
      </c>
      <c r="M1672" s="1379">
        <f t="array" ref="M1672" xml:space="preserve"> SUM(EF[N2O] * (EF[SATIM Code]= $D1672))  * (SUM( ($A$768:$A$846=$A1672) * ($D$768:$D$846= $D1672) * (M$768:M$846) )  +  SUM( ($A$933:$A$1011=$A1672) * ($D$933:$D$1011= $D1672) * (M$933:M$1011) ) + SUM( ($E$1016:$E$1039=$E$1427)*($A$1016:$A$1039=$A1672) * ($D$1016:$D$1039=$D1672)*(M$1016:M$1039) ) )</f>
        <v>0</v>
      </c>
      <c r="N1672" s="1379">
        <f t="array" ref="N1672" xml:space="preserve"> SUM(EF[N2O] * (EF[SATIM Code]= $D1672))  * (SUM( ($A$768:$A$846=$A1672) * ($D$768:$D$846= $D1672) * (N$768:N$846) )  +  SUM( ($A$933:$A$1011=$A1672) * ($D$933:$D$1011= $D1672) * (N$933:N$1011) ) + SUM( ($E$1016:$E$1039=$E$1427)*($A$1016:$A$1039=$A1672) * ($D$1016:$D$1039=$D1672)*(N$1016:N$1039) ) )</f>
        <v>0</v>
      </c>
      <c r="O1672" s="1379">
        <f t="array" ref="O1672" xml:space="preserve"> SUM(EF[N2O] * (EF[SATIM Code]= $D1672))  * (SUM( ($A$768:$A$846=$A1672) * ($D$768:$D$846= $D1672) * (O$768:O$846) )  +  SUM( ($A$933:$A$1011=$A1672) * ($D$933:$D$1011= $D1672) * (O$933:O$1011) ) + SUM( ($E$1016:$E$1039=$E$1427)*($A$1016:$A$1039=$A1672) * ($D$1016:$D$1039=$D1672)*(O$1016:O$1039) ) )</f>
        <v>0</v>
      </c>
    </row>
    <row r="1673" spans="1:15" s="19" customFormat="1" hidden="1" outlineLevel="1">
      <c r="A1673" s="19" t="str">
        <f t="shared" si="313"/>
        <v>FB</v>
      </c>
      <c r="B1673" s="1400" t="str">
        <f>INDEX(EF[UK Vector],MATCH(D1673,EF[SATIM Code],0))</f>
        <v>V.05</v>
      </c>
      <c r="C1673" s="1401" t="str">
        <f>INDEX(Vectors[Description], MATCH($B1673, Vectors[Code], 0))</f>
        <v>Gaseous hydrocarbons</v>
      </c>
      <c r="D1673" s="1406" t="s">
        <v>869</v>
      </c>
      <c r="E1673" s="1393"/>
      <c r="F1673" s="1379">
        <f t="array" ref="F1673" xml:space="preserve"> SUM(EF[N2O] * (EF[SATIM Code]= $D1673))  * (SUM( ($A$768:$A$846=$A1673) * ($D$768:$D$846= $D1673) * (F$768:F$846) )  +  SUM( ($A$933:$A$1011=$A1673) * ($D$933:$D$1011= $D1673) * (F$933:F$1011) ) + SUM( ($E$1016:$E$1039=$E$1427)*($A$1016:$A$1039=$A1673) * ($D$1016:$D$1039=$D1673)*(F$1016:F$1039) ) )</f>
        <v>3.1647588555443738E-5</v>
      </c>
      <c r="G1673" s="1379">
        <f t="array" ref="G1673" xml:space="preserve"> SUM(EF[N2O] * (EF[SATIM Code]= $D1673))  * (SUM( ($A$768:$A$846=$A1673) * ($D$768:$D$846= $D1673) * (G$768:G$846) )  +  SUM( ($A$933:$A$1011=$A1673) * ($D$933:$D$1011= $D1673) * (G$933:G$1011) ) + SUM( ($E$1016:$E$1039=$E$1427)*($A$1016:$A$1039=$A1673) * ($D$1016:$D$1039=$D1673)*(G$1016:G$1039) ) )</f>
        <v>3.8144718828245957E-5</v>
      </c>
      <c r="H1673" s="1379">
        <f t="array" ref="H1673" xml:space="preserve"> SUM(EF[N2O] * (EF[SATIM Code]= $D1673))  * (SUM( ($A$768:$A$846=$A1673) * ($D$768:$D$846= $D1673) * (H$768:H$846) )  +  SUM( ($A$933:$A$1011=$A1673) * ($D$933:$D$1011= $D1673) * (H$933:H$1011) ) + SUM( ($E$1016:$E$1039=$E$1427)*($A$1016:$A$1039=$A1673) * ($D$1016:$D$1039=$D1673)*(H$1016:H$1039) ) )</f>
        <v>5.0202951679687209E-5</v>
      </c>
      <c r="I1673" s="1379">
        <f t="array" ref="I1673" xml:space="preserve"> SUM(EF[N2O] * (EF[SATIM Code]= $D1673))  * (SUM( ($A$768:$A$846=$A1673) * ($D$768:$D$846= $D1673) * (I$768:I$846) )  +  SUM( ($A$933:$A$1011=$A1673) * ($D$933:$D$1011= $D1673) * (I$933:I$1011) ) + SUM( ($E$1016:$E$1039=$E$1427)*($A$1016:$A$1039=$A1673) * ($D$1016:$D$1039=$D1673)*(I$1016:I$1039) ) )</f>
        <v>6.2261184531128448E-5</v>
      </c>
      <c r="J1673" s="1379">
        <f t="array" ref="J1673" xml:space="preserve"> SUM(EF[N2O] * (EF[SATIM Code]= $D1673))  * (SUM( ($A$768:$A$846=$A1673) * ($D$768:$D$846= $D1673) * (J$768:J$846) )  +  SUM( ($A$933:$A$1011=$A1673) * ($D$933:$D$1011= $D1673) * (J$933:J$1011) ) + SUM( ($E$1016:$E$1039=$E$1427)*($A$1016:$A$1039=$A1673) * ($D$1016:$D$1039=$D1673)*(J$1016:J$1039) ) )</f>
        <v>8.0012017805589758E-5</v>
      </c>
      <c r="K1673" s="1379">
        <f t="array" ref="K1673" xml:space="preserve"> SUM(EF[N2O] * (EF[SATIM Code]= $D1673))  * (SUM( ($A$768:$A$846=$A1673) * ($D$768:$D$846= $D1673) * (K$768:K$846) )  +  SUM( ($A$933:$A$1011=$A1673) * ($D$933:$D$1011= $D1673) * (K$933:K$1011) ) + SUM( ($E$1016:$E$1039=$E$1427)*($A$1016:$A$1039=$A1673) * ($D$1016:$D$1039=$D1673)*(K$1016:K$1039) ) )</f>
        <v>9.7762851080051083E-5</v>
      </c>
      <c r="L1673" s="1379">
        <f t="array" ref="L1673" xml:space="preserve"> SUM(EF[N2O] * (EF[SATIM Code]= $D1673))  * (SUM( ($A$768:$A$846=$A1673) * ($D$768:$D$846= $D1673) * (L$768:L$846) )  +  SUM( ($A$933:$A$1011=$A1673) * ($D$933:$D$1011= $D1673) * (L$933:L$1011) ) + SUM( ($E$1016:$E$1039=$E$1427)*($A$1016:$A$1039=$A1673) * ($D$1016:$D$1039=$D1673)*(L$1016:L$1039) ) )</f>
        <v>1.2386396111040425E-4</v>
      </c>
      <c r="M1673" s="1379">
        <f t="array" ref="M1673" xml:space="preserve"> SUM(EF[N2O] * (EF[SATIM Code]= $D1673))  * (SUM( ($A$768:$A$846=$A1673) * ($D$768:$D$846= $D1673) * (M$768:M$846) )  +  SUM( ($A$933:$A$1011=$A1673) * ($D$933:$D$1011= $D1673) * (M$933:M$1011) ) + SUM( ($E$1016:$E$1039=$E$1427)*($A$1016:$A$1039=$A1673) * ($D$1016:$D$1039=$D1673)*(M$1016:M$1039) ) )</f>
        <v>1.4996507114075746E-4</v>
      </c>
      <c r="N1673" s="1379">
        <f t="array" ref="N1673" xml:space="preserve"> SUM(EF[N2O] * (EF[SATIM Code]= $D1673))  * (SUM( ($A$768:$A$846=$A1673) * ($D$768:$D$846= $D1673) * (N$768:N$846) )  +  SUM( ($A$933:$A$1011=$A1673) * ($D$933:$D$1011= $D1673) * (N$933:N$1011) ) + SUM( ($E$1016:$E$1039=$E$1427)*($A$1016:$A$1039=$A1673) * ($D$1016:$D$1039=$D1673)*(N$1016:N$1039) ) )</f>
        <v>1.8018743268480511E-4</v>
      </c>
      <c r="O1673" s="1379">
        <f t="array" ref="O1673" xml:space="preserve"> SUM(EF[N2O] * (EF[SATIM Code]= $D1673))  * (SUM( ($A$768:$A$846=$A1673) * ($D$768:$D$846= $D1673) * (O$768:O$846) )  +  SUM( ($A$933:$A$1011=$A1673) * ($D$933:$D$1011= $D1673) * (O$933:O$1011) ) + SUM( ($E$1016:$E$1039=$E$1427)*($A$1016:$A$1039=$A1673) * ($D$1016:$D$1039=$D1673)*(O$1016:O$1039) ) )</f>
        <v>2.1040979422885279E-4</v>
      </c>
    </row>
    <row r="1674" spans="1:15" s="19" customFormat="1" hidden="1" outlineLevel="1">
      <c r="A1674" s="19" t="str">
        <f t="shared" si="313"/>
        <v>FB</v>
      </c>
      <c r="B1674" s="1400" t="str">
        <f>INDEX(EF[UK Vector],MATCH(D1674,EF[SATIM Code],0))</f>
        <v>V.04</v>
      </c>
      <c r="C1674" s="1401" t="str">
        <f>INDEX(Vectors[Description], MATCH($B1674, Vectors[Code], 0))</f>
        <v>Liquid hydrocarbons</v>
      </c>
      <c r="D1674" s="1406" t="s">
        <v>885</v>
      </c>
      <c r="E1674" s="1393"/>
      <c r="F1674" s="1379">
        <f t="array" ref="F1674" xml:space="preserve"> SUM(EF[N2O] * (EF[SATIM Code]= $D1674))  * (SUM( ($A$768:$A$846=$A1674) * ($D$768:$D$846= $D1674) * (F$768:F$846) )  +  SUM( ($A$933:$A$1011=$A1674) * ($D$933:$D$1011= $D1674) * (F$933:F$1011) ) + SUM( ($E$1016:$E$1039=$E$1427)*($A$1016:$A$1039=$A1674) * ($D$1016:$D$1039=$D1674)*(F$1016:F$1039) ) )</f>
        <v>0</v>
      </c>
      <c r="G1674" s="1379">
        <f t="array" ref="G1674" xml:space="preserve"> SUM(EF[N2O] * (EF[SATIM Code]= $D1674))  * (SUM( ($A$768:$A$846=$A1674) * ($D$768:$D$846= $D1674) * (G$768:G$846) )  +  SUM( ($A$933:$A$1011=$A1674) * ($D$933:$D$1011= $D1674) * (G$933:G$1011) ) + SUM( ($E$1016:$E$1039=$E$1427)*($A$1016:$A$1039=$A1674) * ($D$1016:$D$1039=$D1674)*(G$1016:G$1039) ) )</f>
        <v>0</v>
      </c>
      <c r="H1674" s="1379">
        <f t="array" ref="H1674" xml:space="preserve"> SUM(EF[N2O] * (EF[SATIM Code]= $D1674))  * (SUM( ($A$768:$A$846=$A1674) * ($D$768:$D$846= $D1674) * (H$768:H$846) )  +  SUM( ($A$933:$A$1011=$A1674) * ($D$933:$D$1011= $D1674) * (H$933:H$1011) ) + SUM( ($E$1016:$E$1039=$E$1427)*($A$1016:$A$1039=$A1674) * ($D$1016:$D$1039=$D1674)*(H$1016:H$1039) ) )</f>
        <v>0</v>
      </c>
      <c r="I1674" s="1379">
        <f t="array" ref="I1674" xml:space="preserve"> SUM(EF[N2O] * (EF[SATIM Code]= $D1674))  * (SUM( ($A$768:$A$846=$A1674) * ($D$768:$D$846= $D1674) * (I$768:I$846) )  +  SUM( ($A$933:$A$1011=$A1674) * ($D$933:$D$1011= $D1674) * (I$933:I$1011) ) + SUM( ($E$1016:$E$1039=$E$1427)*($A$1016:$A$1039=$A1674) * ($D$1016:$D$1039=$D1674)*(I$1016:I$1039) ) )</f>
        <v>0</v>
      </c>
      <c r="J1674" s="1379">
        <f t="array" ref="J1674" xml:space="preserve"> SUM(EF[N2O] * (EF[SATIM Code]= $D1674))  * (SUM( ($A$768:$A$846=$A1674) * ($D$768:$D$846= $D1674) * (J$768:J$846) )  +  SUM( ($A$933:$A$1011=$A1674) * ($D$933:$D$1011= $D1674) * (J$933:J$1011) ) + SUM( ($E$1016:$E$1039=$E$1427)*($A$1016:$A$1039=$A1674) * ($D$1016:$D$1039=$D1674)*(J$1016:J$1039) ) )</f>
        <v>0</v>
      </c>
      <c r="K1674" s="1379">
        <f t="array" ref="K1674" xml:space="preserve"> SUM(EF[N2O] * (EF[SATIM Code]= $D1674))  * (SUM( ($A$768:$A$846=$A1674) * ($D$768:$D$846= $D1674) * (K$768:K$846) )  +  SUM( ($A$933:$A$1011=$A1674) * ($D$933:$D$1011= $D1674) * (K$933:K$1011) ) + SUM( ($E$1016:$E$1039=$E$1427)*($A$1016:$A$1039=$A1674) * ($D$1016:$D$1039=$D1674)*(K$1016:K$1039) ) )</f>
        <v>0</v>
      </c>
      <c r="L1674" s="1379">
        <f t="array" ref="L1674" xml:space="preserve"> SUM(EF[N2O] * (EF[SATIM Code]= $D1674))  * (SUM( ($A$768:$A$846=$A1674) * ($D$768:$D$846= $D1674) * (L$768:L$846) )  +  SUM( ($A$933:$A$1011=$A1674) * ($D$933:$D$1011= $D1674) * (L$933:L$1011) ) + SUM( ($E$1016:$E$1039=$E$1427)*($A$1016:$A$1039=$A1674) * ($D$1016:$D$1039=$D1674)*(L$1016:L$1039) ) )</f>
        <v>0</v>
      </c>
      <c r="M1674" s="1379">
        <f t="array" ref="M1674" xml:space="preserve"> SUM(EF[N2O] * (EF[SATIM Code]= $D1674))  * (SUM( ($A$768:$A$846=$A1674) * ($D$768:$D$846= $D1674) * (M$768:M$846) )  +  SUM( ($A$933:$A$1011=$A1674) * ($D$933:$D$1011= $D1674) * (M$933:M$1011) ) + SUM( ($E$1016:$E$1039=$E$1427)*($A$1016:$A$1039=$A1674) * ($D$1016:$D$1039=$D1674)*(M$1016:M$1039) ) )</f>
        <v>0</v>
      </c>
      <c r="N1674" s="1379">
        <f t="array" ref="N1674" xml:space="preserve"> SUM(EF[N2O] * (EF[SATIM Code]= $D1674))  * (SUM( ($A$768:$A$846=$A1674) * ($D$768:$D$846= $D1674) * (N$768:N$846) )  +  SUM( ($A$933:$A$1011=$A1674) * ($D$933:$D$1011= $D1674) * (N$933:N$1011) ) + SUM( ($E$1016:$E$1039=$E$1427)*($A$1016:$A$1039=$A1674) * ($D$1016:$D$1039=$D1674)*(N$1016:N$1039) ) )</f>
        <v>0</v>
      </c>
      <c r="O1674" s="1379">
        <f t="array" ref="O1674" xml:space="preserve"> SUM(EF[N2O] * (EF[SATIM Code]= $D1674))  * (SUM( ($A$768:$A$846=$A1674) * ($D$768:$D$846= $D1674) * (O$768:O$846) )  +  SUM( ($A$933:$A$1011=$A1674) * ($D$933:$D$1011= $D1674) * (O$933:O$1011) ) + SUM( ($E$1016:$E$1039=$E$1427)*($A$1016:$A$1039=$A1674) * ($D$1016:$D$1039=$D1674)*(O$1016:O$1039) ) )</f>
        <v>0</v>
      </c>
    </row>
    <row r="1675" spans="1:15" s="19" customFormat="1" hidden="1" outlineLevel="1">
      <c r="A1675" s="19" t="str">
        <f t="shared" si="313"/>
        <v>FB</v>
      </c>
      <c r="B1675" s="1400" t="str">
        <f>INDEX(EF[UK Vector],MATCH(D1675,EF[SATIM Code],0))</f>
        <v>V.04</v>
      </c>
      <c r="C1675" s="1401" t="str">
        <f>INDEX(Vectors[Description], MATCH($B1675, Vectors[Code], 0))</f>
        <v>Liquid hydrocarbons</v>
      </c>
      <c r="D1675" s="1391" t="s">
        <v>886</v>
      </c>
      <c r="E1675" s="1393"/>
      <c r="F1675" s="1379">
        <f t="array" ref="F1675" xml:space="preserve"> SUM(EF[N2O] * (EF[SATIM Code]= $D1675))  * (SUM( ($A$768:$A$846=$A1675) * ($D$768:$D$846= $D1675) * (F$768:F$846) )  +  SUM( ($A$933:$A$1011=$A1675) * ($D$933:$D$1011= $D1675) * (F$933:F$1011) ) + SUM( ($E$1016:$E$1039=$E$1427)*($A$1016:$A$1039=$A1675) * ($D$1016:$D$1039=$D1675)*(F$1016:F$1039) ) )</f>
        <v>0</v>
      </c>
      <c r="G1675" s="1379">
        <f t="array" ref="G1675" xml:space="preserve"> SUM(EF[N2O] * (EF[SATIM Code]= $D1675))  * (SUM( ($A$768:$A$846=$A1675) * ($D$768:$D$846= $D1675) * (G$768:G$846) )  +  SUM( ($A$933:$A$1011=$A1675) * ($D$933:$D$1011= $D1675) * (G$933:G$1011) ) + SUM( ($E$1016:$E$1039=$E$1427)*($A$1016:$A$1039=$A1675) * ($D$1016:$D$1039=$D1675)*(G$1016:G$1039) ) )</f>
        <v>0</v>
      </c>
      <c r="H1675" s="1379">
        <f t="array" ref="H1675" xml:space="preserve"> SUM(EF[N2O] * (EF[SATIM Code]= $D1675))  * (SUM( ($A$768:$A$846=$A1675) * ($D$768:$D$846= $D1675) * (H$768:H$846) )  +  SUM( ($A$933:$A$1011=$A1675) * ($D$933:$D$1011= $D1675) * (H$933:H$1011) ) + SUM( ($E$1016:$E$1039=$E$1427)*($A$1016:$A$1039=$A1675) * ($D$1016:$D$1039=$D1675)*(H$1016:H$1039) ) )</f>
        <v>0</v>
      </c>
      <c r="I1675" s="1379">
        <f t="array" ref="I1675" xml:space="preserve"> SUM(EF[N2O] * (EF[SATIM Code]= $D1675))  * (SUM( ($A$768:$A$846=$A1675) * ($D$768:$D$846= $D1675) * (I$768:I$846) )  +  SUM( ($A$933:$A$1011=$A1675) * ($D$933:$D$1011= $D1675) * (I$933:I$1011) ) + SUM( ($E$1016:$E$1039=$E$1427)*($A$1016:$A$1039=$A1675) * ($D$1016:$D$1039=$D1675)*(I$1016:I$1039) ) )</f>
        <v>0</v>
      </c>
      <c r="J1675" s="1379">
        <f t="array" ref="J1675" xml:space="preserve"> SUM(EF[N2O] * (EF[SATIM Code]= $D1675))  * (SUM( ($A$768:$A$846=$A1675) * ($D$768:$D$846= $D1675) * (J$768:J$846) )  +  SUM( ($A$933:$A$1011=$A1675) * ($D$933:$D$1011= $D1675) * (J$933:J$1011) ) + SUM( ($E$1016:$E$1039=$E$1427)*($A$1016:$A$1039=$A1675) * ($D$1016:$D$1039=$D1675)*(J$1016:J$1039) ) )</f>
        <v>0</v>
      </c>
      <c r="K1675" s="1379">
        <f t="array" ref="K1675" xml:space="preserve"> SUM(EF[N2O] * (EF[SATIM Code]= $D1675))  * (SUM( ($A$768:$A$846=$A1675) * ($D$768:$D$846= $D1675) * (K$768:K$846) )  +  SUM( ($A$933:$A$1011=$A1675) * ($D$933:$D$1011= $D1675) * (K$933:K$1011) ) + SUM( ($E$1016:$E$1039=$E$1427)*($A$1016:$A$1039=$A1675) * ($D$1016:$D$1039=$D1675)*(K$1016:K$1039) ) )</f>
        <v>0</v>
      </c>
      <c r="L1675" s="1379">
        <f t="array" ref="L1675" xml:space="preserve"> SUM(EF[N2O] * (EF[SATIM Code]= $D1675))  * (SUM( ($A$768:$A$846=$A1675) * ($D$768:$D$846= $D1675) * (L$768:L$846) )  +  SUM( ($A$933:$A$1011=$A1675) * ($D$933:$D$1011= $D1675) * (L$933:L$1011) ) + SUM( ($E$1016:$E$1039=$E$1427)*($A$1016:$A$1039=$A1675) * ($D$1016:$D$1039=$D1675)*(L$1016:L$1039) ) )</f>
        <v>0</v>
      </c>
      <c r="M1675" s="1379">
        <f t="array" ref="M1675" xml:space="preserve"> SUM(EF[N2O] * (EF[SATIM Code]= $D1675))  * (SUM( ($A$768:$A$846=$A1675) * ($D$768:$D$846= $D1675) * (M$768:M$846) )  +  SUM( ($A$933:$A$1011=$A1675) * ($D$933:$D$1011= $D1675) * (M$933:M$1011) ) + SUM( ($E$1016:$E$1039=$E$1427)*($A$1016:$A$1039=$A1675) * ($D$1016:$D$1039=$D1675)*(M$1016:M$1039) ) )</f>
        <v>0</v>
      </c>
      <c r="N1675" s="1379">
        <f t="array" ref="N1675" xml:space="preserve"> SUM(EF[N2O] * (EF[SATIM Code]= $D1675))  * (SUM( ($A$768:$A$846=$A1675) * ($D$768:$D$846= $D1675) * (N$768:N$846) )  +  SUM( ($A$933:$A$1011=$A1675) * ($D$933:$D$1011= $D1675) * (N$933:N$1011) ) + SUM( ($E$1016:$E$1039=$E$1427)*($A$1016:$A$1039=$A1675) * ($D$1016:$D$1039=$D1675)*(N$1016:N$1039) ) )</f>
        <v>0</v>
      </c>
      <c r="O1675" s="1379">
        <f t="array" ref="O1675" xml:space="preserve"> SUM(EF[N2O] * (EF[SATIM Code]= $D1675))  * (SUM( ($A$768:$A$846=$A1675) * ($D$768:$D$846= $D1675) * (O$768:O$846) )  +  SUM( ($A$933:$A$1011=$A1675) * ($D$933:$D$1011= $D1675) * (O$933:O$1011) ) + SUM( ($E$1016:$E$1039=$E$1427)*($A$1016:$A$1039=$A1675) * ($D$1016:$D$1039=$D1675)*(O$1016:O$1039) ) )</f>
        <v>0</v>
      </c>
    </row>
    <row r="1676" spans="1:15" s="19" customFormat="1" hidden="1" outlineLevel="1">
      <c r="A1676" s="19" t="str">
        <f t="shared" si="313"/>
        <v>FB</v>
      </c>
      <c r="B1676" s="1400" t="str">
        <f>INDEX(EF[UK Vector],MATCH(D1676,EF[SATIM Code],0))</f>
        <v>V.04</v>
      </c>
      <c r="C1676" s="1401" t="str">
        <f>INDEX(Vectors[Description], MATCH($B1676, Vectors[Code], 0))</f>
        <v>Liquid hydrocarbons</v>
      </c>
      <c r="D1676" s="1406" t="s">
        <v>887</v>
      </c>
      <c r="E1676" s="1393"/>
      <c r="F1676" s="1379">
        <f t="array" ref="F1676" xml:space="preserve"> SUM(EF[N2O] * (EF[SATIM Code]= $D1676))  * (SUM( ($A$768:$A$846=$A1676) * ($D$768:$D$846= $D1676) * (F$768:F$846) )  +  SUM( ($A$933:$A$1011=$A1676) * ($D$933:$D$1011= $D1676) * (F$933:F$1011) ) + SUM( ($E$1016:$E$1039=$E$1427)*($A$1016:$A$1039=$A1676) * ($D$1016:$D$1039=$D1676)*(F$1016:F$1039) ) )</f>
        <v>0</v>
      </c>
      <c r="G1676" s="1379">
        <f t="array" ref="G1676" xml:space="preserve"> SUM(EF[N2O] * (EF[SATIM Code]= $D1676))  * (SUM( ($A$768:$A$846=$A1676) * ($D$768:$D$846= $D1676) * (G$768:G$846) )  +  SUM( ($A$933:$A$1011=$A1676) * ($D$933:$D$1011= $D1676) * (G$933:G$1011) ) + SUM( ($E$1016:$E$1039=$E$1427)*($A$1016:$A$1039=$A1676) * ($D$1016:$D$1039=$D1676)*(G$1016:G$1039) ) )</f>
        <v>0</v>
      </c>
      <c r="H1676" s="1379">
        <f t="array" ref="H1676" xml:space="preserve"> SUM(EF[N2O] * (EF[SATIM Code]= $D1676))  * (SUM( ($A$768:$A$846=$A1676) * ($D$768:$D$846= $D1676) * (H$768:H$846) )  +  SUM( ($A$933:$A$1011=$A1676) * ($D$933:$D$1011= $D1676) * (H$933:H$1011) ) + SUM( ($E$1016:$E$1039=$E$1427)*($A$1016:$A$1039=$A1676) * ($D$1016:$D$1039=$D1676)*(H$1016:H$1039) ) )</f>
        <v>0</v>
      </c>
      <c r="I1676" s="1379">
        <f t="array" ref="I1676" xml:space="preserve"> SUM(EF[N2O] * (EF[SATIM Code]= $D1676))  * (SUM( ($A$768:$A$846=$A1676) * ($D$768:$D$846= $D1676) * (I$768:I$846) )  +  SUM( ($A$933:$A$1011=$A1676) * ($D$933:$D$1011= $D1676) * (I$933:I$1011) ) + SUM( ($E$1016:$E$1039=$E$1427)*($A$1016:$A$1039=$A1676) * ($D$1016:$D$1039=$D1676)*(I$1016:I$1039) ) )</f>
        <v>0</v>
      </c>
      <c r="J1676" s="1379">
        <f t="array" ref="J1676" xml:space="preserve"> SUM(EF[N2O] * (EF[SATIM Code]= $D1676))  * (SUM( ($A$768:$A$846=$A1676) * ($D$768:$D$846= $D1676) * (J$768:J$846) )  +  SUM( ($A$933:$A$1011=$A1676) * ($D$933:$D$1011= $D1676) * (J$933:J$1011) ) + SUM( ($E$1016:$E$1039=$E$1427)*($A$1016:$A$1039=$A1676) * ($D$1016:$D$1039=$D1676)*(J$1016:J$1039) ) )</f>
        <v>0</v>
      </c>
      <c r="K1676" s="1379">
        <f t="array" ref="K1676" xml:space="preserve"> SUM(EF[N2O] * (EF[SATIM Code]= $D1676))  * (SUM( ($A$768:$A$846=$A1676) * ($D$768:$D$846= $D1676) * (K$768:K$846) )  +  SUM( ($A$933:$A$1011=$A1676) * ($D$933:$D$1011= $D1676) * (K$933:K$1011) ) + SUM( ($E$1016:$E$1039=$E$1427)*($A$1016:$A$1039=$A1676) * ($D$1016:$D$1039=$D1676)*(K$1016:K$1039) ) )</f>
        <v>0</v>
      </c>
      <c r="L1676" s="1379">
        <f t="array" ref="L1676" xml:space="preserve"> SUM(EF[N2O] * (EF[SATIM Code]= $D1676))  * (SUM( ($A$768:$A$846=$A1676) * ($D$768:$D$846= $D1676) * (L$768:L$846) )  +  SUM( ($A$933:$A$1011=$A1676) * ($D$933:$D$1011= $D1676) * (L$933:L$1011) ) + SUM( ($E$1016:$E$1039=$E$1427)*($A$1016:$A$1039=$A1676) * ($D$1016:$D$1039=$D1676)*(L$1016:L$1039) ) )</f>
        <v>0</v>
      </c>
      <c r="M1676" s="1379">
        <f t="array" ref="M1676" xml:space="preserve"> SUM(EF[N2O] * (EF[SATIM Code]= $D1676))  * (SUM( ($A$768:$A$846=$A1676) * ($D$768:$D$846= $D1676) * (M$768:M$846) )  +  SUM( ($A$933:$A$1011=$A1676) * ($D$933:$D$1011= $D1676) * (M$933:M$1011) ) + SUM( ($E$1016:$E$1039=$E$1427)*($A$1016:$A$1039=$A1676) * ($D$1016:$D$1039=$D1676)*(M$1016:M$1039) ) )</f>
        <v>0</v>
      </c>
      <c r="N1676" s="1379">
        <f t="array" ref="N1676" xml:space="preserve"> SUM(EF[N2O] * (EF[SATIM Code]= $D1676))  * (SUM( ($A$768:$A$846=$A1676) * ($D$768:$D$846= $D1676) * (N$768:N$846) )  +  SUM( ($A$933:$A$1011=$A1676) * ($D$933:$D$1011= $D1676) * (N$933:N$1011) ) + SUM( ($E$1016:$E$1039=$E$1427)*($A$1016:$A$1039=$A1676) * ($D$1016:$D$1039=$D1676)*(N$1016:N$1039) ) )</f>
        <v>0</v>
      </c>
      <c r="O1676" s="1379">
        <f t="array" ref="O1676" xml:space="preserve"> SUM(EF[N2O] * (EF[SATIM Code]= $D1676))  * (SUM( ($A$768:$A$846=$A1676) * ($D$768:$D$846= $D1676) * (O$768:O$846) )  +  SUM( ($A$933:$A$1011=$A1676) * ($D$933:$D$1011= $D1676) * (O$933:O$1011) ) + SUM( ($E$1016:$E$1039=$E$1427)*($A$1016:$A$1039=$A1676) * ($D$1016:$D$1039=$D1676)*(O$1016:O$1039) ) )</f>
        <v>0</v>
      </c>
    </row>
    <row r="1677" spans="1:15" s="19" customFormat="1" hidden="1" outlineLevel="1">
      <c r="A1677" s="19" t="str">
        <f t="shared" si="313"/>
        <v>FB</v>
      </c>
      <c r="B1677" s="1400" t="str">
        <f>INDEX(EF[UK Vector],MATCH(D1677,EF[SATIM Code],0))</f>
        <v>V.09</v>
      </c>
      <c r="C1677" s="1401" t="str">
        <f>INDEX(Vectors[Description], MATCH($B1677, Vectors[Code], 0))</f>
        <v>Dry biomass and waste</v>
      </c>
      <c r="D1677" s="1406" t="s">
        <v>888</v>
      </c>
      <c r="E1677" s="1393"/>
      <c r="F1677" s="1379">
        <f t="array" ref="F1677" xml:space="preserve"> SUM(EF[N2O] * (EF[SATIM Code]= $D1677))  * (SUM( ($A$768:$A$846=$A1677) * ($D$768:$D$846= $D1677) * (F$768:F$846) )  +  SUM( ($A$933:$A$1011=$A1677) * ($D$933:$D$1011= $D1677) * (F$933:F$1011) ) + SUM( ($E$1016:$E$1039=$E$1427)*($A$1016:$A$1039=$A1677) * ($D$1016:$D$1039=$D1677)*(F$1016:F$1039) ) )</f>
        <v>0</v>
      </c>
      <c r="G1677" s="1379">
        <f t="array" ref="G1677" xml:space="preserve"> SUM(EF[N2O] * (EF[SATIM Code]= $D1677))  * (SUM( ($A$768:$A$846=$A1677) * ($D$768:$D$846= $D1677) * (G$768:G$846) )  +  SUM( ($A$933:$A$1011=$A1677) * ($D$933:$D$1011= $D1677) * (G$933:G$1011) ) + SUM( ($E$1016:$E$1039=$E$1427)*($A$1016:$A$1039=$A1677) * ($D$1016:$D$1039=$D1677)*(G$1016:G$1039) ) )</f>
        <v>0</v>
      </c>
      <c r="H1677" s="1379">
        <f t="array" ref="H1677" xml:space="preserve"> SUM(EF[N2O] * (EF[SATIM Code]= $D1677))  * (SUM( ($A$768:$A$846=$A1677) * ($D$768:$D$846= $D1677) * (H$768:H$846) )  +  SUM( ($A$933:$A$1011=$A1677) * ($D$933:$D$1011= $D1677) * (H$933:H$1011) ) + SUM( ($E$1016:$E$1039=$E$1427)*($A$1016:$A$1039=$A1677) * ($D$1016:$D$1039=$D1677)*(H$1016:H$1039) ) )</f>
        <v>0</v>
      </c>
      <c r="I1677" s="1379">
        <f t="array" ref="I1677" xml:space="preserve"> SUM(EF[N2O] * (EF[SATIM Code]= $D1677))  * (SUM( ($A$768:$A$846=$A1677) * ($D$768:$D$846= $D1677) * (I$768:I$846) )  +  SUM( ($A$933:$A$1011=$A1677) * ($D$933:$D$1011= $D1677) * (I$933:I$1011) ) + SUM( ($E$1016:$E$1039=$E$1427)*($A$1016:$A$1039=$A1677) * ($D$1016:$D$1039=$D1677)*(I$1016:I$1039) ) )</f>
        <v>0</v>
      </c>
      <c r="J1677" s="1379">
        <f t="array" ref="J1677" xml:space="preserve"> SUM(EF[N2O] * (EF[SATIM Code]= $D1677))  * (SUM( ($A$768:$A$846=$A1677) * ($D$768:$D$846= $D1677) * (J$768:J$846) )  +  SUM( ($A$933:$A$1011=$A1677) * ($D$933:$D$1011= $D1677) * (J$933:J$1011) ) + SUM( ($E$1016:$E$1039=$E$1427)*($A$1016:$A$1039=$A1677) * ($D$1016:$D$1039=$D1677)*(J$1016:J$1039) ) )</f>
        <v>0</v>
      </c>
      <c r="K1677" s="1379">
        <f t="array" ref="K1677" xml:space="preserve"> SUM(EF[N2O] * (EF[SATIM Code]= $D1677))  * (SUM( ($A$768:$A$846=$A1677) * ($D$768:$D$846= $D1677) * (K$768:K$846) )  +  SUM( ($A$933:$A$1011=$A1677) * ($D$933:$D$1011= $D1677) * (K$933:K$1011) ) + SUM( ($E$1016:$E$1039=$E$1427)*($A$1016:$A$1039=$A1677) * ($D$1016:$D$1039=$D1677)*(K$1016:K$1039) ) )</f>
        <v>0</v>
      </c>
      <c r="L1677" s="1379">
        <f t="array" ref="L1677" xml:space="preserve"> SUM(EF[N2O] * (EF[SATIM Code]= $D1677))  * (SUM( ($A$768:$A$846=$A1677) * ($D$768:$D$846= $D1677) * (L$768:L$846) )  +  SUM( ($A$933:$A$1011=$A1677) * ($D$933:$D$1011= $D1677) * (L$933:L$1011) ) + SUM( ($E$1016:$E$1039=$E$1427)*($A$1016:$A$1039=$A1677) * ($D$1016:$D$1039=$D1677)*(L$1016:L$1039) ) )</f>
        <v>0</v>
      </c>
      <c r="M1677" s="1379">
        <f t="array" ref="M1677" xml:space="preserve"> SUM(EF[N2O] * (EF[SATIM Code]= $D1677))  * (SUM( ($A$768:$A$846=$A1677) * ($D$768:$D$846= $D1677) * (M$768:M$846) )  +  SUM( ($A$933:$A$1011=$A1677) * ($D$933:$D$1011= $D1677) * (M$933:M$1011) ) + SUM( ($E$1016:$E$1039=$E$1427)*($A$1016:$A$1039=$A1677) * ($D$1016:$D$1039=$D1677)*(M$1016:M$1039) ) )</f>
        <v>0</v>
      </c>
      <c r="N1677" s="1379">
        <f t="array" ref="N1677" xml:space="preserve"> SUM(EF[N2O] * (EF[SATIM Code]= $D1677))  * (SUM( ($A$768:$A$846=$A1677) * ($D$768:$D$846= $D1677) * (N$768:N$846) )  +  SUM( ($A$933:$A$1011=$A1677) * ($D$933:$D$1011= $D1677) * (N$933:N$1011) ) + SUM( ($E$1016:$E$1039=$E$1427)*($A$1016:$A$1039=$A1677) * ($D$1016:$D$1039=$D1677)*(N$1016:N$1039) ) )</f>
        <v>0</v>
      </c>
      <c r="O1677" s="1379">
        <f t="array" ref="O1677" xml:space="preserve"> SUM(EF[N2O] * (EF[SATIM Code]= $D1677))  * (SUM( ($A$768:$A$846=$A1677) * ($D$768:$D$846= $D1677) * (O$768:O$846) )  +  SUM( ($A$933:$A$1011=$A1677) * ($D$933:$D$1011= $D1677) * (O$933:O$1011) ) + SUM( ($E$1016:$E$1039=$E$1427)*($A$1016:$A$1039=$A1677) * ($D$1016:$D$1039=$D1677)*(O$1016:O$1039) ) )</f>
        <v>0</v>
      </c>
    </row>
    <row r="1678" spans="1:15" s="19" customFormat="1" hidden="1" outlineLevel="1">
      <c r="A1678" s="19" t="str">
        <f t="shared" si="313"/>
        <v>FB</v>
      </c>
      <c r="B1678" s="1400" t="str">
        <f>INDEX(EF[UK Vector],MATCH(D1678,EF[SATIM Code],0))</f>
        <v>V.09</v>
      </c>
      <c r="C1678" s="1401" t="str">
        <f>INDEX(Vectors[Description], MATCH($B1678, Vectors[Code], 0))</f>
        <v>Dry biomass and waste</v>
      </c>
      <c r="D1678" s="1388" t="s">
        <v>889</v>
      </c>
      <c r="E1678" s="1393"/>
      <c r="F1678" s="1379">
        <f t="array" ref="F1678" xml:space="preserve"> SUM(EF[N2O] * (EF[SATIM Code]= $D1678))  * (SUM( ($A$768:$A$846=$A1678) * ($D$768:$D$846= $D1678) * (F$768:F$846) )  +  SUM( ($A$933:$A$1011=$A1678) * ($D$933:$D$1011= $D1678) * (F$933:F$1011) ) + SUM( ($E$1016:$E$1039=$E$1427)*($A$1016:$A$1039=$A1678) * ($D$1016:$D$1039=$D1678)*(F$1016:F$1039) ) )</f>
        <v>0</v>
      </c>
      <c r="G1678" s="1379">
        <f t="array" ref="G1678" xml:space="preserve"> SUM(EF[N2O] * (EF[SATIM Code]= $D1678))  * (SUM( ($A$768:$A$846=$A1678) * ($D$768:$D$846= $D1678) * (G$768:G$846) )  +  SUM( ($A$933:$A$1011=$A1678) * ($D$933:$D$1011= $D1678) * (G$933:G$1011) ) + SUM( ($E$1016:$E$1039=$E$1427)*($A$1016:$A$1039=$A1678) * ($D$1016:$D$1039=$D1678)*(G$1016:G$1039) ) )</f>
        <v>0</v>
      </c>
      <c r="H1678" s="1379">
        <f t="array" ref="H1678" xml:space="preserve"> SUM(EF[N2O] * (EF[SATIM Code]= $D1678))  * (SUM( ($A$768:$A$846=$A1678) * ($D$768:$D$846= $D1678) * (H$768:H$846) )  +  SUM( ($A$933:$A$1011=$A1678) * ($D$933:$D$1011= $D1678) * (H$933:H$1011) ) + SUM( ($E$1016:$E$1039=$E$1427)*($A$1016:$A$1039=$A1678) * ($D$1016:$D$1039=$D1678)*(H$1016:H$1039) ) )</f>
        <v>0</v>
      </c>
      <c r="I1678" s="1379">
        <f t="array" ref="I1678" xml:space="preserve"> SUM(EF[N2O] * (EF[SATIM Code]= $D1678))  * (SUM( ($A$768:$A$846=$A1678) * ($D$768:$D$846= $D1678) * (I$768:I$846) )  +  SUM( ($A$933:$A$1011=$A1678) * ($D$933:$D$1011= $D1678) * (I$933:I$1011) ) + SUM( ($E$1016:$E$1039=$E$1427)*($A$1016:$A$1039=$A1678) * ($D$1016:$D$1039=$D1678)*(I$1016:I$1039) ) )</f>
        <v>0</v>
      </c>
      <c r="J1678" s="1379">
        <f t="array" ref="J1678" xml:space="preserve"> SUM(EF[N2O] * (EF[SATIM Code]= $D1678))  * (SUM( ($A$768:$A$846=$A1678) * ($D$768:$D$846= $D1678) * (J$768:J$846) )  +  SUM( ($A$933:$A$1011=$A1678) * ($D$933:$D$1011= $D1678) * (J$933:J$1011) ) + SUM( ($E$1016:$E$1039=$E$1427)*($A$1016:$A$1039=$A1678) * ($D$1016:$D$1039=$D1678)*(J$1016:J$1039) ) )</f>
        <v>0</v>
      </c>
      <c r="K1678" s="1379">
        <f t="array" ref="K1678" xml:space="preserve"> SUM(EF[N2O] * (EF[SATIM Code]= $D1678))  * (SUM( ($A$768:$A$846=$A1678) * ($D$768:$D$846= $D1678) * (K$768:K$846) )  +  SUM( ($A$933:$A$1011=$A1678) * ($D$933:$D$1011= $D1678) * (K$933:K$1011) ) + SUM( ($E$1016:$E$1039=$E$1427)*($A$1016:$A$1039=$A1678) * ($D$1016:$D$1039=$D1678)*(K$1016:K$1039) ) )</f>
        <v>0</v>
      </c>
      <c r="L1678" s="1379">
        <f t="array" ref="L1678" xml:space="preserve"> SUM(EF[N2O] * (EF[SATIM Code]= $D1678))  * (SUM( ($A$768:$A$846=$A1678) * ($D$768:$D$846= $D1678) * (L$768:L$846) )  +  SUM( ($A$933:$A$1011=$A1678) * ($D$933:$D$1011= $D1678) * (L$933:L$1011) ) + SUM( ($E$1016:$E$1039=$E$1427)*($A$1016:$A$1039=$A1678) * ($D$1016:$D$1039=$D1678)*(L$1016:L$1039) ) )</f>
        <v>0</v>
      </c>
      <c r="M1678" s="1379">
        <f t="array" ref="M1678" xml:space="preserve"> SUM(EF[N2O] * (EF[SATIM Code]= $D1678))  * (SUM( ($A$768:$A$846=$A1678) * ($D$768:$D$846= $D1678) * (M$768:M$846) )  +  SUM( ($A$933:$A$1011=$A1678) * ($D$933:$D$1011= $D1678) * (M$933:M$1011) ) + SUM( ($E$1016:$E$1039=$E$1427)*($A$1016:$A$1039=$A1678) * ($D$1016:$D$1039=$D1678)*(M$1016:M$1039) ) )</f>
        <v>0</v>
      </c>
      <c r="N1678" s="1379">
        <f t="array" ref="N1678" xml:space="preserve"> SUM(EF[N2O] * (EF[SATIM Code]= $D1678))  * (SUM( ($A$768:$A$846=$A1678) * ($D$768:$D$846= $D1678) * (N$768:N$846) )  +  SUM( ($A$933:$A$1011=$A1678) * ($D$933:$D$1011= $D1678) * (N$933:N$1011) ) + SUM( ($E$1016:$E$1039=$E$1427)*($A$1016:$A$1039=$A1678) * ($D$1016:$D$1039=$D1678)*(N$1016:N$1039) ) )</f>
        <v>0</v>
      </c>
      <c r="O1678" s="1379">
        <f t="array" ref="O1678" xml:space="preserve"> SUM(EF[N2O] * (EF[SATIM Code]= $D1678))  * (SUM( ($A$768:$A$846=$A1678) * ($D$768:$D$846= $D1678) * (O$768:O$846) )  +  SUM( ($A$933:$A$1011=$A1678) * ($D$933:$D$1011= $D1678) * (O$933:O$1011) ) + SUM( ($E$1016:$E$1039=$E$1427)*($A$1016:$A$1039=$A1678) * ($D$1016:$D$1039=$D1678)*(O$1016:O$1039) ) )</f>
        <v>0</v>
      </c>
    </row>
    <row r="1679" spans="1:15" s="19" customFormat="1" hidden="1" outlineLevel="1">
      <c r="A1679" s="19" t="str">
        <f t="shared" si="313"/>
        <v>FB</v>
      </c>
      <c r="B1679" s="1400" t="str">
        <f>INDEX(EF[UK Vector],MATCH(D1679,EF[SATIM Code],0))</f>
        <v>V.16</v>
      </c>
      <c r="C1679" s="1401" t="str">
        <f>INDEX(Vectors[Description], MATCH($B1679, Vectors[Code], 0))</f>
        <v>Other Waste</v>
      </c>
      <c r="D1679" s="1408" t="s">
        <v>890</v>
      </c>
      <c r="E1679" s="1393"/>
      <c r="F1679" s="1379">
        <f t="array" ref="F1679" xml:space="preserve"> SUM(EF[N2O] * (EF[SATIM Code]= $D1679))  * (SUM( ($A$768:$A$846=$A1679) * ($D$768:$D$846= $D1679) * (F$768:F$846) )  +  SUM( ($A$933:$A$1011=$A1679) * ($D$933:$D$1011= $D1679) * (F$933:F$1011) ) + SUM( ($E$1016:$E$1039=$E$1427)*($A$1016:$A$1039=$A1679) * ($D$1016:$D$1039=$D1679)*(F$1016:F$1039) ) )</f>
        <v>0</v>
      </c>
      <c r="G1679" s="1379">
        <f t="array" ref="G1679" xml:space="preserve"> SUM(EF[N2O] * (EF[SATIM Code]= $D1679))  * (SUM( ($A$768:$A$846=$A1679) * ($D$768:$D$846= $D1679) * (G$768:G$846) )  +  SUM( ($A$933:$A$1011=$A1679) * ($D$933:$D$1011= $D1679) * (G$933:G$1011) ) + SUM( ($E$1016:$E$1039=$E$1427)*($A$1016:$A$1039=$A1679) * ($D$1016:$D$1039=$D1679)*(G$1016:G$1039) ) )</f>
        <v>0</v>
      </c>
      <c r="H1679" s="1379">
        <f t="array" ref="H1679" xml:space="preserve"> SUM(EF[N2O] * (EF[SATIM Code]= $D1679))  * (SUM( ($A$768:$A$846=$A1679) * ($D$768:$D$846= $D1679) * (H$768:H$846) )  +  SUM( ($A$933:$A$1011=$A1679) * ($D$933:$D$1011= $D1679) * (H$933:H$1011) ) + SUM( ($E$1016:$E$1039=$E$1427)*($A$1016:$A$1039=$A1679) * ($D$1016:$D$1039=$D1679)*(H$1016:H$1039) ) )</f>
        <v>0</v>
      </c>
      <c r="I1679" s="1379">
        <f t="array" ref="I1679" xml:space="preserve"> SUM(EF[N2O] * (EF[SATIM Code]= $D1679))  * (SUM( ($A$768:$A$846=$A1679) * ($D$768:$D$846= $D1679) * (I$768:I$846) )  +  SUM( ($A$933:$A$1011=$A1679) * ($D$933:$D$1011= $D1679) * (I$933:I$1011) ) + SUM( ($E$1016:$E$1039=$E$1427)*($A$1016:$A$1039=$A1679) * ($D$1016:$D$1039=$D1679)*(I$1016:I$1039) ) )</f>
        <v>0</v>
      </c>
      <c r="J1679" s="1379">
        <f t="array" ref="J1679" xml:space="preserve"> SUM(EF[N2O] * (EF[SATIM Code]= $D1679))  * (SUM( ($A$768:$A$846=$A1679) * ($D$768:$D$846= $D1679) * (J$768:J$846) )  +  SUM( ($A$933:$A$1011=$A1679) * ($D$933:$D$1011= $D1679) * (J$933:J$1011) ) + SUM( ($E$1016:$E$1039=$E$1427)*($A$1016:$A$1039=$A1679) * ($D$1016:$D$1039=$D1679)*(J$1016:J$1039) ) )</f>
        <v>0</v>
      </c>
      <c r="K1679" s="1379">
        <f t="array" ref="K1679" xml:space="preserve"> SUM(EF[N2O] * (EF[SATIM Code]= $D1679))  * (SUM( ($A$768:$A$846=$A1679) * ($D$768:$D$846= $D1679) * (K$768:K$846) )  +  SUM( ($A$933:$A$1011=$A1679) * ($D$933:$D$1011= $D1679) * (K$933:K$1011) ) + SUM( ($E$1016:$E$1039=$E$1427)*($A$1016:$A$1039=$A1679) * ($D$1016:$D$1039=$D1679)*(K$1016:K$1039) ) )</f>
        <v>0</v>
      </c>
      <c r="L1679" s="1379">
        <f t="array" ref="L1679" xml:space="preserve"> SUM(EF[N2O] * (EF[SATIM Code]= $D1679))  * (SUM( ($A$768:$A$846=$A1679) * ($D$768:$D$846= $D1679) * (L$768:L$846) )  +  SUM( ($A$933:$A$1011=$A1679) * ($D$933:$D$1011= $D1679) * (L$933:L$1011) ) + SUM( ($E$1016:$E$1039=$E$1427)*($A$1016:$A$1039=$A1679) * ($D$1016:$D$1039=$D1679)*(L$1016:L$1039) ) )</f>
        <v>0</v>
      </c>
      <c r="M1679" s="1379">
        <f t="array" ref="M1679" xml:space="preserve"> SUM(EF[N2O] * (EF[SATIM Code]= $D1679))  * (SUM( ($A$768:$A$846=$A1679) * ($D$768:$D$846= $D1679) * (M$768:M$846) )  +  SUM( ($A$933:$A$1011=$A1679) * ($D$933:$D$1011= $D1679) * (M$933:M$1011) ) + SUM( ($E$1016:$E$1039=$E$1427)*($A$1016:$A$1039=$A1679) * ($D$1016:$D$1039=$D1679)*(M$1016:M$1039) ) )</f>
        <v>0</v>
      </c>
      <c r="N1679" s="1379">
        <f t="array" ref="N1679" xml:space="preserve"> SUM(EF[N2O] * (EF[SATIM Code]= $D1679))  * (SUM( ($A$768:$A$846=$A1679) * ($D$768:$D$846= $D1679) * (N$768:N$846) )  +  SUM( ($A$933:$A$1011=$A1679) * ($D$933:$D$1011= $D1679) * (N$933:N$1011) ) + SUM( ($E$1016:$E$1039=$E$1427)*($A$1016:$A$1039=$A1679) * ($D$1016:$D$1039=$D1679)*(N$1016:N$1039) ) )</f>
        <v>0</v>
      </c>
      <c r="O1679" s="1379">
        <f t="array" ref="O1679" xml:space="preserve"> SUM(EF[N2O] * (EF[SATIM Code]= $D1679))  * (SUM( ($A$768:$A$846=$A1679) * ($D$768:$D$846= $D1679) * (O$768:O$846) )  +  SUM( ($A$933:$A$1011=$A1679) * ($D$933:$D$1011= $D1679) * (O$933:O$1011) ) + SUM( ($E$1016:$E$1039=$E$1427)*($A$1016:$A$1039=$A1679) * ($D$1016:$D$1039=$D1679)*(O$1016:O$1039) ) )</f>
        <v>0</v>
      </c>
    </row>
    <row r="1680" spans="1:15" s="19" customFormat="1" hidden="1" outlineLevel="1">
      <c r="B1680" s="1393"/>
      <c r="C1680" s="1407" t="str">
        <f>D26</f>
        <v>Pulp &amp; Paper Products  -323</v>
      </c>
      <c r="D1680" s="1391"/>
      <c r="E1680" s="1393"/>
      <c r="F1680" s="1379">
        <f t="array" ref="F1680" xml:space="preserve"> SUM(EF[N2O] * (EF[SATIM Code]= $D1680))  * (SUM( ($A$768:$A$846=$A1680) * ($D$768:$D$846= $D1680) * (F$768:F$846) )  +  SUM( ($A$933:$A$1011=$A1680) * ($D$933:$D$1011= $D1680) * (F$933:F$1011) ) + SUM( ($E$1016:$E$1039=$E$1427)*($A$1016:$A$1039=$A1680) * ($D$1016:$D$1039=$D1680)*(F$1016:F$1039) ) )</f>
        <v>0</v>
      </c>
      <c r="G1680" s="1379">
        <f t="array" ref="G1680" xml:space="preserve"> SUM(EF[N2O] * (EF[SATIM Code]= $D1680))  * (SUM( ($A$768:$A$846=$A1680) * ($D$768:$D$846= $D1680) * (G$768:G$846) )  +  SUM( ($A$933:$A$1011=$A1680) * ($D$933:$D$1011= $D1680) * (G$933:G$1011) ) + SUM( ($E$1016:$E$1039=$E$1427)*($A$1016:$A$1039=$A1680) * ($D$1016:$D$1039=$D1680)*(G$1016:G$1039) ) )</f>
        <v>0</v>
      </c>
      <c r="H1680" s="1379">
        <f t="array" ref="H1680" xml:space="preserve"> SUM(EF[N2O] * (EF[SATIM Code]= $D1680))  * (SUM( ($A$768:$A$846=$A1680) * ($D$768:$D$846= $D1680) * (H$768:H$846) )  +  SUM( ($A$933:$A$1011=$A1680) * ($D$933:$D$1011= $D1680) * (H$933:H$1011) ) + SUM( ($E$1016:$E$1039=$E$1427)*($A$1016:$A$1039=$A1680) * ($D$1016:$D$1039=$D1680)*(H$1016:H$1039) ) )</f>
        <v>0</v>
      </c>
      <c r="I1680" s="1379">
        <f t="array" ref="I1680" xml:space="preserve"> SUM(EF[N2O] * (EF[SATIM Code]= $D1680))  * (SUM( ($A$768:$A$846=$A1680) * ($D$768:$D$846= $D1680) * (I$768:I$846) )  +  SUM( ($A$933:$A$1011=$A1680) * ($D$933:$D$1011= $D1680) * (I$933:I$1011) ) + SUM( ($E$1016:$E$1039=$E$1427)*($A$1016:$A$1039=$A1680) * ($D$1016:$D$1039=$D1680)*(I$1016:I$1039) ) )</f>
        <v>0</v>
      </c>
      <c r="J1680" s="1379">
        <f t="array" ref="J1680" xml:space="preserve"> SUM(EF[N2O] * (EF[SATIM Code]= $D1680))  * (SUM( ($A$768:$A$846=$A1680) * ($D$768:$D$846= $D1680) * (J$768:J$846) )  +  SUM( ($A$933:$A$1011=$A1680) * ($D$933:$D$1011= $D1680) * (J$933:J$1011) ) + SUM( ($E$1016:$E$1039=$E$1427)*($A$1016:$A$1039=$A1680) * ($D$1016:$D$1039=$D1680)*(J$1016:J$1039) ) )</f>
        <v>0</v>
      </c>
      <c r="K1680" s="1379">
        <f t="array" ref="K1680" xml:space="preserve"> SUM(EF[N2O] * (EF[SATIM Code]= $D1680))  * (SUM( ($A$768:$A$846=$A1680) * ($D$768:$D$846= $D1680) * (K$768:K$846) )  +  SUM( ($A$933:$A$1011=$A1680) * ($D$933:$D$1011= $D1680) * (K$933:K$1011) ) + SUM( ($E$1016:$E$1039=$E$1427)*($A$1016:$A$1039=$A1680) * ($D$1016:$D$1039=$D1680)*(K$1016:K$1039) ) )</f>
        <v>0</v>
      </c>
      <c r="L1680" s="1379">
        <f t="array" ref="L1680" xml:space="preserve"> SUM(EF[N2O] * (EF[SATIM Code]= $D1680))  * (SUM( ($A$768:$A$846=$A1680) * ($D$768:$D$846= $D1680) * (L$768:L$846) )  +  SUM( ($A$933:$A$1011=$A1680) * ($D$933:$D$1011= $D1680) * (L$933:L$1011) ) + SUM( ($E$1016:$E$1039=$E$1427)*($A$1016:$A$1039=$A1680) * ($D$1016:$D$1039=$D1680)*(L$1016:L$1039) ) )</f>
        <v>0</v>
      </c>
      <c r="M1680" s="1379">
        <f t="array" ref="M1680" xml:space="preserve"> SUM(EF[N2O] * (EF[SATIM Code]= $D1680))  * (SUM( ($A$768:$A$846=$A1680) * ($D$768:$D$846= $D1680) * (M$768:M$846) )  +  SUM( ($A$933:$A$1011=$A1680) * ($D$933:$D$1011= $D1680) * (M$933:M$1011) ) + SUM( ($E$1016:$E$1039=$E$1427)*($A$1016:$A$1039=$A1680) * ($D$1016:$D$1039=$D1680)*(M$1016:M$1039) ) )</f>
        <v>0</v>
      </c>
      <c r="N1680" s="1379">
        <f t="array" ref="N1680" xml:space="preserve"> SUM(EF[N2O] * (EF[SATIM Code]= $D1680))  * (SUM( ($A$768:$A$846=$A1680) * ($D$768:$D$846= $D1680) * (N$768:N$846) )  +  SUM( ($A$933:$A$1011=$A1680) * ($D$933:$D$1011= $D1680) * (N$933:N$1011) ) + SUM( ($E$1016:$E$1039=$E$1427)*($A$1016:$A$1039=$A1680) * ($D$1016:$D$1039=$D1680)*(N$1016:N$1039) ) )</f>
        <v>0</v>
      </c>
      <c r="O1680" s="1379">
        <f t="array" ref="O1680" xml:space="preserve"> SUM(EF[N2O] * (EF[SATIM Code]= $D1680))  * (SUM( ($A$768:$A$846=$A1680) * ($D$768:$D$846= $D1680) * (O$768:O$846) )  +  SUM( ($A$933:$A$1011=$A1680) * ($D$933:$D$1011= $D1680) * (O$933:O$1011) ) + SUM( ($E$1016:$E$1039=$E$1427)*($A$1016:$A$1039=$A1680) * ($D$1016:$D$1039=$D1680)*(O$1016:O$1039) ) )</f>
        <v>0</v>
      </c>
    </row>
    <row r="1681" spans="1:15" s="19" customFormat="1" hidden="1" outlineLevel="1">
      <c r="A1681" s="1438" t="str">
        <f>INDEX($C$20:$C$27,MATCH($C1680,$D$20:$D$27,0))</f>
        <v>PP</v>
      </c>
      <c r="B1681" s="1400" t="str">
        <f>INDEX(EF[UK Vector],MATCH(D1681,EF[SATIM Code],0))</f>
        <v>V.03</v>
      </c>
      <c r="C1681" s="1401" t="str">
        <f>INDEX(Vectors[Description], MATCH($B1681, Vectors[Code], 0))</f>
        <v>Solid hydrocarbons</v>
      </c>
      <c r="D1681" s="1391" t="s">
        <v>882</v>
      </c>
      <c r="E1681" s="1393"/>
      <c r="F1681" s="1379">
        <f t="array" ref="F1681" xml:space="preserve"> SUM(EF[N2O] * (EF[SATIM Code]= $D1681))  * (SUM( ($A$768:$A$846=$A1681) * ($D$768:$D$846= $D1681) * (F$768:F$846) )  +  SUM( ($A$933:$A$1011=$A1681) * ($D$933:$D$1011= $D1681) * (F$933:F$1011) ) + SUM( ($E$1016:$E$1039=$E$1427)*($A$1016:$A$1039=$A1681) * ($D$1016:$D$1039=$D1681)*(F$1016:F$1039) ) )</f>
        <v>2.1029551307267188E-2</v>
      </c>
      <c r="G1681" s="1379">
        <f t="array" ref="G1681" xml:space="preserve"> SUM(EF[N2O] * (EF[SATIM Code]= $D1681))  * (SUM( ($A$768:$A$846=$A1681) * ($D$768:$D$846= $D1681) * (G$768:G$846) )  +  SUM( ($A$933:$A$1011=$A1681) * ($D$933:$D$1011= $D1681) * (G$933:G$1011) ) + SUM( ($E$1016:$E$1039=$E$1427)*($A$1016:$A$1039=$A1681) * ($D$1016:$D$1039=$D1681)*(G$1016:G$1039) ) )</f>
        <v>2.5621382321673838E-2</v>
      </c>
      <c r="H1681" s="1379">
        <f t="array" ref="H1681" xml:space="preserve"> SUM(EF[N2O] * (EF[SATIM Code]= $D1681))  * (SUM( ($A$768:$A$846=$A1681) * ($D$768:$D$846= $D1681) * (H$768:H$846) )  +  SUM( ($A$933:$A$1011=$A1681) * ($D$933:$D$1011= $D1681) * (H$933:H$1011) ) + SUM( ($E$1016:$E$1039=$E$1427)*($A$1016:$A$1039=$A1681) * ($D$1016:$D$1039=$D1681)*(H$1016:H$1039) ) )</f>
        <v>3.2305211194515654E-2</v>
      </c>
      <c r="I1681" s="1379">
        <f t="array" ref="I1681" xml:space="preserve"> SUM(EF[N2O] * (EF[SATIM Code]= $D1681))  * (SUM( ($A$768:$A$846=$A1681) * ($D$768:$D$846= $D1681) * (I$768:I$846) )  +  SUM( ($A$933:$A$1011=$A1681) * ($D$933:$D$1011= $D1681) * (I$933:I$1011) ) + SUM( ($E$1016:$E$1039=$E$1427)*($A$1016:$A$1039=$A1681) * ($D$1016:$D$1039=$D1681)*(I$1016:I$1039) ) )</f>
        <v>3.8989040067357476E-2</v>
      </c>
      <c r="J1681" s="1379">
        <f t="array" ref="J1681" xml:space="preserve"> SUM(EF[N2O] * (EF[SATIM Code]= $D1681))  * (SUM( ($A$768:$A$846=$A1681) * ($D$768:$D$846= $D1681) * (J$768:J$846) )  +  SUM( ($A$933:$A$1011=$A1681) * ($D$933:$D$1011= $D1681) * (J$933:J$1011) ) + SUM( ($E$1016:$E$1039=$E$1427)*($A$1016:$A$1039=$A1681) * ($D$1016:$D$1039=$D1681)*(J$1016:J$1039) ) )</f>
        <v>4.8942902612053377E-2</v>
      </c>
      <c r="K1681" s="1379">
        <f t="array" ref="K1681" xml:space="preserve"> SUM(EF[N2O] * (EF[SATIM Code]= $D1681))  * (SUM( ($A$768:$A$846=$A1681) * ($D$768:$D$846= $D1681) * (K$768:K$846) )  +  SUM( ($A$933:$A$1011=$A1681) * ($D$933:$D$1011= $D1681) * (K$933:K$1011) ) + SUM( ($E$1016:$E$1039=$E$1427)*($A$1016:$A$1039=$A1681) * ($D$1016:$D$1039=$D1681)*(K$1016:K$1039) ) )</f>
        <v>5.8896765156749277E-2</v>
      </c>
      <c r="L1681" s="1379">
        <f t="array" ref="L1681" xml:space="preserve"> SUM(EF[N2O] * (EF[SATIM Code]= $D1681))  * (SUM( ($A$768:$A$846=$A1681) * ($D$768:$D$846= $D1681) * (L$768:L$846) )  +  SUM( ($A$933:$A$1011=$A1681) * ($D$933:$D$1011= $D1681) * (L$933:L$1011) ) + SUM( ($E$1016:$E$1039=$E$1427)*($A$1016:$A$1039=$A1681) * ($D$1016:$D$1039=$D1681)*(L$1016:L$1039) ) )</f>
        <v>7.4719777773044171E-2</v>
      </c>
      <c r="M1681" s="1379">
        <f t="array" ref="M1681" xml:space="preserve"> SUM(EF[N2O] * (EF[SATIM Code]= $D1681))  * (SUM( ($A$768:$A$846=$A1681) * ($D$768:$D$846= $D1681) * (M$768:M$846) )  +  SUM( ($A$933:$A$1011=$A1681) * ($D$933:$D$1011= $D1681) * (M$933:M$1011) ) + SUM( ($E$1016:$E$1039=$E$1427)*($A$1016:$A$1039=$A1681) * ($D$1016:$D$1039=$D1681)*(M$1016:M$1039) ) )</f>
        <v>9.0542790389339045E-2</v>
      </c>
      <c r="N1681" s="1379">
        <f t="array" ref="N1681" xml:space="preserve"> SUM(EF[N2O] * (EF[SATIM Code]= $D1681))  * (SUM( ($A$768:$A$846=$A1681) * ($D$768:$D$846= $D1681) * (N$768:N$846) )  +  SUM( ($A$933:$A$1011=$A1681) * ($D$933:$D$1011= $D1681) * (N$933:N$1011) ) + SUM( ($E$1016:$E$1039=$E$1427)*($A$1016:$A$1039=$A1681) * ($D$1016:$D$1039=$D1681)*(N$1016:N$1039) ) )</f>
        <v>0.10833240785708102</v>
      </c>
      <c r="O1681" s="1379">
        <f t="array" ref="O1681" xml:space="preserve"> SUM(EF[N2O] * (EF[SATIM Code]= $D1681))  * (SUM( ($A$768:$A$846=$A1681) * ($D$768:$D$846= $D1681) * (O$768:O$846) )  +  SUM( ($A$933:$A$1011=$A1681) * ($D$933:$D$1011= $D1681) * (O$933:O$1011) ) + SUM( ($E$1016:$E$1039=$E$1427)*($A$1016:$A$1039=$A1681) * ($D$1016:$D$1039=$D1681)*(O$1016:O$1039) ) )</f>
        <v>0.12612202532482297</v>
      </c>
    </row>
    <row r="1682" spans="1:15" s="19" customFormat="1" hidden="1" outlineLevel="1">
      <c r="A1682" s="19" t="str">
        <f t="shared" ref="A1682:A1689" si="314">A1681</f>
        <v>PP</v>
      </c>
      <c r="B1682" s="1400" t="str">
        <f>INDEX(EF[UK Vector],MATCH(D1682,EF[SATIM Code],0))</f>
        <v>V.03</v>
      </c>
      <c r="C1682" s="1401" t="str">
        <f>INDEX(Vectors[Description], MATCH($B1682, Vectors[Code], 0))</f>
        <v>Solid hydrocarbons</v>
      </c>
      <c r="D1682" s="1391" t="s">
        <v>883</v>
      </c>
      <c r="E1682" s="1393"/>
      <c r="F1682" s="1379">
        <f t="array" ref="F1682" xml:space="preserve"> SUM(EF[N2O] * (EF[SATIM Code]= $D1682))  * (SUM( ($A$768:$A$846=$A1682) * ($D$768:$D$846= $D1682) * (F$768:F$846) )  +  SUM( ($A$933:$A$1011=$A1682) * ($D$933:$D$1011= $D1682) * (F$933:F$1011) ) + SUM( ($E$1016:$E$1039=$E$1427)*($A$1016:$A$1039=$A1682) * ($D$1016:$D$1039=$D1682)*(F$1016:F$1039) ) )</f>
        <v>0</v>
      </c>
      <c r="G1682" s="1379">
        <f t="array" ref="G1682" xml:space="preserve"> SUM(EF[N2O] * (EF[SATIM Code]= $D1682))  * (SUM( ($A$768:$A$846=$A1682) * ($D$768:$D$846= $D1682) * (G$768:G$846) )  +  SUM( ($A$933:$A$1011=$A1682) * ($D$933:$D$1011= $D1682) * (G$933:G$1011) ) + SUM( ($E$1016:$E$1039=$E$1427)*($A$1016:$A$1039=$A1682) * ($D$1016:$D$1039=$D1682)*(G$1016:G$1039) ) )</f>
        <v>0</v>
      </c>
      <c r="H1682" s="1379">
        <f t="array" ref="H1682" xml:space="preserve"> SUM(EF[N2O] * (EF[SATIM Code]= $D1682))  * (SUM( ($A$768:$A$846=$A1682) * ($D$768:$D$846= $D1682) * (H$768:H$846) )  +  SUM( ($A$933:$A$1011=$A1682) * ($D$933:$D$1011= $D1682) * (H$933:H$1011) ) + SUM( ($E$1016:$E$1039=$E$1427)*($A$1016:$A$1039=$A1682) * ($D$1016:$D$1039=$D1682)*(H$1016:H$1039) ) )</f>
        <v>0</v>
      </c>
      <c r="I1682" s="1379">
        <f t="array" ref="I1682" xml:space="preserve"> SUM(EF[N2O] * (EF[SATIM Code]= $D1682))  * (SUM( ($A$768:$A$846=$A1682) * ($D$768:$D$846= $D1682) * (I$768:I$846) )  +  SUM( ($A$933:$A$1011=$A1682) * ($D$933:$D$1011= $D1682) * (I$933:I$1011) ) + SUM( ($E$1016:$E$1039=$E$1427)*($A$1016:$A$1039=$A1682) * ($D$1016:$D$1039=$D1682)*(I$1016:I$1039) ) )</f>
        <v>0</v>
      </c>
      <c r="J1682" s="1379">
        <f t="array" ref="J1682" xml:space="preserve"> SUM(EF[N2O] * (EF[SATIM Code]= $D1682))  * (SUM( ($A$768:$A$846=$A1682) * ($D$768:$D$846= $D1682) * (J$768:J$846) )  +  SUM( ($A$933:$A$1011=$A1682) * ($D$933:$D$1011= $D1682) * (J$933:J$1011) ) + SUM( ($E$1016:$E$1039=$E$1427)*($A$1016:$A$1039=$A1682) * ($D$1016:$D$1039=$D1682)*(J$1016:J$1039) ) )</f>
        <v>0</v>
      </c>
      <c r="K1682" s="1379">
        <f t="array" ref="K1682" xml:space="preserve"> SUM(EF[N2O] * (EF[SATIM Code]= $D1682))  * (SUM( ($A$768:$A$846=$A1682) * ($D$768:$D$846= $D1682) * (K$768:K$846) )  +  SUM( ($A$933:$A$1011=$A1682) * ($D$933:$D$1011= $D1682) * (K$933:K$1011) ) + SUM( ($E$1016:$E$1039=$E$1427)*($A$1016:$A$1039=$A1682) * ($D$1016:$D$1039=$D1682)*(K$1016:K$1039) ) )</f>
        <v>0</v>
      </c>
      <c r="L1682" s="1379">
        <f t="array" ref="L1682" xml:space="preserve"> SUM(EF[N2O] * (EF[SATIM Code]= $D1682))  * (SUM( ($A$768:$A$846=$A1682) * ($D$768:$D$846= $D1682) * (L$768:L$846) )  +  SUM( ($A$933:$A$1011=$A1682) * ($D$933:$D$1011= $D1682) * (L$933:L$1011) ) + SUM( ($E$1016:$E$1039=$E$1427)*($A$1016:$A$1039=$A1682) * ($D$1016:$D$1039=$D1682)*(L$1016:L$1039) ) )</f>
        <v>0</v>
      </c>
      <c r="M1682" s="1379">
        <f t="array" ref="M1682" xml:space="preserve"> SUM(EF[N2O] * (EF[SATIM Code]= $D1682))  * (SUM( ($A$768:$A$846=$A1682) * ($D$768:$D$846= $D1682) * (M$768:M$846) )  +  SUM( ($A$933:$A$1011=$A1682) * ($D$933:$D$1011= $D1682) * (M$933:M$1011) ) + SUM( ($E$1016:$E$1039=$E$1427)*($A$1016:$A$1039=$A1682) * ($D$1016:$D$1039=$D1682)*(M$1016:M$1039) ) )</f>
        <v>0</v>
      </c>
      <c r="N1682" s="1379">
        <f t="array" ref="N1682" xml:space="preserve"> SUM(EF[N2O] * (EF[SATIM Code]= $D1682))  * (SUM( ($A$768:$A$846=$A1682) * ($D$768:$D$846= $D1682) * (N$768:N$846) )  +  SUM( ($A$933:$A$1011=$A1682) * ($D$933:$D$1011= $D1682) * (N$933:N$1011) ) + SUM( ($E$1016:$E$1039=$E$1427)*($A$1016:$A$1039=$A1682) * ($D$1016:$D$1039=$D1682)*(N$1016:N$1039) ) )</f>
        <v>0</v>
      </c>
      <c r="O1682" s="1379">
        <f t="array" ref="O1682" xml:space="preserve"> SUM(EF[N2O] * (EF[SATIM Code]= $D1682))  * (SUM( ($A$768:$A$846=$A1682) * ($D$768:$D$846= $D1682) * (O$768:O$846) )  +  SUM( ($A$933:$A$1011=$A1682) * ($D$933:$D$1011= $D1682) * (O$933:O$1011) ) + SUM( ($E$1016:$E$1039=$E$1427)*($A$1016:$A$1039=$A1682) * ($D$1016:$D$1039=$D1682)*(O$1016:O$1039) ) )</f>
        <v>0</v>
      </c>
    </row>
    <row r="1683" spans="1:15" s="19" customFormat="1" hidden="1" outlineLevel="1">
      <c r="A1683" s="19" t="str">
        <f t="shared" si="314"/>
        <v>PP</v>
      </c>
      <c r="B1683" s="1400" t="str">
        <f>INDEX(EF[UK Vector],MATCH(D1683,EF[SATIM Code],0))</f>
        <v>V.05</v>
      </c>
      <c r="C1683" s="1401" t="str">
        <f>INDEX(Vectors[Description], MATCH($B1683, Vectors[Code], 0))</f>
        <v>Gaseous hydrocarbons</v>
      </c>
      <c r="D1683" s="1406" t="s">
        <v>869</v>
      </c>
      <c r="E1683" s="1393"/>
      <c r="F1683" s="1379">
        <f t="array" ref="F1683" xml:space="preserve"> SUM(EF[N2O] * (EF[SATIM Code]= $D1683))  * (SUM( ($A$768:$A$846=$A1683) * ($D$768:$D$846= $D1683) * (F$768:F$846) )  +  SUM( ($A$933:$A$1011=$A1683) * ($D$933:$D$1011= $D1683) * (F$933:F$1011) ) + SUM( ($E$1016:$E$1039=$E$1427)*($A$1016:$A$1039=$A1683) * ($D$1016:$D$1039=$D1683)*(F$1016:F$1039) ) )</f>
        <v>4.2481530825163958E-5</v>
      </c>
      <c r="G1683" s="1379">
        <f t="array" ref="G1683" xml:space="preserve"> SUM(EF[N2O] * (EF[SATIM Code]= $D1683))  * (SUM( ($A$768:$A$846=$A1683) * ($D$768:$D$846= $D1683) * (G$768:G$846) )  +  SUM( ($A$933:$A$1011=$A1683) * ($D$933:$D$1011= $D1683) * (G$933:G$1011) ) + SUM( ($E$1016:$E$1039=$E$1427)*($A$1016:$A$1039=$A1683) * ($D$1016:$D$1039=$D1683)*(G$1016:G$1039) ) )</f>
        <v>5.8277085329858459E-5</v>
      </c>
      <c r="H1683" s="1379">
        <f t="array" ref="H1683" xml:space="preserve"> SUM(EF[N2O] * (EF[SATIM Code]= $D1683))  * (SUM( ($A$768:$A$846=$A1683) * ($D$768:$D$846= $D1683) * (H$768:H$846) )  +  SUM( ($A$933:$A$1011=$A1683) * ($D$933:$D$1011= $D1683) * (H$933:H$1011) ) + SUM( ($E$1016:$E$1039=$E$1427)*($A$1016:$A$1039=$A1683) * ($D$1016:$D$1039=$D1683)*(H$1016:H$1039) ) )</f>
        <v>8.1268955659970303E-5</v>
      </c>
      <c r="I1683" s="1379">
        <f t="array" ref="I1683" xml:space="preserve"> SUM(EF[N2O] * (EF[SATIM Code]= $D1683))  * (SUM( ($A$768:$A$846=$A1683) * ($D$768:$D$846= $D1683) * (I$768:I$846) )  +  SUM( ($A$933:$A$1011=$A1683) * ($D$933:$D$1011= $D1683) * (I$933:I$1011) ) + SUM( ($E$1016:$E$1039=$E$1427)*($A$1016:$A$1039=$A1683) * ($D$1016:$D$1039=$D1683)*(I$1016:I$1039) ) )</f>
        <v>1.0426082599008214E-4</v>
      </c>
      <c r="J1683" s="1379">
        <f t="array" ref="J1683" xml:space="preserve"> SUM(EF[N2O] * (EF[SATIM Code]= $D1683))  * (SUM( ($A$768:$A$846=$A1683) * ($D$768:$D$846= $D1683) * (J$768:J$846) )  +  SUM( ($A$933:$A$1011=$A1683) * ($D$933:$D$1011= $D1683) * (J$933:J$1011) ) + SUM( ($E$1016:$E$1039=$E$1427)*($A$1016:$A$1039=$A1683) * ($D$1016:$D$1039=$D1683)*(J$1016:J$1039) ) )</f>
        <v>1.3850136704302805E-4</v>
      </c>
      <c r="K1683" s="1379">
        <f t="array" ref="K1683" xml:space="preserve"> SUM(EF[N2O] * (EF[SATIM Code]= $D1683))  * (SUM( ($A$768:$A$846=$A1683) * ($D$768:$D$846= $D1683) * (K$768:K$846) )  +  SUM( ($A$933:$A$1011=$A1683) * ($D$933:$D$1011= $D1683) * (K$933:K$1011) ) + SUM( ($E$1016:$E$1039=$E$1427)*($A$1016:$A$1039=$A1683) * ($D$1016:$D$1039=$D1683)*(K$1016:K$1039) ) )</f>
        <v>1.7274190809597392E-4</v>
      </c>
      <c r="L1683" s="1379">
        <f t="array" ref="L1683" xml:space="preserve"> SUM(EF[N2O] * (EF[SATIM Code]= $D1683))  * (SUM( ($A$768:$A$846=$A1683) * ($D$768:$D$846= $D1683) * (L$768:L$846) )  +  SUM( ($A$933:$A$1011=$A1683) * ($D$933:$D$1011= $D1683) * (L$933:L$1011) ) + SUM( ($E$1016:$E$1039=$E$1427)*($A$1016:$A$1039=$A1683) * ($D$1016:$D$1039=$D1683)*(L$1016:L$1039) ) )</f>
        <v>2.2717188546774584E-4</v>
      </c>
      <c r="M1683" s="1379">
        <f t="array" ref="M1683" xml:space="preserve"> SUM(EF[N2O] * (EF[SATIM Code]= $D1683))  * (SUM( ($A$768:$A$846=$A1683) * ($D$768:$D$846= $D1683) * (M$768:M$846) )  +  SUM( ($A$933:$A$1011=$A1683) * ($D$933:$D$1011= $D1683) * (M$933:M$1011) ) + SUM( ($E$1016:$E$1039=$E$1427)*($A$1016:$A$1039=$A1683) * ($D$1016:$D$1039=$D1683)*(M$1016:M$1039) ) )</f>
        <v>2.816018628395178E-4</v>
      </c>
      <c r="N1683" s="1379">
        <f t="array" ref="N1683" xml:space="preserve"> SUM(EF[N2O] * (EF[SATIM Code]= $D1683))  * (SUM( ($A$768:$A$846=$A1683) * ($D$768:$D$846= $D1683) * (N$768:N$846) )  +  SUM( ($A$933:$A$1011=$A1683) * ($D$933:$D$1011= $D1683) * (N$933:N$1011) ) + SUM( ($E$1016:$E$1039=$E$1427)*($A$1016:$A$1039=$A1683) * ($D$1016:$D$1039=$D1683)*(N$1016:N$1039) ) )</f>
        <v>3.4279681349161481E-4</v>
      </c>
      <c r="O1683" s="1379">
        <f t="array" ref="O1683" xml:space="preserve"> SUM(EF[N2O] * (EF[SATIM Code]= $D1683))  * (SUM( ($A$768:$A$846=$A1683) * ($D$768:$D$846= $D1683) * (O$768:O$846) )  +  SUM( ($A$933:$A$1011=$A1683) * ($D$933:$D$1011= $D1683) * (O$933:O$1011) ) + SUM( ($E$1016:$E$1039=$E$1427)*($A$1016:$A$1039=$A1683) * ($D$1016:$D$1039=$D1683)*(O$1016:O$1039) ) )</f>
        <v>4.0399176414371182E-4</v>
      </c>
    </row>
    <row r="1684" spans="1:15" s="19" customFormat="1" hidden="1" outlineLevel="1">
      <c r="A1684" s="19" t="str">
        <f t="shared" si="314"/>
        <v>PP</v>
      </c>
      <c r="B1684" s="1400" t="str">
        <f>INDEX(EF[UK Vector],MATCH(D1684,EF[SATIM Code],0))</f>
        <v>V.04</v>
      </c>
      <c r="C1684" s="1401" t="str">
        <f>INDEX(Vectors[Description], MATCH($B1684, Vectors[Code], 0))</f>
        <v>Liquid hydrocarbons</v>
      </c>
      <c r="D1684" s="1406" t="s">
        <v>885</v>
      </c>
      <c r="E1684" s="1393"/>
      <c r="F1684" s="1379">
        <f t="array" ref="F1684" xml:space="preserve"> SUM(EF[N2O] * (EF[SATIM Code]= $D1684))  * (SUM( ($A$768:$A$846=$A1684) * ($D$768:$D$846= $D1684) * (F$768:F$846) )  +  SUM( ($A$933:$A$1011=$A1684) * ($D$933:$D$1011= $D1684) * (F$933:F$1011) ) + SUM( ($E$1016:$E$1039=$E$1427)*($A$1016:$A$1039=$A1684) * ($D$1016:$D$1039=$D1684)*(F$1016:F$1039) ) )</f>
        <v>0</v>
      </c>
      <c r="G1684" s="1379">
        <f t="array" ref="G1684" xml:space="preserve"> SUM(EF[N2O] * (EF[SATIM Code]= $D1684))  * (SUM( ($A$768:$A$846=$A1684) * ($D$768:$D$846= $D1684) * (G$768:G$846) )  +  SUM( ($A$933:$A$1011=$A1684) * ($D$933:$D$1011= $D1684) * (G$933:G$1011) ) + SUM( ($E$1016:$E$1039=$E$1427)*($A$1016:$A$1039=$A1684) * ($D$1016:$D$1039=$D1684)*(G$1016:G$1039) ) )</f>
        <v>0</v>
      </c>
      <c r="H1684" s="1379">
        <f t="array" ref="H1684" xml:space="preserve"> SUM(EF[N2O] * (EF[SATIM Code]= $D1684))  * (SUM( ($A$768:$A$846=$A1684) * ($D$768:$D$846= $D1684) * (H$768:H$846) )  +  SUM( ($A$933:$A$1011=$A1684) * ($D$933:$D$1011= $D1684) * (H$933:H$1011) ) + SUM( ($E$1016:$E$1039=$E$1427)*($A$1016:$A$1039=$A1684) * ($D$1016:$D$1039=$D1684)*(H$1016:H$1039) ) )</f>
        <v>0</v>
      </c>
      <c r="I1684" s="1379">
        <f t="array" ref="I1684" xml:space="preserve"> SUM(EF[N2O] * (EF[SATIM Code]= $D1684))  * (SUM( ($A$768:$A$846=$A1684) * ($D$768:$D$846= $D1684) * (I$768:I$846) )  +  SUM( ($A$933:$A$1011=$A1684) * ($D$933:$D$1011= $D1684) * (I$933:I$1011) ) + SUM( ($E$1016:$E$1039=$E$1427)*($A$1016:$A$1039=$A1684) * ($D$1016:$D$1039=$D1684)*(I$1016:I$1039) ) )</f>
        <v>0</v>
      </c>
      <c r="J1684" s="1379">
        <f t="array" ref="J1684" xml:space="preserve"> SUM(EF[N2O] * (EF[SATIM Code]= $D1684))  * (SUM( ($A$768:$A$846=$A1684) * ($D$768:$D$846= $D1684) * (J$768:J$846) )  +  SUM( ($A$933:$A$1011=$A1684) * ($D$933:$D$1011= $D1684) * (J$933:J$1011) ) + SUM( ($E$1016:$E$1039=$E$1427)*($A$1016:$A$1039=$A1684) * ($D$1016:$D$1039=$D1684)*(J$1016:J$1039) ) )</f>
        <v>0</v>
      </c>
      <c r="K1684" s="1379">
        <f t="array" ref="K1684" xml:space="preserve"> SUM(EF[N2O] * (EF[SATIM Code]= $D1684))  * (SUM( ($A$768:$A$846=$A1684) * ($D$768:$D$846= $D1684) * (K$768:K$846) )  +  SUM( ($A$933:$A$1011=$A1684) * ($D$933:$D$1011= $D1684) * (K$933:K$1011) ) + SUM( ($E$1016:$E$1039=$E$1427)*($A$1016:$A$1039=$A1684) * ($D$1016:$D$1039=$D1684)*(K$1016:K$1039) ) )</f>
        <v>0</v>
      </c>
      <c r="L1684" s="1379">
        <f t="array" ref="L1684" xml:space="preserve"> SUM(EF[N2O] * (EF[SATIM Code]= $D1684))  * (SUM( ($A$768:$A$846=$A1684) * ($D$768:$D$846= $D1684) * (L$768:L$846) )  +  SUM( ($A$933:$A$1011=$A1684) * ($D$933:$D$1011= $D1684) * (L$933:L$1011) ) + SUM( ($E$1016:$E$1039=$E$1427)*($A$1016:$A$1039=$A1684) * ($D$1016:$D$1039=$D1684)*(L$1016:L$1039) ) )</f>
        <v>0</v>
      </c>
      <c r="M1684" s="1379">
        <f t="array" ref="M1684" xml:space="preserve"> SUM(EF[N2O] * (EF[SATIM Code]= $D1684))  * (SUM( ($A$768:$A$846=$A1684) * ($D$768:$D$846= $D1684) * (M$768:M$846) )  +  SUM( ($A$933:$A$1011=$A1684) * ($D$933:$D$1011= $D1684) * (M$933:M$1011) ) + SUM( ($E$1016:$E$1039=$E$1427)*($A$1016:$A$1039=$A1684) * ($D$1016:$D$1039=$D1684)*(M$1016:M$1039) ) )</f>
        <v>0</v>
      </c>
      <c r="N1684" s="1379">
        <f t="array" ref="N1684" xml:space="preserve"> SUM(EF[N2O] * (EF[SATIM Code]= $D1684))  * (SUM( ($A$768:$A$846=$A1684) * ($D$768:$D$846= $D1684) * (N$768:N$846) )  +  SUM( ($A$933:$A$1011=$A1684) * ($D$933:$D$1011= $D1684) * (N$933:N$1011) ) + SUM( ($E$1016:$E$1039=$E$1427)*($A$1016:$A$1039=$A1684) * ($D$1016:$D$1039=$D1684)*(N$1016:N$1039) ) )</f>
        <v>0</v>
      </c>
      <c r="O1684" s="1379">
        <f t="array" ref="O1684" xml:space="preserve"> SUM(EF[N2O] * (EF[SATIM Code]= $D1684))  * (SUM( ($A$768:$A$846=$A1684) * ($D$768:$D$846= $D1684) * (O$768:O$846) )  +  SUM( ($A$933:$A$1011=$A1684) * ($D$933:$D$1011= $D1684) * (O$933:O$1011) ) + SUM( ($E$1016:$E$1039=$E$1427)*($A$1016:$A$1039=$A1684) * ($D$1016:$D$1039=$D1684)*(O$1016:O$1039) ) )</f>
        <v>0</v>
      </c>
    </row>
    <row r="1685" spans="1:15" s="19" customFormat="1" hidden="1" outlineLevel="1">
      <c r="A1685" s="19" t="str">
        <f t="shared" si="314"/>
        <v>PP</v>
      </c>
      <c r="B1685" s="1400" t="str">
        <f>INDEX(EF[UK Vector],MATCH(D1685,EF[SATIM Code],0))</f>
        <v>V.04</v>
      </c>
      <c r="C1685" s="1401" t="str">
        <f>INDEX(Vectors[Description], MATCH($B1685, Vectors[Code], 0))</f>
        <v>Liquid hydrocarbons</v>
      </c>
      <c r="D1685" s="1391" t="s">
        <v>886</v>
      </c>
      <c r="E1685" s="1393"/>
      <c r="F1685" s="1379">
        <f t="array" ref="F1685" xml:space="preserve"> SUM(EF[N2O] * (EF[SATIM Code]= $D1685))  * (SUM( ($A$768:$A$846=$A1685) * ($D$768:$D$846= $D1685) * (F$768:F$846) )  +  SUM( ($A$933:$A$1011=$A1685) * ($D$933:$D$1011= $D1685) * (F$933:F$1011) ) + SUM( ($E$1016:$E$1039=$E$1427)*($A$1016:$A$1039=$A1685) * ($D$1016:$D$1039=$D1685)*(F$1016:F$1039) ) )</f>
        <v>0</v>
      </c>
      <c r="G1685" s="1379">
        <f t="array" ref="G1685" xml:space="preserve"> SUM(EF[N2O] * (EF[SATIM Code]= $D1685))  * (SUM( ($A$768:$A$846=$A1685) * ($D$768:$D$846= $D1685) * (G$768:G$846) )  +  SUM( ($A$933:$A$1011=$A1685) * ($D$933:$D$1011= $D1685) * (G$933:G$1011) ) + SUM( ($E$1016:$E$1039=$E$1427)*($A$1016:$A$1039=$A1685) * ($D$1016:$D$1039=$D1685)*(G$1016:G$1039) ) )</f>
        <v>0</v>
      </c>
      <c r="H1685" s="1379">
        <f t="array" ref="H1685" xml:space="preserve"> SUM(EF[N2O] * (EF[SATIM Code]= $D1685))  * (SUM( ($A$768:$A$846=$A1685) * ($D$768:$D$846= $D1685) * (H$768:H$846) )  +  SUM( ($A$933:$A$1011=$A1685) * ($D$933:$D$1011= $D1685) * (H$933:H$1011) ) + SUM( ($E$1016:$E$1039=$E$1427)*($A$1016:$A$1039=$A1685) * ($D$1016:$D$1039=$D1685)*(H$1016:H$1039) ) )</f>
        <v>0</v>
      </c>
      <c r="I1685" s="1379">
        <f t="array" ref="I1685" xml:space="preserve"> SUM(EF[N2O] * (EF[SATIM Code]= $D1685))  * (SUM( ($A$768:$A$846=$A1685) * ($D$768:$D$846= $D1685) * (I$768:I$846) )  +  SUM( ($A$933:$A$1011=$A1685) * ($D$933:$D$1011= $D1685) * (I$933:I$1011) ) + SUM( ($E$1016:$E$1039=$E$1427)*($A$1016:$A$1039=$A1685) * ($D$1016:$D$1039=$D1685)*(I$1016:I$1039) ) )</f>
        <v>0</v>
      </c>
      <c r="J1685" s="1379">
        <f t="array" ref="J1685" xml:space="preserve"> SUM(EF[N2O] * (EF[SATIM Code]= $D1685))  * (SUM( ($A$768:$A$846=$A1685) * ($D$768:$D$846= $D1685) * (J$768:J$846) )  +  SUM( ($A$933:$A$1011=$A1685) * ($D$933:$D$1011= $D1685) * (J$933:J$1011) ) + SUM( ($E$1016:$E$1039=$E$1427)*($A$1016:$A$1039=$A1685) * ($D$1016:$D$1039=$D1685)*(J$1016:J$1039) ) )</f>
        <v>0</v>
      </c>
      <c r="K1685" s="1379">
        <f t="array" ref="K1685" xml:space="preserve"> SUM(EF[N2O] * (EF[SATIM Code]= $D1685))  * (SUM( ($A$768:$A$846=$A1685) * ($D$768:$D$846= $D1685) * (K$768:K$846) )  +  SUM( ($A$933:$A$1011=$A1685) * ($D$933:$D$1011= $D1685) * (K$933:K$1011) ) + SUM( ($E$1016:$E$1039=$E$1427)*($A$1016:$A$1039=$A1685) * ($D$1016:$D$1039=$D1685)*(K$1016:K$1039) ) )</f>
        <v>0</v>
      </c>
      <c r="L1685" s="1379">
        <f t="array" ref="L1685" xml:space="preserve"> SUM(EF[N2O] * (EF[SATIM Code]= $D1685))  * (SUM( ($A$768:$A$846=$A1685) * ($D$768:$D$846= $D1685) * (L$768:L$846) )  +  SUM( ($A$933:$A$1011=$A1685) * ($D$933:$D$1011= $D1685) * (L$933:L$1011) ) + SUM( ($E$1016:$E$1039=$E$1427)*($A$1016:$A$1039=$A1685) * ($D$1016:$D$1039=$D1685)*(L$1016:L$1039) ) )</f>
        <v>0</v>
      </c>
      <c r="M1685" s="1379">
        <f t="array" ref="M1685" xml:space="preserve"> SUM(EF[N2O] * (EF[SATIM Code]= $D1685))  * (SUM( ($A$768:$A$846=$A1685) * ($D$768:$D$846= $D1685) * (M$768:M$846) )  +  SUM( ($A$933:$A$1011=$A1685) * ($D$933:$D$1011= $D1685) * (M$933:M$1011) ) + SUM( ($E$1016:$E$1039=$E$1427)*($A$1016:$A$1039=$A1685) * ($D$1016:$D$1039=$D1685)*(M$1016:M$1039) ) )</f>
        <v>0</v>
      </c>
      <c r="N1685" s="1379">
        <f t="array" ref="N1685" xml:space="preserve"> SUM(EF[N2O] * (EF[SATIM Code]= $D1685))  * (SUM( ($A$768:$A$846=$A1685) * ($D$768:$D$846= $D1685) * (N$768:N$846) )  +  SUM( ($A$933:$A$1011=$A1685) * ($D$933:$D$1011= $D1685) * (N$933:N$1011) ) + SUM( ($E$1016:$E$1039=$E$1427)*($A$1016:$A$1039=$A1685) * ($D$1016:$D$1039=$D1685)*(N$1016:N$1039) ) )</f>
        <v>0</v>
      </c>
      <c r="O1685" s="1379">
        <f t="array" ref="O1685" xml:space="preserve"> SUM(EF[N2O] * (EF[SATIM Code]= $D1685))  * (SUM( ($A$768:$A$846=$A1685) * ($D$768:$D$846= $D1685) * (O$768:O$846) )  +  SUM( ($A$933:$A$1011=$A1685) * ($D$933:$D$1011= $D1685) * (O$933:O$1011) ) + SUM( ($E$1016:$E$1039=$E$1427)*($A$1016:$A$1039=$A1685) * ($D$1016:$D$1039=$D1685)*(O$1016:O$1039) ) )</f>
        <v>0</v>
      </c>
    </row>
    <row r="1686" spans="1:15" s="19" customFormat="1" hidden="1" outlineLevel="1">
      <c r="A1686" s="19" t="str">
        <f t="shared" si="314"/>
        <v>PP</v>
      </c>
      <c r="B1686" s="1400" t="str">
        <f>INDEX(EF[UK Vector],MATCH(D1686,EF[SATIM Code],0))</f>
        <v>V.04</v>
      </c>
      <c r="C1686" s="1401" t="str">
        <f>INDEX(Vectors[Description], MATCH($B1686, Vectors[Code], 0))</f>
        <v>Liquid hydrocarbons</v>
      </c>
      <c r="D1686" s="1406" t="s">
        <v>887</v>
      </c>
      <c r="E1686" s="1393"/>
      <c r="F1686" s="1379">
        <f t="array" ref="F1686" xml:space="preserve"> SUM(EF[N2O] * (EF[SATIM Code]= $D1686))  * (SUM( ($A$768:$A$846=$A1686) * ($D$768:$D$846= $D1686) * (F$768:F$846) )  +  SUM( ($A$933:$A$1011=$A1686) * ($D$933:$D$1011= $D1686) * (F$933:F$1011) ) + SUM( ($E$1016:$E$1039=$E$1427)*($A$1016:$A$1039=$A1686) * ($D$1016:$D$1039=$D1686)*(F$1016:F$1039) ) )</f>
        <v>0</v>
      </c>
      <c r="G1686" s="1379">
        <f t="array" ref="G1686" xml:space="preserve"> SUM(EF[N2O] * (EF[SATIM Code]= $D1686))  * (SUM( ($A$768:$A$846=$A1686) * ($D$768:$D$846= $D1686) * (G$768:G$846) )  +  SUM( ($A$933:$A$1011=$A1686) * ($D$933:$D$1011= $D1686) * (G$933:G$1011) ) + SUM( ($E$1016:$E$1039=$E$1427)*($A$1016:$A$1039=$A1686) * ($D$1016:$D$1039=$D1686)*(G$1016:G$1039) ) )</f>
        <v>0</v>
      </c>
      <c r="H1686" s="1379">
        <f t="array" ref="H1686" xml:space="preserve"> SUM(EF[N2O] * (EF[SATIM Code]= $D1686))  * (SUM( ($A$768:$A$846=$A1686) * ($D$768:$D$846= $D1686) * (H$768:H$846) )  +  SUM( ($A$933:$A$1011=$A1686) * ($D$933:$D$1011= $D1686) * (H$933:H$1011) ) + SUM( ($E$1016:$E$1039=$E$1427)*($A$1016:$A$1039=$A1686) * ($D$1016:$D$1039=$D1686)*(H$1016:H$1039) ) )</f>
        <v>0</v>
      </c>
      <c r="I1686" s="1379">
        <f t="array" ref="I1686" xml:space="preserve"> SUM(EF[N2O] * (EF[SATIM Code]= $D1686))  * (SUM( ($A$768:$A$846=$A1686) * ($D$768:$D$846= $D1686) * (I$768:I$846) )  +  SUM( ($A$933:$A$1011=$A1686) * ($D$933:$D$1011= $D1686) * (I$933:I$1011) ) + SUM( ($E$1016:$E$1039=$E$1427)*($A$1016:$A$1039=$A1686) * ($D$1016:$D$1039=$D1686)*(I$1016:I$1039) ) )</f>
        <v>0</v>
      </c>
      <c r="J1686" s="1379">
        <f t="array" ref="J1686" xml:space="preserve"> SUM(EF[N2O] * (EF[SATIM Code]= $D1686))  * (SUM( ($A$768:$A$846=$A1686) * ($D$768:$D$846= $D1686) * (J$768:J$846) )  +  SUM( ($A$933:$A$1011=$A1686) * ($D$933:$D$1011= $D1686) * (J$933:J$1011) ) + SUM( ($E$1016:$E$1039=$E$1427)*($A$1016:$A$1039=$A1686) * ($D$1016:$D$1039=$D1686)*(J$1016:J$1039) ) )</f>
        <v>0</v>
      </c>
      <c r="K1686" s="1379">
        <f t="array" ref="K1686" xml:space="preserve"> SUM(EF[N2O] * (EF[SATIM Code]= $D1686))  * (SUM( ($A$768:$A$846=$A1686) * ($D$768:$D$846= $D1686) * (K$768:K$846) )  +  SUM( ($A$933:$A$1011=$A1686) * ($D$933:$D$1011= $D1686) * (K$933:K$1011) ) + SUM( ($E$1016:$E$1039=$E$1427)*($A$1016:$A$1039=$A1686) * ($D$1016:$D$1039=$D1686)*(K$1016:K$1039) ) )</f>
        <v>0</v>
      </c>
      <c r="L1686" s="1379">
        <f t="array" ref="L1686" xml:space="preserve"> SUM(EF[N2O] * (EF[SATIM Code]= $D1686))  * (SUM( ($A$768:$A$846=$A1686) * ($D$768:$D$846= $D1686) * (L$768:L$846) )  +  SUM( ($A$933:$A$1011=$A1686) * ($D$933:$D$1011= $D1686) * (L$933:L$1011) ) + SUM( ($E$1016:$E$1039=$E$1427)*($A$1016:$A$1039=$A1686) * ($D$1016:$D$1039=$D1686)*(L$1016:L$1039) ) )</f>
        <v>0</v>
      </c>
      <c r="M1686" s="1379">
        <f t="array" ref="M1686" xml:space="preserve"> SUM(EF[N2O] * (EF[SATIM Code]= $D1686))  * (SUM( ($A$768:$A$846=$A1686) * ($D$768:$D$846= $D1686) * (M$768:M$846) )  +  SUM( ($A$933:$A$1011=$A1686) * ($D$933:$D$1011= $D1686) * (M$933:M$1011) ) + SUM( ($E$1016:$E$1039=$E$1427)*($A$1016:$A$1039=$A1686) * ($D$1016:$D$1039=$D1686)*(M$1016:M$1039) ) )</f>
        <v>0</v>
      </c>
      <c r="N1686" s="1379">
        <f t="array" ref="N1686" xml:space="preserve"> SUM(EF[N2O] * (EF[SATIM Code]= $D1686))  * (SUM( ($A$768:$A$846=$A1686) * ($D$768:$D$846= $D1686) * (N$768:N$846) )  +  SUM( ($A$933:$A$1011=$A1686) * ($D$933:$D$1011= $D1686) * (N$933:N$1011) ) + SUM( ($E$1016:$E$1039=$E$1427)*($A$1016:$A$1039=$A1686) * ($D$1016:$D$1039=$D1686)*(N$1016:N$1039) ) )</f>
        <v>0</v>
      </c>
      <c r="O1686" s="1379">
        <f t="array" ref="O1686" xml:space="preserve"> SUM(EF[N2O] * (EF[SATIM Code]= $D1686))  * (SUM( ($A$768:$A$846=$A1686) * ($D$768:$D$846= $D1686) * (O$768:O$846) )  +  SUM( ($A$933:$A$1011=$A1686) * ($D$933:$D$1011= $D1686) * (O$933:O$1011) ) + SUM( ($E$1016:$E$1039=$E$1427)*($A$1016:$A$1039=$A1686) * ($D$1016:$D$1039=$D1686)*(O$1016:O$1039) ) )</f>
        <v>0</v>
      </c>
    </row>
    <row r="1687" spans="1:15" s="19" customFormat="1" hidden="1" outlineLevel="1">
      <c r="A1687" s="19" t="str">
        <f t="shared" si="314"/>
        <v>PP</v>
      </c>
      <c r="B1687" s="1400" t="str">
        <f>INDEX(EF[UK Vector],MATCH(D1687,EF[SATIM Code],0))</f>
        <v>V.09</v>
      </c>
      <c r="C1687" s="1401" t="str">
        <f>INDEX(Vectors[Description], MATCH($B1687, Vectors[Code], 0))</f>
        <v>Dry biomass and waste</v>
      </c>
      <c r="D1687" s="1406" t="s">
        <v>888</v>
      </c>
      <c r="E1687" s="1393"/>
      <c r="F1687" s="1379">
        <f t="array" ref="F1687" xml:space="preserve"> SUM(EF[N2O] * (EF[SATIM Code]= $D1687))  * (SUM( ($A$768:$A$846=$A1687) * ($D$768:$D$846= $D1687) * (F$768:F$846) )  +  SUM( ($A$933:$A$1011=$A1687) * ($D$933:$D$1011= $D1687) * (F$933:F$1011) ) + SUM( ($E$1016:$E$1039=$E$1427)*($A$1016:$A$1039=$A1687) * ($D$1016:$D$1039=$D1687)*(F$1016:F$1039) ) )</f>
        <v>0</v>
      </c>
      <c r="G1687" s="1379">
        <f t="array" ref="G1687" xml:space="preserve"> SUM(EF[N2O] * (EF[SATIM Code]= $D1687))  * (SUM( ($A$768:$A$846=$A1687) * ($D$768:$D$846= $D1687) * (G$768:G$846) )  +  SUM( ($A$933:$A$1011=$A1687) * ($D$933:$D$1011= $D1687) * (G$933:G$1011) ) + SUM( ($E$1016:$E$1039=$E$1427)*($A$1016:$A$1039=$A1687) * ($D$1016:$D$1039=$D1687)*(G$1016:G$1039) ) )</f>
        <v>0</v>
      </c>
      <c r="H1687" s="1379">
        <f t="array" ref="H1687" xml:space="preserve"> SUM(EF[N2O] * (EF[SATIM Code]= $D1687))  * (SUM( ($A$768:$A$846=$A1687) * ($D$768:$D$846= $D1687) * (H$768:H$846) )  +  SUM( ($A$933:$A$1011=$A1687) * ($D$933:$D$1011= $D1687) * (H$933:H$1011) ) + SUM( ($E$1016:$E$1039=$E$1427)*($A$1016:$A$1039=$A1687) * ($D$1016:$D$1039=$D1687)*(H$1016:H$1039) ) )</f>
        <v>0</v>
      </c>
      <c r="I1687" s="1379">
        <f t="array" ref="I1687" xml:space="preserve"> SUM(EF[N2O] * (EF[SATIM Code]= $D1687))  * (SUM( ($A$768:$A$846=$A1687) * ($D$768:$D$846= $D1687) * (I$768:I$846) )  +  SUM( ($A$933:$A$1011=$A1687) * ($D$933:$D$1011= $D1687) * (I$933:I$1011) ) + SUM( ($E$1016:$E$1039=$E$1427)*($A$1016:$A$1039=$A1687) * ($D$1016:$D$1039=$D1687)*(I$1016:I$1039) ) )</f>
        <v>0</v>
      </c>
      <c r="J1687" s="1379">
        <f t="array" ref="J1687" xml:space="preserve"> SUM(EF[N2O] * (EF[SATIM Code]= $D1687))  * (SUM( ($A$768:$A$846=$A1687) * ($D$768:$D$846= $D1687) * (J$768:J$846) )  +  SUM( ($A$933:$A$1011=$A1687) * ($D$933:$D$1011= $D1687) * (J$933:J$1011) ) + SUM( ($E$1016:$E$1039=$E$1427)*($A$1016:$A$1039=$A1687) * ($D$1016:$D$1039=$D1687)*(J$1016:J$1039) ) )</f>
        <v>0</v>
      </c>
      <c r="K1687" s="1379">
        <f t="array" ref="K1687" xml:space="preserve"> SUM(EF[N2O] * (EF[SATIM Code]= $D1687))  * (SUM( ($A$768:$A$846=$A1687) * ($D$768:$D$846= $D1687) * (K$768:K$846) )  +  SUM( ($A$933:$A$1011=$A1687) * ($D$933:$D$1011= $D1687) * (K$933:K$1011) ) + SUM( ($E$1016:$E$1039=$E$1427)*($A$1016:$A$1039=$A1687) * ($D$1016:$D$1039=$D1687)*(K$1016:K$1039) ) )</f>
        <v>0</v>
      </c>
      <c r="L1687" s="1379">
        <f t="array" ref="L1687" xml:space="preserve"> SUM(EF[N2O] * (EF[SATIM Code]= $D1687))  * (SUM( ($A$768:$A$846=$A1687) * ($D$768:$D$846= $D1687) * (L$768:L$846) )  +  SUM( ($A$933:$A$1011=$A1687) * ($D$933:$D$1011= $D1687) * (L$933:L$1011) ) + SUM( ($E$1016:$E$1039=$E$1427)*($A$1016:$A$1039=$A1687) * ($D$1016:$D$1039=$D1687)*(L$1016:L$1039) ) )</f>
        <v>0</v>
      </c>
      <c r="M1687" s="1379">
        <f t="array" ref="M1687" xml:space="preserve"> SUM(EF[N2O] * (EF[SATIM Code]= $D1687))  * (SUM( ($A$768:$A$846=$A1687) * ($D$768:$D$846= $D1687) * (M$768:M$846) )  +  SUM( ($A$933:$A$1011=$A1687) * ($D$933:$D$1011= $D1687) * (M$933:M$1011) ) + SUM( ($E$1016:$E$1039=$E$1427)*($A$1016:$A$1039=$A1687) * ($D$1016:$D$1039=$D1687)*(M$1016:M$1039) ) )</f>
        <v>0</v>
      </c>
      <c r="N1687" s="1379">
        <f t="array" ref="N1687" xml:space="preserve"> SUM(EF[N2O] * (EF[SATIM Code]= $D1687))  * (SUM( ($A$768:$A$846=$A1687) * ($D$768:$D$846= $D1687) * (N$768:N$846) )  +  SUM( ($A$933:$A$1011=$A1687) * ($D$933:$D$1011= $D1687) * (N$933:N$1011) ) + SUM( ($E$1016:$E$1039=$E$1427)*($A$1016:$A$1039=$A1687) * ($D$1016:$D$1039=$D1687)*(N$1016:N$1039) ) )</f>
        <v>0</v>
      </c>
      <c r="O1687" s="1379">
        <f t="array" ref="O1687" xml:space="preserve"> SUM(EF[N2O] * (EF[SATIM Code]= $D1687))  * (SUM( ($A$768:$A$846=$A1687) * ($D$768:$D$846= $D1687) * (O$768:O$846) )  +  SUM( ($A$933:$A$1011=$A1687) * ($D$933:$D$1011= $D1687) * (O$933:O$1011) ) + SUM( ($E$1016:$E$1039=$E$1427)*($A$1016:$A$1039=$A1687) * ($D$1016:$D$1039=$D1687)*(O$1016:O$1039) ) )</f>
        <v>0</v>
      </c>
    </row>
    <row r="1688" spans="1:15" s="19" customFormat="1" hidden="1" outlineLevel="1">
      <c r="A1688" s="19" t="str">
        <f t="shared" si="314"/>
        <v>PP</v>
      </c>
      <c r="B1688" s="1400" t="str">
        <f>INDEX(EF[UK Vector],MATCH(D1688,EF[SATIM Code],0))</f>
        <v>V.09</v>
      </c>
      <c r="C1688" s="1401" t="str">
        <f>INDEX(Vectors[Description], MATCH($B1688, Vectors[Code], 0))</f>
        <v>Dry biomass and waste</v>
      </c>
      <c r="D1688" s="1388" t="s">
        <v>889</v>
      </c>
      <c r="E1688" s="1393"/>
      <c r="F1688" s="1379">
        <f t="array" ref="F1688" xml:space="preserve"> SUM(EF[N2O] * (EF[SATIM Code]= $D1688))  * (SUM( ($A$768:$A$846=$A1688) * ($D$768:$D$846= $D1688) * (F$768:F$846) )  +  SUM( ($A$933:$A$1011=$A1688) * ($D$933:$D$1011= $D1688) * (F$933:F$1011) ) + SUM( ($E$1016:$E$1039=$E$1427)*($A$1016:$A$1039=$A1688) * ($D$1016:$D$1039=$D1688)*(F$1016:F$1039) ) )</f>
        <v>0</v>
      </c>
      <c r="G1688" s="1379">
        <f t="array" ref="G1688" xml:space="preserve"> SUM(EF[N2O] * (EF[SATIM Code]= $D1688))  * (SUM( ($A$768:$A$846=$A1688) * ($D$768:$D$846= $D1688) * (G$768:G$846) )  +  SUM( ($A$933:$A$1011=$A1688) * ($D$933:$D$1011= $D1688) * (G$933:G$1011) ) + SUM( ($E$1016:$E$1039=$E$1427)*($A$1016:$A$1039=$A1688) * ($D$1016:$D$1039=$D1688)*(G$1016:G$1039) ) )</f>
        <v>0</v>
      </c>
      <c r="H1688" s="1379">
        <f t="array" ref="H1688" xml:space="preserve"> SUM(EF[N2O] * (EF[SATIM Code]= $D1688))  * (SUM( ($A$768:$A$846=$A1688) * ($D$768:$D$846= $D1688) * (H$768:H$846) )  +  SUM( ($A$933:$A$1011=$A1688) * ($D$933:$D$1011= $D1688) * (H$933:H$1011) ) + SUM( ($E$1016:$E$1039=$E$1427)*($A$1016:$A$1039=$A1688) * ($D$1016:$D$1039=$D1688)*(H$1016:H$1039) ) )</f>
        <v>0</v>
      </c>
      <c r="I1688" s="1379">
        <f t="array" ref="I1688" xml:space="preserve"> SUM(EF[N2O] * (EF[SATIM Code]= $D1688))  * (SUM( ($A$768:$A$846=$A1688) * ($D$768:$D$846= $D1688) * (I$768:I$846) )  +  SUM( ($A$933:$A$1011=$A1688) * ($D$933:$D$1011= $D1688) * (I$933:I$1011) ) + SUM( ($E$1016:$E$1039=$E$1427)*($A$1016:$A$1039=$A1688) * ($D$1016:$D$1039=$D1688)*(I$1016:I$1039) ) )</f>
        <v>0</v>
      </c>
      <c r="J1688" s="1379">
        <f t="array" ref="J1688" xml:space="preserve"> SUM(EF[N2O] * (EF[SATIM Code]= $D1688))  * (SUM( ($A$768:$A$846=$A1688) * ($D$768:$D$846= $D1688) * (J$768:J$846) )  +  SUM( ($A$933:$A$1011=$A1688) * ($D$933:$D$1011= $D1688) * (J$933:J$1011) ) + SUM( ($E$1016:$E$1039=$E$1427)*($A$1016:$A$1039=$A1688) * ($D$1016:$D$1039=$D1688)*(J$1016:J$1039) ) )</f>
        <v>0</v>
      </c>
      <c r="K1688" s="1379">
        <f t="array" ref="K1688" xml:space="preserve"> SUM(EF[N2O] * (EF[SATIM Code]= $D1688))  * (SUM( ($A$768:$A$846=$A1688) * ($D$768:$D$846= $D1688) * (K$768:K$846) )  +  SUM( ($A$933:$A$1011=$A1688) * ($D$933:$D$1011= $D1688) * (K$933:K$1011) ) + SUM( ($E$1016:$E$1039=$E$1427)*($A$1016:$A$1039=$A1688) * ($D$1016:$D$1039=$D1688)*(K$1016:K$1039) ) )</f>
        <v>0</v>
      </c>
      <c r="L1688" s="1379">
        <f t="array" ref="L1688" xml:space="preserve"> SUM(EF[N2O] * (EF[SATIM Code]= $D1688))  * (SUM( ($A$768:$A$846=$A1688) * ($D$768:$D$846= $D1688) * (L$768:L$846) )  +  SUM( ($A$933:$A$1011=$A1688) * ($D$933:$D$1011= $D1688) * (L$933:L$1011) ) + SUM( ($E$1016:$E$1039=$E$1427)*($A$1016:$A$1039=$A1688) * ($D$1016:$D$1039=$D1688)*(L$1016:L$1039) ) )</f>
        <v>0</v>
      </c>
      <c r="M1688" s="1379">
        <f t="array" ref="M1688" xml:space="preserve"> SUM(EF[N2O] * (EF[SATIM Code]= $D1688))  * (SUM( ($A$768:$A$846=$A1688) * ($D$768:$D$846= $D1688) * (M$768:M$846) )  +  SUM( ($A$933:$A$1011=$A1688) * ($D$933:$D$1011= $D1688) * (M$933:M$1011) ) + SUM( ($E$1016:$E$1039=$E$1427)*($A$1016:$A$1039=$A1688) * ($D$1016:$D$1039=$D1688)*(M$1016:M$1039) ) )</f>
        <v>0</v>
      </c>
      <c r="N1688" s="1379">
        <f t="array" ref="N1688" xml:space="preserve"> SUM(EF[N2O] * (EF[SATIM Code]= $D1688))  * (SUM( ($A$768:$A$846=$A1688) * ($D$768:$D$846= $D1688) * (N$768:N$846) )  +  SUM( ($A$933:$A$1011=$A1688) * ($D$933:$D$1011= $D1688) * (N$933:N$1011) ) + SUM( ($E$1016:$E$1039=$E$1427)*($A$1016:$A$1039=$A1688) * ($D$1016:$D$1039=$D1688)*(N$1016:N$1039) ) )</f>
        <v>0</v>
      </c>
      <c r="O1688" s="1379">
        <f t="array" ref="O1688" xml:space="preserve"> SUM(EF[N2O] * (EF[SATIM Code]= $D1688))  * (SUM( ($A$768:$A$846=$A1688) * ($D$768:$D$846= $D1688) * (O$768:O$846) )  +  SUM( ($A$933:$A$1011=$A1688) * ($D$933:$D$1011= $D1688) * (O$933:O$1011) ) + SUM( ($E$1016:$E$1039=$E$1427)*($A$1016:$A$1039=$A1688) * ($D$1016:$D$1039=$D1688)*(O$1016:O$1039) ) )</f>
        <v>0</v>
      </c>
    </row>
    <row r="1689" spans="1:15" s="19" customFormat="1" hidden="1" outlineLevel="1">
      <c r="A1689" s="19" t="str">
        <f t="shared" si="314"/>
        <v>PP</v>
      </c>
      <c r="B1689" s="1400" t="str">
        <f>INDEX(EF[UK Vector],MATCH(D1689,EF[SATIM Code],0))</f>
        <v>V.16</v>
      </c>
      <c r="C1689" s="1401" t="str">
        <f>INDEX(Vectors[Description], MATCH($B1689, Vectors[Code], 0))</f>
        <v>Other Waste</v>
      </c>
      <c r="D1689" s="1408" t="s">
        <v>890</v>
      </c>
      <c r="E1689" s="1393"/>
      <c r="F1689" s="1379">
        <f t="array" ref="F1689" xml:space="preserve"> SUM(EF[N2O] * (EF[SATIM Code]= $D1689))  * (SUM( ($A$768:$A$846=$A1689) * ($D$768:$D$846= $D1689) * (F$768:F$846) )  +  SUM( ($A$933:$A$1011=$A1689) * ($D$933:$D$1011= $D1689) * (F$933:F$1011) ) + SUM( ($E$1016:$E$1039=$E$1427)*($A$1016:$A$1039=$A1689) * ($D$1016:$D$1039=$D1689)*(F$1016:F$1039) ) )</f>
        <v>0</v>
      </c>
      <c r="G1689" s="1379">
        <f t="array" ref="G1689" xml:space="preserve"> SUM(EF[N2O] * (EF[SATIM Code]= $D1689))  * (SUM( ($A$768:$A$846=$A1689) * ($D$768:$D$846= $D1689) * (G$768:G$846) )  +  SUM( ($A$933:$A$1011=$A1689) * ($D$933:$D$1011= $D1689) * (G$933:G$1011) ) + SUM( ($E$1016:$E$1039=$E$1427)*($A$1016:$A$1039=$A1689) * ($D$1016:$D$1039=$D1689)*(G$1016:G$1039) ) )</f>
        <v>0</v>
      </c>
      <c r="H1689" s="1379">
        <f t="array" ref="H1689" xml:space="preserve"> SUM(EF[N2O] * (EF[SATIM Code]= $D1689))  * (SUM( ($A$768:$A$846=$A1689) * ($D$768:$D$846= $D1689) * (H$768:H$846) )  +  SUM( ($A$933:$A$1011=$A1689) * ($D$933:$D$1011= $D1689) * (H$933:H$1011) ) + SUM( ($E$1016:$E$1039=$E$1427)*($A$1016:$A$1039=$A1689) * ($D$1016:$D$1039=$D1689)*(H$1016:H$1039) ) )</f>
        <v>0</v>
      </c>
      <c r="I1689" s="1379">
        <f t="array" ref="I1689" xml:space="preserve"> SUM(EF[N2O] * (EF[SATIM Code]= $D1689))  * (SUM( ($A$768:$A$846=$A1689) * ($D$768:$D$846= $D1689) * (I$768:I$846) )  +  SUM( ($A$933:$A$1011=$A1689) * ($D$933:$D$1011= $D1689) * (I$933:I$1011) ) + SUM( ($E$1016:$E$1039=$E$1427)*($A$1016:$A$1039=$A1689) * ($D$1016:$D$1039=$D1689)*(I$1016:I$1039) ) )</f>
        <v>0</v>
      </c>
      <c r="J1689" s="1379">
        <f t="array" ref="J1689" xml:space="preserve"> SUM(EF[N2O] * (EF[SATIM Code]= $D1689))  * (SUM( ($A$768:$A$846=$A1689) * ($D$768:$D$846= $D1689) * (J$768:J$846) )  +  SUM( ($A$933:$A$1011=$A1689) * ($D$933:$D$1011= $D1689) * (J$933:J$1011) ) + SUM( ($E$1016:$E$1039=$E$1427)*($A$1016:$A$1039=$A1689) * ($D$1016:$D$1039=$D1689)*(J$1016:J$1039) ) )</f>
        <v>0</v>
      </c>
      <c r="K1689" s="1379">
        <f t="array" ref="K1689" xml:space="preserve"> SUM(EF[N2O] * (EF[SATIM Code]= $D1689))  * (SUM( ($A$768:$A$846=$A1689) * ($D$768:$D$846= $D1689) * (K$768:K$846) )  +  SUM( ($A$933:$A$1011=$A1689) * ($D$933:$D$1011= $D1689) * (K$933:K$1011) ) + SUM( ($E$1016:$E$1039=$E$1427)*($A$1016:$A$1039=$A1689) * ($D$1016:$D$1039=$D1689)*(K$1016:K$1039) ) )</f>
        <v>0</v>
      </c>
      <c r="L1689" s="1379">
        <f t="array" ref="L1689" xml:space="preserve"> SUM(EF[N2O] * (EF[SATIM Code]= $D1689))  * (SUM( ($A$768:$A$846=$A1689) * ($D$768:$D$846= $D1689) * (L$768:L$846) )  +  SUM( ($A$933:$A$1011=$A1689) * ($D$933:$D$1011= $D1689) * (L$933:L$1011) ) + SUM( ($E$1016:$E$1039=$E$1427)*($A$1016:$A$1039=$A1689) * ($D$1016:$D$1039=$D1689)*(L$1016:L$1039) ) )</f>
        <v>0</v>
      </c>
      <c r="M1689" s="1379">
        <f t="array" ref="M1689" xml:space="preserve"> SUM(EF[N2O] * (EF[SATIM Code]= $D1689))  * (SUM( ($A$768:$A$846=$A1689) * ($D$768:$D$846= $D1689) * (M$768:M$846) )  +  SUM( ($A$933:$A$1011=$A1689) * ($D$933:$D$1011= $D1689) * (M$933:M$1011) ) + SUM( ($E$1016:$E$1039=$E$1427)*($A$1016:$A$1039=$A1689) * ($D$1016:$D$1039=$D1689)*(M$1016:M$1039) ) )</f>
        <v>0</v>
      </c>
      <c r="N1689" s="1379">
        <f t="array" ref="N1689" xml:space="preserve"> SUM(EF[N2O] * (EF[SATIM Code]= $D1689))  * (SUM( ($A$768:$A$846=$A1689) * ($D$768:$D$846= $D1689) * (N$768:N$846) )  +  SUM( ($A$933:$A$1011=$A1689) * ($D$933:$D$1011= $D1689) * (N$933:N$1011) ) + SUM( ($E$1016:$E$1039=$E$1427)*($A$1016:$A$1039=$A1689) * ($D$1016:$D$1039=$D1689)*(N$1016:N$1039) ) )</f>
        <v>0</v>
      </c>
      <c r="O1689" s="1379">
        <f t="array" ref="O1689" xml:space="preserve"> SUM(EF[N2O] * (EF[SATIM Code]= $D1689))  * (SUM( ($A$768:$A$846=$A1689) * ($D$768:$D$846= $D1689) * (O$768:O$846) )  +  SUM( ($A$933:$A$1011=$A1689) * ($D$933:$D$1011= $D1689) * (O$933:O$1011) ) + SUM( ($E$1016:$E$1039=$E$1427)*($A$1016:$A$1039=$A1689) * ($D$1016:$D$1039=$D1689)*(O$1016:O$1039) ) )</f>
        <v>0</v>
      </c>
    </row>
    <row r="1690" spans="1:15" s="19" customFormat="1" hidden="1" outlineLevel="1">
      <c r="B1690" s="1393"/>
      <c r="C1690" s="1407" t="str">
        <f>D27</f>
        <v>Other</v>
      </c>
      <c r="D1690" s="1391"/>
      <c r="E1690" s="1393"/>
      <c r="F1690" s="1379">
        <f t="array" ref="F1690" xml:space="preserve"> SUM(EF[N2O] * (EF[SATIM Code]= $D1690))  * (SUM( ($A$768:$A$846=$A1690) * ($D$768:$D$846= $D1690) * (F$768:F$846) )  +  SUM( ($A$933:$A$1011=$A1690) * ($D$933:$D$1011= $D1690) * (F$933:F$1011) ) + SUM( ($E$1016:$E$1039=$E$1427)*($A$1016:$A$1039=$A1690) * ($D$1016:$D$1039=$D1690)*(F$1016:F$1039) ) )</f>
        <v>0</v>
      </c>
      <c r="G1690" s="1379">
        <f t="array" ref="G1690" xml:space="preserve"> SUM(EF[N2O] * (EF[SATIM Code]= $D1690))  * (SUM( ($A$768:$A$846=$A1690) * ($D$768:$D$846= $D1690) * (G$768:G$846) )  +  SUM( ($A$933:$A$1011=$A1690) * ($D$933:$D$1011= $D1690) * (G$933:G$1011) ) + SUM( ($E$1016:$E$1039=$E$1427)*($A$1016:$A$1039=$A1690) * ($D$1016:$D$1039=$D1690)*(G$1016:G$1039) ) )</f>
        <v>0</v>
      </c>
      <c r="H1690" s="1379">
        <f t="array" ref="H1690" xml:space="preserve"> SUM(EF[N2O] * (EF[SATIM Code]= $D1690))  * (SUM( ($A$768:$A$846=$A1690) * ($D$768:$D$846= $D1690) * (H$768:H$846) )  +  SUM( ($A$933:$A$1011=$A1690) * ($D$933:$D$1011= $D1690) * (H$933:H$1011) ) + SUM( ($E$1016:$E$1039=$E$1427)*($A$1016:$A$1039=$A1690) * ($D$1016:$D$1039=$D1690)*(H$1016:H$1039) ) )</f>
        <v>0</v>
      </c>
      <c r="I1690" s="1379">
        <f t="array" ref="I1690" xml:space="preserve"> SUM(EF[N2O] * (EF[SATIM Code]= $D1690))  * (SUM( ($A$768:$A$846=$A1690) * ($D$768:$D$846= $D1690) * (I$768:I$846) )  +  SUM( ($A$933:$A$1011=$A1690) * ($D$933:$D$1011= $D1690) * (I$933:I$1011) ) + SUM( ($E$1016:$E$1039=$E$1427)*($A$1016:$A$1039=$A1690) * ($D$1016:$D$1039=$D1690)*(I$1016:I$1039) ) )</f>
        <v>0</v>
      </c>
      <c r="J1690" s="1379">
        <f t="array" ref="J1690" xml:space="preserve"> SUM(EF[N2O] * (EF[SATIM Code]= $D1690))  * (SUM( ($A$768:$A$846=$A1690) * ($D$768:$D$846= $D1690) * (J$768:J$846) )  +  SUM( ($A$933:$A$1011=$A1690) * ($D$933:$D$1011= $D1690) * (J$933:J$1011) ) + SUM( ($E$1016:$E$1039=$E$1427)*($A$1016:$A$1039=$A1690) * ($D$1016:$D$1039=$D1690)*(J$1016:J$1039) ) )</f>
        <v>0</v>
      </c>
      <c r="K1690" s="1379">
        <f t="array" ref="K1690" xml:space="preserve"> SUM(EF[N2O] * (EF[SATIM Code]= $D1690))  * (SUM( ($A$768:$A$846=$A1690) * ($D$768:$D$846= $D1690) * (K$768:K$846) )  +  SUM( ($A$933:$A$1011=$A1690) * ($D$933:$D$1011= $D1690) * (K$933:K$1011) ) + SUM( ($E$1016:$E$1039=$E$1427)*($A$1016:$A$1039=$A1690) * ($D$1016:$D$1039=$D1690)*(K$1016:K$1039) ) )</f>
        <v>0</v>
      </c>
      <c r="L1690" s="1379">
        <f t="array" ref="L1690" xml:space="preserve"> SUM(EF[N2O] * (EF[SATIM Code]= $D1690))  * (SUM( ($A$768:$A$846=$A1690) * ($D$768:$D$846= $D1690) * (L$768:L$846) )  +  SUM( ($A$933:$A$1011=$A1690) * ($D$933:$D$1011= $D1690) * (L$933:L$1011) ) + SUM( ($E$1016:$E$1039=$E$1427)*($A$1016:$A$1039=$A1690) * ($D$1016:$D$1039=$D1690)*(L$1016:L$1039) ) )</f>
        <v>0</v>
      </c>
      <c r="M1690" s="1379">
        <f t="array" ref="M1690" xml:space="preserve"> SUM(EF[N2O] * (EF[SATIM Code]= $D1690))  * (SUM( ($A$768:$A$846=$A1690) * ($D$768:$D$846= $D1690) * (M$768:M$846) )  +  SUM( ($A$933:$A$1011=$A1690) * ($D$933:$D$1011= $D1690) * (M$933:M$1011) ) + SUM( ($E$1016:$E$1039=$E$1427)*($A$1016:$A$1039=$A1690) * ($D$1016:$D$1039=$D1690)*(M$1016:M$1039) ) )</f>
        <v>0</v>
      </c>
      <c r="N1690" s="1379">
        <f t="array" ref="N1690" xml:space="preserve"> SUM(EF[N2O] * (EF[SATIM Code]= $D1690))  * (SUM( ($A$768:$A$846=$A1690) * ($D$768:$D$846= $D1690) * (N$768:N$846) )  +  SUM( ($A$933:$A$1011=$A1690) * ($D$933:$D$1011= $D1690) * (N$933:N$1011) ) + SUM( ($E$1016:$E$1039=$E$1427)*($A$1016:$A$1039=$A1690) * ($D$1016:$D$1039=$D1690)*(N$1016:N$1039) ) )</f>
        <v>0</v>
      </c>
      <c r="O1690" s="1379">
        <f t="array" ref="O1690" xml:space="preserve"> SUM(EF[N2O] * (EF[SATIM Code]= $D1690))  * (SUM( ($A$768:$A$846=$A1690) * ($D$768:$D$846= $D1690) * (O$768:O$846) )  +  SUM( ($A$933:$A$1011=$A1690) * ($D$933:$D$1011= $D1690) * (O$933:O$1011) ) + SUM( ($E$1016:$E$1039=$E$1427)*($A$1016:$A$1039=$A1690) * ($D$1016:$D$1039=$D1690)*(O$1016:O$1039) ) )</f>
        <v>0</v>
      </c>
    </row>
    <row r="1691" spans="1:15" s="19" customFormat="1" hidden="1" outlineLevel="1">
      <c r="A1691" s="1438" t="str">
        <f>INDEX($C$20:$C$27,MATCH($C1690,$D$20:$D$27,0))</f>
        <v>OT</v>
      </c>
      <c r="B1691" s="1400" t="str">
        <f>INDEX(EF[UK Vector],MATCH(D1691,EF[SATIM Code],0))</f>
        <v>V.03</v>
      </c>
      <c r="C1691" s="1401" t="str">
        <f>INDEX(Vectors[Description], MATCH($B1691, Vectors[Code], 0))</f>
        <v>Solid hydrocarbons</v>
      </c>
      <c r="D1691" s="1391" t="s">
        <v>882</v>
      </c>
      <c r="E1691" s="1393"/>
      <c r="F1691" s="1379">
        <f t="array" ref="F1691" xml:space="preserve"> SUM(EF[N2O] * (EF[SATIM Code]= $D1691))  * (SUM( ($A$768:$A$846=$A1691) * ($D$768:$D$846= $D1691) * (F$768:F$846) )  +  SUM( ($A$933:$A$1011=$A1691) * ($D$933:$D$1011= $D1691) * (F$933:F$1011) ) + SUM( ($E$1016:$E$1039=$E$1427)*($A$1016:$A$1039=$A1691) * ($D$1016:$D$1039=$D1691)*(F$1016:F$1039) ) )</f>
        <v>6.7035775858210703E-2</v>
      </c>
      <c r="G1691" s="1379">
        <f t="array" ref="G1691" xml:space="preserve"> SUM(EF[N2O] * (EF[SATIM Code]= $D1691))  * (SUM( ($A$768:$A$846=$A1691) * ($D$768:$D$846= $D1691) * (G$768:G$846) )  +  SUM( ($A$933:$A$1011=$A1691) * ($D$933:$D$1011= $D1691) * (G$933:G$1011) ) + SUM( ($E$1016:$E$1039=$E$1427)*($A$1016:$A$1039=$A1691) * ($D$1016:$D$1039=$D1691)*(G$1016:G$1039) ) )</f>
        <v>7.8358677711954192E-2</v>
      </c>
      <c r="H1691" s="1379">
        <f t="array" ref="H1691" xml:space="preserve"> SUM(EF[N2O] * (EF[SATIM Code]= $D1691))  * (SUM( ($A$768:$A$846=$A1691) * ($D$768:$D$846= $D1691) * (H$768:H$846) )  +  SUM( ($A$933:$A$1011=$A1691) * ($D$933:$D$1011= $D1691) * (H$933:H$1011) ) + SUM( ($E$1016:$E$1039=$E$1427)*($A$1016:$A$1039=$A1691) * ($D$1016:$D$1039=$D1691)*(H$1016:H$1039) ) )</f>
        <v>9.4878970073147759E-2</v>
      </c>
      <c r="I1691" s="1379">
        <f t="array" ref="I1691" xml:space="preserve"> SUM(EF[N2O] * (EF[SATIM Code]= $D1691))  * (SUM( ($A$768:$A$846=$A1691) * ($D$768:$D$846= $D1691) * (I$768:I$846) )  +  SUM( ($A$933:$A$1011=$A1691) * ($D$933:$D$1011= $D1691) * (I$933:I$1011) ) + SUM( ($E$1016:$E$1039=$E$1427)*($A$1016:$A$1039=$A1691) * ($D$1016:$D$1039=$D1691)*(I$1016:I$1039) ) )</f>
        <v>0.11139926243434134</v>
      </c>
      <c r="J1691" s="1379">
        <f t="array" ref="J1691" xml:space="preserve"> SUM(EF[N2O] * (EF[SATIM Code]= $D1691))  * (SUM( ($A$768:$A$846=$A1691) * ($D$768:$D$846= $D1691) * (J$768:J$846) )  +  SUM( ($A$933:$A$1011=$A1691) * ($D$933:$D$1011= $D1691) * (J$933:J$1011) ) + SUM( ($E$1016:$E$1039=$E$1427)*($A$1016:$A$1039=$A1691) * ($D$1016:$D$1039=$D1691)*(J$1016:J$1039) ) )</f>
        <v>0.13760313018674825</v>
      </c>
      <c r="K1691" s="1379">
        <f t="array" ref="K1691" xml:space="preserve"> SUM(EF[N2O] * (EF[SATIM Code]= $D1691))  * (SUM( ($A$768:$A$846=$A1691) * ($D$768:$D$846= $D1691) * (K$768:K$846) )  +  SUM( ($A$933:$A$1011=$A1691) * ($D$933:$D$1011= $D1691) * (K$933:K$1011) ) + SUM( ($E$1016:$E$1039=$E$1427)*($A$1016:$A$1039=$A1691) * ($D$1016:$D$1039=$D1691)*(K$1016:K$1039) ) )</f>
        <v>0.16380699793915515</v>
      </c>
      <c r="L1691" s="1379">
        <f t="array" ref="L1691" xml:space="preserve"> SUM(EF[N2O] * (EF[SATIM Code]= $D1691))  * (SUM( ($A$768:$A$846=$A1691) * ($D$768:$D$846= $D1691) * (L$768:L$846) )  +  SUM( ($A$933:$A$1011=$A1691) * ($D$933:$D$1011= $D1691) * (L$933:L$1011) ) + SUM( ($E$1016:$E$1039=$E$1427)*($A$1016:$A$1039=$A1691) * ($D$1016:$D$1039=$D1691)*(L$1016:L$1039) ) )</f>
        <v>0.20836875854997669</v>
      </c>
      <c r="M1691" s="1379">
        <f t="array" ref="M1691" xml:space="preserve"> SUM(EF[N2O] * (EF[SATIM Code]= $D1691))  * (SUM( ($A$768:$A$846=$A1691) * ($D$768:$D$846= $D1691) * (M$768:M$846) )  +  SUM( ($A$933:$A$1011=$A1691) * ($D$933:$D$1011= $D1691) * (M$933:M$1011) ) + SUM( ($E$1016:$E$1039=$E$1427)*($A$1016:$A$1039=$A1691) * ($D$1016:$D$1039=$D1691)*(M$1016:M$1039) ) )</f>
        <v>0.25293051916079823</v>
      </c>
      <c r="N1691" s="1379">
        <f t="array" ref="N1691" xml:space="preserve"> SUM(EF[N2O] * (EF[SATIM Code]= $D1691))  * (SUM( ($A$768:$A$846=$A1691) * ($D$768:$D$846= $D1691) * (N$768:N$846) )  +  SUM( ($A$933:$A$1011=$A1691) * ($D$933:$D$1011= $D1691) * (N$933:N$1011) ) + SUM( ($E$1016:$E$1039=$E$1427)*($A$1016:$A$1039=$A1691) * ($D$1016:$D$1039=$D1691)*(N$1016:N$1039) ) )</f>
        <v>0.30520820670591542</v>
      </c>
      <c r="O1691" s="1379">
        <f t="array" ref="O1691" xml:space="preserve"> SUM(EF[N2O] * (EF[SATIM Code]= $D1691))  * (SUM( ($A$768:$A$846=$A1691) * ($D$768:$D$846= $D1691) * (O$768:O$846) )  +  SUM( ($A$933:$A$1011=$A1691) * ($D$933:$D$1011= $D1691) * (O$933:O$1011) ) + SUM( ($E$1016:$E$1039=$E$1427)*($A$1016:$A$1039=$A1691) * ($D$1016:$D$1039=$D1691)*(O$1016:O$1039) ) )</f>
        <v>0.35748589425103261</v>
      </c>
    </row>
    <row r="1692" spans="1:15" s="19" customFormat="1" hidden="1" outlineLevel="1">
      <c r="A1692" s="19" t="str">
        <f t="shared" ref="A1692:A1699" si="315">A1691</f>
        <v>OT</v>
      </c>
      <c r="B1692" s="1400" t="str">
        <f>INDEX(EF[UK Vector],MATCH(D1692,EF[SATIM Code],0))</f>
        <v>V.03</v>
      </c>
      <c r="C1692" s="1401" t="str">
        <f>INDEX(Vectors[Description], MATCH($B1692, Vectors[Code], 0))</f>
        <v>Solid hydrocarbons</v>
      </c>
      <c r="D1692" s="1391" t="s">
        <v>883</v>
      </c>
      <c r="E1692" s="1393"/>
      <c r="F1692" s="1379">
        <f t="array" ref="F1692" xml:space="preserve"> SUM(EF[N2O] * (EF[SATIM Code]= $D1692))  * (SUM( ($A$768:$A$846=$A1692) * ($D$768:$D$846= $D1692) * (F$768:F$846) )  +  SUM( ($A$933:$A$1011=$A1692) * ($D$933:$D$1011= $D1692) * (F$933:F$1011) ) + SUM( ($E$1016:$E$1039=$E$1427)*($A$1016:$A$1039=$A1692) * ($D$1016:$D$1039=$D1692)*(F$1016:F$1039) ) )</f>
        <v>0</v>
      </c>
      <c r="G1692" s="1379">
        <f t="array" ref="G1692" xml:space="preserve"> SUM(EF[N2O] * (EF[SATIM Code]= $D1692))  * (SUM( ($A$768:$A$846=$A1692) * ($D$768:$D$846= $D1692) * (G$768:G$846) )  +  SUM( ($A$933:$A$1011=$A1692) * ($D$933:$D$1011= $D1692) * (G$933:G$1011) ) + SUM( ($E$1016:$E$1039=$E$1427)*($A$1016:$A$1039=$A1692) * ($D$1016:$D$1039=$D1692)*(G$1016:G$1039) ) )</f>
        <v>0</v>
      </c>
      <c r="H1692" s="1379">
        <f t="array" ref="H1692" xml:space="preserve"> SUM(EF[N2O] * (EF[SATIM Code]= $D1692))  * (SUM( ($A$768:$A$846=$A1692) * ($D$768:$D$846= $D1692) * (H$768:H$846) )  +  SUM( ($A$933:$A$1011=$A1692) * ($D$933:$D$1011= $D1692) * (H$933:H$1011) ) + SUM( ($E$1016:$E$1039=$E$1427)*($A$1016:$A$1039=$A1692) * ($D$1016:$D$1039=$D1692)*(H$1016:H$1039) ) )</f>
        <v>0</v>
      </c>
      <c r="I1692" s="1379">
        <f t="array" ref="I1692" xml:space="preserve"> SUM(EF[N2O] * (EF[SATIM Code]= $D1692))  * (SUM( ($A$768:$A$846=$A1692) * ($D$768:$D$846= $D1692) * (I$768:I$846) )  +  SUM( ($A$933:$A$1011=$A1692) * ($D$933:$D$1011= $D1692) * (I$933:I$1011) ) + SUM( ($E$1016:$E$1039=$E$1427)*($A$1016:$A$1039=$A1692) * ($D$1016:$D$1039=$D1692)*(I$1016:I$1039) ) )</f>
        <v>0</v>
      </c>
      <c r="J1692" s="1379">
        <f t="array" ref="J1692" xml:space="preserve"> SUM(EF[N2O] * (EF[SATIM Code]= $D1692))  * (SUM( ($A$768:$A$846=$A1692) * ($D$768:$D$846= $D1692) * (J$768:J$846) )  +  SUM( ($A$933:$A$1011=$A1692) * ($D$933:$D$1011= $D1692) * (J$933:J$1011) ) + SUM( ($E$1016:$E$1039=$E$1427)*($A$1016:$A$1039=$A1692) * ($D$1016:$D$1039=$D1692)*(J$1016:J$1039) ) )</f>
        <v>0</v>
      </c>
      <c r="K1692" s="1379">
        <f t="array" ref="K1692" xml:space="preserve"> SUM(EF[N2O] * (EF[SATIM Code]= $D1692))  * (SUM( ($A$768:$A$846=$A1692) * ($D$768:$D$846= $D1692) * (K$768:K$846) )  +  SUM( ($A$933:$A$1011=$A1692) * ($D$933:$D$1011= $D1692) * (K$933:K$1011) ) + SUM( ($E$1016:$E$1039=$E$1427)*($A$1016:$A$1039=$A1692) * ($D$1016:$D$1039=$D1692)*(K$1016:K$1039) ) )</f>
        <v>0</v>
      </c>
      <c r="L1692" s="1379">
        <f t="array" ref="L1692" xml:space="preserve"> SUM(EF[N2O] * (EF[SATIM Code]= $D1692))  * (SUM( ($A$768:$A$846=$A1692) * ($D$768:$D$846= $D1692) * (L$768:L$846) )  +  SUM( ($A$933:$A$1011=$A1692) * ($D$933:$D$1011= $D1692) * (L$933:L$1011) ) + SUM( ($E$1016:$E$1039=$E$1427)*($A$1016:$A$1039=$A1692) * ($D$1016:$D$1039=$D1692)*(L$1016:L$1039) ) )</f>
        <v>0</v>
      </c>
      <c r="M1692" s="1379">
        <f t="array" ref="M1692" xml:space="preserve"> SUM(EF[N2O] * (EF[SATIM Code]= $D1692))  * (SUM( ($A$768:$A$846=$A1692) * ($D$768:$D$846= $D1692) * (M$768:M$846) )  +  SUM( ($A$933:$A$1011=$A1692) * ($D$933:$D$1011= $D1692) * (M$933:M$1011) ) + SUM( ($E$1016:$E$1039=$E$1427)*($A$1016:$A$1039=$A1692) * ($D$1016:$D$1039=$D1692)*(M$1016:M$1039) ) )</f>
        <v>0</v>
      </c>
      <c r="N1692" s="1379">
        <f t="array" ref="N1692" xml:space="preserve"> SUM(EF[N2O] * (EF[SATIM Code]= $D1692))  * (SUM( ($A$768:$A$846=$A1692) * ($D$768:$D$846= $D1692) * (N$768:N$846) )  +  SUM( ($A$933:$A$1011=$A1692) * ($D$933:$D$1011= $D1692) * (N$933:N$1011) ) + SUM( ($E$1016:$E$1039=$E$1427)*($A$1016:$A$1039=$A1692) * ($D$1016:$D$1039=$D1692)*(N$1016:N$1039) ) )</f>
        <v>0</v>
      </c>
      <c r="O1692" s="1379">
        <f t="array" ref="O1692" xml:space="preserve"> SUM(EF[N2O] * (EF[SATIM Code]= $D1692))  * (SUM( ($A$768:$A$846=$A1692) * ($D$768:$D$846= $D1692) * (O$768:O$846) )  +  SUM( ($A$933:$A$1011=$A1692) * ($D$933:$D$1011= $D1692) * (O$933:O$1011) ) + SUM( ($E$1016:$E$1039=$E$1427)*($A$1016:$A$1039=$A1692) * ($D$1016:$D$1039=$D1692)*(O$1016:O$1039) ) )</f>
        <v>0</v>
      </c>
    </row>
    <row r="1693" spans="1:15" s="19" customFormat="1" hidden="1" outlineLevel="1">
      <c r="A1693" s="19" t="str">
        <f t="shared" si="315"/>
        <v>OT</v>
      </c>
      <c r="B1693" s="1400" t="str">
        <f>INDEX(EF[UK Vector],MATCH(D1693,EF[SATIM Code],0))</f>
        <v>V.05</v>
      </c>
      <c r="C1693" s="1401" t="str">
        <f>INDEX(Vectors[Description], MATCH($B1693, Vectors[Code], 0))</f>
        <v>Gaseous hydrocarbons</v>
      </c>
      <c r="D1693" s="1406" t="s">
        <v>869</v>
      </c>
      <c r="E1693" s="1393"/>
      <c r="F1693" s="1379">
        <f t="array" ref="F1693" xml:space="preserve"> SUM(EF[N2O] * (EF[SATIM Code]= $D1693))  * (SUM( ($A$768:$A$846=$A1693) * ($D$768:$D$846= $D1693) * (F$768:F$846) )  +  SUM( ($A$933:$A$1011=$A1693) * ($D$933:$D$1011= $D1693) * (F$933:F$1011) ) + SUM( ($E$1016:$E$1039=$E$1427)*($A$1016:$A$1039=$A1693) * ($D$1016:$D$1039=$D1693)*(F$1016:F$1039) ) )</f>
        <v>2.6153180999999998E-4</v>
      </c>
      <c r="G1693" s="1379">
        <f t="array" ref="G1693" xml:space="preserve"> SUM(EF[N2O] * (EF[SATIM Code]= $D1693))  * (SUM( ($A$768:$A$846=$A1693) * ($D$768:$D$846= $D1693) * (G$768:G$846) )  +  SUM( ($A$933:$A$1011=$A1693) * ($D$933:$D$1011= $D1693) * (G$933:G$1011) ) + SUM( ($E$1016:$E$1039=$E$1427)*($A$1016:$A$1039=$A1693) * ($D$1016:$D$1039=$D1693)*(G$1016:G$1039) ) )</f>
        <v>3.0570671479300808E-4</v>
      </c>
      <c r="H1693" s="1379">
        <f t="array" ref="H1693" xml:space="preserve"> SUM(EF[N2O] * (EF[SATIM Code]= $D1693))  * (SUM( ($A$768:$A$846=$A1693) * ($D$768:$D$846= $D1693) * (H$768:H$846) )  +  SUM( ($A$933:$A$1011=$A1693) * ($D$933:$D$1011= $D1693) * (H$933:H$1011) ) + SUM( ($E$1016:$E$1039=$E$1427)*($A$1016:$A$1039=$A1693) * ($D$1016:$D$1039=$D1693)*(H$1016:H$1039) ) )</f>
        <v>3.7015859750248427E-4</v>
      </c>
      <c r="I1693" s="1379">
        <f t="array" ref="I1693" xml:space="preserve"> SUM(EF[N2O] * (EF[SATIM Code]= $D1693))  * (SUM( ($A$768:$A$846=$A1693) * ($D$768:$D$846= $D1693) * (I$768:I$846) )  +  SUM( ($A$933:$A$1011=$A1693) * ($D$933:$D$1011= $D1693) * (I$933:I$1011) ) + SUM( ($E$1016:$E$1039=$E$1427)*($A$1016:$A$1039=$A1693) * ($D$1016:$D$1039=$D1693)*(I$1016:I$1039) ) )</f>
        <v>4.3461048021196046E-4</v>
      </c>
      <c r="J1693" s="1379">
        <f t="array" ref="J1693" xml:space="preserve"> SUM(EF[N2O] * (EF[SATIM Code]= $D1693))  * (SUM( ($A$768:$A$846=$A1693) * ($D$768:$D$846= $D1693) * (J$768:J$846) )  +  SUM( ($A$933:$A$1011=$A1693) * ($D$933:$D$1011= $D1693) * (J$933:J$1011) ) + SUM( ($E$1016:$E$1039=$E$1427)*($A$1016:$A$1039=$A1693) * ($D$1016:$D$1039=$D1693)*(J$1016:J$1039) ) )</f>
        <v>5.3684163774764542E-4</v>
      </c>
      <c r="K1693" s="1379">
        <f t="array" ref="K1693" xml:space="preserve"> SUM(EF[N2O] * (EF[SATIM Code]= $D1693))  * (SUM( ($A$768:$A$846=$A1693) * ($D$768:$D$846= $D1693) * (K$768:K$846) )  +  SUM( ($A$933:$A$1011=$A1693) * ($D$933:$D$1011= $D1693) * (K$933:K$1011) ) + SUM( ($E$1016:$E$1039=$E$1427)*($A$1016:$A$1039=$A1693) * ($D$1016:$D$1039=$D1693)*(K$1016:K$1039) ) )</f>
        <v>6.3907279528333037E-4</v>
      </c>
      <c r="L1693" s="1379">
        <f t="array" ref="L1693" xml:space="preserve"> SUM(EF[N2O] * (EF[SATIM Code]= $D1693))  * (SUM( ($A$768:$A$846=$A1693) * ($D$768:$D$846= $D1693) * (L$768:L$846) )  +  SUM( ($A$933:$A$1011=$A1693) * ($D$933:$D$1011= $D1693) * (L$933:L$1011) ) + SUM( ($E$1016:$E$1039=$E$1427)*($A$1016:$A$1039=$A1693) * ($D$1016:$D$1039=$D1693)*(L$1016:L$1039) ) )</f>
        <v>8.1292500718261902E-4</v>
      </c>
      <c r="M1693" s="1379">
        <f t="array" ref="M1693" xml:space="preserve"> SUM(EF[N2O] * (EF[SATIM Code]= $D1693))  * (SUM( ($A$768:$A$846=$A1693) * ($D$768:$D$846= $D1693) * (M$768:M$846) )  +  SUM( ($A$933:$A$1011=$A1693) * ($D$933:$D$1011= $D1693) * (M$933:M$1011) ) + SUM( ($E$1016:$E$1039=$E$1427)*($A$1016:$A$1039=$A1693) * ($D$1016:$D$1039=$D1693)*(M$1016:M$1039) ) )</f>
        <v>9.8677721908190766E-4</v>
      </c>
      <c r="N1693" s="1379">
        <f t="array" ref="N1693" xml:space="preserve"> SUM(EF[N2O] * (EF[SATIM Code]= $D1693))  * (SUM( ($A$768:$A$846=$A1693) * ($D$768:$D$846= $D1693) * (N$768:N$846) )  +  SUM( ($A$933:$A$1011=$A1693) * ($D$933:$D$1011= $D1693) * (N$933:N$1011) ) + SUM( ($E$1016:$E$1039=$E$1427)*($A$1016:$A$1039=$A1693) * ($D$1016:$D$1039=$D1693)*(N$1016:N$1039) ) )</f>
        <v>1.1907321680811938E-3</v>
      </c>
      <c r="O1693" s="1379">
        <f t="array" ref="O1693" xml:space="preserve"> SUM(EF[N2O] * (EF[SATIM Code]= $D1693))  * (SUM( ($A$768:$A$846=$A1693) * ($D$768:$D$846= $D1693) * (O$768:O$846) )  +  SUM( ($A$933:$A$1011=$A1693) * ($D$933:$D$1011= $D1693) * (O$933:O$1011) ) + SUM( ($E$1016:$E$1039=$E$1427)*($A$1016:$A$1039=$A1693) * ($D$1016:$D$1039=$D1693)*(O$1016:O$1039) ) )</f>
        <v>1.3946871170804802E-3</v>
      </c>
    </row>
    <row r="1694" spans="1:15" s="19" customFormat="1" hidden="1" outlineLevel="1">
      <c r="A1694" s="19" t="str">
        <f t="shared" si="315"/>
        <v>OT</v>
      </c>
      <c r="B1694" s="1400" t="str">
        <f>INDEX(EF[UK Vector],MATCH(D1694,EF[SATIM Code],0))</f>
        <v>V.04</v>
      </c>
      <c r="C1694" s="1401" t="str">
        <f>INDEX(Vectors[Description], MATCH($B1694, Vectors[Code], 0))</f>
        <v>Liquid hydrocarbons</v>
      </c>
      <c r="D1694" s="1406" t="s">
        <v>885</v>
      </c>
      <c r="E1694" s="1393"/>
      <c r="F1694" s="1379">
        <f t="array" ref="F1694" xml:space="preserve"> SUM(EF[N2O] * (EF[SATIM Code]= $D1694))  * (SUM( ($A$768:$A$846=$A1694) * ($D$768:$D$846= $D1694) * (F$768:F$846) )  +  SUM( ($A$933:$A$1011=$A1694) * ($D$933:$D$1011= $D1694) * (F$933:F$1011) ) + SUM( ($E$1016:$E$1039=$E$1427)*($A$1016:$A$1039=$A1694) * ($D$1016:$D$1039=$D1694)*(F$1016:F$1039) ) )</f>
        <v>1.6693415481600002E-5</v>
      </c>
      <c r="G1694" s="1379">
        <f t="array" ref="G1694" xml:space="preserve"> SUM(EF[N2O] * (EF[SATIM Code]= $D1694))  * (SUM( ($A$768:$A$846=$A1694) * ($D$768:$D$846= $D1694) * (G$768:G$846) )  +  SUM( ($A$933:$A$1011=$A1694) * ($D$933:$D$1011= $D1694) * (G$933:G$1011) ) + SUM( ($E$1016:$E$1039=$E$1427)*($A$1016:$A$1039=$A1694) * ($D$1016:$D$1039=$D1694)*(G$1016:G$1039) ) )</f>
        <v>1.951307263752993E-5</v>
      </c>
      <c r="H1694" s="1379">
        <f t="array" ref="H1694" xml:space="preserve"> SUM(EF[N2O] * (EF[SATIM Code]= $D1694))  * (SUM( ($A$768:$A$846=$A1694) * ($D$768:$D$846= $D1694) * (H$768:H$846) )  +  SUM( ($A$933:$A$1011=$A1694) * ($D$933:$D$1011= $D1694) * (H$933:H$1011) ) + SUM( ($E$1016:$E$1039=$E$1427)*($A$1016:$A$1039=$A1694) * ($D$1016:$D$1039=$D1694)*(H$1016:H$1039) ) )</f>
        <v>2.3626996892635411E-5</v>
      </c>
      <c r="I1694" s="1379">
        <f t="array" ref="I1694" xml:space="preserve"> SUM(EF[N2O] * (EF[SATIM Code]= $D1694))  * (SUM( ($A$768:$A$846=$A1694) * ($D$768:$D$846= $D1694) * (I$768:I$846) )  +  SUM( ($A$933:$A$1011=$A1694) * ($D$933:$D$1011= $D1694) * (I$933:I$1011) ) + SUM( ($E$1016:$E$1039=$E$1427)*($A$1016:$A$1039=$A1694) * ($D$1016:$D$1039=$D1694)*(I$1016:I$1039) ) )</f>
        <v>2.7740921147740887E-5</v>
      </c>
      <c r="J1694" s="1379">
        <f t="array" ref="J1694" xml:space="preserve"> SUM(EF[N2O] * (EF[SATIM Code]= $D1694))  * (SUM( ($A$768:$A$846=$A1694) * ($D$768:$D$846= $D1694) * (J$768:J$846) )  +  SUM( ($A$933:$A$1011=$A1694) * ($D$933:$D$1011= $D1694) * (J$933:J$1011) ) + SUM( ($E$1016:$E$1039=$E$1427)*($A$1016:$A$1039=$A1694) * ($D$1016:$D$1039=$D1694)*(J$1016:J$1039) ) )</f>
        <v>3.4266273409510086E-5</v>
      </c>
      <c r="K1694" s="1379">
        <f t="array" ref="K1694" xml:space="preserve"> SUM(EF[N2O] * (EF[SATIM Code]= $D1694))  * (SUM( ($A$768:$A$846=$A1694) * ($D$768:$D$846= $D1694) * (K$768:K$846) )  +  SUM( ($A$933:$A$1011=$A1694) * ($D$933:$D$1011= $D1694) * (K$933:K$1011) ) + SUM( ($E$1016:$E$1039=$E$1427)*($A$1016:$A$1039=$A1694) * ($D$1016:$D$1039=$D1694)*(K$1016:K$1039) ) )</f>
        <v>4.0791625671279282E-5</v>
      </c>
      <c r="L1694" s="1379">
        <f t="array" ref="L1694" xml:space="preserve"> SUM(EF[N2O] * (EF[SATIM Code]= $D1694))  * (SUM( ($A$768:$A$846=$A1694) * ($D$768:$D$846= $D1694) * (L$768:L$846) )  +  SUM( ($A$933:$A$1011=$A1694) * ($D$933:$D$1011= $D1694) * (L$933:L$1011) ) + SUM( ($E$1016:$E$1039=$E$1427)*($A$1016:$A$1039=$A1694) * ($D$1016:$D$1039=$D1694)*(L$1016:L$1039) ) )</f>
        <v>5.1888506030230598E-5</v>
      </c>
      <c r="M1694" s="1379">
        <f t="array" ref="M1694" xml:space="preserve"> SUM(EF[N2O] * (EF[SATIM Code]= $D1694))  * (SUM( ($A$768:$A$846=$A1694) * ($D$768:$D$846= $D1694) * (M$768:M$846) )  +  SUM( ($A$933:$A$1011=$A1694) * ($D$933:$D$1011= $D1694) * (M$933:M$1011) ) + SUM( ($E$1016:$E$1039=$E$1427)*($A$1016:$A$1039=$A1694) * ($D$1016:$D$1039=$D1694)*(M$1016:M$1039) ) )</f>
        <v>6.2985386389181915E-5</v>
      </c>
      <c r="N1694" s="1379">
        <f t="array" ref="N1694" xml:space="preserve"> SUM(EF[N2O] * (EF[SATIM Code]= $D1694))  * (SUM( ($A$768:$A$846=$A1694) * ($D$768:$D$846= $D1694) * (N$768:N$846) )  +  SUM( ($A$933:$A$1011=$A1694) * ($D$933:$D$1011= $D1694) * (N$933:N$1011) ) + SUM( ($E$1016:$E$1039=$E$1427)*($A$1016:$A$1039=$A1694) * ($D$1016:$D$1039=$D1694)*(N$1016:N$1039) ) )</f>
        <v>7.6003706046640109E-5</v>
      </c>
      <c r="O1694" s="1379">
        <f t="array" ref="O1694" xml:space="preserve"> SUM(EF[N2O] * (EF[SATIM Code]= $D1694))  * (SUM( ($A$768:$A$846=$A1694) * ($D$768:$D$846= $D1694) * (O$768:O$846) )  +  SUM( ($A$933:$A$1011=$A1694) * ($D$933:$D$1011= $D1694) * (O$933:O$1011) ) + SUM( ($E$1016:$E$1039=$E$1427)*($A$1016:$A$1039=$A1694) * ($D$1016:$D$1039=$D1694)*(O$1016:O$1039) ) )</f>
        <v>8.902202570409833E-5</v>
      </c>
    </row>
    <row r="1695" spans="1:15" s="19" customFormat="1" hidden="1" outlineLevel="1">
      <c r="A1695" s="19" t="str">
        <f t="shared" si="315"/>
        <v>OT</v>
      </c>
      <c r="B1695" s="1400" t="str">
        <f>INDEX(EF[UK Vector],MATCH(D1695,EF[SATIM Code],0))</f>
        <v>V.04</v>
      </c>
      <c r="C1695" s="1401" t="str">
        <f>INDEX(Vectors[Description], MATCH($B1695, Vectors[Code], 0))</f>
        <v>Liquid hydrocarbons</v>
      </c>
      <c r="D1695" s="1391" t="s">
        <v>886</v>
      </c>
      <c r="E1695" s="1393"/>
      <c r="F1695" s="1379">
        <f t="array" ref="F1695" xml:space="preserve"> SUM(EF[N2O] * (EF[SATIM Code]= $D1695))  * (SUM( ($A$768:$A$846=$A1695) * ($D$768:$D$846= $D1695) * (F$768:F$846) )  +  SUM( ($A$933:$A$1011=$A1695) * ($D$933:$D$1011= $D1695) * (F$933:F$1011) ) + SUM( ($E$1016:$E$1039=$E$1427)*($A$1016:$A$1039=$A1695) * ($D$1016:$D$1039=$D1695)*(F$1016:F$1039) ) )</f>
        <v>1.4630425872947999E-3</v>
      </c>
      <c r="G1695" s="1379">
        <f t="array" ref="G1695" xml:space="preserve"> SUM(EF[N2O] * (EF[SATIM Code]= $D1695))  * (SUM( ($A$768:$A$846=$A1695) * ($D$768:$D$846= $D1695) * (G$768:G$846) )  +  SUM( ($A$933:$A$1011=$A1695) * ($D$933:$D$1011= $D1695) * (G$933:G$1011) ) + SUM( ($E$1016:$E$1039=$E$1427)*($A$1016:$A$1039=$A1695) * ($D$1016:$D$1039=$D1695)*(G$1016:G$1039) ) )</f>
        <v>1.7107612577220617E-3</v>
      </c>
      <c r="H1695" s="1379">
        <f t="array" ref="H1695" xml:space="preserve"> SUM(EF[N2O] * (EF[SATIM Code]= $D1695))  * (SUM( ($A$768:$A$846=$A1695) * ($D$768:$D$846= $D1695) * (H$768:H$846) )  +  SUM( ($A$933:$A$1011=$A1695) * ($D$933:$D$1011= $D1695) * (H$933:H$1011) ) + SUM( ($E$1016:$E$1039=$E$1427)*($A$1016:$A$1039=$A1695) * ($D$1016:$D$1039=$D1695)*(H$1016:H$1039) ) )</f>
        <v>2.0345437673228396E-3</v>
      </c>
      <c r="I1695" s="1379">
        <f t="array" ref="I1695" xml:space="preserve"> SUM(EF[N2O] * (EF[SATIM Code]= $D1695))  * (SUM( ($A$768:$A$846=$A1695) * ($D$768:$D$846= $D1695) * (I$768:I$846) )  +  SUM( ($A$933:$A$1011=$A1695) * ($D$933:$D$1011= $D1695) * (I$933:I$1011) ) + SUM( ($E$1016:$E$1039=$E$1427)*($A$1016:$A$1039=$A1695) * ($D$1016:$D$1039=$D1695)*(I$1016:I$1039) ) )</f>
        <v>2.4367470306640637E-3</v>
      </c>
      <c r="J1695" s="1379">
        <f t="array" ref="J1695" xml:space="preserve"> SUM(EF[N2O] * (EF[SATIM Code]= $D1695))  * (SUM( ($A$768:$A$846=$A1695) * ($D$768:$D$846= $D1695) * (J$768:J$846) )  +  SUM( ($A$933:$A$1011=$A1695) * ($D$933:$D$1011= $D1695) * (J$933:J$1011) ) + SUM( ($E$1016:$E$1039=$E$1427)*($A$1016:$A$1039=$A1695) * ($D$1016:$D$1039=$D1695)*(J$1016:J$1039) ) )</f>
        <v>2.9432758797149662E-3</v>
      </c>
      <c r="K1695" s="1379">
        <f t="array" ref="K1695" xml:space="preserve"> SUM(EF[N2O] * (EF[SATIM Code]= $D1695))  * (SUM( ($A$768:$A$846=$A1695) * ($D$768:$D$846= $D1695) * (K$768:K$846) )  +  SUM( ($A$933:$A$1011=$A1695) * ($D$933:$D$1011= $D1695) * (K$933:K$1011) ) + SUM( ($E$1016:$E$1039=$E$1427)*($A$1016:$A$1039=$A1695) * ($D$1016:$D$1039=$D1695)*(K$1016:K$1039) ) )</f>
        <v>3.5956071031187959E-3</v>
      </c>
      <c r="L1695" s="1379">
        <f t="array" ref="L1695" xml:space="preserve"> SUM(EF[N2O] * (EF[SATIM Code]= $D1695))  * (SUM( ($A$768:$A$846=$A1695) * ($D$768:$D$846= $D1695) * (L$768:L$846) )  +  SUM( ($A$933:$A$1011=$A1695) * ($D$933:$D$1011= $D1695) * (L$933:L$1011) ) + SUM( ($E$1016:$E$1039=$E$1427)*($A$1016:$A$1039=$A1695) * ($D$1016:$D$1039=$D1695)*(L$1016:L$1039) ) )</f>
        <v>4.5181088170222136E-3</v>
      </c>
      <c r="M1695" s="1379">
        <f t="array" ref="M1695" xml:space="preserve"> SUM(EF[N2O] * (EF[SATIM Code]= $D1695))  * (SUM( ($A$768:$A$846=$A1695) * ($D$768:$D$846= $D1695) * (M$768:M$846) )  +  SUM( ($A$933:$A$1011=$A1695) * ($D$933:$D$1011= $D1695) * (M$933:M$1011) ) + SUM( ($E$1016:$E$1039=$E$1427)*($A$1016:$A$1039=$A1695) * ($D$1016:$D$1039=$D1695)*(M$1016:M$1039) ) )</f>
        <v>5.5683142641661781E-3</v>
      </c>
      <c r="N1695" s="1379">
        <f t="array" ref="N1695" xml:space="preserve"> SUM(EF[N2O] * (EF[SATIM Code]= $D1695))  * (SUM( ($A$768:$A$846=$A1695) * ($D$768:$D$846= $D1695) * (N$768:N$846) )  +  SUM( ($A$933:$A$1011=$A1695) * ($D$933:$D$1011= $D1695) * (N$933:N$1011) ) + SUM( ($E$1016:$E$1039=$E$1427)*($A$1016:$A$1039=$A1695) * ($D$1016:$D$1039=$D1695)*(N$1016:N$1039) ) )</f>
        <v>6.6844215209872484E-3</v>
      </c>
      <c r="O1695" s="1379">
        <f t="array" ref="O1695" xml:space="preserve"> SUM(EF[N2O] * (EF[SATIM Code]= $D1695))  * (SUM( ($A$768:$A$846=$A1695) * ($D$768:$D$846= $D1695) * (O$768:O$846) )  +  SUM( ($A$933:$A$1011=$A1695) * ($D$933:$D$1011= $D1695) * (O$933:O$1011) ) + SUM( ($E$1016:$E$1039=$E$1427)*($A$1016:$A$1039=$A1695) * ($D$1016:$D$1039=$D1695)*(O$1016:O$1039) ) )</f>
        <v>7.8800797299668941E-3</v>
      </c>
    </row>
    <row r="1696" spans="1:15" s="19" customFormat="1" hidden="1" outlineLevel="1">
      <c r="A1696" s="19" t="str">
        <f t="shared" si="315"/>
        <v>OT</v>
      </c>
      <c r="B1696" s="1400" t="str">
        <f>INDEX(EF[UK Vector],MATCH(D1696,EF[SATIM Code],0))</f>
        <v>V.04</v>
      </c>
      <c r="C1696" s="1401" t="str">
        <f>INDEX(Vectors[Description], MATCH($B1696, Vectors[Code], 0))</f>
        <v>Liquid hydrocarbons</v>
      </c>
      <c r="D1696" s="1406" t="s">
        <v>887</v>
      </c>
      <c r="E1696" s="1393"/>
      <c r="F1696" s="1379">
        <f t="array" ref="F1696" xml:space="preserve"> SUM(EF[N2O] * (EF[SATIM Code]= $D1696))  * (SUM( ($A$768:$A$846=$A1696) * ($D$768:$D$846= $D1696) * (F$768:F$846) )  +  SUM( ($A$933:$A$1011=$A1696) * ($D$933:$D$1011= $D1696) * (F$933:F$1011) ) + SUM( ($E$1016:$E$1039=$E$1427)*($A$1016:$A$1039=$A1696) * ($D$1016:$D$1039=$D1696)*(F$1016:F$1039) ) )</f>
        <v>1.1785703069999999E-7</v>
      </c>
      <c r="G1696" s="1379">
        <f t="array" ref="G1696" xml:space="preserve"> SUM(EF[N2O] * (EF[SATIM Code]= $D1696))  * (SUM( ($A$768:$A$846=$A1696) * ($D$768:$D$846= $D1696) * (G$768:G$846) )  +  SUM( ($A$933:$A$1011=$A1696) * ($D$933:$D$1011= $D1696) * (G$933:G$1011) ) + SUM( ($E$1016:$E$1039=$E$1427)*($A$1016:$A$1039=$A1696) * ($D$1016:$D$1039=$D1696)*(G$1016:G$1039) ) )</f>
        <v>1.3776406652236947E-7</v>
      </c>
      <c r="H1696" s="1379">
        <f t="array" ref="H1696" xml:space="preserve"> SUM(EF[N2O] * (EF[SATIM Code]= $D1696))  * (SUM( ($A$768:$A$846=$A1696) * ($D$768:$D$846= $D1696) * (H$768:H$846) )  +  SUM( ($A$933:$A$1011=$A1696) * ($D$933:$D$1011= $D1696) * (H$933:H$1011) ) + SUM( ($E$1016:$E$1039=$E$1427)*($A$1016:$A$1039=$A1696) * ($D$1016:$D$1039=$D1696)*(H$1016:H$1039) ) )</f>
        <v>1.6680874571135047E-7</v>
      </c>
      <c r="I1696" s="1379">
        <f t="array" ref="I1696" xml:space="preserve"> SUM(EF[N2O] * (EF[SATIM Code]= $D1696))  * (SUM( ($A$768:$A$846=$A1696) * ($D$768:$D$846= $D1696) * (I$768:I$846) )  +  SUM( ($A$933:$A$1011=$A1696) * ($D$933:$D$1011= $D1696) * (I$933:I$1011) ) + SUM( ($E$1016:$E$1039=$E$1427)*($A$1016:$A$1039=$A1696) * ($D$1016:$D$1039=$D1696)*(I$1016:I$1039) ) )</f>
        <v>1.9585342490033147E-7</v>
      </c>
      <c r="J1696" s="1379">
        <f t="array" ref="J1696" xml:space="preserve"> SUM(EF[N2O] * (EF[SATIM Code]= $D1696))  * (SUM( ($A$768:$A$846=$A1696) * ($D$768:$D$846= $D1696) * (J$768:J$846) )  +  SUM( ($A$933:$A$1011=$A1696) * ($D$933:$D$1011= $D1696) * (J$933:J$1011) ) + SUM( ($E$1016:$E$1039=$E$1427)*($A$1016:$A$1039=$A1696) * ($D$1016:$D$1039=$D1696)*(J$1016:J$1039) ) )</f>
        <v>2.4192300501060473E-7</v>
      </c>
      <c r="K1696" s="1379">
        <f t="array" ref="K1696" xml:space="preserve"> SUM(EF[N2O] * (EF[SATIM Code]= $D1696))  * (SUM( ($A$768:$A$846=$A1696) * ($D$768:$D$846= $D1696) * (K$768:K$846) )  +  SUM( ($A$933:$A$1011=$A1696) * ($D$933:$D$1011= $D1696) * (K$933:K$1011) ) + SUM( ($E$1016:$E$1039=$E$1427)*($A$1016:$A$1039=$A1696) * ($D$1016:$D$1039=$D1696)*(K$1016:K$1039) ) )</f>
        <v>2.8799258512087799E-7</v>
      </c>
      <c r="L1696" s="1379">
        <f t="array" ref="L1696" xml:space="preserve"> SUM(EF[N2O] * (EF[SATIM Code]= $D1696))  * (SUM( ($A$768:$A$846=$A1696) * ($D$768:$D$846= $D1696) * (L$768:L$846) )  +  SUM( ($A$933:$A$1011=$A1696) * ($D$933:$D$1011= $D1696) * (L$933:L$1011) ) + SUM( ($E$1016:$E$1039=$E$1427)*($A$1016:$A$1039=$A1696) * ($D$1016:$D$1039=$D1696)*(L$1016:L$1039) ) )</f>
        <v>3.6633756914051737E-7</v>
      </c>
      <c r="M1696" s="1379">
        <f t="array" ref="M1696" xml:space="preserve"> SUM(EF[N2O] * (EF[SATIM Code]= $D1696))  * (SUM( ($A$768:$A$846=$A1696) * ($D$768:$D$846= $D1696) * (M$768:M$846) )  +  SUM( ($A$933:$A$1011=$A1696) * ($D$933:$D$1011= $D1696) * (M$933:M$1011) ) + SUM( ($E$1016:$E$1039=$E$1427)*($A$1016:$A$1039=$A1696) * ($D$1016:$D$1039=$D1696)*(M$1016:M$1039) ) )</f>
        <v>4.446825531601567E-7</v>
      </c>
      <c r="N1696" s="1379">
        <f t="array" ref="N1696" xml:space="preserve"> SUM(EF[N2O] * (EF[SATIM Code]= $D1696))  * (SUM( ($A$768:$A$846=$A1696) * ($D$768:$D$846= $D1696) * (N$768:N$846) )  +  SUM( ($A$933:$A$1011=$A1696) * ($D$933:$D$1011= $D1696) * (N$933:N$1011) ) + SUM( ($E$1016:$E$1039=$E$1427)*($A$1016:$A$1039=$A1696) * ($D$1016:$D$1039=$D1696)*(N$1016:N$1039) ) )</f>
        <v>5.3659307328245388E-7</v>
      </c>
      <c r="O1696" s="1379">
        <f t="array" ref="O1696" xml:space="preserve"> SUM(EF[N2O] * (EF[SATIM Code]= $D1696))  * (SUM( ($A$768:$A$846=$A1696) * ($D$768:$D$846= $D1696) * (O$768:O$846) )  +  SUM( ($A$933:$A$1011=$A1696) * ($D$933:$D$1011= $D1696) * (O$933:O$1011) ) + SUM( ($E$1016:$E$1039=$E$1427)*($A$1016:$A$1039=$A1696) * ($D$1016:$D$1039=$D1696)*(O$1016:O$1039) ) )</f>
        <v>6.285035934047511E-7</v>
      </c>
    </row>
    <row r="1697" spans="1:15" s="19" customFormat="1" hidden="1" outlineLevel="1">
      <c r="A1697" s="19" t="str">
        <f t="shared" si="315"/>
        <v>OT</v>
      </c>
      <c r="B1697" s="1400" t="str">
        <f>INDEX(EF[UK Vector],MATCH(D1697,EF[SATIM Code],0))</f>
        <v>V.09</v>
      </c>
      <c r="C1697" s="1401" t="str">
        <f>INDEX(Vectors[Description], MATCH($B1697, Vectors[Code], 0))</f>
        <v>Dry biomass and waste</v>
      </c>
      <c r="D1697" s="1406" t="s">
        <v>888</v>
      </c>
      <c r="E1697" s="1385"/>
      <c r="F1697" s="1379">
        <f t="array" ref="F1697" xml:space="preserve"> SUM(EF[N2O] * (EF[SATIM Code]= $D1697))  * (SUM( ($A$768:$A$846=$A1697) * ($D$768:$D$846= $D1697) * (F$768:F$846) )  +  SUM( ($A$933:$A$1011=$A1697) * ($D$933:$D$1011= $D1697) * (F$933:F$1011) ) + SUM( ($E$1016:$E$1039=$E$1427)*($A$1016:$A$1039=$A1697) * ($D$1016:$D$1039=$D1697)*(F$1016:F$1039) ) )</f>
        <v>0</v>
      </c>
      <c r="G1697" s="1379">
        <f t="array" ref="G1697" xml:space="preserve"> SUM(EF[N2O] * (EF[SATIM Code]= $D1697))  * (SUM( ($A$768:$A$846=$A1697) * ($D$768:$D$846= $D1697) * (G$768:G$846) )  +  SUM( ($A$933:$A$1011=$A1697) * ($D$933:$D$1011= $D1697) * (G$933:G$1011) ) + SUM( ($E$1016:$E$1039=$E$1427)*($A$1016:$A$1039=$A1697) * ($D$1016:$D$1039=$D1697)*(G$1016:G$1039) ) )</f>
        <v>0</v>
      </c>
      <c r="H1697" s="1379">
        <f t="array" ref="H1697" xml:space="preserve"> SUM(EF[N2O] * (EF[SATIM Code]= $D1697))  * (SUM( ($A$768:$A$846=$A1697) * ($D$768:$D$846= $D1697) * (H$768:H$846) )  +  SUM( ($A$933:$A$1011=$A1697) * ($D$933:$D$1011= $D1697) * (H$933:H$1011) ) + SUM( ($E$1016:$E$1039=$E$1427)*($A$1016:$A$1039=$A1697) * ($D$1016:$D$1039=$D1697)*(H$1016:H$1039) ) )</f>
        <v>0</v>
      </c>
      <c r="I1697" s="1379">
        <f t="array" ref="I1697" xml:space="preserve"> SUM(EF[N2O] * (EF[SATIM Code]= $D1697))  * (SUM( ($A$768:$A$846=$A1697) * ($D$768:$D$846= $D1697) * (I$768:I$846) )  +  SUM( ($A$933:$A$1011=$A1697) * ($D$933:$D$1011= $D1697) * (I$933:I$1011) ) + SUM( ($E$1016:$E$1039=$E$1427)*($A$1016:$A$1039=$A1697) * ($D$1016:$D$1039=$D1697)*(I$1016:I$1039) ) )</f>
        <v>0</v>
      </c>
      <c r="J1697" s="1379">
        <f t="array" ref="J1697" xml:space="preserve"> SUM(EF[N2O] * (EF[SATIM Code]= $D1697))  * (SUM( ($A$768:$A$846=$A1697) * ($D$768:$D$846= $D1697) * (J$768:J$846) )  +  SUM( ($A$933:$A$1011=$A1697) * ($D$933:$D$1011= $D1697) * (J$933:J$1011) ) + SUM( ($E$1016:$E$1039=$E$1427)*($A$1016:$A$1039=$A1697) * ($D$1016:$D$1039=$D1697)*(J$1016:J$1039) ) )</f>
        <v>0</v>
      </c>
      <c r="K1697" s="1379">
        <f t="array" ref="K1697" xml:space="preserve"> SUM(EF[N2O] * (EF[SATIM Code]= $D1697))  * (SUM( ($A$768:$A$846=$A1697) * ($D$768:$D$846= $D1697) * (K$768:K$846) )  +  SUM( ($A$933:$A$1011=$A1697) * ($D$933:$D$1011= $D1697) * (K$933:K$1011) ) + SUM( ($E$1016:$E$1039=$E$1427)*($A$1016:$A$1039=$A1697) * ($D$1016:$D$1039=$D1697)*(K$1016:K$1039) ) )</f>
        <v>0</v>
      </c>
      <c r="L1697" s="1379">
        <f t="array" ref="L1697" xml:space="preserve"> SUM(EF[N2O] * (EF[SATIM Code]= $D1697))  * (SUM( ($A$768:$A$846=$A1697) * ($D$768:$D$846= $D1697) * (L$768:L$846) )  +  SUM( ($A$933:$A$1011=$A1697) * ($D$933:$D$1011= $D1697) * (L$933:L$1011) ) + SUM( ($E$1016:$E$1039=$E$1427)*($A$1016:$A$1039=$A1697) * ($D$1016:$D$1039=$D1697)*(L$1016:L$1039) ) )</f>
        <v>0</v>
      </c>
      <c r="M1697" s="1379">
        <f t="array" ref="M1697" xml:space="preserve"> SUM(EF[N2O] * (EF[SATIM Code]= $D1697))  * (SUM( ($A$768:$A$846=$A1697) * ($D$768:$D$846= $D1697) * (M$768:M$846) )  +  SUM( ($A$933:$A$1011=$A1697) * ($D$933:$D$1011= $D1697) * (M$933:M$1011) ) + SUM( ($E$1016:$E$1039=$E$1427)*($A$1016:$A$1039=$A1697) * ($D$1016:$D$1039=$D1697)*(M$1016:M$1039) ) )</f>
        <v>0</v>
      </c>
      <c r="N1697" s="1379">
        <f t="array" ref="N1697" xml:space="preserve"> SUM(EF[N2O] * (EF[SATIM Code]= $D1697))  * (SUM( ($A$768:$A$846=$A1697) * ($D$768:$D$846= $D1697) * (N$768:N$846) )  +  SUM( ($A$933:$A$1011=$A1697) * ($D$933:$D$1011= $D1697) * (N$933:N$1011) ) + SUM( ($E$1016:$E$1039=$E$1427)*($A$1016:$A$1039=$A1697) * ($D$1016:$D$1039=$D1697)*(N$1016:N$1039) ) )</f>
        <v>0</v>
      </c>
      <c r="O1697" s="1379">
        <f t="array" ref="O1697" xml:space="preserve"> SUM(EF[N2O] * (EF[SATIM Code]= $D1697))  * (SUM( ($A$768:$A$846=$A1697) * ($D$768:$D$846= $D1697) * (O$768:O$846) )  +  SUM( ($A$933:$A$1011=$A1697) * ($D$933:$D$1011= $D1697) * (O$933:O$1011) ) + SUM( ($E$1016:$E$1039=$E$1427)*($A$1016:$A$1039=$A1697) * ($D$1016:$D$1039=$D1697)*(O$1016:O$1039) ) )</f>
        <v>0</v>
      </c>
    </row>
    <row r="1698" spans="1:15" s="19" customFormat="1" hidden="1" outlineLevel="1">
      <c r="A1698" s="19" t="str">
        <f t="shared" si="315"/>
        <v>OT</v>
      </c>
      <c r="B1698" s="1400" t="str">
        <f>INDEX(EF[UK Vector],MATCH(D1698,EF[SATIM Code],0))</f>
        <v>V.09</v>
      </c>
      <c r="C1698" s="1401" t="str">
        <f>INDEX(Vectors[Description], MATCH($B1698, Vectors[Code], 0))</f>
        <v>Dry biomass and waste</v>
      </c>
      <c r="D1698" s="1388" t="s">
        <v>889</v>
      </c>
      <c r="E1698" s="1385"/>
      <c r="F1698" s="1379">
        <f t="array" ref="F1698" xml:space="preserve"> SUM(EF[N2O] * (EF[SATIM Code]= $D1698))  * (SUM( ($A$768:$A$846=$A1698) * ($D$768:$D$846= $D1698) * (F$768:F$846) )  +  SUM( ($A$933:$A$1011=$A1698) * ($D$933:$D$1011= $D1698) * (F$933:F$1011) ) + SUM( ($E$1016:$E$1039=$E$1427)*($A$1016:$A$1039=$A1698) * ($D$1016:$D$1039=$D1698)*(F$1016:F$1039) ) )</f>
        <v>0</v>
      </c>
      <c r="G1698" s="1379">
        <f t="array" ref="G1698" xml:space="preserve"> SUM(EF[N2O] * (EF[SATIM Code]= $D1698))  * (SUM( ($A$768:$A$846=$A1698) * ($D$768:$D$846= $D1698) * (G$768:G$846) )  +  SUM( ($A$933:$A$1011=$A1698) * ($D$933:$D$1011= $D1698) * (G$933:G$1011) ) + SUM( ($E$1016:$E$1039=$E$1427)*($A$1016:$A$1039=$A1698) * ($D$1016:$D$1039=$D1698)*(G$1016:G$1039) ) )</f>
        <v>0</v>
      </c>
      <c r="H1698" s="1379">
        <f t="array" ref="H1698" xml:space="preserve"> SUM(EF[N2O] * (EF[SATIM Code]= $D1698))  * (SUM( ($A$768:$A$846=$A1698) * ($D$768:$D$846= $D1698) * (H$768:H$846) )  +  SUM( ($A$933:$A$1011=$A1698) * ($D$933:$D$1011= $D1698) * (H$933:H$1011) ) + SUM( ($E$1016:$E$1039=$E$1427)*($A$1016:$A$1039=$A1698) * ($D$1016:$D$1039=$D1698)*(H$1016:H$1039) ) )</f>
        <v>0</v>
      </c>
      <c r="I1698" s="1379">
        <f t="array" ref="I1698" xml:space="preserve"> SUM(EF[N2O] * (EF[SATIM Code]= $D1698))  * (SUM( ($A$768:$A$846=$A1698) * ($D$768:$D$846= $D1698) * (I$768:I$846) )  +  SUM( ($A$933:$A$1011=$A1698) * ($D$933:$D$1011= $D1698) * (I$933:I$1011) ) + SUM( ($E$1016:$E$1039=$E$1427)*($A$1016:$A$1039=$A1698) * ($D$1016:$D$1039=$D1698)*(I$1016:I$1039) ) )</f>
        <v>0</v>
      </c>
      <c r="J1698" s="1379">
        <f t="array" ref="J1698" xml:space="preserve"> SUM(EF[N2O] * (EF[SATIM Code]= $D1698))  * (SUM( ($A$768:$A$846=$A1698) * ($D$768:$D$846= $D1698) * (J$768:J$846) )  +  SUM( ($A$933:$A$1011=$A1698) * ($D$933:$D$1011= $D1698) * (J$933:J$1011) ) + SUM( ($E$1016:$E$1039=$E$1427)*($A$1016:$A$1039=$A1698) * ($D$1016:$D$1039=$D1698)*(J$1016:J$1039) ) )</f>
        <v>0</v>
      </c>
      <c r="K1698" s="1379">
        <f t="array" ref="K1698" xml:space="preserve"> SUM(EF[N2O] * (EF[SATIM Code]= $D1698))  * (SUM( ($A$768:$A$846=$A1698) * ($D$768:$D$846= $D1698) * (K$768:K$846) )  +  SUM( ($A$933:$A$1011=$A1698) * ($D$933:$D$1011= $D1698) * (K$933:K$1011) ) + SUM( ($E$1016:$E$1039=$E$1427)*($A$1016:$A$1039=$A1698) * ($D$1016:$D$1039=$D1698)*(K$1016:K$1039) ) )</f>
        <v>0</v>
      </c>
      <c r="L1698" s="1379">
        <f t="array" ref="L1698" xml:space="preserve"> SUM(EF[N2O] * (EF[SATIM Code]= $D1698))  * (SUM( ($A$768:$A$846=$A1698) * ($D$768:$D$846= $D1698) * (L$768:L$846) )  +  SUM( ($A$933:$A$1011=$A1698) * ($D$933:$D$1011= $D1698) * (L$933:L$1011) ) + SUM( ($E$1016:$E$1039=$E$1427)*($A$1016:$A$1039=$A1698) * ($D$1016:$D$1039=$D1698)*(L$1016:L$1039) ) )</f>
        <v>0</v>
      </c>
      <c r="M1698" s="1379">
        <f t="array" ref="M1698" xml:space="preserve"> SUM(EF[N2O] * (EF[SATIM Code]= $D1698))  * (SUM( ($A$768:$A$846=$A1698) * ($D$768:$D$846= $D1698) * (M$768:M$846) )  +  SUM( ($A$933:$A$1011=$A1698) * ($D$933:$D$1011= $D1698) * (M$933:M$1011) ) + SUM( ($E$1016:$E$1039=$E$1427)*($A$1016:$A$1039=$A1698) * ($D$1016:$D$1039=$D1698)*(M$1016:M$1039) ) )</f>
        <v>0</v>
      </c>
      <c r="N1698" s="1379">
        <f t="array" ref="N1698" xml:space="preserve"> SUM(EF[N2O] * (EF[SATIM Code]= $D1698))  * (SUM( ($A$768:$A$846=$A1698) * ($D$768:$D$846= $D1698) * (N$768:N$846) )  +  SUM( ($A$933:$A$1011=$A1698) * ($D$933:$D$1011= $D1698) * (N$933:N$1011) ) + SUM( ($E$1016:$E$1039=$E$1427)*($A$1016:$A$1039=$A1698) * ($D$1016:$D$1039=$D1698)*(N$1016:N$1039) ) )</f>
        <v>0</v>
      </c>
      <c r="O1698" s="1379">
        <f t="array" ref="O1698" xml:space="preserve"> SUM(EF[N2O] * (EF[SATIM Code]= $D1698))  * (SUM( ($A$768:$A$846=$A1698) * ($D$768:$D$846= $D1698) * (O$768:O$846) )  +  SUM( ($A$933:$A$1011=$A1698) * ($D$933:$D$1011= $D1698) * (O$933:O$1011) ) + SUM( ($E$1016:$E$1039=$E$1427)*($A$1016:$A$1039=$A1698) * ($D$1016:$D$1039=$D1698)*(O$1016:O$1039) ) )</f>
        <v>0</v>
      </c>
    </row>
    <row r="1699" spans="1:15" s="19" customFormat="1" hidden="1" outlineLevel="1">
      <c r="A1699" s="19" t="str">
        <f t="shared" si="315"/>
        <v>OT</v>
      </c>
      <c r="B1699" s="1442" t="str">
        <f>INDEX(EF[UK Vector],MATCH(D1699,EF[SATIM Code],0))</f>
        <v>V.16</v>
      </c>
      <c r="C1699" s="1412" t="str">
        <f>INDEX(Vectors[Description], MATCH($B1699, Vectors[Code], 0))</f>
        <v>Other Waste</v>
      </c>
      <c r="D1699" s="1384" t="s">
        <v>890</v>
      </c>
      <c r="E1699" s="1383"/>
      <c r="F1699" s="1379">
        <f t="array" ref="F1699" xml:space="preserve"> SUM(EF[N2O] * (EF[SATIM Code]= $D1699))  * (SUM( ($A$768:$A$846=$A1699) * ($D$768:$D$846= $D1699) * (F$768:F$846) )  +  SUM( ($A$933:$A$1011=$A1699) * ($D$933:$D$1011= $D1699) * (F$933:F$1011) ) + SUM( ($E$1016:$E$1039=$E$1427)*($A$1016:$A$1039=$A1699) * ($D$1016:$D$1039=$D1699)*(F$1016:F$1039) ) )</f>
        <v>0</v>
      </c>
      <c r="G1699" s="1379">
        <f t="array" ref="G1699" xml:space="preserve"> SUM(EF[N2O] * (EF[SATIM Code]= $D1699))  * (SUM( ($A$768:$A$846=$A1699) * ($D$768:$D$846= $D1699) * (G$768:G$846) )  +  SUM( ($A$933:$A$1011=$A1699) * ($D$933:$D$1011= $D1699) * (G$933:G$1011) ) + SUM( ($E$1016:$E$1039=$E$1427)*($A$1016:$A$1039=$A1699) * ($D$1016:$D$1039=$D1699)*(G$1016:G$1039) ) )</f>
        <v>0</v>
      </c>
      <c r="H1699" s="1379">
        <f t="array" ref="H1699" xml:space="preserve"> SUM(EF[N2O] * (EF[SATIM Code]= $D1699))  * (SUM( ($A$768:$A$846=$A1699) * ($D$768:$D$846= $D1699) * (H$768:H$846) )  +  SUM( ($A$933:$A$1011=$A1699) * ($D$933:$D$1011= $D1699) * (H$933:H$1011) ) + SUM( ($E$1016:$E$1039=$E$1427)*($A$1016:$A$1039=$A1699) * ($D$1016:$D$1039=$D1699)*(H$1016:H$1039) ) )</f>
        <v>0</v>
      </c>
      <c r="I1699" s="1379">
        <f t="array" ref="I1699" xml:space="preserve"> SUM(EF[N2O] * (EF[SATIM Code]= $D1699))  * (SUM( ($A$768:$A$846=$A1699) * ($D$768:$D$846= $D1699) * (I$768:I$846) )  +  SUM( ($A$933:$A$1011=$A1699) * ($D$933:$D$1011= $D1699) * (I$933:I$1011) ) + SUM( ($E$1016:$E$1039=$E$1427)*($A$1016:$A$1039=$A1699) * ($D$1016:$D$1039=$D1699)*(I$1016:I$1039) ) )</f>
        <v>0</v>
      </c>
      <c r="J1699" s="1379">
        <f t="array" ref="J1699" xml:space="preserve"> SUM(EF[N2O] * (EF[SATIM Code]= $D1699))  * (SUM( ($A$768:$A$846=$A1699) * ($D$768:$D$846= $D1699) * (J$768:J$846) )  +  SUM( ($A$933:$A$1011=$A1699) * ($D$933:$D$1011= $D1699) * (J$933:J$1011) ) + SUM( ($E$1016:$E$1039=$E$1427)*($A$1016:$A$1039=$A1699) * ($D$1016:$D$1039=$D1699)*(J$1016:J$1039) ) )</f>
        <v>0</v>
      </c>
      <c r="K1699" s="1379">
        <f t="array" ref="K1699" xml:space="preserve"> SUM(EF[N2O] * (EF[SATIM Code]= $D1699))  * (SUM( ($A$768:$A$846=$A1699) * ($D$768:$D$846= $D1699) * (K$768:K$846) )  +  SUM( ($A$933:$A$1011=$A1699) * ($D$933:$D$1011= $D1699) * (K$933:K$1011) ) + SUM( ($E$1016:$E$1039=$E$1427)*($A$1016:$A$1039=$A1699) * ($D$1016:$D$1039=$D1699)*(K$1016:K$1039) ) )</f>
        <v>0</v>
      </c>
      <c r="L1699" s="1379">
        <f t="array" ref="L1699" xml:space="preserve"> SUM(EF[N2O] * (EF[SATIM Code]= $D1699))  * (SUM( ($A$768:$A$846=$A1699) * ($D$768:$D$846= $D1699) * (L$768:L$846) )  +  SUM( ($A$933:$A$1011=$A1699) * ($D$933:$D$1011= $D1699) * (L$933:L$1011) ) + SUM( ($E$1016:$E$1039=$E$1427)*($A$1016:$A$1039=$A1699) * ($D$1016:$D$1039=$D1699)*(L$1016:L$1039) ) )</f>
        <v>0</v>
      </c>
      <c r="M1699" s="1379">
        <f t="array" ref="M1699" xml:space="preserve"> SUM(EF[N2O] * (EF[SATIM Code]= $D1699))  * (SUM( ($A$768:$A$846=$A1699) * ($D$768:$D$846= $D1699) * (M$768:M$846) )  +  SUM( ($A$933:$A$1011=$A1699) * ($D$933:$D$1011= $D1699) * (M$933:M$1011) ) + SUM( ($E$1016:$E$1039=$E$1427)*($A$1016:$A$1039=$A1699) * ($D$1016:$D$1039=$D1699)*(M$1016:M$1039) ) )</f>
        <v>0</v>
      </c>
      <c r="N1699" s="1379">
        <f t="array" ref="N1699" xml:space="preserve"> SUM(EF[N2O] * (EF[SATIM Code]= $D1699))  * (SUM( ($A$768:$A$846=$A1699) * ($D$768:$D$846= $D1699) * (N$768:N$846) )  +  SUM( ($A$933:$A$1011=$A1699) * ($D$933:$D$1011= $D1699) * (N$933:N$1011) ) + SUM( ($E$1016:$E$1039=$E$1427)*($A$1016:$A$1039=$A1699) * ($D$1016:$D$1039=$D1699)*(N$1016:N$1039) ) )</f>
        <v>0</v>
      </c>
      <c r="O1699" s="1379">
        <f t="array" ref="O1699" xml:space="preserve"> SUM(EF[N2O] * (EF[SATIM Code]= $D1699))  * (SUM( ($A$768:$A$846=$A1699) * ($D$768:$D$846= $D1699) * (O$768:O$846) )  +  SUM( ($A$933:$A$1011=$A1699) * ($D$933:$D$1011= $D1699) * (O$933:O$1011) ) + SUM( ($E$1016:$E$1039=$E$1427)*($A$1016:$A$1039=$A1699) * ($D$1016:$D$1039=$D1699)*(O$1016:O$1039) ) )</f>
        <v>0</v>
      </c>
    </row>
    <row r="1700" spans="1:15" s="19" customFormat="1" hidden="1" outlineLevel="1">
      <c r="A1700" s="166"/>
      <c r="B1700" s="1442"/>
      <c r="C1700" s="1412"/>
      <c r="D1700" s="1384"/>
      <c r="E1700" s="1383"/>
      <c r="F1700" s="1382"/>
      <c r="G1700" s="1382"/>
      <c r="H1700" s="1382"/>
      <c r="I1700" s="1382"/>
      <c r="J1700" s="1382"/>
      <c r="K1700" s="1382"/>
      <c r="L1700" s="1382"/>
      <c r="M1700" s="1382"/>
      <c r="N1700" s="1382"/>
      <c r="O1700" s="1382"/>
    </row>
    <row r="1701" spans="1:15" s="19" customFormat="1" hidden="1" outlineLevel="1">
      <c r="B1701" s="347"/>
      <c r="D1701" s="17"/>
      <c r="E1701" s="154"/>
      <c r="F1701" s="71"/>
      <c r="G1701" s="71"/>
      <c r="H1701" s="71"/>
      <c r="I1701" s="71"/>
      <c r="J1701" s="71"/>
      <c r="K1701" s="71"/>
      <c r="L1701" s="71"/>
      <c r="M1701" s="71"/>
      <c r="N1701" s="71"/>
      <c r="O1701" s="71"/>
    </row>
    <row r="1702" spans="1:15" s="19" customFormat="1">
      <c r="A1702" s="348" t="str">
        <f t="shared" ref="A1702:A1709" si="316">C20</f>
        <v>MI</v>
      </c>
      <c r="B1702" s="76"/>
      <c r="C1702" s="348" t="str">
        <f t="shared" ref="C1702:C1709" si="317">D20</f>
        <v>Mining SIC2</v>
      </c>
      <c r="D1702" s="73"/>
      <c r="E1702" s="154"/>
      <c r="F1702" s="653">
        <f t="array" ref="F1702">SUM( ($A$1621:$A$1700=$A1702)  * (F$1621:F$1700) )</f>
        <v>2.8464561975622991E-2</v>
      </c>
      <c r="G1702" s="653">
        <f t="array" ref="G1702">SUM( ($A$1621:$A$1700=$A1702)  * (G$1621:G$1700) )</f>
        <v>3.3435855438191484E-2</v>
      </c>
      <c r="H1702" s="653">
        <f t="array" ref="H1702">SUM( ($A$1621:$A$1700=$A1702)  * (H$1621:H$1700) )</f>
        <v>4.197931687010719E-2</v>
      </c>
      <c r="I1702" s="653">
        <f t="array" ref="I1702">SUM( ($A$1621:$A$1700=$A1702)  * (I$1621:I$1700) )</f>
        <v>5.09636150546059E-2</v>
      </c>
      <c r="J1702" s="653">
        <f t="array" ref="J1702">SUM( ($A$1621:$A$1700=$A1702)  * (J$1621:J$1700) )</f>
        <v>6.5432371791447771E-2</v>
      </c>
      <c r="K1702" s="653">
        <f t="array" ref="K1702">SUM( ($A$1621:$A$1700=$A1702)  * (K$1621:K$1700) )</f>
        <v>8.0634058029731573E-2</v>
      </c>
      <c r="L1702" s="653">
        <f t="array" ref="L1702">SUM( ($A$1621:$A$1700=$A1702)  * (L$1621:L$1700) )</f>
        <v>0.10313029889307876</v>
      </c>
      <c r="M1702" s="653">
        <f t="array" ref="M1702">SUM( ($A$1621:$A$1700=$A1702)  * (M$1621:M$1700) )</f>
        <v>0.12620290198967918</v>
      </c>
      <c r="N1702" s="653">
        <f t="array" ref="N1702">SUM( ($A$1621:$A$1700=$A1702)  * (N$1621:N$1700) )</f>
        <v>0.1533764039870755</v>
      </c>
      <c r="O1702" s="653">
        <f t="array" ref="O1702">SUM( ($A$1621:$A$1700=$A1702)  * (O$1621:O$1700) )</f>
        <v>0.181069685806997</v>
      </c>
    </row>
    <row r="1703" spans="1:15" s="19" customFormat="1">
      <c r="A1703" s="1459" t="str">
        <f t="shared" si="316"/>
        <v>IS</v>
      </c>
      <c r="B1703" s="76"/>
      <c r="C1703" s="1459" t="str">
        <f t="shared" si="317"/>
        <v>Iron  &amp; Steel  - 351</v>
      </c>
      <c r="D1703" s="73"/>
      <c r="E1703" s="154"/>
      <c r="F1703" s="653">
        <f t="array" ref="F1703">SUM( ($A$1621:$A$1700=$A1703)  * (F$1621:F$1700) )</f>
        <v>5.5211811563789251E-2</v>
      </c>
      <c r="G1703" s="653">
        <f t="array" ref="G1703">SUM( ($A$1621:$A$1700=$A1703)  * (G$1621:G$1700) )</f>
        <v>6.3916013268212737E-2</v>
      </c>
      <c r="H1703" s="653">
        <f t="array" ref="H1703">SUM( ($A$1621:$A$1700=$A1703)  * (H$1621:H$1700) )</f>
        <v>8.2615888032492368E-2</v>
      </c>
      <c r="I1703" s="653">
        <f t="array" ref="I1703">SUM( ($A$1621:$A$1700=$A1703)  * (I$1621:I$1700) )</f>
        <v>0.10131576279677203</v>
      </c>
      <c r="J1703" s="653">
        <f t="array" ref="J1703">SUM( ($A$1621:$A$1700=$A1703)  * (J$1621:J$1700) )</f>
        <v>0.13037390856925862</v>
      </c>
      <c r="K1703" s="653">
        <f t="array" ref="K1703">SUM( ($A$1621:$A$1700=$A1703)  * (K$1621:K$1700) )</f>
        <v>0.15943205434174523</v>
      </c>
      <c r="L1703" s="653">
        <f t="array" ref="L1703">SUM( ($A$1621:$A$1700=$A1703)  * (L$1621:L$1700) )</f>
        <v>0.19777312148978646</v>
      </c>
      <c r="M1703" s="653">
        <f t="array" ref="M1703">SUM( ($A$1621:$A$1700=$A1703)  * (M$1621:M$1700) )</f>
        <v>0.23611418863782765</v>
      </c>
      <c r="N1703" s="653">
        <f t="array" ref="N1703">SUM( ($A$1621:$A$1700=$A1703)  * (N$1621:N$1700) )</f>
        <v>0.28100113037025437</v>
      </c>
      <c r="O1703" s="653">
        <f t="array" ref="O1703">SUM( ($A$1621:$A$1700=$A1703)  * (O$1621:O$1700) )</f>
        <v>0.32588807210268111</v>
      </c>
    </row>
    <row r="1704" spans="1:15" s="19" customFormat="1">
      <c r="A1704" s="1459" t="str">
        <f t="shared" si="316"/>
        <v>CP</v>
      </c>
      <c r="B1704" s="76"/>
      <c r="C1704" s="1459" t="str">
        <f t="shared" si="317"/>
        <v>Chemicals  -33</v>
      </c>
      <c r="D1704" s="73"/>
      <c r="E1704" s="154"/>
      <c r="F1704" s="653">
        <f t="array" ref="F1704">SUM( ($A$1621:$A$1700=$A1704)  * (F$1621:F$1700) )</f>
        <v>2.3898159903999999E-2</v>
      </c>
      <c r="G1704" s="653">
        <f t="array" ref="G1704">SUM( ($A$1621:$A$1700=$A1704)  * (G$1621:G$1700) )</f>
        <v>2.7267049860944186E-2</v>
      </c>
      <c r="H1704" s="653">
        <f t="array" ref="H1704">SUM( ($A$1621:$A$1700=$A1704)  * (H$1621:H$1700) )</f>
        <v>3.0136467254757392E-2</v>
      </c>
      <c r="I1704" s="653">
        <f t="array" ref="I1704">SUM( ($A$1621:$A$1700=$A1704)  * (I$1621:I$1700) )</f>
        <v>3.3005884648570606E-2</v>
      </c>
      <c r="J1704" s="653">
        <f t="array" ref="J1704">SUM( ($A$1621:$A$1700=$A1704)  * (J$1621:J$1700) )</f>
        <v>3.6966877066676181E-2</v>
      </c>
      <c r="K1704" s="653">
        <f t="array" ref="K1704">SUM( ($A$1621:$A$1700=$A1704)  * (K$1621:K$1700) )</f>
        <v>4.0927869484781741E-2</v>
      </c>
      <c r="L1704" s="653">
        <f t="array" ref="L1704">SUM( ($A$1621:$A$1700=$A1704)  * (L$1621:L$1700) )</f>
        <v>4.9248021060570961E-2</v>
      </c>
      <c r="M1704" s="653">
        <f t="array" ref="M1704">SUM( ($A$1621:$A$1700=$A1704)  * (M$1621:M$1700) )</f>
        <v>5.7568172636360174E-2</v>
      </c>
      <c r="N1704" s="653">
        <f t="array" ref="N1704">SUM( ($A$1621:$A$1700=$A1704)  * (N$1621:N$1700) )</f>
        <v>6.576960447864208E-2</v>
      </c>
      <c r="O1704" s="653">
        <f t="array" ref="O1704">SUM( ($A$1621:$A$1700=$A1704)  * (O$1621:O$1700) )</f>
        <v>7.3971036320923986E-2</v>
      </c>
    </row>
    <row r="1705" spans="1:15" s="19" customFormat="1">
      <c r="A1705" s="1459" t="str">
        <f t="shared" si="316"/>
        <v>NF</v>
      </c>
      <c r="B1705" s="76"/>
      <c r="C1705" s="1459" t="str">
        <f t="shared" si="317"/>
        <v>Non-Ferrous metals  - 352</v>
      </c>
      <c r="D1705" s="73"/>
      <c r="E1705" s="154"/>
      <c r="F1705" s="653">
        <f t="array" ref="F1705">SUM( ($A$1621:$A$1700=$A1705)  * (F$1621:F$1700) )</f>
        <v>3.5153999999999985E-4</v>
      </c>
      <c r="G1705" s="653">
        <f t="array" ref="G1705">SUM( ($A$1621:$A$1700=$A1705)  * (G$1621:G$1700) )</f>
        <v>4.0730299870567199E-4</v>
      </c>
      <c r="H1705" s="653">
        <f t="array" ref="H1705">SUM( ($A$1621:$A$1700=$A1705)  * (H$1621:H$1700) )</f>
        <v>5.0641705464309842E-4</v>
      </c>
      <c r="I1705" s="653">
        <f t="array" ref="I1705">SUM( ($A$1621:$A$1700=$A1705)  * (I$1621:I$1700) )</f>
        <v>6.0553111058052496E-4</v>
      </c>
      <c r="J1705" s="653">
        <f t="array" ref="J1705">SUM( ($A$1621:$A$1700=$A1705)  * (J$1621:J$1700) )</f>
        <v>7.4517605797235474E-4</v>
      </c>
      <c r="K1705" s="653">
        <f t="array" ref="K1705">SUM( ($A$1621:$A$1700=$A1705)  * (K$1621:K$1700) )</f>
        <v>8.8482100536418462E-4</v>
      </c>
      <c r="L1705" s="653">
        <f t="array" ref="L1705">SUM( ($A$1621:$A$1700=$A1705)  * (L$1621:L$1700) )</f>
        <v>1.0879989606206544E-3</v>
      </c>
      <c r="M1705" s="653">
        <f t="array" ref="M1705">SUM( ($A$1621:$A$1700=$A1705)  * (M$1621:M$1700) )</f>
        <v>1.2911769158771241E-3</v>
      </c>
      <c r="N1705" s="653">
        <f t="array" ref="N1705">SUM( ($A$1621:$A$1700=$A1705)  * (N$1621:N$1700) )</f>
        <v>1.5175651769217479E-3</v>
      </c>
      <c r="O1705" s="653">
        <f t="array" ref="O1705">SUM( ($A$1621:$A$1700=$A1705)  * (O$1621:O$1700) )</f>
        <v>1.7439534379663716E-3</v>
      </c>
    </row>
    <row r="1706" spans="1:15" s="19" customFormat="1">
      <c r="A1706" s="1459" t="str">
        <f t="shared" si="316"/>
        <v>NM</v>
      </c>
      <c r="B1706" s="76"/>
      <c r="C1706" s="1459" t="str">
        <f t="shared" si="317"/>
        <v>N.M.M Products  -34</v>
      </c>
      <c r="D1706" s="73"/>
      <c r="E1706" s="154"/>
      <c r="F1706" s="653">
        <f t="array" ref="F1706">SUM( ($A$1621:$A$1700=$A1706)  * (F$1621:F$1700) )</f>
        <v>2.3679923499999995E-2</v>
      </c>
      <c r="G1706" s="653">
        <f t="array" ref="G1706">SUM( ($A$1621:$A$1700=$A1706)  * (G$1621:G$1700) )</f>
        <v>2.7893251150045852E-2</v>
      </c>
      <c r="H1706" s="653">
        <f t="array" ref="H1706">SUM( ($A$1621:$A$1700=$A1706)  * (H$1621:H$1700) )</f>
        <v>3.4814603675865488E-2</v>
      </c>
      <c r="I1706" s="653">
        <f t="array" ref="I1706">SUM( ($A$1621:$A$1700=$A1706)  * (I$1621:I$1700) )</f>
        <v>4.1735956201685125E-2</v>
      </c>
      <c r="J1706" s="653">
        <f t="array" ref="J1706">SUM( ($A$1621:$A$1700=$A1706)  * (J$1621:J$1700) )</f>
        <v>5.2834412599245373E-2</v>
      </c>
      <c r="K1706" s="653">
        <f t="array" ref="K1706">SUM( ($A$1621:$A$1700=$A1706)  * (K$1621:K$1700) )</f>
        <v>6.3932868996805614E-2</v>
      </c>
      <c r="L1706" s="653">
        <f t="array" ref="L1706">SUM( ($A$1621:$A$1700=$A1706)  * (L$1621:L$1700) )</f>
        <v>8.1957213918334867E-2</v>
      </c>
      <c r="M1706" s="653">
        <f t="array" ref="M1706">SUM( ($A$1621:$A$1700=$A1706)  * (M$1621:M$1700) )</f>
        <v>9.9981558839864135E-2</v>
      </c>
      <c r="N1706" s="653">
        <f t="array" ref="N1706">SUM( ($A$1621:$A$1700=$A1706)  * (N$1621:N$1700) )</f>
        <v>0.12161603675161728</v>
      </c>
      <c r="O1706" s="653">
        <f t="array" ref="O1706">SUM( ($A$1621:$A$1700=$A1706)  * (O$1621:O$1700) )</f>
        <v>0.14325051466337044</v>
      </c>
    </row>
    <row r="1707" spans="1:15" s="19" customFormat="1">
      <c r="A1707" s="1459" t="str">
        <f t="shared" si="316"/>
        <v>FB</v>
      </c>
      <c r="B1707" s="76"/>
      <c r="C1707" s="1459" t="str">
        <f t="shared" si="317"/>
        <v>Food, Beverage &amp; Tabacco  - 30</v>
      </c>
      <c r="D1707" s="73"/>
      <c r="E1707" s="154"/>
      <c r="F1707" s="653">
        <f t="array" ref="F1707">SUM( ($A$1621:$A$1700=$A1707)  * (F$1621:F$1700) )</f>
        <v>1.1177693102086817E-2</v>
      </c>
      <c r="G1707" s="653">
        <f t="array" ref="G1707">SUM( ($A$1621:$A$1700=$A1707)  * (G$1621:G$1700) )</f>
        <v>1.3294234115615214E-2</v>
      </c>
      <c r="H1707" s="653">
        <f t="array" ref="H1707">SUM( ($A$1621:$A$1700=$A1707)  * (H$1621:H$1700) )</f>
        <v>1.7222390595344111E-2</v>
      </c>
      <c r="I1707" s="653">
        <f t="array" ref="I1707">SUM( ($A$1621:$A$1700=$A1707)  * (I$1621:I$1700) )</f>
        <v>2.1150547075073012E-2</v>
      </c>
      <c r="J1707" s="653">
        <f t="array" ref="J1707">SUM( ($A$1621:$A$1700=$A1707)  * (J$1621:J$1700) )</f>
        <v>2.6933156484488126E-2</v>
      </c>
      <c r="K1707" s="653">
        <f t="array" ref="K1707">SUM( ($A$1621:$A$1700=$A1707)  * (K$1621:K$1700) )</f>
        <v>3.2715765893903237E-2</v>
      </c>
      <c r="L1707" s="653">
        <f t="array" ref="L1707">SUM( ($A$1621:$A$1700=$A1707)  * (L$1621:L$1700) )</f>
        <v>4.1218607542179597E-2</v>
      </c>
      <c r="M1707" s="653">
        <f t="array" ref="M1707">SUM( ($A$1621:$A$1700=$A1707)  * (M$1621:M$1700) )</f>
        <v>4.9721449190455957E-2</v>
      </c>
      <c r="N1707" s="653">
        <f t="array" ref="N1707">SUM( ($A$1621:$A$1700=$A1707)  * (N$1621:N$1700) )</f>
        <v>5.9566852475877743E-2</v>
      </c>
      <c r="O1707" s="653">
        <f t="array" ref="O1707">SUM( ($A$1621:$A$1700=$A1707)  * (O$1621:O$1700) )</f>
        <v>6.9412255761299529E-2</v>
      </c>
    </row>
    <row r="1708" spans="1:15" s="19" customFormat="1">
      <c r="A1708" s="1459" t="str">
        <f t="shared" si="316"/>
        <v>PP</v>
      </c>
      <c r="B1708" s="76"/>
      <c r="C1708" s="1459" t="str">
        <f t="shared" si="317"/>
        <v>Pulp &amp; Paper Products  -323</v>
      </c>
      <c r="D1708" s="73"/>
      <c r="E1708" s="154"/>
      <c r="F1708" s="653">
        <f t="array" ref="F1708">SUM( ($A$1621:$A$1700=$A1708)  * (F$1621:F$1700) )</f>
        <v>2.1072032838092353E-2</v>
      </c>
      <c r="G1708" s="653">
        <f t="array" ref="G1708">SUM( ($A$1621:$A$1700=$A1708)  * (G$1621:G$1700) )</f>
        <v>2.5679659407003699E-2</v>
      </c>
      <c r="H1708" s="653">
        <f t="array" ref="H1708">SUM( ($A$1621:$A$1700=$A1708)  * (H$1621:H$1700) )</f>
        <v>3.2386480150175624E-2</v>
      </c>
      <c r="I1708" s="653">
        <f t="array" ref="I1708">SUM( ($A$1621:$A$1700=$A1708)  * (I$1621:I$1700) )</f>
        <v>3.909330089334756E-2</v>
      </c>
      <c r="J1708" s="653">
        <f t="array" ref="J1708">SUM( ($A$1621:$A$1700=$A1708)  * (J$1621:J$1700) )</f>
        <v>4.9081403979096404E-2</v>
      </c>
      <c r="K1708" s="653">
        <f t="array" ref="K1708">SUM( ($A$1621:$A$1700=$A1708)  * (K$1621:K$1700) )</f>
        <v>5.9069507064845247E-2</v>
      </c>
      <c r="L1708" s="653">
        <f t="array" ref="L1708">SUM( ($A$1621:$A$1700=$A1708)  * (L$1621:L$1700) )</f>
        <v>7.494694965851191E-2</v>
      </c>
      <c r="M1708" s="653">
        <f t="array" ref="M1708">SUM( ($A$1621:$A$1700=$A1708)  * (M$1621:M$1700) )</f>
        <v>9.082439225217856E-2</v>
      </c>
      <c r="N1708" s="653">
        <f t="array" ref="N1708">SUM( ($A$1621:$A$1700=$A1708)  * (N$1621:N$1700) )</f>
        <v>0.10867520467057264</v>
      </c>
      <c r="O1708" s="653">
        <f t="array" ref="O1708">SUM( ($A$1621:$A$1700=$A1708)  * (O$1621:O$1700) )</f>
        <v>0.12652601708896669</v>
      </c>
    </row>
    <row r="1709" spans="1:15" s="19" customFormat="1">
      <c r="A1709" s="1459" t="str">
        <f t="shared" si="316"/>
        <v>OT</v>
      </c>
      <c r="B1709" s="76"/>
      <c r="C1709" s="1459" t="str">
        <f t="shared" si="317"/>
        <v>Other</v>
      </c>
      <c r="D1709" s="654"/>
      <c r="E1709" s="154"/>
      <c r="F1709" s="653">
        <f t="array" ref="F1709">SUM( ($A$1621:$A$1700=$A1709)  * (F$1621:F$1700) )</f>
        <v>6.8777161528017813E-2</v>
      </c>
      <c r="G1709" s="653">
        <f t="array" ref="G1709">SUM( ($A$1621:$A$1700=$A1709)  * (G$1621:G$1700) )</f>
        <v>8.0394796521173303E-2</v>
      </c>
      <c r="H1709" s="653">
        <f t="array" ref="H1709">SUM( ($A$1621:$A$1700=$A1709)  * (H$1621:H$1700) )</f>
        <v>9.7307466243611432E-2</v>
      </c>
      <c r="I1709" s="653">
        <f t="array" ref="I1709">SUM( ($A$1621:$A$1700=$A1709)  * (I$1621:I$1700) )</f>
        <v>0.11429855671978999</v>
      </c>
      <c r="J1709" s="653">
        <f t="array" ref="J1709">SUM( ($A$1621:$A$1700=$A1709)  * (J$1621:J$1700) )</f>
        <v>0.14111775590062539</v>
      </c>
      <c r="K1709" s="653">
        <f t="array" ref="K1709">SUM( ($A$1621:$A$1700=$A1709)  * (K$1621:K$1700) )</f>
        <v>0.16808275745581366</v>
      </c>
      <c r="L1709" s="653">
        <f t="array" ref="L1709">SUM( ($A$1621:$A$1700=$A1709)  * (L$1621:L$1700) )</f>
        <v>0.21375204721778088</v>
      </c>
      <c r="M1709" s="653">
        <f t="array" ref="M1709">SUM( ($A$1621:$A$1700=$A1709)  * (M$1621:M$1700) )</f>
        <v>0.25954904071298862</v>
      </c>
      <c r="N1709" s="653">
        <f t="array" ref="N1709">SUM( ($A$1621:$A$1700=$A1709)  * (N$1621:N$1700) )</f>
        <v>0.31315990069410382</v>
      </c>
      <c r="O1709" s="653">
        <f t="array" ref="O1709">SUM( ($A$1621:$A$1700=$A1709)  * (O$1621:O$1700) )</f>
        <v>0.36685031162737747</v>
      </c>
    </row>
    <row r="1710" spans="1:15" s="19" customFormat="1">
      <c r="B1710" s="347"/>
      <c r="D1710" s="644"/>
      <c r="E1710" s="154"/>
      <c r="F1710" s="22"/>
      <c r="G1710" s="22"/>
      <c r="H1710" s="22"/>
      <c r="I1710" s="22"/>
      <c r="J1710" s="22"/>
      <c r="K1710" s="22"/>
      <c r="L1710" s="22"/>
      <c r="M1710" s="22"/>
      <c r="N1710" s="22"/>
      <c r="O1710" s="22"/>
    </row>
    <row r="1711" spans="1:15" s="19" customFormat="1" ht="17">
      <c r="B1711" s="347"/>
      <c r="C1711" s="348" t="s">
        <v>427</v>
      </c>
      <c r="D1711" s="644"/>
      <c r="E1711" s="194" t="s">
        <v>413</v>
      </c>
      <c r="F1711" s="524">
        <f t="shared" ref="F1711:O1711" si="318">SUM(F1702:F1710)</f>
        <v>0.23263288441160923</v>
      </c>
      <c r="G1711" s="524">
        <f t="shared" si="318"/>
        <v>0.27228816275989215</v>
      </c>
      <c r="H1711" s="524">
        <f t="shared" si="318"/>
        <v>0.33696902987699667</v>
      </c>
      <c r="I1711" s="524">
        <f t="shared" si="318"/>
        <v>0.40216915450042479</v>
      </c>
      <c r="J1711" s="524">
        <f t="shared" si="318"/>
        <v>0.50348506244881019</v>
      </c>
      <c r="K1711" s="524">
        <f t="shared" si="318"/>
        <v>0.60567970227299051</v>
      </c>
      <c r="L1711" s="524">
        <f t="shared" si="318"/>
        <v>0.76311425874086414</v>
      </c>
      <c r="M1711" s="524">
        <f t="shared" si="318"/>
        <v>0.92125288117523141</v>
      </c>
      <c r="N1711" s="524">
        <f t="shared" si="318"/>
        <v>1.1046826986050653</v>
      </c>
      <c r="O1711" s="524">
        <f t="shared" si="318"/>
        <v>1.2887118468095826</v>
      </c>
    </row>
    <row r="1712" spans="1:15" s="19" customFormat="1">
      <c r="B1712" s="76"/>
      <c r="C1712" s="1086"/>
      <c r="D1712" s="644"/>
      <c r="E1712" s="196"/>
      <c r="F1712" s="349"/>
      <c r="G1712" s="349"/>
      <c r="H1712" s="349"/>
      <c r="I1712" s="349"/>
      <c r="J1712" s="349"/>
      <c r="K1712" s="349"/>
      <c r="L1712" s="349"/>
      <c r="M1712" s="349"/>
      <c r="N1712" s="349"/>
      <c r="O1712" s="349"/>
    </row>
    <row r="1713" spans="2:28" s="19" customFormat="1">
      <c r="B1713" s="348"/>
      <c r="D1713" s="644"/>
      <c r="E1713" s="154"/>
      <c r="F1713" s="349"/>
      <c r="G1713" s="349"/>
      <c r="H1713" s="349"/>
      <c r="I1713" s="349"/>
      <c r="J1713" s="349"/>
      <c r="K1713" s="349"/>
      <c r="L1713" s="349"/>
      <c r="M1713" s="349"/>
      <c r="N1713" s="349"/>
      <c r="O1713" s="349"/>
    </row>
    <row r="1714" spans="2:28" s="19" customFormat="1">
      <c r="B1714" s="1016" t="str">
        <f>INDEX(AirQualityVectors[Code],MATCH(C1714,AirQualityVectors[Description],0))</f>
        <v>AQ.01</v>
      </c>
      <c r="C1714" s="100" t="s">
        <v>717</v>
      </c>
      <c r="D1714" s="1042"/>
      <c r="E1714" s="1043" t="s">
        <v>724</v>
      </c>
      <c r="F1714" s="1044">
        <v>0</v>
      </c>
      <c r="G1714" s="1044">
        <v>0</v>
      </c>
      <c r="H1714" s="1044">
        <v>0</v>
      </c>
      <c r="I1714" s="1044">
        <v>0</v>
      </c>
      <c r="J1714" s="1044">
        <v>0</v>
      </c>
      <c r="K1714" s="1044">
        <v>0</v>
      </c>
      <c r="L1714" s="1044">
        <v>0</v>
      </c>
      <c r="M1714" s="1044">
        <v>0</v>
      </c>
      <c r="N1714" s="1044">
        <v>0</v>
      </c>
      <c r="O1714" s="1044">
        <v>0</v>
      </c>
      <c r="S1714" s="349"/>
      <c r="T1714" s="349"/>
      <c r="U1714" s="349"/>
      <c r="V1714" s="349"/>
      <c r="W1714" s="349"/>
      <c r="X1714" s="349"/>
      <c r="Y1714" s="349"/>
      <c r="Z1714" s="349"/>
      <c r="AA1714" s="349"/>
      <c r="AB1714" s="349"/>
    </row>
    <row r="1715" spans="2:28" s="19" customFormat="1">
      <c r="B1715" s="1016" t="str">
        <f>INDEX(AirQualityVectors[Code],MATCH(C1715,AirQualityVectors[Description],0))</f>
        <v>AQ.02</v>
      </c>
      <c r="C1715" s="100" t="s">
        <v>719</v>
      </c>
      <c r="D1715" s="1042"/>
      <c r="E1715" s="1043" t="s">
        <v>724</v>
      </c>
      <c r="F1715" s="1044">
        <v>0</v>
      </c>
      <c r="G1715" s="1044">
        <v>0</v>
      </c>
      <c r="H1715" s="1044">
        <v>0</v>
      </c>
      <c r="I1715" s="1044">
        <v>0</v>
      </c>
      <c r="J1715" s="1044">
        <v>0</v>
      </c>
      <c r="K1715" s="1044">
        <v>0</v>
      </c>
      <c r="L1715" s="1044">
        <v>0</v>
      </c>
      <c r="M1715" s="1044">
        <v>0</v>
      </c>
      <c r="N1715" s="1044">
        <v>0</v>
      </c>
      <c r="O1715" s="1044">
        <v>0</v>
      </c>
      <c r="S1715" s="349"/>
      <c r="T1715" s="349"/>
      <c r="U1715" s="349"/>
      <c r="V1715" s="349"/>
      <c r="W1715" s="349"/>
      <c r="X1715" s="349"/>
      <c r="Y1715" s="349"/>
      <c r="Z1715" s="349"/>
      <c r="AA1715" s="349"/>
      <c r="AB1715" s="349"/>
    </row>
    <row r="1716" spans="2:28" s="19" customFormat="1">
      <c r="B1716" s="1016" t="str">
        <f>INDEX(AirQualityVectors[Code],MATCH(C1716,AirQualityVectors[Description],0))</f>
        <v>AQ.03</v>
      </c>
      <c r="C1716" s="100" t="s">
        <v>720</v>
      </c>
      <c r="D1716" s="1042"/>
      <c r="E1716" s="1043" t="s">
        <v>724</v>
      </c>
      <c r="F1716" s="1044">
        <v>0</v>
      </c>
      <c r="G1716" s="1044">
        <v>0</v>
      </c>
      <c r="H1716" s="1044">
        <v>0</v>
      </c>
      <c r="I1716" s="1044">
        <v>0</v>
      </c>
      <c r="J1716" s="1044">
        <v>0</v>
      </c>
      <c r="K1716" s="1044">
        <v>0</v>
      </c>
      <c r="L1716" s="1044">
        <v>0</v>
      </c>
      <c r="M1716" s="1044">
        <v>0</v>
      </c>
      <c r="N1716" s="1044">
        <v>0</v>
      </c>
      <c r="O1716" s="1044">
        <v>0</v>
      </c>
      <c r="S1716" s="349"/>
      <c r="T1716" s="349"/>
      <c r="U1716" s="349"/>
      <c r="V1716" s="349"/>
      <c r="W1716" s="349"/>
      <c r="X1716" s="349"/>
      <c r="Y1716" s="349"/>
      <c r="Z1716" s="349"/>
      <c r="AA1716" s="349"/>
      <c r="AB1716" s="349"/>
    </row>
    <row r="1717" spans="2:28" s="19" customFormat="1">
      <c r="B1717" s="1016" t="str">
        <f>INDEX(AirQualityVectors[Code],MATCH(C1717,AirQualityVectors[Description],0))</f>
        <v>AQ.04</v>
      </c>
      <c r="C1717" s="100" t="s">
        <v>718</v>
      </c>
      <c r="D1717" s="1042"/>
      <c r="E1717" s="1043" t="s">
        <v>724</v>
      </c>
      <c r="F1717" s="1044">
        <v>0</v>
      </c>
      <c r="G1717" s="1044">
        <v>0</v>
      </c>
      <c r="H1717" s="1044">
        <v>0</v>
      </c>
      <c r="I1717" s="1044">
        <v>0</v>
      </c>
      <c r="J1717" s="1044">
        <v>0</v>
      </c>
      <c r="K1717" s="1044">
        <v>0</v>
      </c>
      <c r="L1717" s="1044">
        <v>0</v>
      </c>
      <c r="M1717" s="1044">
        <v>0</v>
      </c>
      <c r="N1717" s="1044">
        <v>0</v>
      </c>
      <c r="O1717" s="1044">
        <v>0</v>
      </c>
      <c r="S1717" s="349"/>
      <c r="T1717" s="349"/>
      <c r="U1717" s="349"/>
      <c r="V1717" s="349"/>
      <c r="W1717" s="349"/>
      <c r="X1717" s="349"/>
      <c r="Y1717" s="349"/>
      <c r="Z1717" s="349"/>
      <c r="AA1717" s="349"/>
      <c r="AB1717" s="349"/>
    </row>
    <row r="1718" spans="2:28" s="19" customFormat="1">
      <c r="B1718" s="348"/>
      <c r="D1718" s="644"/>
      <c r="E1718" s="154"/>
      <c r="F1718" s="349"/>
      <c r="G1718" s="349"/>
      <c r="H1718" s="349"/>
      <c r="I1718" s="349"/>
      <c r="J1718" s="349"/>
      <c r="K1718" s="349"/>
      <c r="L1718" s="349"/>
      <c r="M1718" s="349"/>
      <c r="N1718" s="349"/>
      <c r="O1718" s="349"/>
    </row>
    <row r="1719" spans="2:28" s="19" customFormat="1">
      <c r="B1719" s="1016" t="s">
        <v>428</v>
      </c>
      <c r="C1719" s="100"/>
      <c r="D1719" s="1042"/>
      <c r="E1719" s="100"/>
      <c r="F1719" s="100"/>
      <c r="G1719" s="100"/>
      <c r="H1719" s="100"/>
      <c r="I1719" s="100"/>
      <c r="J1719" s="100"/>
      <c r="K1719" s="1045"/>
      <c r="L1719" s="100"/>
      <c r="M1719" s="100"/>
      <c r="N1719" s="100"/>
      <c r="O1719" s="1046"/>
    </row>
    <row r="1720" spans="2:28" s="19" customFormat="1" ht="14">
      <c r="B1720" s="1016"/>
      <c r="C1720" s="100"/>
      <c r="D1720" s="1042"/>
      <c r="E1720" s="100"/>
      <c r="F1720" s="1047">
        <f>Base_Year</f>
        <v>2006</v>
      </c>
      <c r="G1720" s="1047">
        <v>2010</v>
      </c>
      <c r="H1720" s="1047">
        <v>2015</v>
      </c>
      <c r="I1720" s="1047">
        <v>2020</v>
      </c>
      <c r="J1720" s="1047">
        <v>2025</v>
      </c>
      <c r="K1720" s="1047">
        <v>2030</v>
      </c>
      <c r="L1720" s="1047">
        <v>2035</v>
      </c>
      <c r="M1720" s="1047">
        <v>2040</v>
      </c>
      <c r="N1720" s="1047">
        <v>2045</v>
      </c>
      <c r="O1720" s="1047">
        <v>2050</v>
      </c>
    </row>
    <row r="1721" spans="2:28" s="19" customFormat="1" ht="14">
      <c r="B1721" s="1016"/>
      <c r="C1721" s="100"/>
      <c r="D1721" s="1042"/>
      <c r="E1721" s="1048"/>
      <c r="F1721" s="1049"/>
      <c r="G1721" s="1049"/>
      <c r="H1721" s="1049"/>
      <c r="I1721" s="1049"/>
      <c r="J1721" s="1049"/>
      <c r="K1721" s="1049"/>
      <c r="L1721" s="1049"/>
      <c r="M1721" s="1049"/>
      <c r="N1721" s="1049"/>
      <c r="O1721" s="1046"/>
    </row>
    <row r="1722" spans="2:28" s="19" customFormat="1" ht="17">
      <c r="B1722" s="1016"/>
      <c r="C1722" s="100" t="s">
        <v>433</v>
      </c>
      <c r="D1722" s="1042"/>
      <c r="E1722" s="1043" t="s">
        <v>1821</v>
      </c>
      <c r="F1722" s="1017">
        <v>0</v>
      </c>
      <c r="G1722" s="1017">
        <v>0</v>
      </c>
      <c r="H1722" s="1017">
        <v>0</v>
      </c>
      <c r="I1722" s="1017">
        <v>0</v>
      </c>
      <c r="J1722" s="1017">
        <v>0</v>
      </c>
      <c r="K1722" s="1017">
        <v>0</v>
      </c>
      <c r="L1722" s="1017">
        <v>0</v>
      </c>
      <c r="M1722" s="1017">
        <v>0</v>
      </c>
      <c r="N1722" s="1017">
        <v>0</v>
      </c>
      <c r="O1722" s="1017">
        <v>0</v>
      </c>
    </row>
    <row r="1723" spans="2:28" s="38" customFormat="1">
      <c r="B1723" s="1050" t="s">
        <v>268</v>
      </c>
      <c r="C1723" s="1051" t="s">
        <v>429</v>
      </c>
      <c r="D1723" s="1052"/>
      <c r="E1723" s="1053"/>
      <c r="F1723" s="1017">
        <v>0</v>
      </c>
      <c r="G1723" s="1017">
        <v>0</v>
      </c>
      <c r="H1723" s="1017">
        <v>0</v>
      </c>
      <c r="I1723" s="1017">
        <v>0</v>
      </c>
      <c r="J1723" s="1017">
        <v>0</v>
      </c>
      <c r="K1723" s="1017">
        <v>0</v>
      </c>
      <c r="L1723" s="1017">
        <v>0</v>
      </c>
      <c r="M1723" s="1017">
        <v>0</v>
      </c>
      <c r="N1723" s="1017">
        <v>0</v>
      </c>
      <c r="O1723" s="1017">
        <v>0</v>
      </c>
    </row>
    <row r="1724" spans="2:28" s="19" customFormat="1" ht="17">
      <c r="B1724" s="1054" t="s">
        <v>269</v>
      </c>
      <c r="C1724" s="1016" t="s">
        <v>432</v>
      </c>
      <c r="D1724" s="1042"/>
      <c r="E1724" s="1043" t="s">
        <v>1821</v>
      </c>
      <c r="F1724" s="1017">
        <v>0</v>
      </c>
      <c r="G1724" s="1017">
        <v>0</v>
      </c>
      <c r="H1724" s="1017">
        <v>0</v>
      </c>
      <c r="I1724" s="1017">
        <v>0</v>
      </c>
      <c r="J1724" s="1017">
        <v>0</v>
      </c>
      <c r="K1724" s="1017">
        <v>0</v>
      </c>
      <c r="L1724" s="1017">
        <v>0</v>
      </c>
      <c r="M1724" s="1017">
        <v>0</v>
      </c>
      <c r="N1724" s="1017">
        <v>0</v>
      </c>
      <c r="O1724" s="1017">
        <v>0</v>
      </c>
    </row>
    <row r="1725" spans="2:28" s="19" customFormat="1">
      <c r="B1725" s="1054"/>
      <c r="C1725" s="100"/>
      <c r="D1725" s="1042"/>
      <c r="E1725" s="1043"/>
      <c r="F1725" s="1017">
        <v>0</v>
      </c>
      <c r="G1725" s="1017">
        <v>0</v>
      </c>
      <c r="H1725" s="1017">
        <v>0</v>
      </c>
      <c r="I1725" s="1017">
        <v>0</v>
      </c>
      <c r="J1725" s="1017">
        <v>0</v>
      </c>
      <c r="K1725" s="1017">
        <v>0</v>
      </c>
      <c r="L1725" s="1017">
        <v>0</v>
      </c>
      <c r="M1725" s="1017">
        <v>0</v>
      </c>
      <c r="N1725" s="1017">
        <v>0</v>
      </c>
      <c r="O1725" s="1017">
        <v>0</v>
      </c>
    </row>
    <row r="1726" spans="2:28" s="19" customFormat="1" ht="17">
      <c r="B1726" s="1016"/>
      <c r="C1726" s="100" t="s">
        <v>430</v>
      </c>
      <c r="D1726" s="1042"/>
      <c r="E1726" s="1043" t="s">
        <v>1821</v>
      </c>
      <c r="F1726" s="1017">
        <v>0</v>
      </c>
      <c r="G1726" s="1017">
        <v>0</v>
      </c>
      <c r="H1726" s="1017">
        <v>0</v>
      </c>
      <c r="I1726" s="1017">
        <v>0</v>
      </c>
      <c r="J1726" s="1017">
        <v>0</v>
      </c>
      <c r="K1726" s="1017">
        <v>0</v>
      </c>
      <c r="L1726" s="1017">
        <v>0</v>
      </c>
      <c r="M1726" s="1017">
        <v>0</v>
      </c>
      <c r="N1726" s="1017">
        <v>0</v>
      </c>
      <c r="O1726" s="1017">
        <v>0</v>
      </c>
    </row>
    <row r="1727" spans="2:28" s="19" customFormat="1">
      <c r="B1727" s="1050" t="s">
        <v>268</v>
      </c>
      <c r="C1727" s="1051" t="s">
        <v>429</v>
      </c>
      <c r="D1727" s="1052"/>
      <c r="E1727" s="1053"/>
      <c r="F1727" s="1017">
        <v>0</v>
      </c>
      <c r="G1727" s="1017">
        <v>0</v>
      </c>
      <c r="H1727" s="1017">
        <v>0</v>
      </c>
      <c r="I1727" s="1017">
        <v>0</v>
      </c>
      <c r="J1727" s="1017">
        <v>0</v>
      </c>
      <c r="K1727" s="1017">
        <v>0</v>
      </c>
      <c r="L1727" s="1017">
        <v>0</v>
      </c>
      <c r="M1727" s="1017">
        <v>0</v>
      </c>
      <c r="N1727" s="1017">
        <v>0</v>
      </c>
      <c r="O1727" s="1017">
        <v>0</v>
      </c>
    </row>
    <row r="1728" spans="2:28" s="19" customFormat="1" ht="17">
      <c r="B1728" s="1054" t="s">
        <v>269</v>
      </c>
      <c r="C1728" s="1016" t="s">
        <v>431</v>
      </c>
      <c r="D1728" s="1042"/>
      <c r="E1728" s="1043" t="s">
        <v>1821</v>
      </c>
      <c r="F1728" s="1017">
        <v>0</v>
      </c>
      <c r="G1728" s="1017">
        <v>0</v>
      </c>
      <c r="H1728" s="1017">
        <v>0</v>
      </c>
      <c r="I1728" s="1017">
        <v>0</v>
      </c>
      <c r="J1728" s="1017">
        <v>0</v>
      </c>
      <c r="K1728" s="1017">
        <v>0</v>
      </c>
      <c r="L1728" s="1017">
        <v>0</v>
      </c>
      <c r="M1728" s="1017">
        <v>0</v>
      </c>
      <c r="N1728" s="1017">
        <v>0</v>
      </c>
      <c r="O1728" s="1017">
        <v>0</v>
      </c>
    </row>
    <row r="1729" spans="1:17" s="19" customFormat="1">
      <c r="B1729" s="1016"/>
      <c r="C1729" s="100"/>
      <c r="D1729" s="1042"/>
      <c r="E1729" s="1043"/>
      <c r="F1729" s="1017">
        <v>0</v>
      </c>
      <c r="G1729" s="1017">
        <v>0</v>
      </c>
      <c r="H1729" s="1017">
        <v>0</v>
      </c>
      <c r="I1729" s="1017">
        <v>0</v>
      </c>
      <c r="J1729" s="1017">
        <v>0</v>
      </c>
      <c r="K1729" s="1017">
        <v>0</v>
      </c>
      <c r="L1729" s="1017">
        <v>0</v>
      </c>
      <c r="M1729" s="1017">
        <v>0</v>
      </c>
      <c r="N1729" s="1017">
        <v>0</v>
      </c>
      <c r="O1729" s="1017">
        <v>0</v>
      </c>
    </row>
    <row r="1730" spans="1:17" s="19" customFormat="1">
      <c r="B1730" s="348"/>
      <c r="C1730" s="1086"/>
      <c r="D1730" s="644"/>
      <c r="E1730" s="154"/>
      <c r="F1730" s="22"/>
      <c r="G1730" s="22"/>
      <c r="H1730" s="22"/>
      <c r="I1730" s="22"/>
      <c r="J1730" s="22"/>
      <c r="K1730" s="22"/>
      <c r="L1730" s="22"/>
      <c r="M1730" s="22"/>
      <c r="N1730" s="22"/>
      <c r="O1730" s="22"/>
    </row>
    <row r="1731" spans="1:17" s="19" customFormat="1">
      <c r="B1731" s="348" t="s">
        <v>616</v>
      </c>
      <c r="C1731" s="1086"/>
      <c r="D1731" s="644"/>
      <c r="E1731" s="154"/>
      <c r="F1731" s="22"/>
      <c r="G1731" s="22"/>
      <c r="H1731" s="22"/>
      <c r="I1731" s="22"/>
      <c r="J1731" s="22"/>
      <c r="K1731" s="22"/>
      <c r="L1731" s="22"/>
      <c r="M1731" s="22"/>
      <c r="N1731" s="22"/>
      <c r="O1731" s="22"/>
    </row>
    <row r="1732" spans="1:17" s="19" customFormat="1">
      <c r="B1732" s="348"/>
      <c r="C1732" s="1086"/>
      <c r="D1732" s="644"/>
      <c r="E1732" s="154"/>
      <c r="F1732" s="22"/>
      <c r="G1732" s="22"/>
      <c r="H1732" s="22"/>
      <c r="I1732" s="22"/>
      <c r="J1732" s="22"/>
      <c r="K1732" s="22"/>
      <c r="L1732" s="22"/>
      <c r="M1732" s="22"/>
      <c r="N1732" s="22"/>
      <c r="O1732" s="22"/>
    </row>
    <row r="1733" spans="1:17" s="19" customFormat="1">
      <c r="A1733" s="166"/>
      <c r="B1733" s="231"/>
      <c r="C1733" s="483" t="s">
        <v>635</v>
      </c>
      <c r="D1733" s="652"/>
      <c r="E1733" s="651" t="str">
        <f>Preferences.EnergyUnits</f>
        <v>PJ</v>
      </c>
      <c r="F1733" s="253">
        <f t="shared" ref="F1733:O1733" si="319" xml:space="preserve"> (F1724+F1728)/EF.IndustrialCoal.CO2</f>
        <v>0</v>
      </c>
      <c r="G1733" s="253">
        <f t="shared" si="319"/>
        <v>0</v>
      </c>
      <c r="H1733" s="253">
        <f t="shared" si="319"/>
        <v>0</v>
      </c>
      <c r="I1733" s="253">
        <f t="shared" si="319"/>
        <v>0</v>
      </c>
      <c r="J1733" s="253">
        <f t="shared" si="319"/>
        <v>0</v>
      </c>
      <c r="K1733" s="253">
        <f t="shared" si="319"/>
        <v>0</v>
      </c>
      <c r="L1733" s="253">
        <f t="shared" si="319"/>
        <v>0</v>
      </c>
      <c r="M1733" s="253">
        <f t="shared" si="319"/>
        <v>0</v>
      </c>
      <c r="N1733" s="253">
        <f t="shared" si="319"/>
        <v>0</v>
      </c>
      <c r="O1733" s="253">
        <f t="shared" si="319"/>
        <v>0</v>
      </c>
    </row>
    <row r="1734" spans="1:17" s="19" customFormat="1" ht="14" collapsed="1" thickBot="1">
      <c r="A1734" s="650"/>
      <c r="B1734" s="649"/>
      <c r="C1734" s="648"/>
      <c r="D1734" s="647"/>
      <c r="E1734" s="646"/>
      <c r="F1734" s="645"/>
      <c r="G1734" s="645"/>
      <c r="H1734" s="645"/>
      <c r="I1734" s="645"/>
      <c r="J1734" s="645"/>
      <c r="K1734" s="645"/>
      <c r="L1734" s="645"/>
      <c r="M1734" s="645"/>
      <c r="N1734" s="645"/>
      <c r="O1734" s="645"/>
    </row>
    <row r="1735" spans="1:17" s="19" customFormat="1" ht="12" hidden="1" customHeight="1" outlineLevel="1" thickTop="1">
      <c r="B1735" s="348"/>
      <c r="C1735" s="1086"/>
      <c r="D1735" s="644"/>
      <c r="E1735" s="154"/>
      <c r="F1735" s="22"/>
      <c r="G1735" s="22"/>
      <c r="H1735" s="22"/>
      <c r="I1735" s="22"/>
      <c r="J1735" s="22"/>
      <c r="K1735" s="22"/>
      <c r="L1735" s="22"/>
      <c r="M1735" s="22"/>
      <c r="N1735" s="22"/>
      <c r="O1735" s="22"/>
    </row>
    <row r="1736" spans="1:17" s="19" customFormat="1" ht="12" hidden="1" customHeight="1" outlineLevel="1">
      <c r="B1736" s="348" t="s">
        <v>641</v>
      </c>
      <c r="C1736" s="1086"/>
      <c r="D1736" s="644"/>
      <c r="E1736" s="194" t="str">
        <f>Preferences.moneyunits</f>
        <v>$2010</v>
      </c>
      <c r="F1736" s="350">
        <f>Base_Year</f>
        <v>2006</v>
      </c>
      <c r="G1736" s="350">
        <v>2010</v>
      </c>
      <c r="H1736" s="350">
        <v>2015</v>
      </c>
      <c r="I1736" s="350">
        <v>2020</v>
      </c>
      <c r="J1736" s="350">
        <v>2025</v>
      </c>
      <c r="K1736" s="350">
        <v>2030</v>
      </c>
      <c r="L1736" s="350">
        <v>2035</v>
      </c>
      <c r="M1736" s="350">
        <v>2040</v>
      </c>
      <c r="N1736" s="350">
        <v>2045</v>
      </c>
      <c r="O1736" s="350">
        <v>2050</v>
      </c>
    </row>
    <row r="1737" spans="1:17" s="19" customFormat="1" ht="12" hidden="1" customHeight="1" outlineLevel="1">
      <c r="C1737" s="1086"/>
      <c r="D1737" s="644"/>
      <c r="E1737" s="154"/>
      <c r="F1737" s="22"/>
      <c r="G1737" s="22"/>
      <c r="H1737" s="22"/>
      <c r="I1737" s="22"/>
      <c r="J1737" s="22"/>
      <c r="K1737" s="22"/>
      <c r="L1737" s="22"/>
      <c r="M1737" s="22"/>
      <c r="N1737" s="22"/>
      <c r="O1737" s="22"/>
    </row>
    <row r="1738" spans="1:17" s="19" customFormat="1" ht="12" hidden="1" customHeight="1" outlineLevel="1">
      <c r="B1738" s="348" t="s">
        <v>630</v>
      </c>
      <c r="C1738" s="1086"/>
      <c r="D1738" s="644"/>
    </row>
    <row r="1739" spans="1:17" s="19" customFormat="1" ht="12" hidden="1" customHeight="1" outlineLevel="1">
      <c r="B1739" s="348" t="s">
        <v>638</v>
      </c>
      <c r="C1739" s="1086" t="s">
        <v>637</v>
      </c>
      <c r="D1739" s="644"/>
      <c r="E1739" s="154"/>
      <c r="F1739" s="22">
        <f t="shared" ref="F1739:O1739" si="320">(F1733 * $F$405) + (F1733 * ($F$411+$F$412))</f>
        <v>0</v>
      </c>
      <c r="G1739" s="22">
        <f t="shared" si="320"/>
        <v>0</v>
      </c>
      <c r="H1739" s="22">
        <f t="shared" si="320"/>
        <v>0</v>
      </c>
      <c r="I1739" s="22">
        <f t="shared" si="320"/>
        <v>0</v>
      </c>
      <c r="J1739" s="22">
        <f t="shared" si="320"/>
        <v>0</v>
      </c>
      <c r="K1739" s="22">
        <f t="shared" si="320"/>
        <v>0</v>
      </c>
      <c r="L1739" s="22">
        <f t="shared" si="320"/>
        <v>0</v>
      </c>
      <c r="M1739" s="22">
        <f t="shared" si="320"/>
        <v>0</v>
      </c>
      <c r="N1739" s="22">
        <f t="shared" si="320"/>
        <v>0</v>
      </c>
      <c r="O1739" s="22">
        <f t="shared" si="320"/>
        <v>0</v>
      </c>
    </row>
    <row r="1740" spans="1:17" s="19" customFormat="1" ht="12" hidden="1" customHeight="1" outlineLevel="1">
      <c r="B1740" s="348" t="s">
        <v>751</v>
      </c>
      <c r="C1740" s="1086" t="s">
        <v>637</v>
      </c>
      <c r="D1740" s="644"/>
      <c r="F1740" s="22">
        <f t="shared" ref="F1740:O1740" si="321">F1741+((F1739-F1741)*0.35)</f>
        <v>0</v>
      </c>
      <c r="G1740" s="22">
        <f t="shared" si="321"/>
        <v>0</v>
      </c>
      <c r="H1740" s="22">
        <f t="shared" si="321"/>
        <v>0</v>
      </c>
      <c r="I1740" s="22">
        <f t="shared" si="321"/>
        <v>0</v>
      </c>
      <c r="J1740" s="22">
        <f t="shared" si="321"/>
        <v>0</v>
      </c>
      <c r="K1740" s="22">
        <f t="shared" si="321"/>
        <v>0</v>
      </c>
      <c r="L1740" s="22">
        <f t="shared" si="321"/>
        <v>0</v>
      </c>
      <c r="M1740" s="22">
        <f t="shared" si="321"/>
        <v>0</v>
      </c>
      <c r="N1740" s="22">
        <f t="shared" si="321"/>
        <v>0</v>
      </c>
      <c r="O1740" s="22">
        <f t="shared" si="321"/>
        <v>0</v>
      </c>
      <c r="Q1740" s="165"/>
    </row>
    <row r="1741" spans="1:17" s="19" customFormat="1" ht="12" hidden="1" customHeight="1" outlineLevel="1">
      <c r="B1741" s="348" t="s">
        <v>636</v>
      </c>
      <c r="C1741" s="1086" t="s">
        <v>637</v>
      </c>
      <c r="D1741" s="644"/>
      <c r="F1741" s="22">
        <f t="shared" ref="F1741:O1741" si="322" xml:space="preserve"> (F1733 * $G$405) + (F1733 * ($G$411+$G$412))</f>
        <v>0</v>
      </c>
      <c r="G1741" s="22">
        <f t="shared" si="322"/>
        <v>0</v>
      </c>
      <c r="H1741" s="22">
        <f t="shared" si="322"/>
        <v>0</v>
      </c>
      <c r="I1741" s="22">
        <f t="shared" si="322"/>
        <v>0</v>
      </c>
      <c r="J1741" s="22">
        <f t="shared" si="322"/>
        <v>0</v>
      </c>
      <c r="K1741" s="22">
        <f t="shared" si="322"/>
        <v>0</v>
      </c>
      <c r="L1741" s="22">
        <f t="shared" si="322"/>
        <v>0</v>
      </c>
      <c r="M1741" s="22">
        <f t="shared" si="322"/>
        <v>0</v>
      </c>
      <c r="N1741" s="22">
        <f t="shared" si="322"/>
        <v>0</v>
      </c>
      <c r="O1741" s="22">
        <f t="shared" si="322"/>
        <v>0</v>
      </c>
      <c r="Q1741" s="200"/>
    </row>
    <row r="1742" spans="1:17" s="19" customFormat="1" ht="12" hidden="1" customHeight="1" outlineLevel="1">
      <c r="B1742" s="348" t="s">
        <v>638</v>
      </c>
      <c r="C1742" s="1086" t="s">
        <v>639</v>
      </c>
      <c r="D1742" s="644"/>
      <c r="E1742" s="154"/>
      <c r="F1742" s="22">
        <f t="shared" ref="F1742:O1742" si="323">F1733 * $F$406 + (F1733 * ($F$411+$F$412))</f>
        <v>0</v>
      </c>
      <c r="G1742" s="22">
        <f t="shared" si="323"/>
        <v>0</v>
      </c>
      <c r="H1742" s="22">
        <f t="shared" si="323"/>
        <v>0</v>
      </c>
      <c r="I1742" s="22">
        <f t="shared" si="323"/>
        <v>0</v>
      </c>
      <c r="J1742" s="22">
        <f t="shared" si="323"/>
        <v>0</v>
      </c>
      <c r="K1742" s="22">
        <f t="shared" si="323"/>
        <v>0</v>
      </c>
      <c r="L1742" s="22">
        <f t="shared" si="323"/>
        <v>0</v>
      </c>
      <c r="M1742" s="22">
        <f t="shared" si="323"/>
        <v>0</v>
      </c>
      <c r="N1742" s="22">
        <f t="shared" si="323"/>
        <v>0</v>
      </c>
      <c r="O1742" s="22">
        <f t="shared" si="323"/>
        <v>0</v>
      </c>
      <c r="Q1742" s="200"/>
    </row>
    <row r="1743" spans="1:17" s="19" customFormat="1" ht="12" hidden="1" customHeight="1" outlineLevel="1">
      <c r="B1743" s="348" t="s">
        <v>751</v>
      </c>
      <c r="C1743" s="1086" t="s">
        <v>639</v>
      </c>
      <c r="D1743" s="644"/>
      <c r="F1743" s="22">
        <f t="shared" ref="F1743:O1743" si="324">F1744+((F1742-F1744)*0.35)</f>
        <v>0</v>
      </c>
      <c r="G1743" s="22">
        <f t="shared" si="324"/>
        <v>0</v>
      </c>
      <c r="H1743" s="22">
        <f t="shared" si="324"/>
        <v>0</v>
      </c>
      <c r="I1743" s="22">
        <f t="shared" si="324"/>
        <v>0</v>
      </c>
      <c r="J1743" s="22">
        <f t="shared" si="324"/>
        <v>0</v>
      </c>
      <c r="K1743" s="22">
        <f t="shared" si="324"/>
        <v>0</v>
      </c>
      <c r="L1743" s="22">
        <f t="shared" si="324"/>
        <v>0</v>
      </c>
      <c r="M1743" s="22">
        <f t="shared" si="324"/>
        <v>0</v>
      </c>
      <c r="N1743" s="22">
        <f t="shared" si="324"/>
        <v>0</v>
      </c>
      <c r="O1743" s="22">
        <f t="shared" si="324"/>
        <v>0</v>
      </c>
      <c r="Q1743" s="165"/>
    </row>
    <row r="1744" spans="1:17" s="19" customFormat="1" ht="12" hidden="1" customHeight="1" outlineLevel="1">
      <c r="B1744" s="348" t="s">
        <v>636</v>
      </c>
      <c r="C1744" s="1086" t="s">
        <v>639</v>
      </c>
      <c r="D1744" s="644"/>
      <c r="E1744" s="154"/>
      <c r="F1744" s="22">
        <f t="shared" ref="F1744:O1744" si="325">F1733 * $G$406 + (F1733 * ($G$411+$G$412))</f>
        <v>0</v>
      </c>
      <c r="G1744" s="22">
        <f t="shared" si="325"/>
        <v>0</v>
      </c>
      <c r="H1744" s="22">
        <f t="shared" si="325"/>
        <v>0</v>
      </c>
      <c r="I1744" s="22">
        <f t="shared" si="325"/>
        <v>0</v>
      </c>
      <c r="J1744" s="22">
        <f t="shared" si="325"/>
        <v>0</v>
      </c>
      <c r="K1744" s="22">
        <f t="shared" si="325"/>
        <v>0</v>
      </c>
      <c r="L1744" s="22">
        <f t="shared" si="325"/>
        <v>0</v>
      </c>
      <c r="M1744" s="22">
        <f t="shared" si="325"/>
        <v>0</v>
      </c>
      <c r="N1744" s="22">
        <f t="shared" si="325"/>
        <v>0</v>
      </c>
      <c r="O1744" s="22">
        <f t="shared" si="325"/>
        <v>0</v>
      </c>
      <c r="Q1744" s="200"/>
    </row>
    <row r="1745" spans="2:17" s="19" customFormat="1" ht="12" hidden="1" customHeight="1" outlineLevel="1">
      <c r="D1745" s="644"/>
    </row>
    <row r="1746" spans="2:17" s="19" customFormat="1" ht="12" hidden="1" customHeight="1" outlineLevel="1">
      <c r="B1746" s="348" t="s">
        <v>640</v>
      </c>
      <c r="C1746" s="1086"/>
      <c r="D1746" s="644"/>
      <c r="E1746" s="154"/>
      <c r="F1746" s="22"/>
      <c r="G1746" s="22"/>
      <c r="H1746" s="22"/>
      <c r="I1746" s="22"/>
      <c r="J1746" s="22"/>
      <c r="K1746" s="22"/>
      <c r="L1746" s="22"/>
      <c r="M1746" s="22"/>
      <c r="N1746" s="22"/>
      <c r="O1746" s="22"/>
    </row>
    <row r="1747" spans="2:17" s="19" customFormat="1" ht="12" hidden="1" customHeight="1" outlineLevel="1">
      <c r="B1747" s="348"/>
      <c r="C1747" s="1086"/>
      <c r="D1747" s="644"/>
      <c r="E1747" s="154"/>
      <c r="F1747" s="22"/>
      <c r="G1747" s="22"/>
      <c r="H1747" s="22"/>
      <c r="I1747" s="22"/>
      <c r="J1747" s="22"/>
      <c r="K1747" s="22"/>
      <c r="L1747" s="22"/>
      <c r="M1747" s="22"/>
      <c r="N1747" s="22"/>
      <c r="O1747" s="22"/>
    </row>
    <row r="1748" spans="2:17" s="19" customFormat="1" ht="12" hidden="1" customHeight="1" outlineLevel="1">
      <c r="B1748" s="348" t="s">
        <v>638</v>
      </c>
      <c r="C1748" s="348" t="s">
        <v>612</v>
      </c>
      <c r="D1748" s="644"/>
      <c r="E1748" s="194" t="str">
        <f>Preferences.moneyunits</f>
        <v>$2010</v>
      </c>
      <c r="F1748" s="75">
        <f>Base_Year</f>
        <v>2006</v>
      </c>
      <c r="G1748" s="75">
        <v>2010</v>
      </c>
      <c r="H1748" s="75">
        <v>2015</v>
      </c>
      <c r="I1748" s="75">
        <v>2020</v>
      </c>
      <c r="J1748" s="75">
        <v>2025</v>
      </c>
      <c r="K1748" s="75">
        <v>2030</v>
      </c>
      <c r="L1748" s="75">
        <v>2035</v>
      </c>
      <c r="M1748" s="75">
        <v>2040</v>
      </c>
      <c r="N1748" s="75">
        <v>2045</v>
      </c>
      <c r="O1748" s="75">
        <v>2050</v>
      </c>
    </row>
    <row r="1749" spans="2:17" s="19" customFormat="1" ht="12" hidden="1" customHeight="1" outlineLevel="1">
      <c r="B1749" s="347" t="s">
        <v>371</v>
      </c>
      <c r="C1749" s="1086" t="s">
        <v>105</v>
      </c>
      <c r="D1749" s="644"/>
      <c r="E1749" s="154"/>
      <c r="F1749" s="22" t="e">
        <f>#REF!*$H714</f>
        <v>#REF!</v>
      </c>
      <c r="G1749" s="22" t="e">
        <f>#REF!*$H714</f>
        <v>#REF!</v>
      </c>
      <c r="H1749" s="22" t="e">
        <f>#REF!*$H714</f>
        <v>#REF!</v>
      </c>
      <c r="I1749" s="22" t="e">
        <f>#REF!*$H714</f>
        <v>#REF!</v>
      </c>
      <c r="J1749" s="22" t="e">
        <f>#REF!*$H714</f>
        <v>#REF!</v>
      </c>
      <c r="K1749" s="22" t="e">
        <f>#REF!*$H714</f>
        <v>#REF!</v>
      </c>
      <c r="L1749" s="22" t="e">
        <f>#REF!*$H714</f>
        <v>#REF!</v>
      </c>
      <c r="M1749" s="22" t="e">
        <f>#REF!*$H714</f>
        <v>#REF!</v>
      </c>
      <c r="N1749" s="22" t="e">
        <f>#REF!*$H714</f>
        <v>#REF!</v>
      </c>
      <c r="O1749" s="22" t="e">
        <f>#REF!*$H714</f>
        <v>#REF!</v>
      </c>
    </row>
    <row r="1750" spans="2:17" s="19" customFormat="1" ht="12" hidden="1" customHeight="1" outlineLevel="1">
      <c r="B1750" s="347" t="s">
        <v>372</v>
      </c>
      <c r="C1750" s="1086" t="s">
        <v>367</v>
      </c>
      <c r="D1750" s="644"/>
      <c r="E1750" s="154"/>
      <c r="F1750" s="22" t="e">
        <f>#REF!*$H715</f>
        <v>#REF!</v>
      </c>
      <c r="G1750" s="22" t="e">
        <f>#REF!*$H715</f>
        <v>#REF!</v>
      </c>
      <c r="H1750" s="22" t="e">
        <f>#REF!*$H715</f>
        <v>#REF!</v>
      </c>
      <c r="I1750" s="22" t="e">
        <f>#REF!*$H715</f>
        <v>#REF!</v>
      </c>
      <c r="J1750" s="22" t="e">
        <f>#REF!*$H715</f>
        <v>#REF!</v>
      </c>
      <c r="K1750" s="22" t="e">
        <f>#REF!*$H715</f>
        <v>#REF!</v>
      </c>
      <c r="L1750" s="22" t="e">
        <f>#REF!*$H715</f>
        <v>#REF!</v>
      </c>
      <c r="M1750" s="22" t="e">
        <f>#REF!*$H715</f>
        <v>#REF!</v>
      </c>
      <c r="N1750" s="22" t="e">
        <f>#REF!*$H715</f>
        <v>#REF!</v>
      </c>
      <c r="O1750" s="22" t="e">
        <f>#REF!*$H715</f>
        <v>#REF!</v>
      </c>
    </row>
    <row r="1751" spans="2:17" s="19" customFormat="1" ht="12" hidden="1" customHeight="1" outlineLevel="1">
      <c r="B1751" s="347" t="s">
        <v>373</v>
      </c>
      <c r="C1751" s="1086" t="s">
        <v>368</v>
      </c>
      <c r="D1751" s="644"/>
      <c r="E1751" s="154"/>
      <c r="F1751" s="22" t="e">
        <f>#REF!*#REF!</f>
        <v>#REF!</v>
      </c>
      <c r="G1751" s="22" t="e">
        <f>#REF!*#REF!</f>
        <v>#REF!</v>
      </c>
      <c r="H1751" s="22" t="e">
        <f>#REF!*#REF!</f>
        <v>#REF!</v>
      </c>
      <c r="I1751" s="22" t="e">
        <f>#REF!*#REF!</f>
        <v>#REF!</v>
      </c>
      <c r="J1751" s="22" t="e">
        <f>#REF!*#REF!</f>
        <v>#REF!</v>
      </c>
      <c r="K1751" s="22" t="e">
        <f>#REF!*#REF!</f>
        <v>#REF!</v>
      </c>
      <c r="L1751" s="22" t="e">
        <f>#REF!*#REF!</f>
        <v>#REF!</v>
      </c>
      <c r="M1751" s="22" t="e">
        <f>#REF!*#REF!</f>
        <v>#REF!</v>
      </c>
      <c r="N1751" s="22" t="e">
        <f>#REF!*#REF!</f>
        <v>#REF!</v>
      </c>
      <c r="O1751" s="22" t="e">
        <f>#REF!*#REF!</f>
        <v>#REF!</v>
      </c>
    </row>
    <row r="1752" spans="2:17" s="19" customFormat="1" ht="12" hidden="1" customHeight="1" outlineLevel="1">
      <c r="B1752" s="347" t="s">
        <v>374</v>
      </c>
      <c r="C1752" s="1086" t="s">
        <v>97</v>
      </c>
      <c r="D1752" s="644"/>
      <c r="E1752" s="154"/>
      <c r="F1752" s="22" t="e">
        <f>#REF!*$H716</f>
        <v>#REF!</v>
      </c>
      <c r="G1752" s="22" t="e">
        <f>#REF!*$H716</f>
        <v>#REF!</v>
      </c>
      <c r="H1752" s="22" t="e">
        <f>#REF!*$H716</f>
        <v>#REF!</v>
      </c>
      <c r="I1752" s="22" t="e">
        <f>#REF!*$H716</f>
        <v>#REF!</v>
      </c>
      <c r="J1752" s="22" t="e">
        <f>#REF!*$H716</f>
        <v>#REF!</v>
      </c>
      <c r="K1752" s="22" t="e">
        <f>#REF!*$H716</f>
        <v>#REF!</v>
      </c>
      <c r="L1752" s="22" t="e">
        <f>#REF!*$H716</f>
        <v>#REF!</v>
      </c>
      <c r="M1752" s="22" t="e">
        <f>#REF!*$H716</f>
        <v>#REF!</v>
      </c>
      <c r="N1752" s="22" t="e">
        <f>#REF!*$H716</f>
        <v>#REF!</v>
      </c>
      <c r="O1752" s="22" t="e">
        <f>#REF!*$H716</f>
        <v>#REF!</v>
      </c>
    </row>
    <row r="1753" spans="2:17" s="19" customFormat="1" ht="12" hidden="1" customHeight="1" outlineLevel="1">
      <c r="B1753" s="348"/>
      <c r="C1753" s="1086" t="s">
        <v>102</v>
      </c>
      <c r="D1753" s="644"/>
      <c r="E1753" s="154"/>
      <c r="F1753" s="22" t="e">
        <f t="shared" ref="F1753:O1753" si="326">SUM(F1749:F1752)</f>
        <v>#REF!</v>
      </c>
      <c r="G1753" s="22" t="e">
        <f t="shared" si="326"/>
        <v>#REF!</v>
      </c>
      <c r="H1753" s="22" t="e">
        <f t="shared" si="326"/>
        <v>#REF!</v>
      </c>
      <c r="I1753" s="22" t="e">
        <f t="shared" si="326"/>
        <v>#REF!</v>
      </c>
      <c r="J1753" s="22" t="e">
        <f t="shared" si="326"/>
        <v>#REF!</v>
      </c>
      <c r="K1753" s="22" t="e">
        <f t="shared" si="326"/>
        <v>#REF!</v>
      </c>
      <c r="L1753" s="22" t="e">
        <f t="shared" si="326"/>
        <v>#REF!</v>
      </c>
      <c r="M1753" s="22" t="e">
        <f t="shared" si="326"/>
        <v>#REF!</v>
      </c>
      <c r="N1753" s="22" t="e">
        <f t="shared" si="326"/>
        <v>#REF!</v>
      </c>
      <c r="O1753" s="22" t="e">
        <f t="shared" si="326"/>
        <v>#REF!</v>
      </c>
      <c r="Q1753" s="200"/>
    </row>
    <row r="1754" spans="2:17" s="19" customFormat="1" ht="12" hidden="1" customHeight="1" outlineLevel="1">
      <c r="B1754" s="348"/>
      <c r="C1754" s="1086"/>
      <c r="D1754" s="644"/>
      <c r="E1754" s="154"/>
      <c r="F1754" s="22"/>
      <c r="G1754" s="22"/>
      <c r="H1754" s="22"/>
      <c r="I1754" s="22"/>
      <c r="J1754" s="22"/>
      <c r="K1754" s="22"/>
      <c r="L1754" s="22"/>
      <c r="M1754" s="22"/>
      <c r="N1754" s="22"/>
      <c r="O1754" s="22"/>
      <c r="Q1754" s="200"/>
    </row>
    <row r="1755" spans="2:17" s="19" customFormat="1" ht="12" hidden="1" customHeight="1" outlineLevel="1">
      <c r="B1755" s="348" t="s">
        <v>751</v>
      </c>
      <c r="C1755" s="348" t="s">
        <v>612</v>
      </c>
      <c r="D1755" s="644"/>
      <c r="E1755" s="194" t="str">
        <f>Preferences.moneyunits</f>
        <v>$2010</v>
      </c>
      <c r="F1755" s="75">
        <f>Base_Year</f>
        <v>2006</v>
      </c>
      <c r="G1755" s="75">
        <v>2010</v>
      </c>
      <c r="H1755" s="75">
        <v>2015</v>
      </c>
      <c r="I1755" s="75">
        <v>2020</v>
      </c>
      <c r="J1755" s="75">
        <v>2025</v>
      </c>
      <c r="K1755" s="75">
        <v>2030</v>
      </c>
      <c r="L1755" s="75">
        <v>2035</v>
      </c>
      <c r="M1755" s="75">
        <v>2040</v>
      </c>
      <c r="N1755" s="75">
        <v>2045</v>
      </c>
      <c r="O1755" s="75">
        <v>2050</v>
      </c>
      <c r="Q1755" s="200"/>
    </row>
    <row r="1756" spans="2:17" s="19" customFormat="1" ht="12" hidden="1" customHeight="1" outlineLevel="1">
      <c r="B1756" s="347" t="s">
        <v>371</v>
      </c>
      <c r="C1756" s="1086" t="s">
        <v>105</v>
      </c>
      <c r="D1756" s="644"/>
      <c r="E1756" s="154"/>
      <c r="F1756" s="22" t="e">
        <f t="shared" ref="F1756:O1756" si="327">F1763+((F1749-F1763)*0.35)</f>
        <v>#REF!</v>
      </c>
      <c r="G1756" s="22" t="e">
        <f t="shared" si="327"/>
        <v>#REF!</v>
      </c>
      <c r="H1756" s="22" t="e">
        <f t="shared" si="327"/>
        <v>#REF!</v>
      </c>
      <c r="I1756" s="22" t="e">
        <f t="shared" si="327"/>
        <v>#REF!</v>
      </c>
      <c r="J1756" s="22" t="e">
        <f t="shared" si="327"/>
        <v>#REF!</v>
      </c>
      <c r="K1756" s="22" t="e">
        <f t="shared" si="327"/>
        <v>#REF!</v>
      </c>
      <c r="L1756" s="22" t="e">
        <f t="shared" si="327"/>
        <v>#REF!</v>
      </c>
      <c r="M1756" s="22" t="e">
        <f t="shared" si="327"/>
        <v>#REF!</v>
      </c>
      <c r="N1756" s="22" t="e">
        <f t="shared" si="327"/>
        <v>#REF!</v>
      </c>
      <c r="O1756" s="22" t="e">
        <f t="shared" si="327"/>
        <v>#REF!</v>
      </c>
      <c r="Q1756" s="165"/>
    </row>
    <row r="1757" spans="2:17" s="19" customFormat="1" ht="12" hidden="1" customHeight="1" outlineLevel="1">
      <c r="B1757" s="347" t="s">
        <v>372</v>
      </c>
      <c r="C1757" s="1086" t="s">
        <v>367</v>
      </c>
      <c r="D1757" s="644"/>
      <c r="E1757" s="154"/>
      <c r="F1757" s="22" t="e">
        <f t="shared" ref="F1757:O1757" si="328">F1764+((F1750-F1764)*0.35)</f>
        <v>#REF!</v>
      </c>
      <c r="G1757" s="22" t="e">
        <f t="shared" si="328"/>
        <v>#REF!</v>
      </c>
      <c r="H1757" s="22" t="e">
        <f t="shared" si="328"/>
        <v>#REF!</v>
      </c>
      <c r="I1757" s="22" t="e">
        <f t="shared" si="328"/>
        <v>#REF!</v>
      </c>
      <c r="J1757" s="22" t="e">
        <f t="shared" si="328"/>
        <v>#REF!</v>
      </c>
      <c r="K1757" s="22" t="e">
        <f t="shared" si="328"/>
        <v>#REF!</v>
      </c>
      <c r="L1757" s="22" t="e">
        <f t="shared" si="328"/>
        <v>#REF!</v>
      </c>
      <c r="M1757" s="22" t="e">
        <f t="shared" si="328"/>
        <v>#REF!</v>
      </c>
      <c r="N1757" s="22" t="e">
        <f t="shared" si="328"/>
        <v>#REF!</v>
      </c>
      <c r="O1757" s="22" t="e">
        <f t="shared" si="328"/>
        <v>#REF!</v>
      </c>
      <c r="Q1757" s="200"/>
    </row>
    <row r="1758" spans="2:17" s="19" customFormat="1" ht="12" hidden="1" customHeight="1" outlineLevel="1">
      <c r="B1758" s="347" t="s">
        <v>373</v>
      </c>
      <c r="C1758" s="1086" t="s">
        <v>368</v>
      </c>
      <c r="D1758" s="644"/>
      <c r="E1758" s="154"/>
      <c r="F1758" s="22" t="e">
        <f t="shared" ref="F1758:O1758" si="329">F1765+((F1751-F1765)*0.35)</f>
        <v>#REF!</v>
      </c>
      <c r="G1758" s="22" t="e">
        <f t="shared" si="329"/>
        <v>#REF!</v>
      </c>
      <c r="H1758" s="22" t="e">
        <f t="shared" si="329"/>
        <v>#REF!</v>
      </c>
      <c r="I1758" s="22" t="e">
        <f t="shared" si="329"/>
        <v>#REF!</v>
      </c>
      <c r="J1758" s="22" t="e">
        <f t="shared" si="329"/>
        <v>#REF!</v>
      </c>
      <c r="K1758" s="22" t="e">
        <f t="shared" si="329"/>
        <v>#REF!</v>
      </c>
      <c r="L1758" s="22" t="e">
        <f t="shared" si="329"/>
        <v>#REF!</v>
      </c>
      <c r="M1758" s="22" t="e">
        <f t="shared" si="329"/>
        <v>#REF!</v>
      </c>
      <c r="N1758" s="22" t="e">
        <f t="shared" si="329"/>
        <v>#REF!</v>
      </c>
      <c r="O1758" s="22" t="e">
        <f t="shared" si="329"/>
        <v>#REF!</v>
      </c>
      <c r="Q1758" s="200"/>
    </row>
    <row r="1759" spans="2:17" s="19" customFormat="1" ht="12" hidden="1" customHeight="1" outlineLevel="1">
      <c r="B1759" s="347" t="s">
        <v>374</v>
      </c>
      <c r="C1759" s="1086" t="s">
        <v>97</v>
      </c>
      <c r="D1759" s="644"/>
      <c r="E1759" s="154"/>
      <c r="F1759" s="22" t="e">
        <f t="shared" ref="F1759:O1759" si="330">F1766+((F1752-F1766)*0.35)</f>
        <v>#REF!</v>
      </c>
      <c r="G1759" s="22" t="e">
        <f t="shared" si="330"/>
        <v>#REF!</v>
      </c>
      <c r="H1759" s="22" t="e">
        <f t="shared" si="330"/>
        <v>#REF!</v>
      </c>
      <c r="I1759" s="22" t="e">
        <f t="shared" si="330"/>
        <v>#REF!</v>
      </c>
      <c r="J1759" s="22" t="e">
        <f t="shared" si="330"/>
        <v>#REF!</v>
      </c>
      <c r="K1759" s="22" t="e">
        <f t="shared" si="330"/>
        <v>#REF!</v>
      </c>
      <c r="L1759" s="22" t="e">
        <f t="shared" si="330"/>
        <v>#REF!</v>
      </c>
      <c r="M1759" s="22" t="e">
        <f t="shared" si="330"/>
        <v>#REF!</v>
      </c>
      <c r="N1759" s="22" t="e">
        <f t="shared" si="330"/>
        <v>#REF!</v>
      </c>
      <c r="O1759" s="22" t="e">
        <f t="shared" si="330"/>
        <v>#REF!</v>
      </c>
      <c r="Q1759" s="200"/>
    </row>
    <row r="1760" spans="2:17" s="19" customFormat="1" ht="12" hidden="1" customHeight="1" outlineLevel="1">
      <c r="B1760" s="348"/>
      <c r="C1760" s="1086" t="s">
        <v>102</v>
      </c>
      <c r="D1760" s="644"/>
      <c r="E1760" s="154"/>
      <c r="F1760" s="22" t="e">
        <f t="shared" ref="F1760:O1760" si="331">F1767+((F1753-F1767)*0.35)</f>
        <v>#REF!</v>
      </c>
      <c r="G1760" s="22" t="e">
        <f t="shared" si="331"/>
        <v>#REF!</v>
      </c>
      <c r="H1760" s="22" t="e">
        <f t="shared" si="331"/>
        <v>#REF!</v>
      </c>
      <c r="I1760" s="22" t="e">
        <f t="shared" si="331"/>
        <v>#REF!</v>
      </c>
      <c r="J1760" s="22" t="e">
        <f t="shared" si="331"/>
        <v>#REF!</v>
      </c>
      <c r="K1760" s="22" t="e">
        <f t="shared" si="331"/>
        <v>#REF!</v>
      </c>
      <c r="L1760" s="22" t="e">
        <f t="shared" si="331"/>
        <v>#REF!</v>
      </c>
      <c r="M1760" s="22" t="e">
        <f t="shared" si="331"/>
        <v>#REF!</v>
      </c>
      <c r="N1760" s="22" t="e">
        <f t="shared" si="331"/>
        <v>#REF!</v>
      </c>
      <c r="O1760" s="22" t="e">
        <f t="shared" si="331"/>
        <v>#REF!</v>
      </c>
      <c r="Q1760" s="200"/>
    </row>
    <row r="1761" spans="2:21" s="19" customFormat="1" ht="12" hidden="1" customHeight="1" outlineLevel="1">
      <c r="B1761" s="348"/>
      <c r="C1761" s="1086"/>
      <c r="D1761" s="644"/>
      <c r="E1761" s="154"/>
      <c r="F1761" s="22"/>
      <c r="G1761" s="22"/>
      <c r="H1761" s="22"/>
      <c r="I1761" s="22"/>
      <c r="J1761" s="22"/>
      <c r="K1761" s="22"/>
      <c r="L1761" s="22"/>
      <c r="M1761" s="22"/>
      <c r="N1761" s="22"/>
      <c r="O1761" s="22"/>
      <c r="Q1761" s="200"/>
    </row>
    <row r="1762" spans="2:21" s="19" customFormat="1" ht="12" hidden="1" customHeight="1" outlineLevel="1">
      <c r="B1762" s="348" t="s">
        <v>636</v>
      </c>
      <c r="C1762" s="348" t="s">
        <v>612</v>
      </c>
      <c r="D1762" s="644"/>
      <c r="E1762" s="194" t="str">
        <f>Preferences.moneyunits</f>
        <v>$2010</v>
      </c>
      <c r="F1762" s="75">
        <f>Base_Year</f>
        <v>2006</v>
      </c>
      <c r="G1762" s="75">
        <v>2010</v>
      </c>
      <c r="H1762" s="75">
        <v>2015</v>
      </c>
      <c r="I1762" s="75">
        <v>2020</v>
      </c>
      <c r="J1762" s="75">
        <v>2025</v>
      </c>
      <c r="K1762" s="75">
        <v>2030</v>
      </c>
      <c r="L1762" s="75">
        <v>2035</v>
      </c>
      <c r="M1762" s="75">
        <v>2040</v>
      </c>
      <c r="N1762" s="75">
        <v>2045</v>
      </c>
      <c r="O1762" s="75">
        <v>2050</v>
      </c>
      <c r="Q1762" s="200"/>
    </row>
    <row r="1763" spans="2:21" s="19" customFormat="1" ht="12" hidden="1" customHeight="1" outlineLevel="1">
      <c r="B1763" s="347" t="s">
        <v>371</v>
      </c>
      <c r="C1763" s="1086" t="s">
        <v>105</v>
      </c>
      <c r="D1763" s="644"/>
      <c r="E1763" s="154"/>
      <c r="F1763" s="22" t="e">
        <f>#REF!*$F714</f>
        <v>#REF!</v>
      </c>
      <c r="G1763" s="22" t="e">
        <f>#REF!*$F714</f>
        <v>#REF!</v>
      </c>
      <c r="H1763" s="22" t="e">
        <f>#REF!*$F714</f>
        <v>#REF!</v>
      </c>
      <c r="I1763" s="22" t="e">
        <f>#REF!*$F714</f>
        <v>#REF!</v>
      </c>
      <c r="J1763" s="22" t="e">
        <f>#REF!*$F714</f>
        <v>#REF!</v>
      </c>
      <c r="K1763" s="22" t="e">
        <f>#REF!*$F714</f>
        <v>#REF!</v>
      </c>
      <c r="L1763" s="22" t="e">
        <f>#REF!*$F714</f>
        <v>#REF!</v>
      </c>
      <c r="M1763" s="22" t="e">
        <f>#REF!*$F714</f>
        <v>#REF!</v>
      </c>
      <c r="N1763" s="22" t="e">
        <f>#REF!*$F714</f>
        <v>#REF!</v>
      </c>
      <c r="O1763" s="22" t="e">
        <f>#REF!*$F714</f>
        <v>#REF!</v>
      </c>
    </row>
    <row r="1764" spans="2:21" s="19" customFormat="1" ht="12" hidden="1" customHeight="1" outlineLevel="1">
      <c r="B1764" s="347" t="s">
        <v>372</v>
      </c>
      <c r="C1764" s="1086" t="s">
        <v>367</v>
      </c>
      <c r="D1764" s="644"/>
      <c r="E1764" s="154"/>
      <c r="F1764" s="22" t="e">
        <f>#REF!*$F715</f>
        <v>#REF!</v>
      </c>
      <c r="G1764" s="22" t="e">
        <f>#REF!*$F715</f>
        <v>#REF!</v>
      </c>
      <c r="H1764" s="22" t="e">
        <f>#REF!*$F715</f>
        <v>#REF!</v>
      </c>
      <c r="I1764" s="22" t="e">
        <f>#REF!*$F715</f>
        <v>#REF!</v>
      </c>
      <c r="J1764" s="22" t="e">
        <f>#REF!*$F715</f>
        <v>#REF!</v>
      </c>
      <c r="K1764" s="22" t="e">
        <f>#REF!*$F715</f>
        <v>#REF!</v>
      </c>
      <c r="L1764" s="22" t="e">
        <f>#REF!*$F715</f>
        <v>#REF!</v>
      </c>
      <c r="M1764" s="22" t="e">
        <f>#REF!*$F715</f>
        <v>#REF!</v>
      </c>
      <c r="N1764" s="22" t="e">
        <f>#REF!*$F715</f>
        <v>#REF!</v>
      </c>
      <c r="O1764" s="22" t="e">
        <f>#REF!*$F715</f>
        <v>#REF!</v>
      </c>
    </row>
    <row r="1765" spans="2:21" s="19" customFormat="1" ht="12" hidden="1" customHeight="1" outlineLevel="1">
      <c r="B1765" s="347" t="s">
        <v>373</v>
      </c>
      <c r="C1765" s="1086" t="s">
        <v>368</v>
      </c>
      <c r="D1765" s="644"/>
      <c r="E1765" s="154"/>
      <c r="F1765" s="22" t="e">
        <f>#REF!*#REF!</f>
        <v>#REF!</v>
      </c>
      <c r="G1765" s="22" t="e">
        <f>#REF!*#REF!</f>
        <v>#REF!</v>
      </c>
      <c r="H1765" s="22" t="e">
        <f>#REF!*#REF!</f>
        <v>#REF!</v>
      </c>
      <c r="I1765" s="22" t="e">
        <f>#REF!*#REF!</f>
        <v>#REF!</v>
      </c>
      <c r="J1765" s="22" t="e">
        <f>#REF!*#REF!</f>
        <v>#REF!</v>
      </c>
      <c r="K1765" s="22" t="e">
        <f>#REF!*#REF!</f>
        <v>#REF!</v>
      </c>
      <c r="L1765" s="22" t="e">
        <f>#REF!*#REF!</f>
        <v>#REF!</v>
      </c>
      <c r="M1765" s="22" t="e">
        <f>#REF!*#REF!</f>
        <v>#REF!</v>
      </c>
      <c r="N1765" s="22" t="e">
        <f>#REF!*#REF!</f>
        <v>#REF!</v>
      </c>
      <c r="O1765" s="22" t="e">
        <f>#REF!*#REF!</f>
        <v>#REF!</v>
      </c>
    </row>
    <row r="1766" spans="2:21" s="19" customFormat="1" ht="12" hidden="1" customHeight="1" outlineLevel="1">
      <c r="B1766" s="347" t="s">
        <v>374</v>
      </c>
      <c r="C1766" s="1086" t="s">
        <v>97</v>
      </c>
      <c r="D1766" s="644"/>
      <c r="E1766" s="154"/>
      <c r="F1766" s="22" t="e">
        <f>#REF!*$F716</f>
        <v>#REF!</v>
      </c>
      <c r="G1766" s="22" t="e">
        <f>#REF!*$F716</f>
        <v>#REF!</v>
      </c>
      <c r="H1766" s="22" t="e">
        <f>#REF!*$F716</f>
        <v>#REF!</v>
      </c>
      <c r="I1766" s="22" t="e">
        <f>#REF!*$F716</f>
        <v>#REF!</v>
      </c>
      <c r="J1766" s="22" t="e">
        <f>#REF!*$F716</f>
        <v>#REF!</v>
      </c>
      <c r="K1766" s="22" t="e">
        <f>#REF!*$F716</f>
        <v>#REF!</v>
      </c>
      <c r="L1766" s="22" t="e">
        <f>#REF!*$F716</f>
        <v>#REF!</v>
      </c>
      <c r="M1766" s="22" t="e">
        <f>#REF!*$F716</f>
        <v>#REF!</v>
      </c>
      <c r="N1766" s="22" t="e">
        <f>#REF!*$F716</f>
        <v>#REF!</v>
      </c>
      <c r="O1766" s="22" t="e">
        <f>#REF!*$F716</f>
        <v>#REF!</v>
      </c>
    </row>
    <row r="1767" spans="2:21" s="19" customFormat="1" ht="12" hidden="1" customHeight="1" outlineLevel="1">
      <c r="B1767" s="348"/>
      <c r="C1767" s="1086" t="s">
        <v>102</v>
      </c>
      <c r="D1767" s="644"/>
      <c r="E1767" s="154"/>
      <c r="F1767" s="22" t="e">
        <f t="shared" ref="F1767:O1767" si="332">SUM(F1763:F1766)</f>
        <v>#REF!</v>
      </c>
      <c r="G1767" s="22" t="e">
        <f t="shared" si="332"/>
        <v>#REF!</v>
      </c>
      <c r="H1767" s="22" t="e">
        <f t="shared" si="332"/>
        <v>#REF!</v>
      </c>
      <c r="I1767" s="22" t="e">
        <f t="shared" si="332"/>
        <v>#REF!</v>
      </c>
      <c r="J1767" s="22" t="e">
        <f t="shared" si="332"/>
        <v>#REF!</v>
      </c>
      <c r="K1767" s="22" t="e">
        <f t="shared" si="332"/>
        <v>#REF!</v>
      </c>
      <c r="L1767" s="22" t="e">
        <f t="shared" si="332"/>
        <v>#REF!</v>
      </c>
      <c r="M1767" s="22" t="e">
        <f t="shared" si="332"/>
        <v>#REF!</v>
      </c>
      <c r="N1767" s="22" t="e">
        <f t="shared" si="332"/>
        <v>#REF!</v>
      </c>
      <c r="O1767" s="22" t="e">
        <f t="shared" si="332"/>
        <v>#REF!</v>
      </c>
    </row>
    <row r="1768" spans="2:21" s="19" customFormat="1" ht="12" hidden="1" customHeight="1" outlineLevel="1">
      <c r="B1768" s="348"/>
      <c r="C1768" s="1086"/>
      <c r="D1768" s="644"/>
      <c r="E1768" s="154"/>
      <c r="F1768" s="22"/>
      <c r="G1768" s="22"/>
      <c r="H1768" s="22"/>
      <c r="I1768" s="22"/>
      <c r="J1768" s="22"/>
      <c r="K1768" s="22"/>
      <c r="L1768" s="22"/>
      <c r="M1768" s="22"/>
      <c r="N1768" s="22"/>
      <c r="O1768" s="22"/>
    </row>
    <row r="1769" spans="2:21" s="19" customFormat="1" ht="12" hidden="1" customHeight="1" outlineLevel="1">
      <c r="D1769" s="644"/>
    </row>
    <row r="1770" spans="2:21" s="19" customFormat="1" ht="12" hidden="1" customHeight="1" outlineLevel="1">
      <c r="B1770" s="348" t="s">
        <v>638</v>
      </c>
      <c r="C1770" s="348" t="s">
        <v>613</v>
      </c>
      <c r="D1770" s="644"/>
      <c r="E1770" s="194" t="str">
        <f>Preferences.moneyunits</f>
        <v>$2010</v>
      </c>
      <c r="F1770" s="75">
        <f>Base_Year</f>
        <v>2006</v>
      </c>
      <c r="G1770" s="75">
        <v>2010</v>
      </c>
      <c r="H1770" s="75">
        <v>2015</v>
      </c>
      <c r="I1770" s="75">
        <v>2020</v>
      </c>
      <c r="J1770" s="75">
        <v>2025</v>
      </c>
      <c r="K1770" s="75">
        <v>2030</v>
      </c>
      <c r="L1770" s="75">
        <v>2035</v>
      </c>
      <c r="M1770" s="75">
        <v>2040</v>
      </c>
      <c r="N1770" s="75">
        <v>2045</v>
      </c>
      <c r="O1770" s="75">
        <v>2050</v>
      </c>
    </row>
    <row r="1771" spans="2:21" s="19" customFormat="1" ht="12" hidden="1" customHeight="1" outlineLevel="1">
      <c r="B1771" s="347" t="s">
        <v>371</v>
      </c>
      <c r="C1771" s="1086" t="s">
        <v>105</v>
      </c>
      <c r="D1771" s="644"/>
      <c r="E1771" s="154"/>
      <c r="F1771" s="22" t="e">
        <f>#REF!*$I714</f>
        <v>#REF!</v>
      </c>
      <c r="G1771" s="22" t="e">
        <f>#REF!*$I714</f>
        <v>#REF!</v>
      </c>
      <c r="H1771" s="22" t="e">
        <f>#REF!*$I714</f>
        <v>#REF!</v>
      </c>
      <c r="I1771" s="22" t="e">
        <f>#REF!*$I714</f>
        <v>#REF!</v>
      </c>
      <c r="J1771" s="22" t="e">
        <f>#REF!*$I714</f>
        <v>#REF!</v>
      </c>
      <c r="K1771" s="22" t="e">
        <f>#REF!*$I714</f>
        <v>#REF!</v>
      </c>
      <c r="L1771" s="22" t="e">
        <f>#REF!*$I714</f>
        <v>#REF!</v>
      </c>
      <c r="M1771" s="22" t="e">
        <f>#REF!*$I714</f>
        <v>#REF!</v>
      </c>
      <c r="N1771" s="22" t="e">
        <f>#REF!*$I714</f>
        <v>#REF!</v>
      </c>
      <c r="O1771" s="22" t="e">
        <f>#REF!*$I714</f>
        <v>#REF!</v>
      </c>
    </row>
    <row r="1772" spans="2:21" s="19" customFormat="1" ht="12" hidden="1" customHeight="1" outlineLevel="1">
      <c r="B1772" s="347" t="s">
        <v>372</v>
      </c>
      <c r="C1772" s="1086" t="s">
        <v>367</v>
      </c>
      <c r="D1772" s="644"/>
      <c r="E1772" s="154"/>
      <c r="F1772" s="22" t="e">
        <f>#REF!*$I715</f>
        <v>#REF!</v>
      </c>
      <c r="G1772" s="22" t="e">
        <f>#REF!*$I715</f>
        <v>#REF!</v>
      </c>
      <c r="H1772" s="22" t="e">
        <f>#REF!*$I715</f>
        <v>#REF!</v>
      </c>
      <c r="I1772" s="22" t="e">
        <f>#REF!*$I715</f>
        <v>#REF!</v>
      </c>
      <c r="J1772" s="22" t="e">
        <f>#REF!*$I715</f>
        <v>#REF!</v>
      </c>
      <c r="K1772" s="22" t="e">
        <f>#REF!*$I715</f>
        <v>#REF!</v>
      </c>
      <c r="L1772" s="22" t="e">
        <f>#REF!*$I715</f>
        <v>#REF!</v>
      </c>
      <c r="M1772" s="22" t="e">
        <f>#REF!*$I715</f>
        <v>#REF!</v>
      </c>
      <c r="N1772" s="22" t="e">
        <f>#REF!*$I715</f>
        <v>#REF!</v>
      </c>
      <c r="O1772" s="22" t="e">
        <f>#REF!*$I715</f>
        <v>#REF!</v>
      </c>
    </row>
    <row r="1773" spans="2:21" s="19" customFormat="1" ht="12" hidden="1" customHeight="1" outlineLevel="1">
      <c r="B1773" s="347" t="s">
        <v>373</v>
      </c>
      <c r="C1773" s="1086" t="s">
        <v>368</v>
      </c>
      <c r="D1773" s="644"/>
      <c r="E1773" s="154"/>
      <c r="F1773" s="22" t="e">
        <f>#REF!*#REF!</f>
        <v>#REF!</v>
      </c>
      <c r="G1773" s="22" t="e">
        <f>#REF!*#REF!</f>
        <v>#REF!</v>
      </c>
      <c r="H1773" s="22" t="e">
        <f>#REF!*#REF!</f>
        <v>#REF!</v>
      </c>
      <c r="I1773" s="22" t="e">
        <f>#REF!*#REF!</f>
        <v>#REF!</v>
      </c>
      <c r="J1773" s="22" t="e">
        <f>#REF!*#REF!</f>
        <v>#REF!</v>
      </c>
      <c r="K1773" s="22" t="e">
        <f>#REF!*#REF!</f>
        <v>#REF!</v>
      </c>
      <c r="L1773" s="22" t="e">
        <f>#REF!*#REF!</f>
        <v>#REF!</v>
      </c>
      <c r="M1773" s="22" t="e">
        <f>#REF!*#REF!</f>
        <v>#REF!</v>
      </c>
      <c r="N1773" s="22" t="e">
        <f>#REF!*#REF!</f>
        <v>#REF!</v>
      </c>
      <c r="O1773" s="22" t="e">
        <f>#REF!*#REF!</f>
        <v>#REF!</v>
      </c>
    </row>
    <row r="1774" spans="2:21" s="19" customFormat="1" ht="12" hidden="1" customHeight="1" outlineLevel="1">
      <c r="B1774" s="347" t="s">
        <v>374</v>
      </c>
      <c r="C1774" s="1086" t="s">
        <v>97</v>
      </c>
      <c r="D1774" s="644"/>
      <c r="E1774" s="154"/>
      <c r="F1774" s="22" t="e">
        <f>#REF!*$I716</f>
        <v>#REF!</v>
      </c>
      <c r="G1774" s="22" t="e">
        <f>#REF!*$I716</f>
        <v>#REF!</v>
      </c>
      <c r="H1774" s="22" t="e">
        <f>#REF!*$I716</f>
        <v>#REF!</v>
      </c>
      <c r="I1774" s="22" t="e">
        <f>#REF!*$I716</f>
        <v>#REF!</v>
      </c>
      <c r="J1774" s="22" t="e">
        <f>#REF!*$I716</f>
        <v>#REF!</v>
      </c>
      <c r="K1774" s="22" t="e">
        <f>#REF!*$I716</f>
        <v>#REF!</v>
      </c>
      <c r="L1774" s="22" t="e">
        <f>#REF!*$I716</f>
        <v>#REF!</v>
      </c>
      <c r="M1774" s="22" t="e">
        <f>#REF!*$I716</f>
        <v>#REF!</v>
      </c>
      <c r="N1774" s="22" t="e">
        <f>#REF!*$I716</f>
        <v>#REF!</v>
      </c>
      <c r="O1774" s="22" t="e">
        <f>#REF!*$I716</f>
        <v>#REF!</v>
      </c>
    </row>
    <row r="1775" spans="2:21" s="19" customFormat="1" ht="12" hidden="1" customHeight="1" outlineLevel="1">
      <c r="B1775" s="348"/>
      <c r="C1775" s="1086" t="s">
        <v>102</v>
      </c>
      <c r="D1775" s="644"/>
      <c r="E1775" s="154"/>
      <c r="F1775" s="22" t="e">
        <f t="shared" ref="F1775:O1775" si="333">SUM(F1771:F1774)</f>
        <v>#REF!</v>
      </c>
      <c r="G1775" s="22" t="e">
        <f t="shared" si="333"/>
        <v>#REF!</v>
      </c>
      <c r="H1775" s="22" t="e">
        <f t="shared" si="333"/>
        <v>#REF!</v>
      </c>
      <c r="I1775" s="22" t="e">
        <f t="shared" si="333"/>
        <v>#REF!</v>
      </c>
      <c r="J1775" s="22" t="e">
        <f t="shared" si="333"/>
        <v>#REF!</v>
      </c>
      <c r="K1775" s="22" t="e">
        <f t="shared" si="333"/>
        <v>#REF!</v>
      </c>
      <c r="L1775" s="22" t="e">
        <f t="shared" si="333"/>
        <v>#REF!</v>
      </c>
      <c r="M1775" s="22" t="e">
        <f t="shared" si="333"/>
        <v>#REF!</v>
      </c>
      <c r="N1775" s="22" t="e">
        <f t="shared" si="333"/>
        <v>#REF!</v>
      </c>
      <c r="O1775" s="22" t="e">
        <f t="shared" si="333"/>
        <v>#REF!</v>
      </c>
      <c r="Q1775" s="200"/>
      <c r="R1775" s="200"/>
      <c r="S1775" s="200"/>
      <c r="T1775" s="200"/>
      <c r="U1775" s="200"/>
    </row>
    <row r="1776" spans="2:21" s="19" customFormat="1" ht="12" hidden="1" customHeight="1" outlineLevel="1">
      <c r="B1776" s="348"/>
      <c r="C1776" s="1086"/>
      <c r="D1776" s="644"/>
      <c r="E1776" s="154"/>
      <c r="F1776" s="22"/>
      <c r="G1776" s="22"/>
      <c r="H1776" s="22"/>
      <c r="I1776" s="22"/>
      <c r="J1776" s="22"/>
      <c r="K1776" s="22"/>
      <c r="L1776" s="22"/>
      <c r="M1776" s="22"/>
      <c r="N1776" s="22"/>
      <c r="O1776" s="22"/>
      <c r="Q1776" s="200"/>
      <c r="R1776" s="200"/>
      <c r="S1776" s="200"/>
      <c r="T1776" s="200"/>
      <c r="U1776" s="200"/>
    </row>
    <row r="1777" spans="1:29" s="19" customFormat="1" ht="12" hidden="1" customHeight="1" outlineLevel="1">
      <c r="B1777" s="348" t="s">
        <v>751</v>
      </c>
      <c r="C1777" s="348" t="s">
        <v>613</v>
      </c>
      <c r="D1777" s="644"/>
      <c r="E1777" s="194" t="str">
        <f>Preferences.moneyunits</f>
        <v>$2010</v>
      </c>
      <c r="F1777" s="75">
        <f>Base_Year</f>
        <v>2006</v>
      </c>
      <c r="G1777" s="75">
        <v>2010</v>
      </c>
      <c r="H1777" s="75">
        <v>2015</v>
      </c>
      <c r="I1777" s="75">
        <v>2020</v>
      </c>
      <c r="J1777" s="75">
        <v>2025</v>
      </c>
      <c r="K1777" s="75">
        <v>2030</v>
      </c>
      <c r="L1777" s="75">
        <v>2035</v>
      </c>
      <c r="M1777" s="75">
        <v>2040</v>
      </c>
      <c r="N1777" s="75">
        <v>2045</v>
      </c>
      <c r="O1777" s="75">
        <v>2050</v>
      </c>
      <c r="Q1777" s="165"/>
      <c r="R1777" s="200"/>
      <c r="S1777" s="200"/>
      <c r="T1777" s="200"/>
      <c r="U1777" s="200"/>
    </row>
    <row r="1778" spans="1:29" s="19" customFormat="1" ht="12" hidden="1" customHeight="1" outlineLevel="1">
      <c r="B1778" s="347" t="s">
        <v>371</v>
      </c>
      <c r="C1778" s="1086" t="s">
        <v>105</v>
      </c>
      <c r="D1778" s="644"/>
      <c r="E1778" s="154"/>
      <c r="F1778" s="22" t="e">
        <f t="shared" ref="F1778:O1778" si="334">F1785+((F1771-F1785)*0.35)</f>
        <v>#REF!</v>
      </c>
      <c r="G1778" s="22" t="e">
        <f t="shared" si="334"/>
        <v>#REF!</v>
      </c>
      <c r="H1778" s="22" t="e">
        <f t="shared" si="334"/>
        <v>#REF!</v>
      </c>
      <c r="I1778" s="22" t="e">
        <f t="shared" si="334"/>
        <v>#REF!</v>
      </c>
      <c r="J1778" s="22" t="e">
        <f t="shared" si="334"/>
        <v>#REF!</v>
      </c>
      <c r="K1778" s="22" t="e">
        <f t="shared" si="334"/>
        <v>#REF!</v>
      </c>
      <c r="L1778" s="22" t="e">
        <f t="shared" si="334"/>
        <v>#REF!</v>
      </c>
      <c r="M1778" s="22" t="e">
        <f t="shared" si="334"/>
        <v>#REF!</v>
      </c>
      <c r="N1778" s="22" t="e">
        <f t="shared" si="334"/>
        <v>#REF!</v>
      </c>
      <c r="O1778" s="22" t="e">
        <f t="shared" si="334"/>
        <v>#REF!</v>
      </c>
      <c r="Q1778" s="200"/>
      <c r="R1778" s="200"/>
      <c r="S1778" s="200"/>
      <c r="T1778" s="200"/>
      <c r="U1778" s="200"/>
    </row>
    <row r="1779" spans="1:29" s="19" customFormat="1" ht="12" hidden="1" customHeight="1" outlineLevel="1">
      <c r="B1779" s="347" t="s">
        <v>372</v>
      </c>
      <c r="C1779" s="1086" t="s">
        <v>367</v>
      </c>
      <c r="D1779" s="644"/>
      <c r="E1779" s="154"/>
      <c r="F1779" s="22" t="e">
        <f t="shared" ref="F1779:O1779" si="335">F1786+((F1772-F1786)*0.35)</f>
        <v>#REF!</v>
      </c>
      <c r="G1779" s="22" t="e">
        <f t="shared" si="335"/>
        <v>#REF!</v>
      </c>
      <c r="H1779" s="22" t="e">
        <f t="shared" si="335"/>
        <v>#REF!</v>
      </c>
      <c r="I1779" s="22" t="e">
        <f t="shared" si="335"/>
        <v>#REF!</v>
      </c>
      <c r="J1779" s="22" t="e">
        <f t="shared" si="335"/>
        <v>#REF!</v>
      </c>
      <c r="K1779" s="22" t="e">
        <f t="shared" si="335"/>
        <v>#REF!</v>
      </c>
      <c r="L1779" s="22" t="e">
        <f t="shared" si="335"/>
        <v>#REF!</v>
      </c>
      <c r="M1779" s="22" t="e">
        <f t="shared" si="335"/>
        <v>#REF!</v>
      </c>
      <c r="N1779" s="22" t="e">
        <f t="shared" si="335"/>
        <v>#REF!</v>
      </c>
      <c r="O1779" s="22" t="e">
        <f t="shared" si="335"/>
        <v>#REF!</v>
      </c>
      <c r="Q1779" s="200"/>
      <c r="R1779" s="200"/>
      <c r="S1779" s="200"/>
      <c r="T1779" s="200"/>
      <c r="U1779" s="200"/>
    </row>
    <row r="1780" spans="1:29" s="19" customFormat="1" ht="12" hidden="1" customHeight="1" outlineLevel="1">
      <c r="B1780" s="347" t="s">
        <v>373</v>
      </c>
      <c r="C1780" s="1086" t="s">
        <v>368</v>
      </c>
      <c r="D1780" s="644"/>
      <c r="E1780" s="154"/>
      <c r="F1780" s="22" t="e">
        <f t="shared" ref="F1780:O1780" si="336">F1787+((F1773-F1787)*0.35)</f>
        <v>#REF!</v>
      </c>
      <c r="G1780" s="22" t="e">
        <f t="shared" si="336"/>
        <v>#REF!</v>
      </c>
      <c r="H1780" s="22" t="e">
        <f t="shared" si="336"/>
        <v>#REF!</v>
      </c>
      <c r="I1780" s="22" t="e">
        <f t="shared" si="336"/>
        <v>#REF!</v>
      </c>
      <c r="J1780" s="22" t="e">
        <f t="shared" si="336"/>
        <v>#REF!</v>
      </c>
      <c r="K1780" s="22" t="e">
        <f t="shared" si="336"/>
        <v>#REF!</v>
      </c>
      <c r="L1780" s="22" t="e">
        <f t="shared" si="336"/>
        <v>#REF!</v>
      </c>
      <c r="M1780" s="22" t="e">
        <f t="shared" si="336"/>
        <v>#REF!</v>
      </c>
      <c r="N1780" s="22" t="e">
        <f t="shared" si="336"/>
        <v>#REF!</v>
      </c>
      <c r="O1780" s="22" t="e">
        <f t="shared" si="336"/>
        <v>#REF!</v>
      </c>
      <c r="Q1780" s="200"/>
      <c r="R1780" s="200"/>
      <c r="S1780" s="200"/>
      <c r="T1780" s="200"/>
      <c r="U1780" s="200"/>
    </row>
    <row r="1781" spans="1:29" s="19" customFormat="1" ht="12" hidden="1" customHeight="1" outlineLevel="1">
      <c r="B1781" s="347" t="s">
        <v>374</v>
      </c>
      <c r="C1781" s="1086" t="s">
        <v>97</v>
      </c>
      <c r="D1781" s="644"/>
      <c r="E1781" s="154"/>
      <c r="F1781" s="22" t="e">
        <f t="shared" ref="F1781:O1781" si="337">F1788+((F1774-F1788)*0.35)</f>
        <v>#REF!</v>
      </c>
      <c r="G1781" s="22" t="e">
        <f t="shared" si="337"/>
        <v>#REF!</v>
      </c>
      <c r="H1781" s="22" t="e">
        <f t="shared" si="337"/>
        <v>#REF!</v>
      </c>
      <c r="I1781" s="22" t="e">
        <f t="shared" si="337"/>
        <v>#REF!</v>
      </c>
      <c r="J1781" s="22" t="e">
        <f t="shared" si="337"/>
        <v>#REF!</v>
      </c>
      <c r="K1781" s="22" t="e">
        <f t="shared" si="337"/>
        <v>#REF!</v>
      </c>
      <c r="L1781" s="22" t="e">
        <f t="shared" si="337"/>
        <v>#REF!</v>
      </c>
      <c r="M1781" s="22" t="e">
        <f t="shared" si="337"/>
        <v>#REF!</v>
      </c>
      <c r="N1781" s="22" t="e">
        <f t="shared" si="337"/>
        <v>#REF!</v>
      </c>
      <c r="O1781" s="22" t="e">
        <f t="shared" si="337"/>
        <v>#REF!</v>
      </c>
      <c r="Q1781" s="200"/>
      <c r="R1781" s="200"/>
      <c r="S1781" s="200"/>
      <c r="T1781" s="200"/>
      <c r="U1781" s="200"/>
    </row>
    <row r="1782" spans="1:29" s="19" customFormat="1" ht="12" hidden="1" customHeight="1" outlineLevel="1">
      <c r="B1782" s="348"/>
      <c r="C1782" s="1086" t="s">
        <v>102</v>
      </c>
      <c r="D1782" s="644"/>
      <c r="E1782" s="154"/>
      <c r="F1782" s="22" t="e">
        <f t="shared" ref="F1782:O1782" si="338">F1789+((F1775-F1789)*0.35)</f>
        <v>#REF!</v>
      </c>
      <c r="G1782" s="22" t="e">
        <f t="shared" si="338"/>
        <v>#REF!</v>
      </c>
      <c r="H1782" s="22" t="e">
        <f t="shared" si="338"/>
        <v>#REF!</v>
      </c>
      <c r="I1782" s="22" t="e">
        <f t="shared" si="338"/>
        <v>#REF!</v>
      </c>
      <c r="J1782" s="22" t="e">
        <f t="shared" si="338"/>
        <v>#REF!</v>
      </c>
      <c r="K1782" s="22" t="e">
        <f t="shared" si="338"/>
        <v>#REF!</v>
      </c>
      <c r="L1782" s="22" t="e">
        <f t="shared" si="338"/>
        <v>#REF!</v>
      </c>
      <c r="M1782" s="22" t="e">
        <f t="shared" si="338"/>
        <v>#REF!</v>
      </c>
      <c r="N1782" s="22" t="e">
        <f t="shared" si="338"/>
        <v>#REF!</v>
      </c>
      <c r="O1782" s="22" t="e">
        <f t="shared" si="338"/>
        <v>#REF!</v>
      </c>
      <c r="Q1782" s="200"/>
      <c r="R1782" s="200"/>
      <c r="S1782" s="200"/>
      <c r="T1782" s="200"/>
      <c r="U1782" s="200"/>
    </row>
    <row r="1783" spans="1:29" s="19" customFormat="1" ht="12" hidden="1" customHeight="1" outlineLevel="1">
      <c r="D1783" s="644"/>
      <c r="Q1783" s="200"/>
      <c r="R1783" s="200"/>
      <c r="S1783" s="200"/>
      <c r="T1783" s="200"/>
      <c r="U1783" s="200"/>
    </row>
    <row r="1784" spans="1:29" s="19" customFormat="1" ht="12" hidden="1" customHeight="1" outlineLevel="1">
      <c r="B1784" s="348" t="s">
        <v>636</v>
      </c>
      <c r="C1784" s="348" t="s">
        <v>613</v>
      </c>
      <c r="D1784" s="644"/>
      <c r="E1784" s="194" t="str">
        <f>Preferences.moneyunits</f>
        <v>$2010</v>
      </c>
      <c r="F1784" s="75">
        <f>Base_Year</f>
        <v>2006</v>
      </c>
      <c r="G1784" s="75">
        <v>2010</v>
      </c>
      <c r="H1784" s="75">
        <v>2015</v>
      </c>
      <c r="I1784" s="75">
        <v>2020</v>
      </c>
      <c r="J1784" s="75">
        <v>2025</v>
      </c>
      <c r="K1784" s="75">
        <v>2030</v>
      </c>
      <c r="L1784" s="75">
        <v>2035</v>
      </c>
      <c r="M1784" s="75">
        <v>2040</v>
      </c>
      <c r="N1784" s="75">
        <v>2045</v>
      </c>
      <c r="O1784" s="75">
        <v>2050</v>
      </c>
    </row>
    <row r="1785" spans="1:29" s="19" customFormat="1" ht="12" hidden="1" customHeight="1" outlineLevel="1">
      <c r="B1785" s="347" t="s">
        <v>371</v>
      </c>
      <c r="C1785" s="1086" t="s">
        <v>105</v>
      </c>
      <c r="D1785" s="644"/>
      <c r="E1785" s="154"/>
      <c r="F1785" s="22" t="e">
        <f>#REF!*$G714</f>
        <v>#REF!</v>
      </c>
      <c r="G1785" s="22" t="e">
        <f>#REF!*$G714</f>
        <v>#REF!</v>
      </c>
      <c r="H1785" s="22" t="e">
        <f>#REF!*$G714</f>
        <v>#REF!</v>
      </c>
      <c r="I1785" s="22" t="e">
        <f>#REF!*$G714</f>
        <v>#REF!</v>
      </c>
      <c r="J1785" s="22" t="e">
        <f>#REF!*$G714</f>
        <v>#REF!</v>
      </c>
      <c r="K1785" s="22" t="e">
        <f>#REF!*$G714</f>
        <v>#REF!</v>
      </c>
      <c r="L1785" s="22" t="e">
        <f>#REF!*$G714</f>
        <v>#REF!</v>
      </c>
      <c r="M1785" s="22" t="e">
        <f>#REF!*$G714</f>
        <v>#REF!</v>
      </c>
      <c r="N1785" s="22" t="e">
        <f>#REF!*$G714</f>
        <v>#REF!</v>
      </c>
      <c r="O1785" s="22" t="e">
        <f>#REF!*$G714</f>
        <v>#REF!</v>
      </c>
    </row>
    <row r="1786" spans="1:29" s="19" customFormat="1" ht="12" hidden="1" customHeight="1" outlineLevel="1">
      <c r="B1786" s="347" t="s">
        <v>372</v>
      </c>
      <c r="C1786" s="1086" t="s">
        <v>367</v>
      </c>
      <c r="D1786" s="644"/>
      <c r="E1786" s="154"/>
      <c r="F1786" s="22" t="e">
        <f>#REF!*$G715</f>
        <v>#REF!</v>
      </c>
      <c r="G1786" s="22" t="e">
        <f>#REF!*$G715</f>
        <v>#REF!</v>
      </c>
      <c r="H1786" s="22" t="e">
        <f>#REF!*$G715</f>
        <v>#REF!</v>
      </c>
      <c r="I1786" s="22" t="e">
        <f>#REF!*$G715</f>
        <v>#REF!</v>
      </c>
      <c r="J1786" s="22" t="e">
        <f>#REF!*$G715</f>
        <v>#REF!</v>
      </c>
      <c r="K1786" s="22" t="e">
        <f>#REF!*$G715</f>
        <v>#REF!</v>
      </c>
      <c r="L1786" s="22" t="e">
        <f>#REF!*$G715</f>
        <v>#REF!</v>
      </c>
      <c r="M1786" s="22" t="e">
        <f>#REF!*$G715</f>
        <v>#REF!</v>
      </c>
      <c r="N1786" s="22" t="e">
        <f>#REF!*$G715</f>
        <v>#REF!</v>
      </c>
      <c r="O1786" s="22" t="e">
        <f>#REF!*$G715</f>
        <v>#REF!</v>
      </c>
    </row>
    <row r="1787" spans="1:29" s="19" customFormat="1" ht="12" hidden="1" customHeight="1" outlineLevel="1">
      <c r="B1787" s="347" t="s">
        <v>373</v>
      </c>
      <c r="C1787" s="1086" t="s">
        <v>368</v>
      </c>
      <c r="D1787" s="644"/>
      <c r="E1787" s="154"/>
      <c r="F1787" s="22" t="e">
        <f>#REF!*#REF!</f>
        <v>#REF!</v>
      </c>
      <c r="G1787" s="22" t="e">
        <f>#REF!*#REF!</f>
        <v>#REF!</v>
      </c>
      <c r="H1787" s="22" t="e">
        <f>#REF!*#REF!</f>
        <v>#REF!</v>
      </c>
      <c r="I1787" s="22" t="e">
        <f>#REF!*#REF!</f>
        <v>#REF!</v>
      </c>
      <c r="J1787" s="22" t="e">
        <f>#REF!*#REF!</f>
        <v>#REF!</v>
      </c>
      <c r="K1787" s="22" t="e">
        <f>#REF!*#REF!</f>
        <v>#REF!</v>
      </c>
      <c r="L1787" s="22" t="e">
        <f>#REF!*#REF!</f>
        <v>#REF!</v>
      </c>
      <c r="M1787" s="22" t="e">
        <f>#REF!*#REF!</f>
        <v>#REF!</v>
      </c>
      <c r="N1787" s="22" t="e">
        <f>#REF!*#REF!</f>
        <v>#REF!</v>
      </c>
      <c r="O1787" s="22" t="e">
        <f>#REF!*#REF!</f>
        <v>#REF!</v>
      </c>
    </row>
    <row r="1788" spans="1:29" s="19" customFormat="1" ht="12" hidden="1" customHeight="1" outlineLevel="1">
      <c r="B1788" s="347" t="s">
        <v>374</v>
      </c>
      <c r="C1788" s="1086" t="s">
        <v>97</v>
      </c>
      <c r="D1788" s="644"/>
      <c r="E1788" s="154"/>
      <c r="F1788" s="22" t="e">
        <f>#REF!*$G716</f>
        <v>#REF!</v>
      </c>
      <c r="G1788" s="22" t="e">
        <f>#REF!*$G716</f>
        <v>#REF!</v>
      </c>
      <c r="H1788" s="22" t="e">
        <f>#REF!*$G716</f>
        <v>#REF!</v>
      </c>
      <c r="I1788" s="22" t="e">
        <f>#REF!*$G716</f>
        <v>#REF!</v>
      </c>
      <c r="J1788" s="22" t="e">
        <f>#REF!*$G716</f>
        <v>#REF!</v>
      </c>
      <c r="K1788" s="22" t="e">
        <f>#REF!*$G716</f>
        <v>#REF!</v>
      </c>
      <c r="L1788" s="22" t="e">
        <f>#REF!*$G716</f>
        <v>#REF!</v>
      </c>
      <c r="M1788" s="22" t="e">
        <f>#REF!*$G716</f>
        <v>#REF!</v>
      </c>
      <c r="N1788" s="22" t="e">
        <f>#REF!*$G716</f>
        <v>#REF!</v>
      </c>
      <c r="O1788" s="22" t="e">
        <f>#REF!*$G716</f>
        <v>#REF!</v>
      </c>
    </row>
    <row r="1789" spans="1:29" s="19" customFormat="1" ht="12" hidden="1" customHeight="1" outlineLevel="1">
      <c r="B1789" s="348"/>
      <c r="C1789" s="1086" t="s">
        <v>102</v>
      </c>
      <c r="D1789" s="644"/>
      <c r="E1789" s="154"/>
      <c r="F1789" s="22" t="e">
        <f t="shared" ref="F1789:O1789" si="339">SUM(F1785:F1788)</f>
        <v>#REF!</v>
      </c>
      <c r="G1789" s="22" t="e">
        <f t="shared" si="339"/>
        <v>#REF!</v>
      </c>
      <c r="H1789" s="22" t="e">
        <f t="shared" si="339"/>
        <v>#REF!</v>
      </c>
      <c r="I1789" s="22" t="e">
        <f t="shared" si="339"/>
        <v>#REF!</v>
      </c>
      <c r="J1789" s="22" t="e">
        <f t="shared" si="339"/>
        <v>#REF!</v>
      </c>
      <c r="K1789" s="22" t="e">
        <f t="shared" si="339"/>
        <v>#REF!</v>
      </c>
      <c r="L1789" s="22" t="e">
        <f t="shared" si="339"/>
        <v>#REF!</v>
      </c>
      <c r="M1789" s="22" t="e">
        <f t="shared" si="339"/>
        <v>#REF!</v>
      </c>
      <c r="N1789" s="22" t="e">
        <f t="shared" si="339"/>
        <v>#REF!</v>
      </c>
      <c r="O1789" s="22" t="e">
        <f t="shared" si="339"/>
        <v>#REF!</v>
      </c>
    </row>
    <row r="1790" spans="1:29" s="48" customFormat="1" ht="12" customHeight="1" thickTop="1">
      <c r="D1790" s="398"/>
      <c r="E1790" s="673"/>
      <c r="F1790" s="1055"/>
      <c r="G1790" s="673"/>
      <c r="R1790" s="1086"/>
      <c r="S1790" s="1086"/>
      <c r="T1790" s="1086"/>
      <c r="U1790" s="22"/>
      <c r="V1790" s="22"/>
      <c r="W1790" s="22"/>
    </row>
    <row r="1791" spans="1:29" ht="22">
      <c r="A1791" s="343"/>
      <c r="B1791" s="141" t="s">
        <v>201</v>
      </c>
      <c r="C1791" s="122"/>
      <c r="D1791" s="643"/>
      <c r="E1791" s="122"/>
      <c r="F1791" s="122"/>
      <c r="G1791" s="122"/>
      <c r="H1791" s="122"/>
      <c r="I1791" s="122"/>
      <c r="J1791" s="122"/>
      <c r="K1791" s="122"/>
      <c r="L1791" s="122"/>
      <c r="M1791" s="122"/>
      <c r="N1791" s="122"/>
      <c r="O1791" s="122"/>
      <c r="P1791" s="123"/>
      <c r="Q1791" s="1456"/>
      <c r="R1791" s="1456"/>
      <c r="S1791" s="1456"/>
      <c r="T1791" s="1475"/>
      <c r="U1791" s="1475"/>
      <c r="V1791" s="1475"/>
      <c r="W1791" s="1475"/>
      <c r="X1791" s="1475"/>
      <c r="Y1791" s="1475"/>
      <c r="Z1791" s="1475"/>
      <c r="AA1791" s="1475"/>
      <c r="AB1791" s="1475"/>
      <c r="AC1791" s="1456"/>
    </row>
    <row r="1792" spans="1:29">
      <c r="B1792" s="114"/>
      <c r="C1792" s="116"/>
      <c r="D1792" s="642"/>
      <c r="E1792" s="116"/>
      <c r="F1792" s="116"/>
      <c r="G1792" s="116"/>
      <c r="H1792" s="116"/>
      <c r="I1792" s="116"/>
      <c r="J1792" s="116"/>
      <c r="K1792" s="116"/>
      <c r="L1792" s="116"/>
      <c r="M1792" s="116"/>
      <c r="N1792" s="116"/>
      <c r="O1792" s="116"/>
      <c r="P1792" s="118"/>
      <c r="Q1792" s="1456"/>
      <c r="S1792" s="1499"/>
      <c r="T1792" s="1501"/>
      <c r="U1792" s="1501"/>
      <c r="V1792" s="1501"/>
      <c r="W1792" s="1501"/>
      <c r="X1792" s="1501"/>
      <c r="Y1792" s="1501"/>
      <c r="Z1792" s="1501"/>
      <c r="AA1792" s="1501"/>
      <c r="AB1792" s="1501"/>
      <c r="AC1792" s="1456"/>
    </row>
    <row r="1793" spans="1:87">
      <c r="B1793" s="114"/>
      <c r="C1793" s="124" t="s">
        <v>236</v>
      </c>
      <c r="D1793" s="642"/>
      <c r="E1793" s="430" t="str">
        <f>Preferences.EnergyUnits</f>
        <v>PJ</v>
      </c>
      <c r="F1793" s="116"/>
      <c r="G1793" s="117"/>
      <c r="H1793" s="116"/>
      <c r="I1793" s="116"/>
      <c r="J1793" s="116"/>
      <c r="K1793" s="116"/>
      <c r="L1793" s="116"/>
      <c r="M1793" s="116"/>
      <c r="N1793" s="116"/>
      <c r="O1793" s="117" t="str">
        <f>Preferences.EnergyUnits</f>
        <v>PJ</v>
      </c>
      <c r="P1793" s="118"/>
      <c r="Q1793" s="1456"/>
      <c r="R1793" s="1456"/>
      <c r="S1793" s="1456"/>
      <c r="T1793" s="1456"/>
      <c r="U1793" s="1456"/>
      <c r="V1793" s="1456"/>
      <c r="W1793" s="1456"/>
      <c r="X1793" s="1456"/>
      <c r="Y1793" s="1456"/>
      <c r="Z1793" s="1456"/>
      <c r="AA1793" s="1456"/>
      <c r="AB1793" s="1456"/>
      <c r="AC1793" s="1456"/>
    </row>
    <row r="1794" spans="1:87">
      <c r="B1794" s="114"/>
      <c r="C1794" s="116"/>
      <c r="D1794" s="642"/>
      <c r="E1794" s="116"/>
      <c r="F1794" s="116"/>
      <c r="G1794" s="116"/>
      <c r="H1794" s="116"/>
      <c r="I1794" s="116"/>
      <c r="J1794" s="116"/>
      <c r="K1794" s="116"/>
      <c r="L1794" s="116"/>
      <c r="M1794" s="116"/>
      <c r="N1794" s="116"/>
      <c r="O1794" s="116"/>
      <c r="P1794" s="118"/>
      <c r="Q1794" s="1459"/>
      <c r="R1794" s="1459"/>
      <c r="S1794" s="1459"/>
      <c r="T1794" s="1459"/>
      <c r="U1794" s="1459"/>
      <c r="V1794" s="1459"/>
      <c r="W1794" s="1459"/>
      <c r="X1794" s="1459"/>
      <c r="Y1794" s="1459"/>
      <c r="Z1794" s="1459"/>
      <c r="AA1794" s="1459"/>
      <c r="AB1794" s="1459"/>
      <c r="AC1794" s="1496"/>
    </row>
    <row r="1795" spans="1:87" ht="15">
      <c r="A1795" s="3"/>
      <c r="B1795" s="119"/>
      <c r="C1795" s="125" t="s">
        <v>58</v>
      </c>
      <c r="D1795" s="641" t="s">
        <v>140</v>
      </c>
      <c r="E1795" s="125" t="s">
        <v>162</v>
      </c>
      <c r="F1795" s="125" t="s">
        <v>674</v>
      </c>
      <c r="G1795" s="125" t="s">
        <v>203</v>
      </c>
      <c r="H1795" s="125" t="s">
        <v>228</v>
      </c>
      <c r="I1795" s="125" t="s">
        <v>229</v>
      </c>
      <c r="J1795" s="125" t="s">
        <v>230</v>
      </c>
      <c r="K1795" s="125" t="s">
        <v>231</v>
      </c>
      <c r="L1795" s="125" t="s">
        <v>232</v>
      </c>
      <c r="M1795" s="125" t="s">
        <v>233</v>
      </c>
      <c r="N1795" s="125" t="s">
        <v>234</v>
      </c>
      <c r="O1795" s="125" t="s">
        <v>235</v>
      </c>
      <c r="P1795" s="118"/>
      <c r="Q1795" s="1456"/>
      <c r="R1795" s="16"/>
      <c r="S1795" s="1456"/>
      <c r="T1795" s="1456"/>
      <c r="U1795" s="1456"/>
      <c r="V1795" s="1456"/>
      <c r="W1795" s="1456"/>
      <c r="X1795" s="1456"/>
      <c r="Y1795" s="1456"/>
      <c r="Z1795" s="1456"/>
      <c r="AA1795" s="1456"/>
      <c r="AB1795" s="1456"/>
      <c r="AC1795" s="1495"/>
    </row>
    <row r="1796" spans="1:87" ht="15">
      <c r="A1796" s="3"/>
      <c r="B1796" s="119"/>
      <c r="C1796" s="125" t="s">
        <v>12</v>
      </c>
      <c r="D1796" s="640" t="str">
        <f>INDEX(Vectors[Description], MATCH(IND.a.Outputs[Vector], Vectors[Code], 0))</f>
        <v>Industry</v>
      </c>
      <c r="E1796" s="125"/>
      <c r="F1796" s="146">
        <f>-SUM(F1797:F1802)</f>
        <v>1202.7078722338022</v>
      </c>
      <c r="G1796" s="146">
        <f>-SUM(G1797:G1802)</f>
        <v>1399.1737113779257</v>
      </c>
      <c r="H1796" s="146">
        <f t="shared" ref="H1796:O1796" si="340">-SUM(H1797:H1802)</f>
        <v>1707.8036909437978</v>
      </c>
      <c r="I1796" s="146">
        <f t="shared" si="340"/>
        <v>2054.9700297787062</v>
      </c>
      <c r="J1796" s="146">
        <f t="shared" si="340"/>
        <v>2538.0031464276558</v>
      </c>
      <c r="K1796" s="146">
        <f t="shared" si="340"/>
        <v>3078.7241808192307</v>
      </c>
      <c r="L1796" s="146">
        <f t="shared" si="340"/>
        <v>3838.9552528734844</v>
      </c>
      <c r="M1796" s="146">
        <f t="shared" si="340"/>
        <v>4640.1310872943641</v>
      </c>
      <c r="N1796" s="146">
        <f t="shared" si="340"/>
        <v>5527.8974072965211</v>
      </c>
      <c r="O1796" s="146">
        <f t="shared" si="340"/>
        <v>6450.6200759104759</v>
      </c>
      <c r="P1796" s="118"/>
      <c r="Q1796" s="1456"/>
      <c r="R1796" s="16"/>
      <c r="S1796" s="1456"/>
      <c r="T1796" s="1456"/>
      <c r="U1796" s="1371"/>
      <c r="V1796" s="1371"/>
      <c r="W1796" s="1371"/>
      <c r="X1796" s="1371"/>
      <c r="Y1796" s="1371"/>
      <c r="Z1796" s="1371"/>
      <c r="AA1796" s="1371"/>
      <c r="AB1796" s="1371"/>
      <c r="AC1796" s="1495"/>
    </row>
    <row r="1797" spans="1:87" ht="15">
      <c r="A1797" s="3"/>
      <c r="B1797" s="119"/>
      <c r="C1797" s="60" t="s">
        <v>33</v>
      </c>
      <c r="D1797" s="639" t="str">
        <f>INDEX(Vectors[Description], MATCH(IND.a.Outputs[Vector], Vectors[Code], 0))</f>
        <v>Electricity (delivered to end user)</v>
      </c>
      <c r="E1797" s="60"/>
      <c r="F1797" s="97">
        <f t="array" ref="F1797">-SUM(($B$1043:$B$1105=IND.a.Outputs[[#This Row],[Vector]]) * (F$1043:F$1105))</f>
        <v>-420.19578961472098</v>
      </c>
      <c r="G1797" s="97">
        <f t="array" ref="G1797">-SUM(($B$1043:$B$1105=IND.a.Outputs[[#This Row],[Vector]]) * (G$1043:G$1105))</f>
        <v>-490.24315031241656</v>
      </c>
      <c r="H1797" s="97">
        <f t="array" ref="H1797">-SUM(($B$1043:$B$1105=IND.a.Outputs[[#This Row],[Vector]]) * (H$1043:H$1105))</f>
        <v>-596.34254700616759</v>
      </c>
      <c r="I1797" s="97">
        <f t="array" ref="I1797">-SUM(($B$1043:$B$1105=IND.a.Outputs[[#This Row],[Vector]]) * (I$1043:I$1105))</f>
        <v>-733.82915137850398</v>
      </c>
      <c r="J1797" s="97">
        <f t="array" ref="J1797">-SUM(($B$1043:$B$1105=IND.a.Outputs[[#This Row],[Vector]]) * (J$1043:J$1105))</f>
        <v>-900.9026774158084</v>
      </c>
      <c r="K1797" s="97">
        <f t="array" ref="K1797">-SUM(($B$1043:$B$1105=IND.a.Outputs[[#This Row],[Vector]]) * (K$1043:K$1105))</f>
        <v>-1114.8558375058033</v>
      </c>
      <c r="L1797" s="97">
        <f t="array" ref="L1797">-SUM(($B$1043:$B$1105=IND.a.Outputs[[#This Row],[Vector]]) * (L$1043:L$1105))</f>
        <v>-1383.4784848808067</v>
      </c>
      <c r="M1797" s="97">
        <f t="array" ref="M1797">-SUM(($B$1043:$B$1105=IND.a.Outputs[[#This Row],[Vector]]) * (M$1043:M$1105))</f>
        <v>-1685.4158194265008</v>
      </c>
      <c r="N1797" s="97">
        <f t="array" ref="N1797">-SUM(($B$1043:$B$1105=IND.a.Outputs[[#This Row],[Vector]]) * (N$1043:N$1105))</f>
        <v>-2003.7065605365333</v>
      </c>
      <c r="O1797" s="97">
        <f t="array" ref="O1797">-SUM(($B$1043:$B$1105=IND.a.Outputs[[#This Row],[Vector]]) * (O$1043:O$1105))</f>
        <v>-2348.8106500484441</v>
      </c>
      <c r="P1797" s="118"/>
      <c r="Q1797" s="1456"/>
      <c r="R1797" s="16"/>
      <c r="S1797" s="1456"/>
      <c r="T1797" s="1456"/>
      <c r="U1797" s="1456"/>
      <c r="V1797" s="1456"/>
      <c r="W1797" s="1456"/>
      <c r="X1797" s="1456"/>
      <c r="Y1797" s="1456"/>
      <c r="Z1797" s="1456"/>
      <c r="AA1797" s="1456"/>
      <c r="AB1797" s="1456"/>
      <c r="AC1797" s="1495"/>
      <c r="AE1797" s="165"/>
      <c r="AF1797" s="165"/>
      <c r="AG1797" s="165"/>
      <c r="AH1797" s="165"/>
      <c r="AI1797" s="165"/>
      <c r="AJ1797" s="165"/>
      <c r="AK1797" s="165"/>
      <c r="AL1797" s="165"/>
      <c r="AM1797" s="165"/>
      <c r="AN1797" s="165"/>
      <c r="AO1797" s="165"/>
      <c r="AP1797" s="165"/>
      <c r="AQ1797" s="165"/>
      <c r="AR1797" s="165"/>
      <c r="AS1797" s="165"/>
      <c r="AT1797" s="165"/>
      <c r="AU1797" s="165"/>
      <c r="AV1797" s="165"/>
      <c r="AW1797" s="165"/>
      <c r="AX1797" s="165"/>
      <c r="AY1797" s="165"/>
      <c r="AZ1797" s="165"/>
      <c r="BA1797" s="165"/>
      <c r="BB1797" s="165"/>
      <c r="BC1797" s="165"/>
      <c r="BD1797" s="165"/>
      <c r="BE1797" s="165"/>
      <c r="BF1797" s="165"/>
      <c r="BG1797" s="165"/>
      <c r="BH1797" s="165"/>
      <c r="BI1797" s="165"/>
      <c r="BJ1797" s="165"/>
      <c r="BK1797" s="165"/>
      <c r="BL1797" s="165"/>
      <c r="BM1797" s="165"/>
      <c r="BN1797" s="165"/>
      <c r="BO1797" s="165"/>
      <c r="BP1797" s="165"/>
      <c r="BQ1797" s="165"/>
      <c r="BR1797" s="165"/>
      <c r="BS1797" s="165"/>
      <c r="BT1797" s="165"/>
      <c r="BU1797" s="165"/>
      <c r="BV1797" s="165"/>
      <c r="BW1797" s="165"/>
      <c r="BX1797" s="165"/>
      <c r="BY1797" s="165"/>
      <c r="BZ1797" s="165"/>
      <c r="CA1797" s="165"/>
      <c r="CB1797" s="165"/>
      <c r="CC1797" s="165"/>
      <c r="CD1797" s="165"/>
      <c r="CE1797" s="165"/>
      <c r="CF1797" s="165"/>
      <c r="CG1797" s="165"/>
      <c r="CH1797" s="165"/>
      <c r="CI1797" s="165"/>
    </row>
    <row r="1798" spans="1:87" ht="15">
      <c r="A1798" s="3"/>
      <c r="B1798" s="119"/>
      <c r="C1798" s="60" t="s">
        <v>35</v>
      </c>
      <c r="D1798" s="639" t="str">
        <f>INDEX(Vectors[Description], MATCH(IND.a.Outputs[Vector], Vectors[Code], 0))</f>
        <v>Solid hydrocarbons</v>
      </c>
      <c r="E1798" s="60"/>
      <c r="F1798" s="97">
        <f t="array" ref="F1798">-SUM(($B$1043:$B$1105=IND.a.Outputs[[#This Row],[Vector]]) * (F$1043:F$1105))</f>
        <v>-563.15299396359114</v>
      </c>
      <c r="G1798" s="97">
        <f t="array" ref="G1798">-SUM(($B$1043:$B$1105=IND.a.Outputs[[#This Row],[Vector]]) * (G$1043:G$1105))</f>
        <v>-658.59733418258634</v>
      </c>
      <c r="H1798" s="97">
        <f t="array" ref="H1798">-SUM(($B$1043:$B$1105=IND.a.Outputs[[#This Row],[Vector]]) * (H$1043:H$1105))</f>
        <v>-816.98668520071487</v>
      </c>
      <c r="I1798" s="97">
        <f t="array" ref="I1798">-SUM(($B$1043:$B$1105=IND.a.Outputs[[#This Row],[Vector]]) * (I$1043:I$1105))</f>
        <v>-979.73348078604954</v>
      </c>
      <c r="J1798" s="97">
        <f t="array" ref="J1798">-SUM(($B$1043:$B$1105=IND.a.Outputs[[#This Row],[Vector]]) * (J$1043:J$1105))</f>
        <v>-1227.7978953517913</v>
      </c>
      <c r="K1798" s="97">
        <f t="array" ref="K1798">-SUM(($B$1043:$B$1105=IND.a.Outputs[[#This Row],[Vector]]) * (K$1043:K$1105))</f>
        <v>-1481.9462286838393</v>
      </c>
      <c r="L1798" s="97">
        <f t="array" ref="L1798">-SUM(($B$1043:$B$1105=IND.a.Outputs[[#This Row],[Vector]]) * (L$1043:L$1105))</f>
        <v>-1862.980794341287</v>
      </c>
      <c r="M1798" s="97">
        <f t="array" ref="M1798">-SUM(($B$1043:$B$1105=IND.a.Outputs[[#This Row],[Vector]]) * (M$1043:M$1105))</f>
        <v>-2247.8601342995416</v>
      </c>
      <c r="N1798" s="97">
        <f t="array" ref="N1798">-SUM(($B$1043:$B$1105=IND.a.Outputs[[#This Row],[Vector]]) * (N$1043:N$1105))</f>
        <v>-2691.3210123863496</v>
      </c>
      <c r="O1798" s="97">
        <f t="array" ref="O1798">-SUM(($B$1043:$B$1105=IND.a.Outputs[[#This Row],[Vector]]) * (O$1043:O$1105))</f>
        <v>-3139.7026822170346</v>
      </c>
      <c r="P1798" s="118"/>
      <c r="Q1798" s="1456"/>
      <c r="R1798" s="16"/>
      <c r="S1798" s="1456"/>
      <c r="T1798" s="1456"/>
      <c r="U1798" s="1456"/>
      <c r="V1798" s="1456"/>
      <c r="W1798" s="1456"/>
      <c r="X1798" s="1456"/>
      <c r="Y1798" s="1456"/>
      <c r="Z1798" s="1456"/>
      <c r="AA1798" s="1456"/>
      <c r="AB1798" s="1456"/>
      <c r="AC1798" s="1495"/>
      <c r="AE1798" s="165"/>
      <c r="AF1798" s="165"/>
      <c r="AG1798" s="165"/>
      <c r="AH1798" s="165"/>
      <c r="AI1798" s="165"/>
      <c r="AJ1798" s="165"/>
      <c r="AK1798" s="165"/>
      <c r="AL1798" s="165"/>
      <c r="AM1798" s="165"/>
      <c r="AN1798" s="165"/>
      <c r="AO1798" s="165"/>
      <c r="AP1798" s="165"/>
      <c r="AQ1798" s="165"/>
      <c r="AR1798" s="165"/>
      <c r="AS1798" s="165"/>
      <c r="AT1798" s="165"/>
      <c r="AU1798" s="165"/>
      <c r="AV1798" s="165"/>
      <c r="AW1798" s="165"/>
      <c r="AX1798" s="165"/>
      <c r="AY1798" s="165"/>
      <c r="AZ1798" s="165"/>
      <c r="BA1798" s="165"/>
      <c r="BB1798" s="165"/>
      <c r="BC1798" s="165"/>
      <c r="BD1798" s="165"/>
      <c r="BE1798" s="165"/>
      <c r="BF1798" s="165"/>
      <c r="BG1798" s="165"/>
      <c r="BH1798" s="165"/>
      <c r="BI1798" s="165"/>
      <c r="BJ1798" s="165"/>
      <c r="BK1798" s="165"/>
      <c r="BL1798" s="165"/>
      <c r="BM1798" s="165"/>
      <c r="BN1798" s="165"/>
      <c r="BO1798" s="165"/>
      <c r="BP1798" s="165"/>
      <c r="BQ1798" s="165"/>
      <c r="BR1798" s="165"/>
      <c r="BS1798" s="165"/>
      <c r="BT1798" s="165"/>
      <c r="BU1798" s="165"/>
      <c r="BV1798" s="165"/>
      <c r="BW1798" s="165"/>
      <c r="BX1798" s="165"/>
      <c r="BY1798" s="165"/>
      <c r="BZ1798" s="165"/>
      <c r="CA1798" s="165"/>
      <c r="CB1798" s="165"/>
      <c r="CC1798" s="165"/>
      <c r="CD1798" s="165"/>
      <c r="CE1798" s="165"/>
      <c r="CF1798" s="165"/>
      <c r="CG1798" s="165"/>
      <c r="CH1798" s="165"/>
      <c r="CI1798" s="165"/>
    </row>
    <row r="1799" spans="1:87" ht="15">
      <c r="A1799" s="3"/>
      <c r="B1799" s="119"/>
      <c r="C1799" s="60" t="s">
        <v>37</v>
      </c>
      <c r="D1799" s="639" t="str">
        <f>INDEX(Vectors[Description], MATCH(IND.a.Outputs[Vector], Vectors[Code], 0))</f>
        <v>Liquid hydrocarbons</v>
      </c>
      <c r="E1799" s="60"/>
      <c r="F1799" s="97">
        <f t="array" ref="F1799">-SUM(($B$1043:$B$1105=IND.a.Outputs[[#This Row],[Vector]]) * (F$1043:F$1105))</f>
        <v>-40.045856161100005</v>
      </c>
      <c r="G1799" s="97">
        <f t="array" ref="G1799">-SUM(($B$1043:$B$1105=IND.a.Outputs[[#This Row],[Vector]]) * (G$1043:G$1105))</f>
        <v>-46.941163250667834</v>
      </c>
      <c r="H1799" s="97">
        <f t="array" ref="H1799">-SUM(($B$1043:$B$1105=IND.a.Outputs[[#This Row],[Vector]]) * (H$1043:H$1105))</f>
        <v>-57.559459584101035</v>
      </c>
      <c r="I1799" s="97">
        <f t="array" ref="I1799">-SUM(($B$1043:$B$1105=IND.a.Outputs[[#This Row],[Vector]]) * (I$1043:I$1105))</f>
        <v>-70.969462940778698</v>
      </c>
      <c r="J1799" s="97">
        <f t="array" ref="J1799">-SUM(($B$1043:$B$1105=IND.a.Outputs[[#This Row],[Vector]]) * (J$1043:J$1105))</f>
        <v>-88.642157357621443</v>
      </c>
      <c r="K1799" s="97">
        <f t="array" ref="K1799">-SUM(($B$1043:$B$1105=IND.a.Outputs[[#This Row],[Vector]]) * (K$1043:K$1105))</f>
        <v>-111.03921669809255</v>
      </c>
      <c r="L1799" s="97">
        <f t="array" ref="L1799">-SUM(($B$1043:$B$1105=IND.a.Outputs[[#This Row],[Vector]]) * (L$1043:L$1105))</f>
        <v>-140.04263246009776</v>
      </c>
      <c r="M1799" s="97">
        <f t="array" ref="M1799">-SUM(($B$1043:$B$1105=IND.a.Outputs[[#This Row],[Vector]]) * (M$1043:M$1105))</f>
        <v>-172.83134911723067</v>
      </c>
      <c r="N1799" s="97">
        <f t="array" ref="N1799">-SUM(($B$1043:$B$1105=IND.a.Outputs[[#This Row],[Vector]]) * (N$1043:N$1105))</f>
        <v>-208.13531091969085</v>
      </c>
      <c r="O1799" s="97">
        <f t="array" ref="O1799">-SUM(($B$1043:$B$1105=IND.a.Outputs[[#This Row],[Vector]]) * (O$1043:O$1105))</f>
        <v>-246.66148118819291</v>
      </c>
      <c r="P1799" s="118"/>
      <c r="Q1799" s="1456"/>
      <c r="R1799" s="1456"/>
      <c r="S1799" s="1475"/>
      <c r="T1799" s="1475"/>
      <c r="U1799" s="1475"/>
      <c r="V1799" s="1475"/>
      <c r="W1799" s="1475"/>
      <c r="X1799" s="1475"/>
      <c r="Y1799" s="1475"/>
      <c r="Z1799" s="1475"/>
      <c r="AA1799" s="1475"/>
      <c r="AB1799" s="1475"/>
      <c r="AC1799" s="1459"/>
      <c r="AE1799" s="165"/>
      <c r="AF1799" s="165"/>
      <c r="AG1799" s="165"/>
      <c r="AH1799" s="165"/>
      <c r="AI1799" s="165"/>
      <c r="AJ1799" s="165"/>
      <c r="AK1799" s="165"/>
      <c r="AL1799" s="165"/>
      <c r="AM1799" s="165"/>
      <c r="AN1799" s="165"/>
      <c r="AO1799" s="165"/>
      <c r="AP1799" s="165"/>
      <c r="AQ1799" s="165"/>
      <c r="AR1799" s="165"/>
      <c r="AS1799" s="165"/>
      <c r="AT1799" s="165"/>
      <c r="AU1799" s="165"/>
      <c r="AV1799" s="165"/>
      <c r="AW1799" s="165"/>
      <c r="AX1799" s="165"/>
      <c r="AY1799" s="165"/>
      <c r="AZ1799" s="165"/>
      <c r="BA1799" s="165"/>
      <c r="BB1799" s="165"/>
      <c r="BC1799" s="165"/>
      <c r="BD1799" s="165"/>
      <c r="BE1799" s="165"/>
      <c r="BF1799" s="165"/>
      <c r="BG1799" s="165"/>
      <c r="BH1799" s="165"/>
      <c r="BI1799" s="165"/>
      <c r="BJ1799" s="165"/>
      <c r="BK1799" s="165"/>
      <c r="BL1799" s="165"/>
      <c r="BM1799" s="165"/>
      <c r="BN1799" s="165"/>
      <c r="BO1799" s="165"/>
      <c r="BP1799" s="165"/>
      <c r="BQ1799" s="165"/>
      <c r="BR1799" s="165"/>
      <c r="BS1799" s="165"/>
      <c r="BT1799" s="165"/>
      <c r="BU1799" s="165"/>
      <c r="BV1799" s="165"/>
      <c r="BW1799" s="165"/>
      <c r="BX1799" s="165"/>
      <c r="BY1799" s="165"/>
      <c r="BZ1799" s="165"/>
      <c r="CA1799" s="165"/>
      <c r="CB1799" s="165"/>
      <c r="CC1799" s="165"/>
      <c r="CD1799" s="165"/>
      <c r="CE1799" s="165"/>
      <c r="CF1799" s="165"/>
      <c r="CG1799" s="165"/>
      <c r="CH1799" s="165"/>
      <c r="CI1799" s="165"/>
    </row>
    <row r="1800" spans="1:87" ht="15">
      <c r="A1800" s="3"/>
      <c r="B1800" s="119"/>
      <c r="C1800" s="60" t="s">
        <v>38</v>
      </c>
      <c r="D1800" s="639" t="str">
        <f>INDEX(Vectors[Description], MATCH(IND.a.Outputs[Vector], Vectors[Code], 0))</f>
        <v>Gaseous hydrocarbons</v>
      </c>
      <c r="E1800" s="60"/>
      <c r="F1800" s="97">
        <f t="array" ref="F1800">-SUM(($B$1043:$B$1105=IND.a.Outputs[[#This Row],[Vector]]) * (F$1043:F$1105))</f>
        <v>-102.69422191550348</v>
      </c>
      <c r="G1800" s="97">
        <f t="array" ref="G1800">-SUM(($B$1043:$B$1105=IND.a.Outputs[[#This Row],[Vector]]) * (G$1043:G$1105))</f>
        <v>-118.54350547630284</v>
      </c>
      <c r="H1800" s="97">
        <f t="array" ref="H1800">-SUM(($B$1043:$B$1105=IND.a.Outputs[[#This Row],[Vector]]) * (H$1043:H$1105))</f>
        <v>-139.48684361055598</v>
      </c>
      <c r="I1800" s="97">
        <f t="array" ref="I1800">-SUM(($B$1043:$B$1105=IND.a.Outputs[[#This Row],[Vector]]) * (I$1043:I$1105))</f>
        <v>-160.43018174480909</v>
      </c>
      <c r="J1800" s="97">
        <f t="array" ref="J1800">-SUM(($B$1043:$B$1105=IND.a.Outputs[[#This Row],[Vector]]) * (J$1043:J$1105))</f>
        <v>-191.96632448746379</v>
      </c>
      <c r="K1800" s="97">
        <f t="array" ref="K1800">-SUM(($B$1043:$B$1105=IND.a.Outputs[[#This Row],[Vector]]) * (K$1043:K$1105))</f>
        <v>-223.50246723011853</v>
      </c>
      <c r="L1800" s="97">
        <f t="array" ref="L1800">-SUM(($B$1043:$B$1105=IND.a.Outputs[[#This Row],[Vector]]) * (L$1043:L$1105))</f>
        <v>-275.85720985602131</v>
      </c>
      <c r="M1800" s="97">
        <f t="array" ref="M1800">-SUM(($B$1043:$B$1105=IND.a.Outputs[[#This Row],[Vector]]) * (M$1043:M$1105))</f>
        <v>-328.21195248192419</v>
      </c>
      <c r="N1800" s="97">
        <f t="array" ref="N1800">-SUM(($B$1043:$B$1105=IND.a.Outputs[[#This Row],[Vector]]) * (N$1043:N$1105))</f>
        <v>-385.87324164687777</v>
      </c>
      <c r="O1800" s="97">
        <f t="array" ref="O1800">-SUM(($B$1043:$B$1105=IND.a.Outputs[[#This Row],[Vector]]) * (O$1043:O$1105))</f>
        <v>-443.5345308118313</v>
      </c>
      <c r="P1800" s="118"/>
      <c r="Q1800" s="1456"/>
      <c r="R1800" s="16"/>
      <c r="S1800" s="1456"/>
      <c r="T1800" s="1456"/>
      <c r="U1800" s="1456"/>
      <c r="V1800" s="1456"/>
      <c r="W1800" s="1456"/>
      <c r="X1800" s="1456"/>
      <c r="Y1800" s="1456"/>
      <c r="Z1800" s="1456"/>
      <c r="AA1800" s="1456"/>
      <c r="AB1800" s="1456"/>
      <c r="AC1800" s="1495"/>
      <c r="AE1800" s="165"/>
      <c r="AF1800" s="165"/>
      <c r="AG1800" s="165"/>
      <c r="AH1800" s="165"/>
      <c r="AI1800" s="165"/>
      <c r="AJ1800" s="165"/>
      <c r="AK1800" s="165"/>
      <c r="AL1800" s="165"/>
      <c r="AM1800" s="165"/>
      <c r="AN1800" s="165"/>
      <c r="AO1800" s="165"/>
      <c r="AP1800" s="165"/>
      <c r="AQ1800" s="165"/>
      <c r="AR1800" s="165"/>
      <c r="AS1800" s="165"/>
      <c r="AT1800" s="165"/>
      <c r="AU1800" s="165"/>
      <c r="AV1800" s="165"/>
      <c r="AW1800" s="165"/>
      <c r="AX1800" s="165"/>
      <c r="AY1800" s="165"/>
      <c r="AZ1800" s="165"/>
      <c r="BA1800" s="165"/>
      <c r="BB1800" s="165"/>
      <c r="BC1800" s="165"/>
      <c r="BD1800" s="165"/>
      <c r="BE1800" s="165"/>
      <c r="BF1800" s="165"/>
      <c r="BG1800" s="165"/>
      <c r="BH1800" s="165"/>
      <c r="BI1800" s="165"/>
      <c r="BJ1800" s="165"/>
      <c r="BK1800" s="165"/>
      <c r="BL1800" s="165"/>
      <c r="BM1800" s="165"/>
      <c r="BN1800" s="165"/>
      <c r="BO1800" s="165"/>
      <c r="BP1800" s="165"/>
      <c r="BQ1800" s="165"/>
      <c r="BR1800" s="165"/>
      <c r="BS1800" s="165"/>
      <c r="BT1800" s="165"/>
      <c r="BU1800" s="165"/>
      <c r="BV1800" s="165"/>
      <c r="BW1800" s="165"/>
      <c r="BX1800" s="165"/>
      <c r="BY1800" s="165"/>
      <c r="BZ1800" s="165"/>
      <c r="CA1800" s="165"/>
      <c r="CB1800" s="165"/>
      <c r="CC1800" s="165"/>
      <c r="CD1800" s="165"/>
      <c r="CE1800" s="165"/>
      <c r="CF1800" s="165"/>
      <c r="CG1800" s="165"/>
      <c r="CH1800" s="165"/>
      <c r="CI1800" s="165"/>
    </row>
    <row r="1801" spans="1:87" ht="15">
      <c r="A1801" s="3"/>
      <c r="B1801" s="119"/>
      <c r="C1801" s="60" t="s">
        <v>251</v>
      </c>
      <c r="D1801" s="639" t="str">
        <f>INDEX(Vectors[Description], MATCH(IND.a.Outputs[Vector], Vectors[Code], 0))</f>
        <v>Dry biomass and waste</v>
      </c>
      <c r="E1801" s="60"/>
      <c r="F1801" s="97">
        <f t="array" ref="F1801">-SUM(($B$1043:$B$1105=IND.a.Outputs[[#This Row],[Vector]]) * (F$1043:F$1105))</f>
        <v>-76.619010578886588</v>
      </c>
      <c r="G1801" s="97">
        <f t="array" ref="G1801">-SUM(($B$1043:$B$1105=IND.a.Outputs[[#This Row],[Vector]]) * (G$1043:G$1105))</f>
        <v>-84.84855815595202</v>
      </c>
      <c r="H1801" s="97">
        <f t="array" ref="H1801">-SUM(($B$1043:$B$1105=IND.a.Outputs[[#This Row],[Vector]]) * (H$1043:H$1105))</f>
        <v>-97.428155542258494</v>
      </c>
      <c r="I1801" s="97">
        <f t="array" ref="I1801">-SUM(($B$1043:$B$1105=IND.a.Outputs[[#This Row],[Vector]]) * (I$1043:I$1105))</f>
        <v>-110.00775292856498</v>
      </c>
      <c r="J1801" s="97">
        <f t="array" ref="J1801">-SUM(($B$1043:$B$1105=IND.a.Outputs[[#This Row],[Vector]]) * (J$1043:J$1105))</f>
        <v>-128.69409181497122</v>
      </c>
      <c r="K1801" s="97">
        <f t="array" ref="K1801">-SUM(($B$1043:$B$1105=IND.a.Outputs[[#This Row],[Vector]]) * (K$1043:K$1105))</f>
        <v>-147.38043070137741</v>
      </c>
      <c r="L1801" s="97">
        <f t="array" ref="L1801">-SUM(($B$1043:$B$1105=IND.a.Outputs[[#This Row],[Vector]]) * (L$1043:L$1105))</f>
        <v>-176.59613133527193</v>
      </c>
      <c r="M1801" s="97">
        <f t="array" ref="M1801">-SUM(($B$1043:$B$1105=IND.a.Outputs[[#This Row],[Vector]]) * (M$1043:M$1105))</f>
        <v>-205.81183196916646</v>
      </c>
      <c r="N1801" s="97">
        <f t="array" ref="N1801">-SUM(($B$1043:$B$1105=IND.a.Outputs[[#This Row],[Vector]]) * (N$1043:N$1105))</f>
        <v>-238.86128180707001</v>
      </c>
      <c r="O1801" s="97">
        <f t="array" ref="O1801">-SUM(($B$1043:$B$1105=IND.a.Outputs[[#This Row],[Vector]]) * (O$1043:O$1105))</f>
        <v>-271.91073164497351</v>
      </c>
      <c r="P1801" s="118"/>
      <c r="Q1801" s="1456"/>
      <c r="R1801" s="1456"/>
      <c r="S1801" s="1456"/>
      <c r="T1801" s="1456"/>
      <c r="U1801" s="1456"/>
      <c r="V1801" s="1456"/>
      <c r="W1801" s="1456"/>
      <c r="X1801" s="1456"/>
      <c r="Y1801" s="1456"/>
      <c r="Z1801" s="1456"/>
      <c r="AA1801" s="1456"/>
      <c r="AB1801" s="1456"/>
      <c r="AC1801" s="1456"/>
      <c r="AE1801" s="165"/>
      <c r="AF1801" s="165"/>
      <c r="AG1801" s="165"/>
      <c r="AH1801" s="165"/>
      <c r="AI1801" s="165"/>
      <c r="AJ1801" s="165"/>
      <c r="AK1801" s="165"/>
      <c r="AL1801" s="165"/>
      <c r="AM1801" s="165"/>
      <c r="AN1801" s="165"/>
      <c r="AO1801" s="165"/>
      <c r="AP1801" s="165"/>
      <c r="AQ1801" s="165"/>
      <c r="AR1801" s="165"/>
      <c r="AS1801" s="165"/>
      <c r="AT1801" s="165"/>
      <c r="AU1801" s="165"/>
      <c r="AV1801" s="165"/>
      <c r="AW1801" s="165"/>
      <c r="AX1801" s="165"/>
      <c r="AY1801" s="165"/>
      <c r="AZ1801" s="165"/>
      <c r="BA1801" s="165"/>
      <c r="BB1801" s="165"/>
      <c r="BC1801" s="165"/>
      <c r="BD1801" s="165"/>
      <c r="BE1801" s="165"/>
      <c r="BF1801" s="165"/>
      <c r="BG1801" s="165"/>
      <c r="BH1801" s="165"/>
      <c r="BI1801" s="165"/>
      <c r="BJ1801" s="165"/>
      <c r="BK1801" s="165"/>
      <c r="BL1801" s="165"/>
      <c r="BM1801" s="165"/>
      <c r="BN1801" s="165"/>
      <c r="BO1801" s="165"/>
      <c r="BP1801" s="165"/>
      <c r="BQ1801" s="165"/>
      <c r="BR1801" s="165"/>
      <c r="BS1801" s="165"/>
      <c r="BT1801" s="165"/>
      <c r="BU1801" s="165"/>
      <c r="BV1801" s="165"/>
      <c r="BW1801" s="165"/>
      <c r="BX1801" s="165"/>
      <c r="BY1801" s="165"/>
      <c r="BZ1801" s="165"/>
      <c r="CA1801" s="165"/>
      <c r="CB1801" s="165"/>
      <c r="CC1801" s="165"/>
      <c r="CD1801" s="165"/>
      <c r="CE1801" s="165"/>
      <c r="CF1801" s="165"/>
      <c r="CG1801" s="165"/>
      <c r="CH1801" s="165"/>
      <c r="CI1801" s="165"/>
    </row>
    <row r="1802" spans="1:87" ht="15">
      <c r="A1802" s="3"/>
      <c r="B1802" s="119"/>
      <c r="C1802" s="60" t="s">
        <v>897</v>
      </c>
      <c r="D1802" s="639" t="str">
        <f>INDEX(Vectors[Description], MATCH(IND.a.Outputs[Vector], Vectors[Code], 0))</f>
        <v>Other Waste</v>
      </c>
      <c r="E1802" s="60"/>
      <c r="F1802" s="97">
        <f t="array" ref="F1802">-SUM(($B$1043:$B$1105=IND.a.Outputs[[#This Row],[Vector]]) * (F$1043:F$1105))</f>
        <v>0</v>
      </c>
      <c r="G1802" s="97">
        <f t="array" ref="G1802">-SUM(($B$1043:$B$1105=IND.a.Outputs[[#This Row],[Vector]]) * (G$1043:G$1105))</f>
        <v>0</v>
      </c>
      <c r="H1802" s="97">
        <f t="array" ref="H1802">-SUM(($B$1043:$B$1105=IND.a.Outputs[[#This Row],[Vector]]) * (H$1043:H$1105))</f>
        <v>0</v>
      </c>
      <c r="I1802" s="97">
        <f t="array" ref="I1802">-SUM(($B$1043:$B$1105=IND.a.Outputs[[#This Row],[Vector]]) * (I$1043:I$1105))</f>
        <v>0</v>
      </c>
      <c r="J1802" s="97">
        <f t="array" ref="J1802">-SUM(($B$1043:$B$1105=IND.a.Outputs[[#This Row],[Vector]]) * (J$1043:J$1105))</f>
        <v>0</v>
      </c>
      <c r="K1802" s="97">
        <f t="array" ref="K1802">-SUM(($B$1043:$B$1105=IND.a.Outputs[[#This Row],[Vector]]) * (K$1043:K$1105))</f>
        <v>0</v>
      </c>
      <c r="L1802" s="97">
        <f t="array" ref="L1802">-SUM(($B$1043:$B$1105=IND.a.Outputs[[#This Row],[Vector]]) * (L$1043:L$1105))</f>
        <v>0</v>
      </c>
      <c r="M1802" s="97">
        <f t="array" ref="M1802">-SUM(($B$1043:$B$1105=IND.a.Outputs[[#This Row],[Vector]]) * (M$1043:M$1105))</f>
        <v>0</v>
      </c>
      <c r="N1802" s="97">
        <f t="array" ref="N1802">-SUM(($B$1043:$B$1105=IND.a.Outputs[[#This Row],[Vector]]) * (N$1043:N$1105))</f>
        <v>0</v>
      </c>
      <c r="O1802" s="97">
        <f t="array" ref="O1802">-SUM(($B$1043:$B$1105=IND.a.Outputs[[#This Row],[Vector]]) * (O$1043:O$1105))</f>
        <v>0</v>
      </c>
      <c r="P1802" s="118"/>
      <c r="Q1802" s="1456"/>
      <c r="R1802" s="16"/>
      <c r="S1802" s="1456"/>
      <c r="T1802" s="1456"/>
      <c r="U1802" s="1456"/>
      <c r="V1802" s="1456"/>
      <c r="W1802" s="1456"/>
      <c r="X1802" s="1456"/>
      <c r="Y1802" s="1456"/>
      <c r="Z1802" s="1456"/>
      <c r="AA1802" s="1456"/>
      <c r="AB1802" s="1456"/>
      <c r="AC1802" s="1459"/>
      <c r="AE1802" s="165"/>
      <c r="AF1802" s="165"/>
      <c r="AG1802" s="165"/>
      <c r="AH1802" s="165"/>
      <c r="AI1802" s="165"/>
      <c r="AJ1802" s="165"/>
      <c r="AK1802" s="165"/>
      <c r="AL1802" s="165"/>
      <c r="AM1802" s="165"/>
      <c r="AN1802" s="165"/>
      <c r="AO1802" s="165"/>
      <c r="AP1802" s="165"/>
      <c r="AQ1802" s="165"/>
      <c r="AR1802" s="165"/>
      <c r="AS1802" s="165"/>
      <c r="AT1802" s="165"/>
      <c r="AU1802" s="165"/>
      <c r="AV1802" s="165"/>
      <c r="AW1802" s="165"/>
      <c r="AX1802" s="165"/>
      <c r="AY1802" s="165"/>
      <c r="AZ1802" s="165"/>
      <c r="BA1802" s="165"/>
      <c r="BB1802" s="165"/>
      <c r="BC1802" s="165"/>
      <c r="BD1802" s="165"/>
      <c r="BE1802" s="165"/>
      <c r="BF1802" s="165"/>
      <c r="BG1802" s="165"/>
      <c r="BH1802" s="165"/>
      <c r="BI1802" s="165"/>
      <c r="BJ1802" s="165"/>
      <c r="BK1802" s="165"/>
      <c r="BL1802" s="165"/>
      <c r="BM1802" s="165"/>
      <c r="BN1802" s="165"/>
      <c r="BO1802" s="165"/>
      <c r="BP1802" s="165"/>
      <c r="BQ1802" s="165"/>
      <c r="BR1802" s="165"/>
      <c r="BS1802" s="165"/>
      <c r="BT1802" s="165"/>
      <c r="BU1802" s="165"/>
      <c r="BV1802" s="165"/>
      <c r="BW1802" s="165"/>
      <c r="BX1802" s="165"/>
      <c r="BY1802" s="165"/>
      <c r="BZ1802" s="165"/>
      <c r="CA1802" s="165"/>
      <c r="CB1802" s="165"/>
      <c r="CC1802" s="165"/>
      <c r="CD1802" s="165"/>
      <c r="CE1802" s="165"/>
      <c r="CF1802" s="165"/>
      <c r="CG1802" s="165"/>
      <c r="CH1802" s="165"/>
      <c r="CI1802" s="165"/>
    </row>
    <row r="1803" spans="1:87" ht="15">
      <c r="A1803" s="3"/>
      <c r="B1803" s="119"/>
      <c r="C1803" s="60"/>
      <c r="D1803" s="639"/>
      <c r="E1803" s="60"/>
      <c r="F1803" s="97"/>
      <c r="G1803" s="97"/>
      <c r="H1803" s="97"/>
      <c r="I1803" s="97"/>
      <c r="J1803" s="97"/>
      <c r="K1803" s="97"/>
      <c r="L1803" s="97"/>
      <c r="M1803" s="97"/>
      <c r="N1803" s="97"/>
      <c r="O1803" s="97"/>
      <c r="P1803" s="118"/>
      <c r="Q1803" s="1456"/>
      <c r="R1803" s="16"/>
      <c r="S1803" s="423"/>
      <c r="T1803" s="423"/>
      <c r="U1803" s="423"/>
      <c r="V1803" s="423"/>
      <c r="W1803" s="423"/>
      <c r="X1803" s="423"/>
      <c r="Y1803" s="423"/>
      <c r="Z1803" s="423"/>
      <c r="AA1803" s="423"/>
      <c r="AB1803" s="423"/>
      <c r="AC1803" s="1495"/>
      <c r="AE1803" s="165"/>
      <c r="AF1803" s="165"/>
      <c r="AG1803" s="165"/>
      <c r="AH1803" s="165"/>
      <c r="AI1803" s="165"/>
      <c r="AJ1803" s="165"/>
      <c r="AK1803" s="165"/>
      <c r="AL1803" s="165"/>
      <c r="AM1803" s="165"/>
      <c r="AN1803" s="165"/>
      <c r="AO1803" s="165"/>
      <c r="AP1803" s="165"/>
      <c r="AQ1803" s="165"/>
      <c r="AR1803" s="165"/>
      <c r="AS1803" s="165"/>
      <c r="AT1803" s="165"/>
      <c r="AU1803" s="165"/>
      <c r="AV1803" s="165"/>
      <c r="AW1803" s="165"/>
      <c r="AX1803" s="165"/>
      <c r="AY1803" s="165"/>
      <c r="AZ1803" s="165"/>
      <c r="BA1803" s="165"/>
      <c r="BB1803" s="165"/>
      <c r="BC1803" s="165"/>
      <c r="BD1803" s="165"/>
      <c r="BE1803" s="165"/>
      <c r="BF1803" s="165"/>
      <c r="BG1803" s="165"/>
      <c r="BH1803" s="165"/>
      <c r="BI1803" s="165"/>
      <c r="BJ1803" s="165"/>
      <c r="BK1803" s="165"/>
      <c r="BL1803" s="165"/>
      <c r="BM1803" s="165"/>
      <c r="BN1803" s="165"/>
      <c r="BO1803" s="165"/>
      <c r="BP1803" s="165"/>
      <c r="BQ1803" s="165"/>
      <c r="BR1803" s="165"/>
      <c r="BS1803" s="165"/>
      <c r="BT1803" s="165"/>
      <c r="BU1803" s="165"/>
      <c r="BV1803" s="165"/>
      <c r="BW1803" s="165"/>
      <c r="BX1803" s="165"/>
      <c r="BY1803" s="165"/>
      <c r="BZ1803" s="165"/>
      <c r="CA1803" s="165"/>
      <c r="CB1803" s="165"/>
      <c r="CC1803" s="165"/>
      <c r="CD1803" s="165"/>
      <c r="CE1803" s="165"/>
      <c r="CF1803" s="165"/>
      <c r="CG1803" s="165"/>
      <c r="CH1803" s="165"/>
      <c r="CI1803" s="165"/>
    </row>
    <row r="1804" spans="1:87" ht="15">
      <c r="A1804" s="3"/>
      <c r="B1804" s="119"/>
      <c r="C1804" s="60" t="s">
        <v>102</v>
      </c>
      <c r="D1804" s="639"/>
      <c r="E1804" s="60"/>
      <c r="F1804" s="1586">
        <f>SUBTOTAL(109,IND.a.Outputs[2006])</f>
        <v>-2.8421709430404007E-14</v>
      </c>
      <c r="G1804" s="1586">
        <f>SUBTOTAL(109,IND.a.Outputs[2010])</f>
        <v>5.6843418860808015E-14</v>
      </c>
      <c r="H1804" s="1586">
        <f>SUBTOTAL(109,IND.a.Outputs[2015])</f>
        <v>-1.4210854715202004E-14</v>
      </c>
      <c r="I1804" s="1586">
        <f>SUBTOTAL(109,IND.a.Outputs[2020])</f>
        <v>4.2632564145606011E-14</v>
      </c>
      <c r="J1804" s="1586">
        <f>SUBTOTAL(109,IND.a.Outputs[2025])</f>
        <v>-2.8421709430404007E-13</v>
      </c>
      <c r="K1804" s="1586">
        <f>SUBTOTAL(109,IND.a.Outputs[2030])</f>
        <v>-3.694822225952521E-13</v>
      </c>
      <c r="L1804" s="1586">
        <f>SUBTOTAL(109,IND.a.Outputs[2035])</f>
        <v>-3.979039320256561E-13</v>
      </c>
      <c r="M1804" s="1586">
        <f>SUBTOTAL(109,IND.a.Outputs[2040])</f>
        <v>5.6843418860808015E-14</v>
      </c>
      <c r="N1804" s="1586">
        <f>SUBTOTAL(109,IND.a.Outputs[2045])</f>
        <v>-3.694822225952521E-13</v>
      </c>
      <c r="O1804" s="1586">
        <f>SUBTOTAL(109,IND.a.Outputs[2050])</f>
        <v>-1.1368683772161603E-12</v>
      </c>
      <c r="P1804" s="118"/>
      <c r="Q1804" s="1456"/>
      <c r="R1804" s="16"/>
      <c r="S1804" s="423"/>
      <c r="T1804" s="423"/>
      <c r="U1804" s="423"/>
      <c r="V1804" s="423"/>
      <c r="W1804" s="423"/>
      <c r="X1804" s="423"/>
      <c r="Y1804" s="423"/>
      <c r="Z1804" s="423"/>
      <c r="AA1804" s="423"/>
      <c r="AB1804" s="423"/>
      <c r="AC1804" s="1495"/>
    </row>
    <row r="1805" spans="1:87" ht="15">
      <c r="B1805" s="119"/>
      <c r="C1805" s="120"/>
      <c r="D1805" s="638"/>
      <c r="E1805" s="120"/>
      <c r="F1805" s="157"/>
      <c r="G1805" s="157"/>
      <c r="H1805" s="157"/>
      <c r="I1805" s="157"/>
      <c r="J1805" s="157"/>
      <c r="K1805" s="157"/>
      <c r="L1805" s="157"/>
      <c r="M1805" s="157"/>
      <c r="N1805" s="120"/>
      <c r="O1805" s="120"/>
      <c r="P1805" s="118"/>
      <c r="Q1805" s="1456"/>
      <c r="R1805" s="16"/>
      <c r="S1805" s="423"/>
      <c r="T1805" s="423"/>
      <c r="U1805" s="423"/>
      <c r="V1805" s="423"/>
      <c r="W1805" s="423"/>
      <c r="X1805" s="423"/>
      <c r="Y1805" s="423"/>
      <c r="Z1805" s="423"/>
      <c r="AA1805" s="423"/>
      <c r="AB1805" s="423"/>
      <c r="AC1805" s="1495"/>
    </row>
    <row r="1806" spans="1:87" ht="22">
      <c r="A1806" s="343"/>
      <c r="Q1806" s="1456"/>
      <c r="R1806" s="16"/>
      <c r="S1806" s="423"/>
      <c r="T1806" s="423"/>
      <c r="U1806" s="423"/>
      <c r="V1806" s="423"/>
      <c r="W1806" s="423"/>
      <c r="X1806" s="423"/>
      <c r="Y1806" s="423"/>
      <c r="Z1806" s="423"/>
      <c r="AA1806" s="423"/>
      <c r="AB1806" s="423"/>
      <c r="AC1806" s="1495"/>
    </row>
    <row r="1807" spans="1:87" ht="15">
      <c r="B1807" s="142" t="s">
        <v>276</v>
      </c>
      <c r="C1807" s="127"/>
      <c r="D1807" s="637"/>
      <c r="E1807" s="128"/>
      <c r="F1807" s="128"/>
      <c r="G1807" s="128"/>
      <c r="H1807" s="128"/>
      <c r="I1807" s="128"/>
      <c r="J1807" s="128"/>
      <c r="K1807" s="128"/>
      <c r="L1807" s="128"/>
      <c r="M1807" s="128"/>
      <c r="N1807" s="128"/>
      <c r="O1807" s="128"/>
      <c r="P1807" s="129"/>
      <c r="Q1807" s="1456"/>
      <c r="R1807" s="1456"/>
      <c r="S1807" s="1475"/>
      <c r="T1807" s="1475"/>
      <c r="U1807" s="1475"/>
      <c r="V1807" s="1475"/>
      <c r="W1807" s="1475"/>
      <c r="X1807" s="1475"/>
      <c r="Y1807" s="1475"/>
      <c r="Z1807" s="1475"/>
      <c r="AA1807" s="1475"/>
      <c r="AB1807" s="1475"/>
      <c r="AC1807" s="1456"/>
    </row>
    <row r="1808" spans="1:87">
      <c r="B1808" s="135"/>
      <c r="C1808" s="136"/>
      <c r="D1808" s="636"/>
      <c r="E1808" s="136"/>
      <c r="F1808" s="136"/>
      <c r="G1808" s="136"/>
      <c r="H1808" s="136"/>
      <c r="I1808" s="136"/>
      <c r="J1808" s="136"/>
      <c r="K1808" s="136"/>
      <c r="L1808" s="136"/>
      <c r="M1808" s="136"/>
      <c r="N1808" s="136"/>
      <c r="O1808" s="136"/>
      <c r="P1808" s="137"/>
      <c r="S1808" s="1475"/>
      <c r="T1808" s="1475"/>
      <c r="U1808" s="1475"/>
      <c r="V1808" s="1475"/>
      <c r="W1808" s="1475"/>
      <c r="X1808" s="1475"/>
      <c r="Y1808" s="1475"/>
      <c r="Z1808" s="1475"/>
      <c r="AA1808" s="1475"/>
      <c r="AB1808" s="1475"/>
    </row>
    <row r="1809" spans="2:16" ht="17">
      <c r="B1809" s="138"/>
      <c r="C1809" s="130" t="s">
        <v>736</v>
      </c>
      <c r="D1809" s="623"/>
      <c r="E1809" s="132"/>
      <c r="F1809" s="131"/>
      <c r="G1809" s="132"/>
      <c r="H1809" s="131"/>
      <c r="I1809" s="131"/>
      <c r="J1809" s="131"/>
      <c r="K1809" s="131"/>
      <c r="L1809" s="131"/>
      <c r="M1809" s="131"/>
      <c r="N1809" s="131"/>
      <c r="O1809" s="431" t="s">
        <v>413</v>
      </c>
      <c r="P1809" s="139"/>
    </row>
    <row r="1810" spans="2:16">
      <c r="B1810" s="138"/>
      <c r="C1810" s="131"/>
      <c r="D1810" s="623"/>
      <c r="E1810" s="131"/>
      <c r="F1810" s="131"/>
      <c r="G1810" s="131"/>
      <c r="H1810" s="131"/>
      <c r="I1810" s="131"/>
      <c r="J1810" s="131"/>
      <c r="K1810" s="131"/>
      <c r="L1810" s="131"/>
      <c r="M1810" s="131"/>
      <c r="N1810" s="131"/>
      <c r="O1810" s="131"/>
      <c r="P1810" s="139"/>
    </row>
    <row r="1811" spans="2:16" ht="15">
      <c r="B1811" s="140"/>
      <c r="C1811" s="148" t="s">
        <v>364</v>
      </c>
      <c r="D1811" s="635" t="s">
        <v>336</v>
      </c>
      <c r="E1811" s="148" t="s">
        <v>162</v>
      </c>
      <c r="F1811" s="148" t="s">
        <v>674</v>
      </c>
      <c r="G1811" s="148" t="s">
        <v>203</v>
      </c>
      <c r="H1811" s="148" t="s">
        <v>228</v>
      </c>
      <c r="I1811" s="148" t="s">
        <v>229</v>
      </c>
      <c r="J1811" s="148" t="s">
        <v>230</v>
      </c>
      <c r="K1811" s="148" t="s">
        <v>231</v>
      </c>
      <c r="L1811" s="148" t="s">
        <v>232</v>
      </c>
      <c r="M1811" s="148" t="s">
        <v>233</v>
      </c>
      <c r="N1811" s="148" t="s">
        <v>234</v>
      </c>
      <c r="O1811" s="148" t="s">
        <v>235</v>
      </c>
      <c r="P1811" s="139"/>
    </row>
    <row r="1812" spans="2:16" ht="15">
      <c r="B1812" s="140"/>
      <c r="C1812" s="134" t="s">
        <v>349</v>
      </c>
      <c r="D1812" s="634" t="s">
        <v>358</v>
      </c>
      <c r="E1812" s="134" t="str">
        <f>INDEX(IPCC[Sector_description], MATCH(IND.a.Emissions[IPCC Sector], IPCC[Sector_code], 0))</f>
        <v>Fuel Combustion</v>
      </c>
      <c r="F1812" s="147">
        <f>F1522</f>
        <v>58.052269444751168</v>
      </c>
      <c r="G1812" s="147">
        <f t="shared" ref="G1812:O1812" si="341">G1522</f>
        <v>67.867604531211384</v>
      </c>
      <c r="H1812" s="147">
        <f t="shared" si="341"/>
        <v>83.622323242825729</v>
      </c>
      <c r="I1812" s="147">
        <f t="shared" si="341"/>
        <v>99.583814481018649</v>
      </c>
      <c r="J1812" s="147">
        <f t="shared" si="341"/>
        <v>124.23323547749749</v>
      </c>
      <c r="K1812" s="147">
        <f t="shared" si="341"/>
        <v>149.23257459346522</v>
      </c>
      <c r="L1812" s="147">
        <f t="shared" si="341"/>
        <v>187.73966627780655</v>
      </c>
      <c r="M1812" s="147">
        <f t="shared" si="341"/>
        <v>226.52712270795706</v>
      </c>
      <c r="N1812" s="147">
        <f t="shared" si="341"/>
        <v>271.27806977836417</v>
      </c>
      <c r="O1812" s="147">
        <f t="shared" si="341"/>
        <v>316.26767519656312</v>
      </c>
      <c r="P1812" s="139"/>
    </row>
    <row r="1813" spans="2:16" ht="15">
      <c r="B1813" s="140"/>
      <c r="C1813" s="134" t="s">
        <v>350</v>
      </c>
      <c r="D1813" s="634" t="s">
        <v>358</v>
      </c>
      <c r="E1813" s="134" t="str">
        <f>INDEX(IPCC[Sector_description], MATCH(IND.a.Emissions[IPCC Sector], IPCC[Sector_code], 0))</f>
        <v>Fuel Combustion</v>
      </c>
      <c r="F1813" s="147">
        <f t="shared" ref="F1813:O1813" si="342">F1617</f>
        <v>1.5450422426510284E-2</v>
      </c>
      <c r="G1813" s="147">
        <f t="shared" si="342"/>
        <v>1.8055202725417385E-2</v>
      </c>
      <c r="H1813" s="147">
        <f t="shared" si="342"/>
        <v>2.2176517539822974E-2</v>
      </c>
      <c r="I1813" s="147">
        <f t="shared" si="342"/>
        <v>2.6473709896692968E-2</v>
      </c>
      <c r="J1813" s="147">
        <f t="shared" si="342"/>
        <v>3.2960620681160194E-2</v>
      </c>
      <c r="K1813" s="147">
        <f t="shared" si="342"/>
        <v>3.9745166455815994E-2</v>
      </c>
      <c r="L1813" s="147">
        <f t="shared" si="342"/>
        <v>4.9970192751620915E-2</v>
      </c>
      <c r="M1813" s="147">
        <f t="shared" si="342"/>
        <v>6.0433693003818879E-2</v>
      </c>
      <c r="N1813" s="147">
        <f t="shared" si="342"/>
        <v>7.2363697300635826E-2</v>
      </c>
      <c r="O1813" s="147">
        <f t="shared" si="342"/>
        <v>8.449670073081339E-2</v>
      </c>
      <c r="P1813" s="139"/>
    </row>
    <row r="1814" spans="2:16" ht="15">
      <c r="B1814" s="140"/>
      <c r="C1814" s="134" t="s">
        <v>351</v>
      </c>
      <c r="D1814" s="634" t="s">
        <v>358</v>
      </c>
      <c r="E1814" s="134" t="str">
        <f>INDEX(IPCC[Sector_description], MATCH(IND.a.Emissions[IPCC Sector], IPCC[Sector_code], 0))</f>
        <v>Fuel Combustion</v>
      </c>
      <c r="F1814" s="147">
        <f t="shared" ref="F1814:O1814" si="343">F1711</f>
        <v>0.23263288441160923</v>
      </c>
      <c r="G1814" s="147">
        <f t="shared" si="343"/>
        <v>0.27228816275989215</v>
      </c>
      <c r="H1814" s="147">
        <f t="shared" si="343"/>
        <v>0.33696902987699667</v>
      </c>
      <c r="I1814" s="147">
        <f t="shared" si="343"/>
        <v>0.40216915450042479</v>
      </c>
      <c r="J1814" s="147">
        <f t="shared" si="343"/>
        <v>0.50348506244881019</v>
      </c>
      <c r="K1814" s="147">
        <f t="shared" si="343"/>
        <v>0.60567970227299051</v>
      </c>
      <c r="L1814" s="147">
        <f t="shared" si="343"/>
        <v>0.76311425874086414</v>
      </c>
      <c r="M1814" s="147">
        <f t="shared" si="343"/>
        <v>0.92125288117523141</v>
      </c>
      <c r="N1814" s="147">
        <f t="shared" si="343"/>
        <v>1.1046826986050653</v>
      </c>
      <c r="O1814" s="147">
        <f t="shared" si="343"/>
        <v>1.2887118468095826</v>
      </c>
      <c r="P1814" s="139"/>
    </row>
    <row r="1815" spans="2:16" ht="15">
      <c r="B1815" s="140"/>
      <c r="C1815" s="133" t="s">
        <v>349</v>
      </c>
      <c r="D1815" s="633">
        <v>2</v>
      </c>
      <c r="E1815" s="134" t="str">
        <f>INDEX(IPCC[Sector_description], MATCH(IND.a.Emissions[IPCC Sector], IPCC[Sector_code], 0))</f>
        <v>Industrial Processes</v>
      </c>
      <c r="F1815" s="158">
        <f t="shared" ref="F1815:O1815" si="344">F1201</f>
        <v>4.7536862412599996</v>
      </c>
      <c r="G1815" s="158">
        <f t="shared" si="344"/>
        <v>5.5050361420568912</v>
      </c>
      <c r="H1815" s="158">
        <f t="shared" si="344"/>
        <v>6.9178390618353491</v>
      </c>
      <c r="I1815" s="158">
        <f t="shared" si="344"/>
        <v>8.7428562376714876</v>
      </c>
      <c r="J1815" s="158">
        <f t="shared" si="344"/>
        <v>10.986591053088663</v>
      </c>
      <c r="K1815" s="158">
        <f t="shared" si="344"/>
        <v>13.805864583798416</v>
      </c>
      <c r="L1815" s="158">
        <f t="shared" si="344"/>
        <v>16.974353608129782</v>
      </c>
      <c r="M1815" s="158">
        <f t="shared" si="344"/>
        <v>20.5065582813174</v>
      </c>
      <c r="N1815" s="158">
        <f t="shared" si="344"/>
        <v>24.190150782925432</v>
      </c>
      <c r="O1815" s="158">
        <f t="shared" si="344"/>
        <v>28.339250183504205</v>
      </c>
      <c r="P1815" s="139"/>
    </row>
    <row r="1816" spans="2:16" ht="15">
      <c r="B1816" s="140"/>
      <c r="C1816" s="133" t="s">
        <v>350</v>
      </c>
      <c r="D1816" s="633">
        <v>2</v>
      </c>
      <c r="E1816" s="134" t="str">
        <f>INDEX(IPCC[Sector_description], MATCH(IND.a.Emissions[IPCC Sector], IPCC[Sector_code], 0))</f>
        <v>Industrial Processes</v>
      </c>
      <c r="F1816" s="158">
        <f t="shared" ref="F1816:O1816" si="345">F1295</f>
        <v>1.0552580450999998E-3</v>
      </c>
      <c r="G1816" s="158">
        <f t="shared" si="345"/>
        <v>1.2220481922113604E-3</v>
      </c>
      <c r="H1816" s="158">
        <f t="shared" si="345"/>
        <v>1.5356725190120754E-3</v>
      </c>
      <c r="I1816" s="158">
        <f t="shared" si="345"/>
        <v>1.9408031817241145E-3</v>
      </c>
      <c r="J1816" s="158">
        <f t="shared" si="345"/>
        <v>2.4388838489943121E-3</v>
      </c>
      <c r="K1816" s="158">
        <f t="shared" si="345"/>
        <v>3.064726810356942E-3</v>
      </c>
      <c r="L1816" s="158">
        <f t="shared" si="345"/>
        <v>3.768091181508725E-3</v>
      </c>
      <c r="M1816" s="158">
        <f t="shared" si="345"/>
        <v>4.5521958129774347E-3</v>
      </c>
      <c r="N1816" s="158">
        <f t="shared" si="345"/>
        <v>5.3699066220024736E-3</v>
      </c>
      <c r="O1816" s="158">
        <f t="shared" si="345"/>
        <v>6.2909540576489243E-3</v>
      </c>
      <c r="P1816" s="139"/>
    </row>
    <row r="1817" spans="2:16" ht="15">
      <c r="B1817" s="140"/>
      <c r="C1817" s="133" t="s">
        <v>351</v>
      </c>
      <c r="D1817" s="633">
        <v>2</v>
      </c>
      <c r="E1817" s="134" t="str">
        <f>INDEX(IPCC[Sector_description], MATCH(IND.a.Emissions[IPCC Sector], IPCC[Sector_code], 0))</f>
        <v>Industrial Processes</v>
      </c>
      <c r="F1817" s="158">
        <f t="shared" ref="F1817:O1817" si="346">F1389</f>
        <v>2.3366428141499997E-2</v>
      </c>
      <c r="G1817" s="158">
        <f t="shared" si="346"/>
        <v>2.7059638541822986E-2</v>
      </c>
      <c r="H1817" s="158">
        <f t="shared" si="346"/>
        <v>3.4004177206695956E-2</v>
      </c>
      <c r="I1817" s="158">
        <f t="shared" si="346"/>
        <v>4.2974927595319685E-2</v>
      </c>
      <c r="J1817" s="158">
        <f t="shared" si="346"/>
        <v>5.4003856656302626E-2</v>
      </c>
      <c r="K1817" s="158">
        <f t="shared" si="346"/>
        <v>6.7861807943618013E-2</v>
      </c>
      <c r="L1817" s="158">
        <f t="shared" si="346"/>
        <v>8.343630473340749E-2</v>
      </c>
      <c r="M1817" s="158">
        <f t="shared" si="346"/>
        <v>0.10079862157307179</v>
      </c>
      <c r="N1817" s="158">
        <f t="shared" si="346"/>
        <v>0.11890507520148336</v>
      </c>
      <c r="O1817" s="158">
        <f t="shared" si="346"/>
        <v>0.13929969699079761</v>
      </c>
      <c r="P1817" s="139"/>
    </row>
    <row r="1818" spans="2:16" ht="15">
      <c r="B1818" s="140"/>
      <c r="C1818" s="133" t="s">
        <v>352</v>
      </c>
      <c r="D1818" s="633">
        <v>2</v>
      </c>
      <c r="E1818" s="134" t="str">
        <f>INDEX(IPCC[Sector_description], MATCH(IND.a.Emissions[IPCC Sector], IPCC[Sector_code], 0))</f>
        <v>Industrial Processes</v>
      </c>
      <c r="F1818" s="158">
        <v>0</v>
      </c>
      <c r="G1818" s="158">
        <v>0</v>
      </c>
      <c r="H1818" s="158">
        <v>0</v>
      </c>
      <c r="I1818" s="158">
        <v>0</v>
      </c>
      <c r="J1818" s="158">
        <v>0</v>
      </c>
      <c r="K1818" s="158">
        <v>0</v>
      </c>
      <c r="L1818" s="158">
        <v>0</v>
      </c>
      <c r="M1818" s="158">
        <v>0</v>
      </c>
      <c r="N1818" s="158">
        <v>0</v>
      </c>
      <c r="O1818" s="158">
        <v>0</v>
      </c>
      <c r="P1818" s="139"/>
    </row>
    <row r="1819" spans="2:16" ht="15">
      <c r="B1819" s="140"/>
      <c r="C1819" s="133" t="s">
        <v>349</v>
      </c>
      <c r="D1819" s="633" t="s">
        <v>365</v>
      </c>
      <c r="E1819" s="134" t="str">
        <f>INDEX(IPCC[Sector_description], MATCH(IND.a.Emissions[IPCC Sector], IPCC[Sector_code], 0))</f>
        <v>Carbon capture</v>
      </c>
      <c r="F1819" s="158">
        <v>0</v>
      </c>
      <c r="G1819" s="158">
        <v>0</v>
      </c>
      <c r="H1819" s="158">
        <v>0</v>
      </c>
      <c r="I1819" s="158">
        <v>0</v>
      </c>
      <c r="J1819" s="158">
        <v>0</v>
      </c>
      <c r="K1819" s="158">
        <v>0</v>
      </c>
      <c r="L1819" s="158">
        <v>0</v>
      </c>
      <c r="M1819" s="158">
        <v>0</v>
      </c>
      <c r="N1819" s="158">
        <v>0</v>
      </c>
      <c r="O1819" s="158">
        <v>0</v>
      </c>
      <c r="P1819" s="139"/>
    </row>
    <row r="1820" spans="2:16" ht="15">
      <c r="B1820" s="140"/>
      <c r="C1820" s="134" t="s">
        <v>102</v>
      </c>
      <c r="D1820" s="632"/>
      <c r="E1820" s="134"/>
      <c r="F1820" s="150">
        <f>SUBTOTAL(109,IND.a.Emissions[2006])</f>
        <v>63.078460679035885</v>
      </c>
      <c r="G1820" s="150">
        <f>SUBTOTAL(109,IND.a.Emissions[2010])</f>
        <v>73.691265725487625</v>
      </c>
      <c r="H1820" s="150">
        <f>SUBTOTAL(109,IND.a.Emissions[2015])</f>
        <v>90.934847701803605</v>
      </c>
      <c r="I1820" s="150">
        <f>SUBTOTAL(109,IND.a.Emissions[2020])</f>
        <v>108.80022931386431</v>
      </c>
      <c r="J1820" s="150">
        <f>SUBTOTAL(109,IND.a.Emissions[2025])</f>
        <v>135.81271495422141</v>
      </c>
      <c r="K1820" s="150">
        <f>SUBTOTAL(109,IND.a.Emissions[2030])</f>
        <v>163.7547905807464</v>
      </c>
      <c r="L1820" s="150">
        <f>SUBTOTAL(109,IND.a.Emissions[2035])</f>
        <v>205.61430873334373</v>
      </c>
      <c r="M1820" s="150">
        <f>SUBTOTAL(109,IND.a.Emissions[2040])</f>
        <v>248.12071838083958</v>
      </c>
      <c r="N1820" s="150">
        <f>SUBTOTAL(109,IND.a.Emissions[2045])</f>
        <v>296.76954193901884</v>
      </c>
      <c r="O1820" s="150">
        <f>SUBTOTAL(109,IND.a.Emissions[2050])</f>
        <v>346.12572457865616</v>
      </c>
      <c r="P1820" s="139"/>
    </row>
    <row r="1821" spans="2:16" ht="15">
      <c r="B1821" s="435"/>
      <c r="C1821" s="134"/>
      <c r="D1821" s="632"/>
      <c r="E1821" s="134"/>
      <c r="F1821" s="150"/>
      <c r="G1821" s="150"/>
      <c r="H1821" s="150"/>
      <c r="I1821" s="150"/>
      <c r="J1821" s="150"/>
      <c r="K1821" s="150"/>
      <c r="L1821" s="150"/>
      <c r="M1821" s="150"/>
      <c r="N1821" s="150"/>
      <c r="O1821" s="150"/>
      <c r="P1821" s="131"/>
    </row>
    <row r="1822" spans="2:16" ht="15">
      <c r="B1822" s="435"/>
      <c r="C1822" s="432" t="s">
        <v>737</v>
      </c>
      <c r="D1822" s="629"/>
      <c r="E1822" s="134"/>
      <c r="F1822" s="150"/>
      <c r="G1822" s="150"/>
      <c r="H1822" s="150"/>
      <c r="I1822" s="150"/>
      <c r="J1822" s="150"/>
      <c r="K1822" s="150"/>
      <c r="L1822" s="150"/>
      <c r="M1822" s="150"/>
      <c r="N1822" s="150"/>
      <c r="O1822" s="433" t="s">
        <v>735</v>
      </c>
      <c r="P1822" s="131"/>
    </row>
    <row r="1823" spans="2:16" ht="15">
      <c r="B1823" s="435"/>
      <c r="C1823" s="134"/>
      <c r="D1823" s="632"/>
      <c r="E1823" s="134"/>
      <c r="F1823" s="150"/>
      <c r="G1823" s="150"/>
      <c r="H1823" s="150"/>
      <c r="I1823" s="150"/>
      <c r="J1823" s="150"/>
      <c r="K1823" s="150"/>
      <c r="L1823" s="150"/>
      <c r="M1823" s="150"/>
      <c r="N1823" s="150"/>
      <c r="O1823" s="150"/>
      <c r="P1823" s="131"/>
    </row>
    <row r="1824" spans="2:16">
      <c r="B1824" s="434"/>
      <c r="C1824" s="442" t="s">
        <v>58</v>
      </c>
      <c r="D1824" s="631" t="s">
        <v>140</v>
      </c>
      <c r="E1824" s="442" t="s">
        <v>336</v>
      </c>
      <c r="F1824" s="442" t="s">
        <v>674</v>
      </c>
      <c r="G1824" s="442" t="s">
        <v>203</v>
      </c>
      <c r="H1824" s="442" t="s">
        <v>228</v>
      </c>
      <c r="I1824" s="442" t="s">
        <v>229</v>
      </c>
      <c r="J1824" s="442" t="s">
        <v>230</v>
      </c>
      <c r="K1824" s="442" t="s">
        <v>231</v>
      </c>
      <c r="L1824" s="442" t="s">
        <v>232</v>
      </c>
      <c r="M1824" s="442" t="s">
        <v>233</v>
      </c>
      <c r="N1824" s="442" t="s">
        <v>234</v>
      </c>
      <c r="O1824" s="442" t="s">
        <v>235</v>
      </c>
      <c r="P1824" s="434"/>
    </row>
    <row r="1825" spans="2:22">
      <c r="B1825" s="434"/>
      <c r="C1825" s="438" t="str">
        <f>INDEX(AirQualityVectors[Code],MATCH(D1825,AirQualityVectors[Description],0))</f>
        <v>AQ.01</v>
      </c>
      <c r="D1825" s="626" t="s">
        <v>717</v>
      </c>
      <c r="E1825" s="438" t="s">
        <v>358</v>
      </c>
      <c r="F1825" s="439">
        <f t="shared" ref="F1825:O1825" si="347">F1714</f>
        <v>0</v>
      </c>
      <c r="G1825" s="439">
        <f t="shared" si="347"/>
        <v>0</v>
      </c>
      <c r="H1825" s="439">
        <f t="shared" si="347"/>
        <v>0</v>
      </c>
      <c r="I1825" s="439">
        <f t="shared" si="347"/>
        <v>0</v>
      </c>
      <c r="J1825" s="439">
        <f t="shared" si="347"/>
        <v>0</v>
      </c>
      <c r="K1825" s="439">
        <f t="shared" si="347"/>
        <v>0</v>
      </c>
      <c r="L1825" s="439">
        <f t="shared" si="347"/>
        <v>0</v>
      </c>
      <c r="M1825" s="439">
        <f t="shared" si="347"/>
        <v>0</v>
      </c>
      <c r="N1825" s="439">
        <f t="shared" si="347"/>
        <v>0</v>
      </c>
      <c r="O1825" s="439">
        <f t="shared" si="347"/>
        <v>0</v>
      </c>
      <c r="P1825" s="434"/>
    </row>
    <row r="1826" spans="2:22">
      <c r="B1826" s="434"/>
      <c r="C1826" s="436" t="str">
        <f>INDEX(AirQualityVectors[Code],MATCH(D1826,AirQualityVectors[Description],0))</f>
        <v>AQ.02</v>
      </c>
      <c r="D1826" s="625" t="s">
        <v>719</v>
      </c>
      <c r="E1826" s="436" t="s">
        <v>358</v>
      </c>
      <c r="F1826" s="437">
        <f t="shared" ref="F1826:O1826" si="348">F1715</f>
        <v>0</v>
      </c>
      <c r="G1826" s="437">
        <f t="shared" si="348"/>
        <v>0</v>
      </c>
      <c r="H1826" s="437">
        <f t="shared" si="348"/>
        <v>0</v>
      </c>
      <c r="I1826" s="437">
        <f t="shared" si="348"/>
        <v>0</v>
      </c>
      <c r="J1826" s="437">
        <f t="shared" si="348"/>
        <v>0</v>
      </c>
      <c r="K1826" s="437">
        <f t="shared" si="348"/>
        <v>0</v>
      </c>
      <c r="L1826" s="437">
        <f t="shared" si="348"/>
        <v>0</v>
      </c>
      <c r="M1826" s="437">
        <f t="shared" si="348"/>
        <v>0</v>
      </c>
      <c r="N1826" s="437">
        <f t="shared" si="348"/>
        <v>0</v>
      </c>
      <c r="O1826" s="437">
        <f t="shared" si="348"/>
        <v>0</v>
      </c>
      <c r="P1826" s="434"/>
    </row>
    <row r="1827" spans="2:22">
      <c r="B1827" s="434"/>
      <c r="C1827" s="436" t="str">
        <f>INDEX(AirQualityVectors[Code],MATCH(D1827,AirQualityVectors[Description],0))</f>
        <v>AQ.03</v>
      </c>
      <c r="D1827" s="625" t="s">
        <v>720</v>
      </c>
      <c r="E1827" s="436" t="s">
        <v>358</v>
      </c>
      <c r="F1827" s="437">
        <f t="shared" ref="F1827:O1827" si="349">F1716</f>
        <v>0</v>
      </c>
      <c r="G1827" s="437">
        <f t="shared" si="349"/>
        <v>0</v>
      </c>
      <c r="H1827" s="437">
        <f t="shared" si="349"/>
        <v>0</v>
      </c>
      <c r="I1827" s="437">
        <f t="shared" si="349"/>
        <v>0</v>
      </c>
      <c r="J1827" s="437">
        <f t="shared" si="349"/>
        <v>0</v>
      </c>
      <c r="K1827" s="437">
        <f t="shared" si="349"/>
        <v>0</v>
      </c>
      <c r="L1827" s="437">
        <f t="shared" si="349"/>
        <v>0</v>
      </c>
      <c r="M1827" s="437">
        <f t="shared" si="349"/>
        <v>0</v>
      </c>
      <c r="N1827" s="437">
        <f t="shared" si="349"/>
        <v>0</v>
      </c>
      <c r="O1827" s="437">
        <f t="shared" si="349"/>
        <v>0</v>
      </c>
      <c r="P1827" s="434"/>
    </row>
    <row r="1828" spans="2:22">
      <c r="B1828" s="434"/>
      <c r="C1828" s="440" t="str">
        <f>INDEX(AirQualityVectors[Code],MATCH(D1828,AirQualityVectors[Description],0))</f>
        <v>AQ.04</v>
      </c>
      <c r="D1828" s="624" t="s">
        <v>718</v>
      </c>
      <c r="E1828" s="440" t="s">
        <v>358</v>
      </c>
      <c r="F1828" s="441">
        <f t="shared" ref="F1828:O1828" si="350">F1717</f>
        <v>0</v>
      </c>
      <c r="G1828" s="441">
        <f t="shared" si="350"/>
        <v>0</v>
      </c>
      <c r="H1828" s="441">
        <f t="shared" si="350"/>
        <v>0</v>
      </c>
      <c r="I1828" s="441">
        <f t="shared" si="350"/>
        <v>0</v>
      </c>
      <c r="J1828" s="441">
        <f t="shared" si="350"/>
        <v>0</v>
      </c>
      <c r="K1828" s="441">
        <f t="shared" si="350"/>
        <v>0</v>
      </c>
      <c r="L1828" s="441">
        <f t="shared" si="350"/>
        <v>0</v>
      </c>
      <c r="M1828" s="441">
        <f t="shared" si="350"/>
        <v>0</v>
      </c>
      <c r="N1828" s="441">
        <f t="shared" si="350"/>
        <v>0</v>
      </c>
      <c r="O1828" s="441">
        <f t="shared" si="350"/>
        <v>0</v>
      </c>
      <c r="P1828" s="434"/>
    </row>
    <row r="1829" spans="2:22">
      <c r="B1829" s="434"/>
      <c r="C1829" s="443"/>
      <c r="D1829" s="630"/>
      <c r="E1829" s="443"/>
      <c r="F1829" s="444"/>
      <c r="G1829" s="444"/>
      <c r="H1829" s="444"/>
      <c r="I1829" s="444"/>
      <c r="J1829" s="444"/>
      <c r="K1829" s="444"/>
      <c r="L1829" s="444"/>
      <c r="M1829" s="444"/>
      <c r="N1829" s="444"/>
      <c r="O1829" s="444"/>
      <c r="P1829" s="434"/>
    </row>
    <row r="1830" spans="2:22">
      <c r="B1830" s="434"/>
      <c r="C1830" s="432" t="s">
        <v>738</v>
      </c>
      <c r="D1830" s="629"/>
      <c r="E1830" s="134"/>
      <c r="F1830" s="150"/>
      <c r="G1830" s="150"/>
      <c r="H1830" s="150"/>
      <c r="I1830" s="150"/>
      <c r="J1830" s="150"/>
      <c r="K1830" s="150"/>
      <c r="L1830" s="150"/>
      <c r="M1830" s="150"/>
      <c r="N1830" s="150"/>
      <c r="O1830" s="433" t="s">
        <v>735</v>
      </c>
      <c r="P1830" s="434"/>
    </row>
    <row r="1831" spans="2:22">
      <c r="B1831" s="434"/>
      <c r="C1831" s="445"/>
      <c r="D1831" s="628"/>
      <c r="E1831" s="445"/>
      <c r="F1831" s="446"/>
      <c r="G1831" s="446"/>
      <c r="H1831" s="446"/>
      <c r="I1831" s="446"/>
      <c r="J1831" s="446"/>
      <c r="K1831" s="446"/>
      <c r="L1831" s="446"/>
      <c r="M1831" s="446"/>
      <c r="N1831" s="446"/>
      <c r="O1831" s="446"/>
      <c r="P1831" s="434"/>
    </row>
    <row r="1832" spans="2:22">
      <c r="B1832" s="434"/>
      <c r="C1832" s="447" t="s">
        <v>58</v>
      </c>
      <c r="D1832" s="627" t="s">
        <v>140</v>
      </c>
      <c r="E1832" s="447" t="s">
        <v>336</v>
      </c>
      <c r="F1832" s="447" t="s">
        <v>674</v>
      </c>
      <c r="G1832" s="447" t="s">
        <v>203</v>
      </c>
      <c r="H1832" s="447" t="s">
        <v>228</v>
      </c>
      <c r="I1832" s="447" t="s">
        <v>229</v>
      </c>
      <c r="J1832" s="447" t="s">
        <v>230</v>
      </c>
      <c r="K1832" s="447" t="s">
        <v>231</v>
      </c>
      <c r="L1832" s="447" t="s">
        <v>232</v>
      </c>
      <c r="M1832" s="447" t="s">
        <v>233</v>
      </c>
      <c r="N1832" s="447" t="s">
        <v>234</v>
      </c>
      <c r="O1832" s="447" t="s">
        <v>235</v>
      </c>
      <c r="P1832" s="434"/>
    </row>
    <row r="1833" spans="2:22">
      <c r="B1833" s="434"/>
      <c r="C1833" s="438" t="str">
        <f>INDEX(AirQualityVectors[Code],MATCH(D1833,AirQualityVectors[Description],0))</f>
        <v>AQ.01</v>
      </c>
      <c r="D1833" s="626" t="s">
        <v>717</v>
      </c>
      <c r="E1833" s="438">
        <v>2</v>
      </c>
      <c r="F1833" s="439">
        <f t="shared" ref="F1833:O1833" si="351">F1403</f>
        <v>0</v>
      </c>
      <c r="G1833" s="439">
        <f t="shared" si="351"/>
        <v>0</v>
      </c>
      <c r="H1833" s="439">
        <f t="shared" si="351"/>
        <v>0</v>
      </c>
      <c r="I1833" s="439">
        <f t="shared" si="351"/>
        <v>0</v>
      </c>
      <c r="J1833" s="439">
        <f t="shared" si="351"/>
        <v>0</v>
      </c>
      <c r="K1833" s="439">
        <f t="shared" si="351"/>
        <v>0</v>
      </c>
      <c r="L1833" s="439">
        <f t="shared" si="351"/>
        <v>0</v>
      </c>
      <c r="M1833" s="439">
        <f t="shared" si="351"/>
        <v>0</v>
      </c>
      <c r="N1833" s="439">
        <f t="shared" si="351"/>
        <v>0</v>
      </c>
      <c r="O1833" s="439">
        <f t="shared" si="351"/>
        <v>0</v>
      </c>
      <c r="P1833" s="434"/>
    </row>
    <row r="1834" spans="2:22">
      <c r="B1834" s="434"/>
      <c r="C1834" s="436" t="str">
        <f>INDEX(AirQualityVectors[Code],MATCH(D1834,AirQualityVectors[Description],0))</f>
        <v>AQ.02</v>
      </c>
      <c r="D1834" s="625" t="s">
        <v>719</v>
      </c>
      <c r="E1834" s="436">
        <v>2</v>
      </c>
      <c r="F1834" s="437">
        <f t="shared" ref="F1834:O1834" si="352">F1410</f>
        <v>0</v>
      </c>
      <c r="G1834" s="437">
        <f t="shared" si="352"/>
        <v>0</v>
      </c>
      <c r="H1834" s="437">
        <f t="shared" si="352"/>
        <v>0</v>
      </c>
      <c r="I1834" s="437">
        <f t="shared" si="352"/>
        <v>0</v>
      </c>
      <c r="J1834" s="437">
        <f t="shared" si="352"/>
        <v>0</v>
      </c>
      <c r="K1834" s="437">
        <f t="shared" si="352"/>
        <v>0</v>
      </c>
      <c r="L1834" s="437">
        <f t="shared" si="352"/>
        <v>0</v>
      </c>
      <c r="M1834" s="437">
        <f t="shared" si="352"/>
        <v>0</v>
      </c>
      <c r="N1834" s="437">
        <f t="shared" si="352"/>
        <v>0</v>
      </c>
      <c r="O1834" s="437">
        <f t="shared" si="352"/>
        <v>0</v>
      </c>
      <c r="P1834" s="434"/>
    </row>
    <row r="1835" spans="2:22">
      <c r="B1835" s="434"/>
      <c r="C1835" s="436" t="str">
        <f>INDEX(AirQualityVectors[Code],MATCH(D1835,AirQualityVectors[Description],0))</f>
        <v>AQ.03</v>
      </c>
      <c r="D1835" s="625" t="s">
        <v>720</v>
      </c>
      <c r="E1835" s="436">
        <v>2</v>
      </c>
      <c r="F1835" s="437">
        <f t="shared" ref="F1835:O1835" si="353">F1417</f>
        <v>0</v>
      </c>
      <c r="G1835" s="437">
        <f t="shared" si="353"/>
        <v>0</v>
      </c>
      <c r="H1835" s="437">
        <f t="shared" si="353"/>
        <v>0</v>
      </c>
      <c r="I1835" s="437">
        <f t="shared" si="353"/>
        <v>0</v>
      </c>
      <c r="J1835" s="437">
        <f t="shared" si="353"/>
        <v>0</v>
      </c>
      <c r="K1835" s="437">
        <f t="shared" si="353"/>
        <v>0</v>
      </c>
      <c r="L1835" s="437">
        <f t="shared" si="353"/>
        <v>0</v>
      </c>
      <c r="M1835" s="437">
        <f t="shared" si="353"/>
        <v>0</v>
      </c>
      <c r="N1835" s="437">
        <f t="shared" si="353"/>
        <v>0</v>
      </c>
      <c r="O1835" s="437">
        <f t="shared" si="353"/>
        <v>0</v>
      </c>
      <c r="P1835" s="434"/>
    </row>
    <row r="1836" spans="2:22">
      <c r="B1836" s="434"/>
      <c r="C1836" s="440" t="str">
        <f>INDEX(AirQualityVectors[Code],MATCH(D1836,AirQualityVectors[Description],0))</f>
        <v>AQ.04</v>
      </c>
      <c r="D1836" s="624" t="s">
        <v>718</v>
      </c>
      <c r="E1836" s="440">
        <v>2</v>
      </c>
      <c r="F1836" s="441">
        <f t="shared" ref="F1836:O1836" si="354">F1424</f>
        <v>0</v>
      </c>
      <c r="G1836" s="441">
        <f t="shared" si="354"/>
        <v>0</v>
      </c>
      <c r="H1836" s="441">
        <f t="shared" si="354"/>
        <v>0</v>
      </c>
      <c r="I1836" s="441">
        <f t="shared" si="354"/>
        <v>0</v>
      </c>
      <c r="J1836" s="441">
        <f t="shared" si="354"/>
        <v>0</v>
      </c>
      <c r="K1836" s="441">
        <f t="shared" si="354"/>
        <v>0</v>
      </c>
      <c r="L1836" s="441">
        <f t="shared" si="354"/>
        <v>0</v>
      </c>
      <c r="M1836" s="441">
        <f t="shared" si="354"/>
        <v>0</v>
      </c>
      <c r="N1836" s="441">
        <f t="shared" si="354"/>
        <v>0</v>
      </c>
      <c r="O1836" s="441">
        <f t="shared" si="354"/>
        <v>0</v>
      </c>
      <c r="P1836" s="434"/>
    </row>
    <row r="1837" spans="2:22" ht="15">
      <c r="B1837" s="140"/>
      <c r="C1837" s="131"/>
      <c r="D1837" s="623"/>
      <c r="E1837" s="131"/>
      <c r="F1837" s="131"/>
      <c r="G1837" s="131"/>
      <c r="H1837" s="131"/>
      <c r="I1837" s="131"/>
      <c r="J1837" s="131"/>
      <c r="K1837" s="131"/>
      <c r="L1837" s="131"/>
      <c r="M1837" s="131"/>
      <c r="N1837" s="131"/>
      <c r="O1837" s="131"/>
      <c r="P1837" s="139"/>
    </row>
    <row r="1838" spans="2:22" collapsed="1">
      <c r="S1838" s="269"/>
      <c r="T1838" s="272"/>
      <c r="U1838" s="269"/>
      <c r="V1838" s="269"/>
    </row>
    <row r="1839" spans="2:22" ht="15">
      <c r="B1839" s="351" t="s">
        <v>521</v>
      </c>
      <c r="C1839" s="273"/>
      <c r="D1839" s="621"/>
      <c r="E1839" s="352"/>
      <c r="F1839" s="352"/>
      <c r="G1839" s="352"/>
      <c r="H1839" s="352"/>
      <c r="I1839" s="352"/>
      <c r="J1839" s="352"/>
      <c r="K1839" s="352"/>
      <c r="L1839" s="352"/>
      <c r="M1839" s="352"/>
      <c r="N1839" s="352"/>
      <c r="O1839" s="352"/>
      <c r="P1839" s="353"/>
      <c r="T1839" s="48"/>
    </row>
    <row r="1840" spans="2:22">
      <c r="B1840" s="274"/>
      <c r="C1840" s="275"/>
      <c r="D1840" s="622"/>
      <c r="E1840" s="275"/>
      <c r="F1840" s="275"/>
      <c r="G1840" s="275"/>
      <c r="H1840" s="275"/>
      <c r="I1840" s="275"/>
      <c r="J1840" s="275"/>
      <c r="K1840" s="275"/>
      <c r="L1840" s="275"/>
      <c r="M1840" s="275"/>
      <c r="N1840" s="275"/>
      <c r="O1840" s="275"/>
      <c r="P1840" s="276"/>
      <c r="T1840" s="48"/>
    </row>
    <row r="1841" spans="2:20">
      <c r="B1841" s="354"/>
      <c r="C1841" s="277" t="s">
        <v>526</v>
      </c>
      <c r="D1841" s="619"/>
      <c r="E1841" s="278"/>
      <c r="F1841" s="355"/>
      <c r="G1841" s="278"/>
      <c r="H1841" s="355"/>
      <c r="I1841" s="355"/>
      <c r="J1841" s="355"/>
      <c r="K1841" s="355"/>
      <c r="L1841" s="355"/>
      <c r="M1841" s="355"/>
      <c r="N1841" s="355"/>
      <c r="O1841" s="278"/>
      <c r="P1841" s="356"/>
      <c r="T1841" s="48"/>
    </row>
    <row r="1842" spans="2:20">
      <c r="B1842" s="354"/>
      <c r="C1842" s="355"/>
      <c r="D1842" s="619"/>
      <c r="E1842" s="355"/>
      <c r="F1842" s="355"/>
      <c r="G1842" s="355"/>
      <c r="H1842" s="355"/>
      <c r="I1842" s="355"/>
      <c r="J1842" s="355"/>
      <c r="K1842" s="355"/>
      <c r="L1842" s="355"/>
      <c r="M1842" s="355"/>
      <c r="N1842" s="355"/>
      <c r="O1842" s="355"/>
      <c r="P1842" s="356"/>
    </row>
    <row r="1843" spans="2:20" ht="15">
      <c r="B1843" s="357"/>
      <c r="C1843" s="358" t="s">
        <v>58</v>
      </c>
      <c r="D1843" s="618" t="s">
        <v>522</v>
      </c>
      <c r="E1843" s="358" t="s">
        <v>162</v>
      </c>
      <c r="F1843" s="358" t="s">
        <v>674</v>
      </c>
      <c r="G1843" s="358" t="s">
        <v>203</v>
      </c>
      <c r="H1843" s="358" t="s">
        <v>228</v>
      </c>
      <c r="I1843" s="358" t="s">
        <v>229</v>
      </c>
      <c r="J1843" s="358" t="s">
        <v>230</v>
      </c>
      <c r="K1843" s="358" t="s">
        <v>231</v>
      </c>
      <c r="L1843" s="358" t="s">
        <v>232</v>
      </c>
      <c r="M1843" s="358" t="s">
        <v>233</v>
      </c>
      <c r="N1843" s="358" t="s">
        <v>234</v>
      </c>
      <c r="O1843" s="358" t="s">
        <v>235</v>
      </c>
      <c r="P1843" s="356"/>
    </row>
    <row r="1844" spans="2:20" ht="15">
      <c r="B1844" s="357"/>
      <c r="C1844" s="359"/>
      <c r="D1844" s="617"/>
      <c r="E1844" s="360"/>
      <c r="F1844" s="280"/>
      <c r="G1844" s="280"/>
      <c r="H1844" s="280"/>
      <c r="I1844" s="280"/>
      <c r="J1844" s="280"/>
      <c r="K1844" s="280"/>
      <c r="L1844" s="280"/>
      <c r="M1844" s="280"/>
      <c r="N1844" s="280"/>
      <c r="O1844" s="280"/>
      <c r="P1844" s="356"/>
    </row>
    <row r="1845" spans="2:20" ht="15">
      <c r="B1845" s="357"/>
      <c r="C1845" s="359"/>
      <c r="D1845" s="617"/>
      <c r="E1845" s="360"/>
      <c r="F1845" s="280"/>
      <c r="G1845" s="280"/>
      <c r="H1845" s="280"/>
      <c r="I1845" s="280"/>
      <c r="J1845" s="280"/>
      <c r="K1845" s="280"/>
      <c r="L1845" s="280"/>
      <c r="M1845" s="280"/>
      <c r="N1845" s="280"/>
      <c r="O1845" s="280"/>
      <c r="P1845" s="356"/>
    </row>
    <row r="1846" spans="2:20" ht="15">
      <c r="B1846" s="281"/>
      <c r="C1846" s="361"/>
      <c r="D1846" s="616"/>
      <c r="E1846" s="361"/>
      <c r="F1846" s="361"/>
      <c r="G1846" s="361"/>
      <c r="H1846" s="361"/>
      <c r="I1846" s="361"/>
      <c r="J1846" s="361"/>
      <c r="K1846" s="361"/>
      <c r="L1846" s="361"/>
      <c r="M1846" s="361"/>
      <c r="N1846" s="361"/>
      <c r="O1846" s="361"/>
      <c r="P1846" s="279"/>
    </row>
    <row r="1848" spans="2:20" ht="15">
      <c r="B1848" s="351" t="s">
        <v>602</v>
      </c>
      <c r="C1848" s="352"/>
      <c r="D1848" s="621"/>
      <c r="E1848" s="352"/>
      <c r="F1848" s="352"/>
      <c r="G1848" s="352"/>
      <c r="H1848" s="352"/>
      <c r="I1848" s="352"/>
      <c r="J1848" s="352"/>
      <c r="K1848" s="352"/>
      <c r="L1848" s="352"/>
      <c r="M1848" s="352"/>
      <c r="N1848" s="352"/>
      <c r="O1848" s="352"/>
      <c r="P1848" s="353"/>
    </row>
    <row r="1849" spans="2:20">
      <c r="B1849" s="354"/>
      <c r="C1849" s="355"/>
      <c r="D1849" s="619"/>
      <c r="E1849" s="355"/>
      <c r="F1849" s="355"/>
      <c r="G1849" s="355"/>
      <c r="H1849" s="355"/>
      <c r="I1849" s="355"/>
      <c r="J1849" s="355"/>
      <c r="K1849" s="355"/>
      <c r="L1849" s="355"/>
      <c r="M1849" s="355"/>
      <c r="N1849" s="355"/>
      <c r="O1849" s="355"/>
      <c r="P1849" s="356"/>
    </row>
    <row r="1850" spans="2:20">
      <c r="B1850" s="354"/>
      <c r="C1850" s="362"/>
      <c r="D1850" s="620"/>
      <c r="E1850" s="363"/>
      <c r="F1850" s="363"/>
      <c r="G1850" s="363"/>
      <c r="H1850" s="363"/>
      <c r="I1850" s="363"/>
      <c r="J1850" s="363"/>
      <c r="K1850" s="363"/>
      <c r="L1850" s="363"/>
      <c r="M1850" s="363"/>
      <c r="N1850" s="363"/>
      <c r="O1850" s="363"/>
      <c r="P1850" s="356"/>
    </row>
    <row r="1851" spans="2:20">
      <c r="B1851" s="354"/>
      <c r="C1851" s="355"/>
      <c r="D1851" s="619"/>
      <c r="E1851" s="355"/>
      <c r="F1851" s="355"/>
      <c r="G1851" s="355"/>
      <c r="H1851" s="355"/>
      <c r="I1851" s="355"/>
      <c r="J1851" s="355"/>
      <c r="K1851" s="355"/>
      <c r="L1851" s="355"/>
      <c r="M1851" s="355"/>
      <c r="N1851" s="355"/>
      <c r="O1851" s="355"/>
      <c r="P1851" s="356"/>
    </row>
    <row r="1852" spans="2:20" ht="15">
      <c r="B1852" s="357"/>
      <c r="C1852" s="358"/>
      <c r="D1852" s="618"/>
      <c r="E1852" s="358"/>
      <c r="F1852" s="358"/>
      <c r="G1852" s="358"/>
      <c r="H1852" s="358"/>
      <c r="I1852" s="358"/>
      <c r="J1852" s="358"/>
      <c r="K1852" s="358"/>
      <c r="L1852" s="358"/>
      <c r="M1852" s="358"/>
      <c r="N1852" s="358"/>
      <c r="O1852" s="358"/>
      <c r="P1852" s="364"/>
    </row>
    <row r="1853" spans="2:20" ht="15">
      <c r="B1853" s="357"/>
      <c r="C1853" s="359"/>
      <c r="D1853" s="617"/>
      <c r="E1853" s="360"/>
      <c r="F1853" s="369"/>
      <c r="G1853" s="369"/>
      <c r="H1853" s="369"/>
      <c r="I1853" s="369"/>
      <c r="J1853" s="369"/>
      <c r="K1853" s="369"/>
      <c r="L1853" s="369"/>
      <c r="M1853" s="369"/>
      <c r="N1853" s="369"/>
      <c r="O1853" s="369"/>
      <c r="P1853" s="364"/>
    </row>
    <row r="1854" spans="2:20" ht="15">
      <c r="B1854" s="357"/>
      <c r="C1854" s="359"/>
      <c r="D1854" s="617"/>
      <c r="E1854" s="360"/>
      <c r="F1854" s="369"/>
      <c r="G1854" s="369"/>
      <c r="H1854" s="369"/>
      <c r="I1854" s="369"/>
      <c r="J1854" s="369"/>
      <c r="K1854" s="369"/>
      <c r="L1854" s="369"/>
      <c r="M1854" s="369"/>
      <c r="N1854" s="369"/>
      <c r="O1854" s="369"/>
      <c r="P1854" s="364"/>
    </row>
    <row r="1855" spans="2:20" ht="15">
      <c r="B1855" s="357"/>
      <c r="C1855" s="359"/>
      <c r="D1855" s="617"/>
      <c r="E1855" s="360"/>
      <c r="F1855" s="369"/>
      <c r="G1855" s="369"/>
      <c r="H1855" s="369"/>
      <c r="I1855" s="369"/>
      <c r="J1855" s="369"/>
      <c r="K1855" s="369"/>
      <c r="L1855" s="369"/>
      <c r="M1855" s="369"/>
      <c r="N1855" s="369"/>
      <c r="O1855" s="369"/>
      <c r="P1855" s="364"/>
    </row>
    <row r="1856" spans="2:20" ht="15">
      <c r="B1856" s="357"/>
      <c r="C1856" s="359"/>
      <c r="D1856" s="617"/>
      <c r="E1856" s="360"/>
      <c r="F1856" s="369"/>
      <c r="G1856" s="369"/>
      <c r="H1856" s="369"/>
      <c r="I1856" s="369"/>
      <c r="J1856" s="369"/>
      <c r="K1856" s="369"/>
      <c r="L1856" s="369"/>
      <c r="M1856" s="369"/>
      <c r="N1856" s="369"/>
      <c r="O1856" s="369"/>
      <c r="P1856" s="364"/>
    </row>
    <row r="1857" spans="2:16">
      <c r="B1857" s="365"/>
      <c r="C1857" s="359"/>
      <c r="D1857" s="617"/>
      <c r="E1857" s="360"/>
      <c r="F1857" s="369"/>
      <c r="G1857" s="369"/>
      <c r="H1857" s="369"/>
      <c r="I1857" s="369"/>
      <c r="J1857" s="369"/>
      <c r="K1857" s="369"/>
      <c r="L1857" s="369"/>
      <c r="M1857" s="369"/>
      <c r="N1857" s="369"/>
      <c r="O1857" s="369"/>
      <c r="P1857" s="366"/>
    </row>
    <row r="1858" spans="2:16">
      <c r="B1858" s="365"/>
      <c r="C1858" s="359"/>
      <c r="D1858" s="617"/>
      <c r="E1858" s="360"/>
      <c r="F1858" s="369"/>
      <c r="G1858" s="369"/>
      <c r="H1858" s="369"/>
      <c r="I1858" s="369"/>
      <c r="J1858" s="369"/>
      <c r="K1858" s="369"/>
      <c r="L1858" s="369"/>
      <c r="M1858" s="369"/>
      <c r="N1858" s="369"/>
      <c r="O1858" s="369"/>
      <c r="P1858" s="366"/>
    </row>
    <row r="1859" spans="2:16">
      <c r="B1859" s="367"/>
      <c r="C1859" s="361"/>
      <c r="D1859" s="616"/>
      <c r="E1859" s="361"/>
      <c r="F1859" s="361"/>
      <c r="G1859" s="361"/>
      <c r="H1859" s="361"/>
      <c r="I1859" s="361"/>
      <c r="J1859" s="361"/>
      <c r="K1859" s="361"/>
      <c r="L1859" s="361"/>
      <c r="M1859" s="361"/>
      <c r="N1859" s="361"/>
      <c r="O1859" s="361"/>
      <c r="P1859" s="368"/>
    </row>
    <row r="1862" spans="2:16">
      <c r="F1862" s="173"/>
      <c r="G1862" s="173"/>
      <c r="H1862" s="173"/>
      <c r="I1862" s="173"/>
      <c r="J1862" s="173"/>
      <c r="K1862" s="173"/>
      <c r="L1862" s="173"/>
      <c r="M1862" s="173"/>
      <c r="N1862" s="173"/>
      <c r="O1862" s="173"/>
    </row>
    <row r="1863" spans="2:16">
      <c r="F1863" s="173"/>
      <c r="G1863" s="173"/>
      <c r="H1863" s="173"/>
      <c r="I1863" s="173"/>
      <c r="J1863" s="173"/>
      <c r="K1863" s="173"/>
      <c r="L1863" s="173"/>
      <c r="M1863" s="173"/>
      <c r="N1863" s="173"/>
      <c r="O1863" s="173"/>
    </row>
    <row r="1864" spans="2:16">
      <c r="F1864" s="285"/>
      <c r="G1864" s="285"/>
      <c r="H1864" s="285"/>
      <c r="I1864" s="285"/>
      <c r="J1864" s="285"/>
      <c r="K1864" s="285"/>
      <c r="L1864" s="285"/>
      <c r="M1864" s="285"/>
      <c r="N1864" s="285"/>
      <c r="O1864" s="285"/>
    </row>
    <row r="1865" spans="2:16">
      <c r="F1865" s="173"/>
      <c r="G1865" s="173"/>
      <c r="H1865" s="173"/>
      <c r="I1865" s="173"/>
      <c r="J1865" s="173"/>
      <c r="K1865" s="173"/>
      <c r="L1865" s="173"/>
      <c r="M1865" s="173"/>
      <c r="N1865" s="173"/>
      <c r="O1865" s="173"/>
    </row>
    <row r="1866" spans="2:16">
      <c r="F1866" s="285"/>
      <c r="G1866" s="285"/>
      <c r="H1866" s="285"/>
      <c r="I1866" s="285"/>
      <c r="J1866" s="285"/>
      <c r="K1866" s="285"/>
      <c r="L1866" s="285"/>
      <c r="M1866" s="285"/>
      <c r="N1866" s="285"/>
      <c r="O1866" s="285"/>
    </row>
    <row r="1869" spans="2:16">
      <c r="F1869" s="285"/>
      <c r="G1869" s="285"/>
      <c r="H1869" s="285"/>
      <c r="I1869" s="285"/>
      <c r="J1869" s="285"/>
      <c r="K1869" s="285"/>
      <c r="L1869" s="285"/>
      <c r="M1869" s="285"/>
      <c r="N1869" s="285"/>
      <c r="O1869" s="285"/>
    </row>
    <row r="1870" spans="2:16">
      <c r="F1870" s="285"/>
      <c r="G1870" s="285"/>
      <c r="H1870" s="285"/>
      <c r="I1870" s="285"/>
      <c r="J1870" s="285"/>
      <c r="K1870" s="285"/>
      <c r="L1870" s="285"/>
      <c r="M1870" s="285"/>
      <c r="N1870" s="285"/>
      <c r="O1870" s="285"/>
    </row>
    <row r="1871" spans="2:16">
      <c r="F1871" s="285"/>
      <c r="G1871" s="285"/>
      <c r="H1871" s="285"/>
      <c r="I1871" s="285"/>
      <c r="J1871" s="285"/>
      <c r="K1871" s="285"/>
      <c r="L1871" s="285"/>
      <c r="M1871" s="285"/>
      <c r="N1871" s="285"/>
      <c r="O1871" s="285"/>
    </row>
    <row r="1872" spans="2:16">
      <c r="F1872" s="285"/>
      <c r="G1872" s="285"/>
      <c r="H1872" s="285"/>
      <c r="I1872" s="285"/>
      <c r="J1872" s="285"/>
      <c r="K1872" s="285"/>
      <c r="L1872" s="285"/>
      <c r="M1872" s="285"/>
      <c r="N1872" s="285"/>
      <c r="O1872" s="285"/>
    </row>
    <row r="1873" spans="6:15">
      <c r="F1873" s="285"/>
      <c r="G1873" s="285"/>
      <c r="H1873" s="285"/>
      <c r="I1873" s="285"/>
      <c r="J1873" s="285"/>
      <c r="K1873" s="285"/>
      <c r="L1873" s="285"/>
      <c r="M1873" s="285"/>
      <c r="N1873" s="285"/>
      <c r="O1873" s="285"/>
    </row>
    <row r="1874" spans="6:15">
      <c r="F1874" s="285"/>
      <c r="G1874" s="285"/>
      <c r="H1874" s="285"/>
      <c r="I1874" s="285"/>
      <c r="J1874" s="285"/>
      <c r="K1874" s="285"/>
      <c r="L1874" s="285"/>
      <c r="M1874" s="285"/>
      <c r="N1874" s="285"/>
      <c r="O1874" s="285"/>
    </row>
    <row r="1877" spans="6:15">
      <c r="F1877" s="173"/>
      <c r="G1877" s="173"/>
      <c r="H1877" s="173"/>
      <c r="I1877" s="173"/>
      <c r="J1877" s="173"/>
      <c r="K1877" s="173"/>
      <c r="L1877" s="173"/>
      <c r="M1877" s="173"/>
      <c r="N1877" s="173"/>
      <c r="O1877" s="173"/>
    </row>
    <row r="1878" spans="6:15">
      <c r="F1878" s="173"/>
      <c r="G1878" s="173"/>
      <c r="H1878" s="173"/>
      <c r="I1878" s="173"/>
      <c r="J1878" s="173"/>
      <c r="K1878" s="173"/>
      <c r="L1878" s="173"/>
      <c r="M1878" s="173"/>
      <c r="N1878" s="173"/>
      <c r="O1878" s="173"/>
    </row>
  </sheetData>
  <mergeCells count="1">
    <mergeCell ref="F387:G387"/>
  </mergeCells>
  <dataValidations disablePrompts="1" count="3">
    <dataValidation type="list" allowBlank="1" showInputMessage="1" showErrorMessage="1" sqref="C20:C28">
      <formula1>IND.Sector_ID</formula1>
    </dataValidation>
    <dataValidation type="list" allowBlank="1" showInputMessage="1" showErrorMessage="1" sqref="G102 D1019:D1020 M618:O618 G163 G181:G183 G176 G149:G151 D1016 G155 D1035 D1026 D1029 D1032 D1038 D1023 E33:E40 G124 E297:E299 E225:E227 E230:E231 E236:E238 E241 E246:E248 E251 E256:E258 E261 E266:E268 E271 E276:E278 E281 E286:E288 E291 E219 E222 E294 E421 E431 E441:E444 G133 G118:G120 G168:G170 M544:O544 D1111:D1112 D1115 D1121:D1122 D1125 D1131:D1132 D1135 D1141:D1142 D1145 D1151:D1152 D1155 D1161:D1162 D1165 D1171:D1172 D1175 D1181:D1182 D1185 D1205:D1206 D1209 D1215:D1216 D1219 D1225:D1226 D1229 D1235:D1236 D1239 D1245:D1246 D1249 D1255:D1256 D1259 D1265:D1266 D1269 D1275:D1276 D1279 D1299:D1300 D1303 D1309:D1310 D1313 D1319:D1320 D1323 D1329:D1330 D1333 D1339:D1340 D1343 D1349:D1350 D1353 D1359:D1360 D1363 D1369:D1370 D1373 D1432:D1433 D1436 D1442:D1443 D1446 D1452:D1453 D1456 D1462:D1463 D1466 D1472:D1473 D1476 D1482:D1483 D1486 D1492:D1493 D1496 D1502:D1503 D1506 D1527:D1528 D1531 D1537:D1538 D1541 D1547:D1548 D1551 D1557:D1558 D1561 D1567:D1568 D1571 D1577:D1578 D1581 D1587:D1588 D1591 D1597:D1598 D1601 D1621:D1622 D1625 D1631:D1632 D1635 D1641:D1642 D1645 D1651:D1652 D1655 D1661:D1662 D1665 D1671:D1672 D1675 D1681:D1682 D1685 D1691:D1692 D1695 F50:N50 G205 G210:G212 G532 G537:G539">
      <formula1>SATIM_fuel_codes</formula1>
    </dataValidation>
    <dataValidation type="list" allowBlank="1" showInputMessage="1" showErrorMessage="1" sqref="E102 E155 E181:E183 E149:E151 E124 E133 E118:E120 E168:E170 E210:E212 E537:E539">
      <formula1>IND.Sectors_Demand</formula1>
    </dataValidation>
  </dataValidations>
  <pageMargins left="0.7" right="0.7" top="0.75" bottom="0.75" header="0.3" footer="0.3"/>
  <pageSetup paperSize="9" orientation="portrait"/>
  <drawing r:id="rId1"/>
  <legacyDrawing r:id="rId2"/>
  <tableParts count="5">
    <tablePart r:id="rId3"/>
    <tablePart r:id="rId4"/>
    <tablePart r:id="rId5"/>
    <tablePart r:id="rId6"/>
    <tablePart r:id="rId7"/>
  </tableParts>
  <extLst>
    <ext xmlns:mx="http://schemas.microsoft.com/office/mac/excel/2008/main" uri="{64002731-A6B0-56B0-2670-7721B7C09600}">
      <mx:PLV Mode="0" OnePage="0" WScale="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7"/>
  <sheetViews>
    <sheetView workbookViewId="0">
      <selection activeCell="B38" sqref="B38"/>
    </sheetView>
    <sheetView workbookViewId="1"/>
  </sheetViews>
  <sheetFormatPr baseColWidth="10" defaultColWidth="8.83203125" defaultRowHeight="13" x14ac:dyDescent="0"/>
  <cols>
    <col min="1" max="1" width="15" customWidth="1"/>
    <col min="2" max="2" width="21.5" style="1456" customWidth="1"/>
    <col min="3" max="3" width="18.5" customWidth="1"/>
    <col min="4" max="4" width="18.33203125" customWidth="1"/>
  </cols>
  <sheetData>
    <row r="1" spans="1:4" s="1456" customFormat="1" ht="14" thickBot="1"/>
    <row r="2" spans="1:4" s="1456" customFormat="1" ht="27.75" customHeight="1" thickTop="1" thickBot="1">
      <c r="A2" s="1690" t="s">
        <v>2553</v>
      </c>
      <c r="B2" s="1691" t="s">
        <v>2571</v>
      </c>
      <c r="C2" s="1690" t="s">
        <v>2533</v>
      </c>
    </row>
    <row r="3" spans="1:4" s="1456" customFormat="1" ht="14" thickTop="1">
      <c r="A3" s="1456" t="s">
        <v>2531</v>
      </c>
      <c r="B3" s="1456" t="s">
        <v>2579</v>
      </c>
      <c r="C3" s="1456" t="s">
        <v>2532</v>
      </c>
    </row>
    <row r="4" spans="1:4" s="1456" customFormat="1">
      <c r="A4" s="1456" t="s">
        <v>2527</v>
      </c>
      <c r="B4" s="1456" t="s">
        <v>1891</v>
      </c>
      <c r="C4" s="1456" t="s">
        <v>2554</v>
      </c>
    </row>
    <row r="5" spans="1:4">
      <c r="B5" s="1456" t="s">
        <v>1891</v>
      </c>
    </row>
    <row r="6" spans="1:4">
      <c r="A6" t="s">
        <v>2518</v>
      </c>
      <c r="B6" s="1456" t="s">
        <v>1891</v>
      </c>
      <c r="C6" t="s">
        <v>2520</v>
      </c>
    </row>
    <row r="7" spans="1:4">
      <c r="A7" t="s">
        <v>2527</v>
      </c>
      <c r="B7" s="1456" t="s">
        <v>1891</v>
      </c>
      <c r="C7" t="s">
        <v>2552</v>
      </c>
    </row>
    <row r="8" spans="1:4" s="1456" customFormat="1">
      <c r="A8" s="1456" t="s">
        <v>2557</v>
      </c>
      <c r="B8" s="1456" t="s">
        <v>1891</v>
      </c>
      <c r="C8" s="410" t="s">
        <v>2529</v>
      </c>
    </row>
    <row r="9" spans="1:4" s="1456" customFormat="1">
      <c r="A9" s="1456" t="s">
        <v>2558</v>
      </c>
      <c r="B9" s="1456" t="s">
        <v>1891</v>
      </c>
      <c r="C9" s="1456" t="s">
        <v>2559</v>
      </c>
    </row>
    <row r="10" spans="1:4">
      <c r="A10" s="1662" t="s">
        <v>88</v>
      </c>
      <c r="B10" s="1456" t="s">
        <v>1891</v>
      </c>
      <c r="C10" t="s">
        <v>2539</v>
      </c>
      <c r="D10" s="1456"/>
    </row>
    <row r="11" spans="1:4">
      <c r="A11" s="1662" t="s">
        <v>94</v>
      </c>
      <c r="B11" s="1456" t="s">
        <v>1891</v>
      </c>
      <c r="C11" t="s">
        <v>2540</v>
      </c>
      <c r="D11" s="1456"/>
    </row>
    <row r="12" spans="1:4">
      <c r="A12" s="1662" t="s">
        <v>95</v>
      </c>
      <c r="B12" s="1456" t="s">
        <v>1891</v>
      </c>
      <c r="C12" t="s">
        <v>2541</v>
      </c>
      <c r="D12" s="1456"/>
    </row>
    <row r="13" spans="1:4">
      <c r="A13" s="1679" t="s">
        <v>161</v>
      </c>
      <c r="B13" s="1456" t="s">
        <v>1891</v>
      </c>
      <c r="C13" t="s">
        <v>2542</v>
      </c>
    </row>
    <row r="14" spans="1:4">
      <c r="A14" s="1680" t="s">
        <v>165</v>
      </c>
      <c r="B14" s="1456" t="s">
        <v>1891</v>
      </c>
      <c r="C14" t="s">
        <v>2543</v>
      </c>
    </row>
    <row r="15" spans="1:4">
      <c r="A15" s="1682" t="s">
        <v>2535</v>
      </c>
      <c r="B15" s="1456" t="s">
        <v>1891</v>
      </c>
      <c r="C15" t="s">
        <v>2519</v>
      </c>
    </row>
    <row r="16" spans="1:4" s="1456" customFormat="1">
      <c r="A16" s="1682" t="s">
        <v>2537</v>
      </c>
      <c r="B16" s="1456" t="s">
        <v>1891</v>
      </c>
      <c r="C16" s="1456" t="s">
        <v>2534</v>
      </c>
    </row>
    <row r="17" spans="1:8" s="1456" customFormat="1">
      <c r="A17" s="1682" t="s">
        <v>2538</v>
      </c>
      <c r="B17" s="1456" t="s">
        <v>1891</v>
      </c>
      <c r="C17" s="1592" t="s">
        <v>2536</v>
      </c>
    </row>
    <row r="18" spans="1:8" s="1456" customFormat="1">
      <c r="A18" s="1682" t="s">
        <v>2544</v>
      </c>
      <c r="B18" s="1456" t="s">
        <v>1891</v>
      </c>
      <c r="C18" s="1681" t="s">
        <v>2530</v>
      </c>
    </row>
    <row r="19" spans="1:8" s="1456" customFormat="1">
      <c r="A19" s="1682" t="s">
        <v>2545</v>
      </c>
      <c r="B19" s="1456" t="s">
        <v>1891</v>
      </c>
      <c r="C19" s="1456" t="s">
        <v>2528</v>
      </c>
    </row>
    <row r="20" spans="1:8" s="1456" customFormat="1">
      <c r="A20" s="1683" t="s">
        <v>2546</v>
      </c>
      <c r="B20" s="1456" t="s">
        <v>1891</v>
      </c>
      <c r="C20" s="1663" t="s">
        <v>2513</v>
      </c>
    </row>
    <row r="21" spans="1:8" s="1456" customFormat="1">
      <c r="A21" s="1682" t="s">
        <v>2547</v>
      </c>
      <c r="B21" s="1456" t="s">
        <v>1891</v>
      </c>
      <c r="C21" s="1592" t="s">
        <v>2570</v>
      </c>
    </row>
    <row r="22" spans="1:8" s="1456" customFormat="1">
      <c r="A22" s="1682" t="s">
        <v>2548</v>
      </c>
      <c r="B22" s="1456" t="s">
        <v>1891</v>
      </c>
      <c r="C22" s="1689" t="s">
        <v>2560</v>
      </c>
    </row>
    <row r="23" spans="1:8" s="1456" customFormat="1">
      <c r="A23" s="1682" t="s">
        <v>2549</v>
      </c>
      <c r="B23" s="1456" t="s">
        <v>1891</v>
      </c>
      <c r="C23" s="1456" t="s">
        <v>2555</v>
      </c>
    </row>
    <row r="24" spans="1:8" s="1456" customFormat="1">
      <c r="A24" s="1682" t="s">
        <v>2550</v>
      </c>
      <c r="B24" s="1456" t="s">
        <v>1891</v>
      </c>
      <c r="C24" s="1689" t="s">
        <v>2561</v>
      </c>
    </row>
    <row r="25" spans="1:8" s="1456" customFormat="1">
      <c r="A25" s="1682" t="s">
        <v>2551</v>
      </c>
      <c r="B25" s="1456" t="s">
        <v>1891</v>
      </c>
      <c r="C25" s="1689" t="s">
        <v>2562</v>
      </c>
    </row>
    <row r="26" spans="1:8" s="1456" customFormat="1">
      <c r="A26" s="1683" t="s">
        <v>2556</v>
      </c>
      <c r="B26" s="1456" t="s">
        <v>1891</v>
      </c>
      <c r="C26" s="1689" t="s">
        <v>2563</v>
      </c>
      <c r="D26" s="971"/>
      <c r="E26" s="971"/>
      <c r="F26" s="970"/>
      <c r="G26" s="969"/>
      <c r="H26" s="969"/>
    </row>
    <row r="27" spans="1:8" s="1456" customFormat="1">
      <c r="A27" s="1683" t="s">
        <v>2572</v>
      </c>
      <c r="B27" s="1456" t="s">
        <v>1891</v>
      </c>
      <c r="C27" s="1689" t="s">
        <v>2564</v>
      </c>
    </row>
    <row r="28" spans="1:8" s="1456" customFormat="1">
      <c r="A28" s="1683" t="s">
        <v>2573</v>
      </c>
      <c r="B28" s="1456" t="s">
        <v>1891</v>
      </c>
      <c r="C28" s="1689" t="s">
        <v>2565</v>
      </c>
    </row>
    <row r="29" spans="1:8" s="165" customFormat="1">
      <c r="A29" s="1683" t="s">
        <v>2574</v>
      </c>
      <c r="B29" s="1456" t="s">
        <v>1891</v>
      </c>
      <c r="C29" s="1689" t="s">
        <v>2566</v>
      </c>
      <c r="D29" s="1685"/>
    </row>
    <row r="30" spans="1:8" s="165" customFormat="1">
      <c r="A30" s="1683" t="s">
        <v>2575</v>
      </c>
      <c r="B30" s="1456" t="s">
        <v>1891</v>
      </c>
      <c r="C30" s="1689" t="s">
        <v>2567</v>
      </c>
      <c r="D30" s="1685"/>
    </row>
    <row r="31" spans="1:8" s="165" customFormat="1">
      <c r="A31" s="1683" t="s">
        <v>2576</v>
      </c>
      <c r="B31" s="1456" t="s">
        <v>1891</v>
      </c>
      <c r="C31" s="1689" t="s">
        <v>2568</v>
      </c>
      <c r="D31" s="1685"/>
    </row>
    <row r="32" spans="1:8" s="165" customFormat="1">
      <c r="A32" s="1683" t="s">
        <v>2577</v>
      </c>
      <c r="B32" s="1456" t="s">
        <v>1891</v>
      </c>
      <c r="C32" s="1688" t="s">
        <v>2569</v>
      </c>
      <c r="D32" s="1686"/>
    </row>
    <row r="33" spans="1:4" s="165" customFormat="1">
      <c r="A33" s="1684" t="s">
        <v>2578</v>
      </c>
      <c r="B33" s="1456" t="s">
        <v>1891</v>
      </c>
      <c r="C33" s="1663" t="s">
        <v>2514</v>
      </c>
      <c r="D33" s="1685"/>
    </row>
    <row r="34" spans="1:4" s="165" customFormat="1">
      <c r="A34" s="1692" t="s">
        <v>2580</v>
      </c>
      <c r="B34" s="1684"/>
      <c r="D34" s="1685"/>
    </row>
    <row r="35" spans="1:4" s="165" customFormat="1">
      <c r="A35" s="1684"/>
      <c r="B35" s="1684"/>
      <c r="D35" s="1686"/>
    </row>
    <row r="36" spans="1:4" s="165" customFormat="1">
      <c r="A36" s="1684"/>
      <c r="B36" s="1684"/>
      <c r="D36" s="1686"/>
    </row>
    <row r="37" spans="1:4" s="165" customFormat="1">
      <c r="A37" s="1684"/>
      <c r="B37" s="1684"/>
    </row>
    <row r="38" spans="1:4" s="165" customFormat="1">
      <c r="A38" s="1684"/>
      <c r="B38" s="1684"/>
      <c r="C38" s="1689"/>
    </row>
    <row r="39" spans="1:4" s="165" customFormat="1">
      <c r="A39" s="1684"/>
      <c r="B39" s="1684"/>
    </row>
    <row r="40" spans="1:4" s="1456" customFormat="1"/>
    <row r="41" spans="1:4" s="165" customFormat="1"/>
    <row r="42" spans="1:4" s="165" customFormat="1">
      <c r="A42" s="1684"/>
      <c r="B42" s="1684"/>
      <c r="C42" s="1689"/>
    </row>
    <row r="43" spans="1:4" s="165" customFormat="1"/>
    <row r="44" spans="1:4" s="165" customFormat="1">
      <c r="C44" s="1689"/>
    </row>
    <row r="45" spans="1:4" s="165" customFormat="1">
      <c r="C45" s="1689"/>
    </row>
    <row r="46" spans="1:4" s="165" customFormat="1"/>
    <row r="47" spans="1:4" s="165" customFormat="1">
      <c r="A47" s="1687"/>
      <c r="B47" s="1687"/>
    </row>
    <row r="48" spans="1:4" s="165" customFormat="1">
      <c r="A48" s="1687"/>
      <c r="B48" s="1687"/>
    </row>
    <row r="49" spans="1:3" s="165" customFormat="1">
      <c r="A49" s="1687"/>
      <c r="B49" s="1687"/>
    </row>
    <row r="50" spans="1:3" s="165" customFormat="1">
      <c r="C50"/>
    </row>
    <row r="54" spans="1:3">
      <c r="C54" s="1689"/>
    </row>
    <row r="56" spans="1:3">
      <c r="C56" s="1688"/>
    </row>
    <row r="57" spans="1:3">
      <c r="C57" s="1688"/>
    </row>
  </sheetData>
  <hyperlinks>
    <hyperlink ref="C20" r:id="rId1" display="http://www.enatis.com/index.php/statistics/13-live-vehicle-population"/>
    <hyperlink ref="C33" r:id="rId2"/>
    <hyperlink ref="C18" r:id="rId3"/>
    <hyperlink ref="C17" r:id="rId4"/>
    <hyperlink ref="C21" r:id="rId5"/>
  </hyperlinks>
  <pageMargins left="0.7" right="0.7" top="0.75" bottom="0.75" header="0.3" footer="0.3"/>
  <extLst>
    <ext xmlns:mx="http://schemas.microsoft.com/office/mac/excel/2008/main" uri="{64002731-A6B0-56B0-2670-7721B7C09600}">
      <mx:PLV Mode="0" OnePage="0" WScale="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enableFormatConditionsCalculation="0"/>
  <dimension ref="A2:AI130"/>
  <sheetViews>
    <sheetView tabSelected="1" topLeftCell="B1" workbookViewId="0">
      <pane xSplit="2" ySplit="4" topLeftCell="Q26" activePane="bottomRight" state="frozen"/>
      <selection activeCell="D116" sqref="D116"/>
      <selection pane="topRight" activeCell="D116" sqref="D116"/>
      <selection pane="bottomLeft" activeCell="D116" sqref="D116"/>
      <selection pane="bottomRight" activeCell="T42" sqref="T42"/>
    </sheetView>
    <sheetView workbookViewId="1"/>
  </sheetViews>
  <sheetFormatPr baseColWidth="10" defaultColWidth="8.83203125" defaultRowHeight="13" x14ac:dyDescent="0"/>
  <cols>
    <col min="1" max="1" width="8.83203125" style="1315"/>
    <col min="2" max="2" width="14.6640625" style="1315" customWidth="1"/>
    <col min="3" max="3" width="35.83203125" style="1315" customWidth="1"/>
    <col min="4" max="4" width="12" style="1315" customWidth="1"/>
    <col min="5" max="29" width="11.5" style="1315" bestFit="1" customWidth="1"/>
    <col min="30" max="258" width="8.83203125" style="1315"/>
    <col min="259" max="259" width="35.83203125" style="1315" customWidth="1"/>
    <col min="260" max="260" width="12" style="1315" customWidth="1"/>
    <col min="261" max="285" width="11.5" style="1315" bestFit="1" customWidth="1"/>
    <col min="286" max="514" width="8.83203125" style="1315"/>
    <col min="515" max="515" width="35.83203125" style="1315" customWidth="1"/>
    <col min="516" max="516" width="12" style="1315" customWidth="1"/>
    <col min="517" max="541" width="11.5" style="1315" bestFit="1" customWidth="1"/>
    <col min="542" max="770" width="8.83203125" style="1315"/>
    <col min="771" max="771" width="35.83203125" style="1315" customWidth="1"/>
    <col min="772" max="772" width="12" style="1315" customWidth="1"/>
    <col min="773" max="797" width="11.5" style="1315" bestFit="1" customWidth="1"/>
    <col min="798" max="1026" width="8.83203125" style="1315"/>
    <col min="1027" max="1027" width="35.83203125" style="1315" customWidth="1"/>
    <col min="1028" max="1028" width="12" style="1315" customWidth="1"/>
    <col min="1029" max="1053" width="11.5" style="1315" bestFit="1" customWidth="1"/>
    <col min="1054" max="1282" width="8.83203125" style="1315"/>
    <col min="1283" max="1283" width="35.83203125" style="1315" customWidth="1"/>
    <col min="1284" max="1284" width="12" style="1315" customWidth="1"/>
    <col min="1285" max="1309" width="11.5" style="1315" bestFit="1" customWidth="1"/>
    <col min="1310" max="1538" width="8.83203125" style="1315"/>
    <col min="1539" max="1539" width="35.83203125" style="1315" customWidth="1"/>
    <col min="1540" max="1540" width="12" style="1315" customWidth="1"/>
    <col min="1541" max="1565" width="11.5" style="1315" bestFit="1" customWidth="1"/>
    <col min="1566" max="1794" width="8.83203125" style="1315"/>
    <col min="1795" max="1795" width="35.83203125" style="1315" customWidth="1"/>
    <col min="1796" max="1796" width="12" style="1315" customWidth="1"/>
    <col min="1797" max="1821" width="11.5" style="1315" bestFit="1" customWidth="1"/>
    <col min="1822" max="2050" width="8.83203125" style="1315"/>
    <col min="2051" max="2051" width="35.83203125" style="1315" customWidth="1"/>
    <col min="2052" max="2052" width="12" style="1315" customWidth="1"/>
    <col min="2053" max="2077" width="11.5" style="1315" bestFit="1" customWidth="1"/>
    <col min="2078" max="2306" width="8.83203125" style="1315"/>
    <col min="2307" max="2307" width="35.83203125" style="1315" customWidth="1"/>
    <col min="2308" max="2308" width="12" style="1315" customWidth="1"/>
    <col min="2309" max="2333" width="11.5" style="1315" bestFit="1" customWidth="1"/>
    <col min="2334" max="2562" width="8.83203125" style="1315"/>
    <col min="2563" max="2563" width="35.83203125" style="1315" customWidth="1"/>
    <col min="2564" max="2564" width="12" style="1315" customWidth="1"/>
    <col min="2565" max="2589" width="11.5" style="1315" bestFit="1" customWidth="1"/>
    <col min="2590" max="2818" width="8.83203125" style="1315"/>
    <col min="2819" max="2819" width="35.83203125" style="1315" customWidth="1"/>
    <col min="2820" max="2820" width="12" style="1315" customWidth="1"/>
    <col min="2821" max="2845" width="11.5" style="1315" bestFit="1" customWidth="1"/>
    <col min="2846" max="3074" width="8.83203125" style="1315"/>
    <col min="3075" max="3075" width="35.83203125" style="1315" customWidth="1"/>
    <col min="3076" max="3076" width="12" style="1315" customWidth="1"/>
    <col min="3077" max="3101" width="11.5" style="1315" bestFit="1" customWidth="1"/>
    <col min="3102" max="3330" width="8.83203125" style="1315"/>
    <col min="3331" max="3331" width="35.83203125" style="1315" customWidth="1"/>
    <col min="3332" max="3332" width="12" style="1315" customWidth="1"/>
    <col min="3333" max="3357" width="11.5" style="1315" bestFit="1" customWidth="1"/>
    <col min="3358" max="3586" width="8.83203125" style="1315"/>
    <col min="3587" max="3587" width="35.83203125" style="1315" customWidth="1"/>
    <col min="3588" max="3588" width="12" style="1315" customWidth="1"/>
    <col min="3589" max="3613" width="11.5" style="1315" bestFit="1" customWidth="1"/>
    <col min="3614" max="3842" width="8.83203125" style="1315"/>
    <col min="3843" max="3843" width="35.83203125" style="1315" customWidth="1"/>
    <col min="3844" max="3844" width="12" style="1315" customWidth="1"/>
    <col min="3845" max="3869" width="11.5" style="1315" bestFit="1" customWidth="1"/>
    <col min="3870" max="4098" width="8.83203125" style="1315"/>
    <col min="4099" max="4099" width="35.83203125" style="1315" customWidth="1"/>
    <col min="4100" max="4100" width="12" style="1315" customWidth="1"/>
    <col min="4101" max="4125" width="11.5" style="1315" bestFit="1" customWidth="1"/>
    <col min="4126" max="4354" width="8.83203125" style="1315"/>
    <col min="4355" max="4355" width="35.83203125" style="1315" customWidth="1"/>
    <col min="4356" max="4356" width="12" style="1315" customWidth="1"/>
    <col min="4357" max="4381" width="11.5" style="1315" bestFit="1" customWidth="1"/>
    <col min="4382" max="4610" width="8.83203125" style="1315"/>
    <col min="4611" max="4611" width="35.83203125" style="1315" customWidth="1"/>
    <col min="4612" max="4612" width="12" style="1315" customWidth="1"/>
    <col min="4613" max="4637" width="11.5" style="1315" bestFit="1" customWidth="1"/>
    <col min="4638" max="4866" width="8.83203125" style="1315"/>
    <col min="4867" max="4867" width="35.83203125" style="1315" customWidth="1"/>
    <col min="4868" max="4868" width="12" style="1315" customWidth="1"/>
    <col min="4869" max="4893" width="11.5" style="1315" bestFit="1" customWidth="1"/>
    <col min="4894" max="5122" width="8.83203125" style="1315"/>
    <col min="5123" max="5123" width="35.83203125" style="1315" customWidth="1"/>
    <col min="5124" max="5124" width="12" style="1315" customWidth="1"/>
    <col min="5125" max="5149" width="11.5" style="1315" bestFit="1" customWidth="1"/>
    <col min="5150" max="5378" width="8.83203125" style="1315"/>
    <col min="5379" max="5379" width="35.83203125" style="1315" customWidth="1"/>
    <col min="5380" max="5380" width="12" style="1315" customWidth="1"/>
    <col min="5381" max="5405" width="11.5" style="1315" bestFit="1" customWidth="1"/>
    <col min="5406" max="5634" width="8.83203125" style="1315"/>
    <col min="5635" max="5635" width="35.83203125" style="1315" customWidth="1"/>
    <col min="5636" max="5636" width="12" style="1315" customWidth="1"/>
    <col min="5637" max="5661" width="11.5" style="1315" bestFit="1" customWidth="1"/>
    <col min="5662" max="5890" width="8.83203125" style="1315"/>
    <col min="5891" max="5891" width="35.83203125" style="1315" customWidth="1"/>
    <col min="5892" max="5892" width="12" style="1315" customWidth="1"/>
    <col min="5893" max="5917" width="11.5" style="1315" bestFit="1" customWidth="1"/>
    <col min="5918" max="6146" width="8.83203125" style="1315"/>
    <col min="6147" max="6147" width="35.83203125" style="1315" customWidth="1"/>
    <col min="6148" max="6148" width="12" style="1315" customWidth="1"/>
    <col min="6149" max="6173" width="11.5" style="1315" bestFit="1" customWidth="1"/>
    <col min="6174" max="6402" width="8.83203125" style="1315"/>
    <col min="6403" max="6403" width="35.83203125" style="1315" customWidth="1"/>
    <col min="6404" max="6404" width="12" style="1315" customWidth="1"/>
    <col min="6405" max="6429" width="11.5" style="1315" bestFit="1" customWidth="1"/>
    <col min="6430" max="6658" width="8.83203125" style="1315"/>
    <col min="6659" max="6659" width="35.83203125" style="1315" customWidth="1"/>
    <col min="6660" max="6660" width="12" style="1315" customWidth="1"/>
    <col min="6661" max="6685" width="11.5" style="1315" bestFit="1" customWidth="1"/>
    <col min="6686" max="6914" width="8.83203125" style="1315"/>
    <col min="6915" max="6915" width="35.83203125" style="1315" customWidth="1"/>
    <col min="6916" max="6916" width="12" style="1315" customWidth="1"/>
    <col min="6917" max="6941" width="11.5" style="1315" bestFit="1" customWidth="1"/>
    <col min="6942" max="7170" width="8.83203125" style="1315"/>
    <col min="7171" max="7171" width="35.83203125" style="1315" customWidth="1"/>
    <col min="7172" max="7172" width="12" style="1315" customWidth="1"/>
    <col min="7173" max="7197" width="11.5" style="1315" bestFit="1" customWidth="1"/>
    <col min="7198" max="7426" width="8.83203125" style="1315"/>
    <col min="7427" max="7427" width="35.83203125" style="1315" customWidth="1"/>
    <col min="7428" max="7428" width="12" style="1315" customWidth="1"/>
    <col min="7429" max="7453" width="11.5" style="1315" bestFit="1" customWidth="1"/>
    <col min="7454" max="7682" width="8.83203125" style="1315"/>
    <col min="7683" max="7683" width="35.83203125" style="1315" customWidth="1"/>
    <col min="7684" max="7684" width="12" style="1315" customWidth="1"/>
    <col min="7685" max="7709" width="11.5" style="1315" bestFit="1" customWidth="1"/>
    <col min="7710" max="7938" width="8.83203125" style="1315"/>
    <col min="7939" max="7939" width="35.83203125" style="1315" customWidth="1"/>
    <col min="7940" max="7940" width="12" style="1315" customWidth="1"/>
    <col min="7941" max="7965" width="11.5" style="1315" bestFit="1" customWidth="1"/>
    <col min="7966" max="8194" width="8.83203125" style="1315"/>
    <col min="8195" max="8195" width="35.83203125" style="1315" customWidth="1"/>
    <col min="8196" max="8196" width="12" style="1315" customWidth="1"/>
    <col min="8197" max="8221" width="11.5" style="1315" bestFit="1" customWidth="1"/>
    <col min="8222" max="8450" width="8.83203125" style="1315"/>
    <col min="8451" max="8451" width="35.83203125" style="1315" customWidth="1"/>
    <col min="8452" max="8452" width="12" style="1315" customWidth="1"/>
    <col min="8453" max="8477" width="11.5" style="1315" bestFit="1" customWidth="1"/>
    <col min="8478" max="8706" width="8.83203125" style="1315"/>
    <col min="8707" max="8707" width="35.83203125" style="1315" customWidth="1"/>
    <col min="8708" max="8708" width="12" style="1315" customWidth="1"/>
    <col min="8709" max="8733" width="11.5" style="1315" bestFit="1" customWidth="1"/>
    <col min="8734" max="8962" width="8.83203125" style="1315"/>
    <col min="8963" max="8963" width="35.83203125" style="1315" customWidth="1"/>
    <col min="8964" max="8964" width="12" style="1315" customWidth="1"/>
    <col min="8965" max="8989" width="11.5" style="1315" bestFit="1" customWidth="1"/>
    <col min="8990" max="9218" width="8.83203125" style="1315"/>
    <col min="9219" max="9219" width="35.83203125" style="1315" customWidth="1"/>
    <col min="9220" max="9220" width="12" style="1315" customWidth="1"/>
    <col min="9221" max="9245" width="11.5" style="1315" bestFit="1" customWidth="1"/>
    <col min="9246" max="9474" width="8.83203125" style="1315"/>
    <col min="9475" max="9475" width="35.83203125" style="1315" customWidth="1"/>
    <col min="9476" max="9476" width="12" style="1315" customWidth="1"/>
    <col min="9477" max="9501" width="11.5" style="1315" bestFit="1" customWidth="1"/>
    <col min="9502" max="9730" width="8.83203125" style="1315"/>
    <col min="9731" max="9731" width="35.83203125" style="1315" customWidth="1"/>
    <col min="9732" max="9732" width="12" style="1315" customWidth="1"/>
    <col min="9733" max="9757" width="11.5" style="1315" bestFit="1" customWidth="1"/>
    <col min="9758" max="9986" width="8.83203125" style="1315"/>
    <col min="9987" max="9987" width="35.83203125" style="1315" customWidth="1"/>
    <col min="9988" max="9988" width="12" style="1315" customWidth="1"/>
    <col min="9989" max="10013" width="11.5" style="1315" bestFit="1" customWidth="1"/>
    <col min="10014" max="10242" width="8.83203125" style="1315"/>
    <col min="10243" max="10243" width="35.83203125" style="1315" customWidth="1"/>
    <col min="10244" max="10244" width="12" style="1315" customWidth="1"/>
    <col min="10245" max="10269" width="11.5" style="1315" bestFit="1" customWidth="1"/>
    <col min="10270" max="10498" width="8.83203125" style="1315"/>
    <col min="10499" max="10499" width="35.83203125" style="1315" customWidth="1"/>
    <col min="10500" max="10500" width="12" style="1315" customWidth="1"/>
    <col min="10501" max="10525" width="11.5" style="1315" bestFit="1" customWidth="1"/>
    <col min="10526" max="10754" width="8.83203125" style="1315"/>
    <col min="10755" max="10755" width="35.83203125" style="1315" customWidth="1"/>
    <col min="10756" max="10756" width="12" style="1315" customWidth="1"/>
    <col min="10757" max="10781" width="11.5" style="1315" bestFit="1" customWidth="1"/>
    <col min="10782" max="11010" width="8.83203125" style="1315"/>
    <col min="11011" max="11011" width="35.83203125" style="1315" customWidth="1"/>
    <col min="11012" max="11012" width="12" style="1315" customWidth="1"/>
    <col min="11013" max="11037" width="11.5" style="1315" bestFit="1" customWidth="1"/>
    <col min="11038" max="11266" width="8.83203125" style="1315"/>
    <col min="11267" max="11267" width="35.83203125" style="1315" customWidth="1"/>
    <col min="11268" max="11268" width="12" style="1315" customWidth="1"/>
    <col min="11269" max="11293" width="11.5" style="1315" bestFit="1" customWidth="1"/>
    <col min="11294" max="11522" width="8.83203125" style="1315"/>
    <col min="11523" max="11523" width="35.83203125" style="1315" customWidth="1"/>
    <col min="11524" max="11524" width="12" style="1315" customWidth="1"/>
    <col min="11525" max="11549" width="11.5" style="1315" bestFit="1" customWidth="1"/>
    <col min="11550" max="11778" width="8.83203125" style="1315"/>
    <col min="11779" max="11779" width="35.83203125" style="1315" customWidth="1"/>
    <col min="11780" max="11780" width="12" style="1315" customWidth="1"/>
    <col min="11781" max="11805" width="11.5" style="1315" bestFit="1" customWidth="1"/>
    <col min="11806" max="12034" width="8.83203125" style="1315"/>
    <col min="12035" max="12035" width="35.83203125" style="1315" customWidth="1"/>
    <col min="12036" max="12036" width="12" style="1315" customWidth="1"/>
    <col min="12037" max="12061" width="11.5" style="1315" bestFit="1" customWidth="1"/>
    <col min="12062" max="12290" width="8.83203125" style="1315"/>
    <col min="12291" max="12291" width="35.83203125" style="1315" customWidth="1"/>
    <col min="12292" max="12292" width="12" style="1315" customWidth="1"/>
    <col min="12293" max="12317" width="11.5" style="1315" bestFit="1" customWidth="1"/>
    <col min="12318" max="12546" width="8.83203125" style="1315"/>
    <col min="12547" max="12547" width="35.83203125" style="1315" customWidth="1"/>
    <col min="12548" max="12548" width="12" style="1315" customWidth="1"/>
    <col min="12549" max="12573" width="11.5" style="1315" bestFit="1" customWidth="1"/>
    <col min="12574" max="12802" width="8.83203125" style="1315"/>
    <col min="12803" max="12803" width="35.83203125" style="1315" customWidth="1"/>
    <col min="12804" max="12804" width="12" style="1315" customWidth="1"/>
    <col min="12805" max="12829" width="11.5" style="1315" bestFit="1" customWidth="1"/>
    <col min="12830" max="13058" width="8.83203125" style="1315"/>
    <col min="13059" max="13059" width="35.83203125" style="1315" customWidth="1"/>
    <col min="13060" max="13060" width="12" style="1315" customWidth="1"/>
    <col min="13061" max="13085" width="11.5" style="1315" bestFit="1" customWidth="1"/>
    <col min="13086" max="13314" width="8.83203125" style="1315"/>
    <col min="13315" max="13315" width="35.83203125" style="1315" customWidth="1"/>
    <col min="13316" max="13316" width="12" style="1315" customWidth="1"/>
    <col min="13317" max="13341" width="11.5" style="1315" bestFit="1" customWidth="1"/>
    <col min="13342" max="13570" width="8.83203125" style="1315"/>
    <col min="13571" max="13571" width="35.83203125" style="1315" customWidth="1"/>
    <col min="13572" max="13572" width="12" style="1315" customWidth="1"/>
    <col min="13573" max="13597" width="11.5" style="1315" bestFit="1" customWidth="1"/>
    <col min="13598" max="13826" width="8.83203125" style="1315"/>
    <col min="13827" max="13827" width="35.83203125" style="1315" customWidth="1"/>
    <col min="13828" max="13828" width="12" style="1315" customWidth="1"/>
    <col min="13829" max="13853" width="11.5" style="1315" bestFit="1" customWidth="1"/>
    <col min="13854" max="14082" width="8.83203125" style="1315"/>
    <col min="14083" max="14083" width="35.83203125" style="1315" customWidth="1"/>
    <col min="14084" max="14084" width="12" style="1315" customWidth="1"/>
    <col min="14085" max="14109" width="11.5" style="1315" bestFit="1" customWidth="1"/>
    <col min="14110" max="14338" width="8.83203125" style="1315"/>
    <col min="14339" max="14339" width="35.83203125" style="1315" customWidth="1"/>
    <col min="14340" max="14340" width="12" style="1315" customWidth="1"/>
    <col min="14341" max="14365" width="11.5" style="1315" bestFit="1" customWidth="1"/>
    <col min="14366" max="14594" width="8.83203125" style="1315"/>
    <col min="14595" max="14595" width="35.83203125" style="1315" customWidth="1"/>
    <col min="14596" max="14596" width="12" style="1315" customWidth="1"/>
    <col min="14597" max="14621" width="11.5" style="1315" bestFit="1" customWidth="1"/>
    <col min="14622" max="14850" width="8.83203125" style="1315"/>
    <col min="14851" max="14851" width="35.83203125" style="1315" customWidth="1"/>
    <col min="14852" max="14852" width="12" style="1315" customWidth="1"/>
    <col min="14853" max="14877" width="11.5" style="1315" bestFit="1" customWidth="1"/>
    <col min="14878" max="15106" width="8.83203125" style="1315"/>
    <col min="15107" max="15107" width="35.83203125" style="1315" customWidth="1"/>
    <col min="15108" max="15108" width="12" style="1315" customWidth="1"/>
    <col min="15109" max="15133" width="11.5" style="1315" bestFit="1" customWidth="1"/>
    <col min="15134" max="15362" width="8.83203125" style="1315"/>
    <col min="15363" max="15363" width="35.83203125" style="1315" customWidth="1"/>
    <col min="15364" max="15364" width="12" style="1315" customWidth="1"/>
    <col min="15365" max="15389" width="11.5" style="1315" bestFit="1" customWidth="1"/>
    <col min="15390" max="15618" width="8.83203125" style="1315"/>
    <col min="15619" max="15619" width="35.83203125" style="1315" customWidth="1"/>
    <col min="15620" max="15620" width="12" style="1315" customWidth="1"/>
    <col min="15621" max="15645" width="11.5" style="1315" bestFit="1" customWidth="1"/>
    <col min="15646" max="15874" width="8.83203125" style="1315"/>
    <col min="15875" max="15875" width="35.83203125" style="1315" customWidth="1"/>
    <col min="15876" max="15876" width="12" style="1315" customWidth="1"/>
    <col min="15877" max="15901" width="11.5" style="1315" bestFit="1" customWidth="1"/>
    <col min="15902" max="16130" width="8.83203125" style="1315"/>
    <col min="16131" max="16131" width="35.83203125" style="1315" customWidth="1"/>
    <col min="16132" max="16132" width="12" style="1315" customWidth="1"/>
    <col min="16133" max="16157" width="11.5" style="1315" bestFit="1" customWidth="1"/>
    <col min="16158" max="16384" width="8.83203125" style="1315"/>
  </cols>
  <sheetData>
    <row r="2" spans="1:35">
      <c r="C2" s="1769" t="s">
        <v>2007</v>
      </c>
      <c r="D2" s="1769"/>
      <c r="E2" s="1769"/>
    </row>
    <row r="4" spans="1:35">
      <c r="D4" s="1315">
        <v>2005</v>
      </c>
      <c r="E4" s="1315">
        <v>2006</v>
      </c>
      <c r="F4" s="1315">
        <v>2007</v>
      </c>
      <c r="G4" s="1315">
        <v>2008</v>
      </c>
      <c r="H4" s="1315">
        <v>2009</v>
      </c>
      <c r="I4" s="1315">
        <v>2010</v>
      </c>
      <c r="J4" s="1315">
        <v>2011</v>
      </c>
      <c r="K4" s="1315">
        <v>2012</v>
      </c>
      <c r="L4" s="1315">
        <v>2013</v>
      </c>
      <c r="M4" s="1315">
        <v>2014</v>
      </c>
      <c r="N4" s="1315">
        <v>2015</v>
      </c>
      <c r="O4" s="1315">
        <v>2016</v>
      </c>
      <c r="P4" s="1315">
        <v>2017</v>
      </c>
      <c r="Q4" s="1315">
        <v>2018</v>
      </c>
      <c r="R4" s="1315">
        <v>2019</v>
      </c>
      <c r="S4" s="1315">
        <v>2020</v>
      </c>
      <c r="T4" s="1315">
        <v>2021</v>
      </c>
      <c r="U4" s="1315">
        <v>2022</v>
      </c>
      <c r="V4" s="1315">
        <v>2023</v>
      </c>
      <c r="W4" s="1315">
        <v>2024</v>
      </c>
      <c r="X4" s="1315">
        <v>2025</v>
      </c>
      <c r="Y4" s="1315">
        <v>2026</v>
      </c>
      <c r="Z4" s="1315">
        <v>2027</v>
      </c>
      <c r="AA4" s="1315">
        <v>2028</v>
      </c>
      <c r="AB4" s="1315">
        <v>2029</v>
      </c>
      <c r="AC4" s="1315">
        <v>2030</v>
      </c>
      <c r="AD4" s="1315">
        <v>2035</v>
      </c>
      <c r="AE4" s="1315">
        <v>2040</v>
      </c>
      <c r="AF4" s="1315">
        <v>2045</v>
      </c>
      <c r="AG4" s="1315">
        <v>2050</v>
      </c>
      <c r="AH4" s="1315">
        <v>2060</v>
      </c>
      <c r="AI4" s="1315">
        <v>2070</v>
      </c>
    </row>
    <row r="5" spans="1:35">
      <c r="C5" s="1315" t="s">
        <v>2008</v>
      </c>
      <c r="D5" s="1316">
        <v>985.89151378034205</v>
      </c>
      <c r="E5" s="1316">
        <v>1026.0094570828101</v>
      </c>
      <c r="F5" s="1316">
        <v>1070.30900420424</v>
      </c>
      <c r="G5" s="1316">
        <v>1114.29794228324</v>
      </c>
      <c r="H5" s="1316">
        <v>1161.3237242653699</v>
      </c>
      <c r="I5" s="1316">
        <v>1206.8776005764</v>
      </c>
      <c r="J5" s="1316">
        <v>1257.3822056670399</v>
      </c>
      <c r="K5" s="1316">
        <v>1310.4896622932399</v>
      </c>
      <c r="L5" s="1316">
        <v>1367.5369854816199</v>
      </c>
      <c r="M5" s="1316">
        <v>1421.0108457553699</v>
      </c>
      <c r="N5" s="1316">
        <v>1479.7294901206401</v>
      </c>
      <c r="O5" s="1316">
        <v>1540.3275927601101</v>
      </c>
      <c r="P5" s="1316">
        <v>1604.63863239853</v>
      </c>
      <c r="Q5" s="1316">
        <v>1672.87796948703</v>
      </c>
      <c r="R5" s="1316">
        <v>1745.5280938266001</v>
      </c>
      <c r="S5" s="1316">
        <v>1818.8057146595499</v>
      </c>
      <c r="T5" s="1316">
        <v>1892.6198041272701</v>
      </c>
      <c r="U5" s="1316">
        <v>1963.2461980529799</v>
      </c>
      <c r="V5" s="1316">
        <v>2034.02755367751</v>
      </c>
      <c r="W5" s="1316">
        <v>2113.58702295596</v>
      </c>
      <c r="X5" s="1316">
        <v>2199.6645379929901</v>
      </c>
      <c r="Y5" s="1316">
        <v>2287.6199088180902</v>
      </c>
      <c r="Z5" s="1316">
        <v>2377.1972112411099</v>
      </c>
      <c r="AA5" s="1316">
        <v>2472.5234505336198</v>
      </c>
      <c r="AB5" s="1316">
        <v>2573.00708156677</v>
      </c>
      <c r="AC5" s="1316">
        <v>2679.2258212740398</v>
      </c>
      <c r="AD5" s="1316">
        <f t="shared" ref="AD5:AD22" si="0">FORECAST(AD$4,X5:AC5,X$4:AC$4)</f>
        <v>3149.2455629876349</v>
      </c>
      <c r="AE5" s="1316">
        <f t="shared" ref="AE5:AI20" si="1">FORECAST(AE$4,Y5:AD5,Y$4:AD$4)</f>
        <v>3633.0251325877907</v>
      </c>
      <c r="AF5" s="1316">
        <f t="shared" si="1"/>
        <v>4115.6844787807786</v>
      </c>
      <c r="AG5" s="1316">
        <f t="shared" si="1"/>
        <v>4596.7963989863929</v>
      </c>
      <c r="AH5" s="1316">
        <f t="shared" si="1"/>
        <v>5557.6244976410526</v>
      </c>
      <c r="AI5" s="1316">
        <f t="shared" si="1"/>
        <v>6517.7835840110201</v>
      </c>
    </row>
    <row r="6" spans="1:35">
      <c r="C6" s="1315" t="s">
        <v>2009</v>
      </c>
      <c r="D6" s="1316">
        <v>170.18791155407899</v>
      </c>
      <c r="E6" s="1316">
        <v>178.535436230139</v>
      </c>
      <c r="F6" s="1316">
        <v>187.62043381413</v>
      </c>
      <c r="G6" s="1316">
        <v>196.68103931549899</v>
      </c>
      <c r="H6" s="1316">
        <v>206.28653820694799</v>
      </c>
      <c r="I6" s="1316">
        <v>215.68064819685301</v>
      </c>
      <c r="J6" s="1316">
        <v>225.994446064145</v>
      </c>
      <c r="K6" s="1316">
        <v>236.828988464617</v>
      </c>
      <c r="L6" s="1316">
        <v>248.46179908191999</v>
      </c>
      <c r="M6" s="1316">
        <v>259.57626121045399</v>
      </c>
      <c r="N6" s="1316">
        <v>271.74765634299899</v>
      </c>
      <c r="O6" s="1316">
        <v>284.342265283671</v>
      </c>
      <c r="P6" s="1316">
        <v>297.77843878467201</v>
      </c>
      <c r="Q6" s="1316">
        <v>312.07944659628902</v>
      </c>
      <c r="R6" s="1316">
        <v>327.35876007355802</v>
      </c>
      <c r="S6" s="1316">
        <v>342.87030135970599</v>
      </c>
      <c r="T6" s="1316">
        <v>358.504494345144</v>
      </c>
      <c r="U6" s="1316">
        <v>373.522825915233</v>
      </c>
      <c r="V6" s="1316">
        <v>388.660409724256</v>
      </c>
      <c r="W6" s="1316">
        <v>405.59658846015799</v>
      </c>
      <c r="X6" s="1316">
        <v>424.00626716237701</v>
      </c>
      <c r="Y6" s="1316">
        <v>442.94060414630297</v>
      </c>
      <c r="Z6" s="1316">
        <v>462.25235129957798</v>
      </c>
      <c r="AA6" s="1316">
        <v>482.950350264218</v>
      </c>
      <c r="AB6" s="1316">
        <v>505.08864134118897</v>
      </c>
      <c r="AC6" s="1316">
        <v>528.695019978603</v>
      </c>
      <c r="AD6" s="1316">
        <f t="shared" si="0"/>
        <v>630.87632169095014</v>
      </c>
      <c r="AE6" s="1316">
        <f t="shared" si="1"/>
        <v>736.59369528610841</v>
      </c>
      <c r="AF6" s="1316">
        <f t="shared" si="1"/>
        <v>842.03741159201309</v>
      </c>
      <c r="AG6" s="1316">
        <f t="shared" si="1"/>
        <v>947.09146334834804</v>
      </c>
      <c r="AH6" s="1316">
        <f t="shared" si="1"/>
        <v>1156.8138771924423</v>
      </c>
      <c r="AI6" s="1316">
        <f t="shared" si="1"/>
        <v>1366.3637079379114</v>
      </c>
    </row>
    <row r="7" spans="1:35">
      <c r="B7" s="1315" t="str">
        <f>RIGHT(C7,5)</f>
        <v>hhd-0</v>
      </c>
      <c r="C7" s="1315" t="s">
        <v>2010</v>
      </c>
      <c r="D7" s="1316">
        <v>17.020543985392699</v>
      </c>
      <c r="E7" s="1316">
        <v>17.9120969075204</v>
      </c>
      <c r="F7" s="1316">
        <v>18.8709868652717</v>
      </c>
      <c r="G7" s="1316">
        <v>19.830945256013699</v>
      </c>
      <c r="H7" s="1316">
        <v>20.842434055527502</v>
      </c>
      <c r="I7" s="1316">
        <v>21.838436119948099</v>
      </c>
      <c r="J7" s="1316">
        <v>22.924361072948201</v>
      </c>
      <c r="K7" s="1316">
        <v>24.0647813443525</v>
      </c>
      <c r="L7" s="1316">
        <v>25.2873472106501</v>
      </c>
      <c r="M7" s="1316">
        <v>26.468903847299501</v>
      </c>
      <c r="N7" s="1316">
        <v>27.756710663165901</v>
      </c>
      <c r="O7" s="1316">
        <v>29.090420287313901</v>
      </c>
      <c r="P7" s="1316">
        <v>30.514918160901701</v>
      </c>
      <c r="Q7" s="1316">
        <v>32.031608472984999</v>
      </c>
      <c r="R7" s="1316">
        <v>33.652876503720599</v>
      </c>
      <c r="S7" s="1316">
        <v>35.3041384326092</v>
      </c>
      <c r="T7" s="1316">
        <v>36.968954036545398</v>
      </c>
      <c r="U7" s="1316">
        <v>38.573015055525303</v>
      </c>
      <c r="V7" s="1316">
        <v>40.192124988088601</v>
      </c>
      <c r="W7" s="1316">
        <v>41.995047634709799</v>
      </c>
      <c r="X7" s="1316">
        <v>43.956529386284501</v>
      </c>
      <c r="Y7" s="1316">
        <v>45.979370871464802</v>
      </c>
      <c r="Z7" s="1316">
        <v>48.043454187451403</v>
      </c>
      <c r="AA7" s="1316">
        <v>50.259597496581698</v>
      </c>
      <c r="AB7" s="1316">
        <v>52.640334384544403</v>
      </c>
      <c r="AC7" s="1316">
        <v>55.183148241373402</v>
      </c>
      <c r="AD7" s="1316">
        <f t="shared" si="0"/>
        <v>66.129195121147859</v>
      </c>
      <c r="AE7" s="1316">
        <f t="shared" si="1"/>
        <v>77.469490306416446</v>
      </c>
      <c r="AF7" s="1316">
        <f t="shared" si="1"/>
        <v>88.779589381230835</v>
      </c>
      <c r="AG7" s="1316">
        <f t="shared" si="1"/>
        <v>100.04642541663179</v>
      </c>
      <c r="AH7" s="1316">
        <f t="shared" si="1"/>
        <v>122.53627342373238</v>
      </c>
      <c r="AI7" s="1316">
        <f t="shared" si="1"/>
        <v>145.00709712541448</v>
      </c>
    </row>
    <row r="8" spans="1:35">
      <c r="A8" s="1316"/>
      <c r="B8" s="1315" t="str">
        <f t="shared" ref="B8:B17" si="2">RIGHT(C8,5)</f>
        <v>hhd-1</v>
      </c>
      <c r="C8" s="1315" t="s">
        <v>2011</v>
      </c>
      <c r="D8" s="1316">
        <v>29.266930604782999</v>
      </c>
      <c r="E8" s="1316">
        <v>30.737356206448101</v>
      </c>
      <c r="F8" s="1316">
        <v>32.328979771883397</v>
      </c>
      <c r="G8" s="1316">
        <v>33.918438179897201</v>
      </c>
      <c r="H8" s="1316">
        <v>35.599408536074201</v>
      </c>
      <c r="I8" s="1316">
        <v>37.247177793087602</v>
      </c>
      <c r="J8" s="1316">
        <v>39.051221320412303</v>
      </c>
      <c r="K8" s="1316">
        <v>40.946408014845098</v>
      </c>
      <c r="L8" s="1316">
        <v>42.9803727409681</v>
      </c>
      <c r="M8" s="1316">
        <v>44.931727205658902</v>
      </c>
      <c r="N8" s="1316">
        <v>47.063885729263497</v>
      </c>
      <c r="O8" s="1316">
        <v>49.270526826765298</v>
      </c>
      <c r="P8" s="1316">
        <v>51.625402540821298</v>
      </c>
      <c r="Q8" s="1316">
        <v>54.131906723763699</v>
      </c>
      <c r="R8" s="1316">
        <v>56.810279347135499</v>
      </c>
      <c r="S8" s="1316">
        <v>59.532237586059701</v>
      </c>
      <c r="T8" s="1316">
        <v>62.2749655330433</v>
      </c>
      <c r="U8" s="1316">
        <v>64.911207999613495</v>
      </c>
      <c r="V8" s="1316">
        <v>67.567902041069402</v>
      </c>
      <c r="W8" s="1316">
        <v>70.534465208407497</v>
      </c>
      <c r="X8" s="1316">
        <v>73.760802741498495</v>
      </c>
      <c r="Y8" s="1316">
        <v>77.082189445471798</v>
      </c>
      <c r="Z8" s="1316">
        <v>80.4694349618199</v>
      </c>
      <c r="AA8" s="1316">
        <v>84.102095277364796</v>
      </c>
      <c r="AB8" s="1316">
        <v>87.993289085754398</v>
      </c>
      <c r="AC8" s="1316">
        <v>92.143754608384796</v>
      </c>
      <c r="AD8" s="1316">
        <f t="shared" si="0"/>
        <v>110.08065309474932</v>
      </c>
      <c r="AE8" s="1316">
        <f t="shared" si="1"/>
        <v>128.64578929674371</v>
      </c>
      <c r="AF8" s="1316">
        <f t="shared" si="1"/>
        <v>147.16258346936775</v>
      </c>
      <c r="AG8" s="1316">
        <f t="shared" si="1"/>
        <v>165.61014673393674</v>
      </c>
      <c r="AH8" s="1316">
        <f t="shared" si="1"/>
        <v>202.43625289027841</v>
      </c>
      <c r="AI8" s="1316">
        <f t="shared" si="1"/>
        <v>239.23192570118408</v>
      </c>
    </row>
    <row r="9" spans="1:35">
      <c r="B9" s="1315" t="str">
        <f t="shared" si="2"/>
        <v>hhd-2</v>
      </c>
      <c r="C9" s="1315" t="s">
        <v>2012</v>
      </c>
      <c r="D9" s="1316">
        <v>35.360337992992903</v>
      </c>
      <c r="E9" s="1316">
        <v>37.101318228752604</v>
      </c>
      <c r="F9" s="1316">
        <v>38.993709572909502</v>
      </c>
      <c r="G9" s="1316">
        <v>40.881333636460496</v>
      </c>
      <c r="H9" s="1316">
        <v>42.881551098527602</v>
      </c>
      <c r="I9" s="1316">
        <v>44.8385263974126</v>
      </c>
      <c r="J9" s="1316">
        <v>46.985890610126702</v>
      </c>
      <c r="K9" s="1316">
        <v>49.241853149312398</v>
      </c>
      <c r="L9" s="1316">
        <v>51.664127710266797</v>
      </c>
      <c r="M9" s="1316">
        <v>53.980515138116999</v>
      </c>
      <c r="N9" s="1316">
        <v>56.516018466602603</v>
      </c>
      <c r="O9" s="1316">
        <v>59.139883168955798</v>
      </c>
      <c r="P9" s="1316">
        <v>61.939291592134801</v>
      </c>
      <c r="Q9" s="1316">
        <v>64.919013322429905</v>
      </c>
      <c r="R9" s="1316">
        <v>68.102839956927497</v>
      </c>
      <c r="S9" s="1316">
        <v>71.335975685952903</v>
      </c>
      <c r="T9" s="1316">
        <v>74.594747620417294</v>
      </c>
      <c r="U9" s="1316">
        <v>77.725776646714706</v>
      </c>
      <c r="V9" s="1316">
        <v>80.881390460917302</v>
      </c>
      <c r="W9" s="1316">
        <v>84.410564795024897</v>
      </c>
      <c r="X9" s="1316">
        <v>88.247568492369197</v>
      </c>
      <c r="Y9" s="1316">
        <v>92.195134656690996</v>
      </c>
      <c r="Z9" s="1316">
        <v>96.221886089513703</v>
      </c>
      <c r="AA9" s="1316">
        <v>100.538452270909</v>
      </c>
      <c r="AB9" s="1316">
        <v>105.156550279933</v>
      </c>
      <c r="AC9" s="1316">
        <v>110.081154700387</v>
      </c>
      <c r="AD9" s="1316">
        <f t="shared" si="0"/>
        <v>131.39056957737012</v>
      </c>
      <c r="AE9" s="1316">
        <f t="shared" si="1"/>
        <v>153.43951228325022</v>
      </c>
      <c r="AF9" s="1316">
        <f t="shared" si="1"/>
        <v>175.43116861721137</v>
      </c>
      <c r="AG9" s="1316">
        <f t="shared" si="1"/>
        <v>197.34133459643817</v>
      </c>
      <c r="AH9" s="1316">
        <f t="shared" si="1"/>
        <v>241.08097411107155</v>
      </c>
      <c r="AI9" s="1316">
        <f t="shared" si="1"/>
        <v>284.78460569007621</v>
      </c>
    </row>
    <row r="10" spans="1:35">
      <c r="B10" s="1315" t="str">
        <f t="shared" si="2"/>
        <v>hhd-3</v>
      </c>
      <c r="C10" s="1315" t="s">
        <v>2013</v>
      </c>
      <c r="D10" s="1316">
        <v>40.396434704329501</v>
      </c>
      <c r="E10" s="1316">
        <v>42.392150774787503</v>
      </c>
      <c r="F10" s="1316">
        <v>44.5678859391437</v>
      </c>
      <c r="G10" s="1316">
        <v>46.737490866399803</v>
      </c>
      <c r="H10" s="1316">
        <v>49.039165497230897</v>
      </c>
      <c r="I10" s="1316">
        <v>51.2901472728988</v>
      </c>
      <c r="J10" s="1316">
        <v>53.7643319284699</v>
      </c>
      <c r="K10" s="1316">
        <v>56.364041697489299</v>
      </c>
      <c r="L10" s="1316">
        <v>59.156347922529299</v>
      </c>
      <c r="M10" s="1316">
        <v>61.822732622161098</v>
      </c>
      <c r="N10" s="1316">
        <v>64.746731923948204</v>
      </c>
      <c r="O10" s="1316">
        <v>67.773542480141501</v>
      </c>
      <c r="P10" s="1316">
        <v>71.004690873531302</v>
      </c>
      <c r="Q10" s="1316">
        <v>74.445854820550807</v>
      </c>
      <c r="R10" s="1316">
        <v>78.1243669937097</v>
      </c>
      <c r="S10" s="1316">
        <v>81.859200650242698</v>
      </c>
      <c r="T10" s="1316">
        <v>85.624641581957903</v>
      </c>
      <c r="U10" s="1316">
        <v>89.241362976264497</v>
      </c>
      <c r="V10" s="1316">
        <v>92.890168289830498</v>
      </c>
      <c r="W10" s="1316">
        <v>96.977323592443099</v>
      </c>
      <c r="X10" s="1316">
        <v>101.421595408115</v>
      </c>
      <c r="Y10" s="1316">
        <v>105.99314798573501</v>
      </c>
      <c r="Z10" s="1316">
        <v>110.656729238656</v>
      </c>
      <c r="AA10" s="1316">
        <v>115.657653053454</v>
      </c>
      <c r="AB10" s="1316">
        <v>121.011271156118</v>
      </c>
      <c r="AC10" s="1316">
        <v>126.725052695613</v>
      </c>
      <c r="AD10" s="1316">
        <f t="shared" si="0"/>
        <v>151.41455630082964</v>
      </c>
      <c r="AE10" s="1316">
        <f t="shared" si="1"/>
        <v>176.96837932142989</v>
      </c>
      <c r="AF10" s="1316">
        <f t="shared" si="1"/>
        <v>202.45548360685279</v>
      </c>
      <c r="AG10" s="1316">
        <f t="shared" si="1"/>
        <v>227.84753469669522</v>
      </c>
      <c r="AH10" s="1316">
        <f t="shared" si="1"/>
        <v>278.53709417454775</v>
      </c>
      <c r="AI10" s="1316">
        <f t="shared" si="1"/>
        <v>329.18423412711491</v>
      </c>
    </row>
    <row r="11" spans="1:35">
      <c r="B11" s="1315" t="str">
        <f t="shared" si="2"/>
        <v>hhd-4</v>
      </c>
      <c r="C11" s="1315" t="s">
        <v>2014</v>
      </c>
      <c r="D11" s="1316">
        <v>48.143664266580998</v>
      </c>
      <c r="E11" s="1316">
        <v>50.392514112630103</v>
      </c>
      <c r="F11" s="1316">
        <v>52.858871664922297</v>
      </c>
      <c r="G11" s="1316">
        <v>55.312831376728198</v>
      </c>
      <c r="H11" s="1316">
        <v>57.923979019587399</v>
      </c>
      <c r="I11" s="1316">
        <v>60.466360613505898</v>
      </c>
      <c r="J11" s="1316">
        <v>63.268641132187803</v>
      </c>
      <c r="K11" s="1316">
        <v>66.211904258617594</v>
      </c>
      <c r="L11" s="1316">
        <v>69.373603497505997</v>
      </c>
      <c r="M11" s="1316">
        <v>72.372382397217194</v>
      </c>
      <c r="N11" s="1316">
        <v>75.664309560018694</v>
      </c>
      <c r="O11" s="1316">
        <v>79.067892520494595</v>
      </c>
      <c r="P11" s="1316">
        <v>82.694135617283195</v>
      </c>
      <c r="Q11" s="1316">
        <v>86.551063256559203</v>
      </c>
      <c r="R11" s="1316">
        <v>90.668397272064396</v>
      </c>
      <c r="S11" s="1316">
        <v>94.838749004841404</v>
      </c>
      <c r="T11" s="1316">
        <v>99.041185573179504</v>
      </c>
      <c r="U11" s="1316">
        <v>103.071463237115</v>
      </c>
      <c r="V11" s="1316">
        <v>107.12882394435</v>
      </c>
      <c r="W11" s="1316">
        <v>111.679187229573</v>
      </c>
      <c r="X11" s="1316">
        <v>116.61977113411</v>
      </c>
      <c r="Y11" s="1316">
        <v>121.69076118693999</v>
      </c>
      <c r="Z11" s="1316">
        <v>126.86084682213701</v>
      </c>
      <c r="AA11" s="1316">
        <v>132.392552165909</v>
      </c>
      <c r="AB11" s="1316">
        <v>138.28719643484001</v>
      </c>
      <c r="AC11" s="1316">
        <v>144.56190973284399</v>
      </c>
      <c r="AD11" s="1316">
        <f t="shared" si="0"/>
        <v>171.86134759685228</v>
      </c>
      <c r="AE11" s="1316">
        <f t="shared" si="1"/>
        <v>200.07052407827359</v>
      </c>
      <c r="AF11" s="1316">
        <f t="shared" si="1"/>
        <v>228.20858651735944</v>
      </c>
      <c r="AG11" s="1316">
        <f t="shared" si="1"/>
        <v>256.24602190465521</v>
      </c>
      <c r="AH11" s="1316">
        <f t="shared" si="1"/>
        <v>312.22328259283313</v>
      </c>
      <c r="AI11" s="1316">
        <f t="shared" si="1"/>
        <v>368.15584529414627</v>
      </c>
    </row>
    <row r="12" spans="1:35">
      <c r="B12" s="1315" t="str">
        <f t="shared" si="2"/>
        <v>NPOOR</v>
      </c>
      <c r="C12" s="1315" t="s">
        <v>2015</v>
      </c>
      <c r="D12" s="1316">
        <v>815.703602226263</v>
      </c>
      <c r="E12" s="1316">
        <v>847.47402085267197</v>
      </c>
      <c r="F12" s="1316">
        <v>882.68857039010697</v>
      </c>
      <c r="G12" s="1316">
        <v>917.616902967741</v>
      </c>
      <c r="H12" s="1316">
        <v>955.037186058423</v>
      </c>
      <c r="I12" s="1316">
        <v>991.19695237954102</v>
      </c>
      <c r="J12" s="1316">
        <v>1031.3877596028899</v>
      </c>
      <c r="K12" s="1316">
        <v>1073.66067382863</v>
      </c>
      <c r="L12" s="1316">
        <v>1119.0751863997</v>
      </c>
      <c r="M12" s="1316">
        <v>1161.43458454492</v>
      </c>
      <c r="N12" s="1316">
        <v>1207.9818337776501</v>
      </c>
      <c r="O12" s="1316">
        <v>1255.98532747644</v>
      </c>
      <c r="P12" s="1316">
        <v>1306.86019361385</v>
      </c>
      <c r="Q12" s="1316">
        <v>1360.7985228907401</v>
      </c>
      <c r="R12" s="1316">
        <v>1418.1693337530401</v>
      </c>
      <c r="S12" s="1316">
        <v>1475.9354132998401</v>
      </c>
      <c r="T12" s="1316">
        <v>1534.11530978212</v>
      </c>
      <c r="U12" s="1316">
        <v>1589.7233721377399</v>
      </c>
      <c r="V12" s="1316">
        <v>1645.36714395326</v>
      </c>
      <c r="W12" s="1316">
        <v>1707.9904344957999</v>
      </c>
      <c r="X12" s="1316">
        <v>1775.65827083062</v>
      </c>
      <c r="Y12" s="1316">
        <v>1844.6793046717901</v>
      </c>
      <c r="Z12" s="1316">
        <v>1914.94485994153</v>
      </c>
      <c r="AA12" s="1316">
        <v>1989.5731002694099</v>
      </c>
      <c r="AB12" s="1316">
        <v>2067.9184402255801</v>
      </c>
      <c r="AC12" s="1316">
        <v>2150.5308012954401</v>
      </c>
      <c r="AD12" s="1316">
        <f t="shared" si="0"/>
        <v>2518.3692412966629</v>
      </c>
      <c r="AE12" s="1316">
        <f t="shared" si="1"/>
        <v>2896.4314373016532</v>
      </c>
      <c r="AF12" s="1316">
        <f t="shared" si="1"/>
        <v>3273.6470671886927</v>
      </c>
      <c r="AG12" s="1316">
        <f t="shared" si="1"/>
        <v>3649.7049356379721</v>
      </c>
      <c r="AH12" s="1316">
        <f t="shared" si="1"/>
        <v>4400.8106204484357</v>
      </c>
      <c r="AI12" s="1316">
        <f t="shared" si="1"/>
        <v>5151.4198760728759</v>
      </c>
    </row>
    <row r="13" spans="1:35">
      <c r="B13" s="1315" t="str">
        <f t="shared" si="2"/>
        <v>hhd-5</v>
      </c>
      <c r="C13" s="1315" t="s">
        <v>2016</v>
      </c>
      <c r="D13" s="1316">
        <v>55.392989603216499</v>
      </c>
      <c r="E13" s="1316">
        <v>57.827252006493403</v>
      </c>
      <c r="F13" s="1316">
        <v>60.5035796639959</v>
      </c>
      <c r="G13" s="1316">
        <v>63.158600794704498</v>
      </c>
      <c r="H13" s="1316">
        <v>65.989630063445603</v>
      </c>
      <c r="I13" s="1316">
        <v>68.733630181074204</v>
      </c>
      <c r="J13" s="1316">
        <v>71.765417873603297</v>
      </c>
      <c r="K13" s="1316">
        <v>74.946867862924805</v>
      </c>
      <c r="L13" s="1316">
        <v>78.361739070100896</v>
      </c>
      <c r="M13" s="1316">
        <v>81.578692758233601</v>
      </c>
      <c r="N13" s="1316">
        <v>85.1122437777925</v>
      </c>
      <c r="O13" s="1316">
        <v>88.759890291212599</v>
      </c>
      <c r="P13" s="1316">
        <v>92.635981862190306</v>
      </c>
      <c r="Q13" s="1316">
        <v>96.750823098473504</v>
      </c>
      <c r="R13" s="1316">
        <v>101.13433735143199</v>
      </c>
      <c r="S13" s="1316">
        <v>105.561890089804</v>
      </c>
      <c r="T13" s="1316">
        <v>110.021209821754</v>
      </c>
      <c r="U13" s="1316">
        <v>114.291899836491</v>
      </c>
      <c r="V13" s="1316">
        <v>118.580187241445</v>
      </c>
      <c r="W13" s="1316">
        <v>123.39416383319499</v>
      </c>
      <c r="X13" s="1316">
        <v>128.60879472198101</v>
      </c>
      <c r="Y13" s="1316">
        <v>133.94496880644999</v>
      </c>
      <c r="Z13" s="1316">
        <v>139.38041295195401</v>
      </c>
      <c r="AA13" s="1316">
        <v>145.17758882939</v>
      </c>
      <c r="AB13" s="1316">
        <v>151.31643241924701</v>
      </c>
      <c r="AC13" s="1316">
        <v>157.82608465557601</v>
      </c>
      <c r="AD13" s="1316">
        <f t="shared" si="0"/>
        <v>186.42290771777152</v>
      </c>
      <c r="AE13" s="1316">
        <f t="shared" si="1"/>
        <v>215.90524410766193</v>
      </c>
      <c r="AF13" s="1316">
        <f t="shared" si="1"/>
        <v>245.31713050728467</v>
      </c>
      <c r="AG13" s="1316">
        <f t="shared" si="1"/>
        <v>274.63017102459889</v>
      </c>
      <c r="AH13" s="1316">
        <f t="shared" si="1"/>
        <v>333.16394797140674</v>
      </c>
      <c r="AI13" s="1316">
        <f t="shared" si="1"/>
        <v>391.65423549421757</v>
      </c>
    </row>
    <row r="14" spans="1:35">
      <c r="B14" s="1315" t="str">
        <f t="shared" si="2"/>
        <v>hhd-6</v>
      </c>
      <c r="C14" s="1315" t="s">
        <v>2017</v>
      </c>
      <c r="D14" s="1316">
        <v>66.732904426501193</v>
      </c>
      <c r="E14" s="1316">
        <v>69.579947267564293</v>
      </c>
      <c r="F14" s="1316">
        <v>72.715380318762001</v>
      </c>
      <c r="G14" s="1316">
        <v>75.823321629914602</v>
      </c>
      <c r="H14" s="1316">
        <v>79.139241883818798</v>
      </c>
      <c r="I14" s="1316">
        <v>82.349586891131807</v>
      </c>
      <c r="J14" s="1316">
        <v>85.898067237405101</v>
      </c>
      <c r="K14" s="1316">
        <v>89.619298080228205</v>
      </c>
      <c r="L14" s="1316">
        <v>93.611612428998995</v>
      </c>
      <c r="M14" s="1316">
        <v>97.364778935131199</v>
      </c>
      <c r="N14" s="1316">
        <v>101.48799521427701</v>
      </c>
      <c r="O14" s="1316">
        <v>105.740594440789</v>
      </c>
      <c r="P14" s="1316">
        <v>110.25520449658799</v>
      </c>
      <c r="Q14" s="1316">
        <v>115.04367506950599</v>
      </c>
      <c r="R14" s="1316">
        <v>120.14002202488599</v>
      </c>
      <c r="S14" s="1316">
        <v>125.280852202779</v>
      </c>
      <c r="T14" s="1316">
        <v>130.454741261885</v>
      </c>
      <c r="U14" s="1316">
        <v>135.40454047629299</v>
      </c>
      <c r="V14" s="1316">
        <v>140.37143915600299</v>
      </c>
      <c r="W14" s="1316">
        <v>145.94650364427599</v>
      </c>
      <c r="X14" s="1316">
        <v>151.97843766942299</v>
      </c>
      <c r="Y14" s="1316">
        <v>158.142398160841</v>
      </c>
      <c r="Z14" s="1316">
        <v>164.41486775773899</v>
      </c>
      <c r="AA14" s="1316">
        <v>171.09645575040901</v>
      </c>
      <c r="AB14" s="1316">
        <v>178.160012847145</v>
      </c>
      <c r="AC14" s="1316">
        <v>185.64061999359399</v>
      </c>
      <c r="AD14" s="1316">
        <f t="shared" si="0"/>
        <v>218.60565805490478</v>
      </c>
      <c r="AE14" s="1316">
        <f t="shared" si="1"/>
        <v>252.56484383585303</v>
      </c>
      <c r="AF14" s="1316">
        <f t="shared" si="1"/>
        <v>286.44534543814007</v>
      </c>
      <c r="AG14" s="1316">
        <f t="shared" si="1"/>
        <v>320.21447361849459</v>
      </c>
      <c r="AH14" s="1316">
        <f t="shared" si="1"/>
        <v>387.64943404307996</v>
      </c>
      <c r="AI14" s="1316">
        <f t="shared" si="1"/>
        <v>455.03546382671266</v>
      </c>
    </row>
    <row r="15" spans="1:35">
      <c r="B15" s="1315" t="str">
        <f t="shared" si="2"/>
        <v>hhd-7</v>
      </c>
      <c r="C15" s="1315" t="s">
        <v>2018</v>
      </c>
      <c r="D15" s="1316">
        <v>92.629852690360906</v>
      </c>
      <c r="E15" s="1316">
        <v>96.574019510286703</v>
      </c>
      <c r="F15" s="1316">
        <v>100.92649574826299</v>
      </c>
      <c r="G15" s="1316">
        <v>105.243415274865</v>
      </c>
      <c r="H15" s="1316">
        <v>109.852081940462</v>
      </c>
      <c r="I15" s="1316">
        <v>114.316425174979</v>
      </c>
      <c r="J15" s="1316">
        <v>119.256036236201</v>
      </c>
      <c r="K15" s="1316">
        <v>124.439155421473</v>
      </c>
      <c r="L15" s="1316">
        <v>130.00201635112001</v>
      </c>
      <c r="M15" s="1316">
        <v>135.22805776417499</v>
      </c>
      <c r="N15" s="1316">
        <v>140.97199770599599</v>
      </c>
      <c r="O15" s="1316">
        <v>146.896315750117</v>
      </c>
      <c r="P15" s="1316">
        <v>153.187521600747</v>
      </c>
      <c r="Q15" s="1316">
        <v>159.862025400779</v>
      </c>
      <c r="R15" s="1316">
        <v>166.967379535595</v>
      </c>
      <c r="S15" s="1316">
        <v>174.13346325613301</v>
      </c>
      <c r="T15" s="1316">
        <v>181.34443151433601</v>
      </c>
      <c r="U15" s="1316">
        <v>188.23913213901301</v>
      </c>
      <c r="V15" s="1316">
        <v>195.15970296314001</v>
      </c>
      <c r="W15" s="1316">
        <v>202.93154663504001</v>
      </c>
      <c r="X15" s="1316">
        <v>211.339253967844</v>
      </c>
      <c r="Y15" s="1316">
        <v>219.928746768331</v>
      </c>
      <c r="Z15" s="1316">
        <v>228.66573191198501</v>
      </c>
      <c r="AA15" s="1316">
        <v>237.97309142877401</v>
      </c>
      <c r="AB15" s="1316">
        <v>247.81723432139</v>
      </c>
      <c r="AC15" s="1316">
        <v>258.243891300553</v>
      </c>
      <c r="AD15" s="1316">
        <f t="shared" si="0"/>
        <v>304.17237446304352</v>
      </c>
      <c r="AE15" s="1316">
        <f t="shared" si="1"/>
        <v>351.48924613650524</v>
      </c>
      <c r="AF15" s="1316">
        <f t="shared" si="1"/>
        <v>398.69712836685721</v>
      </c>
      <c r="AG15" s="1316">
        <f t="shared" si="1"/>
        <v>445.74942940272376</v>
      </c>
      <c r="AH15" s="1316">
        <f t="shared" si="1"/>
        <v>539.70897516505647</v>
      </c>
      <c r="AI15" s="1316">
        <f t="shared" si="1"/>
        <v>633.60012481612648</v>
      </c>
    </row>
    <row r="16" spans="1:35">
      <c r="B16" s="1315" t="str">
        <f t="shared" si="2"/>
        <v>hhd-8</v>
      </c>
      <c r="C16" s="1315" t="s">
        <v>2019</v>
      </c>
      <c r="D16" s="1316">
        <v>176.03918789724301</v>
      </c>
      <c r="E16" s="1316">
        <v>183.48437483114199</v>
      </c>
      <c r="F16" s="1316">
        <v>191.72174203326301</v>
      </c>
      <c r="G16" s="1316">
        <v>199.88307189718</v>
      </c>
      <c r="H16" s="1316">
        <v>208.621364830365</v>
      </c>
      <c r="I16" s="1316">
        <v>217.06859236941099</v>
      </c>
      <c r="J16" s="1316">
        <v>226.46587617461699</v>
      </c>
      <c r="K16" s="1316">
        <v>236.35559732467601</v>
      </c>
      <c r="L16" s="1316">
        <v>246.99349486020299</v>
      </c>
      <c r="M16" s="1316">
        <v>256.91918769481998</v>
      </c>
      <c r="N16" s="1316">
        <v>267.84708077096701</v>
      </c>
      <c r="O16" s="1316">
        <v>279.12284190151098</v>
      </c>
      <c r="P16" s="1316">
        <v>291.099032845838</v>
      </c>
      <c r="Q16" s="1316">
        <v>303.81678576091201</v>
      </c>
      <c r="R16" s="1316">
        <v>317.36777039241599</v>
      </c>
      <c r="S16" s="1316">
        <v>331.01894535520302</v>
      </c>
      <c r="T16" s="1316">
        <v>344.75674146855403</v>
      </c>
      <c r="U16" s="1316">
        <v>357.86139284183503</v>
      </c>
      <c r="V16" s="1316">
        <v>370.98826508141201</v>
      </c>
      <c r="W16" s="1316">
        <v>385.78726615700498</v>
      </c>
      <c r="X16" s="1316">
        <v>401.80728605062399</v>
      </c>
      <c r="Y16" s="1316">
        <v>418.15936950205901</v>
      </c>
      <c r="Z16" s="1316">
        <v>434.79301988316899</v>
      </c>
      <c r="AA16" s="1316">
        <v>452.50281738669599</v>
      </c>
      <c r="AB16" s="1316">
        <v>471.186067934525</v>
      </c>
      <c r="AC16" s="1316">
        <v>490.94853499061202</v>
      </c>
      <c r="AD16" s="1316">
        <f t="shared" si="0"/>
        <v>578.29154542242031</v>
      </c>
      <c r="AE16" s="1316">
        <f t="shared" si="1"/>
        <v>668.20904565921956</v>
      </c>
      <c r="AF16" s="1316">
        <f t="shared" si="1"/>
        <v>757.92150764170219</v>
      </c>
      <c r="AG16" s="1316">
        <f t="shared" si="1"/>
        <v>847.34378648917482</v>
      </c>
      <c r="AH16" s="1316">
        <f t="shared" si="1"/>
        <v>1025.9246885094763</v>
      </c>
      <c r="AI16" s="1316">
        <f t="shared" si="1"/>
        <v>1204.3792373825927</v>
      </c>
    </row>
    <row r="17" spans="2:35">
      <c r="B17" s="1315" t="str">
        <f t="shared" si="2"/>
        <v>HHD-9</v>
      </c>
      <c r="C17" s="1315" t="s">
        <v>2020</v>
      </c>
      <c r="D17" s="1316">
        <v>424.90866760894198</v>
      </c>
      <c r="E17" s="1316">
        <v>440.008427237185</v>
      </c>
      <c r="F17" s="1316">
        <v>456.82137262582302</v>
      </c>
      <c r="G17" s="1316">
        <v>473.50849337107599</v>
      </c>
      <c r="H17" s="1316">
        <v>491.43486734033303</v>
      </c>
      <c r="I17" s="1316">
        <v>508.728717762945</v>
      </c>
      <c r="J17" s="1316">
        <v>528.00236208106696</v>
      </c>
      <c r="K17" s="1316">
        <v>548.29975513932504</v>
      </c>
      <c r="L17" s="1316">
        <v>570.106323689276</v>
      </c>
      <c r="M17" s="1316">
        <v>590.34386739256195</v>
      </c>
      <c r="N17" s="1316">
        <v>612.56251630861402</v>
      </c>
      <c r="O17" s="1316">
        <v>635.46568509280701</v>
      </c>
      <c r="P17" s="1316">
        <v>659.68245280848998</v>
      </c>
      <c r="Q17" s="1316">
        <v>685.32521356106804</v>
      </c>
      <c r="R17" s="1316">
        <v>712.55982444871404</v>
      </c>
      <c r="S17" s="1316">
        <v>739.94026239592404</v>
      </c>
      <c r="T17" s="1316">
        <v>767.538185715596</v>
      </c>
      <c r="U17" s="1316">
        <v>793.92640684411197</v>
      </c>
      <c r="V17" s="1316">
        <v>820.26754951125895</v>
      </c>
      <c r="W17" s="1316">
        <v>849.93095422628096</v>
      </c>
      <c r="X17" s="1316">
        <v>881.92449842074302</v>
      </c>
      <c r="Y17" s="1316">
        <v>914.50382143410695</v>
      </c>
      <c r="Z17" s="1316">
        <v>947.690827436679</v>
      </c>
      <c r="AA17" s="1316">
        <v>982.82314687413896</v>
      </c>
      <c r="AB17" s="1316">
        <v>1019.43869270328</v>
      </c>
      <c r="AC17" s="1316">
        <v>1057.8716703550999</v>
      </c>
      <c r="AD17" s="1316">
        <f t="shared" si="0"/>
        <v>1230.8767556385574</v>
      </c>
      <c r="AE17" s="1316">
        <f t="shared" si="1"/>
        <v>1408.2630575624789</v>
      </c>
      <c r="AF17" s="1316">
        <f t="shared" si="1"/>
        <v>1585.2659552348196</v>
      </c>
      <c r="AG17" s="1316">
        <f t="shared" si="1"/>
        <v>1761.7670751031255</v>
      </c>
      <c r="AH17" s="1316">
        <f t="shared" si="1"/>
        <v>2114.3635747596563</v>
      </c>
      <c r="AI17" s="1316">
        <f t="shared" si="1"/>
        <v>2466.7508145535539</v>
      </c>
    </row>
    <row r="18" spans="2:35">
      <c r="B18" s="1315" t="s">
        <v>2021</v>
      </c>
      <c r="C18" s="1315" t="s">
        <v>2022</v>
      </c>
      <c r="D18" s="1316">
        <v>51.841854320057401</v>
      </c>
      <c r="E18" s="1316">
        <v>54.078246201282298</v>
      </c>
      <c r="F18" s="1316">
        <v>56.550659588251499</v>
      </c>
      <c r="G18" s="1316">
        <v>59.003990103467402</v>
      </c>
      <c r="H18" s="1316">
        <v>61.630039947956597</v>
      </c>
      <c r="I18" s="1316">
        <v>64.174475672896094</v>
      </c>
      <c r="J18" s="1316">
        <v>67.007889989936402</v>
      </c>
      <c r="K18" s="1316">
        <v>69.993944387344001</v>
      </c>
      <c r="L18" s="1316">
        <v>73.206798557762397</v>
      </c>
      <c r="M18" s="1316">
        <v>76.206822087364699</v>
      </c>
      <c r="N18" s="1316">
        <v>79.511078038776802</v>
      </c>
      <c r="O18" s="1316">
        <v>82.924856061298399</v>
      </c>
      <c r="P18" s="1316">
        <v>86.555011085029406</v>
      </c>
      <c r="Q18" s="1316">
        <v>90.4146934319362</v>
      </c>
      <c r="R18" s="1316">
        <v>94.531742531791195</v>
      </c>
      <c r="S18" s="1316">
        <v>98.683813007535804</v>
      </c>
      <c r="T18" s="1316">
        <v>102.866305479286</v>
      </c>
      <c r="U18" s="1316">
        <v>106.85985711616399</v>
      </c>
      <c r="V18" s="1316">
        <v>110.86592925350899</v>
      </c>
      <c r="W18" s="1316">
        <v>115.387192756007</v>
      </c>
      <c r="X18" s="1316">
        <v>120.28479812658399</v>
      </c>
      <c r="Y18" s="1316">
        <v>125.288944745093</v>
      </c>
      <c r="Z18" s="1316">
        <v>130.38339461190699</v>
      </c>
      <c r="AA18" s="1316">
        <v>135.81204911603001</v>
      </c>
      <c r="AB18" s="1316">
        <v>141.547821996084</v>
      </c>
      <c r="AC18" s="1316">
        <v>147.62272915509101</v>
      </c>
      <c r="AD18" s="1316">
        <f t="shared" si="0"/>
        <v>174.39601516314724</v>
      </c>
      <c r="AE18" s="1316">
        <f t="shared" si="1"/>
        <v>201.97702551744078</v>
      </c>
      <c r="AF18" s="1316">
        <f t="shared" si="1"/>
        <v>229.49354916768607</v>
      </c>
      <c r="AG18" s="1316">
        <f t="shared" si="1"/>
        <v>256.91948116946696</v>
      </c>
      <c r="AH18" s="1316">
        <f t="shared" si="1"/>
        <v>311.68816252602301</v>
      </c>
      <c r="AI18" s="1316">
        <f t="shared" si="1"/>
        <v>366.4170853270989</v>
      </c>
    </row>
    <row r="19" spans="2:35">
      <c r="B19" s="1315" t="s">
        <v>2023</v>
      </c>
      <c r="C19" s="1315" t="s">
        <v>2024</v>
      </c>
      <c r="D19" s="1316">
        <v>60.859201152493497</v>
      </c>
      <c r="E19" s="1316">
        <v>63.362056023428799</v>
      </c>
      <c r="F19" s="1316">
        <v>66.142833294692394</v>
      </c>
      <c r="G19" s="1316">
        <v>68.901273242639604</v>
      </c>
      <c r="H19" s="1316">
        <v>71.863502230491093</v>
      </c>
      <c r="I19" s="1316">
        <v>74.727499398674595</v>
      </c>
      <c r="J19" s="1316">
        <v>77.929013039146398</v>
      </c>
      <c r="K19" s="1316">
        <v>81.309165709931904</v>
      </c>
      <c r="L19" s="1316">
        <v>84.950830008292598</v>
      </c>
      <c r="M19" s="1316">
        <v>88.3330714027081</v>
      </c>
      <c r="N19" s="1316">
        <v>92.061074811226803</v>
      </c>
      <c r="O19" s="1316">
        <v>95.913071279871701</v>
      </c>
      <c r="P19" s="1316">
        <v>100.006116834259</v>
      </c>
      <c r="Q19" s="1316">
        <v>104.358175879621</v>
      </c>
      <c r="R19" s="1316">
        <v>109.00036639811999</v>
      </c>
      <c r="S19" s="1316">
        <v>113.67754933654101</v>
      </c>
      <c r="T19" s="1316">
        <v>118.391397849274</v>
      </c>
      <c r="U19" s="1316">
        <v>122.88946418688801</v>
      </c>
      <c r="V19" s="1316">
        <v>127.394511585484</v>
      </c>
      <c r="W19" s="1316">
        <v>132.488912275676</v>
      </c>
      <c r="X19" s="1316">
        <v>138.00643876636099</v>
      </c>
      <c r="Y19" s="1316">
        <v>143.64053974993499</v>
      </c>
      <c r="Z19" s="1316">
        <v>149.37996998185301</v>
      </c>
      <c r="AA19" s="1316">
        <v>155.48845649623399</v>
      </c>
      <c r="AB19" s="1316">
        <v>161.920464296017</v>
      </c>
      <c r="AC19" s="1316">
        <v>168.72083194041099</v>
      </c>
      <c r="AD19" s="1316">
        <f t="shared" si="0"/>
        <v>198.82807006718031</v>
      </c>
      <c r="AE19" s="1316">
        <f t="shared" si="1"/>
        <v>229.81273338510982</v>
      </c>
      <c r="AF19" s="1316">
        <f t="shared" si="1"/>
        <v>260.7254505416422</v>
      </c>
      <c r="AG19" s="1316">
        <f t="shared" si="1"/>
        <v>291.53938672571894</v>
      </c>
      <c r="AH19" s="1316">
        <f t="shared" si="1"/>
        <v>353.07930720665354</v>
      </c>
      <c r="AI19" s="1316">
        <f t="shared" si="1"/>
        <v>414.57618974019715</v>
      </c>
    </row>
    <row r="20" spans="2:35">
      <c r="B20" s="1315" t="s">
        <v>2025</v>
      </c>
      <c r="C20" s="1315" t="s">
        <v>2026</v>
      </c>
      <c r="D20" s="1316">
        <v>72.7767439015973</v>
      </c>
      <c r="E20" s="1316">
        <v>75.735287615685493</v>
      </c>
      <c r="F20" s="1316">
        <v>79.012318483075305</v>
      </c>
      <c r="G20" s="1316">
        <v>82.262405086105602</v>
      </c>
      <c r="H20" s="1316">
        <v>85.749095786993095</v>
      </c>
      <c r="I20" s="1316">
        <v>89.120001821587394</v>
      </c>
      <c r="J20" s="1316">
        <v>92.885770730009895</v>
      </c>
      <c r="K20" s="1316">
        <v>96.861285476957704</v>
      </c>
      <c r="L20" s="1316">
        <v>101.143813875071</v>
      </c>
      <c r="M20" s="1316">
        <v>105.123085796127</v>
      </c>
      <c r="N20" s="1316">
        <v>109.50704235745</v>
      </c>
      <c r="O20" s="1316">
        <v>114.035686031522</v>
      </c>
      <c r="P20" s="1316">
        <v>118.84697690011799</v>
      </c>
      <c r="Q20" s="1316">
        <v>123.961797386285</v>
      </c>
      <c r="R20" s="1316">
        <v>129.41686508122501</v>
      </c>
      <c r="S20" s="1316">
        <v>134.911919504042</v>
      </c>
      <c r="T20" s="1316">
        <v>140.44800257128401</v>
      </c>
      <c r="U20" s="1316">
        <v>145.72673741044201</v>
      </c>
      <c r="V20" s="1316">
        <v>151.00651058253601</v>
      </c>
      <c r="W20" s="1316">
        <v>156.979019813576</v>
      </c>
      <c r="X20" s="1316">
        <v>163.44952023058201</v>
      </c>
      <c r="Y20" s="1316">
        <v>170.05331565590299</v>
      </c>
      <c r="Z20" s="1316">
        <v>176.77772476837501</v>
      </c>
      <c r="AA20" s="1316">
        <v>183.933527018082</v>
      </c>
      <c r="AB20" s="1316">
        <v>191.45998656435</v>
      </c>
      <c r="AC20" s="1316">
        <v>199.409513634826</v>
      </c>
      <c r="AD20" s="1316">
        <f t="shared" si="0"/>
        <v>234.67064650169777</v>
      </c>
      <c r="AE20" s="1316">
        <f t="shared" si="1"/>
        <v>270.94484937275411</v>
      </c>
      <c r="AF20" s="1316">
        <f t="shared" si="1"/>
        <v>307.13578673200755</v>
      </c>
      <c r="AG20" s="1316">
        <f t="shared" si="1"/>
        <v>343.21200637963193</v>
      </c>
      <c r="AH20" s="1316">
        <f t="shared" si="1"/>
        <v>415.26378627829581</v>
      </c>
      <c r="AI20" s="1316">
        <f t="shared" si="1"/>
        <v>487.26629888898424</v>
      </c>
    </row>
    <row r="21" spans="2:35">
      <c r="B21" s="1315" t="s">
        <v>2027</v>
      </c>
      <c r="C21" s="1315" t="s">
        <v>2028</v>
      </c>
      <c r="D21" s="1316">
        <v>90.795419485070994</v>
      </c>
      <c r="E21" s="1316">
        <v>93.935383593863705</v>
      </c>
      <c r="F21" s="1316">
        <v>97.426629290148497</v>
      </c>
      <c r="G21" s="1316">
        <v>100.893289218025</v>
      </c>
      <c r="H21" s="1316">
        <v>104.615807952436</v>
      </c>
      <c r="I21" s="1316">
        <v>108.20787902513101</v>
      </c>
      <c r="J21" s="1316">
        <v>112.20621521547901</v>
      </c>
      <c r="K21" s="1316">
        <v>116.41338158623699</v>
      </c>
      <c r="L21" s="1316">
        <v>120.928109786932</v>
      </c>
      <c r="M21" s="1316">
        <v>125.12205226727001</v>
      </c>
      <c r="N21" s="1316">
        <v>129.72124235422001</v>
      </c>
      <c r="O21" s="1316">
        <v>134.46052485818799</v>
      </c>
      <c r="P21" s="1316">
        <v>139.465932608624</v>
      </c>
      <c r="Q21" s="1316">
        <v>144.76092030915899</v>
      </c>
      <c r="R21" s="1316">
        <v>150.37853148029399</v>
      </c>
      <c r="S21" s="1316">
        <v>156.02585149487101</v>
      </c>
      <c r="T21" s="1316">
        <v>161.72086861891799</v>
      </c>
      <c r="U21" s="1316">
        <v>167.17409604347301</v>
      </c>
      <c r="V21" s="1316">
        <v>172.61642320899901</v>
      </c>
      <c r="W21" s="1316">
        <v>178.73707301423099</v>
      </c>
      <c r="X21" s="1316">
        <v>185.33080525765101</v>
      </c>
      <c r="Y21" s="1316">
        <v>192.04243368845499</v>
      </c>
      <c r="Z21" s="1316">
        <v>198.881500672013</v>
      </c>
      <c r="AA21" s="1316">
        <v>206.11254839349701</v>
      </c>
      <c r="AB21" s="1316">
        <v>213.63155610581299</v>
      </c>
      <c r="AC21" s="1316">
        <v>221.512233839239</v>
      </c>
      <c r="AD21" s="1316">
        <f t="shared" si="0"/>
        <v>257.11256111024159</v>
      </c>
      <c r="AE21" s="1316">
        <f t="shared" ref="AE21:AI22" si="3">FORECAST(AE$4,Y21:AD21,Y$4:AD$4)</f>
        <v>293.58597404172724</v>
      </c>
      <c r="AF21" s="1316">
        <f t="shared" si="3"/>
        <v>329.98137871511426</v>
      </c>
      <c r="AG21" s="1316">
        <f t="shared" si="3"/>
        <v>366.27654868349782</v>
      </c>
      <c r="AH21" s="1316">
        <f t="shared" si="3"/>
        <v>438.7878882915029</v>
      </c>
      <c r="AI21" s="1316">
        <f t="shared" si="3"/>
        <v>511.25772274331212</v>
      </c>
    </row>
    <row r="22" spans="2:35">
      <c r="B22" s="1315" t="s">
        <v>2029</v>
      </c>
      <c r="C22" s="1315" t="s">
        <v>2030</v>
      </c>
      <c r="D22" s="1316">
        <v>148.635448749723</v>
      </c>
      <c r="E22" s="1316">
        <v>152.89745380292399</v>
      </c>
      <c r="F22" s="1316">
        <v>157.68893196965499</v>
      </c>
      <c r="G22" s="1316">
        <v>162.447535720839</v>
      </c>
      <c r="H22" s="1316">
        <v>167.57642142245601</v>
      </c>
      <c r="I22" s="1316">
        <v>172.49886184465601</v>
      </c>
      <c r="J22" s="1316">
        <v>177.97347310649599</v>
      </c>
      <c r="K22" s="1316">
        <v>183.721977978854</v>
      </c>
      <c r="L22" s="1316">
        <v>189.876771461217</v>
      </c>
      <c r="M22" s="1316">
        <v>195.55883583909099</v>
      </c>
      <c r="N22" s="1316">
        <v>201.76207874694001</v>
      </c>
      <c r="O22" s="1316">
        <v>208.13154686192701</v>
      </c>
      <c r="P22" s="1316">
        <v>214.808415380459</v>
      </c>
      <c r="Q22" s="1316">
        <v>221.829626554067</v>
      </c>
      <c r="R22" s="1316">
        <v>229.23231895728401</v>
      </c>
      <c r="S22" s="1316">
        <v>236.64112905293399</v>
      </c>
      <c r="T22" s="1316">
        <v>244.11161119683399</v>
      </c>
      <c r="U22" s="1316">
        <v>251.276252087145</v>
      </c>
      <c r="V22" s="1316">
        <v>258.384174880731</v>
      </c>
      <c r="W22" s="1316">
        <v>266.33875636679102</v>
      </c>
      <c r="X22" s="1316">
        <v>274.85293603956302</v>
      </c>
      <c r="Y22" s="1316">
        <v>283.47858759472001</v>
      </c>
      <c r="Z22" s="1316">
        <v>292.26823740253201</v>
      </c>
      <c r="AA22" s="1316">
        <v>301.47656585029603</v>
      </c>
      <c r="AB22" s="1316">
        <v>310.87886374101402</v>
      </c>
      <c r="AC22" s="1316">
        <v>320.606361785535</v>
      </c>
      <c r="AD22" s="1316">
        <f t="shared" si="0"/>
        <v>365.86946279628683</v>
      </c>
      <c r="AE22" s="1316">
        <f t="shared" si="3"/>
        <v>411.94247524543607</v>
      </c>
      <c r="AF22" s="1316">
        <f t="shared" si="3"/>
        <v>457.92979007835311</v>
      </c>
      <c r="AG22" s="1316">
        <f t="shared" si="3"/>
        <v>503.81965214477896</v>
      </c>
      <c r="AH22" s="1316">
        <f t="shared" si="3"/>
        <v>595.54443045713924</v>
      </c>
      <c r="AI22" s="1316">
        <f t="shared" si="3"/>
        <v>687.23351785390332</v>
      </c>
    </row>
    <row r="24" spans="2:35">
      <c r="C24" s="1317" t="s">
        <v>2031</v>
      </c>
      <c r="D24" s="1317"/>
      <c r="E24" s="1317"/>
    </row>
    <row r="25" spans="2:35">
      <c r="E25" s="1318">
        <v>1000</v>
      </c>
    </row>
    <row r="26" spans="2:35">
      <c r="D26" s="1315">
        <v>2005</v>
      </c>
      <c r="E26" s="1315">
        <v>2006</v>
      </c>
      <c r="F26" s="1315">
        <v>2007</v>
      </c>
      <c r="G26" s="1315">
        <v>2008</v>
      </c>
      <c r="H26" s="1315">
        <v>2009</v>
      </c>
      <c r="I26" s="1315">
        <v>2010</v>
      </c>
      <c r="J26" s="1315">
        <v>2011</v>
      </c>
      <c r="K26" s="1315">
        <v>2012</v>
      </c>
      <c r="L26" s="1315">
        <v>2013</v>
      </c>
      <c r="M26" s="1315">
        <v>2014</v>
      </c>
      <c r="N26" s="1315">
        <v>2015</v>
      </c>
      <c r="O26" s="1315">
        <v>2016</v>
      </c>
      <c r="P26" s="1315">
        <v>2017</v>
      </c>
      <c r="Q26" s="1315">
        <v>2018</v>
      </c>
      <c r="R26" s="1315">
        <v>2019</v>
      </c>
      <c r="S26" s="1315">
        <v>2020</v>
      </c>
      <c r="T26" s="1315">
        <v>2021</v>
      </c>
      <c r="U26" s="1315">
        <v>2022</v>
      </c>
      <c r="V26" s="1315">
        <v>2023</v>
      </c>
      <c r="W26" s="1315">
        <v>2024</v>
      </c>
      <c r="X26" s="1315">
        <v>2025</v>
      </c>
      <c r="Y26" s="1315">
        <v>2026</v>
      </c>
      <c r="Z26" s="1315">
        <v>2027</v>
      </c>
      <c r="AA26" s="1315">
        <v>2028</v>
      </c>
      <c r="AB26" s="1315">
        <v>2029</v>
      </c>
      <c r="AC26" s="1315">
        <v>2030</v>
      </c>
      <c r="AD26" s="1315">
        <f t="shared" ref="AD26:AI26" si="4">AD4</f>
        <v>2035</v>
      </c>
      <c r="AE26" s="1315">
        <f t="shared" si="4"/>
        <v>2040</v>
      </c>
      <c r="AF26" s="1315">
        <f t="shared" si="4"/>
        <v>2045</v>
      </c>
      <c r="AG26" s="1315">
        <f t="shared" si="4"/>
        <v>2050</v>
      </c>
      <c r="AH26" s="1315">
        <f t="shared" si="4"/>
        <v>2060</v>
      </c>
      <c r="AI26" s="1315">
        <f t="shared" si="4"/>
        <v>2070</v>
      </c>
    </row>
    <row r="27" spans="2:35">
      <c r="C27" s="1315" t="s">
        <v>2032</v>
      </c>
      <c r="D27" s="1319">
        <v>4688</v>
      </c>
      <c r="E27" s="1319">
        <f t="shared" ref="E27:T35" si="5">E$41/10</f>
        <v>4866.9047</v>
      </c>
      <c r="F27" s="1319">
        <f t="shared" si="5"/>
        <v>4909.3184000000001</v>
      </c>
      <c r="G27" s="1319">
        <f t="shared" si="5"/>
        <v>4951.3845999999994</v>
      </c>
      <c r="H27" s="1319">
        <f t="shared" si="5"/>
        <v>4995.5216</v>
      </c>
      <c r="I27" s="1319">
        <f t="shared" si="5"/>
        <v>5041.7247000000007</v>
      </c>
      <c r="J27" s="1319">
        <f t="shared" si="5"/>
        <v>5088.2291999999998</v>
      </c>
      <c r="K27" s="1319">
        <f t="shared" si="5"/>
        <v>5134.2755999999999</v>
      </c>
      <c r="L27" s="1319">
        <f t="shared" si="5"/>
        <v>5179.4876999999997</v>
      </c>
      <c r="M27" s="1319">
        <f t="shared" si="5"/>
        <v>5223.6848000000009</v>
      </c>
      <c r="N27" s="1319">
        <f t="shared" si="5"/>
        <v>5266.7948000000006</v>
      </c>
      <c r="O27" s="1319">
        <f t="shared" si="5"/>
        <v>5308.8009000000002</v>
      </c>
      <c r="P27" s="1319">
        <f t="shared" si="5"/>
        <v>5349.6558999999997</v>
      </c>
      <c r="Q27" s="1319">
        <f t="shared" si="5"/>
        <v>5389.3822</v>
      </c>
      <c r="R27" s="1319">
        <f t="shared" si="5"/>
        <v>5427.9975999999997</v>
      </c>
      <c r="S27" s="1319">
        <f t="shared" si="5"/>
        <v>5465.5015000000003</v>
      </c>
      <c r="T27" s="1319">
        <f t="shared" si="5"/>
        <v>5501.8671999999997</v>
      </c>
      <c r="U27" s="1319">
        <f t="shared" ref="U27:AI35" si="6">U$41/10</f>
        <v>5537.0302000000001</v>
      </c>
      <c r="V27" s="1319">
        <f t="shared" si="6"/>
        <v>5570.8926000000001</v>
      </c>
      <c r="W27" s="1319">
        <f t="shared" si="6"/>
        <v>5603.3230000000003</v>
      </c>
      <c r="X27" s="1319">
        <f t="shared" si="6"/>
        <v>5634.1603000000005</v>
      </c>
      <c r="Y27" s="1319">
        <f t="shared" si="6"/>
        <v>5663.2359000000006</v>
      </c>
      <c r="Z27" s="1319">
        <f t="shared" si="6"/>
        <v>5690.4508999999998</v>
      </c>
      <c r="AA27" s="1319">
        <f t="shared" si="6"/>
        <v>5715.8428000000004</v>
      </c>
      <c r="AB27" s="1319">
        <f t="shared" si="6"/>
        <v>5739.5581999999995</v>
      </c>
      <c r="AC27" s="1319">
        <f t="shared" si="6"/>
        <v>5761.8640999999998</v>
      </c>
      <c r="AD27" s="1319">
        <f t="shared" si="6"/>
        <v>5859.2307000000001</v>
      </c>
      <c r="AE27" s="1319">
        <f t="shared" si="6"/>
        <v>5935.9628000000002</v>
      </c>
      <c r="AF27" s="1319">
        <f t="shared" si="6"/>
        <v>5988.5302000000001</v>
      </c>
      <c r="AG27" s="1319">
        <f t="shared" si="6"/>
        <v>6019.5030999999999</v>
      </c>
      <c r="AH27" s="1319">
        <f t="shared" si="6"/>
        <v>6019.5144</v>
      </c>
      <c r="AI27" s="1319">
        <f t="shared" si="6"/>
        <v>5934.7562000000007</v>
      </c>
    </row>
    <row r="28" spans="2:35">
      <c r="C28" s="1315" t="s">
        <v>2033</v>
      </c>
      <c r="D28" s="1319">
        <v>4688</v>
      </c>
      <c r="E28" s="1319">
        <f t="shared" si="5"/>
        <v>4866.9047</v>
      </c>
      <c r="F28" s="1319">
        <f t="shared" si="5"/>
        <v>4909.3184000000001</v>
      </c>
      <c r="G28" s="1319">
        <f t="shared" si="5"/>
        <v>4951.3845999999994</v>
      </c>
      <c r="H28" s="1319">
        <f t="shared" si="5"/>
        <v>4995.5216</v>
      </c>
      <c r="I28" s="1319">
        <f t="shared" si="5"/>
        <v>5041.7247000000007</v>
      </c>
      <c r="J28" s="1319">
        <f t="shared" si="5"/>
        <v>5088.2291999999998</v>
      </c>
      <c r="K28" s="1319">
        <f t="shared" si="5"/>
        <v>5134.2755999999999</v>
      </c>
      <c r="L28" s="1319">
        <f t="shared" si="5"/>
        <v>5179.4876999999997</v>
      </c>
      <c r="M28" s="1319">
        <f t="shared" si="5"/>
        <v>5223.6848000000009</v>
      </c>
      <c r="N28" s="1319">
        <f t="shared" si="5"/>
        <v>5266.7948000000006</v>
      </c>
      <c r="O28" s="1319">
        <f t="shared" si="5"/>
        <v>5308.8009000000002</v>
      </c>
      <c r="P28" s="1319">
        <f t="shared" si="5"/>
        <v>5349.6558999999997</v>
      </c>
      <c r="Q28" s="1319">
        <f t="shared" si="5"/>
        <v>5389.3822</v>
      </c>
      <c r="R28" s="1319">
        <f t="shared" si="5"/>
        <v>5427.9975999999997</v>
      </c>
      <c r="S28" s="1319">
        <f t="shared" si="5"/>
        <v>5465.5015000000003</v>
      </c>
      <c r="T28" s="1319">
        <f t="shared" si="5"/>
        <v>5501.8671999999997</v>
      </c>
      <c r="U28" s="1319">
        <f t="shared" si="6"/>
        <v>5537.0302000000001</v>
      </c>
      <c r="V28" s="1319">
        <f t="shared" si="6"/>
        <v>5570.8926000000001</v>
      </c>
      <c r="W28" s="1319">
        <f t="shared" si="6"/>
        <v>5603.3230000000003</v>
      </c>
      <c r="X28" s="1319">
        <f t="shared" si="6"/>
        <v>5634.1603000000005</v>
      </c>
      <c r="Y28" s="1319">
        <f t="shared" si="6"/>
        <v>5663.2359000000006</v>
      </c>
      <c r="Z28" s="1319">
        <f t="shared" si="6"/>
        <v>5690.4508999999998</v>
      </c>
      <c r="AA28" s="1319">
        <f t="shared" si="6"/>
        <v>5715.8428000000004</v>
      </c>
      <c r="AB28" s="1319">
        <f t="shared" si="6"/>
        <v>5739.5581999999995</v>
      </c>
      <c r="AC28" s="1319">
        <f t="shared" si="6"/>
        <v>5761.8640999999998</v>
      </c>
      <c r="AD28" s="1319">
        <f t="shared" si="6"/>
        <v>5859.2307000000001</v>
      </c>
      <c r="AE28" s="1319">
        <f t="shared" si="6"/>
        <v>5935.9628000000002</v>
      </c>
      <c r="AF28" s="1319">
        <f t="shared" si="6"/>
        <v>5988.5302000000001</v>
      </c>
      <c r="AG28" s="1319">
        <f t="shared" si="6"/>
        <v>6019.5030999999999</v>
      </c>
      <c r="AH28" s="1319">
        <f t="shared" si="6"/>
        <v>6019.5144</v>
      </c>
      <c r="AI28" s="1319">
        <f t="shared" si="6"/>
        <v>5934.7562000000007</v>
      </c>
    </row>
    <row r="29" spans="2:35">
      <c r="C29" s="1315" t="s">
        <v>2034</v>
      </c>
      <c r="D29" s="1319">
        <v>4688</v>
      </c>
      <c r="E29" s="1319">
        <f t="shared" si="5"/>
        <v>4866.9047</v>
      </c>
      <c r="F29" s="1319">
        <f t="shared" si="5"/>
        <v>4909.3184000000001</v>
      </c>
      <c r="G29" s="1319">
        <f t="shared" si="5"/>
        <v>4951.3845999999994</v>
      </c>
      <c r="H29" s="1319">
        <f t="shared" si="5"/>
        <v>4995.5216</v>
      </c>
      <c r="I29" s="1319">
        <f t="shared" si="5"/>
        <v>5041.7247000000007</v>
      </c>
      <c r="J29" s="1319">
        <f t="shared" si="5"/>
        <v>5088.2291999999998</v>
      </c>
      <c r="K29" s="1319">
        <f t="shared" si="5"/>
        <v>5134.2755999999999</v>
      </c>
      <c r="L29" s="1319">
        <f t="shared" si="5"/>
        <v>5179.4876999999997</v>
      </c>
      <c r="M29" s="1319">
        <f t="shared" si="5"/>
        <v>5223.6848000000009</v>
      </c>
      <c r="N29" s="1319">
        <f t="shared" si="5"/>
        <v>5266.7948000000006</v>
      </c>
      <c r="O29" s="1319">
        <f t="shared" si="5"/>
        <v>5308.8009000000002</v>
      </c>
      <c r="P29" s="1319">
        <f t="shared" si="5"/>
        <v>5349.6558999999997</v>
      </c>
      <c r="Q29" s="1319">
        <f t="shared" si="5"/>
        <v>5389.3822</v>
      </c>
      <c r="R29" s="1319">
        <f t="shared" si="5"/>
        <v>5427.9975999999997</v>
      </c>
      <c r="S29" s="1319">
        <f t="shared" si="5"/>
        <v>5465.5015000000003</v>
      </c>
      <c r="T29" s="1319">
        <f t="shared" si="5"/>
        <v>5501.8671999999997</v>
      </c>
      <c r="U29" s="1319">
        <f t="shared" si="6"/>
        <v>5537.0302000000001</v>
      </c>
      <c r="V29" s="1319">
        <f t="shared" si="6"/>
        <v>5570.8926000000001</v>
      </c>
      <c r="W29" s="1319">
        <f t="shared" si="6"/>
        <v>5603.3230000000003</v>
      </c>
      <c r="X29" s="1319">
        <f t="shared" si="6"/>
        <v>5634.1603000000005</v>
      </c>
      <c r="Y29" s="1319">
        <f t="shared" si="6"/>
        <v>5663.2359000000006</v>
      </c>
      <c r="Z29" s="1319">
        <f t="shared" si="6"/>
        <v>5690.4508999999998</v>
      </c>
      <c r="AA29" s="1319">
        <f t="shared" si="6"/>
        <v>5715.8428000000004</v>
      </c>
      <c r="AB29" s="1319">
        <f t="shared" si="6"/>
        <v>5739.5581999999995</v>
      </c>
      <c r="AC29" s="1319">
        <f t="shared" si="6"/>
        <v>5761.8640999999998</v>
      </c>
      <c r="AD29" s="1319">
        <f t="shared" si="6"/>
        <v>5859.2307000000001</v>
      </c>
      <c r="AE29" s="1319">
        <f t="shared" si="6"/>
        <v>5935.9628000000002</v>
      </c>
      <c r="AF29" s="1319">
        <f t="shared" si="6"/>
        <v>5988.5302000000001</v>
      </c>
      <c r="AG29" s="1319">
        <f t="shared" si="6"/>
        <v>6019.5030999999999</v>
      </c>
      <c r="AH29" s="1319">
        <f t="shared" si="6"/>
        <v>6019.5144</v>
      </c>
      <c r="AI29" s="1319">
        <f t="shared" si="6"/>
        <v>5934.7562000000007</v>
      </c>
    </row>
    <row r="30" spans="2:35">
      <c r="C30" s="1315" t="s">
        <v>2035</v>
      </c>
      <c r="D30" s="1319">
        <v>4688</v>
      </c>
      <c r="E30" s="1319">
        <f t="shared" si="5"/>
        <v>4866.9047</v>
      </c>
      <c r="F30" s="1319">
        <f t="shared" si="5"/>
        <v>4909.3184000000001</v>
      </c>
      <c r="G30" s="1319">
        <f t="shared" si="5"/>
        <v>4951.3845999999994</v>
      </c>
      <c r="H30" s="1319">
        <f t="shared" si="5"/>
        <v>4995.5216</v>
      </c>
      <c r="I30" s="1319">
        <f t="shared" si="5"/>
        <v>5041.7247000000007</v>
      </c>
      <c r="J30" s="1319">
        <f t="shared" si="5"/>
        <v>5088.2291999999998</v>
      </c>
      <c r="K30" s="1319">
        <f t="shared" si="5"/>
        <v>5134.2755999999999</v>
      </c>
      <c r="L30" s="1319">
        <f t="shared" si="5"/>
        <v>5179.4876999999997</v>
      </c>
      <c r="M30" s="1319">
        <f t="shared" si="5"/>
        <v>5223.6848000000009</v>
      </c>
      <c r="N30" s="1319">
        <f t="shared" si="5"/>
        <v>5266.7948000000006</v>
      </c>
      <c r="O30" s="1319">
        <f t="shared" si="5"/>
        <v>5308.8009000000002</v>
      </c>
      <c r="P30" s="1319">
        <f t="shared" si="5"/>
        <v>5349.6558999999997</v>
      </c>
      <c r="Q30" s="1319">
        <f t="shared" si="5"/>
        <v>5389.3822</v>
      </c>
      <c r="R30" s="1319">
        <f t="shared" si="5"/>
        <v>5427.9975999999997</v>
      </c>
      <c r="S30" s="1319">
        <f t="shared" si="5"/>
        <v>5465.5015000000003</v>
      </c>
      <c r="T30" s="1319">
        <f t="shared" si="5"/>
        <v>5501.8671999999997</v>
      </c>
      <c r="U30" s="1319">
        <f t="shared" si="6"/>
        <v>5537.0302000000001</v>
      </c>
      <c r="V30" s="1319">
        <f t="shared" si="6"/>
        <v>5570.8926000000001</v>
      </c>
      <c r="W30" s="1319">
        <f t="shared" si="6"/>
        <v>5603.3230000000003</v>
      </c>
      <c r="X30" s="1319">
        <f t="shared" si="6"/>
        <v>5634.1603000000005</v>
      </c>
      <c r="Y30" s="1319">
        <f t="shared" si="6"/>
        <v>5663.2359000000006</v>
      </c>
      <c r="Z30" s="1319">
        <f t="shared" si="6"/>
        <v>5690.4508999999998</v>
      </c>
      <c r="AA30" s="1319">
        <f t="shared" si="6"/>
        <v>5715.8428000000004</v>
      </c>
      <c r="AB30" s="1319">
        <f t="shared" si="6"/>
        <v>5739.5581999999995</v>
      </c>
      <c r="AC30" s="1319">
        <f t="shared" si="6"/>
        <v>5761.8640999999998</v>
      </c>
      <c r="AD30" s="1319">
        <f t="shared" si="6"/>
        <v>5859.2307000000001</v>
      </c>
      <c r="AE30" s="1319">
        <f t="shared" si="6"/>
        <v>5935.9628000000002</v>
      </c>
      <c r="AF30" s="1319">
        <f t="shared" si="6"/>
        <v>5988.5302000000001</v>
      </c>
      <c r="AG30" s="1319">
        <f t="shared" si="6"/>
        <v>6019.5030999999999</v>
      </c>
      <c r="AH30" s="1319">
        <f t="shared" si="6"/>
        <v>6019.5144</v>
      </c>
      <c r="AI30" s="1319">
        <f t="shared" si="6"/>
        <v>5934.7562000000007</v>
      </c>
    </row>
    <row r="31" spans="2:35">
      <c r="C31" s="1315" t="s">
        <v>2036</v>
      </c>
      <c r="D31" s="1319">
        <v>4688</v>
      </c>
      <c r="E31" s="1319">
        <f t="shared" si="5"/>
        <v>4866.9047</v>
      </c>
      <c r="F31" s="1319">
        <f t="shared" si="5"/>
        <v>4909.3184000000001</v>
      </c>
      <c r="G31" s="1319">
        <f t="shared" si="5"/>
        <v>4951.3845999999994</v>
      </c>
      <c r="H31" s="1319">
        <f t="shared" si="5"/>
        <v>4995.5216</v>
      </c>
      <c r="I31" s="1319">
        <f t="shared" si="5"/>
        <v>5041.7247000000007</v>
      </c>
      <c r="J31" s="1319">
        <f t="shared" si="5"/>
        <v>5088.2291999999998</v>
      </c>
      <c r="K31" s="1319">
        <f t="shared" si="5"/>
        <v>5134.2755999999999</v>
      </c>
      <c r="L31" s="1319">
        <f t="shared" si="5"/>
        <v>5179.4876999999997</v>
      </c>
      <c r="M31" s="1319">
        <f t="shared" si="5"/>
        <v>5223.6848000000009</v>
      </c>
      <c r="N31" s="1319">
        <f t="shared" si="5"/>
        <v>5266.7948000000006</v>
      </c>
      <c r="O31" s="1319">
        <f t="shared" si="5"/>
        <v>5308.8009000000002</v>
      </c>
      <c r="P31" s="1319">
        <f t="shared" si="5"/>
        <v>5349.6558999999997</v>
      </c>
      <c r="Q31" s="1319">
        <f t="shared" si="5"/>
        <v>5389.3822</v>
      </c>
      <c r="R31" s="1319">
        <f t="shared" si="5"/>
        <v>5427.9975999999997</v>
      </c>
      <c r="S31" s="1319">
        <f t="shared" si="5"/>
        <v>5465.5015000000003</v>
      </c>
      <c r="T31" s="1319">
        <f t="shared" si="5"/>
        <v>5501.8671999999997</v>
      </c>
      <c r="U31" s="1319">
        <f t="shared" si="6"/>
        <v>5537.0302000000001</v>
      </c>
      <c r="V31" s="1319">
        <f t="shared" si="6"/>
        <v>5570.8926000000001</v>
      </c>
      <c r="W31" s="1319">
        <f t="shared" si="6"/>
        <v>5603.3230000000003</v>
      </c>
      <c r="X31" s="1319">
        <f t="shared" si="6"/>
        <v>5634.1603000000005</v>
      </c>
      <c r="Y31" s="1319">
        <f t="shared" si="6"/>
        <v>5663.2359000000006</v>
      </c>
      <c r="Z31" s="1319">
        <f t="shared" si="6"/>
        <v>5690.4508999999998</v>
      </c>
      <c r="AA31" s="1319">
        <f t="shared" si="6"/>
        <v>5715.8428000000004</v>
      </c>
      <c r="AB31" s="1319">
        <f t="shared" si="6"/>
        <v>5739.5581999999995</v>
      </c>
      <c r="AC31" s="1319">
        <f t="shared" si="6"/>
        <v>5761.8640999999998</v>
      </c>
      <c r="AD31" s="1319">
        <f t="shared" si="6"/>
        <v>5859.2307000000001</v>
      </c>
      <c r="AE31" s="1319">
        <f t="shared" si="6"/>
        <v>5935.9628000000002</v>
      </c>
      <c r="AF31" s="1319">
        <f t="shared" si="6"/>
        <v>5988.5302000000001</v>
      </c>
      <c r="AG31" s="1319">
        <f t="shared" si="6"/>
        <v>6019.5030999999999</v>
      </c>
      <c r="AH31" s="1319">
        <f t="shared" si="6"/>
        <v>6019.5144</v>
      </c>
      <c r="AI31" s="1319">
        <f t="shared" si="6"/>
        <v>5934.7562000000007</v>
      </c>
    </row>
    <row r="32" spans="2:35">
      <c r="C32" s="1315" t="s">
        <v>2037</v>
      </c>
      <c r="D32" s="1319">
        <v>4688</v>
      </c>
      <c r="E32" s="1319">
        <f t="shared" si="5"/>
        <v>4866.9047</v>
      </c>
      <c r="F32" s="1319">
        <f t="shared" si="5"/>
        <v>4909.3184000000001</v>
      </c>
      <c r="G32" s="1319">
        <f t="shared" si="5"/>
        <v>4951.3845999999994</v>
      </c>
      <c r="H32" s="1319">
        <f t="shared" si="5"/>
        <v>4995.5216</v>
      </c>
      <c r="I32" s="1319">
        <f t="shared" si="5"/>
        <v>5041.7247000000007</v>
      </c>
      <c r="J32" s="1319">
        <f t="shared" si="5"/>
        <v>5088.2291999999998</v>
      </c>
      <c r="K32" s="1319">
        <f t="shared" si="5"/>
        <v>5134.2755999999999</v>
      </c>
      <c r="L32" s="1319">
        <f t="shared" si="5"/>
        <v>5179.4876999999997</v>
      </c>
      <c r="M32" s="1319">
        <f t="shared" si="5"/>
        <v>5223.6848000000009</v>
      </c>
      <c r="N32" s="1319">
        <f t="shared" si="5"/>
        <v>5266.7948000000006</v>
      </c>
      <c r="O32" s="1319">
        <f t="shared" si="5"/>
        <v>5308.8009000000002</v>
      </c>
      <c r="P32" s="1319">
        <f t="shared" si="5"/>
        <v>5349.6558999999997</v>
      </c>
      <c r="Q32" s="1319">
        <f t="shared" si="5"/>
        <v>5389.3822</v>
      </c>
      <c r="R32" s="1319">
        <f t="shared" si="5"/>
        <v>5427.9975999999997</v>
      </c>
      <c r="S32" s="1319">
        <f t="shared" si="5"/>
        <v>5465.5015000000003</v>
      </c>
      <c r="T32" s="1319">
        <f t="shared" si="5"/>
        <v>5501.8671999999997</v>
      </c>
      <c r="U32" s="1319">
        <f t="shared" si="6"/>
        <v>5537.0302000000001</v>
      </c>
      <c r="V32" s="1319">
        <f t="shared" si="6"/>
        <v>5570.8926000000001</v>
      </c>
      <c r="W32" s="1319">
        <f t="shared" si="6"/>
        <v>5603.3230000000003</v>
      </c>
      <c r="X32" s="1319">
        <f t="shared" si="6"/>
        <v>5634.1603000000005</v>
      </c>
      <c r="Y32" s="1319">
        <f t="shared" si="6"/>
        <v>5663.2359000000006</v>
      </c>
      <c r="Z32" s="1319">
        <f t="shared" si="6"/>
        <v>5690.4508999999998</v>
      </c>
      <c r="AA32" s="1319">
        <f t="shared" si="6"/>
        <v>5715.8428000000004</v>
      </c>
      <c r="AB32" s="1319">
        <f t="shared" si="6"/>
        <v>5739.5581999999995</v>
      </c>
      <c r="AC32" s="1319">
        <f t="shared" si="6"/>
        <v>5761.8640999999998</v>
      </c>
      <c r="AD32" s="1319">
        <f t="shared" si="6"/>
        <v>5859.2307000000001</v>
      </c>
      <c r="AE32" s="1319">
        <f t="shared" si="6"/>
        <v>5935.9628000000002</v>
      </c>
      <c r="AF32" s="1319">
        <f t="shared" si="6"/>
        <v>5988.5302000000001</v>
      </c>
      <c r="AG32" s="1319">
        <f t="shared" si="6"/>
        <v>6019.5030999999999</v>
      </c>
      <c r="AH32" s="1319">
        <f t="shared" si="6"/>
        <v>6019.5144</v>
      </c>
      <c r="AI32" s="1319">
        <f t="shared" si="6"/>
        <v>5934.7562000000007</v>
      </c>
    </row>
    <row r="33" spans="3:35">
      <c r="C33" s="1315" t="s">
        <v>2038</v>
      </c>
      <c r="D33" s="1319">
        <v>4688</v>
      </c>
      <c r="E33" s="1319">
        <f t="shared" si="5"/>
        <v>4866.9047</v>
      </c>
      <c r="F33" s="1319">
        <f t="shared" si="5"/>
        <v>4909.3184000000001</v>
      </c>
      <c r="G33" s="1319">
        <f t="shared" si="5"/>
        <v>4951.3845999999994</v>
      </c>
      <c r="H33" s="1319">
        <f t="shared" si="5"/>
        <v>4995.5216</v>
      </c>
      <c r="I33" s="1319">
        <f t="shared" si="5"/>
        <v>5041.7247000000007</v>
      </c>
      <c r="J33" s="1319">
        <f t="shared" si="5"/>
        <v>5088.2291999999998</v>
      </c>
      <c r="K33" s="1319">
        <f t="shared" si="5"/>
        <v>5134.2755999999999</v>
      </c>
      <c r="L33" s="1319">
        <f t="shared" si="5"/>
        <v>5179.4876999999997</v>
      </c>
      <c r="M33" s="1319">
        <f t="shared" si="5"/>
        <v>5223.6848000000009</v>
      </c>
      <c r="N33" s="1319">
        <f t="shared" si="5"/>
        <v>5266.7948000000006</v>
      </c>
      <c r="O33" s="1319">
        <f t="shared" si="5"/>
        <v>5308.8009000000002</v>
      </c>
      <c r="P33" s="1319">
        <f t="shared" si="5"/>
        <v>5349.6558999999997</v>
      </c>
      <c r="Q33" s="1319">
        <f t="shared" si="5"/>
        <v>5389.3822</v>
      </c>
      <c r="R33" s="1319">
        <f t="shared" si="5"/>
        <v>5427.9975999999997</v>
      </c>
      <c r="S33" s="1319">
        <f t="shared" si="5"/>
        <v>5465.5015000000003</v>
      </c>
      <c r="T33" s="1319">
        <f t="shared" si="5"/>
        <v>5501.8671999999997</v>
      </c>
      <c r="U33" s="1319">
        <f t="shared" si="6"/>
        <v>5537.0302000000001</v>
      </c>
      <c r="V33" s="1319">
        <f t="shared" si="6"/>
        <v>5570.8926000000001</v>
      </c>
      <c r="W33" s="1319">
        <f t="shared" si="6"/>
        <v>5603.3230000000003</v>
      </c>
      <c r="X33" s="1319">
        <f t="shared" si="6"/>
        <v>5634.1603000000005</v>
      </c>
      <c r="Y33" s="1319">
        <f t="shared" si="6"/>
        <v>5663.2359000000006</v>
      </c>
      <c r="Z33" s="1319">
        <f t="shared" si="6"/>
        <v>5690.4508999999998</v>
      </c>
      <c r="AA33" s="1319">
        <f t="shared" si="6"/>
        <v>5715.8428000000004</v>
      </c>
      <c r="AB33" s="1319">
        <f t="shared" si="6"/>
        <v>5739.5581999999995</v>
      </c>
      <c r="AC33" s="1319">
        <f t="shared" si="6"/>
        <v>5761.8640999999998</v>
      </c>
      <c r="AD33" s="1319">
        <f t="shared" si="6"/>
        <v>5859.2307000000001</v>
      </c>
      <c r="AE33" s="1319">
        <f t="shared" si="6"/>
        <v>5935.9628000000002</v>
      </c>
      <c r="AF33" s="1319">
        <f t="shared" si="6"/>
        <v>5988.5302000000001</v>
      </c>
      <c r="AG33" s="1319">
        <f t="shared" si="6"/>
        <v>6019.5030999999999</v>
      </c>
      <c r="AH33" s="1319">
        <f t="shared" si="6"/>
        <v>6019.5144</v>
      </c>
      <c r="AI33" s="1319">
        <f t="shared" si="6"/>
        <v>5934.7562000000007</v>
      </c>
    </row>
    <row r="34" spans="3:35">
      <c r="C34" s="1315" t="s">
        <v>2039</v>
      </c>
      <c r="D34" s="1319">
        <v>4688</v>
      </c>
      <c r="E34" s="1319">
        <f t="shared" si="5"/>
        <v>4866.9047</v>
      </c>
      <c r="F34" s="1319">
        <f t="shared" si="5"/>
        <v>4909.3184000000001</v>
      </c>
      <c r="G34" s="1319">
        <f t="shared" si="5"/>
        <v>4951.3845999999994</v>
      </c>
      <c r="H34" s="1319">
        <f t="shared" si="5"/>
        <v>4995.5216</v>
      </c>
      <c r="I34" s="1319">
        <f t="shared" si="5"/>
        <v>5041.7247000000007</v>
      </c>
      <c r="J34" s="1319">
        <f t="shared" si="5"/>
        <v>5088.2291999999998</v>
      </c>
      <c r="K34" s="1319">
        <f t="shared" si="5"/>
        <v>5134.2755999999999</v>
      </c>
      <c r="L34" s="1319">
        <f t="shared" si="5"/>
        <v>5179.4876999999997</v>
      </c>
      <c r="M34" s="1319">
        <f t="shared" si="5"/>
        <v>5223.6848000000009</v>
      </c>
      <c r="N34" s="1319">
        <f t="shared" si="5"/>
        <v>5266.7948000000006</v>
      </c>
      <c r="O34" s="1319">
        <f t="shared" si="5"/>
        <v>5308.8009000000002</v>
      </c>
      <c r="P34" s="1319">
        <f t="shared" si="5"/>
        <v>5349.6558999999997</v>
      </c>
      <c r="Q34" s="1319">
        <f t="shared" si="5"/>
        <v>5389.3822</v>
      </c>
      <c r="R34" s="1319">
        <f t="shared" si="5"/>
        <v>5427.9975999999997</v>
      </c>
      <c r="S34" s="1319">
        <f t="shared" si="5"/>
        <v>5465.5015000000003</v>
      </c>
      <c r="T34" s="1319">
        <f t="shared" si="5"/>
        <v>5501.8671999999997</v>
      </c>
      <c r="U34" s="1319">
        <f t="shared" si="6"/>
        <v>5537.0302000000001</v>
      </c>
      <c r="V34" s="1319">
        <f t="shared" si="6"/>
        <v>5570.8926000000001</v>
      </c>
      <c r="W34" s="1319">
        <f t="shared" si="6"/>
        <v>5603.3230000000003</v>
      </c>
      <c r="X34" s="1319">
        <f t="shared" si="6"/>
        <v>5634.1603000000005</v>
      </c>
      <c r="Y34" s="1319">
        <f t="shared" si="6"/>
        <v>5663.2359000000006</v>
      </c>
      <c r="Z34" s="1319">
        <f t="shared" si="6"/>
        <v>5690.4508999999998</v>
      </c>
      <c r="AA34" s="1319">
        <f t="shared" si="6"/>
        <v>5715.8428000000004</v>
      </c>
      <c r="AB34" s="1319">
        <f t="shared" si="6"/>
        <v>5739.5581999999995</v>
      </c>
      <c r="AC34" s="1319">
        <f t="shared" si="6"/>
        <v>5761.8640999999998</v>
      </c>
      <c r="AD34" s="1319">
        <f t="shared" si="6"/>
        <v>5859.2307000000001</v>
      </c>
      <c r="AE34" s="1319">
        <f t="shared" si="6"/>
        <v>5935.9628000000002</v>
      </c>
      <c r="AF34" s="1319">
        <f t="shared" si="6"/>
        <v>5988.5302000000001</v>
      </c>
      <c r="AG34" s="1319">
        <f t="shared" si="6"/>
        <v>6019.5030999999999</v>
      </c>
      <c r="AH34" s="1319">
        <f t="shared" si="6"/>
        <v>6019.5144</v>
      </c>
      <c r="AI34" s="1319">
        <f t="shared" si="6"/>
        <v>5934.7562000000007</v>
      </c>
    </row>
    <row r="35" spans="3:35">
      <c r="C35" s="1315" t="s">
        <v>2040</v>
      </c>
      <c r="D35" s="1319">
        <v>4688</v>
      </c>
      <c r="E35" s="1319">
        <f t="shared" si="5"/>
        <v>4866.9047</v>
      </c>
      <c r="F35" s="1319">
        <f t="shared" si="5"/>
        <v>4909.3184000000001</v>
      </c>
      <c r="G35" s="1319">
        <f t="shared" si="5"/>
        <v>4951.3845999999994</v>
      </c>
      <c r="H35" s="1319">
        <f t="shared" si="5"/>
        <v>4995.5216</v>
      </c>
      <c r="I35" s="1319">
        <f t="shared" si="5"/>
        <v>5041.7247000000007</v>
      </c>
      <c r="J35" s="1319">
        <f t="shared" si="5"/>
        <v>5088.2291999999998</v>
      </c>
      <c r="K35" s="1319">
        <f t="shared" si="5"/>
        <v>5134.2755999999999</v>
      </c>
      <c r="L35" s="1319">
        <f t="shared" si="5"/>
        <v>5179.4876999999997</v>
      </c>
      <c r="M35" s="1319">
        <f t="shared" si="5"/>
        <v>5223.6848000000009</v>
      </c>
      <c r="N35" s="1319">
        <f t="shared" si="5"/>
        <v>5266.7948000000006</v>
      </c>
      <c r="O35" s="1319">
        <f t="shared" si="5"/>
        <v>5308.8009000000002</v>
      </c>
      <c r="P35" s="1319">
        <f t="shared" si="5"/>
        <v>5349.6558999999997</v>
      </c>
      <c r="Q35" s="1319">
        <f t="shared" si="5"/>
        <v>5389.3822</v>
      </c>
      <c r="R35" s="1319">
        <f t="shared" si="5"/>
        <v>5427.9975999999997</v>
      </c>
      <c r="S35" s="1319">
        <f t="shared" si="5"/>
        <v>5465.5015000000003</v>
      </c>
      <c r="T35" s="1319">
        <f t="shared" si="5"/>
        <v>5501.8671999999997</v>
      </c>
      <c r="U35" s="1319">
        <f t="shared" si="6"/>
        <v>5537.0302000000001</v>
      </c>
      <c r="V35" s="1319">
        <f t="shared" si="6"/>
        <v>5570.8926000000001</v>
      </c>
      <c r="W35" s="1319">
        <f t="shared" si="6"/>
        <v>5603.3230000000003</v>
      </c>
      <c r="X35" s="1319">
        <f t="shared" si="6"/>
        <v>5634.1603000000005</v>
      </c>
      <c r="Y35" s="1319">
        <f t="shared" si="6"/>
        <v>5663.2359000000006</v>
      </c>
      <c r="Z35" s="1319">
        <f t="shared" si="6"/>
        <v>5690.4508999999998</v>
      </c>
      <c r="AA35" s="1319">
        <f t="shared" si="6"/>
        <v>5715.8428000000004</v>
      </c>
      <c r="AB35" s="1319">
        <f t="shared" si="6"/>
        <v>5739.5581999999995</v>
      </c>
      <c r="AC35" s="1319">
        <f t="shared" si="6"/>
        <v>5761.8640999999998</v>
      </c>
      <c r="AD35" s="1319">
        <f t="shared" si="6"/>
        <v>5859.2307000000001</v>
      </c>
      <c r="AE35" s="1319">
        <f t="shared" si="6"/>
        <v>5935.9628000000002</v>
      </c>
      <c r="AF35" s="1319">
        <f t="shared" si="6"/>
        <v>5988.5302000000001</v>
      </c>
      <c r="AG35" s="1319">
        <f t="shared" si="6"/>
        <v>6019.5030999999999</v>
      </c>
      <c r="AH35" s="1319">
        <f t="shared" si="6"/>
        <v>6019.5144</v>
      </c>
      <c r="AI35" s="1319">
        <f t="shared" si="6"/>
        <v>5934.7562000000007</v>
      </c>
    </row>
    <row r="36" spans="3:35">
      <c r="C36" s="1315" t="s">
        <v>2041</v>
      </c>
      <c r="D36" s="1319">
        <v>937</v>
      </c>
      <c r="E36" s="1319">
        <f>E$41/50</f>
        <v>973.38094000000001</v>
      </c>
      <c r="F36" s="1319">
        <f t="shared" ref="F36:AI40" si="7">F$41/50</f>
        <v>981.86368000000004</v>
      </c>
      <c r="G36" s="1319">
        <f t="shared" si="7"/>
        <v>990.2769199999999</v>
      </c>
      <c r="H36" s="1319">
        <f t="shared" si="7"/>
        <v>999.10432000000003</v>
      </c>
      <c r="I36" s="1319">
        <f t="shared" si="7"/>
        <v>1008.3449400000001</v>
      </c>
      <c r="J36" s="1319">
        <f t="shared" si="7"/>
        <v>1017.64584</v>
      </c>
      <c r="K36" s="1319">
        <f t="shared" si="7"/>
        <v>1026.8551199999999</v>
      </c>
      <c r="L36" s="1319">
        <f t="shared" si="7"/>
        <v>1035.8975399999999</v>
      </c>
      <c r="M36" s="1319">
        <f t="shared" si="7"/>
        <v>1044.7369600000002</v>
      </c>
      <c r="N36" s="1319">
        <f t="shared" si="7"/>
        <v>1053.35896</v>
      </c>
      <c r="O36" s="1319">
        <f t="shared" si="7"/>
        <v>1061.76018</v>
      </c>
      <c r="P36" s="1319">
        <f t="shared" si="7"/>
        <v>1069.93118</v>
      </c>
      <c r="Q36" s="1319">
        <f t="shared" si="7"/>
        <v>1077.87644</v>
      </c>
      <c r="R36" s="1319">
        <f t="shared" si="7"/>
        <v>1085.59952</v>
      </c>
      <c r="S36" s="1319">
        <f t="shared" si="7"/>
        <v>1093.1003000000001</v>
      </c>
      <c r="T36" s="1319">
        <f t="shared" si="7"/>
        <v>1100.3734400000001</v>
      </c>
      <c r="U36" s="1319">
        <f t="shared" si="7"/>
        <v>1107.4060400000001</v>
      </c>
      <c r="V36" s="1319">
        <f t="shared" si="7"/>
        <v>1114.1785199999999</v>
      </c>
      <c r="W36" s="1319">
        <f t="shared" si="7"/>
        <v>1120.6646000000001</v>
      </c>
      <c r="X36" s="1319">
        <f t="shared" si="7"/>
        <v>1126.83206</v>
      </c>
      <c r="Y36" s="1319">
        <f t="shared" si="7"/>
        <v>1132.6471800000002</v>
      </c>
      <c r="Z36" s="1319">
        <f t="shared" si="7"/>
        <v>1138.0901799999999</v>
      </c>
      <c r="AA36" s="1319">
        <f t="shared" si="7"/>
        <v>1143.1685600000001</v>
      </c>
      <c r="AB36" s="1319">
        <f t="shared" si="7"/>
        <v>1147.9116399999998</v>
      </c>
      <c r="AC36" s="1319">
        <f t="shared" si="7"/>
        <v>1152.3728199999998</v>
      </c>
      <c r="AD36" s="1319">
        <f t="shared" si="7"/>
        <v>1171.8461400000001</v>
      </c>
      <c r="AE36" s="1319">
        <f t="shared" si="7"/>
        <v>1187.1925600000002</v>
      </c>
      <c r="AF36" s="1319">
        <f t="shared" si="7"/>
        <v>1197.70604</v>
      </c>
      <c r="AG36" s="1319">
        <f t="shared" si="7"/>
        <v>1203.9006200000001</v>
      </c>
      <c r="AH36" s="1319">
        <f t="shared" si="7"/>
        <v>1203.9028800000001</v>
      </c>
      <c r="AI36" s="1319">
        <f t="shared" si="7"/>
        <v>1186.9512400000001</v>
      </c>
    </row>
    <row r="37" spans="3:35">
      <c r="C37" s="1315" t="s">
        <v>2023</v>
      </c>
      <c r="D37" s="1319">
        <v>937</v>
      </c>
      <c r="E37" s="1319">
        <f>E$41/50</f>
        <v>973.38094000000001</v>
      </c>
      <c r="F37" s="1319">
        <f t="shared" si="7"/>
        <v>981.86368000000004</v>
      </c>
      <c r="G37" s="1319">
        <f t="shared" si="7"/>
        <v>990.2769199999999</v>
      </c>
      <c r="H37" s="1319">
        <f t="shared" si="7"/>
        <v>999.10432000000003</v>
      </c>
      <c r="I37" s="1319">
        <f t="shared" si="7"/>
        <v>1008.3449400000001</v>
      </c>
      <c r="J37" s="1319">
        <f t="shared" si="7"/>
        <v>1017.64584</v>
      </c>
      <c r="K37" s="1319">
        <f t="shared" si="7"/>
        <v>1026.8551199999999</v>
      </c>
      <c r="L37" s="1319">
        <f t="shared" si="7"/>
        <v>1035.8975399999999</v>
      </c>
      <c r="M37" s="1319">
        <f t="shared" si="7"/>
        <v>1044.7369600000002</v>
      </c>
      <c r="N37" s="1319">
        <f t="shared" si="7"/>
        <v>1053.35896</v>
      </c>
      <c r="O37" s="1319">
        <f t="shared" si="7"/>
        <v>1061.76018</v>
      </c>
      <c r="P37" s="1319">
        <f t="shared" si="7"/>
        <v>1069.93118</v>
      </c>
      <c r="Q37" s="1319">
        <f t="shared" si="7"/>
        <v>1077.87644</v>
      </c>
      <c r="R37" s="1319">
        <f t="shared" si="7"/>
        <v>1085.59952</v>
      </c>
      <c r="S37" s="1319">
        <f t="shared" si="7"/>
        <v>1093.1003000000001</v>
      </c>
      <c r="T37" s="1319">
        <f t="shared" si="7"/>
        <v>1100.3734400000001</v>
      </c>
      <c r="U37" s="1319">
        <f t="shared" si="7"/>
        <v>1107.4060400000001</v>
      </c>
      <c r="V37" s="1319">
        <f t="shared" si="7"/>
        <v>1114.1785199999999</v>
      </c>
      <c r="W37" s="1319">
        <f t="shared" si="7"/>
        <v>1120.6646000000001</v>
      </c>
      <c r="X37" s="1319">
        <f t="shared" si="7"/>
        <v>1126.83206</v>
      </c>
      <c r="Y37" s="1319">
        <f t="shared" si="7"/>
        <v>1132.6471800000002</v>
      </c>
      <c r="Z37" s="1319">
        <f t="shared" si="7"/>
        <v>1138.0901799999999</v>
      </c>
      <c r="AA37" s="1319">
        <f t="shared" si="7"/>
        <v>1143.1685600000001</v>
      </c>
      <c r="AB37" s="1319">
        <f t="shared" si="7"/>
        <v>1147.9116399999998</v>
      </c>
      <c r="AC37" s="1319">
        <f t="shared" si="7"/>
        <v>1152.3728199999998</v>
      </c>
      <c r="AD37" s="1319">
        <f t="shared" si="7"/>
        <v>1171.8461400000001</v>
      </c>
      <c r="AE37" s="1319">
        <f t="shared" si="7"/>
        <v>1187.1925600000002</v>
      </c>
      <c r="AF37" s="1319">
        <f t="shared" si="7"/>
        <v>1197.70604</v>
      </c>
      <c r="AG37" s="1319">
        <f t="shared" si="7"/>
        <v>1203.9006200000001</v>
      </c>
      <c r="AH37" s="1319">
        <f t="shared" si="7"/>
        <v>1203.9028800000001</v>
      </c>
      <c r="AI37" s="1319">
        <f t="shared" si="7"/>
        <v>1186.9512400000001</v>
      </c>
    </row>
    <row r="38" spans="3:35">
      <c r="C38" s="1315" t="s">
        <v>2025</v>
      </c>
      <c r="D38" s="1319">
        <v>937</v>
      </c>
      <c r="E38" s="1319">
        <f>E$41/50</f>
        <v>973.38094000000001</v>
      </c>
      <c r="F38" s="1319">
        <f t="shared" si="7"/>
        <v>981.86368000000004</v>
      </c>
      <c r="G38" s="1319">
        <f t="shared" si="7"/>
        <v>990.2769199999999</v>
      </c>
      <c r="H38" s="1319">
        <f t="shared" si="7"/>
        <v>999.10432000000003</v>
      </c>
      <c r="I38" s="1319">
        <f t="shared" si="7"/>
        <v>1008.3449400000001</v>
      </c>
      <c r="J38" s="1319">
        <f t="shared" si="7"/>
        <v>1017.64584</v>
      </c>
      <c r="K38" s="1319">
        <f t="shared" si="7"/>
        <v>1026.8551199999999</v>
      </c>
      <c r="L38" s="1319">
        <f t="shared" si="7"/>
        <v>1035.8975399999999</v>
      </c>
      <c r="M38" s="1319">
        <f t="shared" si="7"/>
        <v>1044.7369600000002</v>
      </c>
      <c r="N38" s="1319">
        <f t="shared" si="7"/>
        <v>1053.35896</v>
      </c>
      <c r="O38" s="1319">
        <f t="shared" si="7"/>
        <v>1061.76018</v>
      </c>
      <c r="P38" s="1319">
        <f t="shared" si="7"/>
        <v>1069.93118</v>
      </c>
      <c r="Q38" s="1319">
        <f t="shared" si="7"/>
        <v>1077.87644</v>
      </c>
      <c r="R38" s="1319">
        <f t="shared" si="7"/>
        <v>1085.59952</v>
      </c>
      <c r="S38" s="1319">
        <f t="shared" si="7"/>
        <v>1093.1003000000001</v>
      </c>
      <c r="T38" s="1319">
        <f t="shared" si="7"/>
        <v>1100.3734400000001</v>
      </c>
      <c r="U38" s="1319">
        <f t="shared" si="7"/>
        <v>1107.4060400000001</v>
      </c>
      <c r="V38" s="1319">
        <f t="shared" si="7"/>
        <v>1114.1785199999999</v>
      </c>
      <c r="W38" s="1319">
        <f t="shared" si="7"/>
        <v>1120.6646000000001</v>
      </c>
      <c r="X38" s="1319">
        <f t="shared" si="7"/>
        <v>1126.83206</v>
      </c>
      <c r="Y38" s="1319">
        <f t="shared" si="7"/>
        <v>1132.6471800000002</v>
      </c>
      <c r="Z38" s="1319">
        <f t="shared" si="7"/>
        <v>1138.0901799999999</v>
      </c>
      <c r="AA38" s="1319">
        <f t="shared" si="7"/>
        <v>1143.1685600000001</v>
      </c>
      <c r="AB38" s="1319">
        <f t="shared" si="7"/>
        <v>1147.9116399999998</v>
      </c>
      <c r="AC38" s="1319">
        <f t="shared" si="7"/>
        <v>1152.3728199999998</v>
      </c>
      <c r="AD38" s="1319">
        <f t="shared" si="7"/>
        <v>1171.8461400000001</v>
      </c>
      <c r="AE38" s="1319">
        <f t="shared" si="7"/>
        <v>1187.1925600000002</v>
      </c>
      <c r="AF38" s="1319">
        <f t="shared" si="7"/>
        <v>1197.70604</v>
      </c>
      <c r="AG38" s="1319">
        <f t="shared" si="7"/>
        <v>1203.9006200000001</v>
      </c>
      <c r="AH38" s="1319">
        <f t="shared" si="7"/>
        <v>1203.9028800000001</v>
      </c>
      <c r="AI38" s="1319">
        <f t="shared" si="7"/>
        <v>1186.9512400000001</v>
      </c>
    </row>
    <row r="39" spans="3:35">
      <c r="C39" s="1315" t="s">
        <v>2027</v>
      </c>
      <c r="D39" s="1319">
        <v>937</v>
      </c>
      <c r="E39" s="1319">
        <f>E$41/50</f>
        <v>973.38094000000001</v>
      </c>
      <c r="F39" s="1319">
        <f t="shared" si="7"/>
        <v>981.86368000000004</v>
      </c>
      <c r="G39" s="1319">
        <f t="shared" si="7"/>
        <v>990.2769199999999</v>
      </c>
      <c r="H39" s="1319">
        <f t="shared" si="7"/>
        <v>999.10432000000003</v>
      </c>
      <c r="I39" s="1319">
        <f t="shared" si="7"/>
        <v>1008.3449400000001</v>
      </c>
      <c r="J39" s="1319">
        <f t="shared" si="7"/>
        <v>1017.64584</v>
      </c>
      <c r="K39" s="1319">
        <f t="shared" si="7"/>
        <v>1026.8551199999999</v>
      </c>
      <c r="L39" s="1319">
        <f t="shared" si="7"/>
        <v>1035.8975399999999</v>
      </c>
      <c r="M39" s="1319">
        <f t="shared" si="7"/>
        <v>1044.7369600000002</v>
      </c>
      <c r="N39" s="1319">
        <f t="shared" si="7"/>
        <v>1053.35896</v>
      </c>
      <c r="O39" s="1319">
        <f t="shared" si="7"/>
        <v>1061.76018</v>
      </c>
      <c r="P39" s="1319">
        <f t="shared" si="7"/>
        <v>1069.93118</v>
      </c>
      <c r="Q39" s="1319">
        <f t="shared" si="7"/>
        <v>1077.87644</v>
      </c>
      <c r="R39" s="1319">
        <f t="shared" si="7"/>
        <v>1085.59952</v>
      </c>
      <c r="S39" s="1319">
        <f t="shared" si="7"/>
        <v>1093.1003000000001</v>
      </c>
      <c r="T39" s="1319">
        <f t="shared" si="7"/>
        <v>1100.3734400000001</v>
      </c>
      <c r="U39" s="1319">
        <f t="shared" si="7"/>
        <v>1107.4060400000001</v>
      </c>
      <c r="V39" s="1319">
        <f t="shared" si="7"/>
        <v>1114.1785199999999</v>
      </c>
      <c r="W39" s="1319">
        <f t="shared" si="7"/>
        <v>1120.6646000000001</v>
      </c>
      <c r="X39" s="1319">
        <f t="shared" si="7"/>
        <v>1126.83206</v>
      </c>
      <c r="Y39" s="1319">
        <f t="shared" si="7"/>
        <v>1132.6471800000002</v>
      </c>
      <c r="Z39" s="1319">
        <f t="shared" si="7"/>
        <v>1138.0901799999999</v>
      </c>
      <c r="AA39" s="1319">
        <f t="shared" si="7"/>
        <v>1143.1685600000001</v>
      </c>
      <c r="AB39" s="1319">
        <f t="shared" si="7"/>
        <v>1147.9116399999998</v>
      </c>
      <c r="AC39" s="1319">
        <f t="shared" si="7"/>
        <v>1152.3728199999998</v>
      </c>
      <c r="AD39" s="1319">
        <f t="shared" si="7"/>
        <v>1171.8461400000001</v>
      </c>
      <c r="AE39" s="1319">
        <f t="shared" si="7"/>
        <v>1187.1925600000002</v>
      </c>
      <c r="AF39" s="1319">
        <f t="shared" si="7"/>
        <v>1197.70604</v>
      </c>
      <c r="AG39" s="1319">
        <f t="shared" si="7"/>
        <v>1203.9006200000001</v>
      </c>
      <c r="AH39" s="1319">
        <f t="shared" si="7"/>
        <v>1203.9028800000001</v>
      </c>
      <c r="AI39" s="1319">
        <f t="shared" si="7"/>
        <v>1186.9512400000001</v>
      </c>
    </row>
    <row r="40" spans="3:35">
      <c r="C40" s="1315" t="s">
        <v>2029</v>
      </c>
      <c r="D40" s="1319">
        <v>937</v>
      </c>
      <c r="E40" s="1319">
        <f>E$41/50</f>
        <v>973.38094000000001</v>
      </c>
      <c r="F40" s="1319">
        <f t="shared" si="7"/>
        <v>981.86368000000004</v>
      </c>
      <c r="G40" s="1319">
        <f t="shared" si="7"/>
        <v>990.2769199999999</v>
      </c>
      <c r="H40" s="1319">
        <f t="shared" si="7"/>
        <v>999.10432000000003</v>
      </c>
      <c r="I40" s="1319">
        <f t="shared" si="7"/>
        <v>1008.3449400000001</v>
      </c>
      <c r="J40" s="1319">
        <f t="shared" si="7"/>
        <v>1017.64584</v>
      </c>
      <c r="K40" s="1319">
        <f t="shared" si="7"/>
        <v>1026.8551199999999</v>
      </c>
      <c r="L40" s="1319">
        <f t="shared" si="7"/>
        <v>1035.8975399999999</v>
      </c>
      <c r="M40" s="1319">
        <f t="shared" si="7"/>
        <v>1044.7369600000002</v>
      </c>
      <c r="N40" s="1319">
        <f t="shared" si="7"/>
        <v>1053.35896</v>
      </c>
      <c r="O40" s="1319">
        <f t="shared" si="7"/>
        <v>1061.76018</v>
      </c>
      <c r="P40" s="1319">
        <f t="shared" si="7"/>
        <v>1069.93118</v>
      </c>
      <c r="Q40" s="1319">
        <f t="shared" si="7"/>
        <v>1077.87644</v>
      </c>
      <c r="R40" s="1319">
        <f t="shared" si="7"/>
        <v>1085.59952</v>
      </c>
      <c r="S40" s="1319">
        <f t="shared" si="7"/>
        <v>1093.1003000000001</v>
      </c>
      <c r="T40" s="1319">
        <f t="shared" si="7"/>
        <v>1100.3734400000001</v>
      </c>
      <c r="U40" s="1319">
        <f t="shared" si="7"/>
        <v>1107.4060400000001</v>
      </c>
      <c r="V40" s="1319">
        <f t="shared" si="7"/>
        <v>1114.1785199999999</v>
      </c>
      <c r="W40" s="1319">
        <f t="shared" si="7"/>
        <v>1120.6646000000001</v>
      </c>
      <c r="X40" s="1319">
        <f t="shared" si="7"/>
        <v>1126.83206</v>
      </c>
      <c r="Y40" s="1319">
        <f t="shared" si="7"/>
        <v>1132.6471800000002</v>
      </c>
      <c r="Z40" s="1319">
        <f t="shared" si="7"/>
        <v>1138.0901799999999</v>
      </c>
      <c r="AA40" s="1319">
        <f t="shared" si="7"/>
        <v>1143.1685600000001</v>
      </c>
      <c r="AB40" s="1319">
        <f t="shared" si="7"/>
        <v>1147.9116399999998</v>
      </c>
      <c r="AC40" s="1319">
        <f t="shared" si="7"/>
        <v>1152.3728199999998</v>
      </c>
      <c r="AD40" s="1319">
        <f t="shared" si="7"/>
        <v>1171.8461400000001</v>
      </c>
      <c r="AE40" s="1319">
        <f t="shared" si="7"/>
        <v>1187.1925600000002</v>
      </c>
      <c r="AF40" s="1319">
        <f t="shared" si="7"/>
        <v>1197.70604</v>
      </c>
      <c r="AG40" s="1319">
        <f t="shared" si="7"/>
        <v>1203.9006200000001</v>
      </c>
      <c r="AH40" s="1319">
        <f t="shared" si="7"/>
        <v>1203.9028800000001</v>
      </c>
      <c r="AI40" s="1319">
        <f t="shared" si="7"/>
        <v>1186.9512400000001</v>
      </c>
    </row>
    <row r="41" spans="3:35">
      <c r="D41" s="1319">
        <f>SUM(D27:D40)</f>
        <v>46877</v>
      </c>
      <c r="E41" s="1318">
        <f>E42*1000</f>
        <v>48669.046999999999</v>
      </c>
      <c r="F41" s="1318">
        <f t="shared" ref="F41:AI41" si="8">F42*1000</f>
        <v>49093.184000000001</v>
      </c>
      <c r="G41" s="1318">
        <f t="shared" si="8"/>
        <v>49513.845999999998</v>
      </c>
      <c r="H41" s="1318">
        <f t="shared" si="8"/>
        <v>49955.216</v>
      </c>
      <c r="I41" s="1318">
        <f t="shared" si="8"/>
        <v>50417.247000000003</v>
      </c>
      <c r="J41" s="1318">
        <f t="shared" si="8"/>
        <v>50882.292000000001</v>
      </c>
      <c r="K41" s="1318">
        <f t="shared" si="8"/>
        <v>51342.756000000001</v>
      </c>
      <c r="L41" s="1318">
        <f t="shared" si="8"/>
        <v>51794.877</v>
      </c>
      <c r="M41" s="1318">
        <f t="shared" si="8"/>
        <v>52236.848000000005</v>
      </c>
      <c r="N41" s="1318">
        <f t="shared" si="8"/>
        <v>52667.948000000004</v>
      </c>
      <c r="O41" s="1318">
        <f t="shared" si="8"/>
        <v>53088.008999999998</v>
      </c>
      <c r="P41" s="1318">
        <f t="shared" si="8"/>
        <v>53496.559000000001</v>
      </c>
      <c r="Q41" s="1318">
        <f t="shared" si="8"/>
        <v>53893.822</v>
      </c>
      <c r="R41" s="1318">
        <f t="shared" si="8"/>
        <v>54279.975999999995</v>
      </c>
      <c r="S41" s="1318">
        <f t="shared" si="8"/>
        <v>54655.014999999999</v>
      </c>
      <c r="T41" s="1318">
        <f t="shared" si="8"/>
        <v>55018.671999999999</v>
      </c>
      <c r="U41" s="1318">
        <f t="shared" si="8"/>
        <v>55370.302000000003</v>
      </c>
      <c r="V41" s="1318">
        <f t="shared" si="8"/>
        <v>55708.925999999999</v>
      </c>
      <c r="W41" s="1318">
        <f t="shared" si="8"/>
        <v>56033.23</v>
      </c>
      <c r="X41" s="1318">
        <f t="shared" si="8"/>
        <v>56341.603000000003</v>
      </c>
      <c r="Y41" s="1318">
        <f t="shared" si="8"/>
        <v>56632.359000000004</v>
      </c>
      <c r="Z41" s="1318">
        <f t="shared" si="8"/>
        <v>56904.508999999998</v>
      </c>
      <c r="AA41" s="1318">
        <f t="shared" si="8"/>
        <v>57158.428</v>
      </c>
      <c r="AB41" s="1318">
        <f t="shared" si="8"/>
        <v>57395.581999999995</v>
      </c>
      <c r="AC41" s="1318">
        <f t="shared" si="8"/>
        <v>57618.640999999996</v>
      </c>
      <c r="AD41" s="1318">
        <f t="shared" si="8"/>
        <v>58592.307000000001</v>
      </c>
      <c r="AE41" s="1318">
        <f t="shared" si="8"/>
        <v>59359.628000000004</v>
      </c>
      <c r="AF41" s="1318">
        <f t="shared" si="8"/>
        <v>59885.302000000003</v>
      </c>
      <c r="AG41" s="1318">
        <f t="shared" si="8"/>
        <v>60195.031000000003</v>
      </c>
      <c r="AH41" s="1318">
        <f t="shared" si="8"/>
        <v>60195.144</v>
      </c>
      <c r="AI41" s="1318">
        <f t="shared" si="8"/>
        <v>59347.562000000005</v>
      </c>
    </row>
    <row r="42" spans="3:35">
      <c r="C42" s="1361" t="s">
        <v>2142</v>
      </c>
      <c r="D42" s="1319"/>
      <c r="E42" s="1362">
        <v>48.669046999999999</v>
      </c>
      <c r="F42" s="1362">
        <v>49.093184000000001</v>
      </c>
      <c r="G42" s="1362">
        <v>49.513846000000001</v>
      </c>
      <c r="H42" s="1362">
        <v>49.955216</v>
      </c>
      <c r="I42" s="1362">
        <v>50.417247000000003</v>
      </c>
      <c r="J42" s="1362">
        <v>50.882292</v>
      </c>
      <c r="K42" s="1362">
        <v>51.342756000000001</v>
      </c>
      <c r="L42" s="1362">
        <v>51.794877</v>
      </c>
      <c r="M42" s="1362">
        <v>52.236848000000002</v>
      </c>
      <c r="N42" s="1362">
        <v>52.667948000000003</v>
      </c>
      <c r="O42" s="1362">
        <v>53.088009</v>
      </c>
      <c r="P42" s="1362">
        <v>53.496558999999998</v>
      </c>
      <c r="Q42" s="1362">
        <v>53.893822</v>
      </c>
      <c r="R42" s="1362">
        <v>54.279975999999998</v>
      </c>
      <c r="S42" s="1362">
        <v>54.655014999999999</v>
      </c>
      <c r="T42" s="1362">
        <v>55.018672000000002</v>
      </c>
      <c r="U42" s="1362">
        <v>55.370302000000002</v>
      </c>
      <c r="V42" s="1362">
        <v>55.708925999999998</v>
      </c>
      <c r="W42" s="1362">
        <v>56.033230000000003</v>
      </c>
      <c r="X42" s="1362">
        <v>56.341602999999999</v>
      </c>
      <c r="Y42" s="1362">
        <v>56.632359000000001</v>
      </c>
      <c r="Z42" s="1362">
        <v>56.904508999999997</v>
      </c>
      <c r="AA42" s="1362">
        <v>57.158428000000001</v>
      </c>
      <c r="AB42" s="1362">
        <v>57.395581999999997</v>
      </c>
      <c r="AC42" s="1362">
        <v>57.618640999999997</v>
      </c>
      <c r="AD42" s="1362">
        <v>58.592306999999998</v>
      </c>
      <c r="AE42" s="1362">
        <v>59.359628000000001</v>
      </c>
      <c r="AF42" s="1362">
        <v>59.885302000000003</v>
      </c>
      <c r="AG42" s="1362">
        <v>60.195031</v>
      </c>
      <c r="AH42" s="1362">
        <v>60.195143999999999</v>
      </c>
      <c r="AI42" s="1362">
        <v>59.347562000000003</v>
      </c>
    </row>
    <row r="43" spans="3:35">
      <c r="C43" s="1320" t="s">
        <v>2042</v>
      </c>
      <c r="D43" s="1318"/>
      <c r="E43" s="1321"/>
      <c r="F43" s="1321"/>
      <c r="G43" s="1321"/>
      <c r="H43" s="1321"/>
      <c r="I43" s="1321"/>
      <c r="J43" s="1321"/>
      <c r="K43" s="1321"/>
      <c r="L43" s="1321"/>
      <c r="M43" s="1321"/>
      <c r="N43" s="1321"/>
      <c r="O43" s="1321"/>
      <c r="P43" s="1321"/>
      <c r="Q43" s="1321"/>
      <c r="R43" s="1321"/>
      <c r="S43" s="1321"/>
      <c r="T43" s="1321"/>
      <c r="U43" s="1321"/>
    </row>
    <row r="44" spans="3:35">
      <c r="C44" s="1315" t="s">
        <v>2043</v>
      </c>
      <c r="D44" s="1315" t="s">
        <v>2044</v>
      </c>
      <c r="E44" s="1315" t="s">
        <v>2045</v>
      </c>
      <c r="G44" s="1315" t="s">
        <v>2046</v>
      </c>
    </row>
    <row r="45" spans="3:35">
      <c r="C45" s="1315" t="s">
        <v>2047</v>
      </c>
      <c r="D45" s="1318">
        <v>6938361</v>
      </c>
      <c r="E45" s="1318">
        <v>1240766.0122849999</v>
      </c>
      <c r="G45" s="1322">
        <f>D45/E45</f>
        <v>5.5919979523151868</v>
      </c>
    </row>
    <row r="46" spans="3:35">
      <c r="C46" s="1315" t="s">
        <v>2048</v>
      </c>
      <c r="D46" s="1318">
        <v>6896747</v>
      </c>
      <c r="E46" s="1318">
        <v>1240824.930803</v>
      </c>
      <c r="G46" s="1322">
        <f t="shared" ref="G46:G59" si="9">D46/E46</f>
        <v>5.5581950594245146</v>
      </c>
    </row>
    <row r="47" spans="3:35">
      <c r="C47" s="1315" t="s">
        <v>2049</v>
      </c>
      <c r="D47" s="1318">
        <v>6006760</v>
      </c>
      <c r="E47" s="1318">
        <v>1240603.921143</v>
      </c>
      <c r="G47" s="1322">
        <f t="shared" si="9"/>
        <v>4.8418031715277978</v>
      </c>
    </row>
    <row r="48" spans="3:35">
      <c r="C48" s="1315" t="s">
        <v>2050</v>
      </c>
      <c r="D48" s="1318">
        <v>5259975</v>
      </c>
      <c r="E48" s="1318">
        <v>1239851.899427</v>
      </c>
      <c r="G48" s="1322">
        <f t="shared" si="9"/>
        <v>4.2424220202678304</v>
      </c>
    </row>
    <row r="49" spans="3:35">
      <c r="C49" s="1315" t="s">
        <v>2051</v>
      </c>
      <c r="D49" s="1318">
        <v>4837371</v>
      </c>
      <c r="E49" s="1318">
        <v>1240768.229695</v>
      </c>
      <c r="G49" s="1322">
        <f t="shared" si="9"/>
        <v>3.8986902503049263</v>
      </c>
    </row>
    <row r="50" spans="3:35">
      <c r="C50" s="1315" t="s">
        <v>2052</v>
      </c>
      <c r="D50" s="1318">
        <v>4182668</v>
      </c>
      <c r="E50" s="1318">
        <v>1240075.775933</v>
      </c>
      <c r="G50" s="1322">
        <f t="shared" si="9"/>
        <v>3.3729132373810558</v>
      </c>
    </row>
    <row r="51" spans="3:35">
      <c r="C51" s="1315" t="s">
        <v>2053</v>
      </c>
      <c r="D51" s="1318">
        <v>3606462</v>
      </c>
      <c r="E51" s="1318">
        <v>1240705.1965910001</v>
      </c>
      <c r="G51" s="1322">
        <f t="shared" si="9"/>
        <v>2.9067839885810316</v>
      </c>
    </row>
    <row r="52" spans="3:35">
      <c r="C52" s="1315" t="s">
        <v>2054</v>
      </c>
      <c r="D52" s="1318">
        <v>3280203</v>
      </c>
      <c r="E52" s="1318">
        <v>1240224.2360449999</v>
      </c>
      <c r="G52" s="1322">
        <f t="shared" si="9"/>
        <v>2.6448467177680457</v>
      </c>
    </row>
    <row r="53" spans="3:35">
      <c r="C53" s="1315" t="s">
        <v>2055</v>
      </c>
      <c r="D53" s="1318">
        <v>3404970</v>
      </c>
      <c r="E53" s="1318">
        <v>1241213.33433</v>
      </c>
      <c r="G53" s="1322">
        <f t="shared" si="9"/>
        <v>2.7432592817237045</v>
      </c>
    </row>
    <row r="54" spans="3:35">
      <c r="C54" s="1315" t="s">
        <v>2056</v>
      </c>
      <c r="D54" s="1318">
        <v>625184.9</v>
      </c>
      <c r="E54" s="1318">
        <v>248402.004831</v>
      </c>
      <c r="G54" s="1322">
        <f t="shared" si="9"/>
        <v>2.516827110253574</v>
      </c>
    </row>
    <row r="55" spans="3:35">
      <c r="C55" s="1315" t="s">
        <v>2057</v>
      </c>
      <c r="D55" s="1318">
        <v>630589.19999999995</v>
      </c>
      <c r="E55" s="1318">
        <v>249513.726669</v>
      </c>
      <c r="G55" s="1322">
        <f t="shared" si="9"/>
        <v>2.5272725810252803</v>
      </c>
    </row>
    <row r="56" spans="3:35">
      <c r="C56" s="1315" t="s">
        <v>2058</v>
      </c>
      <c r="D56" s="1318">
        <v>606674.1</v>
      </c>
      <c r="E56" s="1318">
        <v>247023.32519500001</v>
      </c>
      <c r="G56" s="1322">
        <f t="shared" si="9"/>
        <v>2.4559385212756406</v>
      </c>
    </row>
    <row r="57" spans="3:35">
      <c r="C57" s="1315" t="s">
        <v>2059</v>
      </c>
      <c r="D57" s="1318">
        <v>571641.4</v>
      </c>
      <c r="E57" s="1318">
        <v>246931.478848</v>
      </c>
      <c r="G57" s="1322">
        <f t="shared" si="9"/>
        <v>2.3149798586508972</v>
      </c>
    </row>
    <row r="58" spans="3:35">
      <c r="C58" s="1315" t="s">
        <v>2060</v>
      </c>
      <c r="D58" s="1318">
        <v>476778.9</v>
      </c>
      <c r="E58" s="1318">
        <v>247676.99727600001</v>
      </c>
      <c r="G58" s="1322">
        <f t="shared" si="9"/>
        <v>1.9250027464952639</v>
      </c>
    </row>
    <row r="59" spans="3:35">
      <c r="D59" s="1318">
        <f>SUM(D45:D58)</f>
        <v>47324385.5</v>
      </c>
      <c r="E59" s="1318">
        <f>SUM(E45:E58)</f>
        <v>12404581.069070999</v>
      </c>
      <c r="G59" s="1322">
        <f t="shared" si="9"/>
        <v>3.8150732569273464</v>
      </c>
    </row>
    <row r="60" spans="3:35">
      <c r="D60" s="1315" t="s">
        <v>2061</v>
      </c>
      <c r="E60" s="1315" t="s">
        <v>265</v>
      </c>
    </row>
    <row r="63" spans="3:35">
      <c r="C63" s="1323" t="s">
        <v>2062</v>
      </c>
      <c r="D63" s="1323"/>
      <c r="E63" s="1323"/>
    </row>
    <row r="64" spans="3:35">
      <c r="D64" s="1315">
        <v>2005</v>
      </c>
      <c r="E64" s="1315">
        <v>2006</v>
      </c>
      <c r="F64" s="1315">
        <v>2007</v>
      </c>
      <c r="G64" s="1315">
        <v>2008</v>
      </c>
      <c r="H64" s="1315">
        <v>2009</v>
      </c>
      <c r="I64" s="1315">
        <v>2010</v>
      </c>
      <c r="J64" s="1315">
        <v>2011</v>
      </c>
      <c r="K64" s="1315">
        <v>2012</v>
      </c>
      <c r="L64" s="1315">
        <v>2013</v>
      </c>
      <c r="M64" s="1315">
        <v>2014</v>
      </c>
      <c r="N64" s="1315">
        <v>2015</v>
      </c>
      <c r="O64" s="1315">
        <v>2016</v>
      </c>
      <c r="P64" s="1315">
        <v>2017</v>
      </c>
      <c r="Q64" s="1315">
        <v>2018</v>
      </c>
      <c r="R64" s="1315">
        <v>2019</v>
      </c>
      <c r="S64" s="1315">
        <v>2020</v>
      </c>
      <c r="T64" s="1315">
        <v>2021</v>
      </c>
      <c r="U64" s="1315">
        <v>2022</v>
      </c>
      <c r="V64" s="1315">
        <v>2023</v>
      </c>
      <c r="W64" s="1315">
        <v>2024</v>
      </c>
      <c r="X64" s="1315">
        <v>2025</v>
      </c>
      <c r="Y64" s="1315">
        <v>2026</v>
      </c>
      <c r="Z64" s="1315">
        <v>2027</v>
      </c>
      <c r="AA64" s="1315">
        <v>2028</v>
      </c>
      <c r="AB64" s="1315">
        <v>2029</v>
      </c>
      <c r="AC64" s="1315">
        <v>2030</v>
      </c>
      <c r="AD64" s="1315">
        <f t="shared" ref="AD64:AI64" si="10">AD26</f>
        <v>2035</v>
      </c>
      <c r="AE64" s="1315">
        <f t="shared" si="10"/>
        <v>2040</v>
      </c>
      <c r="AF64" s="1315">
        <f t="shared" si="10"/>
        <v>2045</v>
      </c>
      <c r="AG64" s="1315">
        <f t="shared" si="10"/>
        <v>2050</v>
      </c>
      <c r="AH64" s="1315">
        <f t="shared" si="10"/>
        <v>2060</v>
      </c>
      <c r="AI64" s="1315">
        <f t="shared" si="10"/>
        <v>2070</v>
      </c>
    </row>
    <row r="65" spans="1:35">
      <c r="A65" s="1315" t="s">
        <v>2063</v>
      </c>
      <c r="B65" s="1324">
        <f t="shared" ref="B65:B74" si="11">D65/$D$75</f>
        <v>9.9999999999999992E-2</v>
      </c>
      <c r="C65" s="1315" t="s">
        <v>2032</v>
      </c>
      <c r="D65" s="1316">
        <f t="shared" ref="D65:S74" si="12">D$75/10</f>
        <v>1245.7999999999997</v>
      </c>
      <c r="E65" s="1319">
        <f t="shared" si="12"/>
        <v>1293.425320575122</v>
      </c>
      <c r="F65" s="1319">
        <f t="shared" si="12"/>
        <v>1304.697156968236</v>
      </c>
      <c r="G65" s="1319">
        <f t="shared" si="12"/>
        <v>1315.876641995008</v>
      </c>
      <c r="H65" s="1319">
        <f t="shared" si="12"/>
        <v>1327.6064614373786</v>
      </c>
      <c r="I65" s="1319">
        <f t="shared" si="12"/>
        <v>1339.8853662265078</v>
      </c>
      <c r="J65" s="1319">
        <f t="shared" si="12"/>
        <v>1352.2443708769758</v>
      </c>
      <c r="K65" s="1319">
        <f t="shared" si="12"/>
        <v>1364.4816311794696</v>
      </c>
      <c r="L65" s="1319">
        <f t="shared" si="12"/>
        <v>1376.4971684749448</v>
      </c>
      <c r="M65" s="1319">
        <f t="shared" si="12"/>
        <v>1388.2429600529044</v>
      </c>
      <c r="N65" s="1319">
        <f t="shared" si="12"/>
        <v>1399.6998446658276</v>
      </c>
      <c r="O65" s="1319">
        <f t="shared" si="12"/>
        <v>1410.8633575570109</v>
      </c>
      <c r="P65" s="1319">
        <f t="shared" si="12"/>
        <v>1421.7209548861915</v>
      </c>
      <c r="Q65" s="1319">
        <f t="shared" si="12"/>
        <v>1432.2785896623077</v>
      </c>
      <c r="R65" s="1319">
        <f t="shared" si="12"/>
        <v>1442.5409924013907</v>
      </c>
      <c r="S65" s="1319">
        <f t="shared" si="12"/>
        <v>1452.5080036478444</v>
      </c>
      <c r="T65" s="1319">
        <f t="shared" ref="T65:AI73" si="13">T$75/10</f>
        <v>1462.1725276276213</v>
      </c>
      <c r="U65" s="1319">
        <f t="shared" si="13"/>
        <v>1471.5174228640913</v>
      </c>
      <c r="V65" s="1319">
        <f t="shared" si="13"/>
        <v>1480.5166715190819</v>
      </c>
      <c r="W65" s="1319">
        <f t="shared" si="13"/>
        <v>1489.1353528169466</v>
      </c>
      <c r="X65" s="1319">
        <f t="shared" si="13"/>
        <v>1497.3306529300085</v>
      </c>
      <c r="Y65" s="1319">
        <f t="shared" si="13"/>
        <v>1505.0577648356336</v>
      </c>
      <c r="Z65" s="1319">
        <f t="shared" si="13"/>
        <v>1512.2904049363226</v>
      </c>
      <c r="AA65" s="1319">
        <f t="shared" si="13"/>
        <v>1519.0385392068604</v>
      </c>
      <c r="AB65" s="1319">
        <f t="shared" si="13"/>
        <v>1525.341127964673</v>
      </c>
      <c r="AC65" s="1319">
        <f t="shared" si="13"/>
        <v>1531.2691289502311</v>
      </c>
      <c r="AD65" s="1319">
        <f t="shared" si="13"/>
        <v>1557.1452110971263</v>
      </c>
      <c r="AE65" s="1319">
        <f t="shared" si="13"/>
        <v>1577.5374823986174</v>
      </c>
      <c r="AF65" s="1319">
        <f t="shared" si="13"/>
        <v>1591.5077592764039</v>
      </c>
      <c r="AG65" s="1319">
        <f t="shared" si="13"/>
        <v>1599.7390963542884</v>
      </c>
      <c r="AH65" s="1319">
        <f t="shared" si="13"/>
        <v>1599.7420994346903</v>
      </c>
      <c r="AI65" s="1319">
        <f t="shared" si="13"/>
        <v>1577.2168171939327</v>
      </c>
    </row>
    <row r="66" spans="1:35">
      <c r="A66" s="1315" t="s">
        <v>2063</v>
      </c>
      <c r="B66" s="1324">
        <f t="shared" si="11"/>
        <v>9.9999999999999992E-2</v>
      </c>
      <c r="C66" s="1315" t="s">
        <v>2033</v>
      </c>
      <c r="D66" s="1316">
        <f t="shared" si="12"/>
        <v>1245.7999999999997</v>
      </c>
      <c r="E66" s="1319">
        <f t="shared" si="12"/>
        <v>1293.425320575122</v>
      </c>
      <c r="F66" s="1319">
        <f t="shared" si="12"/>
        <v>1304.697156968236</v>
      </c>
      <c r="G66" s="1319">
        <f t="shared" si="12"/>
        <v>1315.876641995008</v>
      </c>
      <c r="H66" s="1319">
        <f t="shared" si="12"/>
        <v>1327.6064614373786</v>
      </c>
      <c r="I66" s="1319">
        <f t="shared" si="12"/>
        <v>1339.8853662265078</v>
      </c>
      <c r="J66" s="1319">
        <f t="shared" si="12"/>
        <v>1352.2443708769758</v>
      </c>
      <c r="K66" s="1319">
        <f t="shared" si="12"/>
        <v>1364.4816311794696</v>
      </c>
      <c r="L66" s="1319">
        <f t="shared" si="12"/>
        <v>1376.4971684749448</v>
      </c>
      <c r="M66" s="1319">
        <f t="shared" si="12"/>
        <v>1388.2429600529044</v>
      </c>
      <c r="N66" s="1319">
        <f t="shared" si="12"/>
        <v>1399.6998446658276</v>
      </c>
      <c r="O66" s="1319">
        <f t="shared" si="12"/>
        <v>1410.8633575570109</v>
      </c>
      <c r="P66" s="1319">
        <f t="shared" si="12"/>
        <v>1421.7209548861915</v>
      </c>
      <c r="Q66" s="1319">
        <f t="shared" si="12"/>
        <v>1432.2785896623077</v>
      </c>
      <c r="R66" s="1319">
        <f t="shared" si="12"/>
        <v>1442.5409924013907</v>
      </c>
      <c r="S66" s="1319">
        <f t="shared" si="12"/>
        <v>1452.5080036478444</v>
      </c>
      <c r="T66" s="1319">
        <f t="shared" si="13"/>
        <v>1462.1725276276213</v>
      </c>
      <c r="U66" s="1319">
        <f t="shared" si="13"/>
        <v>1471.5174228640913</v>
      </c>
      <c r="V66" s="1319">
        <f t="shared" si="13"/>
        <v>1480.5166715190819</v>
      </c>
      <c r="W66" s="1319">
        <f t="shared" si="13"/>
        <v>1489.1353528169466</v>
      </c>
      <c r="X66" s="1319">
        <f t="shared" si="13"/>
        <v>1497.3306529300085</v>
      </c>
      <c r="Y66" s="1319">
        <f t="shared" si="13"/>
        <v>1505.0577648356336</v>
      </c>
      <c r="Z66" s="1319">
        <f t="shared" si="13"/>
        <v>1512.2904049363226</v>
      </c>
      <c r="AA66" s="1319">
        <f t="shared" si="13"/>
        <v>1519.0385392068604</v>
      </c>
      <c r="AB66" s="1319">
        <f t="shared" si="13"/>
        <v>1525.341127964673</v>
      </c>
      <c r="AC66" s="1319">
        <f t="shared" si="13"/>
        <v>1531.2691289502311</v>
      </c>
      <c r="AD66" s="1319">
        <f t="shared" si="13"/>
        <v>1557.1452110971263</v>
      </c>
      <c r="AE66" s="1319">
        <f t="shared" si="13"/>
        <v>1577.5374823986174</v>
      </c>
      <c r="AF66" s="1319">
        <f t="shared" si="13"/>
        <v>1591.5077592764039</v>
      </c>
      <c r="AG66" s="1319">
        <f t="shared" si="13"/>
        <v>1599.7390963542884</v>
      </c>
      <c r="AH66" s="1319">
        <f t="shared" si="13"/>
        <v>1599.7420994346903</v>
      </c>
      <c r="AI66" s="1319">
        <f t="shared" si="13"/>
        <v>1577.2168171939327</v>
      </c>
    </row>
    <row r="67" spans="1:35">
      <c r="A67" s="1315" t="s">
        <v>2063</v>
      </c>
      <c r="B67" s="1324">
        <f t="shared" si="11"/>
        <v>9.9999999999999992E-2</v>
      </c>
      <c r="C67" s="1315" t="s">
        <v>2034</v>
      </c>
      <c r="D67" s="1316">
        <f t="shared" si="12"/>
        <v>1245.7999999999997</v>
      </c>
      <c r="E67" s="1319">
        <f t="shared" si="12"/>
        <v>1293.425320575122</v>
      </c>
      <c r="F67" s="1319">
        <f t="shared" si="12"/>
        <v>1304.697156968236</v>
      </c>
      <c r="G67" s="1319">
        <f t="shared" si="12"/>
        <v>1315.876641995008</v>
      </c>
      <c r="H67" s="1319">
        <f t="shared" si="12"/>
        <v>1327.6064614373786</v>
      </c>
      <c r="I67" s="1319">
        <f t="shared" si="12"/>
        <v>1339.8853662265078</v>
      </c>
      <c r="J67" s="1319">
        <f t="shared" si="12"/>
        <v>1352.2443708769758</v>
      </c>
      <c r="K67" s="1319">
        <f t="shared" si="12"/>
        <v>1364.4816311794696</v>
      </c>
      <c r="L67" s="1319">
        <f t="shared" si="12"/>
        <v>1376.4971684749448</v>
      </c>
      <c r="M67" s="1319">
        <f t="shared" si="12"/>
        <v>1388.2429600529044</v>
      </c>
      <c r="N67" s="1319">
        <f t="shared" si="12"/>
        <v>1399.6998446658276</v>
      </c>
      <c r="O67" s="1319">
        <f t="shared" si="12"/>
        <v>1410.8633575570109</v>
      </c>
      <c r="P67" s="1319">
        <f t="shared" si="12"/>
        <v>1421.7209548861915</v>
      </c>
      <c r="Q67" s="1319">
        <f t="shared" si="12"/>
        <v>1432.2785896623077</v>
      </c>
      <c r="R67" s="1319">
        <f t="shared" si="12"/>
        <v>1442.5409924013907</v>
      </c>
      <c r="S67" s="1319">
        <f t="shared" si="12"/>
        <v>1452.5080036478444</v>
      </c>
      <c r="T67" s="1319">
        <f t="shared" si="13"/>
        <v>1462.1725276276213</v>
      </c>
      <c r="U67" s="1319">
        <f t="shared" si="13"/>
        <v>1471.5174228640913</v>
      </c>
      <c r="V67" s="1319">
        <f t="shared" si="13"/>
        <v>1480.5166715190819</v>
      </c>
      <c r="W67" s="1319">
        <f t="shared" si="13"/>
        <v>1489.1353528169466</v>
      </c>
      <c r="X67" s="1319">
        <f t="shared" si="13"/>
        <v>1497.3306529300085</v>
      </c>
      <c r="Y67" s="1319">
        <f t="shared" si="13"/>
        <v>1505.0577648356336</v>
      </c>
      <c r="Z67" s="1319">
        <f t="shared" si="13"/>
        <v>1512.2904049363226</v>
      </c>
      <c r="AA67" s="1319">
        <f t="shared" si="13"/>
        <v>1519.0385392068604</v>
      </c>
      <c r="AB67" s="1319">
        <f t="shared" si="13"/>
        <v>1525.341127964673</v>
      </c>
      <c r="AC67" s="1319">
        <f t="shared" si="13"/>
        <v>1531.2691289502311</v>
      </c>
      <c r="AD67" s="1319">
        <f t="shared" si="13"/>
        <v>1557.1452110971263</v>
      </c>
      <c r="AE67" s="1319">
        <f t="shared" si="13"/>
        <v>1577.5374823986174</v>
      </c>
      <c r="AF67" s="1319">
        <f t="shared" si="13"/>
        <v>1591.5077592764039</v>
      </c>
      <c r="AG67" s="1319">
        <f t="shared" si="13"/>
        <v>1599.7390963542884</v>
      </c>
      <c r="AH67" s="1319">
        <f t="shared" si="13"/>
        <v>1599.7420994346903</v>
      </c>
      <c r="AI67" s="1319">
        <f t="shared" si="13"/>
        <v>1577.2168171939327</v>
      </c>
    </row>
    <row r="68" spans="1:35">
      <c r="A68" s="1315" t="s">
        <v>2063</v>
      </c>
      <c r="B68" s="1324">
        <f t="shared" si="11"/>
        <v>9.9999999999999992E-2</v>
      </c>
      <c r="C68" s="1315" t="s">
        <v>2035</v>
      </c>
      <c r="D68" s="1316">
        <f t="shared" si="12"/>
        <v>1245.7999999999997</v>
      </c>
      <c r="E68" s="1319">
        <f t="shared" si="12"/>
        <v>1293.425320575122</v>
      </c>
      <c r="F68" s="1319">
        <f t="shared" si="12"/>
        <v>1304.697156968236</v>
      </c>
      <c r="G68" s="1319">
        <f t="shared" si="12"/>
        <v>1315.876641995008</v>
      </c>
      <c r="H68" s="1319">
        <f t="shared" si="12"/>
        <v>1327.6064614373786</v>
      </c>
      <c r="I68" s="1319">
        <f t="shared" si="12"/>
        <v>1339.8853662265078</v>
      </c>
      <c r="J68" s="1319">
        <f t="shared" si="12"/>
        <v>1352.2443708769758</v>
      </c>
      <c r="K68" s="1319">
        <f t="shared" si="12"/>
        <v>1364.4816311794696</v>
      </c>
      <c r="L68" s="1319">
        <f t="shared" si="12"/>
        <v>1376.4971684749448</v>
      </c>
      <c r="M68" s="1319">
        <f t="shared" si="12"/>
        <v>1388.2429600529044</v>
      </c>
      <c r="N68" s="1319">
        <f t="shared" si="12"/>
        <v>1399.6998446658276</v>
      </c>
      <c r="O68" s="1319">
        <f t="shared" si="12"/>
        <v>1410.8633575570109</v>
      </c>
      <c r="P68" s="1319">
        <f t="shared" si="12"/>
        <v>1421.7209548861915</v>
      </c>
      <c r="Q68" s="1319">
        <f t="shared" si="12"/>
        <v>1432.2785896623077</v>
      </c>
      <c r="R68" s="1319">
        <f t="shared" si="12"/>
        <v>1442.5409924013907</v>
      </c>
      <c r="S68" s="1319">
        <f t="shared" si="12"/>
        <v>1452.5080036478444</v>
      </c>
      <c r="T68" s="1319">
        <f t="shared" si="13"/>
        <v>1462.1725276276213</v>
      </c>
      <c r="U68" s="1319">
        <f t="shared" si="13"/>
        <v>1471.5174228640913</v>
      </c>
      <c r="V68" s="1319">
        <f t="shared" si="13"/>
        <v>1480.5166715190819</v>
      </c>
      <c r="W68" s="1319">
        <f t="shared" si="13"/>
        <v>1489.1353528169466</v>
      </c>
      <c r="X68" s="1319">
        <f t="shared" si="13"/>
        <v>1497.3306529300085</v>
      </c>
      <c r="Y68" s="1319">
        <f t="shared" si="13"/>
        <v>1505.0577648356336</v>
      </c>
      <c r="Z68" s="1319">
        <f t="shared" si="13"/>
        <v>1512.2904049363226</v>
      </c>
      <c r="AA68" s="1319">
        <f t="shared" si="13"/>
        <v>1519.0385392068604</v>
      </c>
      <c r="AB68" s="1319">
        <f t="shared" si="13"/>
        <v>1525.341127964673</v>
      </c>
      <c r="AC68" s="1319">
        <f t="shared" si="13"/>
        <v>1531.2691289502311</v>
      </c>
      <c r="AD68" s="1319">
        <f t="shared" si="13"/>
        <v>1557.1452110971263</v>
      </c>
      <c r="AE68" s="1319">
        <f t="shared" si="13"/>
        <v>1577.5374823986174</v>
      </c>
      <c r="AF68" s="1319">
        <f t="shared" si="13"/>
        <v>1591.5077592764039</v>
      </c>
      <c r="AG68" s="1319">
        <f t="shared" si="13"/>
        <v>1599.7390963542884</v>
      </c>
      <c r="AH68" s="1319">
        <f t="shared" si="13"/>
        <v>1599.7420994346903</v>
      </c>
      <c r="AI68" s="1319">
        <f t="shared" si="13"/>
        <v>1577.2168171939327</v>
      </c>
    </row>
    <row r="69" spans="1:35">
      <c r="A69" s="1315" t="s">
        <v>2063</v>
      </c>
      <c r="B69" s="1324">
        <f t="shared" si="11"/>
        <v>9.9999999999999992E-2</v>
      </c>
      <c r="C69" s="1315" t="s">
        <v>2036</v>
      </c>
      <c r="D69" s="1316">
        <f t="shared" si="12"/>
        <v>1245.7999999999997</v>
      </c>
      <c r="E69" s="1319">
        <f t="shared" si="12"/>
        <v>1293.425320575122</v>
      </c>
      <c r="F69" s="1319">
        <f t="shared" si="12"/>
        <v>1304.697156968236</v>
      </c>
      <c r="G69" s="1319">
        <f t="shared" si="12"/>
        <v>1315.876641995008</v>
      </c>
      <c r="H69" s="1319">
        <f t="shared" si="12"/>
        <v>1327.6064614373786</v>
      </c>
      <c r="I69" s="1319">
        <f t="shared" si="12"/>
        <v>1339.8853662265078</v>
      </c>
      <c r="J69" s="1319">
        <f t="shared" si="12"/>
        <v>1352.2443708769758</v>
      </c>
      <c r="K69" s="1319">
        <f t="shared" si="12"/>
        <v>1364.4816311794696</v>
      </c>
      <c r="L69" s="1319">
        <f t="shared" si="12"/>
        <v>1376.4971684749448</v>
      </c>
      <c r="M69" s="1319">
        <f t="shared" si="12"/>
        <v>1388.2429600529044</v>
      </c>
      <c r="N69" s="1319">
        <f t="shared" si="12"/>
        <v>1399.6998446658276</v>
      </c>
      <c r="O69" s="1319">
        <f t="shared" si="12"/>
        <v>1410.8633575570109</v>
      </c>
      <c r="P69" s="1319">
        <f t="shared" si="12"/>
        <v>1421.7209548861915</v>
      </c>
      <c r="Q69" s="1319">
        <f t="shared" si="12"/>
        <v>1432.2785896623077</v>
      </c>
      <c r="R69" s="1319">
        <f t="shared" si="12"/>
        <v>1442.5409924013907</v>
      </c>
      <c r="S69" s="1319">
        <f t="shared" si="12"/>
        <v>1452.5080036478444</v>
      </c>
      <c r="T69" s="1319">
        <f t="shared" si="13"/>
        <v>1462.1725276276213</v>
      </c>
      <c r="U69" s="1319">
        <f t="shared" si="13"/>
        <v>1471.5174228640913</v>
      </c>
      <c r="V69" s="1319">
        <f t="shared" si="13"/>
        <v>1480.5166715190819</v>
      </c>
      <c r="W69" s="1319">
        <f t="shared" si="13"/>
        <v>1489.1353528169466</v>
      </c>
      <c r="X69" s="1319">
        <f t="shared" si="13"/>
        <v>1497.3306529300085</v>
      </c>
      <c r="Y69" s="1319">
        <f t="shared" si="13"/>
        <v>1505.0577648356336</v>
      </c>
      <c r="Z69" s="1319">
        <f t="shared" si="13"/>
        <v>1512.2904049363226</v>
      </c>
      <c r="AA69" s="1319">
        <f t="shared" si="13"/>
        <v>1519.0385392068604</v>
      </c>
      <c r="AB69" s="1319">
        <f t="shared" si="13"/>
        <v>1525.341127964673</v>
      </c>
      <c r="AC69" s="1319">
        <f t="shared" si="13"/>
        <v>1531.2691289502311</v>
      </c>
      <c r="AD69" s="1319">
        <f t="shared" si="13"/>
        <v>1557.1452110971263</v>
      </c>
      <c r="AE69" s="1319">
        <f t="shared" si="13"/>
        <v>1577.5374823986174</v>
      </c>
      <c r="AF69" s="1319">
        <f t="shared" si="13"/>
        <v>1591.5077592764039</v>
      </c>
      <c r="AG69" s="1319">
        <f t="shared" si="13"/>
        <v>1599.7390963542884</v>
      </c>
      <c r="AH69" s="1319">
        <f t="shared" si="13"/>
        <v>1599.7420994346903</v>
      </c>
      <c r="AI69" s="1319">
        <f t="shared" si="13"/>
        <v>1577.2168171939327</v>
      </c>
    </row>
    <row r="70" spans="1:35">
      <c r="A70" s="1315" t="s">
        <v>2064</v>
      </c>
      <c r="B70" s="1324">
        <f t="shared" si="11"/>
        <v>9.9999999999999992E-2</v>
      </c>
      <c r="C70" s="1315" t="s">
        <v>2037</v>
      </c>
      <c r="D70" s="1316">
        <f t="shared" si="12"/>
        <v>1245.7999999999997</v>
      </c>
      <c r="E70" s="1319">
        <f t="shared" si="12"/>
        <v>1293.425320575122</v>
      </c>
      <c r="F70" s="1319">
        <f t="shared" si="12"/>
        <v>1304.697156968236</v>
      </c>
      <c r="G70" s="1319">
        <f t="shared" si="12"/>
        <v>1315.876641995008</v>
      </c>
      <c r="H70" s="1319">
        <f t="shared" si="12"/>
        <v>1327.6064614373786</v>
      </c>
      <c r="I70" s="1319">
        <f t="shared" si="12"/>
        <v>1339.8853662265078</v>
      </c>
      <c r="J70" s="1319">
        <f t="shared" si="12"/>
        <v>1352.2443708769758</v>
      </c>
      <c r="K70" s="1319">
        <f t="shared" si="12"/>
        <v>1364.4816311794696</v>
      </c>
      <c r="L70" s="1319">
        <f t="shared" si="12"/>
        <v>1376.4971684749448</v>
      </c>
      <c r="M70" s="1319">
        <f t="shared" si="12"/>
        <v>1388.2429600529044</v>
      </c>
      <c r="N70" s="1319">
        <f t="shared" si="12"/>
        <v>1399.6998446658276</v>
      </c>
      <c r="O70" s="1319">
        <f t="shared" si="12"/>
        <v>1410.8633575570109</v>
      </c>
      <c r="P70" s="1319">
        <f t="shared" si="12"/>
        <v>1421.7209548861915</v>
      </c>
      <c r="Q70" s="1319">
        <f t="shared" si="12"/>
        <v>1432.2785896623077</v>
      </c>
      <c r="R70" s="1319">
        <f t="shared" si="12"/>
        <v>1442.5409924013907</v>
      </c>
      <c r="S70" s="1319">
        <f t="shared" si="12"/>
        <v>1452.5080036478444</v>
      </c>
      <c r="T70" s="1319">
        <f t="shared" si="13"/>
        <v>1462.1725276276213</v>
      </c>
      <c r="U70" s="1319">
        <f t="shared" si="13"/>
        <v>1471.5174228640913</v>
      </c>
      <c r="V70" s="1319">
        <f t="shared" si="13"/>
        <v>1480.5166715190819</v>
      </c>
      <c r="W70" s="1319">
        <f t="shared" si="13"/>
        <v>1489.1353528169466</v>
      </c>
      <c r="X70" s="1319">
        <f t="shared" si="13"/>
        <v>1497.3306529300085</v>
      </c>
      <c r="Y70" s="1319">
        <f t="shared" si="13"/>
        <v>1505.0577648356336</v>
      </c>
      <c r="Z70" s="1319">
        <f t="shared" si="13"/>
        <v>1512.2904049363226</v>
      </c>
      <c r="AA70" s="1319">
        <f t="shared" si="13"/>
        <v>1519.0385392068604</v>
      </c>
      <c r="AB70" s="1319">
        <f t="shared" si="13"/>
        <v>1525.341127964673</v>
      </c>
      <c r="AC70" s="1319">
        <f t="shared" si="13"/>
        <v>1531.2691289502311</v>
      </c>
      <c r="AD70" s="1319">
        <f t="shared" si="13"/>
        <v>1557.1452110971263</v>
      </c>
      <c r="AE70" s="1319">
        <f t="shared" si="13"/>
        <v>1577.5374823986174</v>
      </c>
      <c r="AF70" s="1319">
        <f t="shared" si="13"/>
        <v>1591.5077592764039</v>
      </c>
      <c r="AG70" s="1319">
        <f t="shared" si="13"/>
        <v>1599.7390963542884</v>
      </c>
      <c r="AH70" s="1319">
        <f t="shared" si="13"/>
        <v>1599.7420994346903</v>
      </c>
      <c r="AI70" s="1319">
        <f t="shared" si="13"/>
        <v>1577.2168171939327</v>
      </c>
    </row>
    <row r="71" spans="1:35">
      <c r="A71" s="1315" t="s">
        <v>2064</v>
      </c>
      <c r="B71" s="1324">
        <f t="shared" si="11"/>
        <v>9.9999999999999992E-2</v>
      </c>
      <c r="C71" s="1315" t="s">
        <v>2038</v>
      </c>
      <c r="D71" s="1316">
        <f t="shared" si="12"/>
        <v>1245.7999999999997</v>
      </c>
      <c r="E71" s="1319">
        <f t="shared" si="12"/>
        <v>1293.425320575122</v>
      </c>
      <c r="F71" s="1319">
        <f t="shared" si="12"/>
        <v>1304.697156968236</v>
      </c>
      <c r="G71" s="1319">
        <f t="shared" si="12"/>
        <v>1315.876641995008</v>
      </c>
      <c r="H71" s="1319">
        <f t="shared" si="12"/>
        <v>1327.6064614373786</v>
      </c>
      <c r="I71" s="1319">
        <f t="shared" si="12"/>
        <v>1339.8853662265078</v>
      </c>
      <c r="J71" s="1319">
        <f t="shared" si="12"/>
        <v>1352.2443708769758</v>
      </c>
      <c r="K71" s="1319">
        <f t="shared" si="12"/>
        <v>1364.4816311794696</v>
      </c>
      <c r="L71" s="1319">
        <f t="shared" si="12"/>
        <v>1376.4971684749448</v>
      </c>
      <c r="M71" s="1319">
        <f t="shared" si="12"/>
        <v>1388.2429600529044</v>
      </c>
      <c r="N71" s="1319">
        <f t="shared" si="12"/>
        <v>1399.6998446658276</v>
      </c>
      <c r="O71" s="1319">
        <f t="shared" si="12"/>
        <v>1410.8633575570109</v>
      </c>
      <c r="P71" s="1319">
        <f t="shared" si="12"/>
        <v>1421.7209548861915</v>
      </c>
      <c r="Q71" s="1319">
        <f t="shared" si="12"/>
        <v>1432.2785896623077</v>
      </c>
      <c r="R71" s="1319">
        <f t="shared" si="12"/>
        <v>1442.5409924013907</v>
      </c>
      <c r="S71" s="1319">
        <f t="shared" si="12"/>
        <v>1452.5080036478444</v>
      </c>
      <c r="T71" s="1319">
        <f t="shared" si="13"/>
        <v>1462.1725276276213</v>
      </c>
      <c r="U71" s="1319">
        <f t="shared" si="13"/>
        <v>1471.5174228640913</v>
      </c>
      <c r="V71" s="1319">
        <f t="shared" si="13"/>
        <v>1480.5166715190819</v>
      </c>
      <c r="W71" s="1319">
        <f t="shared" si="13"/>
        <v>1489.1353528169466</v>
      </c>
      <c r="X71" s="1319">
        <f t="shared" si="13"/>
        <v>1497.3306529300085</v>
      </c>
      <c r="Y71" s="1319">
        <f t="shared" si="13"/>
        <v>1505.0577648356336</v>
      </c>
      <c r="Z71" s="1319">
        <f t="shared" si="13"/>
        <v>1512.2904049363226</v>
      </c>
      <c r="AA71" s="1319">
        <f t="shared" si="13"/>
        <v>1519.0385392068604</v>
      </c>
      <c r="AB71" s="1319">
        <f t="shared" si="13"/>
        <v>1525.341127964673</v>
      </c>
      <c r="AC71" s="1319">
        <f t="shared" si="13"/>
        <v>1531.2691289502311</v>
      </c>
      <c r="AD71" s="1319">
        <f t="shared" si="13"/>
        <v>1557.1452110971263</v>
      </c>
      <c r="AE71" s="1319">
        <f t="shared" si="13"/>
        <v>1577.5374823986174</v>
      </c>
      <c r="AF71" s="1319">
        <f t="shared" si="13"/>
        <v>1591.5077592764039</v>
      </c>
      <c r="AG71" s="1319">
        <f t="shared" si="13"/>
        <v>1599.7390963542884</v>
      </c>
      <c r="AH71" s="1319">
        <f t="shared" si="13"/>
        <v>1599.7420994346903</v>
      </c>
      <c r="AI71" s="1319">
        <f t="shared" si="13"/>
        <v>1577.2168171939327</v>
      </c>
    </row>
    <row r="72" spans="1:35">
      <c r="A72" s="1315" t="s">
        <v>2064</v>
      </c>
      <c r="B72" s="1324">
        <f t="shared" si="11"/>
        <v>9.9999999999999992E-2</v>
      </c>
      <c r="C72" s="1315" t="s">
        <v>2039</v>
      </c>
      <c r="D72" s="1316">
        <f t="shared" si="12"/>
        <v>1245.7999999999997</v>
      </c>
      <c r="E72" s="1319">
        <f t="shared" si="12"/>
        <v>1293.425320575122</v>
      </c>
      <c r="F72" s="1319">
        <f t="shared" si="12"/>
        <v>1304.697156968236</v>
      </c>
      <c r="G72" s="1319">
        <f t="shared" si="12"/>
        <v>1315.876641995008</v>
      </c>
      <c r="H72" s="1319">
        <f t="shared" si="12"/>
        <v>1327.6064614373786</v>
      </c>
      <c r="I72" s="1319">
        <f t="shared" si="12"/>
        <v>1339.8853662265078</v>
      </c>
      <c r="J72" s="1319">
        <f t="shared" si="12"/>
        <v>1352.2443708769758</v>
      </c>
      <c r="K72" s="1319">
        <f t="shared" si="12"/>
        <v>1364.4816311794696</v>
      </c>
      <c r="L72" s="1319">
        <f t="shared" si="12"/>
        <v>1376.4971684749448</v>
      </c>
      <c r="M72" s="1319">
        <f t="shared" si="12"/>
        <v>1388.2429600529044</v>
      </c>
      <c r="N72" s="1319">
        <f t="shared" si="12"/>
        <v>1399.6998446658276</v>
      </c>
      <c r="O72" s="1319">
        <f t="shared" si="12"/>
        <v>1410.8633575570109</v>
      </c>
      <c r="P72" s="1319">
        <f t="shared" si="12"/>
        <v>1421.7209548861915</v>
      </c>
      <c r="Q72" s="1319">
        <f t="shared" si="12"/>
        <v>1432.2785896623077</v>
      </c>
      <c r="R72" s="1319">
        <f t="shared" si="12"/>
        <v>1442.5409924013907</v>
      </c>
      <c r="S72" s="1319">
        <f t="shared" si="12"/>
        <v>1452.5080036478444</v>
      </c>
      <c r="T72" s="1319">
        <f t="shared" si="13"/>
        <v>1462.1725276276213</v>
      </c>
      <c r="U72" s="1319">
        <f t="shared" si="13"/>
        <v>1471.5174228640913</v>
      </c>
      <c r="V72" s="1319">
        <f t="shared" si="13"/>
        <v>1480.5166715190819</v>
      </c>
      <c r="W72" s="1319">
        <f t="shared" si="13"/>
        <v>1489.1353528169466</v>
      </c>
      <c r="X72" s="1319">
        <f t="shared" si="13"/>
        <v>1497.3306529300085</v>
      </c>
      <c r="Y72" s="1319">
        <f t="shared" si="13"/>
        <v>1505.0577648356336</v>
      </c>
      <c r="Z72" s="1319">
        <f t="shared" si="13"/>
        <v>1512.2904049363226</v>
      </c>
      <c r="AA72" s="1319">
        <f t="shared" si="13"/>
        <v>1519.0385392068604</v>
      </c>
      <c r="AB72" s="1319">
        <f t="shared" si="13"/>
        <v>1525.341127964673</v>
      </c>
      <c r="AC72" s="1319">
        <f t="shared" si="13"/>
        <v>1531.2691289502311</v>
      </c>
      <c r="AD72" s="1319">
        <f t="shared" si="13"/>
        <v>1557.1452110971263</v>
      </c>
      <c r="AE72" s="1319">
        <f t="shared" si="13"/>
        <v>1577.5374823986174</v>
      </c>
      <c r="AF72" s="1319">
        <f t="shared" si="13"/>
        <v>1591.5077592764039</v>
      </c>
      <c r="AG72" s="1319">
        <f t="shared" si="13"/>
        <v>1599.7390963542884</v>
      </c>
      <c r="AH72" s="1319">
        <f t="shared" si="13"/>
        <v>1599.7420994346903</v>
      </c>
      <c r="AI72" s="1319">
        <f t="shared" si="13"/>
        <v>1577.2168171939327</v>
      </c>
    </row>
    <row r="73" spans="1:35">
      <c r="A73" s="1315" t="s">
        <v>2065</v>
      </c>
      <c r="B73" s="1324">
        <f t="shared" si="11"/>
        <v>9.9999999999999992E-2</v>
      </c>
      <c r="C73" s="1315" t="s">
        <v>2040</v>
      </c>
      <c r="D73" s="1316">
        <f t="shared" si="12"/>
        <v>1245.7999999999997</v>
      </c>
      <c r="E73" s="1319">
        <f t="shared" si="12"/>
        <v>1293.425320575122</v>
      </c>
      <c r="F73" s="1319">
        <f t="shared" si="12"/>
        <v>1304.697156968236</v>
      </c>
      <c r="G73" s="1319">
        <f t="shared" si="12"/>
        <v>1315.876641995008</v>
      </c>
      <c r="H73" s="1319">
        <f t="shared" si="12"/>
        <v>1327.6064614373786</v>
      </c>
      <c r="I73" s="1319">
        <f t="shared" si="12"/>
        <v>1339.8853662265078</v>
      </c>
      <c r="J73" s="1319">
        <f t="shared" si="12"/>
        <v>1352.2443708769758</v>
      </c>
      <c r="K73" s="1319">
        <f t="shared" si="12"/>
        <v>1364.4816311794696</v>
      </c>
      <c r="L73" s="1319">
        <f t="shared" si="12"/>
        <v>1376.4971684749448</v>
      </c>
      <c r="M73" s="1319">
        <f t="shared" si="12"/>
        <v>1388.2429600529044</v>
      </c>
      <c r="N73" s="1319">
        <f t="shared" si="12"/>
        <v>1399.6998446658276</v>
      </c>
      <c r="O73" s="1319">
        <f t="shared" si="12"/>
        <v>1410.8633575570109</v>
      </c>
      <c r="P73" s="1319">
        <f t="shared" si="12"/>
        <v>1421.7209548861915</v>
      </c>
      <c r="Q73" s="1319">
        <f t="shared" si="12"/>
        <v>1432.2785896623077</v>
      </c>
      <c r="R73" s="1319">
        <f t="shared" si="12"/>
        <v>1442.5409924013907</v>
      </c>
      <c r="S73" s="1319">
        <f t="shared" si="12"/>
        <v>1452.5080036478444</v>
      </c>
      <c r="T73" s="1319">
        <f t="shared" si="13"/>
        <v>1462.1725276276213</v>
      </c>
      <c r="U73" s="1319">
        <f t="shared" si="13"/>
        <v>1471.5174228640913</v>
      </c>
      <c r="V73" s="1319">
        <f t="shared" si="13"/>
        <v>1480.5166715190819</v>
      </c>
      <c r="W73" s="1319">
        <f t="shared" si="13"/>
        <v>1489.1353528169466</v>
      </c>
      <c r="X73" s="1319">
        <f t="shared" si="13"/>
        <v>1497.3306529300085</v>
      </c>
      <c r="Y73" s="1319">
        <f t="shared" si="13"/>
        <v>1505.0577648356336</v>
      </c>
      <c r="Z73" s="1319">
        <f t="shared" si="13"/>
        <v>1512.2904049363226</v>
      </c>
      <c r="AA73" s="1319">
        <f t="shared" si="13"/>
        <v>1519.0385392068604</v>
      </c>
      <c r="AB73" s="1319">
        <f t="shared" si="13"/>
        <v>1525.341127964673</v>
      </c>
      <c r="AC73" s="1319">
        <f t="shared" si="13"/>
        <v>1531.2691289502311</v>
      </c>
      <c r="AD73" s="1319">
        <f t="shared" si="13"/>
        <v>1557.1452110971263</v>
      </c>
      <c r="AE73" s="1319">
        <f t="shared" si="13"/>
        <v>1577.5374823986174</v>
      </c>
      <c r="AF73" s="1319">
        <f t="shared" si="13"/>
        <v>1591.5077592764039</v>
      </c>
      <c r="AG73" s="1319">
        <f t="shared" si="13"/>
        <v>1599.7390963542884</v>
      </c>
      <c r="AH73" s="1319">
        <f t="shared" si="13"/>
        <v>1599.7420994346903</v>
      </c>
      <c r="AI73" s="1319">
        <f t="shared" si="13"/>
        <v>1577.2168171939327</v>
      </c>
    </row>
    <row r="74" spans="1:35">
      <c r="A74" s="1315" t="s">
        <v>2065</v>
      </c>
      <c r="B74" s="1324">
        <f t="shared" si="11"/>
        <v>9.9999999999999992E-2</v>
      </c>
      <c r="C74" s="1315" t="s">
        <v>2041</v>
      </c>
      <c r="D74" s="1316">
        <f t="shared" si="12"/>
        <v>1245.7999999999997</v>
      </c>
      <c r="E74" s="1319">
        <f t="shared" ref="E74:AI74" si="14">E$75/20</f>
        <v>646.71266028756099</v>
      </c>
      <c r="F74" s="1319">
        <f t="shared" si="14"/>
        <v>652.34857848411798</v>
      </c>
      <c r="G74" s="1319">
        <f t="shared" si="14"/>
        <v>657.93832099750398</v>
      </c>
      <c r="H74" s="1319">
        <f t="shared" si="14"/>
        <v>663.80323071868929</v>
      </c>
      <c r="I74" s="1319">
        <f t="shared" si="14"/>
        <v>669.94268311325391</v>
      </c>
      <c r="J74" s="1319">
        <f t="shared" si="14"/>
        <v>676.12218543848792</v>
      </c>
      <c r="K74" s="1319">
        <f t="shared" si="14"/>
        <v>682.24081558973478</v>
      </c>
      <c r="L74" s="1319">
        <f t="shared" si="14"/>
        <v>688.24858423747241</v>
      </c>
      <c r="M74" s="1319">
        <f t="shared" si="14"/>
        <v>694.12148002645222</v>
      </c>
      <c r="N74" s="1319">
        <f t="shared" si="14"/>
        <v>699.84992233291382</v>
      </c>
      <c r="O74" s="1319">
        <f t="shared" si="14"/>
        <v>705.43167877850544</v>
      </c>
      <c r="P74" s="1319">
        <f t="shared" si="14"/>
        <v>710.86047744309576</v>
      </c>
      <c r="Q74" s="1319">
        <f t="shared" si="14"/>
        <v>716.13929483115385</v>
      </c>
      <c r="R74" s="1319">
        <f t="shared" si="14"/>
        <v>721.27049620069533</v>
      </c>
      <c r="S74" s="1319">
        <f t="shared" si="14"/>
        <v>726.25400182392218</v>
      </c>
      <c r="T74" s="1319">
        <f t="shared" si="14"/>
        <v>731.08626381381066</v>
      </c>
      <c r="U74" s="1319">
        <f t="shared" si="14"/>
        <v>735.75871143204563</v>
      </c>
      <c r="V74" s="1319">
        <f t="shared" si="14"/>
        <v>740.25833575954096</v>
      </c>
      <c r="W74" s="1319">
        <f t="shared" si="14"/>
        <v>744.56767640847329</v>
      </c>
      <c r="X74" s="1319">
        <f t="shared" si="14"/>
        <v>748.66532646500423</v>
      </c>
      <c r="Y74" s="1319">
        <f t="shared" si="14"/>
        <v>752.52888241781682</v>
      </c>
      <c r="Z74" s="1319">
        <f t="shared" si="14"/>
        <v>756.1452024681613</v>
      </c>
      <c r="AA74" s="1319">
        <f t="shared" si="14"/>
        <v>759.51926960343019</v>
      </c>
      <c r="AB74" s="1319">
        <f t="shared" si="14"/>
        <v>762.67056398233649</v>
      </c>
      <c r="AC74" s="1319">
        <f t="shared" si="14"/>
        <v>765.63456447511555</v>
      </c>
      <c r="AD74" s="1319">
        <f t="shared" si="14"/>
        <v>778.57260554856316</v>
      </c>
      <c r="AE74" s="1319">
        <f t="shared" si="14"/>
        <v>788.76874119930869</v>
      </c>
      <c r="AF74" s="1319">
        <f t="shared" si="14"/>
        <v>795.75387963820197</v>
      </c>
      <c r="AG74" s="1319">
        <f t="shared" si="14"/>
        <v>799.86954817714422</v>
      </c>
      <c r="AH74" s="1319">
        <f t="shared" si="14"/>
        <v>799.87104971734516</v>
      </c>
      <c r="AI74" s="1319">
        <f t="shared" si="14"/>
        <v>788.60840859696634</v>
      </c>
    </row>
    <row r="75" spans="1:35">
      <c r="C75" s="1315" t="s">
        <v>756</v>
      </c>
      <c r="D75" s="1319">
        <v>12457.999999999998</v>
      </c>
      <c r="E75" s="1319">
        <f t="shared" ref="E75:AI75" si="15">D75*E41/D41</f>
        <v>12934.25320575122</v>
      </c>
      <c r="F75" s="1319">
        <f t="shared" si="15"/>
        <v>13046.971569682359</v>
      </c>
      <c r="G75" s="1319">
        <f t="shared" si="15"/>
        <v>13158.76641995008</v>
      </c>
      <c r="H75" s="1319">
        <f t="shared" si="15"/>
        <v>13276.064614373787</v>
      </c>
      <c r="I75" s="1319">
        <f t="shared" si="15"/>
        <v>13398.853662265077</v>
      </c>
      <c r="J75" s="1319">
        <f t="shared" si="15"/>
        <v>13522.443708769759</v>
      </c>
      <c r="K75" s="1319">
        <f t="shared" si="15"/>
        <v>13644.816311794695</v>
      </c>
      <c r="L75" s="1319">
        <f t="shared" si="15"/>
        <v>13764.971684749449</v>
      </c>
      <c r="M75" s="1319">
        <f t="shared" si="15"/>
        <v>13882.429600529045</v>
      </c>
      <c r="N75" s="1319">
        <f t="shared" si="15"/>
        <v>13996.998446658277</v>
      </c>
      <c r="O75" s="1319">
        <f t="shared" si="15"/>
        <v>14108.633575570109</v>
      </c>
      <c r="P75" s="1319">
        <f t="shared" si="15"/>
        <v>14217.209548861916</v>
      </c>
      <c r="Q75" s="1319">
        <f t="shared" si="15"/>
        <v>14322.785896623078</v>
      </c>
      <c r="R75" s="1319">
        <f t="shared" si="15"/>
        <v>14425.409924013908</v>
      </c>
      <c r="S75" s="1319">
        <f t="shared" si="15"/>
        <v>14525.080036478445</v>
      </c>
      <c r="T75" s="1319">
        <f t="shared" si="15"/>
        <v>14621.725276276213</v>
      </c>
      <c r="U75" s="1319">
        <f t="shared" si="15"/>
        <v>14715.174228640913</v>
      </c>
      <c r="V75" s="1319">
        <f t="shared" si="15"/>
        <v>14805.166715190819</v>
      </c>
      <c r="W75" s="1319">
        <f t="shared" si="15"/>
        <v>14891.353528169466</v>
      </c>
      <c r="X75" s="1319">
        <f t="shared" si="15"/>
        <v>14973.306529300084</v>
      </c>
      <c r="Y75" s="1319">
        <f t="shared" si="15"/>
        <v>15050.577648356337</v>
      </c>
      <c r="Z75" s="1319">
        <f t="shared" si="15"/>
        <v>15122.904049363226</v>
      </c>
      <c r="AA75" s="1319">
        <f t="shared" si="15"/>
        <v>15190.385392068603</v>
      </c>
      <c r="AB75" s="1319">
        <f t="shared" si="15"/>
        <v>15253.411279646731</v>
      </c>
      <c r="AC75" s="1319">
        <f t="shared" si="15"/>
        <v>15312.691289502311</v>
      </c>
      <c r="AD75" s="1319">
        <f t="shared" si="15"/>
        <v>15571.452110971262</v>
      </c>
      <c r="AE75" s="1319">
        <f t="shared" si="15"/>
        <v>15775.374823986174</v>
      </c>
      <c r="AF75" s="1319">
        <f t="shared" si="15"/>
        <v>15915.077592764039</v>
      </c>
      <c r="AG75" s="1319">
        <f t="shared" si="15"/>
        <v>15997.390963542884</v>
      </c>
      <c r="AH75" s="1319">
        <f t="shared" si="15"/>
        <v>15997.420994346903</v>
      </c>
      <c r="AI75" s="1319">
        <f t="shared" si="15"/>
        <v>15772.168171939327</v>
      </c>
    </row>
    <row r="76" spans="1:35">
      <c r="C76" s="1323" t="s">
        <v>2066</v>
      </c>
      <c r="D76" s="1323"/>
      <c r="E76" s="1323"/>
    </row>
    <row r="77" spans="1:35">
      <c r="A77" s="1315" t="s">
        <v>2063</v>
      </c>
      <c r="C77" s="1315" t="str">
        <f t="shared" ref="C77:C86" si="16">C27</f>
        <v>hhd-0</v>
      </c>
      <c r="D77" s="1316">
        <f t="shared" ref="D77:AC86" si="17">SUMIF($B$5:$B$22,$C77,D$5:D$22)/D65*1000</f>
        <v>13.662340652907933</v>
      </c>
      <c r="E77" s="1316">
        <f t="shared" si="17"/>
        <v>13.848574496404462</v>
      </c>
      <c r="F77" s="1316">
        <f t="shared" si="17"/>
        <v>14.463882874645622</v>
      </c>
      <c r="G77" s="1316">
        <f t="shared" si="17"/>
        <v>15.070520004024004</v>
      </c>
      <c r="H77" s="1316">
        <f t="shared" si="17"/>
        <v>15.69925626375886</v>
      </c>
      <c r="I77" s="1316">
        <f t="shared" si="17"/>
        <v>16.298734705530254</v>
      </c>
      <c r="J77" s="1316">
        <f t="shared" si="17"/>
        <v>16.952824183753847</v>
      </c>
      <c r="K77" s="1316">
        <f t="shared" si="17"/>
        <v>17.636574061866042</v>
      </c>
      <c r="L77" s="1316">
        <f t="shared" si="17"/>
        <v>18.370794934991824</v>
      </c>
      <c r="M77" s="1316">
        <f t="shared" si="17"/>
        <v>19.066477993369979</v>
      </c>
      <c r="N77" s="1316">
        <f t="shared" si="17"/>
        <v>19.830473489687854</v>
      </c>
      <c r="O77" s="1316">
        <f t="shared" si="17"/>
        <v>20.618878597630882</v>
      </c>
      <c r="P77" s="1316">
        <f t="shared" si="17"/>
        <v>21.463366672642465</v>
      </c>
      <c r="Q77" s="1316">
        <f t="shared" si="17"/>
        <v>22.364090829939151</v>
      </c>
      <c r="R77" s="1316">
        <f t="shared" si="17"/>
        <v>23.328887484645289</v>
      </c>
      <c r="S77" s="1316">
        <f t="shared" si="17"/>
        <v>24.305641238427604</v>
      </c>
      <c r="T77" s="1316">
        <f t="shared" si="17"/>
        <v>25.2835786051374</v>
      </c>
      <c r="U77" s="1316">
        <f t="shared" si="17"/>
        <v>26.213087562666182</v>
      </c>
      <c r="V77" s="1316">
        <f t="shared" si="17"/>
        <v>27.147363998846114</v>
      </c>
      <c r="W77" s="1316">
        <f t="shared" si="17"/>
        <v>28.200960748980407</v>
      </c>
      <c r="X77" s="1316">
        <f t="shared" si="17"/>
        <v>29.356594884549668</v>
      </c>
      <c r="Y77" s="1316">
        <f t="shared" si="17"/>
        <v>30.549904426084389</v>
      </c>
      <c r="Z77" s="1316">
        <f t="shared" si="17"/>
        <v>31.768669582661502</v>
      </c>
      <c r="AA77" s="1316">
        <f t="shared" si="17"/>
        <v>33.086453173744935</v>
      </c>
      <c r="AB77" s="1316">
        <f t="shared" si="17"/>
        <v>34.510532378278306</v>
      </c>
      <c r="AC77" s="1316">
        <f t="shared" si="17"/>
        <v>36.037524167423442</v>
      </c>
      <c r="AD77" s="973">
        <f t="shared" ref="AD77:AD86" si="18">FORECAST(AD$4,X77:AC77,X$64:AC$64)</f>
        <v>42.538251786845194</v>
      </c>
      <c r="AE77" s="973">
        <f t="shared" ref="AE77:AE86" si="19">FORECAST(AE$4,Y77:AD77,Y$64:AD$64)</f>
        <v>49.29256663353317</v>
      </c>
      <c r="AF77" s="973">
        <f t="shared" ref="AF77:AF86" si="20">FORECAST(AF$4,Z77:AE77,Z$64:AE$64)</f>
        <v>56.027571968592383</v>
      </c>
      <c r="AG77" s="973">
        <f t="shared" ref="AG77:AG86" si="21">FORECAST(AG$4,AA77:AF77,AA$64:AF$64)</f>
        <v>62.73454006045813</v>
      </c>
      <c r="AH77" s="973">
        <f>AG77</f>
        <v>62.73454006045813</v>
      </c>
      <c r="AI77" s="973">
        <f>AH77</f>
        <v>62.73454006045813</v>
      </c>
    </row>
    <row r="78" spans="1:35">
      <c r="A78" s="1315" t="s">
        <v>2063</v>
      </c>
      <c r="C78" s="1315" t="str">
        <f t="shared" si="16"/>
        <v>hhd-1</v>
      </c>
      <c r="D78" s="1316">
        <f t="shared" si="17"/>
        <v>23.492479213985394</v>
      </c>
      <c r="E78" s="1316">
        <f t="shared" si="17"/>
        <v>23.764306850573117</v>
      </c>
      <c r="F78" s="1316">
        <f t="shared" si="17"/>
        <v>24.778914860983694</v>
      </c>
      <c r="G78" s="1316">
        <f t="shared" si="17"/>
        <v>25.776305390202282</v>
      </c>
      <c r="H78" s="1316">
        <f t="shared" si="17"/>
        <v>26.814729793896365</v>
      </c>
      <c r="I78" s="1316">
        <f t="shared" si="17"/>
        <v>27.798779456772543</v>
      </c>
      <c r="J78" s="1316">
        <f t="shared" si="17"/>
        <v>28.878819658229581</v>
      </c>
      <c r="K78" s="1316">
        <f t="shared" si="17"/>
        <v>30.008764558780229</v>
      </c>
      <c r="L78" s="1316">
        <f t="shared" si="17"/>
        <v>31.224454161854265</v>
      </c>
      <c r="M78" s="1316">
        <f t="shared" si="17"/>
        <v>32.365895955234379</v>
      </c>
      <c r="N78" s="1316">
        <f t="shared" si="17"/>
        <v>33.624270166651193</v>
      </c>
      <c r="O78" s="1316">
        <f t="shared" si="17"/>
        <v>34.922252791425514</v>
      </c>
      <c r="P78" s="1316">
        <f t="shared" si="17"/>
        <v>36.311909424556454</v>
      </c>
      <c r="Q78" s="1316">
        <f t="shared" si="17"/>
        <v>37.794258124410369</v>
      </c>
      <c r="R78" s="1316">
        <f t="shared" si="17"/>
        <v>39.382090107930807</v>
      </c>
      <c r="S78" s="1316">
        <f t="shared" si="17"/>
        <v>40.985824130779172</v>
      </c>
      <c r="T78" s="1316">
        <f t="shared" si="17"/>
        <v>42.590709616247949</v>
      </c>
      <c r="U78" s="1316">
        <f t="shared" si="17"/>
        <v>44.111749538971424</v>
      </c>
      <c r="V78" s="1316">
        <f t="shared" si="17"/>
        <v>45.638055511891977</v>
      </c>
      <c r="W78" s="1316">
        <f t="shared" si="17"/>
        <v>47.366053780792896</v>
      </c>
      <c r="X78" s="1316">
        <f t="shared" si="17"/>
        <v>49.261532579435134</v>
      </c>
      <c r="Y78" s="1316">
        <f t="shared" si="17"/>
        <v>51.215435876569089</v>
      </c>
      <c r="Z78" s="1316">
        <f t="shared" si="17"/>
        <v>53.210305837527414</v>
      </c>
      <c r="AA78" s="1316">
        <f t="shared" si="17"/>
        <v>55.365346636483132</v>
      </c>
      <c r="AB78" s="1316">
        <f t="shared" si="17"/>
        <v>57.687613264035932</v>
      </c>
      <c r="AC78" s="1316">
        <f t="shared" si="17"/>
        <v>60.174761487913223</v>
      </c>
      <c r="AD78" s="973">
        <f t="shared" si="18"/>
        <v>70.801057793035397</v>
      </c>
      <c r="AE78" s="973">
        <f t="shared" si="19"/>
        <v>81.832313395540041</v>
      </c>
      <c r="AF78" s="973">
        <f t="shared" si="20"/>
        <v>92.832537453132318</v>
      </c>
      <c r="AG78" s="973">
        <f t="shared" si="21"/>
        <v>103.78780086739152</v>
      </c>
      <c r="AH78" s="973">
        <f t="shared" ref="AH78:AI86" si="22">AG78</f>
        <v>103.78780086739152</v>
      </c>
      <c r="AI78" s="973">
        <f t="shared" si="22"/>
        <v>103.78780086739152</v>
      </c>
    </row>
    <row r="79" spans="1:35">
      <c r="A79" s="1315" t="s">
        <v>2063</v>
      </c>
      <c r="C79" s="1315" t="str">
        <f t="shared" si="16"/>
        <v>hhd-2</v>
      </c>
      <c r="D79" s="1316">
        <f t="shared" si="17"/>
        <v>28.383639422855122</v>
      </c>
      <c r="E79" s="1316">
        <f t="shared" si="17"/>
        <v>28.684546095212895</v>
      </c>
      <c r="F79" s="1316">
        <f t="shared" si="17"/>
        <v>29.887172946341323</v>
      </c>
      <c r="G79" s="1316">
        <f t="shared" si="17"/>
        <v>31.067755389654213</v>
      </c>
      <c r="H79" s="1316">
        <f t="shared" si="17"/>
        <v>32.299896350384152</v>
      </c>
      <c r="I79" s="1316">
        <f t="shared" si="17"/>
        <v>33.46444966683265</v>
      </c>
      <c r="J79" s="1316">
        <f t="shared" si="17"/>
        <v>34.746597303011718</v>
      </c>
      <c r="K79" s="1316">
        <f t="shared" si="17"/>
        <v>36.088322498520796</v>
      </c>
      <c r="L79" s="1316">
        <f t="shared" si="17"/>
        <v>37.533043215415219</v>
      </c>
      <c r="M79" s="1316">
        <f t="shared" si="17"/>
        <v>38.884054658602309</v>
      </c>
      <c r="N79" s="1316">
        <f t="shared" si="17"/>
        <v>40.377241364983902</v>
      </c>
      <c r="O79" s="1316">
        <f t="shared" si="17"/>
        <v>41.917513026463332</v>
      </c>
      <c r="P79" s="1316">
        <f t="shared" si="17"/>
        <v>43.566419541936781</v>
      </c>
      <c r="Q79" s="1316">
        <f t="shared" si="17"/>
        <v>45.325688585302423</v>
      </c>
      <c r="R79" s="1316">
        <f t="shared" si="17"/>
        <v>47.210332542132505</v>
      </c>
      <c r="S79" s="1316">
        <f t="shared" si="17"/>
        <v>49.112277183188631</v>
      </c>
      <c r="T79" s="1316">
        <f t="shared" si="17"/>
        <v>51.016378854722063</v>
      </c>
      <c r="U79" s="1316">
        <f t="shared" si="17"/>
        <v>52.820153835102381</v>
      </c>
      <c r="V79" s="1316">
        <f t="shared" si="17"/>
        <v>54.630516506058029</v>
      </c>
      <c r="W79" s="1316">
        <f t="shared" si="17"/>
        <v>56.684279662925405</v>
      </c>
      <c r="X79" s="1316">
        <f t="shared" si="17"/>
        <v>58.936593810915767</v>
      </c>
      <c r="Y79" s="1316">
        <f t="shared" si="17"/>
        <v>61.256874527177743</v>
      </c>
      <c r="Z79" s="1316">
        <f t="shared" si="17"/>
        <v>63.626592997900602</v>
      </c>
      <c r="AA79" s="1316">
        <f t="shared" si="17"/>
        <v>66.185583628051603</v>
      </c>
      <c r="AB79" s="1316">
        <f t="shared" si="17"/>
        <v>68.939693785250398</v>
      </c>
      <c r="AC79" s="1316">
        <f t="shared" si="17"/>
        <v>71.888835619544977</v>
      </c>
      <c r="AD79" s="973">
        <f t="shared" si="18"/>
        <v>84.503741371655451</v>
      </c>
      <c r="AE79" s="973">
        <f t="shared" si="19"/>
        <v>97.595658259177071</v>
      </c>
      <c r="AF79" s="973">
        <f t="shared" si="20"/>
        <v>110.65075302159494</v>
      </c>
      <c r="AG79" s="973">
        <f t="shared" si="21"/>
        <v>123.65289304451017</v>
      </c>
      <c r="AH79" s="973">
        <f t="shared" si="22"/>
        <v>123.65289304451017</v>
      </c>
      <c r="AI79" s="973">
        <f t="shared" si="22"/>
        <v>123.65289304451017</v>
      </c>
    </row>
    <row r="80" spans="1:35">
      <c r="A80" s="1315" t="s">
        <v>2063</v>
      </c>
      <c r="C80" s="1315" t="str">
        <f t="shared" si="16"/>
        <v>hhd-3</v>
      </c>
      <c r="D80" s="1316">
        <f t="shared" si="17"/>
        <v>32.426099457641278</v>
      </c>
      <c r="E80" s="1316">
        <f t="shared" si="17"/>
        <v>32.775105064386572</v>
      </c>
      <c r="F80" s="1316">
        <f t="shared" si="17"/>
        <v>34.159563927239205</v>
      </c>
      <c r="G80" s="1316">
        <f t="shared" si="17"/>
        <v>35.518140055697643</v>
      </c>
      <c r="H80" s="1316">
        <f t="shared" si="17"/>
        <v>36.93802864151246</v>
      </c>
      <c r="I80" s="1316">
        <f t="shared" si="17"/>
        <v>38.279504027532006</v>
      </c>
      <c r="J80" s="1316">
        <f t="shared" si="17"/>
        <v>39.759331291282749</v>
      </c>
      <c r="K80" s="1316">
        <f t="shared" si="17"/>
        <v>41.308025267271454</v>
      </c>
      <c r="L80" s="1316">
        <f t="shared" si="17"/>
        <v>42.976004075671348</v>
      </c>
      <c r="M80" s="1316">
        <f t="shared" si="17"/>
        <v>44.533078431606164</v>
      </c>
      <c r="N80" s="1316">
        <f t="shared" si="17"/>
        <v>46.257583131622205</v>
      </c>
      <c r="O80" s="1316">
        <f t="shared" si="17"/>
        <v>48.036928677129438</v>
      </c>
      <c r="P80" s="1316">
        <f t="shared" si="17"/>
        <v>49.94277578135241</v>
      </c>
      <c r="Q80" s="1316">
        <f t="shared" si="17"/>
        <v>51.977216833285979</v>
      </c>
      <c r="R80" s="1316">
        <f t="shared" si="17"/>
        <v>54.157467555675119</v>
      </c>
      <c r="S80" s="1316">
        <f t="shared" si="17"/>
        <v>56.357142573163529</v>
      </c>
      <c r="T80" s="1316">
        <f t="shared" si="17"/>
        <v>58.559875776686972</v>
      </c>
      <c r="U80" s="1316">
        <f t="shared" si="17"/>
        <v>60.645807918855198</v>
      </c>
      <c r="V80" s="1316">
        <f t="shared" si="17"/>
        <v>62.741723937847105</v>
      </c>
      <c r="W80" s="1316">
        <f t="shared" si="17"/>
        <v>65.123243101437623</v>
      </c>
      <c r="X80" s="1316">
        <f t="shared" si="17"/>
        <v>67.734935640067917</v>
      </c>
      <c r="Y80" s="1316">
        <f t="shared" si="17"/>
        <v>70.424637819340077</v>
      </c>
      <c r="Z80" s="1316">
        <f t="shared" si="17"/>
        <v>73.171613651357774</v>
      </c>
      <c r="AA80" s="1316">
        <f t="shared" si="17"/>
        <v>76.138722006251825</v>
      </c>
      <c r="AB80" s="1316">
        <f t="shared" si="17"/>
        <v>79.333906978295687</v>
      </c>
      <c r="AC80" s="1316">
        <f t="shared" si="17"/>
        <v>82.758184240604365</v>
      </c>
      <c r="AD80" s="973">
        <f t="shared" si="18"/>
        <v>97.386534091938302</v>
      </c>
      <c r="AE80" s="973">
        <f t="shared" si="19"/>
        <v>112.57194473164782</v>
      </c>
      <c r="AF80" s="973">
        <f t="shared" si="20"/>
        <v>127.71453335343358</v>
      </c>
      <c r="AG80" s="973">
        <f t="shared" si="21"/>
        <v>142.7954015986279</v>
      </c>
      <c r="AH80" s="973">
        <f t="shared" si="22"/>
        <v>142.7954015986279</v>
      </c>
      <c r="AI80" s="973">
        <f t="shared" si="22"/>
        <v>142.7954015986279</v>
      </c>
    </row>
    <row r="81" spans="1:35">
      <c r="A81" s="1315" t="s">
        <v>2063</v>
      </c>
      <c r="C81" s="1315" t="str">
        <f t="shared" si="16"/>
        <v>hhd-4</v>
      </c>
      <c r="D81" s="1316">
        <f t="shared" si="17"/>
        <v>38.644777866897577</v>
      </c>
      <c r="E81" s="1316">
        <f t="shared" si="17"/>
        <v>38.9605130740931</v>
      </c>
      <c r="F81" s="1316">
        <f t="shared" si="17"/>
        <v>40.514284393592185</v>
      </c>
      <c r="G81" s="1316">
        <f t="shared" si="17"/>
        <v>42.034967117334112</v>
      </c>
      <c r="H81" s="1316">
        <f t="shared" si="17"/>
        <v>43.630383477400393</v>
      </c>
      <c r="I81" s="1316">
        <f t="shared" si="17"/>
        <v>45.128010304191989</v>
      </c>
      <c r="J81" s="1316">
        <f t="shared" si="17"/>
        <v>46.787875397962253</v>
      </c>
      <c r="K81" s="1316">
        <f t="shared" si="17"/>
        <v>48.525317414044963</v>
      </c>
      <c r="L81" s="1316">
        <f t="shared" si="17"/>
        <v>50.398653252855375</v>
      </c>
      <c r="M81" s="1316">
        <f t="shared" si="17"/>
        <v>52.132360458330119</v>
      </c>
      <c r="N81" s="1316">
        <f t="shared" si="17"/>
        <v>54.057525153246857</v>
      </c>
      <c r="O81" s="1316">
        <f t="shared" si="17"/>
        <v>56.042204297803217</v>
      </c>
      <c r="P81" s="1316">
        <f t="shared" si="17"/>
        <v>58.164814503914265</v>
      </c>
      <c r="Q81" s="1316">
        <f t="shared" si="17"/>
        <v>60.428930433824043</v>
      </c>
      <c r="R81" s="1316">
        <f t="shared" si="17"/>
        <v>62.853255297188589</v>
      </c>
      <c r="S81" s="1316">
        <f t="shared" si="17"/>
        <v>65.293099085624547</v>
      </c>
      <c r="T81" s="1316">
        <f t="shared" si="17"/>
        <v>67.73563563930044</v>
      </c>
      <c r="U81" s="1316">
        <f t="shared" si="17"/>
        <v>70.044337658266812</v>
      </c>
      <c r="V81" s="1316">
        <f t="shared" si="17"/>
        <v>72.359079776136952</v>
      </c>
      <c r="W81" s="1316">
        <f t="shared" si="17"/>
        <v>74.995994835736923</v>
      </c>
      <c r="X81" s="1316">
        <f t="shared" si="17"/>
        <v>77.885115692987355</v>
      </c>
      <c r="Y81" s="1316">
        <f t="shared" si="17"/>
        <v>80.854545274034564</v>
      </c>
      <c r="Z81" s="1316">
        <f t="shared" si="17"/>
        <v>83.886564649253785</v>
      </c>
      <c r="AA81" s="1316">
        <f t="shared" si="17"/>
        <v>87.155492601942456</v>
      </c>
      <c r="AB81" s="1316">
        <f t="shared" si="17"/>
        <v>90.65984906560702</v>
      </c>
      <c r="AC81" s="1316">
        <f t="shared" si="17"/>
        <v>94.406598422022071</v>
      </c>
      <c r="AD81" s="973">
        <f t="shared" si="18"/>
        <v>110.51351039748079</v>
      </c>
      <c r="AE81" s="973">
        <f t="shared" si="19"/>
        <v>127.20906103900506</v>
      </c>
      <c r="AF81" s="973">
        <f t="shared" si="20"/>
        <v>143.85864896637213</v>
      </c>
      <c r="AG81" s="973">
        <f t="shared" si="21"/>
        <v>160.44264962957186</v>
      </c>
      <c r="AH81" s="973">
        <f t="shared" si="22"/>
        <v>160.44264962957186</v>
      </c>
      <c r="AI81" s="973">
        <f t="shared" si="22"/>
        <v>160.44264962957186</v>
      </c>
    </row>
    <row r="82" spans="1:35">
      <c r="A82" s="1315" t="s">
        <v>2064</v>
      </c>
      <c r="C82" s="1315" t="str">
        <f t="shared" si="16"/>
        <v>hhd-5</v>
      </c>
      <c r="D82" s="1316">
        <f t="shared" si="17"/>
        <v>44.463790017030426</v>
      </c>
      <c r="E82" s="1316">
        <f t="shared" si="17"/>
        <v>44.708612926164534</v>
      </c>
      <c r="F82" s="1316">
        <f t="shared" si="17"/>
        <v>46.373657933454759</v>
      </c>
      <c r="G82" s="1316">
        <f t="shared" si="17"/>
        <v>47.997356879098781</v>
      </c>
      <c r="H82" s="1316">
        <f t="shared" si="17"/>
        <v>49.705716249678133</v>
      </c>
      <c r="I82" s="1316">
        <f t="shared" si="17"/>
        <v>51.298142299029166</v>
      </c>
      <c r="J82" s="1316">
        <f t="shared" si="17"/>
        <v>53.071337858157264</v>
      </c>
      <c r="K82" s="1316">
        <f t="shared" si="17"/>
        <v>54.92698923190347</v>
      </c>
      <c r="L82" s="1316">
        <f t="shared" si="17"/>
        <v>56.928369243882862</v>
      </c>
      <c r="M82" s="1316">
        <f t="shared" si="17"/>
        <v>58.7639880811099</v>
      </c>
      <c r="N82" s="1316">
        <f t="shared" si="17"/>
        <v>60.807496765931759</v>
      </c>
      <c r="O82" s="1316">
        <f t="shared" si="17"/>
        <v>62.911755285008837</v>
      </c>
      <c r="P82" s="1316">
        <f t="shared" si="17"/>
        <v>65.157639791280829</v>
      </c>
      <c r="Q82" s="1316">
        <f t="shared" si="17"/>
        <v>67.550282324114562</v>
      </c>
      <c r="R82" s="1316">
        <f t="shared" si="17"/>
        <v>70.108466854085151</v>
      </c>
      <c r="S82" s="1316">
        <f t="shared" si="17"/>
        <v>72.675599600618185</v>
      </c>
      <c r="T82" s="1316">
        <f t="shared" si="17"/>
        <v>75.245025975329796</v>
      </c>
      <c r="U82" s="1316">
        <f t="shared" si="17"/>
        <v>77.66941665837615</v>
      </c>
      <c r="V82" s="1316">
        <f t="shared" si="17"/>
        <v>80.093787204554729</v>
      </c>
      <c r="W82" s="1316">
        <f t="shared" si="17"/>
        <v>82.862960441960141</v>
      </c>
      <c r="X82" s="1316">
        <f t="shared" si="17"/>
        <v>85.89204693720562</v>
      </c>
      <c r="Y82" s="1316">
        <f t="shared" si="17"/>
        <v>88.996563411689408</v>
      </c>
      <c r="Z82" s="1316">
        <f t="shared" si="17"/>
        <v>92.165110944959579</v>
      </c>
      <c r="AA82" s="1316">
        <f t="shared" si="17"/>
        <v>95.572024726371964</v>
      </c>
      <c r="AB82" s="1316">
        <f t="shared" si="17"/>
        <v>99.201699636300305</v>
      </c>
      <c r="AC82" s="1316">
        <f t="shared" si="17"/>
        <v>103.0688085273256</v>
      </c>
      <c r="AD82" s="973">
        <f t="shared" si="18"/>
        <v>119.84354649856141</v>
      </c>
      <c r="AE82" s="973">
        <f t="shared" si="19"/>
        <v>137.19472112519725</v>
      </c>
      <c r="AF82" s="973">
        <f t="shared" si="20"/>
        <v>154.49988904823931</v>
      </c>
      <c r="AG82" s="973">
        <f t="shared" si="21"/>
        <v>171.74025892670124</v>
      </c>
      <c r="AH82" s="973">
        <f t="shared" si="22"/>
        <v>171.74025892670124</v>
      </c>
      <c r="AI82" s="973">
        <f t="shared" si="22"/>
        <v>171.74025892670124</v>
      </c>
    </row>
    <row r="83" spans="1:35">
      <c r="A83" s="1315" t="s">
        <v>2064</v>
      </c>
      <c r="C83" s="1315" t="str">
        <f t="shared" si="16"/>
        <v>hhd-6</v>
      </c>
      <c r="D83" s="1316">
        <f t="shared" si="17"/>
        <v>53.566306330471356</v>
      </c>
      <c r="E83" s="1316">
        <f t="shared" si="17"/>
        <v>53.795102168423256</v>
      </c>
      <c r="F83" s="1316">
        <f t="shared" si="17"/>
        <v>55.733531670853729</v>
      </c>
      <c r="G83" s="1316">
        <f t="shared" si="17"/>
        <v>57.621907107461411</v>
      </c>
      <c r="H83" s="1316">
        <f t="shared" si="17"/>
        <v>59.610467546335975</v>
      </c>
      <c r="I83" s="1316">
        <f t="shared" si="17"/>
        <v>61.460173360241477</v>
      </c>
      <c r="J83" s="1316">
        <f t="shared" si="17"/>
        <v>63.522591838705402</v>
      </c>
      <c r="K83" s="1316">
        <f t="shared" si="17"/>
        <v>65.68010593353354</v>
      </c>
      <c r="L83" s="1316">
        <f t="shared" si="17"/>
        <v>68.007123133216197</v>
      </c>
      <c r="M83" s="1316">
        <f t="shared" si="17"/>
        <v>70.135258551155005</v>
      </c>
      <c r="N83" s="1316">
        <f t="shared" si="17"/>
        <v>72.506970405863569</v>
      </c>
      <c r="O83" s="1316">
        <f t="shared" si="17"/>
        <v>74.947438300392733</v>
      </c>
      <c r="P83" s="1316">
        <f t="shared" si="17"/>
        <v>77.550523622558472</v>
      </c>
      <c r="Q83" s="1316">
        <f t="shared" si="17"/>
        <v>80.322135581619051</v>
      </c>
      <c r="R83" s="1316">
        <f t="shared" si="17"/>
        <v>83.283610419201679</v>
      </c>
      <c r="S83" s="1316">
        <f t="shared" si="17"/>
        <v>86.2514023249079</v>
      </c>
      <c r="T83" s="1316">
        <f t="shared" si="17"/>
        <v>89.219800534447288</v>
      </c>
      <c r="U83" s="1316">
        <f t="shared" si="17"/>
        <v>92.016946841681317</v>
      </c>
      <c r="V83" s="1316">
        <f t="shared" si="17"/>
        <v>94.812467739370391</v>
      </c>
      <c r="W83" s="1316">
        <f t="shared" si="17"/>
        <v>98.00754737854686</v>
      </c>
      <c r="X83" s="1316">
        <f t="shared" si="17"/>
        <v>101.49958352353794</v>
      </c>
      <c r="Y83" s="1316">
        <f t="shared" si="17"/>
        <v>105.07397247846605</v>
      </c>
      <c r="Z83" s="1316">
        <f t="shared" si="17"/>
        <v>108.71911057629301</v>
      </c>
      <c r="AA83" s="1316">
        <f t="shared" si="17"/>
        <v>112.63470368549309</v>
      </c>
      <c r="AB83" s="1316">
        <f t="shared" si="17"/>
        <v>116.80011086101862</v>
      </c>
      <c r="AC83" s="1316">
        <f t="shared" si="17"/>
        <v>121.23317611768272</v>
      </c>
      <c r="AD83" s="973">
        <f t="shared" si="18"/>
        <v>140.5138652796586</v>
      </c>
      <c r="AE83" s="973">
        <f t="shared" si="19"/>
        <v>160.44392366847387</v>
      </c>
      <c r="AF83" s="973">
        <f t="shared" si="20"/>
        <v>180.32230853074179</v>
      </c>
      <c r="AG83" s="973">
        <f t="shared" si="21"/>
        <v>200.12744844044391</v>
      </c>
      <c r="AH83" s="973">
        <f t="shared" si="22"/>
        <v>200.12744844044391</v>
      </c>
      <c r="AI83" s="973">
        <f t="shared" si="22"/>
        <v>200.12744844044391</v>
      </c>
    </row>
    <row r="84" spans="1:35">
      <c r="A84" s="1315" t="s">
        <v>2064</v>
      </c>
      <c r="C84" s="1315" t="str">
        <f t="shared" si="16"/>
        <v>hhd-7</v>
      </c>
      <c r="D84" s="1316">
        <f t="shared" si="17"/>
        <v>74.353710619971835</v>
      </c>
      <c r="E84" s="1316">
        <f t="shared" si="17"/>
        <v>74.665323133882225</v>
      </c>
      <c r="F84" s="1316">
        <f t="shared" si="17"/>
        <v>77.356262492967275</v>
      </c>
      <c r="G84" s="1316">
        <f t="shared" si="17"/>
        <v>79.97969712062438</v>
      </c>
      <c r="H84" s="1316">
        <f t="shared" si="17"/>
        <v>82.744461654342118</v>
      </c>
      <c r="I84" s="1316">
        <f t="shared" si="17"/>
        <v>85.318063810881114</v>
      </c>
      <c r="J84" s="1316">
        <f t="shared" si="17"/>
        <v>88.191187040297649</v>
      </c>
      <c r="K84" s="1316">
        <f t="shared" si="17"/>
        <v>91.19884986205841</v>
      </c>
      <c r="L84" s="1316">
        <f t="shared" si="17"/>
        <v>94.44408555896446</v>
      </c>
      <c r="M84" s="1316">
        <f t="shared" si="17"/>
        <v>97.409503707493386</v>
      </c>
      <c r="N84" s="1316">
        <f t="shared" si="17"/>
        <v>100.71587722412904</v>
      </c>
      <c r="O84" s="1316">
        <f t="shared" si="17"/>
        <v>104.11803167421984</v>
      </c>
      <c r="P84" s="1316">
        <f t="shared" si="17"/>
        <v>107.74795227872944</v>
      </c>
      <c r="Q84" s="1316">
        <f t="shared" si="17"/>
        <v>111.61377860048172</v>
      </c>
      <c r="R84" s="1316">
        <f t="shared" si="17"/>
        <v>115.74532745696554</v>
      </c>
      <c r="S84" s="1316">
        <f t="shared" si="17"/>
        <v>119.88468415926958</v>
      </c>
      <c r="T84" s="1316">
        <f t="shared" si="17"/>
        <v>124.02396303298615</v>
      </c>
      <c r="U84" s="1316">
        <f t="shared" si="17"/>
        <v>127.9217827897908</v>
      </c>
      <c r="V84" s="1316">
        <f t="shared" si="17"/>
        <v>131.81864596154577</v>
      </c>
      <c r="W84" s="1316">
        <f t="shared" si="17"/>
        <v>136.27474913624295</v>
      </c>
      <c r="X84" s="1316">
        <f t="shared" si="17"/>
        <v>141.14401087982196</v>
      </c>
      <c r="Y84" s="1316">
        <f t="shared" si="17"/>
        <v>146.12644903522974</v>
      </c>
      <c r="Z84" s="1316">
        <f t="shared" si="17"/>
        <v>151.20490824089657</v>
      </c>
      <c r="AA84" s="1316">
        <f t="shared" si="17"/>
        <v>156.66033829071088</v>
      </c>
      <c r="AB84" s="1316">
        <f t="shared" si="17"/>
        <v>162.46676220686649</v>
      </c>
      <c r="AC84" s="1316">
        <f t="shared" si="17"/>
        <v>168.64696506850714</v>
      </c>
      <c r="AD84" s="973">
        <f t="shared" si="18"/>
        <v>195.515864300658</v>
      </c>
      <c r="AE84" s="973">
        <f t="shared" si="19"/>
        <v>223.29138908308778</v>
      </c>
      <c r="AF84" s="973">
        <f t="shared" si="20"/>
        <v>250.99537830470399</v>
      </c>
      <c r="AG84" s="973">
        <f t="shared" si="21"/>
        <v>278.59707400623665</v>
      </c>
      <c r="AH84" s="973">
        <f t="shared" si="22"/>
        <v>278.59707400623665</v>
      </c>
      <c r="AI84" s="973">
        <f t="shared" si="22"/>
        <v>278.59707400623665</v>
      </c>
    </row>
    <row r="85" spans="1:35">
      <c r="A85" s="1315" t="s">
        <v>2065</v>
      </c>
      <c r="C85" s="1315" t="str">
        <f t="shared" si="16"/>
        <v>hhd-8</v>
      </c>
      <c r="D85" s="1316">
        <f t="shared" si="17"/>
        <v>141.30613894464847</v>
      </c>
      <c r="E85" s="1316">
        <f t="shared" si="17"/>
        <v>141.85927236182107</v>
      </c>
      <c r="F85" s="1316">
        <f t="shared" si="17"/>
        <v>146.94731341238804</v>
      </c>
      <c r="G85" s="1316">
        <f t="shared" si="17"/>
        <v>151.90107151239965</v>
      </c>
      <c r="H85" s="1316">
        <f t="shared" si="17"/>
        <v>157.14096826893561</v>
      </c>
      <c r="I85" s="1316">
        <f t="shared" si="17"/>
        <v>162.00534601011196</v>
      </c>
      <c r="J85" s="1316">
        <f t="shared" si="17"/>
        <v>167.47407573066567</v>
      </c>
      <c r="K85" s="1316">
        <f t="shared" si="17"/>
        <v>173.22006535212074</v>
      </c>
      <c r="L85" s="1316">
        <f t="shared" si="17"/>
        <v>179.43625349687656</v>
      </c>
      <c r="M85" s="1316">
        <f t="shared" si="17"/>
        <v>185.06788443215234</v>
      </c>
      <c r="N85" s="1316">
        <f t="shared" si="17"/>
        <v>191.36037043350129</v>
      </c>
      <c r="O85" s="1316">
        <f t="shared" si="17"/>
        <v>197.83832389327046</v>
      </c>
      <c r="P85" s="1316">
        <f t="shared" si="17"/>
        <v>204.75117275678082</v>
      </c>
      <c r="Q85" s="1316">
        <f t="shared" si="17"/>
        <v>212.12129257098212</v>
      </c>
      <c r="R85" s="1316">
        <f t="shared" si="17"/>
        <v>220.00606711639816</v>
      </c>
      <c r="S85" s="1316">
        <f t="shared" si="17"/>
        <v>227.89474792832704</v>
      </c>
      <c r="T85" s="1316">
        <f t="shared" si="17"/>
        <v>235.78390029521532</v>
      </c>
      <c r="U85" s="1316">
        <f t="shared" si="17"/>
        <v>243.19208680880629</v>
      </c>
      <c r="V85" s="1316">
        <f t="shared" si="17"/>
        <v>250.58026850907393</v>
      </c>
      <c r="W85" s="1316">
        <f t="shared" si="17"/>
        <v>259.06796546547929</v>
      </c>
      <c r="X85" s="1316">
        <f t="shared" si="17"/>
        <v>268.34906856702554</v>
      </c>
      <c r="Y85" s="1316">
        <f t="shared" si="17"/>
        <v>277.83609325302274</v>
      </c>
      <c r="Z85" s="1316">
        <f t="shared" si="17"/>
        <v>287.50630068401222</v>
      </c>
      <c r="AA85" s="1316">
        <f t="shared" si="17"/>
        <v>297.88764781633682</v>
      </c>
      <c r="AB85" s="1316">
        <f t="shared" si="17"/>
        <v>308.90537158940208</v>
      </c>
      <c r="AC85" s="1316">
        <f t="shared" si="17"/>
        <v>320.61544617384413</v>
      </c>
      <c r="AD85" s="973">
        <f t="shared" si="18"/>
        <v>371.71402686108559</v>
      </c>
      <c r="AE85" s="973">
        <f t="shared" si="19"/>
        <v>424.4934936095342</v>
      </c>
      <c r="AF85" s="973">
        <f t="shared" si="20"/>
        <v>477.13842594714151</v>
      </c>
      <c r="AG85" s="973">
        <f t="shared" si="21"/>
        <v>529.59258206450613</v>
      </c>
      <c r="AH85" s="973">
        <f t="shared" si="22"/>
        <v>529.59258206450613</v>
      </c>
      <c r="AI85" s="973">
        <f t="shared" si="22"/>
        <v>529.59258206450613</v>
      </c>
    </row>
    <row r="86" spans="1:35">
      <c r="A86" s="1315" t="s">
        <v>2065</v>
      </c>
      <c r="C86" s="1315" t="str">
        <f t="shared" si="16"/>
        <v>hhd-9</v>
      </c>
      <c r="D86" s="1316">
        <f t="shared" si="17"/>
        <v>341.07293916274045</v>
      </c>
      <c r="E86" s="1316">
        <f t="shared" si="17"/>
        <v>680.37701170336629</v>
      </c>
      <c r="F86" s="1316">
        <f t="shared" si="17"/>
        <v>700.27189096870973</v>
      </c>
      <c r="G86" s="1316">
        <f t="shared" si="17"/>
        <v>719.68523227707294</v>
      </c>
      <c r="H86" s="1316">
        <f t="shared" si="17"/>
        <v>740.3321415116709</v>
      </c>
      <c r="I86" s="1316">
        <f t="shared" si="17"/>
        <v>759.36155522866477</v>
      </c>
      <c r="J86" s="1316">
        <f t="shared" si="17"/>
        <v>780.92743213068763</v>
      </c>
      <c r="K86" s="1316">
        <f t="shared" si="17"/>
        <v>803.67480603658987</v>
      </c>
      <c r="L86" s="1316">
        <f t="shared" si="17"/>
        <v>828.3436199449809</v>
      </c>
      <c r="M86" s="1316">
        <f t="shared" si="17"/>
        <v>850.49070570480637</v>
      </c>
      <c r="N86" s="1316">
        <f t="shared" si="17"/>
        <v>875.27696547663857</v>
      </c>
      <c r="O86" s="1316">
        <f t="shared" si="17"/>
        <v>900.81818581375808</v>
      </c>
      <c r="P86" s="1316">
        <f t="shared" si="17"/>
        <v>928.00552814711443</v>
      </c>
      <c r="Q86" s="1316">
        <f t="shared" si="17"/>
        <v>956.9719445749015</v>
      </c>
      <c r="R86" s="1316">
        <f t="shared" si="17"/>
        <v>987.9231553240221</v>
      </c>
      <c r="S86" s="1316">
        <f t="shared" si="17"/>
        <v>1018.8450053805281</v>
      </c>
      <c r="T86" s="1316">
        <f t="shared" si="17"/>
        <v>1049.8599463647818</v>
      </c>
      <c r="U86" s="1316">
        <f t="shared" si="17"/>
        <v>1079.0581130855405</v>
      </c>
      <c r="V86" s="1316">
        <f t="shared" si="17"/>
        <v>1108.0828271519895</v>
      </c>
      <c r="W86" s="1316">
        <f t="shared" si="17"/>
        <v>1141.5093364327097</v>
      </c>
      <c r="X86" s="1316">
        <f t="shared" si="17"/>
        <v>1177.9956507201323</v>
      </c>
      <c r="Y86" s="1316">
        <f>SUMIF($B$5:$B$22,$C86,Y$5:Y$22)/Y74*1000</f>
        <v>1215.2408270309536</v>
      </c>
      <c r="Z86" s="1316">
        <f>SUMIF($B$5:$B$22,$C86,Z$5:Z$22)/Z74*1000</f>
        <v>1253.3185747172456</v>
      </c>
      <c r="AA86" s="1316">
        <f>SUMIF($B$5:$B$22,$C86,AA$5:AA$22)/AA74*1000</f>
        <v>1294.0068622449869</v>
      </c>
      <c r="AB86" s="1316">
        <f>SUMIF($B$5:$B$22,$C86,AB$5:AB$22)/AB74*1000</f>
        <v>1336.6697770269395</v>
      </c>
      <c r="AC86" s="1316">
        <f>SUMIF($B$5:$B$22,$C86,AC$5:AC$22)/AC74*1000</f>
        <v>1381.6926761663758</v>
      </c>
      <c r="AD86" s="973">
        <f t="shared" si="18"/>
        <v>1581.5145942397357</v>
      </c>
      <c r="AE86" s="973">
        <f t="shared" si="19"/>
        <v>1787.1627086267399</v>
      </c>
      <c r="AF86" s="973">
        <f t="shared" si="20"/>
        <v>1992.2933441536443</v>
      </c>
      <c r="AG86" s="973">
        <f t="shared" si="21"/>
        <v>2196.7532917507488</v>
      </c>
      <c r="AH86" s="973">
        <f t="shared" si="22"/>
        <v>2196.7532917507488</v>
      </c>
      <c r="AI86" s="973">
        <f t="shared" si="22"/>
        <v>2196.7532917507488</v>
      </c>
    </row>
    <row r="87" spans="1:35">
      <c r="D87" s="1316"/>
      <c r="E87" s="1316"/>
    </row>
    <row r="88" spans="1:35">
      <c r="C88" s="1323" t="s">
        <v>2067</v>
      </c>
      <c r="D88" s="1323"/>
      <c r="E88" s="1323"/>
    </row>
    <row r="89" spans="1:35">
      <c r="C89" s="1315" t="str">
        <f t="shared" ref="C89:C98" si="23">C77</f>
        <v>hhd-0</v>
      </c>
      <c r="D89" s="1315">
        <f t="shared" ref="D89:AC98" si="24">IF(D77&lt;$C$101,1,IF(D77&gt;$C$102,3,2))</f>
        <v>1</v>
      </c>
      <c r="E89" s="1315">
        <f t="shared" si="24"/>
        <v>1</v>
      </c>
      <c r="F89" s="1315">
        <f t="shared" si="24"/>
        <v>1</v>
      </c>
      <c r="G89" s="1315">
        <f t="shared" si="24"/>
        <v>1</v>
      </c>
      <c r="H89" s="1315">
        <f t="shared" si="24"/>
        <v>1</v>
      </c>
      <c r="I89" s="1315">
        <f t="shared" si="24"/>
        <v>1</v>
      </c>
      <c r="J89" s="1315">
        <f t="shared" si="24"/>
        <v>1</v>
      </c>
      <c r="K89" s="1315">
        <f t="shared" si="24"/>
        <v>1</v>
      </c>
      <c r="L89" s="1315">
        <f t="shared" si="24"/>
        <v>1</v>
      </c>
      <c r="M89" s="1315">
        <f t="shared" si="24"/>
        <v>1</v>
      </c>
      <c r="N89" s="1315">
        <f t="shared" si="24"/>
        <v>2</v>
      </c>
      <c r="O89" s="1315">
        <f t="shared" si="24"/>
        <v>2</v>
      </c>
      <c r="P89" s="1315">
        <f t="shared" si="24"/>
        <v>2</v>
      </c>
      <c r="Q89" s="1315">
        <f t="shared" si="24"/>
        <v>2</v>
      </c>
      <c r="R89" s="1315">
        <f t="shared" si="24"/>
        <v>2</v>
      </c>
      <c r="S89" s="1315">
        <f t="shared" si="24"/>
        <v>2</v>
      </c>
      <c r="T89" s="1315">
        <f t="shared" si="24"/>
        <v>2</v>
      </c>
      <c r="U89" s="1315">
        <f t="shared" si="24"/>
        <v>2</v>
      </c>
      <c r="V89" s="1315">
        <f t="shared" si="24"/>
        <v>2</v>
      </c>
      <c r="W89" s="1315">
        <f t="shared" si="24"/>
        <v>2</v>
      </c>
      <c r="X89" s="1315">
        <f t="shared" si="24"/>
        <v>2</v>
      </c>
      <c r="Y89" s="1315">
        <f t="shared" si="24"/>
        <v>2</v>
      </c>
      <c r="Z89" s="1315">
        <f t="shared" si="24"/>
        <v>2</v>
      </c>
      <c r="AA89" s="1315">
        <f t="shared" si="24"/>
        <v>2</v>
      </c>
      <c r="AB89" s="1315">
        <f t="shared" si="24"/>
        <v>2</v>
      </c>
      <c r="AC89" s="1315">
        <f t="shared" si="24"/>
        <v>2</v>
      </c>
    </row>
    <row r="90" spans="1:35">
      <c r="C90" s="1315" t="str">
        <f t="shared" si="23"/>
        <v>hhd-1</v>
      </c>
      <c r="D90" s="1315">
        <f t="shared" si="24"/>
        <v>2</v>
      </c>
      <c r="E90" s="1315">
        <f t="shared" si="24"/>
        <v>2</v>
      </c>
      <c r="F90" s="1315">
        <f t="shared" si="24"/>
        <v>2</v>
      </c>
      <c r="G90" s="1315">
        <f t="shared" si="24"/>
        <v>2</v>
      </c>
      <c r="H90" s="1315">
        <f t="shared" si="24"/>
        <v>2</v>
      </c>
      <c r="I90" s="1315">
        <f t="shared" si="24"/>
        <v>2</v>
      </c>
      <c r="J90" s="1315">
        <f t="shared" si="24"/>
        <v>2</v>
      </c>
      <c r="K90" s="1315">
        <f t="shared" si="24"/>
        <v>2</v>
      </c>
      <c r="L90" s="1315">
        <f t="shared" si="24"/>
        <v>2</v>
      </c>
      <c r="M90" s="1315">
        <f t="shared" si="24"/>
        <v>2</v>
      </c>
      <c r="N90" s="1315">
        <f t="shared" si="24"/>
        <v>2</v>
      </c>
      <c r="O90" s="1315">
        <f t="shared" si="24"/>
        <v>2</v>
      </c>
      <c r="P90" s="1315">
        <f t="shared" si="24"/>
        <v>2</v>
      </c>
      <c r="Q90" s="1315">
        <f t="shared" si="24"/>
        <v>2</v>
      </c>
      <c r="R90" s="1315">
        <f t="shared" si="24"/>
        <v>2</v>
      </c>
      <c r="S90" s="1315">
        <f t="shared" si="24"/>
        <v>2</v>
      </c>
      <c r="T90" s="1315">
        <f t="shared" si="24"/>
        <v>2</v>
      </c>
      <c r="U90" s="1315">
        <f t="shared" si="24"/>
        <v>2</v>
      </c>
      <c r="V90" s="1315">
        <f t="shared" si="24"/>
        <v>2</v>
      </c>
      <c r="W90" s="1315">
        <f t="shared" si="24"/>
        <v>2</v>
      </c>
      <c r="X90" s="1315">
        <f t="shared" si="24"/>
        <v>2</v>
      </c>
      <c r="Y90" s="1315">
        <f t="shared" si="24"/>
        <v>2</v>
      </c>
      <c r="Z90" s="1315">
        <f t="shared" si="24"/>
        <v>2</v>
      </c>
      <c r="AA90" s="1315">
        <f t="shared" si="24"/>
        <v>2</v>
      </c>
      <c r="AB90" s="1315">
        <f t="shared" si="24"/>
        <v>2</v>
      </c>
      <c r="AC90" s="1315">
        <f t="shared" si="24"/>
        <v>2</v>
      </c>
    </row>
    <row r="91" spans="1:35">
      <c r="C91" s="1315" t="str">
        <f t="shared" si="23"/>
        <v>hhd-2</v>
      </c>
      <c r="D91" s="1315">
        <f t="shared" si="24"/>
        <v>2</v>
      </c>
      <c r="E91" s="1315">
        <f t="shared" si="24"/>
        <v>2</v>
      </c>
      <c r="F91" s="1315">
        <f t="shared" si="24"/>
        <v>2</v>
      </c>
      <c r="G91" s="1315">
        <f t="shared" si="24"/>
        <v>2</v>
      </c>
      <c r="H91" s="1315">
        <f t="shared" si="24"/>
        <v>2</v>
      </c>
      <c r="I91" s="1315">
        <f t="shared" si="24"/>
        <v>2</v>
      </c>
      <c r="J91" s="1315">
        <f t="shared" si="24"/>
        <v>2</v>
      </c>
      <c r="K91" s="1315">
        <f t="shared" si="24"/>
        <v>2</v>
      </c>
      <c r="L91" s="1315">
        <f t="shared" si="24"/>
        <v>2</v>
      </c>
      <c r="M91" s="1315">
        <f t="shared" si="24"/>
        <v>2</v>
      </c>
      <c r="N91" s="1315">
        <f t="shared" si="24"/>
        <v>2</v>
      </c>
      <c r="O91" s="1315">
        <f t="shared" si="24"/>
        <v>2</v>
      </c>
      <c r="P91" s="1315">
        <f t="shared" si="24"/>
        <v>2</v>
      </c>
      <c r="Q91" s="1315">
        <f t="shared" si="24"/>
        <v>2</v>
      </c>
      <c r="R91" s="1315">
        <f t="shared" si="24"/>
        <v>2</v>
      </c>
      <c r="S91" s="1315">
        <f t="shared" si="24"/>
        <v>2</v>
      </c>
      <c r="T91" s="1315">
        <f t="shared" si="24"/>
        <v>2</v>
      </c>
      <c r="U91" s="1315">
        <f t="shared" si="24"/>
        <v>2</v>
      </c>
      <c r="V91" s="1315">
        <f t="shared" si="24"/>
        <v>2</v>
      </c>
      <c r="W91" s="1315">
        <f t="shared" si="24"/>
        <v>2</v>
      </c>
      <c r="X91" s="1315">
        <f t="shared" si="24"/>
        <v>2</v>
      </c>
      <c r="Y91" s="1315">
        <f t="shared" si="24"/>
        <v>2</v>
      </c>
      <c r="Z91" s="1315">
        <f t="shared" si="24"/>
        <v>2</v>
      </c>
      <c r="AA91" s="1315">
        <f t="shared" si="24"/>
        <v>2</v>
      </c>
      <c r="AB91" s="1315">
        <f t="shared" si="24"/>
        <v>2</v>
      </c>
      <c r="AC91" s="1315">
        <f t="shared" si="24"/>
        <v>2</v>
      </c>
    </row>
    <row r="92" spans="1:35">
      <c r="C92" s="1315" t="str">
        <f t="shared" si="23"/>
        <v>hhd-3</v>
      </c>
      <c r="D92" s="1315">
        <f t="shared" si="24"/>
        <v>2</v>
      </c>
      <c r="E92" s="1315">
        <f t="shared" si="24"/>
        <v>2</v>
      </c>
      <c r="F92" s="1315">
        <f t="shared" si="24"/>
        <v>2</v>
      </c>
      <c r="G92" s="1315">
        <f t="shared" si="24"/>
        <v>2</v>
      </c>
      <c r="H92" s="1315">
        <f t="shared" si="24"/>
        <v>2</v>
      </c>
      <c r="I92" s="1315">
        <f t="shared" si="24"/>
        <v>2</v>
      </c>
      <c r="J92" s="1315">
        <f t="shared" si="24"/>
        <v>2</v>
      </c>
      <c r="K92" s="1315">
        <f t="shared" si="24"/>
        <v>2</v>
      </c>
      <c r="L92" s="1315">
        <f t="shared" si="24"/>
        <v>2</v>
      </c>
      <c r="M92" s="1315">
        <f t="shared" si="24"/>
        <v>2</v>
      </c>
      <c r="N92" s="1315">
        <f t="shared" si="24"/>
        <v>2</v>
      </c>
      <c r="O92" s="1315">
        <f t="shared" si="24"/>
        <v>2</v>
      </c>
      <c r="P92" s="1315">
        <f t="shared" si="24"/>
        <v>2</v>
      </c>
      <c r="Q92" s="1315">
        <f t="shared" si="24"/>
        <v>2</v>
      </c>
      <c r="R92" s="1315">
        <f t="shared" si="24"/>
        <v>2</v>
      </c>
      <c r="S92" s="1315">
        <f t="shared" si="24"/>
        <v>2</v>
      </c>
      <c r="T92" s="1315">
        <f t="shared" si="24"/>
        <v>2</v>
      </c>
      <c r="U92" s="1315">
        <f t="shared" si="24"/>
        <v>2</v>
      </c>
      <c r="V92" s="1315">
        <f t="shared" si="24"/>
        <v>2</v>
      </c>
      <c r="W92" s="1315">
        <f t="shared" si="24"/>
        <v>2</v>
      </c>
      <c r="X92" s="1315">
        <f t="shared" si="24"/>
        <v>2</v>
      </c>
      <c r="Y92" s="1315">
        <f t="shared" si="24"/>
        <v>2</v>
      </c>
      <c r="Z92" s="1315">
        <f t="shared" si="24"/>
        <v>2</v>
      </c>
      <c r="AA92" s="1315">
        <f t="shared" si="24"/>
        <v>2</v>
      </c>
      <c r="AB92" s="1315">
        <f t="shared" si="24"/>
        <v>3</v>
      </c>
      <c r="AC92" s="1315">
        <f t="shared" si="24"/>
        <v>3</v>
      </c>
    </row>
    <row r="93" spans="1:35">
      <c r="C93" s="1315" t="str">
        <f t="shared" si="23"/>
        <v>hhd-4</v>
      </c>
      <c r="D93" s="1315">
        <f t="shared" si="24"/>
        <v>2</v>
      </c>
      <c r="E93" s="1315">
        <f t="shared" si="24"/>
        <v>2</v>
      </c>
      <c r="F93" s="1315">
        <f t="shared" si="24"/>
        <v>2</v>
      </c>
      <c r="G93" s="1315">
        <f t="shared" si="24"/>
        <v>2</v>
      </c>
      <c r="H93" s="1315">
        <f t="shared" si="24"/>
        <v>2</v>
      </c>
      <c r="I93" s="1315">
        <f t="shared" si="24"/>
        <v>2</v>
      </c>
      <c r="J93" s="1315">
        <f t="shared" si="24"/>
        <v>2</v>
      </c>
      <c r="K93" s="1315">
        <f t="shared" si="24"/>
        <v>2</v>
      </c>
      <c r="L93" s="1315">
        <f t="shared" si="24"/>
        <v>2</v>
      </c>
      <c r="M93" s="1315">
        <f t="shared" si="24"/>
        <v>2</v>
      </c>
      <c r="N93" s="1315">
        <f t="shared" si="24"/>
        <v>2</v>
      </c>
      <c r="O93" s="1315">
        <f t="shared" si="24"/>
        <v>2</v>
      </c>
      <c r="P93" s="1315">
        <f t="shared" si="24"/>
        <v>2</v>
      </c>
      <c r="Q93" s="1315">
        <f t="shared" si="24"/>
        <v>2</v>
      </c>
      <c r="R93" s="1315">
        <f t="shared" si="24"/>
        <v>2</v>
      </c>
      <c r="S93" s="1315">
        <f t="shared" si="24"/>
        <v>2</v>
      </c>
      <c r="T93" s="1315">
        <f t="shared" si="24"/>
        <v>2</v>
      </c>
      <c r="U93" s="1315">
        <f t="shared" si="24"/>
        <v>2</v>
      </c>
      <c r="V93" s="1315">
        <f t="shared" si="24"/>
        <v>2</v>
      </c>
      <c r="W93" s="1315">
        <f t="shared" si="24"/>
        <v>2</v>
      </c>
      <c r="X93" s="1315">
        <f t="shared" si="24"/>
        <v>3</v>
      </c>
      <c r="Y93" s="1315">
        <f t="shared" si="24"/>
        <v>3</v>
      </c>
      <c r="Z93" s="1315">
        <f t="shared" si="24"/>
        <v>3</v>
      </c>
      <c r="AA93" s="1315">
        <f t="shared" si="24"/>
        <v>3</v>
      </c>
      <c r="AB93" s="1315">
        <f t="shared" si="24"/>
        <v>3</v>
      </c>
      <c r="AC93" s="1315">
        <f t="shared" si="24"/>
        <v>3</v>
      </c>
    </row>
    <row r="94" spans="1:35">
      <c r="C94" s="1315" t="str">
        <f t="shared" si="23"/>
        <v>hhd-5</v>
      </c>
      <c r="D94" s="1315">
        <f t="shared" si="24"/>
        <v>2</v>
      </c>
      <c r="E94" s="1315">
        <f t="shared" si="24"/>
        <v>2</v>
      </c>
      <c r="F94" s="1315">
        <f t="shared" si="24"/>
        <v>2</v>
      </c>
      <c r="G94" s="1315">
        <f t="shared" si="24"/>
        <v>2</v>
      </c>
      <c r="H94" s="1315">
        <f t="shared" si="24"/>
        <v>2</v>
      </c>
      <c r="I94" s="1315">
        <f t="shared" si="24"/>
        <v>2</v>
      </c>
      <c r="J94" s="1315">
        <f t="shared" si="24"/>
        <v>2</v>
      </c>
      <c r="K94" s="1315">
        <f t="shared" si="24"/>
        <v>2</v>
      </c>
      <c r="L94" s="1315">
        <f t="shared" si="24"/>
        <v>2</v>
      </c>
      <c r="M94" s="1315">
        <f t="shared" si="24"/>
        <v>2</v>
      </c>
      <c r="N94" s="1315">
        <f t="shared" si="24"/>
        <v>2</v>
      </c>
      <c r="O94" s="1315">
        <f t="shared" si="24"/>
        <v>2</v>
      </c>
      <c r="P94" s="1315">
        <f t="shared" si="24"/>
        <v>2</v>
      </c>
      <c r="Q94" s="1315">
        <f t="shared" si="24"/>
        <v>2</v>
      </c>
      <c r="R94" s="1315">
        <f t="shared" si="24"/>
        <v>2</v>
      </c>
      <c r="S94" s="1315">
        <f t="shared" si="24"/>
        <v>2</v>
      </c>
      <c r="T94" s="1315">
        <f t="shared" si="24"/>
        <v>2</v>
      </c>
      <c r="U94" s="1315">
        <f t="shared" si="24"/>
        <v>3</v>
      </c>
      <c r="V94" s="1315">
        <f t="shared" si="24"/>
        <v>3</v>
      </c>
      <c r="W94" s="1315">
        <f t="shared" si="24"/>
        <v>3</v>
      </c>
      <c r="X94" s="1315">
        <f t="shared" si="24"/>
        <v>3</v>
      </c>
      <c r="Y94" s="1315">
        <f t="shared" si="24"/>
        <v>3</v>
      </c>
      <c r="Z94" s="1315">
        <f t="shared" si="24"/>
        <v>3</v>
      </c>
      <c r="AA94" s="1315">
        <f t="shared" si="24"/>
        <v>3</v>
      </c>
      <c r="AB94" s="1315">
        <f t="shared" si="24"/>
        <v>3</v>
      </c>
      <c r="AC94" s="1315">
        <f t="shared" si="24"/>
        <v>3</v>
      </c>
    </row>
    <row r="95" spans="1:35">
      <c r="C95" s="1315" t="str">
        <f t="shared" si="23"/>
        <v>hhd-6</v>
      </c>
      <c r="D95" s="1315">
        <f t="shared" si="24"/>
        <v>2</v>
      </c>
      <c r="E95" s="1315">
        <f t="shared" si="24"/>
        <v>2</v>
      </c>
      <c r="F95" s="1315">
        <f t="shared" si="24"/>
        <v>2</v>
      </c>
      <c r="G95" s="1315">
        <f t="shared" si="24"/>
        <v>2</v>
      </c>
      <c r="H95" s="1315">
        <f t="shared" si="24"/>
        <v>2</v>
      </c>
      <c r="I95" s="1315">
        <f t="shared" si="24"/>
        <v>2</v>
      </c>
      <c r="J95" s="1315">
        <f t="shared" si="24"/>
        <v>2</v>
      </c>
      <c r="K95" s="1315">
        <f t="shared" si="24"/>
        <v>2</v>
      </c>
      <c r="L95" s="1315">
        <f t="shared" si="24"/>
        <v>2</v>
      </c>
      <c r="M95" s="1315">
        <f t="shared" si="24"/>
        <v>2</v>
      </c>
      <c r="N95" s="1315">
        <f t="shared" si="24"/>
        <v>2</v>
      </c>
      <c r="O95" s="1315">
        <f t="shared" si="24"/>
        <v>2</v>
      </c>
      <c r="P95" s="1315">
        <f t="shared" si="24"/>
        <v>3</v>
      </c>
      <c r="Q95" s="1315">
        <f t="shared" si="24"/>
        <v>3</v>
      </c>
      <c r="R95" s="1315">
        <f t="shared" si="24"/>
        <v>3</v>
      </c>
      <c r="S95" s="1315">
        <f t="shared" si="24"/>
        <v>3</v>
      </c>
      <c r="T95" s="1315">
        <f t="shared" si="24"/>
        <v>3</v>
      </c>
      <c r="U95" s="1315">
        <f t="shared" si="24"/>
        <v>3</v>
      </c>
      <c r="V95" s="1315">
        <f t="shared" si="24"/>
        <v>3</v>
      </c>
      <c r="W95" s="1315">
        <f t="shared" si="24"/>
        <v>3</v>
      </c>
      <c r="X95" s="1315">
        <f t="shared" si="24"/>
        <v>3</v>
      </c>
      <c r="Y95" s="1315">
        <f t="shared" si="24"/>
        <v>3</v>
      </c>
      <c r="Z95" s="1315">
        <f t="shared" si="24"/>
        <v>3</v>
      </c>
      <c r="AA95" s="1315">
        <f t="shared" si="24"/>
        <v>3</v>
      </c>
      <c r="AB95" s="1315">
        <f t="shared" si="24"/>
        <v>3</v>
      </c>
      <c r="AC95" s="1315">
        <f t="shared" si="24"/>
        <v>3</v>
      </c>
    </row>
    <row r="96" spans="1:35">
      <c r="C96" s="1315" t="str">
        <f t="shared" si="23"/>
        <v>hhd-7</v>
      </c>
      <c r="D96" s="1315">
        <f t="shared" si="24"/>
        <v>2</v>
      </c>
      <c r="E96" s="1315">
        <f t="shared" si="24"/>
        <v>2</v>
      </c>
      <c r="F96" s="1315">
        <f t="shared" si="24"/>
        <v>3</v>
      </c>
      <c r="G96" s="1315">
        <f t="shared" si="24"/>
        <v>3</v>
      </c>
      <c r="H96" s="1315">
        <f t="shared" si="24"/>
        <v>3</v>
      </c>
      <c r="I96" s="1315">
        <f t="shared" si="24"/>
        <v>3</v>
      </c>
      <c r="J96" s="1315">
        <f t="shared" si="24"/>
        <v>3</v>
      </c>
      <c r="K96" s="1315">
        <f t="shared" si="24"/>
        <v>3</v>
      </c>
      <c r="L96" s="1315">
        <f t="shared" si="24"/>
        <v>3</v>
      </c>
      <c r="M96" s="1315">
        <f t="shared" si="24"/>
        <v>3</v>
      </c>
      <c r="N96" s="1315">
        <f t="shared" si="24"/>
        <v>3</v>
      </c>
      <c r="O96" s="1315">
        <f t="shared" si="24"/>
        <v>3</v>
      </c>
      <c r="P96" s="1315">
        <f t="shared" si="24"/>
        <v>3</v>
      </c>
      <c r="Q96" s="1315">
        <f t="shared" si="24"/>
        <v>3</v>
      </c>
      <c r="R96" s="1315">
        <f t="shared" si="24"/>
        <v>3</v>
      </c>
      <c r="S96" s="1315">
        <f t="shared" si="24"/>
        <v>3</v>
      </c>
      <c r="T96" s="1315">
        <f t="shared" si="24"/>
        <v>3</v>
      </c>
      <c r="U96" s="1315">
        <f t="shared" si="24"/>
        <v>3</v>
      </c>
      <c r="V96" s="1315">
        <f t="shared" si="24"/>
        <v>3</v>
      </c>
      <c r="W96" s="1315">
        <f t="shared" si="24"/>
        <v>3</v>
      </c>
      <c r="X96" s="1315">
        <f t="shared" si="24"/>
        <v>3</v>
      </c>
      <c r="Y96" s="1315">
        <f t="shared" si="24"/>
        <v>3</v>
      </c>
      <c r="Z96" s="1315">
        <f t="shared" si="24"/>
        <v>3</v>
      </c>
      <c r="AA96" s="1315">
        <f t="shared" si="24"/>
        <v>3</v>
      </c>
      <c r="AB96" s="1315">
        <f t="shared" si="24"/>
        <v>3</v>
      </c>
      <c r="AC96" s="1315">
        <f t="shared" si="24"/>
        <v>3</v>
      </c>
    </row>
    <row r="97" spans="1:35">
      <c r="C97" s="1315" t="str">
        <f t="shared" si="23"/>
        <v>hhd-8</v>
      </c>
      <c r="D97" s="1315">
        <f t="shared" si="24"/>
        <v>3</v>
      </c>
      <c r="E97" s="1315">
        <f t="shared" si="24"/>
        <v>3</v>
      </c>
      <c r="F97" s="1315">
        <f t="shared" si="24"/>
        <v>3</v>
      </c>
      <c r="G97" s="1315">
        <f t="shared" si="24"/>
        <v>3</v>
      </c>
      <c r="H97" s="1315">
        <f t="shared" si="24"/>
        <v>3</v>
      </c>
      <c r="I97" s="1315">
        <f t="shared" si="24"/>
        <v>3</v>
      </c>
      <c r="J97" s="1315">
        <f t="shared" si="24"/>
        <v>3</v>
      </c>
      <c r="K97" s="1315">
        <f t="shared" si="24"/>
        <v>3</v>
      </c>
      <c r="L97" s="1315">
        <f t="shared" si="24"/>
        <v>3</v>
      </c>
      <c r="M97" s="1315">
        <f t="shared" si="24"/>
        <v>3</v>
      </c>
      <c r="N97" s="1315">
        <f t="shared" si="24"/>
        <v>3</v>
      </c>
      <c r="O97" s="1315">
        <f t="shared" si="24"/>
        <v>3</v>
      </c>
      <c r="P97" s="1315">
        <f t="shared" si="24"/>
        <v>3</v>
      </c>
      <c r="Q97" s="1315">
        <f t="shared" si="24"/>
        <v>3</v>
      </c>
      <c r="R97" s="1315">
        <f t="shared" si="24"/>
        <v>3</v>
      </c>
      <c r="S97" s="1315">
        <f t="shared" si="24"/>
        <v>3</v>
      </c>
      <c r="T97" s="1315">
        <f t="shared" si="24"/>
        <v>3</v>
      </c>
      <c r="U97" s="1315">
        <f t="shared" si="24"/>
        <v>3</v>
      </c>
      <c r="V97" s="1315">
        <f t="shared" si="24"/>
        <v>3</v>
      </c>
      <c r="W97" s="1315">
        <f t="shared" si="24"/>
        <v>3</v>
      </c>
      <c r="X97" s="1315">
        <f t="shared" si="24"/>
        <v>3</v>
      </c>
      <c r="Y97" s="1315">
        <f t="shared" si="24"/>
        <v>3</v>
      </c>
      <c r="Z97" s="1315">
        <f t="shared" si="24"/>
        <v>3</v>
      </c>
      <c r="AA97" s="1315">
        <f t="shared" si="24"/>
        <v>3</v>
      </c>
      <c r="AB97" s="1315">
        <f t="shared" si="24"/>
        <v>3</v>
      </c>
      <c r="AC97" s="1315">
        <f t="shared" si="24"/>
        <v>3</v>
      </c>
    </row>
    <row r="98" spans="1:35">
      <c r="C98" s="1315" t="str">
        <f t="shared" si="23"/>
        <v>hhd-9</v>
      </c>
      <c r="D98" s="1315">
        <f t="shared" si="24"/>
        <v>3</v>
      </c>
      <c r="E98" s="1315">
        <f t="shared" si="24"/>
        <v>3</v>
      </c>
      <c r="F98" s="1315">
        <f t="shared" si="24"/>
        <v>3</v>
      </c>
      <c r="G98" s="1315">
        <f t="shared" si="24"/>
        <v>3</v>
      </c>
      <c r="H98" s="1315">
        <f t="shared" si="24"/>
        <v>3</v>
      </c>
      <c r="I98" s="1315">
        <f t="shared" si="24"/>
        <v>3</v>
      </c>
      <c r="J98" s="1315">
        <f t="shared" si="24"/>
        <v>3</v>
      </c>
      <c r="K98" s="1315">
        <f t="shared" si="24"/>
        <v>3</v>
      </c>
      <c r="L98" s="1315">
        <f t="shared" si="24"/>
        <v>3</v>
      </c>
      <c r="M98" s="1315">
        <f t="shared" si="24"/>
        <v>3</v>
      </c>
      <c r="N98" s="1315">
        <f t="shared" si="24"/>
        <v>3</v>
      </c>
      <c r="O98" s="1315">
        <f t="shared" si="24"/>
        <v>3</v>
      </c>
      <c r="P98" s="1315">
        <f t="shared" si="24"/>
        <v>3</v>
      </c>
      <c r="Q98" s="1315">
        <f t="shared" si="24"/>
        <v>3</v>
      </c>
      <c r="R98" s="1315">
        <f t="shared" si="24"/>
        <v>3</v>
      </c>
      <c r="S98" s="1315">
        <f t="shared" si="24"/>
        <v>3</v>
      </c>
      <c r="T98" s="1315">
        <f t="shared" si="24"/>
        <v>3</v>
      </c>
      <c r="U98" s="1315">
        <f t="shared" si="24"/>
        <v>3</v>
      </c>
      <c r="V98" s="1315">
        <f t="shared" si="24"/>
        <v>3</v>
      </c>
      <c r="W98" s="1315">
        <f t="shared" si="24"/>
        <v>3</v>
      </c>
      <c r="X98" s="1315">
        <f t="shared" si="24"/>
        <v>3</v>
      </c>
      <c r="Y98" s="1315">
        <f>IF(Y86&lt;$C$101,1,IF(Y86&gt;$C$102,3,2))</f>
        <v>3</v>
      </c>
      <c r="Z98" s="1315">
        <f>IF(Z86&lt;$C$101,1,IF(Z86&gt;$C$102,3,2))</f>
        <v>3</v>
      </c>
      <c r="AA98" s="1315">
        <f>IF(AA86&lt;$C$101,1,IF(AA86&gt;$C$102,3,2))</f>
        <v>3</v>
      </c>
      <c r="AB98" s="1315">
        <f>IF(AB86&lt;$C$101,1,IF(AB86&gt;$C$102,3,2))</f>
        <v>3</v>
      </c>
      <c r="AC98" s="1315">
        <f>IF(AC86&lt;$C$101,1,IF(AC86&gt;$C$102,3,2))</f>
        <v>3</v>
      </c>
    </row>
    <row r="100" spans="1:35">
      <c r="B100" s="1323" t="s">
        <v>2068</v>
      </c>
      <c r="C100" s="1325" t="s">
        <v>2069</v>
      </c>
      <c r="D100" s="1315" t="s">
        <v>2070</v>
      </c>
      <c r="E100" s="1325"/>
    </row>
    <row r="101" spans="1:35">
      <c r="A101" s="1315">
        <v>1</v>
      </c>
      <c r="B101" s="1315" t="s">
        <v>817</v>
      </c>
      <c r="C101" s="1325">
        <v>19.2</v>
      </c>
      <c r="D101" s="1316">
        <f>SUM(D81:D82)/2</f>
        <v>41.554283941964002</v>
      </c>
    </row>
    <row r="102" spans="1:35">
      <c r="A102" s="1315">
        <v>2</v>
      </c>
      <c r="B102" s="1315" t="s">
        <v>816</v>
      </c>
      <c r="C102" s="1325">
        <v>76.8</v>
      </c>
      <c r="D102" s="1316">
        <f>SUM(D84:D85)/2</f>
        <v>107.82992478231014</v>
      </c>
    </row>
    <row r="103" spans="1:35">
      <c r="A103" s="1315">
        <v>3</v>
      </c>
      <c r="B103" s="1315" t="s">
        <v>2071</v>
      </c>
      <c r="C103" s="1325"/>
    </row>
    <row r="104" spans="1:35">
      <c r="C104" s="1323" t="s">
        <v>2072</v>
      </c>
    </row>
    <row r="105" spans="1:35">
      <c r="C105" s="1315" t="s">
        <v>2032</v>
      </c>
      <c r="D105" s="1315">
        <f t="shared" ref="D105:AI112" si="25">IF(D77&lt;$D$101,1,IF(D77&gt;$D$102,3,2))</f>
        <v>1</v>
      </c>
      <c r="E105" s="1315">
        <f t="shared" si="25"/>
        <v>1</v>
      </c>
      <c r="F105" s="1315">
        <f t="shared" si="25"/>
        <v>1</v>
      </c>
      <c r="G105" s="1315">
        <f t="shared" si="25"/>
        <v>1</v>
      </c>
      <c r="H105" s="1315">
        <f t="shared" si="25"/>
        <v>1</v>
      </c>
      <c r="I105" s="1315">
        <f t="shared" si="25"/>
        <v>1</v>
      </c>
      <c r="J105" s="1315">
        <f t="shared" si="25"/>
        <v>1</v>
      </c>
      <c r="K105" s="1315">
        <f t="shared" si="25"/>
        <v>1</v>
      </c>
      <c r="L105" s="1315">
        <f t="shared" si="25"/>
        <v>1</v>
      </c>
      <c r="M105" s="1315">
        <f t="shared" si="25"/>
        <v>1</v>
      </c>
      <c r="N105" s="1315">
        <f t="shared" si="25"/>
        <v>1</v>
      </c>
      <c r="O105" s="1315">
        <f t="shared" si="25"/>
        <v>1</v>
      </c>
      <c r="P105" s="1315">
        <f t="shared" si="25"/>
        <v>1</v>
      </c>
      <c r="Q105" s="1315">
        <f t="shared" si="25"/>
        <v>1</v>
      </c>
      <c r="R105" s="1315">
        <f t="shared" si="25"/>
        <v>1</v>
      </c>
      <c r="S105" s="1315">
        <f t="shared" si="25"/>
        <v>1</v>
      </c>
      <c r="T105" s="1315">
        <f t="shared" si="25"/>
        <v>1</v>
      </c>
      <c r="U105" s="1315">
        <f t="shared" si="25"/>
        <v>1</v>
      </c>
      <c r="V105" s="1315">
        <f t="shared" si="25"/>
        <v>1</v>
      </c>
      <c r="W105" s="1315">
        <f t="shared" si="25"/>
        <v>1</v>
      </c>
      <c r="X105" s="1315">
        <f t="shared" si="25"/>
        <v>1</v>
      </c>
      <c r="Y105" s="1315">
        <f t="shared" si="25"/>
        <v>1</v>
      </c>
      <c r="Z105" s="1315">
        <f t="shared" si="25"/>
        <v>1</v>
      </c>
      <c r="AA105" s="1315">
        <f t="shared" si="25"/>
        <v>1</v>
      </c>
      <c r="AB105" s="1315">
        <f t="shared" si="25"/>
        <v>1</v>
      </c>
      <c r="AC105" s="1315">
        <f t="shared" si="25"/>
        <v>1</v>
      </c>
      <c r="AD105" s="1315">
        <f t="shared" si="25"/>
        <v>2</v>
      </c>
      <c r="AE105" s="1315">
        <f t="shared" si="25"/>
        <v>2</v>
      </c>
      <c r="AF105" s="1315">
        <f t="shared" si="25"/>
        <v>2</v>
      </c>
      <c r="AG105" s="1315">
        <f t="shared" si="25"/>
        <v>2</v>
      </c>
      <c r="AH105" s="1315">
        <f t="shared" si="25"/>
        <v>2</v>
      </c>
      <c r="AI105" s="1315">
        <f t="shared" si="25"/>
        <v>2</v>
      </c>
    </row>
    <row r="106" spans="1:35">
      <c r="C106" s="1315" t="s">
        <v>2033</v>
      </c>
      <c r="D106" s="1315">
        <f t="shared" si="25"/>
        <v>1</v>
      </c>
      <c r="E106" s="1315">
        <f t="shared" si="25"/>
        <v>1</v>
      </c>
      <c r="F106" s="1315">
        <f t="shared" si="25"/>
        <v>1</v>
      </c>
      <c r="G106" s="1315">
        <f t="shared" si="25"/>
        <v>1</v>
      </c>
      <c r="H106" s="1315">
        <f t="shared" si="25"/>
        <v>1</v>
      </c>
      <c r="I106" s="1315">
        <f t="shared" si="25"/>
        <v>1</v>
      </c>
      <c r="J106" s="1315">
        <f t="shared" si="25"/>
        <v>1</v>
      </c>
      <c r="K106" s="1315">
        <f t="shared" si="25"/>
        <v>1</v>
      </c>
      <c r="L106" s="1315">
        <f t="shared" si="25"/>
        <v>1</v>
      </c>
      <c r="M106" s="1315">
        <f t="shared" si="25"/>
        <v>1</v>
      </c>
      <c r="N106" s="1315">
        <f t="shared" si="25"/>
        <v>1</v>
      </c>
      <c r="O106" s="1315">
        <f t="shared" si="25"/>
        <v>1</v>
      </c>
      <c r="P106" s="1315">
        <f t="shared" si="25"/>
        <v>1</v>
      </c>
      <c r="Q106" s="1315">
        <f t="shared" si="25"/>
        <v>1</v>
      </c>
      <c r="R106" s="1315">
        <f t="shared" si="25"/>
        <v>1</v>
      </c>
      <c r="S106" s="1315">
        <f t="shared" si="25"/>
        <v>1</v>
      </c>
      <c r="T106" s="1315">
        <f t="shared" si="25"/>
        <v>2</v>
      </c>
      <c r="U106" s="1315">
        <f t="shared" si="25"/>
        <v>2</v>
      </c>
      <c r="V106" s="1315">
        <f t="shared" si="25"/>
        <v>2</v>
      </c>
      <c r="W106" s="1315">
        <f t="shared" si="25"/>
        <v>2</v>
      </c>
      <c r="X106" s="1315">
        <f t="shared" si="25"/>
        <v>2</v>
      </c>
      <c r="Y106" s="1315">
        <f t="shared" si="25"/>
        <v>2</v>
      </c>
      <c r="Z106" s="1315">
        <f t="shared" si="25"/>
        <v>2</v>
      </c>
      <c r="AA106" s="1315">
        <f t="shared" si="25"/>
        <v>2</v>
      </c>
      <c r="AB106" s="1315">
        <f t="shared" si="25"/>
        <v>2</v>
      </c>
      <c r="AC106" s="1315">
        <f t="shared" si="25"/>
        <v>2</v>
      </c>
      <c r="AD106" s="1315">
        <f t="shared" si="25"/>
        <v>2</v>
      </c>
      <c r="AE106" s="1315">
        <f t="shared" si="25"/>
        <v>2</v>
      </c>
      <c r="AF106" s="1315">
        <f t="shared" si="25"/>
        <v>2</v>
      </c>
      <c r="AG106" s="1315">
        <f t="shared" si="25"/>
        <v>2</v>
      </c>
      <c r="AH106" s="1315">
        <f t="shared" si="25"/>
        <v>2</v>
      </c>
      <c r="AI106" s="1315">
        <f t="shared" si="25"/>
        <v>2</v>
      </c>
    </row>
    <row r="107" spans="1:35">
      <c r="C107" s="1315" t="s">
        <v>2034</v>
      </c>
      <c r="D107" s="1315">
        <f t="shared" si="25"/>
        <v>1</v>
      </c>
      <c r="E107" s="1315">
        <f t="shared" si="25"/>
        <v>1</v>
      </c>
      <c r="F107" s="1315">
        <f t="shared" si="25"/>
        <v>1</v>
      </c>
      <c r="G107" s="1315">
        <f t="shared" si="25"/>
        <v>1</v>
      </c>
      <c r="H107" s="1315">
        <f t="shared" si="25"/>
        <v>1</v>
      </c>
      <c r="I107" s="1315">
        <f t="shared" si="25"/>
        <v>1</v>
      </c>
      <c r="J107" s="1315">
        <f t="shared" si="25"/>
        <v>1</v>
      </c>
      <c r="K107" s="1315">
        <f t="shared" si="25"/>
        <v>1</v>
      </c>
      <c r="L107" s="1315">
        <f t="shared" si="25"/>
        <v>1</v>
      </c>
      <c r="M107" s="1315">
        <f t="shared" si="25"/>
        <v>1</v>
      </c>
      <c r="N107" s="1315">
        <f t="shared" si="25"/>
        <v>1</v>
      </c>
      <c r="O107" s="1315">
        <f t="shared" si="25"/>
        <v>2</v>
      </c>
      <c r="P107" s="1315">
        <f t="shared" si="25"/>
        <v>2</v>
      </c>
      <c r="Q107" s="1315">
        <f t="shared" si="25"/>
        <v>2</v>
      </c>
      <c r="R107" s="1315">
        <f t="shared" si="25"/>
        <v>2</v>
      </c>
      <c r="S107" s="1315">
        <f t="shared" si="25"/>
        <v>2</v>
      </c>
      <c r="T107" s="1315">
        <f t="shared" si="25"/>
        <v>2</v>
      </c>
      <c r="U107" s="1315">
        <f t="shared" si="25"/>
        <v>2</v>
      </c>
      <c r="V107" s="1315">
        <f t="shared" si="25"/>
        <v>2</v>
      </c>
      <c r="W107" s="1315">
        <f t="shared" si="25"/>
        <v>2</v>
      </c>
      <c r="X107" s="1315">
        <f t="shared" si="25"/>
        <v>2</v>
      </c>
      <c r="Y107" s="1315">
        <f t="shared" si="25"/>
        <v>2</v>
      </c>
      <c r="Z107" s="1315">
        <f t="shared" si="25"/>
        <v>2</v>
      </c>
      <c r="AA107" s="1315">
        <f t="shared" si="25"/>
        <v>2</v>
      </c>
      <c r="AB107" s="1315">
        <f t="shared" si="25"/>
        <v>2</v>
      </c>
      <c r="AC107" s="1315">
        <f t="shared" si="25"/>
        <v>2</v>
      </c>
      <c r="AD107" s="1315">
        <f t="shared" si="25"/>
        <v>2</v>
      </c>
      <c r="AE107" s="1315">
        <f t="shared" si="25"/>
        <v>2</v>
      </c>
      <c r="AF107" s="1315">
        <f t="shared" si="25"/>
        <v>3</v>
      </c>
      <c r="AG107" s="1315">
        <f t="shared" si="25"/>
        <v>3</v>
      </c>
      <c r="AH107" s="1315">
        <f t="shared" si="25"/>
        <v>3</v>
      </c>
      <c r="AI107" s="1315">
        <f t="shared" si="25"/>
        <v>3</v>
      </c>
    </row>
    <row r="108" spans="1:35">
      <c r="C108" s="1315" t="s">
        <v>2035</v>
      </c>
      <c r="D108" s="1315">
        <f t="shared" si="25"/>
        <v>1</v>
      </c>
      <c r="E108" s="1315">
        <f t="shared" si="25"/>
        <v>1</v>
      </c>
      <c r="F108" s="1315">
        <f t="shared" si="25"/>
        <v>1</v>
      </c>
      <c r="G108" s="1315">
        <f t="shared" si="25"/>
        <v>1</v>
      </c>
      <c r="H108" s="1315">
        <f t="shared" si="25"/>
        <v>1</v>
      </c>
      <c r="I108" s="1315">
        <f t="shared" si="25"/>
        <v>1</v>
      </c>
      <c r="J108" s="1315">
        <f t="shared" si="25"/>
        <v>1</v>
      </c>
      <c r="K108" s="1315">
        <f t="shared" si="25"/>
        <v>1</v>
      </c>
      <c r="L108" s="1315">
        <f t="shared" si="25"/>
        <v>2</v>
      </c>
      <c r="M108" s="1315">
        <f t="shared" si="25"/>
        <v>2</v>
      </c>
      <c r="N108" s="1315">
        <f t="shared" si="25"/>
        <v>2</v>
      </c>
      <c r="O108" s="1315">
        <f t="shared" si="25"/>
        <v>2</v>
      </c>
      <c r="P108" s="1315">
        <f t="shared" si="25"/>
        <v>2</v>
      </c>
      <c r="Q108" s="1315">
        <f t="shared" si="25"/>
        <v>2</v>
      </c>
      <c r="R108" s="1315">
        <f t="shared" si="25"/>
        <v>2</v>
      </c>
      <c r="S108" s="1315">
        <f t="shared" si="25"/>
        <v>2</v>
      </c>
      <c r="T108" s="1315">
        <f t="shared" si="25"/>
        <v>2</v>
      </c>
      <c r="U108" s="1315">
        <f t="shared" si="25"/>
        <v>2</v>
      </c>
      <c r="V108" s="1315">
        <f t="shared" si="25"/>
        <v>2</v>
      </c>
      <c r="W108" s="1315">
        <f t="shared" si="25"/>
        <v>2</v>
      </c>
      <c r="X108" s="1315">
        <f t="shared" si="25"/>
        <v>2</v>
      </c>
      <c r="Y108" s="1315">
        <f t="shared" si="25"/>
        <v>2</v>
      </c>
      <c r="Z108" s="1315">
        <f t="shared" si="25"/>
        <v>2</v>
      </c>
      <c r="AA108" s="1315">
        <f t="shared" si="25"/>
        <v>2</v>
      </c>
      <c r="AB108" s="1315">
        <f t="shared" si="25"/>
        <v>2</v>
      </c>
      <c r="AC108" s="1315">
        <f t="shared" si="25"/>
        <v>2</v>
      </c>
      <c r="AD108" s="1315">
        <f t="shared" si="25"/>
        <v>2</v>
      </c>
      <c r="AE108" s="1315">
        <f t="shared" si="25"/>
        <v>3</v>
      </c>
      <c r="AF108" s="1315">
        <f t="shared" si="25"/>
        <v>3</v>
      </c>
      <c r="AG108" s="1315">
        <f t="shared" si="25"/>
        <v>3</v>
      </c>
      <c r="AH108" s="1315">
        <f t="shared" si="25"/>
        <v>3</v>
      </c>
      <c r="AI108" s="1315">
        <f t="shared" si="25"/>
        <v>3</v>
      </c>
    </row>
    <row r="109" spans="1:35">
      <c r="C109" s="1315" t="s">
        <v>2036</v>
      </c>
      <c r="D109" s="1315">
        <f t="shared" si="25"/>
        <v>1</v>
      </c>
      <c r="E109" s="1315">
        <f t="shared" si="25"/>
        <v>1</v>
      </c>
      <c r="F109" s="1315">
        <f t="shared" si="25"/>
        <v>1</v>
      </c>
      <c r="G109" s="1315">
        <f t="shared" si="25"/>
        <v>2</v>
      </c>
      <c r="H109" s="1315">
        <f t="shared" si="25"/>
        <v>2</v>
      </c>
      <c r="I109" s="1315">
        <f t="shared" si="25"/>
        <v>2</v>
      </c>
      <c r="J109" s="1315">
        <f t="shared" si="25"/>
        <v>2</v>
      </c>
      <c r="K109" s="1315">
        <f t="shared" si="25"/>
        <v>2</v>
      </c>
      <c r="L109" s="1315">
        <f t="shared" si="25"/>
        <v>2</v>
      </c>
      <c r="M109" s="1315">
        <f t="shared" si="25"/>
        <v>2</v>
      </c>
      <c r="N109" s="1315">
        <f t="shared" si="25"/>
        <v>2</v>
      </c>
      <c r="O109" s="1315">
        <f t="shared" si="25"/>
        <v>2</v>
      </c>
      <c r="P109" s="1315">
        <f t="shared" si="25"/>
        <v>2</v>
      </c>
      <c r="Q109" s="1315">
        <f t="shared" si="25"/>
        <v>2</v>
      </c>
      <c r="R109" s="1315">
        <f t="shared" si="25"/>
        <v>2</v>
      </c>
      <c r="S109" s="1315">
        <f t="shared" si="25"/>
        <v>2</v>
      </c>
      <c r="T109" s="1315">
        <f t="shared" si="25"/>
        <v>2</v>
      </c>
      <c r="U109" s="1315">
        <f t="shared" si="25"/>
        <v>2</v>
      </c>
      <c r="V109" s="1315">
        <f t="shared" si="25"/>
        <v>2</v>
      </c>
      <c r="W109" s="1315">
        <f t="shared" si="25"/>
        <v>2</v>
      </c>
      <c r="X109" s="1315">
        <f t="shared" si="25"/>
        <v>2</v>
      </c>
      <c r="Y109" s="1315">
        <f t="shared" si="25"/>
        <v>2</v>
      </c>
      <c r="Z109" s="1315">
        <f t="shared" si="25"/>
        <v>2</v>
      </c>
      <c r="AA109" s="1315">
        <f t="shared" si="25"/>
        <v>2</v>
      </c>
      <c r="AB109" s="1315">
        <f t="shared" si="25"/>
        <v>2</v>
      </c>
      <c r="AC109" s="1315">
        <f t="shared" si="25"/>
        <v>2</v>
      </c>
      <c r="AD109" s="1315">
        <f t="shared" si="25"/>
        <v>3</v>
      </c>
      <c r="AE109" s="1315">
        <f t="shared" si="25"/>
        <v>3</v>
      </c>
      <c r="AF109" s="1315">
        <f t="shared" si="25"/>
        <v>3</v>
      </c>
      <c r="AG109" s="1315">
        <f t="shared" si="25"/>
        <v>3</v>
      </c>
      <c r="AH109" s="1315">
        <f t="shared" si="25"/>
        <v>3</v>
      </c>
      <c r="AI109" s="1315">
        <f t="shared" si="25"/>
        <v>3</v>
      </c>
    </row>
    <row r="110" spans="1:35">
      <c r="C110" s="1315" t="s">
        <v>2037</v>
      </c>
      <c r="D110" s="1315">
        <f t="shared" si="25"/>
        <v>2</v>
      </c>
      <c r="E110" s="1315">
        <f t="shared" si="25"/>
        <v>2</v>
      </c>
      <c r="F110" s="1315">
        <f t="shared" si="25"/>
        <v>2</v>
      </c>
      <c r="G110" s="1315">
        <f t="shared" si="25"/>
        <v>2</v>
      </c>
      <c r="H110" s="1315">
        <f t="shared" si="25"/>
        <v>2</v>
      </c>
      <c r="I110" s="1315">
        <f t="shared" si="25"/>
        <v>2</v>
      </c>
      <c r="J110" s="1315">
        <f t="shared" si="25"/>
        <v>2</v>
      </c>
      <c r="K110" s="1315">
        <f t="shared" si="25"/>
        <v>2</v>
      </c>
      <c r="L110" s="1315">
        <f t="shared" si="25"/>
        <v>2</v>
      </c>
      <c r="M110" s="1315">
        <f t="shared" si="25"/>
        <v>2</v>
      </c>
      <c r="N110" s="1315">
        <f t="shared" si="25"/>
        <v>2</v>
      </c>
      <c r="O110" s="1315">
        <f t="shared" si="25"/>
        <v>2</v>
      </c>
      <c r="P110" s="1315">
        <f t="shared" si="25"/>
        <v>2</v>
      </c>
      <c r="Q110" s="1315">
        <f t="shared" si="25"/>
        <v>2</v>
      </c>
      <c r="R110" s="1315">
        <f t="shared" si="25"/>
        <v>2</v>
      </c>
      <c r="S110" s="1315">
        <f t="shared" si="25"/>
        <v>2</v>
      </c>
      <c r="T110" s="1315">
        <f t="shared" si="25"/>
        <v>2</v>
      </c>
      <c r="U110" s="1315">
        <f t="shared" si="25"/>
        <v>2</v>
      </c>
      <c r="V110" s="1315">
        <f t="shared" si="25"/>
        <v>2</v>
      </c>
      <c r="W110" s="1315">
        <f t="shared" si="25"/>
        <v>2</v>
      </c>
      <c r="X110" s="1315">
        <f t="shared" si="25"/>
        <v>2</v>
      </c>
      <c r="Y110" s="1315">
        <f t="shared" si="25"/>
        <v>2</v>
      </c>
      <c r="Z110" s="1315">
        <f t="shared" si="25"/>
        <v>2</v>
      </c>
      <c r="AA110" s="1315">
        <f t="shared" si="25"/>
        <v>2</v>
      </c>
      <c r="AB110" s="1315">
        <f t="shared" si="25"/>
        <v>2</v>
      </c>
      <c r="AC110" s="1315">
        <f t="shared" si="25"/>
        <v>2</v>
      </c>
      <c r="AD110" s="1315">
        <f t="shared" si="25"/>
        <v>3</v>
      </c>
      <c r="AE110" s="1315">
        <f t="shared" si="25"/>
        <v>3</v>
      </c>
      <c r="AF110" s="1315">
        <f t="shared" si="25"/>
        <v>3</v>
      </c>
      <c r="AG110" s="1315">
        <f t="shared" si="25"/>
        <v>3</v>
      </c>
      <c r="AH110" s="1315">
        <f t="shared" si="25"/>
        <v>3</v>
      </c>
      <c r="AI110" s="1315">
        <f t="shared" si="25"/>
        <v>3</v>
      </c>
    </row>
    <row r="111" spans="1:35">
      <c r="C111" s="1315" t="s">
        <v>2038</v>
      </c>
      <c r="D111" s="1315">
        <f t="shared" si="25"/>
        <v>2</v>
      </c>
      <c r="E111" s="1315">
        <f t="shared" si="25"/>
        <v>2</v>
      </c>
      <c r="F111" s="1315">
        <f t="shared" si="25"/>
        <v>2</v>
      </c>
      <c r="G111" s="1315">
        <f t="shared" si="25"/>
        <v>2</v>
      </c>
      <c r="H111" s="1315">
        <f t="shared" si="25"/>
        <v>2</v>
      </c>
      <c r="I111" s="1315">
        <f t="shared" si="25"/>
        <v>2</v>
      </c>
      <c r="J111" s="1315">
        <f t="shared" si="25"/>
        <v>2</v>
      </c>
      <c r="K111" s="1315">
        <f t="shared" si="25"/>
        <v>2</v>
      </c>
      <c r="L111" s="1315">
        <f t="shared" si="25"/>
        <v>2</v>
      </c>
      <c r="M111" s="1315">
        <f t="shared" si="25"/>
        <v>2</v>
      </c>
      <c r="N111" s="1315">
        <f t="shared" si="25"/>
        <v>2</v>
      </c>
      <c r="O111" s="1315">
        <f t="shared" si="25"/>
        <v>2</v>
      </c>
      <c r="P111" s="1315">
        <f t="shared" si="25"/>
        <v>2</v>
      </c>
      <c r="Q111" s="1315">
        <f t="shared" si="25"/>
        <v>2</v>
      </c>
      <c r="R111" s="1315">
        <f t="shared" si="25"/>
        <v>2</v>
      </c>
      <c r="S111" s="1315">
        <f t="shared" si="25"/>
        <v>2</v>
      </c>
      <c r="T111" s="1315">
        <f t="shared" si="25"/>
        <v>2</v>
      </c>
      <c r="U111" s="1315">
        <f t="shared" si="25"/>
        <v>2</v>
      </c>
      <c r="V111" s="1315">
        <f t="shared" si="25"/>
        <v>2</v>
      </c>
      <c r="W111" s="1315">
        <f t="shared" si="25"/>
        <v>2</v>
      </c>
      <c r="X111" s="1315">
        <f t="shared" si="25"/>
        <v>2</v>
      </c>
      <c r="Y111" s="1315">
        <f t="shared" si="25"/>
        <v>2</v>
      </c>
      <c r="Z111" s="1315">
        <f t="shared" si="25"/>
        <v>3</v>
      </c>
      <c r="AA111" s="1315">
        <f t="shared" si="25"/>
        <v>3</v>
      </c>
      <c r="AB111" s="1315">
        <f t="shared" si="25"/>
        <v>3</v>
      </c>
      <c r="AC111" s="1315">
        <f t="shared" si="25"/>
        <v>3</v>
      </c>
      <c r="AD111" s="1315">
        <f t="shared" si="25"/>
        <v>3</v>
      </c>
      <c r="AE111" s="1315">
        <f t="shared" si="25"/>
        <v>3</v>
      </c>
      <c r="AF111" s="1315">
        <f t="shared" si="25"/>
        <v>3</v>
      </c>
      <c r="AG111" s="1315">
        <f t="shared" si="25"/>
        <v>3</v>
      </c>
      <c r="AH111" s="1315">
        <f t="shared" si="25"/>
        <v>3</v>
      </c>
      <c r="AI111" s="1315">
        <f t="shared" si="25"/>
        <v>3</v>
      </c>
    </row>
    <row r="112" spans="1:35">
      <c r="C112" s="1315" t="s">
        <v>2039</v>
      </c>
      <c r="D112" s="1315">
        <f t="shared" si="25"/>
        <v>2</v>
      </c>
      <c r="E112" s="1315">
        <f t="shared" si="25"/>
        <v>2</v>
      </c>
      <c r="F112" s="1315">
        <f t="shared" si="25"/>
        <v>2</v>
      </c>
      <c r="G112" s="1315">
        <f t="shared" si="25"/>
        <v>2</v>
      </c>
      <c r="H112" s="1315">
        <f t="shared" si="25"/>
        <v>2</v>
      </c>
      <c r="I112" s="1315">
        <f t="shared" si="25"/>
        <v>2</v>
      </c>
      <c r="J112" s="1315">
        <f t="shared" si="25"/>
        <v>2</v>
      </c>
      <c r="K112" s="1315">
        <f t="shared" si="25"/>
        <v>2</v>
      </c>
      <c r="L112" s="1315">
        <f t="shared" si="25"/>
        <v>2</v>
      </c>
      <c r="M112" s="1315">
        <f t="shared" si="25"/>
        <v>2</v>
      </c>
      <c r="N112" s="1315">
        <f t="shared" si="25"/>
        <v>2</v>
      </c>
      <c r="O112" s="1315">
        <f t="shared" si="25"/>
        <v>2</v>
      </c>
      <c r="P112" s="1315">
        <f t="shared" si="25"/>
        <v>2</v>
      </c>
      <c r="Q112" s="1315">
        <f t="shared" si="25"/>
        <v>3</v>
      </c>
      <c r="R112" s="1315">
        <f t="shared" si="25"/>
        <v>3</v>
      </c>
      <c r="S112" s="1315">
        <f t="shared" si="25"/>
        <v>3</v>
      </c>
      <c r="T112" s="1315">
        <f t="shared" si="25"/>
        <v>3</v>
      </c>
      <c r="U112" s="1315">
        <f t="shared" si="25"/>
        <v>3</v>
      </c>
      <c r="V112" s="1315">
        <f t="shared" si="25"/>
        <v>3</v>
      </c>
      <c r="W112" s="1315">
        <f t="shared" si="25"/>
        <v>3</v>
      </c>
      <c r="X112" s="1315">
        <f t="shared" si="25"/>
        <v>3</v>
      </c>
      <c r="Y112" s="1315">
        <f t="shared" si="25"/>
        <v>3</v>
      </c>
      <c r="Z112" s="1315">
        <f t="shared" si="25"/>
        <v>3</v>
      </c>
      <c r="AA112" s="1315">
        <f t="shared" si="25"/>
        <v>3</v>
      </c>
      <c r="AB112" s="1315">
        <f t="shared" si="25"/>
        <v>3</v>
      </c>
      <c r="AC112" s="1315">
        <f t="shared" si="25"/>
        <v>3</v>
      </c>
      <c r="AD112" s="1315">
        <f t="shared" si="25"/>
        <v>3</v>
      </c>
      <c r="AE112" s="1315">
        <f t="shared" si="25"/>
        <v>3</v>
      </c>
      <c r="AF112" s="1315">
        <f t="shared" si="25"/>
        <v>3</v>
      </c>
      <c r="AG112" s="1315">
        <f t="shared" si="25"/>
        <v>3</v>
      </c>
      <c r="AH112" s="1315">
        <f t="shared" si="25"/>
        <v>3</v>
      </c>
      <c r="AI112" s="1315">
        <f t="shared" ref="AD112:AI114" si="26">IF(AI84&lt;$D$101,1,IF(AI84&gt;$D$102,3,2))</f>
        <v>3</v>
      </c>
    </row>
    <row r="113" spans="2:35">
      <c r="C113" s="1315" t="s">
        <v>2040</v>
      </c>
      <c r="D113" s="1315">
        <f t="shared" ref="D113:AC114" si="27">IF(D85&lt;$D$101,1,IF(D85&gt;$D$102,3,2))</f>
        <v>3</v>
      </c>
      <c r="E113" s="1315">
        <f t="shared" si="27"/>
        <v>3</v>
      </c>
      <c r="F113" s="1315">
        <f t="shared" si="27"/>
        <v>3</v>
      </c>
      <c r="G113" s="1315">
        <f t="shared" si="27"/>
        <v>3</v>
      </c>
      <c r="H113" s="1315">
        <f t="shared" si="27"/>
        <v>3</v>
      </c>
      <c r="I113" s="1315">
        <f t="shared" si="27"/>
        <v>3</v>
      </c>
      <c r="J113" s="1315">
        <f t="shared" si="27"/>
        <v>3</v>
      </c>
      <c r="K113" s="1315">
        <f t="shared" si="27"/>
        <v>3</v>
      </c>
      <c r="L113" s="1315">
        <f t="shared" si="27"/>
        <v>3</v>
      </c>
      <c r="M113" s="1315">
        <f t="shared" si="27"/>
        <v>3</v>
      </c>
      <c r="N113" s="1315">
        <f t="shared" si="27"/>
        <v>3</v>
      </c>
      <c r="O113" s="1315">
        <f t="shared" si="27"/>
        <v>3</v>
      </c>
      <c r="P113" s="1315">
        <f t="shared" si="27"/>
        <v>3</v>
      </c>
      <c r="Q113" s="1315">
        <f t="shared" si="27"/>
        <v>3</v>
      </c>
      <c r="R113" s="1315">
        <f t="shared" si="27"/>
        <v>3</v>
      </c>
      <c r="S113" s="1315">
        <f t="shared" si="27"/>
        <v>3</v>
      </c>
      <c r="T113" s="1315">
        <f t="shared" si="27"/>
        <v>3</v>
      </c>
      <c r="U113" s="1315">
        <f t="shared" si="27"/>
        <v>3</v>
      </c>
      <c r="V113" s="1315">
        <f t="shared" si="27"/>
        <v>3</v>
      </c>
      <c r="W113" s="1315">
        <f t="shared" si="27"/>
        <v>3</v>
      </c>
      <c r="X113" s="1315">
        <f t="shared" si="27"/>
        <v>3</v>
      </c>
      <c r="Y113" s="1315">
        <f t="shared" si="27"/>
        <v>3</v>
      </c>
      <c r="Z113" s="1315">
        <f t="shared" si="27"/>
        <v>3</v>
      </c>
      <c r="AA113" s="1315">
        <f t="shared" si="27"/>
        <v>3</v>
      </c>
      <c r="AB113" s="1315">
        <f t="shared" si="27"/>
        <v>3</v>
      </c>
      <c r="AC113" s="1315">
        <f t="shared" si="27"/>
        <v>3</v>
      </c>
      <c r="AD113" s="1315">
        <f t="shared" si="26"/>
        <v>3</v>
      </c>
      <c r="AE113" s="1315">
        <f t="shared" si="26"/>
        <v>3</v>
      </c>
      <c r="AF113" s="1315">
        <f t="shared" si="26"/>
        <v>3</v>
      </c>
      <c r="AG113" s="1315">
        <f t="shared" si="26"/>
        <v>3</v>
      </c>
      <c r="AH113" s="1315">
        <f t="shared" si="26"/>
        <v>3</v>
      </c>
      <c r="AI113" s="1315">
        <f t="shared" si="26"/>
        <v>3</v>
      </c>
    </row>
    <row r="114" spans="2:35">
      <c r="C114" s="1315" t="s">
        <v>2041</v>
      </c>
      <c r="D114" s="1315">
        <f t="shared" si="27"/>
        <v>3</v>
      </c>
      <c r="E114" s="1315">
        <f t="shared" si="27"/>
        <v>3</v>
      </c>
      <c r="F114" s="1315">
        <f t="shared" si="27"/>
        <v>3</v>
      </c>
      <c r="G114" s="1315">
        <f t="shared" si="27"/>
        <v>3</v>
      </c>
      <c r="H114" s="1315">
        <f t="shared" si="27"/>
        <v>3</v>
      </c>
      <c r="I114" s="1315">
        <f t="shared" si="27"/>
        <v>3</v>
      </c>
      <c r="J114" s="1315">
        <f t="shared" si="27"/>
        <v>3</v>
      </c>
      <c r="K114" s="1315">
        <f t="shared" si="27"/>
        <v>3</v>
      </c>
      <c r="L114" s="1315">
        <f t="shared" si="27"/>
        <v>3</v>
      </c>
      <c r="M114" s="1315">
        <f t="shared" si="27"/>
        <v>3</v>
      </c>
      <c r="N114" s="1315">
        <f t="shared" si="27"/>
        <v>3</v>
      </c>
      <c r="O114" s="1315">
        <f t="shared" si="27"/>
        <v>3</v>
      </c>
      <c r="P114" s="1315">
        <f t="shared" si="27"/>
        <v>3</v>
      </c>
      <c r="Q114" s="1315">
        <f t="shared" si="27"/>
        <v>3</v>
      </c>
      <c r="R114" s="1315">
        <f t="shared" si="27"/>
        <v>3</v>
      </c>
      <c r="S114" s="1315">
        <f t="shared" si="27"/>
        <v>3</v>
      </c>
      <c r="T114" s="1315">
        <f t="shared" si="27"/>
        <v>3</v>
      </c>
      <c r="U114" s="1315">
        <f t="shared" si="27"/>
        <v>3</v>
      </c>
      <c r="V114" s="1315">
        <f t="shared" si="27"/>
        <v>3</v>
      </c>
      <c r="W114" s="1315">
        <f t="shared" si="27"/>
        <v>3</v>
      </c>
      <c r="X114" s="1315">
        <f t="shared" si="27"/>
        <v>3</v>
      </c>
      <c r="Y114" s="1315">
        <f t="shared" si="27"/>
        <v>3</v>
      </c>
      <c r="Z114" s="1315">
        <f t="shared" si="27"/>
        <v>3</v>
      </c>
      <c r="AA114" s="1315">
        <f t="shared" si="27"/>
        <v>3</v>
      </c>
      <c r="AB114" s="1315">
        <f t="shared" si="27"/>
        <v>3</v>
      </c>
      <c r="AC114" s="1315">
        <f t="shared" si="27"/>
        <v>3</v>
      </c>
      <c r="AD114" s="1315">
        <f t="shared" si="26"/>
        <v>3</v>
      </c>
      <c r="AE114" s="1315">
        <f t="shared" si="26"/>
        <v>3</v>
      </c>
      <c r="AF114" s="1315">
        <f t="shared" si="26"/>
        <v>3</v>
      </c>
      <c r="AG114" s="1315">
        <f t="shared" si="26"/>
        <v>3</v>
      </c>
      <c r="AH114" s="1315">
        <f t="shared" si="26"/>
        <v>3</v>
      </c>
      <c r="AI114" s="1315">
        <f t="shared" si="26"/>
        <v>3</v>
      </c>
    </row>
    <row r="116" spans="2:35">
      <c r="C116" s="1323" t="s">
        <v>818</v>
      </c>
    </row>
    <row r="117" spans="2:35">
      <c r="B117" s="1315">
        <v>1</v>
      </c>
      <c r="C117" s="1315" t="s">
        <v>817</v>
      </c>
      <c r="D117" s="1322">
        <f t="shared" ref="D117:AD117" si="28">SUMPRODUCT(--(D$105:D$114=$B117),(D$65:D$74))/1000</f>
        <v>6.2289999999999983</v>
      </c>
      <c r="E117" s="1322">
        <f t="shared" si="28"/>
        <v>6.4671266028756103</v>
      </c>
      <c r="F117" s="1322">
        <f t="shared" si="28"/>
        <v>6.5234857848411796</v>
      </c>
      <c r="G117" s="1322">
        <f t="shared" si="28"/>
        <v>5.2635065679800315</v>
      </c>
      <c r="H117" s="1322">
        <f t="shared" si="28"/>
        <v>5.3104258457495144</v>
      </c>
      <c r="I117" s="1322">
        <f t="shared" si="28"/>
        <v>5.3595414649060311</v>
      </c>
      <c r="J117" s="1322">
        <f t="shared" si="28"/>
        <v>5.4089774835079032</v>
      </c>
      <c r="K117" s="1322">
        <f t="shared" si="28"/>
        <v>5.4579265247178785</v>
      </c>
      <c r="L117" s="1322">
        <f t="shared" si="28"/>
        <v>4.1294915054248342</v>
      </c>
      <c r="M117" s="1322">
        <f t="shared" si="28"/>
        <v>4.1647288801587132</v>
      </c>
      <c r="N117" s="1322">
        <f t="shared" si="28"/>
        <v>4.199099533997483</v>
      </c>
      <c r="O117" s="1322">
        <f t="shared" si="28"/>
        <v>2.8217267151140217</v>
      </c>
      <c r="P117" s="1322">
        <f t="shared" si="28"/>
        <v>2.8434419097723831</v>
      </c>
      <c r="Q117" s="1322">
        <f t="shared" si="28"/>
        <v>2.8645571793246152</v>
      </c>
      <c r="R117" s="1322">
        <f t="shared" si="28"/>
        <v>2.8850819848027816</v>
      </c>
      <c r="S117" s="1322">
        <f t="shared" si="28"/>
        <v>2.9050160072956888</v>
      </c>
      <c r="T117" s="1322">
        <f t="shared" si="28"/>
        <v>1.4621725276276214</v>
      </c>
      <c r="U117" s="1322">
        <f t="shared" si="28"/>
        <v>1.4715174228640913</v>
      </c>
      <c r="V117" s="1322">
        <f t="shared" si="28"/>
        <v>1.4805166715190818</v>
      </c>
      <c r="W117" s="1322">
        <f t="shared" si="28"/>
        <v>1.4891353528169466</v>
      </c>
      <c r="X117" s="1322">
        <f t="shared" si="28"/>
        <v>1.4973306529300086</v>
      </c>
      <c r="Y117" s="1322">
        <f t="shared" si="28"/>
        <v>1.5050577648356336</v>
      </c>
      <c r="Z117" s="1322">
        <f t="shared" si="28"/>
        <v>1.5122904049363226</v>
      </c>
      <c r="AA117" s="1322">
        <f t="shared" si="28"/>
        <v>1.5190385392068604</v>
      </c>
      <c r="AB117" s="1322">
        <f t="shared" si="28"/>
        <v>1.5253411279646729</v>
      </c>
      <c r="AC117" s="1322">
        <f t="shared" si="28"/>
        <v>1.5312691289502312</v>
      </c>
      <c r="AD117" s="1322">
        <f t="shared" si="28"/>
        <v>0</v>
      </c>
      <c r="AE117" s="1322">
        <f t="shared" ref="AD117:AH119" si="29">SUMPRODUCT(--(AE$105:AE$114=$B117),(AE$65:AE$74))/1000</f>
        <v>0</v>
      </c>
      <c r="AF117" s="1322">
        <f t="shared" si="29"/>
        <v>0</v>
      </c>
      <c r="AG117" s="1322">
        <f t="shared" si="29"/>
        <v>0</v>
      </c>
      <c r="AH117" s="1322">
        <f t="shared" si="29"/>
        <v>0</v>
      </c>
      <c r="AI117" s="1322">
        <f>AH117</f>
        <v>0</v>
      </c>
    </row>
    <row r="118" spans="2:35">
      <c r="B118" s="1315">
        <v>2</v>
      </c>
      <c r="C118" s="1315" t="s">
        <v>816</v>
      </c>
      <c r="D118" s="1322">
        <f t="shared" ref="D118:S119" si="30">SUMPRODUCT(--(D$105:D$114=$B118),(D$65:D$74))/1000</f>
        <v>3.7373999999999992</v>
      </c>
      <c r="E118" s="1322">
        <f t="shared" si="30"/>
        <v>3.8802759617253662</v>
      </c>
      <c r="F118" s="1322">
        <f t="shared" si="30"/>
        <v>3.9140914709047077</v>
      </c>
      <c r="G118" s="1322">
        <f t="shared" si="30"/>
        <v>5.2635065679800315</v>
      </c>
      <c r="H118" s="1322">
        <f t="shared" si="30"/>
        <v>5.3104258457495144</v>
      </c>
      <c r="I118" s="1322">
        <f t="shared" si="30"/>
        <v>5.3595414649060311</v>
      </c>
      <c r="J118" s="1322">
        <f t="shared" si="30"/>
        <v>5.4089774835079032</v>
      </c>
      <c r="K118" s="1322">
        <f t="shared" si="30"/>
        <v>5.4579265247178785</v>
      </c>
      <c r="L118" s="1322">
        <f t="shared" si="30"/>
        <v>6.8824858423747246</v>
      </c>
      <c r="M118" s="1322">
        <f t="shared" si="30"/>
        <v>6.9412148002645226</v>
      </c>
      <c r="N118" s="1322">
        <f t="shared" si="30"/>
        <v>6.9984992233291381</v>
      </c>
      <c r="O118" s="1322">
        <f t="shared" si="30"/>
        <v>8.4651801453420656</v>
      </c>
      <c r="P118" s="1322">
        <f t="shared" si="30"/>
        <v>8.5303257293171502</v>
      </c>
      <c r="Q118" s="1322">
        <f t="shared" si="30"/>
        <v>7.1613929483115388</v>
      </c>
      <c r="R118" s="1322">
        <f t="shared" si="30"/>
        <v>7.2127049620069537</v>
      </c>
      <c r="S118" s="1322">
        <f t="shared" si="30"/>
        <v>7.2625400182392221</v>
      </c>
      <c r="T118" s="1322">
        <f t="shared" ref="T118:AC119" si="31">SUMPRODUCT(--(T$105:T$114=$B118),(T$65:T$74))/1000</f>
        <v>8.7730351657657284</v>
      </c>
      <c r="U118" s="1322">
        <f t="shared" si="31"/>
        <v>8.8291045371845485</v>
      </c>
      <c r="V118" s="1322">
        <f t="shared" si="31"/>
        <v>8.883100029114491</v>
      </c>
      <c r="W118" s="1322">
        <f t="shared" si="31"/>
        <v>8.9348121169016803</v>
      </c>
      <c r="X118" s="1322">
        <f t="shared" si="31"/>
        <v>8.9839839175800495</v>
      </c>
      <c r="Y118" s="1322">
        <f t="shared" si="31"/>
        <v>9.0303465890138011</v>
      </c>
      <c r="Z118" s="1322">
        <f t="shared" si="31"/>
        <v>7.5614520246816124</v>
      </c>
      <c r="AA118" s="1322">
        <f t="shared" si="31"/>
        <v>7.5951926960343012</v>
      </c>
      <c r="AB118" s="1322">
        <f t="shared" si="31"/>
        <v>7.6267056398233652</v>
      </c>
      <c r="AC118" s="1322">
        <f t="shared" si="31"/>
        <v>7.6563456447511555</v>
      </c>
      <c r="AD118" s="1322">
        <f t="shared" si="29"/>
        <v>6.2285808443885049</v>
      </c>
      <c r="AE118" s="1322">
        <f t="shared" si="29"/>
        <v>4.7326124471958515</v>
      </c>
      <c r="AF118" s="1322">
        <f t="shared" si="29"/>
        <v>3.183015518552808</v>
      </c>
      <c r="AG118" s="1322">
        <f t="shared" si="29"/>
        <v>3.1994781927085767</v>
      </c>
      <c r="AH118" s="1322">
        <f t="shared" si="29"/>
        <v>3.1994841988693805</v>
      </c>
      <c r="AI118" s="1322">
        <f>AH118</f>
        <v>3.1994841988693805</v>
      </c>
    </row>
    <row r="119" spans="2:35">
      <c r="B119" s="1315">
        <v>3</v>
      </c>
      <c r="C119" s="1315" t="s">
        <v>2071</v>
      </c>
      <c r="D119" s="1322">
        <f t="shared" si="30"/>
        <v>2.4915999999999996</v>
      </c>
      <c r="E119" s="1322">
        <f t="shared" ref="E119:S119" si="32">SUMPRODUCT(--(E$105:E$114=$B119),(E$65:E$74))/1000</f>
        <v>1.9401379808626831</v>
      </c>
      <c r="F119" s="1322">
        <f t="shared" si="32"/>
        <v>1.9570457354523538</v>
      </c>
      <c r="G119" s="1322">
        <f t="shared" si="32"/>
        <v>1.9738149629925119</v>
      </c>
      <c r="H119" s="1322">
        <f t="shared" si="32"/>
        <v>1.9914096921560678</v>
      </c>
      <c r="I119" s="1322">
        <f t="shared" si="32"/>
        <v>2.0098280493397618</v>
      </c>
      <c r="J119" s="1322">
        <f t="shared" si="32"/>
        <v>2.0283665563154636</v>
      </c>
      <c r="K119" s="1322">
        <f t="shared" si="32"/>
        <v>2.0467224467692047</v>
      </c>
      <c r="L119" s="1322">
        <f t="shared" si="32"/>
        <v>2.0647457527124171</v>
      </c>
      <c r="M119" s="1322">
        <f t="shared" si="32"/>
        <v>2.0823644400793566</v>
      </c>
      <c r="N119" s="1322">
        <f t="shared" si="32"/>
        <v>2.0995497669987415</v>
      </c>
      <c r="O119" s="1322">
        <f t="shared" si="32"/>
        <v>2.1162950363355164</v>
      </c>
      <c r="P119" s="1322">
        <f t="shared" si="32"/>
        <v>2.1325814323292871</v>
      </c>
      <c r="Q119" s="1322">
        <f t="shared" si="32"/>
        <v>3.5806964741557694</v>
      </c>
      <c r="R119" s="1322">
        <f t="shared" si="32"/>
        <v>3.6063524810034768</v>
      </c>
      <c r="S119" s="1322">
        <f t="shared" si="32"/>
        <v>3.6312700091196111</v>
      </c>
      <c r="T119" s="1322">
        <f t="shared" si="31"/>
        <v>3.6554313190690531</v>
      </c>
      <c r="U119" s="1322">
        <f t="shared" si="31"/>
        <v>3.6787935571602284</v>
      </c>
      <c r="V119" s="1322">
        <f t="shared" si="31"/>
        <v>3.7012916787977046</v>
      </c>
      <c r="W119" s="1322">
        <f t="shared" si="31"/>
        <v>3.7228383820423665</v>
      </c>
      <c r="X119" s="1322">
        <f t="shared" si="31"/>
        <v>3.7433266323250209</v>
      </c>
      <c r="Y119" s="1322">
        <f t="shared" si="31"/>
        <v>3.7626444120890841</v>
      </c>
      <c r="Z119" s="1322">
        <f t="shared" si="31"/>
        <v>5.293016417277129</v>
      </c>
      <c r="AA119" s="1322">
        <f t="shared" si="31"/>
        <v>5.3166348872240112</v>
      </c>
      <c r="AB119" s="1322">
        <f t="shared" si="31"/>
        <v>5.3386939478763553</v>
      </c>
      <c r="AC119" s="1322">
        <f t="shared" si="31"/>
        <v>5.3594419513258087</v>
      </c>
      <c r="AD119" s="1322">
        <f t="shared" si="29"/>
        <v>8.5642986610341936</v>
      </c>
      <c r="AE119" s="1322">
        <f t="shared" si="29"/>
        <v>10.253993635591012</v>
      </c>
      <c r="AF119" s="1322">
        <f t="shared" si="29"/>
        <v>11.93630819457303</v>
      </c>
      <c r="AG119" s="1322">
        <f t="shared" si="29"/>
        <v>11.998043222657163</v>
      </c>
      <c r="AH119" s="1322">
        <f t="shared" si="29"/>
        <v>11.998065745760178</v>
      </c>
      <c r="AI119" s="1322">
        <f>AH119</f>
        <v>11.998065745760178</v>
      </c>
    </row>
    <row r="120" spans="2:35">
      <c r="D120" s="1322">
        <f>SUM(D117:D119)</f>
        <v>12.457999999999997</v>
      </c>
      <c r="E120" s="1322">
        <f t="shared" ref="E120:AC120" si="33">SUM(E117:E119)</f>
        <v>12.28754054546366</v>
      </c>
      <c r="F120" s="1322">
        <f t="shared" si="33"/>
        <v>12.394622991198242</v>
      </c>
      <c r="G120" s="1322">
        <f t="shared" si="33"/>
        <v>12.500828098952574</v>
      </c>
      <c r="H120" s="1322">
        <f t="shared" si="33"/>
        <v>12.612261383655097</v>
      </c>
      <c r="I120" s="1322">
        <f t="shared" si="33"/>
        <v>12.728910979151824</v>
      </c>
      <c r="J120" s="1322">
        <f t="shared" si="33"/>
        <v>12.84632152333127</v>
      </c>
      <c r="K120" s="1322">
        <f t="shared" si="33"/>
        <v>12.962575496204963</v>
      </c>
      <c r="L120" s="1322">
        <f t="shared" si="33"/>
        <v>13.076723100511975</v>
      </c>
      <c r="M120" s="1322">
        <f t="shared" si="33"/>
        <v>13.188308120502592</v>
      </c>
      <c r="N120" s="1322">
        <f t="shared" si="33"/>
        <v>13.297148524325362</v>
      </c>
      <c r="O120" s="1322">
        <f t="shared" si="33"/>
        <v>13.403201896791604</v>
      </c>
      <c r="P120" s="1322">
        <f t="shared" si="33"/>
        <v>13.506349071418819</v>
      </c>
      <c r="Q120" s="1322">
        <f t="shared" si="33"/>
        <v>13.606646601791923</v>
      </c>
      <c r="R120" s="1322">
        <f t="shared" si="33"/>
        <v>13.704139427813212</v>
      </c>
      <c r="S120" s="1322">
        <f t="shared" si="33"/>
        <v>13.798826034654521</v>
      </c>
      <c r="T120" s="1322">
        <f t="shared" si="33"/>
        <v>13.890639012462401</v>
      </c>
      <c r="U120" s="1322">
        <f t="shared" si="33"/>
        <v>13.979415517208867</v>
      </c>
      <c r="V120" s="1322">
        <f t="shared" si="33"/>
        <v>14.064908379431277</v>
      </c>
      <c r="W120" s="1322">
        <f t="shared" si="33"/>
        <v>14.146785851760994</v>
      </c>
      <c r="X120" s="1322">
        <f t="shared" si="33"/>
        <v>14.224641202835079</v>
      </c>
      <c r="Y120" s="1322">
        <f t="shared" si="33"/>
        <v>14.298048765938519</v>
      </c>
      <c r="Z120" s="1322">
        <f t="shared" si="33"/>
        <v>14.366758846895063</v>
      </c>
      <c r="AA120" s="1322">
        <f t="shared" si="33"/>
        <v>14.430866122465172</v>
      </c>
      <c r="AB120" s="1322">
        <f t="shared" si="33"/>
        <v>14.490740715664394</v>
      </c>
      <c r="AC120" s="1322">
        <f t="shared" si="33"/>
        <v>14.547056725027197</v>
      </c>
      <c r="AD120" s="1322">
        <f>SUM(AD117:AD119)</f>
        <v>14.792879505422698</v>
      </c>
      <c r="AE120" s="1322">
        <f>SUM(AE117:AE119)</f>
        <v>14.986606082786864</v>
      </c>
      <c r="AF120" s="1322">
        <f>SUM(AF117:AF119)</f>
        <v>15.119323713125837</v>
      </c>
      <c r="AG120" s="1322">
        <f>SUM(AG117:AG119)</f>
        <v>15.19752141536574</v>
      </c>
      <c r="AH120" s="1322">
        <f>SUM(AH117:AH119)</f>
        <v>15.197549944629557</v>
      </c>
      <c r="AI120" s="1322">
        <f>AH120</f>
        <v>15.197549944629557</v>
      </c>
    </row>
    <row r="122" spans="2:35">
      <c r="C122" s="1323" t="s">
        <v>2073</v>
      </c>
    </row>
    <row r="123" spans="2:35">
      <c r="B123" s="1315">
        <v>1</v>
      </c>
      <c r="C123" s="1315" t="s">
        <v>817</v>
      </c>
      <c r="D123" s="1326">
        <f>SUMPRODUCT(--(D$105:D$114=$B123),D$65:D$74,D$77:D$86)/D117/1000</f>
        <v>27.321867322857461</v>
      </c>
      <c r="E123" s="1326">
        <f t="shared" ref="E123:AC125" si="34">SUMPRODUCT(--(E$105:E$114=$B123),E$65:E$74,E$77:E$86)/E117/1000</f>
        <v>27.606609116134027</v>
      </c>
      <c r="F123" s="1326">
        <f t="shared" si="34"/>
        <v>28.760763800560408</v>
      </c>
      <c r="G123" s="1326">
        <f t="shared" si="34"/>
        <v>26.858180209894538</v>
      </c>
      <c r="H123" s="1326">
        <f t="shared" si="34"/>
        <v>27.937977762387955</v>
      </c>
      <c r="I123" s="1326">
        <f t="shared" si="34"/>
        <v>28.960366964166866</v>
      </c>
      <c r="J123" s="1326">
        <f t="shared" si="34"/>
        <v>30.084393109069477</v>
      </c>
      <c r="K123" s="1326">
        <f t="shared" si="34"/>
        <v>31.260421596609628</v>
      </c>
      <c r="L123" s="1326">
        <f t="shared" si="34"/>
        <v>29.042764104087105</v>
      </c>
      <c r="M123" s="1326">
        <f t="shared" si="34"/>
        <v>30.105476202402222</v>
      </c>
      <c r="N123" s="1326">
        <f t="shared" si="34"/>
        <v>31.277328340440985</v>
      </c>
      <c r="O123" s="1326">
        <f t="shared" si="34"/>
        <v>27.770565694528198</v>
      </c>
      <c r="P123" s="1326">
        <f t="shared" si="34"/>
        <v>28.887638048599459</v>
      </c>
      <c r="Q123" s="1326">
        <f t="shared" si="34"/>
        <v>30.07917447717476</v>
      </c>
      <c r="R123" s="1326">
        <f t="shared" si="34"/>
        <v>31.355488796288046</v>
      </c>
      <c r="S123" s="1326">
        <f t="shared" si="34"/>
        <v>32.645732684603388</v>
      </c>
      <c r="T123" s="1326">
        <f t="shared" si="34"/>
        <v>25.283578605137397</v>
      </c>
      <c r="U123" s="1326">
        <f t="shared" si="34"/>
        <v>26.213087562666182</v>
      </c>
      <c r="V123" s="1326">
        <f t="shared" si="34"/>
        <v>27.147363998846114</v>
      </c>
      <c r="W123" s="1326">
        <f t="shared" si="34"/>
        <v>28.200960748980407</v>
      </c>
      <c r="X123" s="1326">
        <f t="shared" si="34"/>
        <v>29.356594884549665</v>
      </c>
      <c r="Y123" s="1326">
        <f t="shared" si="34"/>
        <v>30.549904426084392</v>
      </c>
      <c r="Z123" s="1326">
        <f t="shared" si="34"/>
        <v>31.768669582661499</v>
      </c>
      <c r="AA123" s="1326">
        <f t="shared" si="34"/>
        <v>33.086453173744935</v>
      </c>
      <c r="AB123" s="1326">
        <f t="shared" si="34"/>
        <v>34.510532378278299</v>
      </c>
      <c r="AC123" s="1326">
        <f t="shared" si="34"/>
        <v>36.037524167423442</v>
      </c>
      <c r="AD123" s="1326">
        <f t="shared" ref="AD123:AI123" si="35">SUMPRODUCT(--(AD$105:AD$114=$B123),AD$65:AD$74,AD$77:AD$86)/(AD117+eps)/1000</f>
        <v>0</v>
      </c>
      <c r="AE123" s="1326">
        <f t="shared" si="35"/>
        <v>0</v>
      </c>
      <c r="AF123" s="1326">
        <f t="shared" si="35"/>
        <v>0</v>
      </c>
      <c r="AG123" s="1326">
        <f t="shared" si="35"/>
        <v>0</v>
      </c>
      <c r="AH123" s="1326">
        <f t="shared" si="35"/>
        <v>0</v>
      </c>
      <c r="AI123" s="1326">
        <f t="shared" si="35"/>
        <v>0</v>
      </c>
    </row>
    <row r="124" spans="2:35">
      <c r="B124" s="1315">
        <v>2</v>
      </c>
      <c r="C124" s="1315" t="s">
        <v>816</v>
      </c>
      <c r="D124" s="1326">
        <f t="shared" ref="D124:S125" si="36">SUMPRODUCT(--(D$105:D$114=$B124),D$65:D$74,D$77:D$86)/D118/1000</f>
        <v>57.461268989157873</v>
      </c>
      <c r="E124" s="1326">
        <f t="shared" si="36"/>
        <v>57.723012742823329</v>
      </c>
      <c r="F124" s="1326">
        <f t="shared" si="36"/>
        <v>59.821150699091923</v>
      </c>
      <c r="G124" s="1326">
        <f t="shared" si="36"/>
        <v>56.908482056129664</v>
      </c>
      <c r="H124" s="1326">
        <f t="shared" si="36"/>
        <v>58.922757231939151</v>
      </c>
      <c r="I124" s="1326">
        <f t="shared" si="36"/>
        <v>60.801097443585938</v>
      </c>
      <c r="J124" s="1326">
        <f t="shared" si="36"/>
        <v>62.893248033780658</v>
      </c>
      <c r="K124" s="1326">
        <f t="shared" si="36"/>
        <v>65.082815610385097</v>
      </c>
      <c r="L124" s="1326">
        <f t="shared" si="36"/>
        <v>62.550847052918051</v>
      </c>
      <c r="M124" s="1326">
        <f t="shared" si="36"/>
        <v>64.594837845938912</v>
      </c>
      <c r="N124" s="1326">
        <f t="shared" si="36"/>
        <v>66.86909053615868</v>
      </c>
      <c r="O124" s="1326">
        <f t="shared" si="36"/>
        <v>64.662311876836227</v>
      </c>
      <c r="P124" s="1326">
        <f t="shared" si="36"/>
        <v>67.021687586628687</v>
      </c>
      <c r="Q124" s="1326">
        <f t="shared" si="36"/>
        <v>61.120850751629199</v>
      </c>
      <c r="R124" s="1326">
        <f t="shared" si="36"/>
        <v>63.522626533656606</v>
      </c>
      <c r="S124" s="1326">
        <f t="shared" si="36"/>
        <v>65.937904153500554</v>
      </c>
      <c r="T124" s="1326">
        <f t="shared" si="34"/>
        <v>64.061237732789081</v>
      </c>
      <c r="U124" s="1326">
        <f t="shared" si="34"/>
        <v>66.218068741875541</v>
      </c>
      <c r="V124" s="1326">
        <f t="shared" si="34"/>
        <v>68.379271779309875</v>
      </c>
      <c r="W124" s="1326">
        <f t="shared" si="34"/>
        <v>70.840013200233301</v>
      </c>
      <c r="X124" s="1326">
        <f t="shared" si="34"/>
        <v>73.53496803069163</v>
      </c>
      <c r="Y124" s="1326">
        <f t="shared" si="34"/>
        <v>76.303671564546164</v>
      </c>
      <c r="Z124" s="1326">
        <f t="shared" si="34"/>
        <v>73.212037616199837</v>
      </c>
      <c r="AA124" s="1326">
        <f t="shared" si="34"/>
        <v>76.083433919820209</v>
      </c>
      <c r="AB124" s="1326">
        <f t="shared" si="34"/>
        <v>79.164552545897848</v>
      </c>
      <c r="AC124" s="1326">
        <f t="shared" si="34"/>
        <v>82.459437659482049</v>
      </c>
      <c r="AD124" s="1326">
        <f t="shared" ref="AD124:AI125" si="37">SUMPRODUCT(--(AD$105:AD$114=$B124),AD$65:AD$74,AD$77:AD$86)/AD118/1000</f>
        <v>73.8073962608686</v>
      </c>
      <c r="AE124" s="1326">
        <f t="shared" si="37"/>
        <v>76.24017942941677</v>
      </c>
      <c r="AF124" s="1326">
        <f t="shared" si="37"/>
        <v>74.430054710862365</v>
      </c>
      <c r="AG124" s="1326">
        <f t="shared" si="37"/>
        <v>83.261170463924842</v>
      </c>
      <c r="AH124" s="1326">
        <f t="shared" si="37"/>
        <v>83.261170463924842</v>
      </c>
      <c r="AI124" s="1326">
        <f t="shared" si="37"/>
        <v>82.08880564020825</v>
      </c>
    </row>
    <row r="125" spans="2:35">
      <c r="B125" s="1315">
        <v>3</v>
      </c>
      <c r="C125" s="1315" t="s">
        <v>2071</v>
      </c>
      <c r="D125" s="1326">
        <f t="shared" si="36"/>
        <v>241.18953905369443</v>
      </c>
      <c r="E125" s="1326">
        <f t="shared" si="34"/>
        <v>321.36518547566948</v>
      </c>
      <c r="F125" s="1326">
        <f t="shared" si="34"/>
        <v>331.38883926449529</v>
      </c>
      <c r="G125" s="1326">
        <f t="shared" si="34"/>
        <v>341.1624584339574</v>
      </c>
      <c r="H125" s="1326">
        <f t="shared" si="34"/>
        <v>351.53802601651404</v>
      </c>
      <c r="I125" s="1326">
        <f t="shared" si="34"/>
        <v>361.12408241629623</v>
      </c>
      <c r="J125" s="1326">
        <f t="shared" si="34"/>
        <v>371.95852786400633</v>
      </c>
      <c r="K125" s="1326">
        <f t="shared" si="34"/>
        <v>383.371645580277</v>
      </c>
      <c r="L125" s="1326">
        <f t="shared" si="34"/>
        <v>395.73870897957806</v>
      </c>
      <c r="M125" s="1326">
        <f t="shared" si="34"/>
        <v>406.875491523037</v>
      </c>
      <c r="N125" s="1326">
        <f t="shared" si="34"/>
        <v>419.33256878121364</v>
      </c>
      <c r="O125" s="1326">
        <f t="shared" si="34"/>
        <v>432.16494453343302</v>
      </c>
      <c r="P125" s="1326">
        <f t="shared" si="34"/>
        <v>445.83595788689206</v>
      </c>
      <c r="Q125" s="1326">
        <f t="shared" si="34"/>
        <v>320.88841738356587</v>
      </c>
      <c r="R125" s="1326">
        <f t="shared" si="34"/>
        <v>331.88518889414991</v>
      </c>
      <c r="S125" s="1326">
        <f t="shared" si="34"/>
        <v>342.88077391114427</v>
      </c>
      <c r="T125" s="1326">
        <f t="shared" si="34"/>
        <v>353.89513460423694</v>
      </c>
      <c r="U125" s="1326">
        <f t="shared" si="34"/>
        <v>364.25717045654687</v>
      </c>
      <c r="V125" s="1326">
        <f t="shared" si="34"/>
        <v>374.5761312186458</v>
      </c>
      <c r="W125" s="1326">
        <f t="shared" si="34"/>
        <v>386.43895312723089</v>
      </c>
      <c r="X125" s="1326">
        <f t="shared" si="34"/>
        <v>399.39636192276549</v>
      </c>
      <c r="Y125" s="1326">
        <f t="shared" si="34"/>
        <v>412.63318232149169</v>
      </c>
      <c r="Z125" s="1326">
        <f t="shared" si="34"/>
        <v>335.45417338852133</v>
      </c>
      <c r="AA125" s="1326">
        <f t="shared" si="34"/>
        <v>346.91032026143836</v>
      </c>
      <c r="AB125" s="1326">
        <f t="shared" si="34"/>
        <v>359.00203804878777</v>
      </c>
      <c r="AC125" s="1326">
        <f t="shared" si="34"/>
        <v>371.8119786980634</v>
      </c>
      <c r="AD125" s="1326">
        <f t="shared" si="37"/>
        <v>314.33783826496591</v>
      </c>
      <c r="AE125" s="1326">
        <f t="shared" si="37"/>
        <v>319.81321347235632</v>
      </c>
      <c r="AF125" s="1326">
        <f t="shared" si="37"/>
        <v>325.5102145665399</v>
      </c>
      <c r="AG125" s="1326">
        <f t="shared" si="37"/>
        <v>360.70999381146294</v>
      </c>
      <c r="AH125" s="1326">
        <f t="shared" si="37"/>
        <v>360.70999381146294</v>
      </c>
      <c r="AI125" s="1326">
        <f t="shared" si="37"/>
        <v>355.63099112688252</v>
      </c>
    </row>
    <row r="127" spans="2:35">
      <c r="C127" s="1323" t="s">
        <v>2074</v>
      </c>
    </row>
    <row r="128" spans="2:35">
      <c r="C128" s="1315" t="s">
        <v>817</v>
      </c>
      <c r="D128" s="1322">
        <f>D123/$D123</f>
        <v>1</v>
      </c>
      <c r="E128" s="1322">
        <f>E123/$E123</f>
        <v>1</v>
      </c>
      <c r="F128" s="1322">
        <f t="shared" ref="F128:AI130" si="38">F123/$E123</f>
        <v>1.0418071875314763</v>
      </c>
      <c r="G128" s="1322">
        <f t="shared" si="38"/>
        <v>0.97288950254299478</v>
      </c>
      <c r="H128" s="1322">
        <f t="shared" si="38"/>
        <v>1.0120032360678541</v>
      </c>
      <c r="I128" s="1322">
        <f t="shared" si="38"/>
        <v>1.0490374548477839</v>
      </c>
      <c r="J128" s="1322">
        <f t="shared" si="38"/>
        <v>1.0897532899644444</v>
      </c>
      <c r="K128" s="1322">
        <f t="shared" si="38"/>
        <v>1.1323528168600836</v>
      </c>
      <c r="L128" s="1322">
        <f t="shared" si="38"/>
        <v>1.0520221437522999</v>
      </c>
      <c r="M128" s="1322">
        <f t="shared" si="38"/>
        <v>1.090516987282143</v>
      </c>
      <c r="N128" s="1322">
        <f t="shared" si="38"/>
        <v>1.1329652333926694</v>
      </c>
      <c r="O128" s="1322">
        <f t="shared" si="38"/>
        <v>1.0059390335736071</v>
      </c>
      <c r="P128" s="1322">
        <f t="shared" si="38"/>
        <v>1.0464029800645369</v>
      </c>
      <c r="Q128" s="1322">
        <f t="shared" si="38"/>
        <v>1.0895642543652961</v>
      </c>
      <c r="R128" s="1322">
        <f t="shared" si="38"/>
        <v>1.1357964560002074</v>
      </c>
      <c r="S128" s="1322">
        <f t="shared" si="38"/>
        <v>1.1825332313458361</v>
      </c>
      <c r="T128" s="1322">
        <f t="shared" si="38"/>
        <v>0.9158523779134109</v>
      </c>
      <c r="U128" s="1322">
        <f>U123/$E123</f>
        <v>0.94952217609900391</v>
      </c>
      <c r="V128" s="1322">
        <f t="shared" si="38"/>
        <v>0.98336466766505126</v>
      </c>
      <c r="W128" s="1322">
        <f t="shared" si="38"/>
        <v>1.0215293240233196</v>
      </c>
      <c r="X128" s="1322">
        <f t="shared" si="38"/>
        <v>1.0633901020242613</v>
      </c>
      <c r="Y128" s="1322">
        <f t="shared" si="38"/>
        <v>1.1066156041681419</v>
      </c>
      <c r="Z128" s="1322">
        <f t="shared" si="38"/>
        <v>1.1507631904019335</v>
      </c>
      <c r="AA128" s="1322">
        <f t="shared" si="38"/>
        <v>1.1984975421848656</v>
      </c>
      <c r="AB128" s="1322">
        <f t="shared" si="38"/>
        <v>1.2500822622981769</v>
      </c>
      <c r="AC128" s="1322">
        <f t="shared" si="38"/>
        <v>1.3053948065777541</v>
      </c>
      <c r="AD128" s="1322">
        <f t="shared" si="38"/>
        <v>0</v>
      </c>
      <c r="AE128" s="1322">
        <f t="shared" si="38"/>
        <v>0</v>
      </c>
      <c r="AF128" s="1322">
        <f t="shared" si="38"/>
        <v>0</v>
      </c>
      <c r="AG128" s="1322">
        <f t="shared" si="38"/>
        <v>0</v>
      </c>
      <c r="AH128" s="1322">
        <f t="shared" si="38"/>
        <v>0</v>
      </c>
      <c r="AI128" s="1322">
        <f t="shared" si="38"/>
        <v>0</v>
      </c>
    </row>
    <row r="129" spans="3:35">
      <c r="C129" s="1315" t="s">
        <v>816</v>
      </c>
      <c r="D129" s="1322">
        <f>D124/$D124</f>
        <v>1</v>
      </c>
      <c r="E129" s="1322">
        <f t="shared" ref="E129:T130" si="39">E124/$E124</f>
        <v>1</v>
      </c>
      <c r="F129" s="1322">
        <f t="shared" si="39"/>
        <v>1.0363483792091128</v>
      </c>
      <c r="G129" s="1322">
        <f t="shared" si="39"/>
        <v>0.98588897827764654</v>
      </c>
      <c r="H129" s="1322">
        <f t="shared" si="39"/>
        <v>1.0207845091949914</v>
      </c>
      <c r="I129" s="1322">
        <f t="shared" si="39"/>
        <v>1.0533250874218325</v>
      </c>
      <c r="J129" s="1322">
        <f t="shared" si="39"/>
        <v>1.0895697408240381</v>
      </c>
      <c r="K129" s="1322">
        <f t="shared" si="39"/>
        <v>1.1275020571145917</v>
      </c>
      <c r="L129" s="1322">
        <f t="shared" si="39"/>
        <v>1.083637947513316</v>
      </c>
      <c r="M129" s="1322">
        <f t="shared" si="39"/>
        <v>1.1190482751434341</v>
      </c>
      <c r="N129" s="1322">
        <f t="shared" si="39"/>
        <v>1.1584476859183426</v>
      </c>
      <c r="O129" s="1322">
        <f t="shared" si="39"/>
        <v>1.1202172028845749</v>
      </c>
      <c r="P129" s="1322">
        <f t="shared" si="39"/>
        <v>1.1610912944761611</v>
      </c>
      <c r="Q129" s="1322">
        <f t="shared" si="39"/>
        <v>1.0588645298876629</v>
      </c>
      <c r="R129" s="1322">
        <f t="shared" si="39"/>
        <v>1.1004731651251924</v>
      </c>
      <c r="S129" s="1322">
        <f t="shared" si="39"/>
        <v>1.1423157077278261</v>
      </c>
      <c r="T129" s="1322">
        <f t="shared" si="39"/>
        <v>1.1098041264444185</v>
      </c>
      <c r="U129" s="1322">
        <f t="shared" si="38"/>
        <v>1.1471693107374823</v>
      </c>
      <c r="V129" s="1322">
        <f t="shared" si="38"/>
        <v>1.1846102365440279</v>
      </c>
      <c r="W129" s="1322">
        <f t="shared" si="38"/>
        <v>1.2272403991775498</v>
      </c>
      <c r="X129" s="1322">
        <f t="shared" si="38"/>
        <v>1.2739281014024029</v>
      </c>
      <c r="Y129" s="1322">
        <f t="shared" si="38"/>
        <v>1.3218934345042992</v>
      </c>
      <c r="Z129" s="1322">
        <f t="shared" si="38"/>
        <v>1.268333618385195</v>
      </c>
      <c r="AA129" s="1322">
        <f t="shared" si="38"/>
        <v>1.3180780126428799</v>
      </c>
      <c r="AB129" s="1322">
        <f t="shared" si="38"/>
        <v>1.3714556601299424</v>
      </c>
      <c r="AC129" s="1322">
        <f t="shared" si="38"/>
        <v>1.4285366224190055</v>
      </c>
      <c r="AD129" s="1322">
        <f t="shared" si="38"/>
        <v>1.2786476788678192</v>
      </c>
      <c r="AE129" s="1322">
        <f t="shared" si="38"/>
        <v>1.3207934895757094</v>
      </c>
      <c r="AF129" s="1322">
        <f t="shared" si="38"/>
        <v>1.2894346842649203</v>
      </c>
      <c r="AG129" s="1322">
        <f t="shared" si="38"/>
        <v>1.4424259321820769</v>
      </c>
      <c r="AH129" s="1322">
        <f t="shared" si="38"/>
        <v>1.4424259321820769</v>
      </c>
      <c r="AI129" s="1322">
        <f t="shared" si="38"/>
        <v>1.4221157514065186</v>
      </c>
    </row>
    <row r="130" spans="3:35">
      <c r="C130" s="1315" t="s">
        <v>2071</v>
      </c>
      <c r="D130" s="1322">
        <f>D125/$D125</f>
        <v>1</v>
      </c>
      <c r="E130" s="1322">
        <f t="shared" si="39"/>
        <v>1</v>
      </c>
      <c r="F130" s="1322">
        <f t="shared" si="38"/>
        <v>1.0311908515354247</v>
      </c>
      <c r="G130" s="1322">
        <f t="shared" si="38"/>
        <v>1.0616036641585334</v>
      </c>
      <c r="H130" s="1322">
        <f t="shared" si="38"/>
        <v>1.0938895745542074</v>
      </c>
      <c r="I130" s="1322">
        <f t="shared" si="38"/>
        <v>1.1237187434655609</v>
      </c>
      <c r="J130" s="1322">
        <f t="shared" si="38"/>
        <v>1.157432555469414</v>
      </c>
      <c r="K130" s="1322">
        <f t="shared" si="38"/>
        <v>1.1929470362909054</v>
      </c>
      <c r="L130" s="1322">
        <f t="shared" si="38"/>
        <v>1.2314299335001844</v>
      </c>
      <c r="M130" s="1322">
        <f t="shared" si="38"/>
        <v>1.2660845353263741</v>
      </c>
      <c r="N130" s="1322">
        <f t="shared" si="38"/>
        <v>1.3048475308877578</v>
      </c>
      <c r="O130" s="1322">
        <f t="shared" si="38"/>
        <v>1.3447783520600185</v>
      </c>
      <c r="P130" s="1322">
        <f t="shared" si="38"/>
        <v>1.387318782608598</v>
      </c>
      <c r="Q130" s="1322">
        <f t="shared" si="38"/>
        <v>0.99851642892991688</v>
      </c>
      <c r="R130" s="1322">
        <f t="shared" si="38"/>
        <v>1.032735354960461</v>
      </c>
      <c r="S130" s="1322">
        <f t="shared" si="38"/>
        <v>1.0669505889495419</v>
      </c>
      <c r="T130" s="1322">
        <f t="shared" si="38"/>
        <v>1.101224247674552</v>
      </c>
      <c r="U130" s="1322">
        <f t="shared" si="38"/>
        <v>1.1334680510503672</v>
      </c>
      <c r="V130" s="1322">
        <f t="shared" si="38"/>
        <v>1.1655778166020567</v>
      </c>
      <c r="W130" s="1322">
        <f t="shared" si="38"/>
        <v>1.2024916530869463</v>
      </c>
      <c r="X130" s="1322">
        <f t="shared" si="38"/>
        <v>1.2428115426741013</v>
      </c>
      <c r="Y130" s="1322">
        <f t="shared" si="38"/>
        <v>1.284000884261099</v>
      </c>
      <c r="Z130" s="1322">
        <f t="shared" si="38"/>
        <v>1.0438410523280486</v>
      </c>
      <c r="AA130" s="1322">
        <f t="shared" si="38"/>
        <v>1.0794894280410561</v>
      </c>
      <c r="AB130" s="1322">
        <f t="shared" si="38"/>
        <v>1.117115525496049</v>
      </c>
      <c r="AC130" s="1322">
        <f t="shared" si="38"/>
        <v>1.156976534803311</v>
      </c>
      <c r="AD130" s="1322">
        <f t="shared" si="38"/>
        <v>0.97813282978894545</v>
      </c>
      <c r="AE130" s="1322">
        <f t="shared" si="38"/>
        <v>0.99517069031290373</v>
      </c>
      <c r="AF130" s="1322">
        <f t="shared" si="38"/>
        <v>1.0128981895930487</v>
      </c>
      <c r="AG130" s="1322">
        <f t="shared" si="38"/>
        <v>1.1224302137070545</v>
      </c>
      <c r="AH130" s="1322">
        <f t="shared" si="38"/>
        <v>1.1224302137070545</v>
      </c>
      <c r="AI130" s="1322">
        <f t="shared" si="38"/>
        <v>1.1066257553707768</v>
      </c>
    </row>
  </sheetData>
  <mergeCells count="1">
    <mergeCell ref="C2:E2"/>
  </mergeCells>
  <pageMargins left="0.7" right="0.7" top="0.75" bottom="0.75" header="0.3" footer="0.3"/>
  <drawing r:id="rId1"/>
  <extLst>
    <ext xmlns:mx="http://schemas.microsoft.com/office/mac/excel/2008/main" uri="{64002731-A6B0-56B0-2670-7721B7C09600}">
      <mx:PLV Mode="0" OnePage="0" WScale="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2:BA119"/>
  <sheetViews>
    <sheetView zoomScale="85" zoomScaleNormal="85" zoomScalePageLayoutView="85" workbookViewId="0">
      <selection activeCell="J3" sqref="J3"/>
    </sheetView>
    <sheetView workbookViewId="1"/>
  </sheetViews>
  <sheetFormatPr baseColWidth="10" defaultColWidth="12.5" defaultRowHeight="15" x14ac:dyDescent="0"/>
  <cols>
    <col min="1" max="1" width="12.5" style="1328"/>
    <col min="2" max="2" width="16.6640625" style="1328" bestFit="1" customWidth="1"/>
    <col min="3" max="3" width="41.1640625" style="1328" bestFit="1" customWidth="1"/>
    <col min="4" max="4" width="17.33203125" style="1328" customWidth="1"/>
    <col min="5" max="5" width="16.1640625" style="1328" bestFit="1" customWidth="1"/>
    <col min="6" max="7" width="14.5" style="1328" bestFit="1" customWidth="1"/>
    <col min="8" max="8" width="14.6640625" style="1328" customWidth="1"/>
    <col min="9" max="9" width="14.5" style="1328" bestFit="1" customWidth="1"/>
    <col min="10" max="10" width="13.5" style="1328" bestFit="1" customWidth="1"/>
    <col min="11" max="11" width="14.5" style="1328" bestFit="1" customWidth="1"/>
    <col min="12" max="257" width="12.5" style="1328"/>
    <col min="258" max="258" width="16.6640625" style="1328" bestFit="1" customWidth="1"/>
    <col min="259" max="259" width="41.1640625" style="1328" bestFit="1" customWidth="1"/>
    <col min="260" max="260" width="17.33203125" style="1328" customWidth="1"/>
    <col min="261" max="263" width="14.5" style="1328" bestFit="1" customWidth="1"/>
    <col min="264" max="264" width="14.6640625" style="1328" customWidth="1"/>
    <col min="265" max="265" width="14.5" style="1328" bestFit="1" customWidth="1"/>
    <col min="266" max="266" width="13.5" style="1328" bestFit="1" customWidth="1"/>
    <col min="267" max="267" width="14.5" style="1328" bestFit="1" customWidth="1"/>
    <col min="268" max="513" width="12.5" style="1328"/>
    <col min="514" max="514" width="16.6640625" style="1328" bestFit="1" customWidth="1"/>
    <col min="515" max="515" width="41.1640625" style="1328" bestFit="1" customWidth="1"/>
    <col min="516" max="516" width="17.33203125" style="1328" customWidth="1"/>
    <col min="517" max="519" width="14.5" style="1328" bestFit="1" customWidth="1"/>
    <col min="520" max="520" width="14.6640625" style="1328" customWidth="1"/>
    <col min="521" max="521" width="14.5" style="1328" bestFit="1" customWidth="1"/>
    <col min="522" max="522" width="13.5" style="1328" bestFit="1" customWidth="1"/>
    <col min="523" max="523" width="14.5" style="1328" bestFit="1" customWidth="1"/>
    <col min="524" max="769" width="12.5" style="1328"/>
    <col min="770" max="770" width="16.6640625" style="1328" bestFit="1" customWidth="1"/>
    <col min="771" max="771" width="41.1640625" style="1328" bestFit="1" customWidth="1"/>
    <col min="772" max="772" width="17.33203125" style="1328" customWidth="1"/>
    <col min="773" max="775" width="14.5" style="1328" bestFit="1" customWidth="1"/>
    <col min="776" max="776" width="14.6640625" style="1328" customWidth="1"/>
    <col min="777" max="777" width="14.5" style="1328" bestFit="1" customWidth="1"/>
    <col min="778" max="778" width="13.5" style="1328" bestFit="1" customWidth="1"/>
    <col min="779" max="779" width="14.5" style="1328" bestFit="1" customWidth="1"/>
    <col min="780" max="1025" width="12.5" style="1328"/>
    <col min="1026" max="1026" width="16.6640625" style="1328" bestFit="1" customWidth="1"/>
    <col min="1027" max="1027" width="41.1640625" style="1328" bestFit="1" customWidth="1"/>
    <col min="1028" max="1028" width="17.33203125" style="1328" customWidth="1"/>
    <col min="1029" max="1031" width="14.5" style="1328" bestFit="1" customWidth="1"/>
    <col min="1032" max="1032" width="14.6640625" style="1328" customWidth="1"/>
    <col min="1033" max="1033" width="14.5" style="1328" bestFit="1" customWidth="1"/>
    <col min="1034" max="1034" width="13.5" style="1328" bestFit="1" customWidth="1"/>
    <col min="1035" max="1035" width="14.5" style="1328" bestFit="1" customWidth="1"/>
    <col min="1036" max="1281" width="12.5" style="1328"/>
    <col min="1282" max="1282" width="16.6640625" style="1328" bestFit="1" customWidth="1"/>
    <col min="1283" max="1283" width="41.1640625" style="1328" bestFit="1" customWidth="1"/>
    <col min="1284" max="1284" width="17.33203125" style="1328" customWidth="1"/>
    <col min="1285" max="1287" width="14.5" style="1328" bestFit="1" customWidth="1"/>
    <col min="1288" max="1288" width="14.6640625" style="1328" customWidth="1"/>
    <col min="1289" max="1289" width="14.5" style="1328" bestFit="1" customWidth="1"/>
    <col min="1290" max="1290" width="13.5" style="1328" bestFit="1" customWidth="1"/>
    <col min="1291" max="1291" width="14.5" style="1328" bestFit="1" customWidth="1"/>
    <col min="1292" max="1537" width="12.5" style="1328"/>
    <col min="1538" max="1538" width="16.6640625" style="1328" bestFit="1" customWidth="1"/>
    <col min="1539" max="1539" width="41.1640625" style="1328" bestFit="1" customWidth="1"/>
    <col min="1540" max="1540" width="17.33203125" style="1328" customWidth="1"/>
    <col min="1541" max="1543" width="14.5" style="1328" bestFit="1" customWidth="1"/>
    <col min="1544" max="1544" width="14.6640625" style="1328" customWidth="1"/>
    <col min="1545" max="1545" width="14.5" style="1328" bestFit="1" customWidth="1"/>
    <col min="1546" max="1546" width="13.5" style="1328" bestFit="1" customWidth="1"/>
    <col min="1547" max="1547" width="14.5" style="1328" bestFit="1" customWidth="1"/>
    <col min="1548" max="1793" width="12.5" style="1328"/>
    <col min="1794" max="1794" width="16.6640625" style="1328" bestFit="1" customWidth="1"/>
    <col min="1795" max="1795" width="41.1640625" style="1328" bestFit="1" customWidth="1"/>
    <col min="1796" max="1796" width="17.33203125" style="1328" customWidth="1"/>
    <col min="1797" max="1799" width="14.5" style="1328" bestFit="1" customWidth="1"/>
    <col min="1800" max="1800" width="14.6640625" style="1328" customWidth="1"/>
    <col min="1801" max="1801" width="14.5" style="1328" bestFit="1" customWidth="1"/>
    <col min="1802" max="1802" width="13.5" style="1328" bestFit="1" customWidth="1"/>
    <col min="1803" max="1803" width="14.5" style="1328" bestFit="1" customWidth="1"/>
    <col min="1804" max="2049" width="12.5" style="1328"/>
    <col min="2050" max="2050" width="16.6640625" style="1328" bestFit="1" customWidth="1"/>
    <col min="2051" max="2051" width="41.1640625" style="1328" bestFit="1" customWidth="1"/>
    <col min="2052" max="2052" width="17.33203125" style="1328" customWidth="1"/>
    <col min="2053" max="2055" width="14.5" style="1328" bestFit="1" customWidth="1"/>
    <col min="2056" max="2056" width="14.6640625" style="1328" customWidth="1"/>
    <col min="2057" max="2057" width="14.5" style="1328" bestFit="1" customWidth="1"/>
    <col min="2058" max="2058" width="13.5" style="1328" bestFit="1" customWidth="1"/>
    <col min="2059" max="2059" width="14.5" style="1328" bestFit="1" customWidth="1"/>
    <col min="2060" max="2305" width="12.5" style="1328"/>
    <col min="2306" max="2306" width="16.6640625" style="1328" bestFit="1" customWidth="1"/>
    <col min="2307" max="2307" width="41.1640625" style="1328" bestFit="1" customWidth="1"/>
    <col min="2308" max="2308" width="17.33203125" style="1328" customWidth="1"/>
    <col min="2309" max="2311" width="14.5" style="1328" bestFit="1" customWidth="1"/>
    <col min="2312" max="2312" width="14.6640625" style="1328" customWidth="1"/>
    <col min="2313" max="2313" width="14.5" style="1328" bestFit="1" customWidth="1"/>
    <col min="2314" max="2314" width="13.5" style="1328" bestFit="1" customWidth="1"/>
    <col min="2315" max="2315" width="14.5" style="1328" bestFit="1" customWidth="1"/>
    <col min="2316" max="2561" width="12.5" style="1328"/>
    <col min="2562" max="2562" width="16.6640625" style="1328" bestFit="1" customWidth="1"/>
    <col min="2563" max="2563" width="41.1640625" style="1328" bestFit="1" customWidth="1"/>
    <col min="2564" max="2564" width="17.33203125" style="1328" customWidth="1"/>
    <col min="2565" max="2567" width="14.5" style="1328" bestFit="1" customWidth="1"/>
    <col min="2568" max="2568" width="14.6640625" style="1328" customWidth="1"/>
    <col min="2569" max="2569" width="14.5" style="1328" bestFit="1" customWidth="1"/>
    <col min="2570" max="2570" width="13.5" style="1328" bestFit="1" customWidth="1"/>
    <col min="2571" max="2571" width="14.5" style="1328" bestFit="1" customWidth="1"/>
    <col min="2572" max="2817" width="12.5" style="1328"/>
    <col min="2818" max="2818" width="16.6640625" style="1328" bestFit="1" customWidth="1"/>
    <col min="2819" max="2819" width="41.1640625" style="1328" bestFit="1" customWidth="1"/>
    <col min="2820" max="2820" width="17.33203125" style="1328" customWidth="1"/>
    <col min="2821" max="2823" width="14.5" style="1328" bestFit="1" customWidth="1"/>
    <col min="2824" max="2824" width="14.6640625" style="1328" customWidth="1"/>
    <col min="2825" max="2825" width="14.5" style="1328" bestFit="1" customWidth="1"/>
    <col min="2826" max="2826" width="13.5" style="1328" bestFit="1" customWidth="1"/>
    <col min="2827" max="2827" width="14.5" style="1328" bestFit="1" customWidth="1"/>
    <col min="2828" max="3073" width="12.5" style="1328"/>
    <col min="3074" max="3074" width="16.6640625" style="1328" bestFit="1" customWidth="1"/>
    <col min="3075" max="3075" width="41.1640625" style="1328" bestFit="1" customWidth="1"/>
    <col min="3076" max="3076" width="17.33203125" style="1328" customWidth="1"/>
    <col min="3077" max="3079" width="14.5" style="1328" bestFit="1" customWidth="1"/>
    <col min="3080" max="3080" width="14.6640625" style="1328" customWidth="1"/>
    <col min="3081" max="3081" width="14.5" style="1328" bestFit="1" customWidth="1"/>
    <col min="3082" max="3082" width="13.5" style="1328" bestFit="1" customWidth="1"/>
    <col min="3083" max="3083" width="14.5" style="1328" bestFit="1" customWidth="1"/>
    <col min="3084" max="3329" width="12.5" style="1328"/>
    <col min="3330" max="3330" width="16.6640625" style="1328" bestFit="1" customWidth="1"/>
    <col min="3331" max="3331" width="41.1640625" style="1328" bestFit="1" customWidth="1"/>
    <col min="3332" max="3332" width="17.33203125" style="1328" customWidth="1"/>
    <col min="3333" max="3335" width="14.5" style="1328" bestFit="1" customWidth="1"/>
    <col min="3336" max="3336" width="14.6640625" style="1328" customWidth="1"/>
    <col min="3337" max="3337" width="14.5" style="1328" bestFit="1" customWidth="1"/>
    <col min="3338" max="3338" width="13.5" style="1328" bestFit="1" customWidth="1"/>
    <col min="3339" max="3339" width="14.5" style="1328" bestFit="1" customWidth="1"/>
    <col min="3340" max="3585" width="12.5" style="1328"/>
    <col min="3586" max="3586" width="16.6640625" style="1328" bestFit="1" customWidth="1"/>
    <col min="3587" max="3587" width="41.1640625" style="1328" bestFit="1" customWidth="1"/>
    <col min="3588" max="3588" width="17.33203125" style="1328" customWidth="1"/>
    <col min="3589" max="3591" width="14.5" style="1328" bestFit="1" customWidth="1"/>
    <col min="3592" max="3592" width="14.6640625" style="1328" customWidth="1"/>
    <col min="3593" max="3593" width="14.5" style="1328" bestFit="1" customWidth="1"/>
    <col min="3594" max="3594" width="13.5" style="1328" bestFit="1" customWidth="1"/>
    <col min="3595" max="3595" width="14.5" style="1328" bestFit="1" customWidth="1"/>
    <col min="3596" max="3841" width="12.5" style="1328"/>
    <col min="3842" max="3842" width="16.6640625" style="1328" bestFit="1" customWidth="1"/>
    <col min="3843" max="3843" width="41.1640625" style="1328" bestFit="1" customWidth="1"/>
    <col min="3844" max="3844" width="17.33203125" style="1328" customWidth="1"/>
    <col min="3845" max="3847" width="14.5" style="1328" bestFit="1" customWidth="1"/>
    <col min="3848" max="3848" width="14.6640625" style="1328" customWidth="1"/>
    <col min="3849" max="3849" width="14.5" style="1328" bestFit="1" customWidth="1"/>
    <col min="3850" max="3850" width="13.5" style="1328" bestFit="1" customWidth="1"/>
    <col min="3851" max="3851" width="14.5" style="1328" bestFit="1" customWidth="1"/>
    <col min="3852" max="4097" width="12.5" style="1328"/>
    <col min="4098" max="4098" width="16.6640625" style="1328" bestFit="1" customWidth="1"/>
    <col min="4099" max="4099" width="41.1640625" style="1328" bestFit="1" customWidth="1"/>
    <col min="4100" max="4100" width="17.33203125" style="1328" customWidth="1"/>
    <col min="4101" max="4103" width="14.5" style="1328" bestFit="1" customWidth="1"/>
    <col min="4104" max="4104" width="14.6640625" style="1328" customWidth="1"/>
    <col min="4105" max="4105" width="14.5" style="1328" bestFit="1" customWidth="1"/>
    <col min="4106" max="4106" width="13.5" style="1328" bestFit="1" customWidth="1"/>
    <col min="4107" max="4107" width="14.5" style="1328" bestFit="1" customWidth="1"/>
    <col min="4108" max="4353" width="12.5" style="1328"/>
    <col min="4354" max="4354" width="16.6640625" style="1328" bestFit="1" customWidth="1"/>
    <col min="4355" max="4355" width="41.1640625" style="1328" bestFit="1" customWidth="1"/>
    <col min="4356" max="4356" width="17.33203125" style="1328" customWidth="1"/>
    <col min="4357" max="4359" width="14.5" style="1328" bestFit="1" customWidth="1"/>
    <col min="4360" max="4360" width="14.6640625" style="1328" customWidth="1"/>
    <col min="4361" max="4361" width="14.5" style="1328" bestFit="1" customWidth="1"/>
    <col min="4362" max="4362" width="13.5" style="1328" bestFit="1" customWidth="1"/>
    <col min="4363" max="4363" width="14.5" style="1328" bestFit="1" customWidth="1"/>
    <col min="4364" max="4609" width="12.5" style="1328"/>
    <col min="4610" max="4610" width="16.6640625" style="1328" bestFit="1" customWidth="1"/>
    <col min="4611" max="4611" width="41.1640625" style="1328" bestFit="1" customWidth="1"/>
    <col min="4612" max="4612" width="17.33203125" style="1328" customWidth="1"/>
    <col min="4613" max="4615" width="14.5" style="1328" bestFit="1" customWidth="1"/>
    <col min="4616" max="4616" width="14.6640625" style="1328" customWidth="1"/>
    <col min="4617" max="4617" width="14.5" style="1328" bestFit="1" customWidth="1"/>
    <col min="4618" max="4618" width="13.5" style="1328" bestFit="1" customWidth="1"/>
    <col min="4619" max="4619" width="14.5" style="1328" bestFit="1" customWidth="1"/>
    <col min="4620" max="4865" width="12.5" style="1328"/>
    <col min="4866" max="4866" width="16.6640625" style="1328" bestFit="1" customWidth="1"/>
    <col min="4867" max="4867" width="41.1640625" style="1328" bestFit="1" customWidth="1"/>
    <col min="4868" max="4868" width="17.33203125" style="1328" customWidth="1"/>
    <col min="4869" max="4871" width="14.5" style="1328" bestFit="1" customWidth="1"/>
    <col min="4872" max="4872" width="14.6640625" style="1328" customWidth="1"/>
    <col min="4873" max="4873" width="14.5" style="1328" bestFit="1" customWidth="1"/>
    <col min="4874" max="4874" width="13.5" style="1328" bestFit="1" customWidth="1"/>
    <col min="4875" max="4875" width="14.5" style="1328" bestFit="1" customWidth="1"/>
    <col min="4876" max="5121" width="12.5" style="1328"/>
    <col min="5122" max="5122" width="16.6640625" style="1328" bestFit="1" customWidth="1"/>
    <col min="5123" max="5123" width="41.1640625" style="1328" bestFit="1" customWidth="1"/>
    <col min="5124" max="5124" width="17.33203125" style="1328" customWidth="1"/>
    <col min="5125" max="5127" width="14.5" style="1328" bestFit="1" customWidth="1"/>
    <col min="5128" max="5128" width="14.6640625" style="1328" customWidth="1"/>
    <col min="5129" max="5129" width="14.5" style="1328" bestFit="1" customWidth="1"/>
    <col min="5130" max="5130" width="13.5" style="1328" bestFit="1" customWidth="1"/>
    <col min="5131" max="5131" width="14.5" style="1328" bestFit="1" customWidth="1"/>
    <col min="5132" max="5377" width="12.5" style="1328"/>
    <col min="5378" max="5378" width="16.6640625" style="1328" bestFit="1" customWidth="1"/>
    <col min="5379" max="5379" width="41.1640625" style="1328" bestFit="1" customWidth="1"/>
    <col min="5380" max="5380" width="17.33203125" style="1328" customWidth="1"/>
    <col min="5381" max="5383" width="14.5" style="1328" bestFit="1" customWidth="1"/>
    <col min="5384" max="5384" width="14.6640625" style="1328" customWidth="1"/>
    <col min="5385" max="5385" width="14.5" style="1328" bestFit="1" customWidth="1"/>
    <col min="5386" max="5386" width="13.5" style="1328" bestFit="1" customWidth="1"/>
    <col min="5387" max="5387" width="14.5" style="1328" bestFit="1" customWidth="1"/>
    <col min="5388" max="5633" width="12.5" style="1328"/>
    <col min="5634" max="5634" width="16.6640625" style="1328" bestFit="1" customWidth="1"/>
    <col min="5635" max="5635" width="41.1640625" style="1328" bestFit="1" customWidth="1"/>
    <col min="5636" max="5636" width="17.33203125" style="1328" customWidth="1"/>
    <col min="5637" max="5639" width="14.5" style="1328" bestFit="1" customWidth="1"/>
    <col min="5640" max="5640" width="14.6640625" style="1328" customWidth="1"/>
    <col min="5641" max="5641" width="14.5" style="1328" bestFit="1" customWidth="1"/>
    <col min="5642" max="5642" width="13.5" style="1328" bestFit="1" customWidth="1"/>
    <col min="5643" max="5643" width="14.5" style="1328" bestFit="1" customWidth="1"/>
    <col min="5644" max="5889" width="12.5" style="1328"/>
    <col min="5890" max="5890" width="16.6640625" style="1328" bestFit="1" customWidth="1"/>
    <col min="5891" max="5891" width="41.1640625" style="1328" bestFit="1" customWidth="1"/>
    <col min="5892" max="5892" width="17.33203125" style="1328" customWidth="1"/>
    <col min="5893" max="5895" width="14.5" style="1328" bestFit="1" customWidth="1"/>
    <col min="5896" max="5896" width="14.6640625" style="1328" customWidth="1"/>
    <col min="5897" max="5897" width="14.5" style="1328" bestFit="1" customWidth="1"/>
    <col min="5898" max="5898" width="13.5" style="1328" bestFit="1" customWidth="1"/>
    <col min="5899" max="5899" width="14.5" style="1328" bestFit="1" customWidth="1"/>
    <col min="5900" max="6145" width="12.5" style="1328"/>
    <col min="6146" max="6146" width="16.6640625" style="1328" bestFit="1" customWidth="1"/>
    <col min="6147" max="6147" width="41.1640625" style="1328" bestFit="1" customWidth="1"/>
    <col min="6148" max="6148" width="17.33203125" style="1328" customWidth="1"/>
    <col min="6149" max="6151" width="14.5" style="1328" bestFit="1" customWidth="1"/>
    <col min="6152" max="6152" width="14.6640625" style="1328" customWidth="1"/>
    <col min="6153" max="6153" width="14.5" style="1328" bestFit="1" customWidth="1"/>
    <col min="6154" max="6154" width="13.5" style="1328" bestFit="1" customWidth="1"/>
    <col min="6155" max="6155" width="14.5" style="1328" bestFit="1" customWidth="1"/>
    <col min="6156" max="6401" width="12.5" style="1328"/>
    <col min="6402" max="6402" width="16.6640625" style="1328" bestFit="1" customWidth="1"/>
    <col min="6403" max="6403" width="41.1640625" style="1328" bestFit="1" customWidth="1"/>
    <col min="6404" max="6404" width="17.33203125" style="1328" customWidth="1"/>
    <col min="6405" max="6407" width="14.5" style="1328" bestFit="1" customWidth="1"/>
    <col min="6408" max="6408" width="14.6640625" style="1328" customWidth="1"/>
    <col min="6409" max="6409" width="14.5" style="1328" bestFit="1" customWidth="1"/>
    <col min="6410" max="6410" width="13.5" style="1328" bestFit="1" customWidth="1"/>
    <col min="6411" max="6411" width="14.5" style="1328" bestFit="1" customWidth="1"/>
    <col min="6412" max="6657" width="12.5" style="1328"/>
    <col min="6658" max="6658" width="16.6640625" style="1328" bestFit="1" customWidth="1"/>
    <col min="6659" max="6659" width="41.1640625" style="1328" bestFit="1" customWidth="1"/>
    <col min="6660" max="6660" width="17.33203125" style="1328" customWidth="1"/>
    <col min="6661" max="6663" width="14.5" style="1328" bestFit="1" customWidth="1"/>
    <col min="6664" max="6664" width="14.6640625" style="1328" customWidth="1"/>
    <col min="6665" max="6665" width="14.5" style="1328" bestFit="1" customWidth="1"/>
    <col min="6666" max="6666" width="13.5" style="1328" bestFit="1" customWidth="1"/>
    <col min="6667" max="6667" width="14.5" style="1328" bestFit="1" customWidth="1"/>
    <col min="6668" max="6913" width="12.5" style="1328"/>
    <col min="6914" max="6914" width="16.6640625" style="1328" bestFit="1" customWidth="1"/>
    <col min="6915" max="6915" width="41.1640625" style="1328" bestFit="1" customWidth="1"/>
    <col min="6916" max="6916" width="17.33203125" style="1328" customWidth="1"/>
    <col min="6917" max="6919" width="14.5" style="1328" bestFit="1" customWidth="1"/>
    <col min="6920" max="6920" width="14.6640625" style="1328" customWidth="1"/>
    <col min="6921" max="6921" width="14.5" style="1328" bestFit="1" customWidth="1"/>
    <col min="6922" max="6922" width="13.5" style="1328" bestFit="1" customWidth="1"/>
    <col min="6923" max="6923" width="14.5" style="1328" bestFit="1" customWidth="1"/>
    <col min="6924" max="7169" width="12.5" style="1328"/>
    <col min="7170" max="7170" width="16.6640625" style="1328" bestFit="1" customWidth="1"/>
    <col min="7171" max="7171" width="41.1640625" style="1328" bestFit="1" customWidth="1"/>
    <col min="7172" max="7172" width="17.33203125" style="1328" customWidth="1"/>
    <col min="7173" max="7175" width="14.5" style="1328" bestFit="1" customWidth="1"/>
    <col min="7176" max="7176" width="14.6640625" style="1328" customWidth="1"/>
    <col min="7177" max="7177" width="14.5" style="1328" bestFit="1" customWidth="1"/>
    <col min="7178" max="7178" width="13.5" style="1328" bestFit="1" customWidth="1"/>
    <col min="7179" max="7179" width="14.5" style="1328" bestFit="1" customWidth="1"/>
    <col min="7180" max="7425" width="12.5" style="1328"/>
    <col min="7426" max="7426" width="16.6640625" style="1328" bestFit="1" customWidth="1"/>
    <col min="7427" max="7427" width="41.1640625" style="1328" bestFit="1" customWidth="1"/>
    <col min="7428" max="7428" width="17.33203125" style="1328" customWidth="1"/>
    <col min="7429" max="7431" width="14.5" style="1328" bestFit="1" customWidth="1"/>
    <col min="7432" max="7432" width="14.6640625" style="1328" customWidth="1"/>
    <col min="7433" max="7433" width="14.5" style="1328" bestFit="1" customWidth="1"/>
    <col min="7434" max="7434" width="13.5" style="1328" bestFit="1" customWidth="1"/>
    <col min="7435" max="7435" width="14.5" style="1328" bestFit="1" customWidth="1"/>
    <col min="7436" max="7681" width="12.5" style="1328"/>
    <col min="7682" max="7682" width="16.6640625" style="1328" bestFit="1" customWidth="1"/>
    <col min="7683" max="7683" width="41.1640625" style="1328" bestFit="1" customWidth="1"/>
    <col min="7684" max="7684" width="17.33203125" style="1328" customWidth="1"/>
    <col min="7685" max="7687" width="14.5" style="1328" bestFit="1" customWidth="1"/>
    <col min="7688" max="7688" width="14.6640625" style="1328" customWidth="1"/>
    <col min="7689" max="7689" width="14.5" style="1328" bestFit="1" customWidth="1"/>
    <col min="7690" max="7690" width="13.5" style="1328" bestFit="1" customWidth="1"/>
    <col min="7691" max="7691" width="14.5" style="1328" bestFit="1" customWidth="1"/>
    <col min="7692" max="7937" width="12.5" style="1328"/>
    <col min="7938" max="7938" width="16.6640625" style="1328" bestFit="1" customWidth="1"/>
    <col min="7939" max="7939" width="41.1640625" style="1328" bestFit="1" customWidth="1"/>
    <col min="7940" max="7940" width="17.33203125" style="1328" customWidth="1"/>
    <col min="7941" max="7943" width="14.5" style="1328" bestFit="1" customWidth="1"/>
    <col min="7944" max="7944" width="14.6640625" style="1328" customWidth="1"/>
    <col min="7945" max="7945" width="14.5" style="1328" bestFit="1" customWidth="1"/>
    <col min="7946" max="7946" width="13.5" style="1328" bestFit="1" customWidth="1"/>
    <col min="7947" max="7947" width="14.5" style="1328" bestFit="1" customWidth="1"/>
    <col min="7948" max="8193" width="12.5" style="1328"/>
    <col min="8194" max="8194" width="16.6640625" style="1328" bestFit="1" customWidth="1"/>
    <col min="8195" max="8195" width="41.1640625" style="1328" bestFit="1" customWidth="1"/>
    <col min="8196" max="8196" width="17.33203125" style="1328" customWidth="1"/>
    <col min="8197" max="8199" width="14.5" style="1328" bestFit="1" customWidth="1"/>
    <col min="8200" max="8200" width="14.6640625" style="1328" customWidth="1"/>
    <col min="8201" max="8201" width="14.5" style="1328" bestFit="1" customWidth="1"/>
    <col min="8202" max="8202" width="13.5" style="1328" bestFit="1" customWidth="1"/>
    <col min="8203" max="8203" width="14.5" style="1328" bestFit="1" customWidth="1"/>
    <col min="8204" max="8449" width="12.5" style="1328"/>
    <col min="8450" max="8450" width="16.6640625" style="1328" bestFit="1" customWidth="1"/>
    <col min="8451" max="8451" width="41.1640625" style="1328" bestFit="1" customWidth="1"/>
    <col min="8452" max="8452" width="17.33203125" style="1328" customWidth="1"/>
    <col min="8453" max="8455" width="14.5" style="1328" bestFit="1" customWidth="1"/>
    <col min="8456" max="8456" width="14.6640625" style="1328" customWidth="1"/>
    <col min="8457" max="8457" width="14.5" style="1328" bestFit="1" customWidth="1"/>
    <col min="8458" max="8458" width="13.5" style="1328" bestFit="1" customWidth="1"/>
    <col min="8459" max="8459" width="14.5" style="1328" bestFit="1" customWidth="1"/>
    <col min="8460" max="8705" width="12.5" style="1328"/>
    <col min="8706" max="8706" width="16.6640625" style="1328" bestFit="1" customWidth="1"/>
    <col min="8707" max="8707" width="41.1640625" style="1328" bestFit="1" customWidth="1"/>
    <col min="8708" max="8708" width="17.33203125" style="1328" customWidth="1"/>
    <col min="8709" max="8711" width="14.5" style="1328" bestFit="1" customWidth="1"/>
    <col min="8712" max="8712" width="14.6640625" style="1328" customWidth="1"/>
    <col min="8713" max="8713" width="14.5" style="1328" bestFit="1" customWidth="1"/>
    <col min="8714" max="8714" width="13.5" style="1328" bestFit="1" customWidth="1"/>
    <col min="8715" max="8715" width="14.5" style="1328" bestFit="1" customWidth="1"/>
    <col min="8716" max="8961" width="12.5" style="1328"/>
    <col min="8962" max="8962" width="16.6640625" style="1328" bestFit="1" customWidth="1"/>
    <col min="8963" max="8963" width="41.1640625" style="1328" bestFit="1" customWidth="1"/>
    <col min="8964" max="8964" width="17.33203125" style="1328" customWidth="1"/>
    <col min="8965" max="8967" width="14.5" style="1328" bestFit="1" customWidth="1"/>
    <col min="8968" max="8968" width="14.6640625" style="1328" customWidth="1"/>
    <col min="8969" max="8969" width="14.5" style="1328" bestFit="1" customWidth="1"/>
    <col min="8970" max="8970" width="13.5" style="1328" bestFit="1" customWidth="1"/>
    <col min="8971" max="8971" width="14.5" style="1328" bestFit="1" customWidth="1"/>
    <col min="8972" max="9217" width="12.5" style="1328"/>
    <col min="9218" max="9218" width="16.6640625" style="1328" bestFit="1" customWidth="1"/>
    <col min="9219" max="9219" width="41.1640625" style="1328" bestFit="1" customWidth="1"/>
    <col min="9220" max="9220" width="17.33203125" style="1328" customWidth="1"/>
    <col min="9221" max="9223" width="14.5" style="1328" bestFit="1" customWidth="1"/>
    <col min="9224" max="9224" width="14.6640625" style="1328" customWidth="1"/>
    <col min="9225" max="9225" width="14.5" style="1328" bestFit="1" customWidth="1"/>
    <col min="9226" max="9226" width="13.5" style="1328" bestFit="1" customWidth="1"/>
    <col min="9227" max="9227" width="14.5" style="1328" bestFit="1" customWidth="1"/>
    <col min="9228" max="9473" width="12.5" style="1328"/>
    <col min="9474" max="9474" width="16.6640625" style="1328" bestFit="1" customWidth="1"/>
    <col min="9475" max="9475" width="41.1640625" style="1328" bestFit="1" customWidth="1"/>
    <col min="9476" max="9476" width="17.33203125" style="1328" customWidth="1"/>
    <col min="9477" max="9479" width="14.5" style="1328" bestFit="1" customWidth="1"/>
    <col min="9480" max="9480" width="14.6640625" style="1328" customWidth="1"/>
    <col min="9481" max="9481" width="14.5" style="1328" bestFit="1" customWidth="1"/>
    <col min="9482" max="9482" width="13.5" style="1328" bestFit="1" customWidth="1"/>
    <col min="9483" max="9483" width="14.5" style="1328" bestFit="1" customWidth="1"/>
    <col min="9484" max="9729" width="12.5" style="1328"/>
    <col min="9730" max="9730" width="16.6640625" style="1328" bestFit="1" customWidth="1"/>
    <col min="9731" max="9731" width="41.1640625" style="1328" bestFit="1" customWidth="1"/>
    <col min="9732" max="9732" width="17.33203125" style="1328" customWidth="1"/>
    <col min="9733" max="9735" width="14.5" style="1328" bestFit="1" customWidth="1"/>
    <col min="9736" max="9736" width="14.6640625" style="1328" customWidth="1"/>
    <col min="9737" max="9737" width="14.5" style="1328" bestFit="1" customWidth="1"/>
    <col min="9738" max="9738" width="13.5" style="1328" bestFit="1" customWidth="1"/>
    <col min="9739" max="9739" width="14.5" style="1328" bestFit="1" customWidth="1"/>
    <col min="9740" max="9985" width="12.5" style="1328"/>
    <col min="9986" max="9986" width="16.6640625" style="1328" bestFit="1" customWidth="1"/>
    <col min="9987" max="9987" width="41.1640625" style="1328" bestFit="1" customWidth="1"/>
    <col min="9988" max="9988" width="17.33203125" style="1328" customWidth="1"/>
    <col min="9989" max="9991" width="14.5" style="1328" bestFit="1" customWidth="1"/>
    <col min="9992" max="9992" width="14.6640625" style="1328" customWidth="1"/>
    <col min="9993" max="9993" width="14.5" style="1328" bestFit="1" customWidth="1"/>
    <col min="9994" max="9994" width="13.5" style="1328" bestFit="1" customWidth="1"/>
    <col min="9995" max="9995" width="14.5" style="1328" bestFit="1" customWidth="1"/>
    <col min="9996" max="10241" width="12.5" style="1328"/>
    <col min="10242" max="10242" width="16.6640625" style="1328" bestFit="1" customWidth="1"/>
    <col min="10243" max="10243" width="41.1640625" style="1328" bestFit="1" customWidth="1"/>
    <col min="10244" max="10244" width="17.33203125" style="1328" customWidth="1"/>
    <col min="10245" max="10247" width="14.5" style="1328" bestFit="1" customWidth="1"/>
    <col min="10248" max="10248" width="14.6640625" style="1328" customWidth="1"/>
    <col min="10249" max="10249" width="14.5" style="1328" bestFit="1" customWidth="1"/>
    <col min="10250" max="10250" width="13.5" style="1328" bestFit="1" customWidth="1"/>
    <col min="10251" max="10251" width="14.5" style="1328" bestFit="1" customWidth="1"/>
    <col min="10252" max="10497" width="12.5" style="1328"/>
    <col min="10498" max="10498" width="16.6640625" style="1328" bestFit="1" customWidth="1"/>
    <col min="10499" max="10499" width="41.1640625" style="1328" bestFit="1" customWidth="1"/>
    <col min="10500" max="10500" width="17.33203125" style="1328" customWidth="1"/>
    <col min="10501" max="10503" width="14.5" style="1328" bestFit="1" customWidth="1"/>
    <col min="10504" max="10504" width="14.6640625" style="1328" customWidth="1"/>
    <col min="10505" max="10505" width="14.5" style="1328" bestFit="1" customWidth="1"/>
    <col min="10506" max="10506" width="13.5" style="1328" bestFit="1" customWidth="1"/>
    <col min="10507" max="10507" width="14.5" style="1328" bestFit="1" customWidth="1"/>
    <col min="10508" max="10753" width="12.5" style="1328"/>
    <col min="10754" max="10754" width="16.6640625" style="1328" bestFit="1" customWidth="1"/>
    <col min="10755" max="10755" width="41.1640625" style="1328" bestFit="1" customWidth="1"/>
    <col min="10756" max="10756" width="17.33203125" style="1328" customWidth="1"/>
    <col min="10757" max="10759" width="14.5" style="1328" bestFit="1" customWidth="1"/>
    <col min="10760" max="10760" width="14.6640625" style="1328" customWidth="1"/>
    <col min="10761" max="10761" width="14.5" style="1328" bestFit="1" customWidth="1"/>
    <col min="10762" max="10762" width="13.5" style="1328" bestFit="1" customWidth="1"/>
    <col min="10763" max="10763" width="14.5" style="1328" bestFit="1" customWidth="1"/>
    <col min="10764" max="11009" width="12.5" style="1328"/>
    <col min="11010" max="11010" width="16.6640625" style="1328" bestFit="1" customWidth="1"/>
    <col min="11011" max="11011" width="41.1640625" style="1328" bestFit="1" customWidth="1"/>
    <col min="11012" max="11012" width="17.33203125" style="1328" customWidth="1"/>
    <col min="11013" max="11015" width="14.5" style="1328" bestFit="1" customWidth="1"/>
    <col min="11016" max="11016" width="14.6640625" style="1328" customWidth="1"/>
    <col min="11017" max="11017" width="14.5" style="1328" bestFit="1" customWidth="1"/>
    <col min="11018" max="11018" width="13.5" style="1328" bestFit="1" customWidth="1"/>
    <col min="11019" max="11019" width="14.5" style="1328" bestFit="1" customWidth="1"/>
    <col min="11020" max="11265" width="12.5" style="1328"/>
    <col min="11266" max="11266" width="16.6640625" style="1328" bestFit="1" customWidth="1"/>
    <col min="11267" max="11267" width="41.1640625" style="1328" bestFit="1" customWidth="1"/>
    <col min="11268" max="11268" width="17.33203125" style="1328" customWidth="1"/>
    <col min="11269" max="11271" width="14.5" style="1328" bestFit="1" customWidth="1"/>
    <col min="11272" max="11272" width="14.6640625" style="1328" customWidth="1"/>
    <col min="11273" max="11273" width="14.5" style="1328" bestFit="1" customWidth="1"/>
    <col min="11274" max="11274" width="13.5" style="1328" bestFit="1" customWidth="1"/>
    <col min="11275" max="11275" width="14.5" style="1328" bestFit="1" customWidth="1"/>
    <col min="11276" max="11521" width="12.5" style="1328"/>
    <col min="11522" max="11522" width="16.6640625" style="1328" bestFit="1" customWidth="1"/>
    <col min="11523" max="11523" width="41.1640625" style="1328" bestFit="1" customWidth="1"/>
    <col min="11524" max="11524" width="17.33203125" style="1328" customWidth="1"/>
    <col min="11525" max="11527" width="14.5" style="1328" bestFit="1" customWidth="1"/>
    <col min="11528" max="11528" width="14.6640625" style="1328" customWidth="1"/>
    <col min="11529" max="11529" width="14.5" style="1328" bestFit="1" customWidth="1"/>
    <col min="11530" max="11530" width="13.5" style="1328" bestFit="1" customWidth="1"/>
    <col min="11531" max="11531" width="14.5" style="1328" bestFit="1" customWidth="1"/>
    <col min="11532" max="11777" width="12.5" style="1328"/>
    <col min="11778" max="11778" width="16.6640625" style="1328" bestFit="1" customWidth="1"/>
    <col min="11779" max="11779" width="41.1640625" style="1328" bestFit="1" customWidth="1"/>
    <col min="11780" max="11780" width="17.33203125" style="1328" customWidth="1"/>
    <col min="11781" max="11783" width="14.5" style="1328" bestFit="1" customWidth="1"/>
    <col min="11784" max="11784" width="14.6640625" style="1328" customWidth="1"/>
    <col min="11785" max="11785" width="14.5" style="1328" bestFit="1" customWidth="1"/>
    <col min="11786" max="11786" width="13.5" style="1328" bestFit="1" customWidth="1"/>
    <col min="11787" max="11787" width="14.5" style="1328" bestFit="1" customWidth="1"/>
    <col min="11788" max="12033" width="12.5" style="1328"/>
    <col min="12034" max="12034" width="16.6640625" style="1328" bestFit="1" customWidth="1"/>
    <col min="12035" max="12035" width="41.1640625" style="1328" bestFit="1" customWidth="1"/>
    <col min="12036" max="12036" width="17.33203125" style="1328" customWidth="1"/>
    <col min="12037" max="12039" width="14.5" style="1328" bestFit="1" customWidth="1"/>
    <col min="12040" max="12040" width="14.6640625" style="1328" customWidth="1"/>
    <col min="12041" max="12041" width="14.5" style="1328" bestFit="1" customWidth="1"/>
    <col min="12042" max="12042" width="13.5" style="1328" bestFit="1" customWidth="1"/>
    <col min="12043" max="12043" width="14.5" style="1328" bestFit="1" customWidth="1"/>
    <col min="12044" max="12289" width="12.5" style="1328"/>
    <col min="12290" max="12290" width="16.6640625" style="1328" bestFit="1" customWidth="1"/>
    <col min="12291" max="12291" width="41.1640625" style="1328" bestFit="1" customWidth="1"/>
    <col min="12292" max="12292" width="17.33203125" style="1328" customWidth="1"/>
    <col min="12293" max="12295" width="14.5" style="1328" bestFit="1" customWidth="1"/>
    <col min="12296" max="12296" width="14.6640625" style="1328" customWidth="1"/>
    <col min="12297" max="12297" width="14.5" style="1328" bestFit="1" customWidth="1"/>
    <col min="12298" max="12298" width="13.5" style="1328" bestFit="1" customWidth="1"/>
    <col min="12299" max="12299" width="14.5" style="1328" bestFit="1" customWidth="1"/>
    <col min="12300" max="12545" width="12.5" style="1328"/>
    <col min="12546" max="12546" width="16.6640625" style="1328" bestFit="1" customWidth="1"/>
    <col min="12547" max="12547" width="41.1640625" style="1328" bestFit="1" customWidth="1"/>
    <col min="12548" max="12548" width="17.33203125" style="1328" customWidth="1"/>
    <col min="12549" max="12551" width="14.5" style="1328" bestFit="1" customWidth="1"/>
    <col min="12552" max="12552" width="14.6640625" style="1328" customWidth="1"/>
    <col min="12553" max="12553" width="14.5" style="1328" bestFit="1" customWidth="1"/>
    <col min="12554" max="12554" width="13.5" style="1328" bestFit="1" customWidth="1"/>
    <col min="12555" max="12555" width="14.5" style="1328" bestFit="1" customWidth="1"/>
    <col min="12556" max="12801" width="12.5" style="1328"/>
    <col min="12802" max="12802" width="16.6640625" style="1328" bestFit="1" customWidth="1"/>
    <col min="12803" max="12803" width="41.1640625" style="1328" bestFit="1" customWidth="1"/>
    <col min="12804" max="12804" width="17.33203125" style="1328" customWidth="1"/>
    <col min="12805" max="12807" width="14.5" style="1328" bestFit="1" customWidth="1"/>
    <col min="12808" max="12808" width="14.6640625" style="1328" customWidth="1"/>
    <col min="12809" max="12809" width="14.5" style="1328" bestFit="1" customWidth="1"/>
    <col min="12810" max="12810" width="13.5" style="1328" bestFit="1" customWidth="1"/>
    <col min="12811" max="12811" width="14.5" style="1328" bestFit="1" customWidth="1"/>
    <col min="12812" max="13057" width="12.5" style="1328"/>
    <col min="13058" max="13058" width="16.6640625" style="1328" bestFit="1" customWidth="1"/>
    <col min="13059" max="13059" width="41.1640625" style="1328" bestFit="1" customWidth="1"/>
    <col min="13060" max="13060" width="17.33203125" style="1328" customWidth="1"/>
    <col min="13061" max="13063" width="14.5" style="1328" bestFit="1" customWidth="1"/>
    <col min="13064" max="13064" width="14.6640625" style="1328" customWidth="1"/>
    <col min="13065" max="13065" width="14.5" style="1328" bestFit="1" customWidth="1"/>
    <col min="13066" max="13066" width="13.5" style="1328" bestFit="1" customWidth="1"/>
    <col min="13067" max="13067" width="14.5" style="1328" bestFit="1" customWidth="1"/>
    <col min="13068" max="13313" width="12.5" style="1328"/>
    <col min="13314" max="13314" width="16.6640625" style="1328" bestFit="1" customWidth="1"/>
    <col min="13315" max="13315" width="41.1640625" style="1328" bestFit="1" customWidth="1"/>
    <col min="13316" max="13316" width="17.33203125" style="1328" customWidth="1"/>
    <col min="13317" max="13319" width="14.5" style="1328" bestFit="1" customWidth="1"/>
    <col min="13320" max="13320" width="14.6640625" style="1328" customWidth="1"/>
    <col min="13321" max="13321" width="14.5" style="1328" bestFit="1" customWidth="1"/>
    <col min="13322" max="13322" width="13.5" style="1328" bestFit="1" customWidth="1"/>
    <col min="13323" max="13323" width="14.5" style="1328" bestFit="1" customWidth="1"/>
    <col min="13324" max="13569" width="12.5" style="1328"/>
    <col min="13570" max="13570" width="16.6640625" style="1328" bestFit="1" customWidth="1"/>
    <col min="13571" max="13571" width="41.1640625" style="1328" bestFit="1" customWidth="1"/>
    <col min="13572" max="13572" width="17.33203125" style="1328" customWidth="1"/>
    <col min="13573" max="13575" width="14.5" style="1328" bestFit="1" customWidth="1"/>
    <col min="13576" max="13576" width="14.6640625" style="1328" customWidth="1"/>
    <col min="13577" max="13577" width="14.5" style="1328" bestFit="1" customWidth="1"/>
    <col min="13578" max="13578" width="13.5" style="1328" bestFit="1" customWidth="1"/>
    <col min="13579" max="13579" width="14.5" style="1328" bestFit="1" customWidth="1"/>
    <col min="13580" max="13825" width="12.5" style="1328"/>
    <col min="13826" max="13826" width="16.6640625" style="1328" bestFit="1" customWidth="1"/>
    <col min="13827" max="13827" width="41.1640625" style="1328" bestFit="1" customWidth="1"/>
    <col min="13828" max="13828" width="17.33203125" style="1328" customWidth="1"/>
    <col min="13829" max="13831" width="14.5" style="1328" bestFit="1" customWidth="1"/>
    <col min="13832" max="13832" width="14.6640625" style="1328" customWidth="1"/>
    <col min="13833" max="13833" width="14.5" style="1328" bestFit="1" customWidth="1"/>
    <col min="13834" max="13834" width="13.5" style="1328" bestFit="1" customWidth="1"/>
    <col min="13835" max="13835" width="14.5" style="1328" bestFit="1" customWidth="1"/>
    <col min="13836" max="14081" width="12.5" style="1328"/>
    <col min="14082" max="14082" width="16.6640625" style="1328" bestFit="1" customWidth="1"/>
    <col min="14083" max="14083" width="41.1640625" style="1328" bestFit="1" customWidth="1"/>
    <col min="14084" max="14084" width="17.33203125" style="1328" customWidth="1"/>
    <col min="14085" max="14087" width="14.5" style="1328" bestFit="1" customWidth="1"/>
    <col min="14088" max="14088" width="14.6640625" style="1328" customWidth="1"/>
    <col min="14089" max="14089" width="14.5" style="1328" bestFit="1" customWidth="1"/>
    <col min="14090" max="14090" width="13.5" style="1328" bestFit="1" customWidth="1"/>
    <col min="14091" max="14091" width="14.5" style="1328" bestFit="1" customWidth="1"/>
    <col min="14092" max="14337" width="12.5" style="1328"/>
    <col min="14338" max="14338" width="16.6640625" style="1328" bestFit="1" customWidth="1"/>
    <col min="14339" max="14339" width="41.1640625" style="1328" bestFit="1" customWidth="1"/>
    <col min="14340" max="14340" width="17.33203125" style="1328" customWidth="1"/>
    <col min="14341" max="14343" width="14.5" style="1328" bestFit="1" customWidth="1"/>
    <col min="14344" max="14344" width="14.6640625" style="1328" customWidth="1"/>
    <col min="14345" max="14345" width="14.5" style="1328" bestFit="1" customWidth="1"/>
    <col min="14346" max="14346" width="13.5" style="1328" bestFit="1" customWidth="1"/>
    <col min="14347" max="14347" width="14.5" style="1328" bestFit="1" customWidth="1"/>
    <col min="14348" max="14593" width="12.5" style="1328"/>
    <col min="14594" max="14594" width="16.6640625" style="1328" bestFit="1" customWidth="1"/>
    <col min="14595" max="14595" width="41.1640625" style="1328" bestFit="1" customWidth="1"/>
    <col min="14596" max="14596" width="17.33203125" style="1328" customWidth="1"/>
    <col min="14597" max="14599" width="14.5" style="1328" bestFit="1" customWidth="1"/>
    <col min="14600" max="14600" width="14.6640625" style="1328" customWidth="1"/>
    <col min="14601" max="14601" width="14.5" style="1328" bestFit="1" customWidth="1"/>
    <col min="14602" max="14602" width="13.5" style="1328" bestFit="1" customWidth="1"/>
    <col min="14603" max="14603" width="14.5" style="1328" bestFit="1" customWidth="1"/>
    <col min="14604" max="14849" width="12.5" style="1328"/>
    <col min="14850" max="14850" width="16.6640625" style="1328" bestFit="1" customWidth="1"/>
    <col min="14851" max="14851" width="41.1640625" style="1328" bestFit="1" customWidth="1"/>
    <col min="14852" max="14852" width="17.33203125" style="1328" customWidth="1"/>
    <col min="14853" max="14855" width="14.5" style="1328" bestFit="1" customWidth="1"/>
    <col min="14856" max="14856" width="14.6640625" style="1328" customWidth="1"/>
    <col min="14857" max="14857" width="14.5" style="1328" bestFit="1" customWidth="1"/>
    <col min="14858" max="14858" width="13.5" style="1328" bestFit="1" customWidth="1"/>
    <col min="14859" max="14859" width="14.5" style="1328" bestFit="1" customWidth="1"/>
    <col min="14860" max="15105" width="12.5" style="1328"/>
    <col min="15106" max="15106" width="16.6640625" style="1328" bestFit="1" customWidth="1"/>
    <col min="15107" max="15107" width="41.1640625" style="1328" bestFit="1" customWidth="1"/>
    <col min="15108" max="15108" width="17.33203125" style="1328" customWidth="1"/>
    <col min="15109" max="15111" width="14.5" style="1328" bestFit="1" customWidth="1"/>
    <col min="15112" max="15112" width="14.6640625" style="1328" customWidth="1"/>
    <col min="15113" max="15113" width="14.5" style="1328" bestFit="1" customWidth="1"/>
    <col min="15114" max="15114" width="13.5" style="1328" bestFit="1" customWidth="1"/>
    <col min="15115" max="15115" width="14.5" style="1328" bestFit="1" customWidth="1"/>
    <col min="15116" max="15361" width="12.5" style="1328"/>
    <col min="15362" max="15362" width="16.6640625" style="1328" bestFit="1" customWidth="1"/>
    <col min="15363" max="15363" width="41.1640625" style="1328" bestFit="1" customWidth="1"/>
    <col min="15364" max="15364" width="17.33203125" style="1328" customWidth="1"/>
    <col min="15365" max="15367" width="14.5" style="1328" bestFit="1" customWidth="1"/>
    <col min="15368" max="15368" width="14.6640625" style="1328" customWidth="1"/>
    <col min="15369" max="15369" width="14.5" style="1328" bestFit="1" customWidth="1"/>
    <col min="15370" max="15370" width="13.5" style="1328" bestFit="1" customWidth="1"/>
    <col min="15371" max="15371" width="14.5" style="1328" bestFit="1" customWidth="1"/>
    <col min="15372" max="15617" width="12.5" style="1328"/>
    <col min="15618" max="15618" width="16.6640625" style="1328" bestFit="1" customWidth="1"/>
    <col min="15619" max="15619" width="41.1640625" style="1328" bestFit="1" customWidth="1"/>
    <col min="15620" max="15620" width="17.33203125" style="1328" customWidth="1"/>
    <col min="15621" max="15623" width="14.5" style="1328" bestFit="1" customWidth="1"/>
    <col min="15624" max="15624" width="14.6640625" style="1328" customWidth="1"/>
    <col min="15625" max="15625" width="14.5" style="1328" bestFit="1" customWidth="1"/>
    <col min="15626" max="15626" width="13.5" style="1328" bestFit="1" customWidth="1"/>
    <col min="15627" max="15627" width="14.5" style="1328" bestFit="1" customWidth="1"/>
    <col min="15628" max="15873" width="12.5" style="1328"/>
    <col min="15874" max="15874" width="16.6640625" style="1328" bestFit="1" customWidth="1"/>
    <col min="15875" max="15875" width="41.1640625" style="1328" bestFit="1" customWidth="1"/>
    <col min="15876" max="15876" width="17.33203125" style="1328" customWidth="1"/>
    <col min="15877" max="15879" width="14.5" style="1328" bestFit="1" customWidth="1"/>
    <col min="15880" max="15880" width="14.6640625" style="1328" customWidth="1"/>
    <col min="15881" max="15881" width="14.5" style="1328" bestFit="1" customWidth="1"/>
    <col min="15882" max="15882" width="13.5" style="1328" bestFit="1" customWidth="1"/>
    <col min="15883" max="15883" width="14.5" style="1328" bestFit="1" customWidth="1"/>
    <col min="15884" max="16129" width="12.5" style="1328"/>
    <col min="16130" max="16130" width="16.6640625" style="1328" bestFit="1" customWidth="1"/>
    <col min="16131" max="16131" width="41.1640625" style="1328" bestFit="1" customWidth="1"/>
    <col min="16132" max="16132" width="17.33203125" style="1328" customWidth="1"/>
    <col min="16133" max="16135" width="14.5" style="1328" bestFit="1" customWidth="1"/>
    <col min="16136" max="16136" width="14.6640625" style="1328" customWidth="1"/>
    <col min="16137" max="16137" width="14.5" style="1328" bestFit="1" customWidth="1"/>
    <col min="16138" max="16138" width="13.5" style="1328" bestFit="1" customWidth="1"/>
    <col min="16139" max="16139" width="14.5" style="1328" bestFit="1" customWidth="1"/>
    <col min="16140" max="16384" width="12.5" style="1328"/>
  </cols>
  <sheetData>
    <row r="2" spans="2:10">
      <c r="B2" s="1327" t="s">
        <v>815</v>
      </c>
      <c r="D2" s="1328">
        <v>2007</v>
      </c>
      <c r="E2" s="1328">
        <v>2010</v>
      </c>
      <c r="F2" s="1328">
        <v>2020</v>
      </c>
      <c r="G2" s="1328">
        <v>2030</v>
      </c>
      <c r="H2" s="1328">
        <v>2050</v>
      </c>
      <c r="I2" s="1328">
        <v>2060</v>
      </c>
      <c r="J2" s="1328">
        <v>2070</v>
      </c>
    </row>
    <row r="3" spans="2:10">
      <c r="B3" s="1329" t="s">
        <v>2075</v>
      </c>
      <c r="C3" s="1330" t="s">
        <v>2076</v>
      </c>
      <c r="D3" s="1331">
        <v>0.46</v>
      </c>
      <c r="E3" s="1331">
        <v>0.47</v>
      </c>
      <c r="F3" s="1331">
        <v>0.3</v>
      </c>
      <c r="G3" s="1331">
        <v>0.15</v>
      </c>
      <c r="H3" s="1331">
        <v>0</v>
      </c>
      <c r="I3" s="1331">
        <v>0</v>
      </c>
      <c r="J3" s="1331">
        <v>0</v>
      </c>
    </row>
    <row r="4" spans="2:10">
      <c r="B4" s="1329" t="s">
        <v>2077</v>
      </c>
      <c r="C4" s="1330" t="s">
        <v>2078</v>
      </c>
      <c r="D4" s="1331">
        <v>0.34</v>
      </c>
      <c r="E4" s="1331">
        <f t="shared" ref="E4:J4" si="0">1-(E3+E5)</f>
        <v>0.34000000000000008</v>
      </c>
      <c r="F4" s="1331">
        <f t="shared" si="0"/>
        <v>0.44999999999999996</v>
      </c>
      <c r="G4" s="1331">
        <f t="shared" si="0"/>
        <v>0.52</v>
      </c>
      <c r="H4" s="1331">
        <f t="shared" si="0"/>
        <v>0.59000000000000008</v>
      </c>
      <c r="I4" s="1331">
        <f t="shared" si="0"/>
        <v>0.6</v>
      </c>
      <c r="J4" s="1331">
        <f t="shared" si="0"/>
        <v>0.6</v>
      </c>
    </row>
    <row r="5" spans="2:10">
      <c r="B5" s="1329" t="s">
        <v>2079</v>
      </c>
      <c r="C5" s="1330" t="s">
        <v>2080</v>
      </c>
      <c r="D5" s="1331">
        <f>1-D4-D3</f>
        <v>0.1999999999999999</v>
      </c>
      <c r="E5" s="1331">
        <v>0.19</v>
      </c>
      <c r="F5" s="1331">
        <v>0.25</v>
      </c>
      <c r="G5" s="1331">
        <v>0.33</v>
      </c>
      <c r="H5" s="1331">
        <v>0.41</v>
      </c>
      <c r="I5" s="1331">
        <v>0.4</v>
      </c>
      <c r="J5" s="1331">
        <v>0.4</v>
      </c>
    </row>
    <row r="6" spans="2:10">
      <c r="B6" s="1332"/>
      <c r="C6" s="1330"/>
      <c r="D6" s="1333">
        <f t="shared" ref="D6:J6" si="1">SUM(D3:D5)</f>
        <v>1</v>
      </c>
      <c r="E6" s="1333">
        <f t="shared" si="1"/>
        <v>1</v>
      </c>
      <c r="F6" s="1333">
        <f t="shared" si="1"/>
        <v>1</v>
      </c>
      <c r="G6" s="1333">
        <f t="shared" si="1"/>
        <v>1</v>
      </c>
      <c r="H6" s="1333">
        <f t="shared" si="1"/>
        <v>1</v>
      </c>
      <c r="I6" s="1333">
        <f t="shared" si="1"/>
        <v>1</v>
      </c>
      <c r="J6" s="1333">
        <f t="shared" si="1"/>
        <v>1</v>
      </c>
    </row>
    <row r="7" spans="2:10">
      <c r="B7" s="1332" t="s">
        <v>2081</v>
      </c>
      <c r="C7" s="1330"/>
      <c r="D7" s="1334">
        <v>12.5</v>
      </c>
      <c r="E7" s="1334">
        <v>12.91</v>
      </c>
      <c r="F7" s="1334">
        <v>14.25</v>
      </c>
      <c r="G7" s="1334">
        <v>15.3</v>
      </c>
      <c r="H7" s="1334">
        <v>16.559999999999999</v>
      </c>
      <c r="I7" s="1334">
        <v>16.86</v>
      </c>
      <c r="J7" s="1334">
        <v>16.93</v>
      </c>
    </row>
    <row r="8" spans="2:10">
      <c r="B8" s="1329" t="s">
        <v>2082</v>
      </c>
      <c r="C8" s="1330" t="s">
        <v>2083</v>
      </c>
      <c r="D8" s="1334">
        <f>D3*$D$7</f>
        <v>5.75</v>
      </c>
      <c r="E8" s="1334">
        <f t="shared" ref="E8:J8" si="2">E3*E7</f>
        <v>6.0676999999999994</v>
      </c>
      <c r="F8" s="1334">
        <f t="shared" si="2"/>
        <v>4.2749999999999995</v>
      </c>
      <c r="G8" s="1334">
        <f t="shared" si="2"/>
        <v>2.2949999999999999</v>
      </c>
      <c r="H8" s="1334">
        <f t="shared" si="2"/>
        <v>0</v>
      </c>
      <c r="I8" s="1334">
        <f t="shared" si="2"/>
        <v>0</v>
      </c>
      <c r="J8" s="1334">
        <f t="shared" si="2"/>
        <v>0</v>
      </c>
    </row>
    <row r="9" spans="2:10">
      <c r="B9" s="1329" t="s">
        <v>2084</v>
      </c>
      <c r="C9" s="1330" t="s">
        <v>2085</v>
      </c>
      <c r="D9" s="1334">
        <f>D4*$D$7</f>
        <v>4.25</v>
      </c>
      <c r="E9" s="1334">
        <f t="shared" ref="E9:J9" si="3">E4*E7</f>
        <v>4.3894000000000011</v>
      </c>
      <c r="F9" s="1334">
        <f t="shared" si="3"/>
        <v>6.4124999999999996</v>
      </c>
      <c r="G9" s="1334">
        <f t="shared" si="3"/>
        <v>7.9560000000000004</v>
      </c>
      <c r="H9" s="1334">
        <f t="shared" si="3"/>
        <v>9.7704000000000004</v>
      </c>
      <c r="I9" s="1334">
        <f t="shared" si="3"/>
        <v>10.116</v>
      </c>
      <c r="J9" s="1334">
        <f t="shared" si="3"/>
        <v>10.157999999999999</v>
      </c>
    </row>
    <row r="10" spans="2:10">
      <c r="B10" s="1329" t="s">
        <v>2086</v>
      </c>
      <c r="C10" s="1330" t="s">
        <v>2087</v>
      </c>
      <c r="D10" s="1334">
        <f>D5*$D$7</f>
        <v>2.4999999999999987</v>
      </c>
      <c r="E10" s="1334">
        <f t="shared" ref="E10:J10" si="4">E5*E7</f>
        <v>2.4529000000000001</v>
      </c>
      <c r="F10" s="1334">
        <f t="shared" si="4"/>
        <v>3.5625</v>
      </c>
      <c r="G10" s="1334">
        <f t="shared" si="4"/>
        <v>5.0490000000000004</v>
      </c>
      <c r="H10" s="1334">
        <f t="shared" si="4"/>
        <v>6.7895999999999992</v>
      </c>
      <c r="I10" s="1334">
        <f t="shared" si="4"/>
        <v>6.7439999999999998</v>
      </c>
      <c r="J10" s="1334">
        <f t="shared" si="4"/>
        <v>6.7720000000000002</v>
      </c>
    </row>
    <row r="11" spans="2:10">
      <c r="B11" s="1329"/>
      <c r="C11" s="1330" t="s">
        <v>2088</v>
      </c>
      <c r="D11" s="1335">
        <v>8496</v>
      </c>
      <c r="E11" s="1335">
        <v>9299.6470818295493</v>
      </c>
      <c r="F11" s="1335">
        <v>12957.424395869239</v>
      </c>
      <c r="G11" s="1335">
        <v>17927.589474359338</v>
      </c>
      <c r="H11" s="1335">
        <v>34318.502506665762</v>
      </c>
      <c r="I11" s="1335">
        <v>47482.277767363521</v>
      </c>
      <c r="J11" s="1335">
        <v>65695.369474211606</v>
      </c>
    </row>
    <row r="12" spans="2:10">
      <c r="B12" s="1329"/>
      <c r="C12" s="1330" t="s">
        <v>2089</v>
      </c>
      <c r="D12" s="1336"/>
      <c r="E12" s="1337">
        <f t="shared" ref="E12:J12" si="5">(E11/D11)^(1/(E$2-D$2))-1</f>
        <v>3.0585405437756119E-2</v>
      </c>
      <c r="F12" s="1337">
        <f t="shared" si="5"/>
        <v>3.3725480927597751E-2</v>
      </c>
      <c r="G12" s="1337">
        <f t="shared" si="5"/>
        <v>3.2999999999999918E-2</v>
      </c>
      <c r="H12" s="1337">
        <f t="shared" si="5"/>
        <v>3.2999999999999918E-2</v>
      </c>
      <c r="I12" s="1337">
        <f t="shared" si="5"/>
        <v>3.2999999999999918E-2</v>
      </c>
      <c r="J12" s="1337">
        <f t="shared" si="5"/>
        <v>3.2999999999999918E-2</v>
      </c>
    </row>
    <row r="13" spans="2:10">
      <c r="B13" s="1329"/>
      <c r="C13" s="1330" t="s">
        <v>2090</v>
      </c>
      <c r="D13" s="1335">
        <v>39743.5</v>
      </c>
      <c r="E13" s="1335">
        <v>43502.886510910153</v>
      </c>
      <c r="F13" s="1335">
        <v>48000</v>
      </c>
      <c r="G13" s="1335">
        <v>55000</v>
      </c>
      <c r="H13" s="1335">
        <v>54781.046043640599</v>
      </c>
      <c r="I13" s="1335">
        <v>58540.432554550804</v>
      </c>
      <c r="J13" s="1335">
        <v>62299.819065460899</v>
      </c>
    </row>
    <row r="14" spans="2:10">
      <c r="B14" s="1329"/>
      <c r="C14" s="1330" t="s">
        <v>2091</v>
      </c>
      <c r="D14" s="1336"/>
      <c r="E14" s="1337">
        <f t="shared" ref="E14:J14" si="6">(E13/D13)^(1/(E$2-D$2))-1</f>
        <v>3.0585405437756119E-2</v>
      </c>
      <c r="F14" s="1337">
        <f t="shared" si="6"/>
        <v>9.8859178443777562E-3</v>
      </c>
      <c r="G14" s="1337">
        <f t="shared" si="6"/>
        <v>1.370629917797217E-2</v>
      </c>
      <c r="H14" s="1337">
        <f t="shared" si="6"/>
        <v>-1.9942642306380876E-4</v>
      </c>
      <c r="I14" s="1337">
        <f t="shared" si="6"/>
        <v>6.6594170904570316E-3</v>
      </c>
      <c r="J14" s="1337">
        <f t="shared" si="6"/>
        <v>6.243494992887344E-3</v>
      </c>
    </row>
    <row r="15" spans="2:10">
      <c r="B15" s="1329"/>
      <c r="C15" s="1330" t="s">
        <v>2092</v>
      </c>
      <c r="D15" s="1335">
        <v>311071.505</v>
      </c>
      <c r="E15" s="1335">
        <v>340496.14097382012</v>
      </c>
      <c r="F15" s="1335">
        <v>485000</v>
      </c>
      <c r="G15" s="1335">
        <v>680000</v>
      </c>
      <c r="H15" s="1335">
        <v>1256533.4538717971</v>
      </c>
      <c r="I15" s="1335">
        <v>1650000</v>
      </c>
      <c r="J15" s="1335">
        <v>1820000</v>
      </c>
    </row>
    <row r="16" spans="2:10">
      <c r="B16" s="1329"/>
      <c r="C16" s="1330" t="s">
        <v>2093</v>
      </c>
      <c r="D16" s="1336"/>
      <c r="E16" s="1337">
        <f t="shared" ref="E16:J16" si="7">(E15/D15)^(1/(E$2-D$2))-1</f>
        <v>3.0585405437756119E-2</v>
      </c>
      <c r="F16" s="1337">
        <f t="shared" si="7"/>
        <v>3.6007631250668748E-2</v>
      </c>
      <c r="G16" s="1337">
        <f t="shared" si="7"/>
        <v>3.4371908402533125E-2</v>
      </c>
      <c r="H16" s="1337">
        <f t="shared" si="7"/>
        <v>3.1177093706183268E-2</v>
      </c>
      <c r="I16" s="1337">
        <f t="shared" si="7"/>
        <v>2.7616310513167264E-2</v>
      </c>
      <c r="J16" s="1337">
        <f t="shared" si="7"/>
        <v>9.8543588707700192E-3</v>
      </c>
    </row>
    <row r="17" spans="1:53">
      <c r="B17" s="1329"/>
      <c r="C17" s="1330" t="s">
        <v>2094</v>
      </c>
      <c r="D17" s="1335">
        <f>((D8*D11)+(D9*D13)+(D10*D15))/D7</f>
        <v>79635.250999999975</v>
      </c>
      <c r="E17" s="1335">
        <f t="shared" ref="E17:J17" si="8">((E8*E11)+(E9*E13)+(E10*E15))/E7</f>
        <v>83856.082327195167</v>
      </c>
      <c r="F17" s="1335">
        <f t="shared" si="8"/>
        <v>146737.22731876076</v>
      </c>
      <c r="G17" s="1335">
        <f t="shared" si="8"/>
        <v>255689.13842115391</v>
      </c>
      <c r="H17" s="1335">
        <f t="shared" si="8"/>
        <v>547499.53325318475</v>
      </c>
      <c r="I17" s="1335">
        <f>((I8*I11)+(I9*I13)+(I10*I15))/I7</f>
        <v>695124.25953273044</v>
      </c>
      <c r="J17" s="1335">
        <f t="shared" si="8"/>
        <v>765379.89143927651</v>
      </c>
    </row>
    <row r="18" spans="1:53">
      <c r="B18" s="1329"/>
      <c r="C18" s="1338" t="s">
        <v>2095</v>
      </c>
      <c r="D18" s="1339"/>
      <c r="E18" s="1340">
        <f t="shared" ref="E18:J18" si="9">(E17/D17)^(1/(E$2-D$2))-1</f>
        <v>1.7364092188845159E-2</v>
      </c>
      <c r="F18" s="1340">
        <f t="shared" si="9"/>
        <v>5.7549182793108944E-2</v>
      </c>
      <c r="G18" s="1340">
        <f t="shared" si="9"/>
        <v>5.7102736596426507E-2</v>
      </c>
      <c r="H18" s="1340">
        <f t="shared" si="9"/>
        <v>3.8803905349020562E-2</v>
      </c>
      <c r="I18" s="1340">
        <f t="shared" si="9"/>
        <v>2.4160140000424324E-2</v>
      </c>
      <c r="J18" s="1340">
        <f t="shared" si="9"/>
        <v>9.6746679669557079E-3</v>
      </c>
    </row>
    <row r="19" spans="1:53">
      <c r="B19" s="1329"/>
      <c r="C19" s="1329"/>
      <c r="E19" s="1337"/>
      <c r="F19" s="1337"/>
      <c r="G19" s="1337"/>
      <c r="H19" s="1337"/>
    </row>
    <row r="20" spans="1:53">
      <c r="B20" s="1329" t="s">
        <v>2096</v>
      </c>
      <c r="C20" s="1330" t="s">
        <v>2097</v>
      </c>
      <c r="D20" s="1341">
        <v>1751498681507.54</v>
      </c>
      <c r="E20" s="1341">
        <v>1834435407583.25</v>
      </c>
      <c r="F20" s="1341">
        <v>3153220327936.1699</v>
      </c>
      <c r="G20" s="1341">
        <v>5420086417547.3301</v>
      </c>
      <c r="H20" s="1341">
        <v>11264070485687.5</v>
      </c>
      <c r="I20" s="1341">
        <v>13987681240719.111</v>
      </c>
      <c r="J20" s="1341">
        <v>15131626535204.479</v>
      </c>
    </row>
    <row r="21" spans="1:53">
      <c r="B21" s="1329"/>
      <c r="C21" s="1330" t="s">
        <v>2098</v>
      </c>
      <c r="D21" s="1334">
        <v>3.9272630695622053</v>
      </c>
      <c r="E21" s="1341">
        <v>3.91</v>
      </c>
      <c r="F21" s="1341">
        <v>3.84</v>
      </c>
      <c r="G21" s="1341">
        <v>3.77</v>
      </c>
      <c r="H21" s="1341">
        <v>3.63</v>
      </c>
      <c r="I21" s="1341">
        <v>3.57</v>
      </c>
      <c r="J21" s="1341">
        <v>3.5</v>
      </c>
    </row>
    <row r="22" spans="1:53">
      <c r="B22" s="1329"/>
      <c r="C22" s="1330" t="s">
        <v>2099</v>
      </c>
      <c r="D22" s="1341">
        <f t="shared" ref="D22:J22" si="10">D20/D21</f>
        <v>445984557307.18079</v>
      </c>
      <c r="E22" s="1341">
        <f t="shared" si="10"/>
        <v>469165065878.06903</v>
      </c>
      <c r="F22" s="1341">
        <f t="shared" si="10"/>
        <v>821151127066.71094</v>
      </c>
      <c r="G22" s="1341">
        <f t="shared" si="10"/>
        <v>1437688704919.7163</v>
      </c>
      <c r="H22" s="1341">
        <f t="shared" si="10"/>
        <v>3103049720575.0688</v>
      </c>
      <c r="I22" s="1341">
        <f t="shared" si="10"/>
        <v>3918117994599.1909</v>
      </c>
      <c r="J22" s="1341">
        <f t="shared" si="10"/>
        <v>4323321867201.2798</v>
      </c>
    </row>
    <row r="23" spans="1:53">
      <c r="B23" s="1329"/>
      <c r="C23" s="1342" t="s">
        <v>2100</v>
      </c>
      <c r="D23" s="1341"/>
      <c r="E23" s="1340">
        <f t="shared" ref="E23:J23" si="11">(E22/D22)^(1/(E$2-D$2))-1</f>
        <v>1.7033555319017291E-2</v>
      </c>
      <c r="F23" s="1340">
        <f t="shared" si="11"/>
        <v>5.7571509572489799E-2</v>
      </c>
      <c r="G23" s="1340">
        <f t="shared" si="11"/>
        <v>5.7606659364502377E-2</v>
      </c>
      <c r="H23" s="1340">
        <f t="shared" si="11"/>
        <v>3.9216883145577697E-2</v>
      </c>
      <c r="I23" s="1340">
        <f t="shared" si="11"/>
        <v>2.3596701283961075E-2</v>
      </c>
      <c r="J23" s="1340">
        <f t="shared" si="11"/>
        <v>9.889846708816874E-3</v>
      </c>
    </row>
    <row r="24" spans="1:53">
      <c r="K24" s="1343"/>
      <c r="L24" s="1343"/>
      <c r="M24" s="1343"/>
    </row>
    <row r="25" spans="1:53">
      <c r="F25" s="1337"/>
      <c r="G25" s="1337"/>
      <c r="I25" s="1343"/>
      <c r="J25" s="1343"/>
      <c r="K25" s="1343"/>
      <c r="L25" s="1343"/>
      <c r="M25" s="1343"/>
    </row>
    <row r="26" spans="1:53">
      <c r="B26" s="1344" t="s">
        <v>382</v>
      </c>
      <c r="E26" s="1337"/>
      <c r="F26" s="1337"/>
      <c r="G26" s="1337"/>
      <c r="K26" s="1343"/>
      <c r="L26" s="1343"/>
      <c r="M26" s="1343"/>
    </row>
    <row r="27" spans="1:53">
      <c r="B27" s="1328" t="s">
        <v>2101</v>
      </c>
      <c r="K27" s="1343"/>
      <c r="L27" s="1343"/>
      <c r="M27" s="1343"/>
    </row>
    <row r="29" spans="1:53">
      <c r="A29" s="1343"/>
      <c r="B29" s="1343"/>
      <c r="C29" s="1343"/>
      <c r="D29" s="1343"/>
      <c r="E29" s="1343"/>
      <c r="F29" s="1343"/>
      <c r="G29" s="1343"/>
      <c r="H29" s="1343"/>
      <c r="I29" s="1343"/>
      <c r="J29" s="1343"/>
      <c r="K29" s="1343"/>
      <c r="L29" s="1343"/>
      <c r="M29" s="1343"/>
      <c r="N29" s="1343"/>
      <c r="O29" s="1343"/>
      <c r="P29" s="1343"/>
      <c r="Q29" s="1343"/>
      <c r="R29" s="1343"/>
      <c r="S29" s="1343"/>
      <c r="T29" s="1343"/>
      <c r="U29" s="1343"/>
      <c r="V29" s="1343"/>
      <c r="W29" s="1343"/>
      <c r="X29" s="1343"/>
      <c r="Y29" s="1343"/>
      <c r="Z29" s="1343"/>
      <c r="AA29" s="1343"/>
      <c r="AB29" s="1343"/>
      <c r="AC29" s="1343"/>
      <c r="AD29" s="1343"/>
      <c r="AE29" s="1343"/>
      <c r="AF29" s="1343"/>
      <c r="AG29" s="1343"/>
      <c r="AH29" s="1343"/>
      <c r="AI29" s="1343"/>
      <c r="AJ29" s="1343"/>
      <c r="AK29" s="1343"/>
      <c r="AL29" s="1343"/>
      <c r="AM29" s="1343"/>
      <c r="AN29" s="1343"/>
      <c r="AO29" s="1343"/>
      <c r="AP29" s="1343"/>
      <c r="AQ29" s="1343"/>
      <c r="AR29" s="1343"/>
      <c r="AS29" s="1343"/>
      <c r="AT29" s="1343"/>
      <c r="AU29" s="1343"/>
      <c r="AV29" s="1343"/>
      <c r="AW29" s="1343"/>
      <c r="AX29" s="1343"/>
      <c r="AY29" s="1343"/>
      <c r="AZ29" s="1343"/>
      <c r="BA29" s="1343"/>
    </row>
    <row r="30" spans="1:53" s="1346" customFormat="1">
      <c r="A30" s="1345"/>
      <c r="B30" s="1345"/>
      <c r="C30" s="1345"/>
      <c r="D30" s="1345"/>
      <c r="E30" s="1345"/>
      <c r="F30" s="1345"/>
      <c r="G30" s="1345"/>
      <c r="H30" s="1345"/>
      <c r="I30" s="1345"/>
      <c r="J30" s="1345"/>
      <c r="K30" s="1345"/>
      <c r="L30" s="1345"/>
      <c r="M30" s="1345"/>
      <c r="N30" s="1345"/>
      <c r="O30" s="1345"/>
      <c r="P30" s="1345"/>
      <c r="Q30" s="1345"/>
      <c r="R30" s="1345"/>
      <c r="S30" s="1345"/>
      <c r="T30" s="1345"/>
      <c r="U30" s="1345"/>
      <c r="V30" s="1345"/>
      <c r="W30" s="1345"/>
      <c r="X30" s="1345"/>
      <c r="Y30" s="1345"/>
      <c r="Z30" s="1345"/>
      <c r="AA30" s="1345"/>
      <c r="AB30" s="1345"/>
      <c r="AC30" s="1345"/>
      <c r="AD30" s="1345"/>
      <c r="AE30" s="1345"/>
      <c r="AF30" s="1345"/>
      <c r="AG30" s="1345"/>
      <c r="AH30" s="1345"/>
      <c r="AI30" s="1345"/>
      <c r="AJ30" s="1345"/>
      <c r="AK30" s="1345"/>
      <c r="AL30" s="1345"/>
      <c r="AM30" s="1345"/>
      <c r="AN30" s="1345"/>
      <c r="AO30" s="1345"/>
      <c r="AP30" s="1345"/>
      <c r="AQ30" s="1345"/>
      <c r="AR30" s="1345"/>
      <c r="AS30" s="1345"/>
      <c r="AT30" s="1345"/>
      <c r="AU30" s="1345"/>
      <c r="AV30" s="1345"/>
      <c r="AW30" s="1345"/>
      <c r="AX30" s="1345"/>
      <c r="AY30" s="1345"/>
      <c r="AZ30" s="1345"/>
      <c r="BA30" s="1345"/>
    </row>
    <row r="31" spans="1:53">
      <c r="A31" s="1343"/>
      <c r="B31" s="1343"/>
      <c r="C31" s="1343"/>
      <c r="D31" s="1343"/>
      <c r="E31" s="1343"/>
      <c r="F31" s="1343"/>
      <c r="G31" s="1343"/>
      <c r="H31" s="1343"/>
      <c r="I31" s="1343"/>
      <c r="J31" s="1343"/>
      <c r="K31" s="1343"/>
      <c r="L31" s="1343"/>
      <c r="M31" s="1343"/>
      <c r="N31" s="1343"/>
      <c r="O31" s="1343"/>
      <c r="P31" s="1343"/>
      <c r="Q31" s="1343"/>
      <c r="R31" s="1343"/>
      <c r="S31" s="1343"/>
      <c r="T31" s="1343"/>
      <c r="U31" s="1343"/>
      <c r="V31" s="1343"/>
      <c r="W31" s="1343"/>
      <c r="X31" s="1343"/>
      <c r="Y31" s="1343"/>
      <c r="Z31" s="1343"/>
      <c r="AA31" s="1343"/>
      <c r="AB31" s="1343"/>
      <c r="AC31" s="1343"/>
      <c r="AD31" s="1343"/>
      <c r="AE31" s="1343"/>
      <c r="AF31" s="1343"/>
      <c r="AG31" s="1343"/>
      <c r="AH31" s="1343"/>
      <c r="AI31" s="1343"/>
      <c r="AJ31" s="1343"/>
      <c r="AK31" s="1343"/>
      <c r="AL31" s="1343"/>
      <c r="AM31" s="1343"/>
      <c r="AN31" s="1343"/>
      <c r="AO31" s="1343"/>
      <c r="AP31" s="1343"/>
      <c r="AQ31" s="1343"/>
      <c r="AR31" s="1343"/>
      <c r="AS31" s="1343"/>
      <c r="AT31" s="1343"/>
      <c r="AU31" s="1343"/>
      <c r="AV31" s="1343"/>
      <c r="AW31" s="1343"/>
      <c r="AX31" s="1343"/>
      <c r="AY31" s="1343"/>
      <c r="AZ31" s="1343"/>
      <c r="BA31" s="1343"/>
    </row>
    <row r="32" spans="1:53">
      <c r="A32" s="1343"/>
      <c r="B32" s="1343"/>
      <c r="C32" s="1347" t="s">
        <v>2102</v>
      </c>
      <c r="D32" s="1348"/>
      <c r="E32" s="1348" t="s">
        <v>2103</v>
      </c>
      <c r="F32" s="1348" t="s">
        <v>2103</v>
      </c>
      <c r="G32" s="1348" t="s">
        <v>2104</v>
      </c>
      <c r="I32" s="1343"/>
      <c r="K32" s="1343"/>
      <c r="L32" s="1343"/>
      <c r="M32" s="1343"/>
      <c r="N32" s="1343"/>
      <c r="O32" s="1343"/>
      <c r="P32" s="1343"/>
      <c r="Q32" s="1343"/>
      <c r="R32" s="1343"/>
      <c r="S32" s="1343"/>
      <c r="T32" s="1343"/>
      <c r="U32" s="1343"/>
      <c r="V32" s="1343"/>
      <c r="W32" s="1343"/>
      <c r="X32" s="1343"/>
      <c r="Y32" s="1343"/>
      <c r="Z32" s="1343"/>
      <c r="AA32" s="1343"/>
      <c r="AB32" s="1343"/>
      <c r="AC32" s="1343"/>
      <c r="AD32" s="1343"/>
      <c r="AE32" s="1343"/>
      <c r="AF32" s="1343"/>
      <c r="AG32" s="1343"/>
      <c r="AH32" s="1343"/>
      <c r="AI32" s="1343"/>
      <c r="AJ32" s="1343"/>
      <c r="AK32" s="1343"/>
      <c r="AL32" s="1343"/>
      <c r="AM32" s="1343"/>
      <c r="AN32" s="1343"/>
      <c r="AO32" s="1343"/>
      <c r="AP32" s="1343"/>
      <c r="AQ32" s="1343"/>
      <c r="AR32" s="1343"/>
      <c r="AS32" s="1343"/>
      <c r="AT32" s="1343"/>
      <c r="AU32" s="1343"/>
      <c r="AV32" s="1343"/>
      <c r="AW32" s="1343"/>
      <c r="AX32" s="1343"/>
      <c r="AY32" s="1343"/>
      <c r="AZ32" s="1343"/>
      <c r="BA32" s="1343"/>
    </row>
    <row r="33" spans="1:53">
      <c r="A33" s="1343"/>
      <c r="B33" s="1343"/>
      <c r="C33" s="1349" t="s">
        <v>2105</v>
      </c>
      <c r="D33" s="1349"/>
      <c r="E33" s="1349" t="s">
        <v>2106</v>
      </c>
      <c r="F33" s="1349"/>
      <c r="G33" s="1349"/>
      <c r="I33" s="1343"/>
      <c r="J33" s="1343"/>
      <c r="K33" s="1343"/>
      <c r="L33" s="1343"/>
      <c r="M33" s="1343"/>
      <c r="N33" s="1343"/>
      <c r="O33" s="1343"/>
      <c r="P33" s="1343"/>
      <c r="Q33" s="1343"/>
      <c r="R33" s="1343"/>
      <c r="S33" s="1343"/>
      <c r="T33" s="1343"/>
      <c r="U33" s="1343"/>
      <c r="V33" s="1343"/>
      <c r="W33" s="1343"/>
      <c r="X33" s="1343"/>
      <c r="Y33" s="1343"/>
      <c r="Z33" s="1343"/>
      <c r="AA33" s="1343"/>
      <c r="AB33" s="1343"/>
      <c r="AC33" s="1343"/>
      <c r="AD33" s="1343"/>
      <c r="AE33" s="1343"/>
      <c r="AF33" s="1343"/>
      <c r="AG33" s="1343"/>
      <c r="AH33" s="1343"/>
      <c r="AI33" s="1343"/>
      <c r="AJ33" s="1343"/>
      <c r="AK33" s="1343"/>
      <c r="AL33" s="1343"/>
      <c r="AM33" s="1343"/>
      <c r="AN33" s="1343"/>
      <c r="AO33" s="1343"/>
      <c r="AP33" s="1343"/>
      <c r="AQ33" s="1343"/>
      <c r="AR33" s="1343"/>
      <c r="AS33" s="1343"/>
      <c r="AT33" s="1343"/>
      <c r="AU33" s="1343"/>
      <c r="AV33" s="1343"/>
      <c r="AW33" s="1343"/>
      <c r="AX33" s="1343"/>
      <c r="AY33" s="1343"/>
      <c r="AZ33" s="1343"/>
      <c r="BA33" s="1343"/>
    </row>
    <row r="34" spans="1:53">
      <c r="A34" s="1343"/>
      <c r="B34" s="1343"/>
      <c r="C34" s="1349" t="s">
        <v>2107</v>
      </c>
      <c r="D34" s="1349"/>
      <c r="E34" s="1349" t="s">
        <v>2108</v>
      </c>
      <c r="F34" s="1349" t="s">
        <v>2109</v>
      </c>
      <c r="G34" s="1349" t="s">
        <v>2110</v>
      </c>
      <c r="I34" s="1343"/>
      <c r="J34" s="1343"/>
      <c r="K34" s="1343"/>
      <c r="L34" s="1343"/>
      <c r="M34" s="1343"/>
      <c r="N34" s="1343"/>
      <c r="O34" s="1343"/>
      <c r="P34" s="1343"/>
      <c r="Q34" s="1343"/>
      <c r="R34" s="1343"/>
      <c r="S34" s="1343"/>
      <c r="T34" s="1343"/>
      <c r="U34" s="1343"/>
      <c r="V34" s="1343"/>
      <c r="W34" s="1343"/>
      <c r="X34" s="1343"/>
      <c r="Y34" s="1343"/>
      <c r="Z34" s="1343"/>
      <c r="AA34" s="1343"/>
      <c r="AB34" s="1343"/>
      <c r="AC34" s="1343"/>
      <c r="AD34" s="1343"/>
      <c r="AE34" s="1343"/>
      <c r="AF34" s="1343"/>
      <c r="AG34" s="1343"/>
      <c r="AH34" s="1343"/>
      <c r="AI34" s="1343"/>
      <c r="AJ34" s="1343"/>
      <c r="AK34" s="1343"/>
      <c r="AL34" s="1343"/>
      <c r="AM34" s="1343"/>
      <c r="AN34" s="1343"/>
      <c r="AO34" s="1343"/>
      <c r="AP34" s="1343"/>
      <c r="AQ34" s="1343"/>
      <c r="AR34" s="1343"/>
      <c r="AS34" s="1343"/>
      <c r="AT34" s="1343"/>
      <c r="AU34" s="1343"/>
      <c r="AV34" s="1343"/>
      <c r="AW34" s="1343"/>
      <c r="AX34" s="1343"/>
      <c r="AY34" s="1343"/>
      <c r="AZ34" s="1343"/>
      <c r="BA34" s="1343"/>
    </row>
    <row r="35" spans="1:53">
      <c r="A35" s="1343"/>
      <c r="B35" s="1343"/>
      <c r="C35" s="1349" t="s">
        <v>2111</v>
      </c>
      <c r="D35" s="1349"/>
      <c r="E35" s="1349" t="s">
        <v>2112</v>
      </c>
      <c r="F35" s="1349"/>
      <c r="G35" s="1349"/>
      <c r="I35" s="1343"/>
      <c r="J35" s="1343"/>
      <c r="K35" s="1343"/>
      <c r="L35" s="1343"/>
      <c r="M35" s="1343"/>
      <c r="N35" s="1343"/>
      <c r="O35" s="1343"/>
      <c r="P35" s="1343"/>
      <c r="Q35" s="1343"/>
      <c r="R35" s="1343"/>
      <c r="S35" s="1343"/>
      <c r="T35" s="1343"/>
      <c r="U35" s="1343"/>
      <c r="V35" s="1343"/>
      <c r="W35" s="1343"/>
      <c r="X35" s="1343"/>
      <c r="Y35" s="1343"/>
      <c r="Z35" s="1343"/>
      <c r="AA35" s="1343"/>
      <c r="AB35" s="1343"/>
      <c r="AC35" s="1343"/>
      <c r="AD35" s="1343"/>
      <c r="AE35" s="1343"/>
      <c r="AF35" s="1343"/>
      <c r="AG35" s="1343"/>
      <c r="AH35" s="1343"/>
      <c r="AI35" s="1343"/>
      <c r="AJ35" s="1343"/>
      <c r="AK35" s="1343"/>
      <c r="AL35" s="1343"/>
      <c r="AM35" s="1343"/>
      <c r="AN35" s="1343"/>
      <c r="AO35" s="1343"/>
      <c r="AP35" s="1343"/>
      <c r="AQ35" s="1343"/>
      <c r="AR35" s="1343"/>
      <c r="AS35" s="1343"/>
      <c r="AT35" s="1343"/>
      <c r="AU35" s="1343"/>
      <c r="AV35" s="1343"/>
      <c r="AW35" s="1343"/>
      <c r="AX35" s="1343"/>
      <c r="AY35" s="1343"/>
      <c r="AZ35" s="1343"/>
      <c r="BA35" s="1343"/>
    </row>
    <row r="36" spans="1:53">
      <c r="A36" s="1343"/>
      <c r="B36" s="1343"/>
      <c r="C36" s="1349" t="s">
        <v>2113</v>
      </c>
      <c r="D36" s="1349"/>
      <c r="E36" s="1349" t="s">
        <v>2114</v>
      </c>
      <c r="F36" s="1349" t="s">
        <v>2115</v>
      </c>
      <c r="G36" s="1349" t="s">
        <v>2116</v>
      </c>
      <c r="I36" s="1343"/>
      <c r="J36" s="1343"/>
      <c r="K36" s="1343"/>
      <c r="L36" s="1343"/>
      <c r="M36" s="1343"/>
      <c r="N36" s="1343"/>
      <c r="O36" s="1343"/>
      <c r="P36" s="1343"/>
      <c r="Q36" s="1343"/>
      <c r="R36" s="1343"/>
      <c r="S36" s="1343"/>
      <c r="T36" s="1343"/>
      <c r="U36" s="1343"/>
      <c r="V36" s="1343"/>
      <c r="W36" s="1343"/>
      <c r="X36" s="1343"/>
      <c r="Y36" s="1343"/>
      <c r="Z36" s="1343"/>
      <c r="AA36" s="1343"/>
      <c r="AB36" s="1343"/>
      <c r="AC36" s="1343"/>
      <c r="AD36" s="1343"/>
      <c r="AE36" s="1343"/>
      <c r="AF36" s="1343"/>
      <c r="AG36" s="1343"/>
      <c r="AH36" s="1343"/>
      <c r="AI36" s="1343"/>
      <c r="AJ36" s="1343"/>
      <c r="AK36" s="1343"/>
      <c r="AL36" s="1343"/>
      <c r="AM36" s="1343"/>
      <c r="AN36" s="1343"/>
      <c r="AO36" s="1343"/>
      <c r="AP36" s="1343"/>
      <c r="AQ36" s="1343"/>
      <c r="AR36" s="1343"/>
      <c r="AS36" s="1343"/>
      <c r="AT36" s="1343"/>
      <c r="AU36" s="1343"/>
      <c r="AV36" s="1343"/>
      <c r="AW36" s="1343"/>
      <c r="AX36" s="1343"/>
      <c r="AY36" s="1343"/>
      <c r="AZ36" s="1343"/>
      <c r="BA36" s="1343"/>
    </row>
    <row r="37" spans="1:53">
      <c r="A37" s="1343"/>
      <c r="B37" s="1343"/>
      <c r="C37" s="1349" t="s">
        <v>2117</v>
      </c>
      <c r="D37" s="1349"/>
      <c r="E37" s="1349"/>
      <c r="F37" s="1349" t="s">
        <v>2118</v>
      </c>
      <c r="G37" s="1349" t="s">
        <v>2119</v>
      </c>
      <c r="I37" s="1343"/>
      <c r="J37" s="1343"/>
      <c r="K37" s="1343"/>
      <c r="L37" s="1343"/>
      <c r="M37" s="1343"/>
      <c r="N37" s="1343"/>
      <c r="O37" s="1343"/>
      <c r="P37" s="1343"/>
      <c r="Q37" s="1343"/>
      <c r="R37" s="1343"/>
      <c r="S37" s="1343"/>
      <c r="T37" s="1343"/>
      <c r="U37" s="1343"/>
      <c r="V37" s="1343"/>
      <c r="W37" s="1343"/>
      <c r="X37" s="1343"/>
      <c r="Y37" s="1343"/>
      <c r="Z37" s="1343"/>
      <c r="AA37" s="1343"/>
      <c r="AB37" s="1343"/>
      <c r="AC37" s="1343"/>
      <c r="AD37" s="1343"/>
      <c r="AE37" s="1343"/>
      <c r="AF37" s="1343"/>
      <c r="AG37" s="1343"/>
      <c r="AH37" s="1343"/>
      <c r="AI37" s="1343"/>
      <c r="AJ37" s="1343"/>
      <c r="AK37" s="1343"/>
      <c r="AL37" s="1343"/>
      <c r="AM37" s="1343"/>
      <c r="AN37" s="1343"/>
      <c r="AO37" s="1343"/>
      <c r="AP37" s="1343"/>
      <c r="AQ37" s="1343"/>
      <c r="AR37" s="1343"/>
      <c r="AS37" s="1343"/>
      <c r="AT37" s="1343"/>
      <c r="AU37" s="1343"/>
      <c r="AV37" s="1343"/>
      <c r="AW37" s="1343"/>
      <c r="AX37" s="1343"/>
      <c r="AY37" s="1343"/>
      <c r="AZ37" s="1343"/>
      <c r="BA37" s="1343"/>
    </row>
    <row r="38" spans="1:53">
      <c r="A38" s="1343"/>
      <c r="B38" s="1343"/>
      <c r="C38" s="1349" t="s">
        <v>102</v>
      </c>
      <c r="D38" s="1349"/>
      <c r="E38" s="1349" t="s">
        <v>2120</v>
      </c>
      <c r="F38" s="1349" t="s">
        <v>2120</v>
      </c>
      <c r="G38" s="1349"/>
      <c r="I38" s="1343"/>
      <c r="J38" s="1343"/>
      <c r="K38" s="1343"/>
      <c r="L38" s="1343"/>
      <c r="M38" s="1343"/>
      <c r="N38" s="1343"/>
      <c r="O38" s="1343"/>
      <c r="P38" s="1343"/>
      <c r="Q38" s="1343"/>
      <c r="R38" s="1343"/>
      <c r="S38" s="1343"/>
      <c r="T38" s="1343"/>
      <c r="U38" s="1343"/>
      <c r="V38" s="1343"/>
      <c r="W38" s="1343"/>
      <c r="X38" s="1343"/>
      <c r="Y38" s="1343"/>
      <c r="Z38" s="1343"/>
      <c r="AA38" s="1343"/>
      <c r="AB38" s="1343"/>
      <c r="AC38" s="1343"/>
      <c r="AD38" s="1343"/>
      <c r="AE38" s="1343"/>
      <c r="AF38" s="1343"/>
      <c r="AG38" s="1343"/>
      <c r="AH38" s="1343"/>
      <c r="AI38" s="1343"/>
      <c r="AJ38" s="1343"/>
      <c r="AK38" s="1343"/>
      <c r="AL38" s="1343"/>
      <c r="AM38" s="1343"/>
      <c r="AN38" s="1343"/>
      <c r="AO38" s="1343"/>
      <c r="AP38" s="1343"/>
      <c r="AQ38" s="1343"/>
      <c r="AR38" s="1343"/>
      <c r="AS38" s="1343"/>
      <c r="AT38" s="1343"/>
      <c r="AU38" s="1343"/>
      <c r="AV38" s="1343"/>
      <c r="AW38" s="1343"/>
      <c r="AX38" s="1343"/>
      <c r="AY38" s="1343"/>
      <c r="AZ38" s="1343"/>
      <c r="BA38" s="1343"/>
    </row>
    <row r="39" spans="1:53">
      <c r="A39" s="1343"/>
      <c r="B39" s="1343"/>
      <c r="C39" s="1343"/>
      <c r="D39" s="1343"/>
      <c r="E39" s="1343"/>
      <c r="F39" s="1343"/>
      <c r="G39" s="1343"/>
      <c r="H39" s="1343"/>
      <c r="I39" s="1343"/>
      <c r="J39" s="1343"/>
      <c r="K39" s="1343"/>
      <c r="L39" s="1343"/>
      <c r="M39" s="1343"/>
      <c r="N39" s="1343"/>
      <c r="O39" s="1343"/>
      <c r="P39" s="1343"/>
      <c r="Q39" s="1343"/>
      <c r="R39" s="1343"/>
      <c r="S39" s="1343"/>
      <c r="T39" s="1343"/>
      <c r="U39" s="1343"/>
      <c r="V39" s="1343"/>
      <c r="W39" s="1343"/>
      <c r="X39" s="1343"/>
      <c r="Y39" s="1343"/>
      <c r="Z39" s="1343"/>
      <c r="AA39" s="1343"/>
      <c r="AB39" s="1343"/>
      <c r="AC39" s="1343"/>
      <c r="AD39" s="1343"/>
      <c r="AE39" s="1343"/>
      <c r="AF39" s="1343"/>
      <c r="AG39" s="1343"/>
      <c r="AH39" s="1343"/>
      <c r="AI39" s="1343"/>
      <c r="AJ39" s="1343"/>
      <c r="AK39" s="1343"/>
      <c r="AL39" s="1343"/>
      <c r="AM39" s="1343"/>
      <c r="AN39" s="1343"/>
      <c r="AO39" s="1343"/>
      <c r="AP39" s="1343"/>
      <c r="AQ39" s="1343"/>
      <c r="AR39" s="1343"/>
      <c r="AS39" s="1343"/>
      <c r="AT39" s="1343"/>
      <c r="AU39" s="1343"/>
      <c r="AV39" s="1343"/>
      <c r="AW39" s="1343"/>
      <c r="AX39" s="1343"/>
      <c r="AY39" s="1343"/>
      <c r="AZ39" s="1343"/>
      <c r="BA39" s="1343"/>
    </row>
    <row r="40" spans="1:53">
      <c r="A40" s="1343"/>
      <c r="B40" s="1343"/>
      <c r="C40" s="1343"/>
      <c r="D40" s="1343"/>
      <c r="E40" s="1343"/>
      <c r="F40" s="1343"/>
      <c r="G40" s="1343"/>
      <c r="H40" s="1343"/>
      <c r="I40" s="1343"/>
      <c r="J40" s="1343"/>
      <c r="K40" s="1343"/>
      <c r="L40" s="1343"/>
      <c r="M40" s="1343"/>
      <c r="N40" s="1343"/>
      <c r="O40" s="1343"/>
      <c r="P40" s="1343"/>
      <c r="Q40" s="1343"/>
      <c r="R40" s="1343"/>
      <c r="S40" s="1343"/>
      <c r="T40" s="1343"/>
      <c r="U40" s="1343"/>
      <c r="V40" s="1343"/>
      <c r="W40" s="1343"/>
      <c r="X40" s="1343"/>
      <c r="Y40" s="1343"/>
      <c r="Z40" s="1343"/>
      <c r="AA40" s="1343"/>
      <c r="AB40" s="1343"/>
      <c r="AC40" s="1343"/>
      <c r="AD40" s="1343"/>
      <c r="AE40" s="1343"/>
      <c r="AF40" s="1343"/>
      <c r="AG40" s="1343"/>
      <c r="AH40" s="1343"/>
      <c r="AI40" s="1343"/>
      <c r="AJ40" s="1343"/>
      <c r="AK40" s="1343"/>
      <c r="AL40" s="1343"/>
      <c r="AM40" s="1343"/>
      <c r="AN40" s="1343"/>
      <c r="AO40" s="1343"/>
      <c r="AP40" s="1343"/>
      <c r="AQ40" s="1343"/>
      <c r="AR40" s="1343"/>
      <c r="AS40" s="1343"/>
      <c r="AT40" s="1343"/>
      <c r="AU40" s="1343"/>
      <c r="AV40" s="1343"/>
      <c r="AW40" s="1343"/>
      <c r="AX40" s="1343"/>
      <c r="AY40" s="1343"/>
      <c r="AZ40" s="1343"/>
      <c r="BA40" s="1343"/>
    </row>
    <row r="41" spans="1:53">
      <c r="A41" s="1343"/>
      <c r="B41" s="1343"/>
      <c r="C41" s="1343"/>
      <c r="D41" s="1350" t="s">
        <v>2121</v>
      </c>
      <c r="E41" s="1343"/>
      <c r="F41" s="1343"/>
      <c r="G41" s="1343"/>
      <c r="H41" s="1343"/>
      <c r="I41" s="1343"/>
      <c r="J41" s="1343"/>
      <c r="K41" s="1343"/>
      <c r="L41" s="1343"/>
      <c r="M41" s="1343"/>
      <c r="N41" s="1343"/>
      <c r="O41" s="1343"/>
      <c r="Q41" s="1343"/>
      <c r="R41" s="1343"/>
      <c r="S41" s="1343"/>
      <c r="T41" s="1343"/>
      <c r="U41" s="1343"/>
      <c r="V41" s="1343"/>
      <c r="W41" s="1343"/>
      <c r="X41" s="1343"/>
      <c r="Y41" s="1343"/>
      <c r="Z41" s="1343"/>
      <c r="AA41" s="1343"/>
      <c r="AB41" s="1343"/>
      <c r="AC41" s="1343"/>
      <c r="AD41" s="1343"/>
      <c r="AE41" s="1343"/>
      <c r="AF41" s="1343"/>
      <c r="AG41" s="1343"/>
      <c r="AH41" s="1343"/>
      <c r="AI41" s="1343"/>
      <c r="AJ41" s="1343"/>
      <c r="AK41" s="1343"/>
      <c r="AL41" s="1343"/>
      <c r="AM41" s="1343"/>
      <c r="AN41" s="1343"/>
      <c r="AO41" s="1343"/>
      <c r="AP41" s="1343"/>
      <c r="AQ41" s="1343"/>
      <c r="AR41" s="1343"/>
      <c r="AS41" s="1343"/>
      <c r="AT41" s="1343"/>
      <c r="AU41" s="1343"/>
      <c r="AV41" s="1343"/>
      <c r="AW41" s="1343"/>
      <c r="AX41" s="1343"/>
      <c r="AY41" s="1343"/>
      <c r="AZ41" s="1343"/>
      <c r="BA41" s="1343"/>
    </row>
    <row r="42" spans="1:53">
      <c r="A42" s="1343"/>
      <c r="B42" s="1343"/>
      <c r="C42" s="1343"/>
      <c r="D42" s="1351" t="s">
        <v>2075</v>
      </c>
      <c r="E42" s="1351"/>
      <c r="F42" s="1351"/>
      <c r="G42" s="1351"/>
      <c r="H42" s="1351"/>
      <c r="I42" s="1343"/>
      <c r="J42" s="1343"/>
      <c r="K42" s="1343"/>
      <c r="L42" s="1343"/>
      <c r="M42" s="1343"/>
      <c r="N42" s="1343"/>
      <c r="O42" s="1343"/>
      <c r="Q42" s="1343"/>
      <c r="R42" s="1343"/>
      <c r="S42" s="1343"/>
      <c r="T42" s="1343"/>
      <c r="U42" s="1343"/>
      <c r="V42" s="1343"/>
      <c r="W42" s="1343"/>
      <c r="X42" s="1343"/>
      <c r="Y42" s="1343"/>
      <c r="Z42" s="1343"/>
      <c r="AA42" s="1343"/>
      <c r="AB42" s="1343"/>
      <c r="AC42" s="1343"/>
      <c r="AD42" s="1343"/>
      <c r="AE42" s="1343"/>
      <c r="AF42" s="1343"/>
      <c r="AG42" s="1343"/>
      <c r="AH42" s="1343"/>
      <c r="AI42" s="1343"/>
      <c r="AJ42" s="1343"/>
      <c r="AK42" s="1343"/>
      <c r="AL42" s="1343"/>
      <c r="AM42" s="1343"/>
      <c r="AN42" s="1343"/>
      <c r="AO42" s="1343"/>
      <c r="AP42" s="1343"/>
      <c r="AQ42" s="1343"/>
      <c r="AR42" s="1343"/>
      <c r="AS42" s="1343"/>
      <c r="AT42" s="1343"/>
      <c r="AU42" s="1343"/>
      <c r="AV42" s="1343"/>
      <c r="AW42" s="1343"/>
      <c r="AX42" s="1343"/>
      <c r="AY42" s="1343"/>
      <c r="AZ42" s="1343"/>
      <c r="BA42" s="1343"/>
    </row>
    <row r="43" spans="1:53">
      <c r="A43" s="1343"/>
      <c r="B43" s="1343"/>
      <c r="C43" s="1349"/>
      <c r="D43" s="1349">
        <v>0</v>
      </c>
      <c r="E43" s="1349" t="s">
        <v>2122</v>
      </c>
      <c r="F43" s="1349" t="s">
        <v>2123</v>
      </c>
      <c r="G43" s="1349" t="s">
        <v>2124</v>
      </c>
      <c r="H43" s="1341"/>
      <c r="I43" s="1343"/>
      <c r="J43" s="1343"/>
      <c r="K43" s="1343"/>
      <c r="L43" s="1343"/>
      <c r="M43" s="1343"/>
      <c r="N43" s="1343"/>
      <c r="O43" s="1343"/>
      <c r="Q43" s="1343"/>
      <c r="R43" s="1343"/>
      <c r="S43" s="1343"/>
      <c r="T43" s="1343"/>
      <c r="U43" s="1343"/>
      <c r="V43" s="1343"/>
      <c r="W43" s="1343"/>
      <c r="X43" s="1343"/>
      <c r="Y43" s="1343"/>
      <c r="Z43" s="1343"/>
      <c r="AA43" s="1343"/>
      <c r="AB43" s="1343"/>
      <c r="AC43" s="1343"/>
      <c r="AD43" s="1343"/>
      <c r="AE43" s="1343"/>
      <c r="AF43" s="1343"/>
      <c r="AG43" s="1343"/>
      <c r="AH43" s="1343"/>
      <c r="AI43" s="1343"/>
      <c r="AJ43" s="1343"/>
      <c r="AK43" s="1343"/>
      <c r="AL43" s="1343"/>
      <c r="AM43" s="1343"/>
      <c r="AN43" s="1343"/>
      <c r="AO43" s="1343"/>
      <c r="AP43" s="1343"/>
      <c r="AQ43" s="1343"/>
      <c r="AR43" s="1343"/>
      <c r="AS43" s="1343"/>
      <c r="AT43" s="1343"/>
      <c r="AU43" s="1343"/>
      <c r="AV43" s="1343"/>
      <c r="AW43" s="1343"/>
      <c r="AX43" s="1343"/>
      <c r="AY43" s="1343"/>
      <c r="AZ43" s="1343"/>
      <c r="BA43" s="1343"/>
    </row>
    <row r="44" spans="1:53">
      <c r="A44" s="1343"/>
      <c r="B44" s="1343"/>
      <c r="C44" s="1349" t="s">
        <v>844</v>
      </c>
      <c r="D44" s="1352">
        <f>D45/$H$45</f>
        <v>0.19899412140506098</v>
      </c>
      <c r="E44" s="1352">
        <f>E45/$H$45</f>
        <v>0.12132357102224101</v>
      </c>
      <c r="F44" s="1352">
        <f>F45/$H$45</f>
        <v>0.2177617111776535</v>
      </c>
      <c r="G44" s="1352">
        <f>G45/$H$45</f>
        <v>0.46192059639504451</v>
      </c>
      <c r="H44" s="1352">
        <f>H45/$H$45</f>
        <v>1</v>
      </c>
      <c r="J44" s="1343"/>
      <c r="K44" s="1343"/>
      <c r="L44" s="1343"/>
      <c r="M44" s="1343"/>
      <c r="N44" s="1343"/>
      <c r="O44" s="1343"/>
      <c r="Q44" s="1343"/>
      <c r="R44" s="1343"/>
      <c r="S44" s="1343"/>
      <c r="T44" s="1343"/>
      <c r="U44" s="1343"/>
      <c r="V44" s="1343"/>
      <c r="W44" s="1343"/>
      <c r="X44" s="1343"/>
      <c r="Y44" s="1343"/>
      <c r="Z44" s="1343"/>
      <c r="AA44" s="1343"/>
      <c r="AB44" s="1343"/>
      <c r="AC44" s="1343"/>
      <c r="AD44" s="1343"/>
      <c r="AE44" s="1343"/>
      <c r="AF44" s="1343"/>
      <c r="AG44" s="1343"/>
      <c r="AH44" s="1343"/>
      <c r="AI44" s="1343"/>
      <c r="AJ44" s="1343"/>
      <c r="AK44" s="1343"/>
      <c r="AL44" s="1343"/>
      <c r="AM44" s="1343"/>
      <c r="AN44" s="1343"/>
      <c r="AO44" s="1343"/>
      <c r="AP44" s="1343"/>
      <c r="AQ44" s="1343"/>
      <c r="AR44" s="1343"/>
      <c r="AS44" s="1343"/>
      <c r="AT44" s="1343"/>
      <c r="AU44" s="1343"/>
      <c r="AV44" s="1343"/>
      <c r="AW44" s="1343"/>
      <c r="AX44" s="1343"/>
      <c r="AY44" s="1343"/>
      <c r="AZ44" s="1343"/>
      <c r="BA44" s="1343"/>
    </row>
    <row r="45" spans="1:53">
      <c r="A45" s="1343"/>
      <c r="B45" s="1343"/>
      <c r="C45" s="1349" t="s">
        <v>702</v>
      </c>
      <c r="D45" s="1353">
        <v>1142831</v>
      </c>
      <c r="E45" s="1353">
        <v>696766</v>
      </c>
      <c r="F45" s="1353">
        <v>1250614</v>
      </c>
      <c r="G45" s="1353">
        <v>2652828</v>
      </c>
      <c r="H45" s="1353">
        <f>SUM(D45:G45)</f>
        <v>5743039</v>
      </c>
      <c r="J45" s="1343"/>
      <c r="K45" s="1343"/>
      <c r="L45" s="1343"/>
      <c r="M45" s="1343"/>
      <c r="N45" s="1343"/>
      <c r="O45" s="1343"/>
      <c r="Q45" s="1343"/>
      <c r="R45" s="1343"/>
      <c r="S45" s="1343"/>
      <c r="T45" s="1343"/>
      <c r="U45" s="1343"/>
      <c r="V45" s="1343"/>
      <c r="W45" s="1343"/>
      <c r="X45" s="1343"/>
      <c r="Y45" s="1343"/>
      <c r="Z45" s="1343"/>
      <c r="AA45" s="1343"/>
      <c r="AB45" s="1343"/>
      <c r="AC45" s="1343"/>
      <c r="AD45" s="1343"/>
      <c r="AE45" s="1343"/>
      <c r="AF45" s="1343"/>
      <c r="AG45" s="1343"/>
      <c r="AH45" s="1343"/>
      <c r="AI45" s="1343"/>
      <c r="AJ45" s="1343"/>
      <c r="AK45" s="1343"/>
      <c r="AL45" s="1343"/>
      <c r="AM45" s="1343"/>
      <c r="AN45" s="1343"/>
      <c r="AO45" s="1343"/>
      <c r="AP45" s="1343"/>
      <c r="AQ45" s="1343"/>
      <c r="AR45" s="1343"/>
      <c r="AS45" s="1343"/>
      <c r="AT45" s="1343"/>
      <c r="AU45" s="1343"/>
      <c r="AV45" s="1343"/>
      <c r="AW45" s="1343"/>
      <c r="AX45" s="1343"/>
      <c r="AY45" s="1343"/>
      <c r="AZ45" s="1343"/>
      <c r="BA45" s="1343"/>
    </row>
    <row r="46" spans="1:53">
      <c r="A46" s="1343"/>
      <c r="B46" s="1343"/>
      <c r="C46" s="1349" t="s">
        <v>2125</v>
      </c>
      <c r="D46" s="1353">
        <v>0</v>
      </c>
      <c r="E46" s="1353">
        <v>2400</v>
      </c>
      <c r="F46" s="1353">
        <v>7200</v>
      </c>
      <c r="G46" s="1353">
        <v>14400</v>
      </c>
      <c r="H46" s="1353"/>
      <c r="J46" s="1343"/>
      <c r="K46" s="1343"/>
      <c r="L46" s="1343"/>
      <c r="M46" s="1343"/>
      <c r="N46" s="1343"/>
      <c r="O46" s="1343"/>
      <c r="Q46" s="1343"/>
      <c r="R46" s="1343"/>
      <c r="S46" s="1343"/>
      <c r="T46" s="1343"/>
      <c r="U46" s="1343"/>
      <c r="V46" s="1343"/>
      <c r="W46" s="1343"/>
      <c r="X46" s="1343"/>
      <c r="Y46" s="1343"/>
      <c r="Z46" s="1343"/>
      <c r="AA46" s="1343"/>
      <c r="AB46" s="1343"/>
      <c r="AC46" s="1343"/>
      <c r="AD46" s="1343"/>
      <c r="AE46" s="1343"/>
      <c r="AF46" s="1343"/>
      <c r="AG46" s="1343"/>
      <c r="AH46" s="1343"/>
      <c r="AI46" s="1343"/>
      <c r="AJ46" s="1343"/>
      <c r="AK46" s="1343"/>
      <c r="AL46" s="1343"/>
      <c r="AM46" s="1343"/>
      <c r="AN46" s="1343"/>
      <c r="AO46" s="1343"/>
      <c r="AP46" s="1343"/>
      <c r="AQ46" s="1343"/>
      <c r="AR46" s="1343"/>
      <c r="AS46" s="1343"/>
      <c r="AT46" s="1343"/>
      <c r="AU46" s="1343"/>
      <c r="AV46" s="1343"/>
      <c r="AW46" s="1343"/>
      <c r="AX46" s="1343"/>
      <c r="AY46" s="1343"/>
      <c r="AZ46" s="1343"/>
      <c r="BA46" s="1343"/>
    </row>
    <row r="47" spans="1:53">
      <c r="A47" s="1343"/>
      <c r="B47" s="1343"/>
      <c r="C47" s="1354" t="s">
        <v>2126</v>
      </c>
      <c r="D47" s="1355">
        <f>0+(0.12*E46)+(0.22*F46)+(0.46*G46)</f>
        <v>8496</v>
      </c>
      <c r="E47" s="1341"/>
      <c r="F47" s="1349"/>
      <c r="G47" s="1349"/>
      <c r="H47" s="1349"/>
      <c r="I47" s="1343"/>
      <c r="J47" s="1343"/>
      <c r="K47" s="1343"/>
      <c r="L47" s="1343"/>
      <c r="M47" s="1343"/>
      <c r="N47" s="1343"/>
      <c r="O47" s="1343"/>
      <c r="Q47" s="1343"/>
      <c r="R47" s="1343"/>
      <c r="S47" s="1343"/>
      <c r="T47" s="1343"/>
      <c r="U47" s="1343"/>
      <c r="V47" s="1343"/>
      <c r="W47" s="1343"/>
      <c r="X47" s="1343"/>
      <c r="Y47" s="1343"/>
      <c r="Z47" s="1343"/>
      <c r="AA47" s="1343"/>
      <c r="AB47" s="1343"/>
      <c r="AC47" s="1343"/>
      <c r="AD47" s="1343"/>
      <c r="AE47" s="1343"/>
      <c r="AF47" s="1343"/>
      <c r="AG47" s="1343"/>
      <c r="AH47" s="1343"/>
      <c r="AI47" s="1343"/>
      <c r="AJ47" s="1343"/>
      <c r="AK47" s="1343"/>
      <c r="AL47" s="1343"/>
      <c r="AM47" s="1343"/>
      <c r="AN47" s="1343"/>
      <c r="AO47" s="1343"/>
      <c r="AP47" s="1343"/>
      <c r="AQ47" s="1343"/>
      <c r="AR47" s="1343"/>
      <c r="AS47" s="1343"/>
      <c r="AT47" s="1343"/>
      <c r="AU47" s="1343"/>
      <c r="AV47" s="1343"/>
      <c r="AW47" s="1343"/>
      <c r="AX47" s="1343"/>
      <c r="AY47" s="1343"/>
      <c r="AZ47" s="1343"/>
      <c r="BA47" s="1343"/>
    </row>
    <row r="48" spans="1:53">
      <c r="A48" s="1343"/>
      <c r="B48" s="1343"/>
      <c r="C48" s="1343"/>
      <c r="D48" s="1343"/>
      <c r="E48" s="1343"/>
      <c r="F48" s="1343"/>
      <c r="G48" s="1343"/>
      <c r="H48" s="1343"/>
      <c r="I48" s="1343"/>
      <c r="J48" s="1343"/>
      <c r="K48" s="1343"/>
      <c r="L48" s="1343"/>
      <c r="M48" s="1343"/>
      <c r="N48" s="1343"/>
      <c r="O48" s="1343"/>
      <c r="Q48" s="1343"/>
      <c r="R48" s="1343"/>
      <c r="S48" s="1343"/>
      <c r="T48" s="1343"/>
      <c r="U48" s="1343"/>
      <c r="V48" s="1343"/>
      <c r="W48" s="1343"/>
      <c r="X48" s="1343"/>
      <c r="Y48" s="1343"/>
      <c r="Z48" s="1343"/>
      <c r="AA48" s="1343"/>
      <c r="AB48" s="1343"/>
      <c r="AC48" s="1343"/>
      <c r="AD48" s="1343"/>
      <c r="AE48" s="1343"/>
      <c r="AF48" s="1343"/>
      <c r="AG48" s="1343"/>
      <c r="AH48" s="1343"/>
      <c r="AI48" s="1343"/>
      <c r="AJ48" s="1343"/>
      <c r="AK48" s="1343"/>
      <c r="AL48" s="1343"/>
      <c r="AM48" s="1343"/>
      <c r="AN48" s="1343"/>
      <c r="AO48" s="1343"/>
      <c r="AP48" s="1343"/>
      <c r="AQ48" s="1343"/>
      <c r="AR48" s="1343"/>
      <c r="AS48" s="1343"/>
      <c r="AT48" s="1343"/>
      <c r="AU48" s="1343"/>
      <c r="AV48" s="1343"/>
      <c r="AW48" s="1343"/>
      <c r="AX48" s="1343"/>
      <c r="AY48" s="1343"/>
      <c r="AZ48" s="1343"/>
      <c r="BA48" s="1343"/>
    </row>
    <row r="49" spans="1:53">
      <c r="A49" s="1343"/>
      <c r="B49" s="1343"/>
      <c r="C49" s="1343"/>
      <c r="D49" s="1350" t="s">
        <v>2127</v>
      </c>
      <c r="E49" s="1343"/>
      <c r="F49" s="1343"/>
      <c r="G49" s="1343"/>
      <c r="H49" s="1343"/>
      <c r="I49" s="1343"/>
      <c r="J49" s="1343"/>
      <c r="K49" s="1343"/>
      <c r="L49" s="1343"/>
      <c r="M49" s="1343"/>
      <c r="N49" s="1343"/>
      <c r="O49" s="1343"/>
      <c r="Q49" s="1343"/>
      <c r="R49" s="1343"/>
      <c r="S49" s="1343"/>
      <c r="T49" s="1343"/>
      <c r="U49" s="1343"/>
      <c r="V49" s="1343"/>
      <c r="W49" s="1343"/>
      <c r="X49" s="1343"/>
      <c r="Y49" s="1343"/>
      <c r="Z49" s="1343"/>
      <c r="AA49" s="1343"/>
      <c r="AB49" s="1343"/>
      <c r="AC49" s="1343"/>
      <c r="AD49" s="1343"/>
      <c r="AE49" s="1343"/>
      <c r="AF49" s="1343"/>
      <c r="AG49" s="1343"/>
      <c r="AH49" s="1343"/>
      <c r="AI49" s="1343"/>
      <c r="AJ49" s="1343"/>
      <c r="AK49" s="1343"/>
      <c r="AL49" s="1343"/>
      <c r="AM49" s="1343"/>
      <c r="AN49" s="1343"/>
      <c r="AO49" s="1343"/>
      <c r="AP49" s="1343"/>
      <c r="AQ49" s="1343"/>
      <c r="AR49" s="1343"/>
      <c r="AS49" s="1343"/>
      <c r="AT49" s="1343"/>
      <c r="AU49" s="1343"/>
      <c r="AV49" s="1343"/>
      <c r="AW49" s="1343"/>
      <c r="AX49" s="1343"/>
      <c r="AY49" s="1343"/>
      <c r="AZ49" s="1343"/>
      <c r="BA49" s="1343"/>
    </row>
    <row r="50" spans="1:53">
      <c r="A50" s="1343"/>
      <c r="B50" s="1343"/>
      <c r="C50" s="1343"/>
      <c r="D50" s="1351" t="s">
        <v>2128</v>
      </c>
      <c r="E50" s="1351"/>
      <c r="F50" s="1351"/>
      <c r="G50" s="1343"/>
      <c r="H50" s="1343"/>
      <c r="I50" s="1343"/>
      <c r="J50" s="1343"/>
      <c r="K50" s="1343"/>
      <c r="L50" s="1343"/>
      <c r="M50" s="1343"/>
      <c r="N50" s="1343"/>
      <c r="O50" s="1343"/>
      <c r="Q50" s="1343"/>
      <c r="R50" s="1343"/>
      <c r="S50" s="1343"/>
      <c r="T50" s="1343"/>
      <c r="U50" s="1343"/>
      <c r="V50" s="1343"/>
      <c r="W50" s="1343"/>
      <c r="X50" s="1343"/>
      <c r="Y50" s="1343"/>
      <c r="Z50" s="1343"/>
      <c r="AA50" s="1343"/>
      <c r="AB50" s="1343"/>
      <c r="AC50" s="1343"/>
      <c r="AD50" s="1343"/>
      <c r="AE50" s="1343"/>
      <c r="AF50" s="1343"/>
      <c r="AG50" s="1343"/>
      <c r="AH50" s="1343"/>
      <c r="AI50" s="1343"/>
      <c r="AJ50" s="1343"/>
      <c r="AK50" s="1343"/>
      <c r="AL50" s="1343"/>
      <c r="AM50" s="1343"/>
      <c r="AN50" s="1343"/>
      <c r="AO50" s="1343"/>
      <c r="AP50" s="1343"/>
      <c r="AQ50" s="1343"/>
      <c r="AR50" s="1343"/>
      <c r="AS50" s="1343"/>
      <c r="AT50" s="1343"/>
      <c r="AU50" s="1343"/>
      <c r="AV50" s="1343"/>
      <c r="AW50" s="1343"/>
      <c r="AX50" s="1343"/>
      <c r="AY50" s="1343"/>
      <c r="AZ50" s="1343"/>
      <c r="BA50" s="1343"/>
    </row>
    <row r="51" spans="1:53">
      <c r="A51" s="1343"/>
      <c r="B51" s="1343"/>
      <c r="C51" s="1349"/>
      <c r="D51" s="1349" t="s">
        <v>2129</v>
      </c>
      <c r="E51" s="1349" t="s">
        <v>2130</v>
      </c>
      <c r="F51" s="1349"/>
      <c r="G51" s="1343"/>
      <c r="H51" s="1343"/>
      <c r="I51" s="1343"/>
      <c r="J51" s="1343"/>
      <c r="K51" s="1343"/>
      <c r="L51" s="1343"/>
      <c r="M51" s="1343"/>
      <c r="N51" s="1343"/>
      <c r="O51" s="1343"/>
      <c r="Q51" s="1343"/>
      <c r="R51" s="1343"/>
      <c r="S51" s="1343"/>
      <c r="T51" s="1343"/>
      <c r="U51" s="1343"/>
      <c r="V51" s="1343"/>
      <c r="W51" s="1343"/>
      <c r="X51" s="1343"/>
      <c r="Y51" s="1343"/>
      <c r="Z51" s="1343"/>
      <c r="AA51" s="1343"/>
      <c r="AB51" s="1343"/>
      <c r="AC51" s="1343"/>
      <c r="AD51" s="1343"/>
      <c r="AE51" s="1343"/>
      <c r="AF51" s="1343"/>
      <c r="AG51" s="1343"/>
      <c r="AH51" s="1343"/>
      <c r="AI51" s="1343"/>
      <c r="AJ51" s="1343"/>
      <c r="AK51" s="1343"/>
      <c r="AL51" s="1343"/>
      <c r="AM51" s="1343"/>
      <c r="AN51" s="1343"/>
      <c r="AO51" s="1343"/>
      <c r="AP51" s="1343"/>
      <c r="AQ51" s="1343"/>
      <c r="AR51" s="1343"/>
      <c r="AS51" s="1343"/>
      <c r="AT51" s="1343"/>
      <c r="AU51" s="1343"/>
      <c r="AV51" s="1343"/>
      <c r="AW51" s="1343"/>
      <c r="AX51" s="1343"/>
      <c r="AY51" s="1343"/>
      <c r="AZ51" s="1343"/>
      <c r="BA51" s="1343"/>
    </row>
    <row r="52" spans="1:53">
      <c r="A52" s="1343"/>
      <c r="B52" s="1343"/>
      <c r="C52" s="1349" t="s">
        <v>844</v>
      </c>
      <c r="D52" s="1352">
        <v>0.62</v>
      </c>
      <c r="E52" s="1352">
        <v>0.38</v>
      </c>
      <c r="F52" s="1352">
        <v>1</v>
      </c>
      <c r="G52" s="1343"/>
      <c r="J52" s="1343"/>
      <c r="K52" s="1343"/>
      <c r="L52" s="1343"/>
      <c r="M52" s="1343"/>
      <c r="N52" s="1343"/>
      <c r="O52" s="1343"/>
      <c r="Q52" s="1343"/>
      <c r="R52" s="1343"/>
      <c r="S52" s="1343"/>
      <c r="T52" s="1343"/>
      <c r="U52" s="1343"/>
      <c r="V52" s="1343"/>
      <c r="W52" s="1343"/>
      <c r="X52" s="1343"/>
      <c r="Y52" s="1343"/>
      <c r="Z52" s="1343"/>
      <c r="AA52" s="1343"/>
      <c r="AB52" s="1343"/>
      <c r="AC52" s="1343"/>
      <c r="AD52" s="1343"/>
      <c r="AE52" s="1343"/>
      <c r="AF52" s="1343"/>
      <c r="AG52" s="1343"/>
      <c r="AH52" s="1343"/>
      <c r="AI52" s="1343"/>
      <c r="AJ52" s="1343"/>
      <c r="AK52" s="1343"/>
      <c r="AL52" s="1343"/>
      <c r="AM52" s="1343"/>
      <c r="AN52" s="1343"/>
      <c r="AO52" s="1343"/>
      <c r="AP52" s="1343"/>
      <c r="AQ52" s="1343"/>
      <c r="AR52" s="1343"/>
      <c r="AS52" s="1343"/>
      <c r="AT52" s="1343"/>
      <c r="AU52" s="1343"/>
      <c r="AV52" s="1343"/>
      <c r="AW52" s="1343"/>
      <c r="AX52" s="1343"/>
      <c r="AY52" s="1343"/>
      <c r="AZ52" s="1343"/>
      <c r="BA52" s="1343"/>
    </row>
    <row r="53" spans="1:53">
      <c r="A53" s="1343"/>
      <c r="B53" s="1343"/>
      <c r="C53" s="1349" t="s">
        <v>702</v>
      </c>
      <c r="D53" s="1349">
        <v>2683170</v>
      </c>
      <c r="E53" s="1349">
        <v>1618175</v>
      </c>
      <c r="F53" s="1349" t="s">
        <v>2115</v>
      </c>
      <c r="G53" s="1343"/>
      <c r="H53" s="1343"/>
      <c r="J53" s="1343"/>
      <c r="K53" s="1343"/>
      <c r="L53" s="1343"/>
      <c r="M53" s="1343"/>
      <c r="N53" s="1343"/>
      <c r="O53" s="1343"/>
      <c r="Q53" s="1343"/>
      <c r="R53" s="1343"/>
      <c r="S53" s="1343"/>
      <c r="T53" s="1343"/>
      <c r="U53" s="1343"/>
      <c r="V53" s="1343"/>
      <c r="W53" s="1343"/>
      <c r="X53" s="1343"/>
      <c r="Y53" s="1343"/>
      <c r="Z53" s="1343"/>
      <c r="AA53" s="1343"/>
      <c r="AB53" s="1343"/>
      <c r="AC53" s="1343"/>
      <c r="AD53" s="1343"/>
      <c r="AE53" s="1343"/>
      <c r="AF53" s="1343"/>
      <c r="AG53" s="1343"/>
      <c r="AH53" s="1343"/>
      <c r="AI53" s="1343"/>
      <c r="AJ53" s="1343"/>
      <c r="AK53" s="1343"/>
      <c r="AL53" s="1343"/>
      <c r="AM53" s="1343"/>
      <c r="AN53" s="1343"/>
      <c r="AO53" s="1343"/>
      <c r="AP53" s="1343"/>
      <c r="AQ53" s="1343"/>
      <c r="AR53" s="1343"/>
      <c r="AS53" s="1343"/>
      <c r="AT53" s="1343"/>
      <c r="AU53" s="1343"/>
      <c r="AV53" s="1343"/>
      <c r="AW53" s="1343"/>
      <c r="AX53" s="1343"/>
      <c r="AY53" s="1343"/>
      <c r="AZ53" s="1343"/>
      <c r="BA53" s="1343"/>
    </row>
    <row r="54" spans="1:53">
      <c r="A54" s="1343"/>
      <c r="B54" s="1343"/>
      <c r="C54" s="1349" t="s">
        <v>2125</v>
      </c>
      <c r="D54" s="1349">
        <v>28799.5</v>
      </c>
      <c r="E54" s="1349">
        <v>57599.5</v>
      </c>
      <c r="F54" s="1349"/>
      <c r="G54" s="1343"/>
      <c r="H54" s="1343"/>
      <c r="I54" s="1343"/>
      <c r="J54" s="1343"/>
      <c r="K54" s="1343"/>
      <c r="L54" s="1343"/>
      <c r="M54" s="1343"/>
      <c r="N54" s="1343"/>
      <c r="O54" s="1343"/>
      <c r="Q54" s="1343"/>
      <c r="R54" s="1343"/>
      <c r="S54" s="1343"/>
      <c r="T54" s="1343"/>
      <c r="U54" s="1343"/>
      <c r="V54" s="1343"/>
      <c r="W54" s="1343"/>
      <c r="X54" s="1343"/>
      <c r="Y54" s="1343"/>
      <c r="Z54" s="1343"/>
      <c r="AA54" s="1343"/>
      <c r="AB54" s="1343"/>
      <c r="AC54" s="1343"/>
      <c r="AD54" s="1343"/>
      <c r="AE54" s="1343"/>
      <c r="AF54" s="1343"/>
      <c r="AG54" s="1343"/>
      <c r="AH54" s="1343"/>
      <c r="AI54" s="1343"/>
      <c r="AJ54" s="1343"/>
      <c r="AK54" s="1343"/>
      <c r="AL54" s="1343"/>
      <c r="AM54" s="1343"/>
      <c r="AN54" s="1343"/>
      <c r="AO54" s="1343"/>
      <c r="AP54" s="1343"/>
      <c r="AQ54" s="1343"/>
      <c r="AR54" s="1343"/>
      <c r="AS54" s="1343"/>
      <c r="AT54" s="1343"/>
      <c r="AU54" s="1343"/>
      <c r="AV54" s="1343"/>
      <c r="AW54" s="1343"/>
      <c r="AX54" s="1343"/>
      <c r="AY54" s="1343"/>
      <c r="AZ54" s="1343"/>
      <c r="BA54" s="1343"/>
    </row>
    <row r="55" spans="1:53">
      <c r="A55" s="1343"/>
      <c r="B55" s="1343"/>
      <c r="C55" s="1354" t="s">
        <v>2126</v>
      </c>
      <c r="D55" s="1355">
        <f>(0.62*D54)+(0.38*E54)</f>
        <v>39743.5</v>
      </c>
      <c r="E55" s="1341"/>
      <c r="F55" s="1349"/>
      <c r="G55" s="1343"/>
      <c r="H55" s="1343"/>
      <c r="I55" s="1343"/>
      <c r="J55" s="1343"/>
      <c r="K55" s="1343"/>
      <c r="L55" s="1343"/>
      <c r="M55" s="1343"/>
      <c r="N55" s="1343"/>
      <c r="O55" s="1343"/>
      <c r="Q55" s="1343"/>
      <c r="R55" s="1343"/>
      <c r="S55" s="1343"/>
      <c r="T55" s="1343"/>
      <c r="U55" s="1343"/>
      <c r="V55" s="1343"/>
      <c r="W55" s="1343"/>
      <c r="X55" s="1343"/>
      <c r="Y55" s="1343"/>
      <c r="Z55" s="1343"/>
      <c r="AA55" s="1343"/>
      <c r="AB55" s="1343"/>
      <c r="AC55" s="1343"/>
      <c r="AD55" s="1343"/>
      <c r="AE55" s="1343"/>
      <c r="AF55" s="1343"/>
      <c r="AG55" s="1343"/>
      <c r="AH55" s="1343"/>
      <c r="AI55" s="1343"/>
      <c r="AJ55" s="1343"/>
      <c r="AK55" s="1343"/>
      <c r="AL55" s="1343"/>
      <c r="AM55" s="1343"/>
      <c r="AN55" s="1343"/>
      <c r="AO55" s="1343"/>
      <c r="AP55" s="1343"/>
      <c r="AQ55" s="1343"/>
      <c r="AR55" s="1343"/>
      <c r="AS55" s="1343"/>
      <c r="AT55" s="1343"/>
      <c r="AU55" s="1343"/>
      <c r="AV55" s="1343"/>
      <c r="AW55" s="1343"/>
      <c r="AX55" s="1343"/>
      <c r="AY55" s="1343"/>
      <c r="AZ55" s="1343"/>
      <c r="BA55" s="1343"/>
    </row>
    <row r="56" spans="1:53">
      <c r="A56" s="1343"/>
      <c r="B56" s="1343"/>
      <c r="C56" s="1343"/>
      <c r="D56" s="1343"/>
      <c r="E56" s="1343"/>
      <c r="F56" s="1343"/>
      <c r="G56" s="1343"/>
      <c r="H56" s="1343"/>
      <c r="I56" s="1343"/>
      <c r="J56" s="1343"/>
      <c r="K56" s="1343"/>
      <c r="L56" s="1343"/>
      <c r="M56" s="1343"/>
      <c r="N56" s="1343"/>
      <c r="O56" s="1343"/>
      <c r="Q56" s="1343"/>
      <c r="R56" s="1343"/>
      <c r="S56" s="1343"/>
      <c r="T56" s="1343"/>
      <c r="U56" s="1343"/>
      <c r="V56" s="1343"/>
      <c r="W56" s="1343"/>
      <c r="X56" s="1343"/>
      <c r="Y56" s="1343"/>
      <c r="Z56" s="1343"/>
      <c r="AA56" s="1343"/>
      <c r="AB56" s="1343"/>
      <c r="AC56" s="1343"/>
      <c r="AD56" s="1343"/>
      <c r="AE56" s="1343"/>
      <c r="AF56" s="1343"/>
      <c r="AG56" s="1343"/>
      <c r="AH56" s="1343"/>
      <c r="AI56" s="1343"/>
      <c r="AJ56" s="1343"/>
      <c r="AK56" s="1343"/>
      <c r="AL56" s="1343"/>
      <c r="AM56" s="1343"/>
      <c r="AN56" s="1343"/>
      <c r="AO56" s="1343"/>
      <c r="AP56" s="1343"/>
      <c r="AQ56" s="1343"/>
      <c r="AR56" s="1343"/>
      <c r="AS56" s="1343"/>
      <c r="AT56" s="1343"/>
      <c r="AU56" s="1343"/>
      <c r="AV56" s="1343"/>
      <c r="AW56" s="1343"/>
      <c r="AX56" s="1343"/>
      <c r="AY56" s="1343"/>
      <c r="AZ56" s="1343"/>
      <c r="BA56" s="1343"/>
    </row>
    <row r="57" spans="1:53">
      <c r="A57" s="1343"/>
      <c r="B57" s="1343"/>
      <c r="C57" s="1343"/>
      <c r="D57" s="1343"/>
      <c r="E57" s="1343"/>
      <c r="F57" s="1343"/>
      <c r="G57" s="1343"/>
      <c r="H57" s="1343"/>
      <c r="I57" s="1343"/>
      <c r="J57" s="1343"/>
      <c r="K57" s="1343"/>
      <c r="L57" s="1343"/>
      <c r="M57" s="1343"/>
      <c r="N57" s="1343"/>
      <c r="O57" s="1343"/>
      <c r="Q57" s="1343"/>
      <c r="R57" s="1343"/>
      <c r="S57" s="1343"/>
      <c r="T57" s="1343"/>
      <c r="U57" s="1343"/>
      <c r="V57" s="1343"/>
      <c r="W57" s="1343"/>
      <c r="X57" s="1343"/>
      <c r="Y57" s="1343"/>
      <c r="Z57" s="1343"/>
      <c r="AA57" s="1343"/>
      <c r="AB57" s="1343"/>
      <c r="AC57" s="1343"/>
      <c r="AD57" s="1343"/>
      <c r="AE57" s="1343"/>
      <c r="AF57" s="1343"/>
      <c r="AG57" s="1343"/>
      <c r="AH57" s="1343"/>
      <c r="AI57" s="1343"/>
      <c r="AJ57" s="1343"/>
      <c r="AK57" s="1343"/>
      <c r="AL57" s="1343"/>
      <c r="AM57" s="1343"/>
      <c r="AN57" s="1343"/>
      <c r="AO57" s="1343"/>
      <c r="AP57" s="1343"/>
      <c r="AQ57" s="1343"/>
      <c r="AR57" s="1343"/>
      <c r="AS57" s="1343"/>
      <c r="AT57" s="1343"/>
      <c r="AU57" s="1343"/>
      <c r="AV57" s="1343"/>
      <c r="AW57" s="1343"/>
      <c r="AX57" s="1343"/>
      <c r="AY57" s="1343"/>
      <c r="AZ57" s="1343"/>
      <c r="BA57" s="1343"/>
    </row>
    <row r="58" spans="1:53">
      <c r="A58" s="1343"/>
      <c r="B58" s="1343"/>
      <c r="C58" s="1343"/>
      <c r="D58" s="1350" t="s">
        <v>2131</v>
      </c>
      <c r="E58" s="1343"/>
      <c r="F58" s="1343"/>
      <c r="G58" s="1343"/>
      <c r="H58" s="1343"/>
      <c r="I58" s="1343"/>
      <c r="J58" s="1343"/>
      <c r="K58" s="1343"/>
      <c r="L58" s="1343"/>
      <c r="M58" s="1343"/>
      <c r="N58" s="1343"/>
      <c r="O58" s="1343"/>
      <c r="Q58" s="1343"/>
      <c r="R58" s="1343"/>
      <c r="S58" s="1343"/>
      <c r="T58" s="1343"/>
      <c r="U58" s="1343"/>
      <c r="V58" s="1343"/>
      <c r="W58" s="1343"/>
      <c r="X58" s="1343"/>
      <c r="Y58" s="1343"/>
      <c r="Z58" s="1343"/>
      <c r="AA58" s="1343"/>
      <c r="AB58" s="1343"/>
      <c r="AC58" s="1343"/>
      <c r="AD58" s="1343"/>
      <c r="AE58" s="1343"/>
      <c r="AF58" s="1343"/>
      <c r="AG58" s="1343"/>
      <c r="AH58" s="1343"/>
      <c r="AI58" s="1343"/>
      <c r="AJ58" s="1343"/>
      <c r="AK58" s="1343"/>
      <c r="AL58" s="1343"/>
      <c r="AM58" s="1343"/>
      <c r="AN58" s="1343"/>
      <c r="AO58" s="1343"/>
      <c r="AP58" s="1343"/>
      <c r="AQ58" s="1343"/>
      <c r="AR58" s="1343"/>
      <c r="AS58" s="1343"/>
      <c r="AT58" s="1343"/>
      <c r="AU58" s="1343"/>
      <c r="AV58" s="1343"/>
      <c r="AW58" s="1343"/>
      <c r="AX58" s="1343"/>
      <c r="AY58" s="1343"/>
      <c r="AZ58" s="1343"/>
      <c r="BA58" s="1343"/>
    </row>
    <row r="59" spans="1:53">
      <c r="A59" s="1343"/>
      <c r="B59" s="1343"/>
      <c r="C59" s="1343"/>
      <c r="D59" s="1351" t="s">
        <v>2132</v>
      </c>
      <c r="E59" s="1351"/>
      <c r="F59" s="1351"/>
      <c r="G59" s="1351"/>
      <c r="H59" s="1351"/>
      <c r="I59" s="1351"/>
      <c r="J59" s="1351"/>
      <c r="K59" s="1343"/>
      <c r="L59" s="1343"/>
      <c r="M59" s="1343"/>
      <c r="N59" s="1343"/>
      <c r="O59" s="1343"/>
      <c r="Q59" s="1343"/>
      <c r="R59" s="1343"/>
      <c r="S59" s="1343"/>
      <c r="T59" s="1343"/>
      <c r="U59" s="1343"/>
      <c r="V59" s="1343"/>
      <c r="W59" s="1343"/>
      <c r="X59" s="1343"/>
      <c r="Y59" s="1343"/>
      <c r="Z59" s="1343"/>
      <c r="AA59" s="1343"/>
      <c r="AB59" s="1343"/>
      <c r="AC59" s="1343"/>
      <c r="AD59" s="1343"/>
      <c r="AE59" s="1343"/>
      <c r="AF59" s="1343"/>
      <c r="AG59" s="1343"/>
      <c r="AH59" s="1343"/>
      <c r="AI59" s="1343"/>
      <c r="AJ59" s="1343"/>
      <c r="AK59" s="1343"/>
      <c r="AL59" s="1343"/>
      <c r="AM59" s="1343"/>
      <c r="AN59" s="1343"/>
      <c r="AO59" s="1343"/>
      <c r="AP59" s="1343"/>
      <c r="AQ59" s="1343"/>
      <c r="AR59" s="1343"/>
      <c r="AS59" s="1343"/>
      <c r="AT59" s="1343"/>
      <c r="AU59" s="1343"/>
      <c r="AV59" s="1343"/>
      <c r="AW59" s="1343"/>
      <c r="AX59" s="1343"/>
      <c r="AY59" s="1343"/>
      <c r="AZ59" s="1343"/>
      <c r="BA59" s="1343"/>
    </row>
    <row r="60" spans="1:53">
      <c r="A60" s="1343"/>
      <c r="B60" s="1343"/>
      <c r="C60" s="1349"/>
      <c r="D60" s="1349" t="s">
        <v>2133</v>
      </c>
      <c r="E60" s="1349" t="s">
        <v>2134</v>
      </c>
      <c r="F60" s="1349" t="s">
        <v>2135</v>
      </c>
      <c r="G60" s="1349" t="s">
        <v>2136</v>
      </c>
      <c r="H60" s="1349" t="s">
        <v>2137</v>
      </c>
      <c r="I60" s="1349" t="s">
        <v>2138</v>
      </c>
      <c r="J60" s="1349"/>
      <c r="K60" s="1343"/>
      <c r="L60" s="1343"/>
      <c r="M60" s="1343"/>
      <c r="N60" s="1343"/>
      <c r="O60" s="1343"/>
      <c r="Q60" s="1343"/>
      <c r="R60" s="1343"/>
      <c r="S60" s="1343"/>
      <c r="T60" s="1343"/>
      <c r="U60" s="1343"/>
      <c r="V60" s="1343"/>
      <c r="W60" s="1343"/>
      <c r="X60" s="1343"/>
      <c r="Y60" s="1343"/>
      <c r="Z60" s="1343"/>
      <c r="AA60" s="1343"/>
      <c r="AB60" s="1343"/>
      <c r="AC60" s="1343"/>
      <c r="AD60" s="1343"/>
      <c r="AE60" s="1343"/>
      <c r="AF60" s="1343"/>
      <c r="AG60" s="1343"/>
      <c r="AH60" s="1343"/>
      <c r="AI60" s="1343"/>
      <c r="AJ60" s="1343"/>
      <c r="AK60" s="1343"/>
      <c r="AL60" s="1343"/>
      <c r="AM60" s="1343"/>
      <c r="AN60" s="1343"/>
      <c r="AO60" s="1343"/>
      <c r="AP60" s="1343"/>
      <c r="AQ60" s="1343"/>
      <c r="AR60" s="1343"/>
      <c r="AS60" s="1343"/>
      <c r="AT60" s="1343"/>
      <c r="AU60" s="1343"/>
      <c r="AV60" s="1343"/>
      <c r="AW60" s="1343"/>
      <c r="AX60" s="1343"/>
      <c r="AY60" s="1343"/>
      <c r="AZ60" s="1343"/>
      <c r="BA60" s="1343"/>
    </row>
    <row r="61" spans="1:53">
      <c r="A61" s="1343"/>
      <c r="B61" s="1343"/>
      <c r="C61" s="1349" t="s">
        <v>844</v>
      </c>
      <c r="D61" s="1352">
        <v>0.44</v>
      </c>
      <c r="E61" s="1352">
        <v>0.31</v>
      </c>
      <c r="F61" s="1352">
        <v>0.16</v>
      </c>
      <c r="G61" s="1352">
        <v>0.05</v>
      </c>
      <c r="H61" s="1352">
        <v>0.02</v>
      </c>
      <c r="I61" s="1352">
        <v>0.01</v>
      </c>
      <c r="J61" s="1352">
        <v>1</v>
      </c>
      <c r="K61" s="1343"/>
      <c r="L61" s="1343"/>
      <c r="M61" s="1343"/>
      <c r="N61" s="1343"/>
      <c r="O61" s="1343"/>
      <c r="Q61" s="1343"/>
      <c r="R61" s="1343"/>
      <c r="S61" s="1343"/>
      <c r="T61" s="1343"/>
      <c r="U61" s="1343"/>
      <c r="V61" s="1343"/>
      <c r="W61" s="1343"/>
      <c r="X61" s="1343"/>
      <c r="Y61" s="1343"/>
      <c r="Z61" s="1343"/>
      <c r="AA61" s="1343"/>
      <c r="AB61" s="1343"/>
      <c r="AC61" s="1343"/>
      <c r="AD61" s="1343"/>
      <c r="AE61" s="1343"/>
      <c r="AF61" s="1343"/>
      <c r="AG61" s="1343"/>
      <c r="AH61" s="1343"/>
      <c r="AI61" s="1343"/>
      <c r="AJ61" s="1343"/>
      <c r="AK61" s="1343"/>
      <c r="AL61" s="1343"/>
      <c r="AM61" s="1343"/>
      <c r="AN61" s="1343"/>
      <c r="AO61" s="1343"/>
      <c r="AP61" s="1343"/>
      <c r="AQ61" s="1343"/>
      <c r="AR61" s="1343"/>
      <c r="AS61" s="1343"/>
      <c r="AT61" s="1343"/>
      <c r="AU61" s="1343"/>
      <c r="AV61" s="1343"/>
      <c r="AW61" s="1343"/>
      <c r="AX61" s="1343"/>
      <c r="AY61" s="1343"/>
      <c r="AZ61" s="1343"/>
      <c r="BA61" s="1343"/>
    </row>
    <row r="62" spans="1:53">
      <c r="A62" s="1343"/>
      <c r="B62" s="1343"/>
      <c r="C62" s="1349" t="s">
        <v>702</v>
      </c>
      <c r="D62" s="1349">
        <v>1082056</v>
      </c>
      <c r="E62" s="1349">
        <v>756895</v>
      </c>
      <c r="F62" s="1349">
        <v>404163</v>
      </c>
      <c r="G62" s="1349">
        <v>134055</v>
      </c>
      <c r="H62" s="1349">
        <v>46094</v>
      </c>
      <c r="I62" s="1349">
        <v>32963</v>
      </c>
      <c r="J62" s="1349">
        <v>2456226</v>
      </c>
      <c r="K62" s="1343"/>
      <c r="L62" s="1343"/>
      <c r="M62" s="1343"/>
      <c r="N62" s="1343"/>
      <c r="O62" s="1343"/>
      <c r="Q62" s="1343"/>
      <c r="R62" s="1343"/>
      <c r="S62" s="1343"/>
      <c r="T62" s="1343"/>
      <c r="U62" s="1343"/>
      <c r="V62" s="1343"/>
      <c r="W62" s="1343"/>
      <c r="X62" s="1343"/>
      <c r="Y62" s="1343"/>
      <c r="Z62" s="1343"/>
      <c r="AA62" s="1343"/>
      <c r="AB62" s="1343"/>
      <c r="AC62" s="1343"/>
      <c r="AD62" s="1343"/>
      <c r="AE62" s="1343"/>
      <c r="AF62" s="1343"/>
      <c r="AG62" s="1343"/>
      <c r="AH62" s="1343"/>
      <c r="AI62" s="1343"/>
      <c r="AJ62" s="1343"/>
      <c r="AK62" s="1343"/>
      <c r="AL62" s="1343"/>
      <c r="AM62" s="1343"/>
      <c r="AN62" s="1343"/>
      <c r="AO62" s="1343"/>
      <c r="AP62" s="1343"/>
      <c r="AQ62" s="1343"/>
      <c r="AR62" s="1343"/>
      <c r="AS62" s="1343"/>
      <c r="AT62" s="1343"/>
      <c r="AU62" s="1343"/>
      <c r="AV62" s="1343"/>
      <c r="AW62" s="1343"/>
      <c r="AX62" s="1343"/>
      <c r="AY62" s="1343"/>
      <c r="AZ62" s="1343"/>
      <c r="BA62" s="1343"/>
    </row>
    <row r="63" spans="1:53">
      <c r="A63" s="1343"/>
      <c r="B63" s="1343"/>
      <c r="C63" s="1349" t="s">
        <v>2125</v>
      </c>
      <c r="D63" s="1349">
        <v>115199.5</v>
      </c>
      <c r="E63" s="1349">
        <v>230399.5</v>
      </c>
      <c r="F63" s="1349">
        <v>460799.5</v>
      </c>
      <c r="G63" s="1349">
        <v>921599.5</v>
      </c>
      <c r="H63" s="1349">
        <v>1843199.5</v>
      </c>
      <c r="I63" s="1349">
        <v>3228799.5</v>
      </c>
      <c r="J63" s="1349"/>
      <c r="K63" s="1343"/>
      <c r="L63" s="1343"/>
      <c r="M63" s="1343"/>
      <c r="N63" s="1343"/>
      <c r="O63" s="1343"/>
      <c r="Q63" s="1343"/>
      <c r="R63" s="1343"/>
      <c r="S63" s="1343"/>
      <c r="T63" s="1343"/>
      <c r="U63" s="1343"/>
      <c r="V63" s="1343"/>
      <c r="W63" s="1343"/>
      <c r="X63" s="1343"/>
      <c r="Y63" s="1343"/>
      <c r="Z63" s="1343"/>
      <c r="AA63" s="1343"/>
      <c r="AB63" s="1343"/>
      <c r="AC63" s="1343"/>
      <c r="AD63" s="1343"/>
      <c r="AE63" s="1343"/>
      <c r="AF63" s="1343"/>
      <c r="AG63" s="1343"/>
      <c r="AH63" s="1343"/>
      <c r="AI63" s="1343"/>
      <c r="AJ63" s="1343"/>
      <c r="AK63" s="1343"/>
      <c r="AL63" s="1343"/>
      <c r="AM63" s="1343"/>
      <c r="AN63" s="1343"/>
      <c r="AO63" s="1343"/>
      <c r="AP63" s="1343"/>
      <c r="AQ63" s="1343"/>
      <c r="AR63" s="1343"/>
      <c r="AS63" s="1343"/>
      <c r="AT63" s="1343"/>
      <c r="AU63" s="1343"/>
      <c r="AV63" s="1343"/>
      <c r="AW63" s="1343"/>
      <c r="AX63" s="1343"/>
      <c r="AY63" s="1343"/>
      <c r="AZ63" s="1343"/>
      <c r="BA63" s="1343"/>
    </row>
    <row r="64" spans="1:53">
      <c r="A64" s="1343"/>
      <c r="B64" s="1343"/>
      <c r="C64" s="1354" t="s">
        <v>2126</v>
      </c>
      <c r="D64" s="1356">
        <f>(0.44*D63)+(0.31*E63)+(0.16*F63)+(0.05*G63)+(0.02*H63)+(0.01*I63)</f>
        <v>311071.505</v>
      </c>
      <c r="E64" s="1349"/>
      <c r="F64" s="1349"/>
      <c r="G64" s="1349"/>
      <c r="H64" s="1349"/>
      <c r="I64" s="1349"/>
      <c r="J64" s="1349"/>
      <c r="K64" s="1343"/>
      <c r="L64" s="1343"/>
      <c r="M64" s="1343"/>
      <c r="N64" s="1343"/>
      <c r="O64" s="1343"/>
      <c r="Q64" s="1343"/>
      <c r="R64" s="1343"/>
      <c r="S64" s="1343"/>
      <c r="T64" s="1343"/>
      <c r="U64" s="1343"/>
      <c r="V64" s="1343"/>
      <c r="W64" s="1343"/>
      <c r="X64" s="1343"/>
      <c r="Y64" s="1343"/>
      <c r="Z64" s="1343"/>
      <c r="AA64" s="1343"/>
      <c r="AB64" s="1343"/>
      <c r="AC64" s="1343"/>
      <c r="AD64" s="1343"/>
      <c r="AE64" s="1343"/>
      <c r="AF64" s="1343"/>
      <c r="AG64" s="1343"/>
      <c r="AH64" s="1343"/>
      <c r="AI64" s="1343"/>
      <c r="AJ64" s="1343"/>
      <c r="AK64" s="1343"/>
      <c r="AL64" s="1343"/>
      <c r="AM64" s="1343"/>
      <c r="AN64" s="1343"/>
      <c r="AO64" s="1343"/>
      <c r="AP64" s="1343"/>
      <c r="AQ64" s="1343"/>
      <c r="AR64" s="1343"/>
      <c r="AS64" s="1343"/>
      <c r="AT64" s="1343"/>
      <c r="AU64" s="1343"/>
      <c r="AV64" s="1343"/>
      <c r="AW64" s="1343"/>
      <c r="AX64" s="1343"/>
      <c r="AY64" s="1343"/>
      <c r="AZ64" s="1343"/>
      <c r="BA64" s="1343"/>
    </row>
    <row r="65" spans="1:53">
      <c r="A65" s="1343"/>
      <c r="B65" s="1343"/>
      <c r="C65" s="1343"/>
      <c r="D65" s="1343">
        <f>SUMPRODUCT(D61:I61,D63:I63)</f>
        <v>311071.505</v>
      </c>
      <c r="E65" s="1343"/>
      <c r="F65" s="1343"/>
      <c r="G65" s="1343"/>
      <c r="H65" s="1343"/>
      <c r="I65" s="1343"/>
      <c r="J65" s="1343"/>
      <c r="K65" s="1343"/>
      <c r="L65" s="1343"/>
      <c r="M65" s="1343"/>
      <c r="N65" s="1343"/>
      <c r="O65" s="1343"/>
      <c r="P65" s="1343"/>
      <c r="Q65" s="1343"/>
      <c r="R65" s="1343"/>
      <c r="S65" s="1343"/>
      <c r="T65" s="1343"/>
      <c r="U65" s="1343"/>
      <c r="V65" s="1343"/>
      <c r="W65" s="1343"/>
      <c r="X65" s="1343"/>
      <c r="Y65" s="1343"/>
      <c r="Z65" s="1343"/>
      <c r="AA65" s="1343"/>
      <c r="AB65" s="1343"/>
      <c r="AC65" s="1343"/>
      <c r="AD65" s="1343"/>
      <c r="AE65" s="1343"/>
      <c r="AF65" s="1343"/>
      <c r="AG65" s="1343"/>
      <c r="AH65" s="1343"/>
      <c r="AI65" s="1343"/>
      <c r="AJ65" s="1343"/>
      <c r="AK65" s="1343"/>
      <c r="AL65" s="1343"/>
      <c r="AM65" s="1343"/>
      <c r="AN65" s="1343"/>
      <c r="AO65" s="1343"/>
      <c r="AP65" s="1343"/>
      <c r="AQ65" s="1343"/>
      <c r="AR65" s="1343"/>
      <c r="AS65" s="1343"/>
      <c r="AT65" s="1343"/>
      <c r="AU65" s="1343"/>
      <c r="AV65" s="1343"/>
      <c r="AW65" s="1343"/>
      <c r="AX65" s="1343"/>
      <c r="AY65" s="1343"/>
      <c r="AZ65" s="1343"/>
      <c r="BA65" s="1343"/>
    </row>
    <row r="66" spans="1:53">
      <c r="A66" s="1343"/>
      <c r="B66" s="1343"/>
      <c r="C66" s="1343"/>
      <c r="D66" s="1343"/>
      <c r="E66" s="1343"/>
      <c r="F66" s="1343"/>
      <c r="G66" s="1343"/>
      <c r="H66" s="1343"/>
      <c r="I66" s="1343"/>
      <c r="J66" s="1343"/>
      <c r="K66" s="1343"/>
      <c r="L66" s="1343"/>
      <c r="M66" s="1343"/>
      <c r="N66" s="1343"/>
      <c r="O66" s="1343"/>
      <c r="P66" s="1343"/>
      <c r="Q66" s="1343"/>
      <c r="R66" s="1343"/>
      <c r="S66" s="1343"/>
      <c r="T66" s="1343"/>
      <c r="U66" s="1343"/>
      <c r="V66" s="1343"/>
      <c r="W66" s="1343"/>
      <c r="X66" s="1343"/>
      <c r="Y66" s="1343"/>
      <c r="Z66" s="1343"/>
      <c r="AA66" s="1343"/>
      <c r="AB66" s="1343"/>
      <c r="AC66" s="1343"/>
      <c r="AD66" s="1343"/>
      <c r="AE66" s="1343"/>
      <c r="AF66" s="1343"/>
      <c r="AG66" s="1343"/>
      <c r="AH66" s="1343"/>
      <c r="AI66" s="1343"/>
      <c r="AJ66" s="1343"/>
      <c r="AK66" s="1343"/>
      <c r="AL66" s="1343"/>
      <c r="AM66" s="1343"/>
      <c r="AN66" s="1343"/>
      <c r="AO66" s="1343"/>
      <c r="AP66" s="1343"/>
      <c r="AQ66" s="1343"/>
      <c r="AR66" s="1343"/>
      <c r="AS66" s="1343"/>
      <c r="AT66" s="1343"/>
      <c r="AU66" s="1343"/>
      <c r="AV66" s="1343"/>
      <c r="AW66" s="1343"/>
      <c r="AX66" s="1343"/>
      <c r="AY66" s="1343"/>
      <c r="AZ66" s="1343"/>
      <c r="BA66" s="1343"/>
    </row>
    <row r="67" spans="1:53">
      <c r="A67" s="1343"/>
      <c r="B67" s="1343"/>
      <c r="C67" s="1343"/>
      <c r="D67" s="1343"/>
      <c r="E67" s="1343"/>
      <c r="F67" s="1343"/>
      <c r="G67" s="1343"/>
      <c r="H67" s="1343"/>
      <c r="I67" s="1343"/>
      <c r="J67" s="1343"/>
      <c r="K67" s="1343"/>
      <c r="L67" s="1343"/>
      <c r="M67" s="1343"/>
      <c r="N67" s="1343"/>
      <c r="O67" s="1343"/>
      <c r="P67" s="1343"/>
      <c r="Q67" s="1343"/>
      <c r="R67" s="1343"/>
      <c r="S67" s="1343"/>
      <c r="T67" s="1343"/>
      <c r="U67" s="1343"/>
      <c r="V67" s="1343"/>
      <c r="W67" s="1343"/>
      <c r="X67" s="1343"/>
      <c r="Y67" s="1343"/>
      <c r="Z67" s="1343"/>
      <c r="AA67" s="1343"/>
      <c r="AB67" s="1343"/>
      <c r="AC67" s="1343"/>
      <c r="AD67" s="1343"/>
      <c r="AE67" s="1343"/>
      <c r="AF67" s="1343"/>
      <c r="AG67" s="1343"/>
      <c r="AH67" s="1343"/>
      <c r="AI67" s="1343"/>
      <c r="AJ67" s="1343"/>
      <c r="AK67" s="1343"/>
      <c r="AL67" s="1343"/>
      <c r="AM67" s="1343"/>
      <c r="AN67" s="1343"/>
      <c r="AO67" s="1343"/>
      <c r="AP67" s="1343"/>
      <c r="AQ67" s="1343"/>
      <c r="AR67" s="1343"/>
      <c r="AS67" s="1343"/>
      <c r="AT67" s="1343"/>
      <c r="AU67" s="1343"/>
      <c r="AV67" s="1343"/>
      <c r="AW67" s="1343"/>
      <c r="AX67" s="1343"/>
      <c r="AY67" s="1343"/>
      <c r="AZ67" s="1343"/>
      <c r="BA67" s="1343"/>
    </row>
    <row r="68" spans="1:53">
      <c r="A68" s="1343"/>
      <c r="B68" s="1343"/>
      <c r="C68" s="1343"/>
      <c r="D68" s="1343"/>
      <c r="E68" s="1343"/>
      <c r="F68" s="1343"/>
      <c r="G68" s="1343"/>
      <c r="H68" s="1343"/>
      <c r="I68" s="1343"/>
      <c r="J68" s="1343"/>
      <c r="K68" s="1343"/>
      <c r="L68" s="1343"/>
      <c r="M68" s="1343"/>
      <c r="N68" s="1343"/>
      <c r="O68" s="1343"/>
      <c r="P68" s="1343"/>
      <c r="Q68" s="1343"/>
      <c r="R68" s="1343"/>
      <c r="S68" s="1343"/>
      <c r="T68" s="1343"/>
      <c r="U68" s="1343"/>
      <c r="V68" s="1343"/>
      <c r="W68" s="1343"/>
      <c r="X68" s="1343"/>
      <c r="Y68" s="1343"/>
      <c r="Z68" s="1343"/>
      <c r="AA68" s="1343"/>
      <c r="AB68" s="1343"/>
      <c r="AC68" s="1343"/>
      <c r="AD68" s="1343"/>
      <c r="AE68" s="1343"/>
      <c r="AF68" s="1343"/>
      <c r="AG68" s="1343"/>
      <c r="AH68" s="1343"/>
      <c r="AI68" s="1343"/>
      <c r="AJ68" s="1343"/>
      <c r="AK68" s="1343"/>
      <c r="AL68" s="1343"/>
      <c r="AM68" s="1343"/>
      <c r="AN68" s="1343"/>
      <c r="AO68" s="1343"/>
      <c r="AP68" s="1343"/>
      <c r="AQ68" s="1343"/>
      <c r="AR68" s="1343"/>
      <c r="AS68" s="1343"/>
      <c r="AT68" s="1343"/>
      <c r="AU68" s="1343"/>
      <c r="AV68" s="1343"/>
      <c r="AW68" s="1343"/>
      <c r="AX68" s="1343"/>
      <c r="AY68" s="1343"/>
      <c r="AZ68" s="1343"/>
      <c r="BA68" s="1343"/>
    </row>
    <row r="69" spans="1:53">
      <c r="A69" s="1343"/>
      <c r="B69" s="1343"/>
      <c r="C69" s="1343"/>
      <c r="D69" s="1343"/>
      <c r="E69" s="1343"/>
      <c r="F69" s="1343"/>
      <c r="G69" s="1343"/>
      <c r="H69" s="1343"/>
      <c r="I69" s="1343"/>
      <c r="J69" s="1343"/>
      <c r="K69" s="1343"/>
      <c r="L69" s="1343"/>
      <c r="M69" s="1343"/>
      <c r="N69" s="1343"/>
      <c r="O69" s="1343"/>
      <c r="P69" s="1343"/>
      <c r="Q69" s="1343"/>
      <c r="R69" s="1343"/>
      <c r="S69" s="1343"/>
      <c r="T69" s="1343"/>
      <c r="U69" s="1343"/>
      <c r="V69" s="1343"/>
      <c r="W69" s="1343"/>
      <c r="X69" s="1343"/>
      <c r="Y69" s="1343"/>
      <c r="Z69" s="1343"/>
      <c r="AA69" s="1343"/>
      <c r="AB69" s="1343"/>
      <c r="AC69" s="1343"/>
      <c r="AD69" s="1343"/>
      <c r="AE69" s="1343"/>
      <c r="AF69" s="1343"/>
      <c r="AG69" s="1343"/>
      <c r="AH69" s="1343"/>
      <c r="AI69" s="1343"/>
      <c r="AJ69" s="1343"/>
      <c r="AK69" s="1343"/>
      <c r="AL69" s="1343"/>
      <c r="AM69" s="1343"/>
      <c r="AN69" s="1343"/>
      <c r="AO69" s="1343"/>
      <c r="AP69" s="1343"/>
      <c r="AQ69" s="1343"/>
      <c r="AR69" s="1343"/>
      <c r="AS69" s="1343"/>
      <c r="AT69" s="1343"/>
      <c r="AU69" s="1343"/>
      <c r="AV69" s="1343"/>
      <c r="AW69" s="1343"/>
      <c r="AX69" s="1343"/>
      <c r="AY69" s="1343"/>
      <c r="AZ69" s="1343"/>
      <c r="BA69" s="1343"/>
    </row>
    <row r="70" spans="1:53">
      <c r="A70" s="1343"/>
      <c r="B70" s="1343"/>
      <c r="C70" s="1343"/>
      <c r="D70" s="1343"/>
      <c r="E70" s="1343"/>
      <c r="F70" s="1343"/>
      <c r="G70" s="1343"/>
      <c r="H70" s="1343"/>
      <c r="I70" s="1343"/>
      <c r="J70" s="1343"/>
      <c r="K70" s="1343"/>
      <c r="L70" s="1343"/>
      <c r="M70" s="1343"/>
      <c r="N70" s="1343"/>
      <c r="O70" s="1343"/>
      <c r="P70" s="1343"/>
      <c r="Q70" s="1343"/>
      <c r="R70" s="1343"/>
      <c r="S70" s="1343"/>
      <c r="T70" s="1343"/>
      <c r="U70" s="1343"/>
      <c r="V70" s="1343"/>
      <c r="W70" s="1343"/>
      <c r="X70" s="1343"/>
      <c r="Y70" s="1343"/>
      <c r="Z70" s="1343"/>
      <c r="AA70" s="1343"/>
      <c r="AB70" s="1343"/>
      <c r="AC70" s="1343"/>
      <c r="AD70" s="1343"/>
      <c r="AE70" s="1343"/>
      <c r="AF70" s="1343"/>
      <c r="AG70" s="1343"/>
      <c r="AH70" s="1343"/>
      <c r="AI70" s="1343"/>
      <c r="AJ70" s="1343"/>
      <c r="AK70" s="1343"/>
      <c r="AL70" s="1343"/>
      <c r="AM70" s="1343"/>
      <c r="AN70" s="1343"/>
      <c r="AO70" s="1343"/>
      <c r="AP70" s="1343"/>
      <c r="AQ70" s="1343"/>
      <c r="AR70" s="1343"/>
      <c r="AS70" s="1343"/>
      <c r="AT70" s="1343"/>
      <c r="AU70" s="1343"/>
      <c r="AV70" s="1343"/>
      <c r="AW70" s="1343"/>
      <c r="AX70" s="1343"/>
      <c r="AY70" s="1343"/>
      <c r="AZ70" s="1343"/>
      <c r="BA70" s="1343"/>
    </row>
    <row r="71" spans="1:53">
      <c r="A71" s="1343"/>
      <c r="B71" s="1343"/>
      <c r="C71" s="1343"/>
      <c r="D71" s="1343"/>
      <c r="E71" s="1343"/>
      <c r="F71" s="1343"/>
      <c r="G71" s="1343"/>
      <c r="H71" s="1343"/>
      <c r="I71" s="1343"/>
      <c r="J71" s="1343"/>
      <c r="K71" s="1343"/>
      <c r="L71" s="1343"/>
      <c r="M71" s="1343"/>
      <c r="N71" s="1343"/>
      <c r="O71" s="1343"/>
      <c r="P71" s="1343"/>
      <c r="Q71" s="1343"/>
      <c r="R71" s="1343"/>
      <c r="S71" s="1343"/>
      <c r="T71" s="1343"/>
      <c r="U71" s="1343"/>
      <c r="V71" s="1343"/>
      <c r="W71" s="1343"/>
      <c r="X71" s="1343"/>
      <c r="Y71" s="1343"/>
      <c r="Z71" s="1343"/>
      <c r="AA71" s="1343"/>
      <c r="AB71" s="1343"/>
      <c r="AC71" s="1343"/>
      <c r="AD71" s="1343"/>
      <c r="AE71" s="1343"/>
      <c r="AF71" s="1343"/>
      <c r="AG71" s="1343"/>
      <c r="AH71" s="1343"/>
      <c r="AI71" s="1343"/>
      <c r="AJ71" s="1343"/>
      <c r="AK71" s="1343"/>
      <c r="AL71" s="1343"/>
      <c r="AM71" s="1343"/>
      <c r="AN71" s="1343"/>
      <c r="AO71" s="1343"/>
      <c r="AP71" s="1343"/>
      <c r="AQ71" s="1343"/>
      <c r="AR71" s="1343"/>
      <c r="AS71" s="1343"/>
      <c r="AT71" s="1343"/>
      <c r="AU71" s="1343"/>
      <c r="AV71" s="1343"/>
      <c r="AW71" s="1343"/>
      <c r="AX71" s="1343"/>
      <c r="AY71" s="1343"/>
      <c r="AZ71" s="1343"/>
      <c r="BA71" s="1343"/>
    </row>
    <row r="72" spans="1:53">
      <c r="A72" s="1343"/>
      <c r="B72" s="1343"/>
      <c r="C72" s="1343"/>
      <c r="D72" s="1343"/>
      <c r="E72" s="1343"/>
      <c r="F72" s="1343"/>
      <c r="G72" s="1343"/>
      <c r="H72" s="1343"/>
      <c r="I72" s="1343"/>
      <c r="J72" s="1343"/>
      <c r="K72" s="1343"/>
      <c r="L72" s="1343"/>
      <c r="M72" s="1343"/>
      <c r="N72" s="1343"/>
      <c r="O72" s="1343"/>
      <c r="P72" s="1343"/>
      <c r="Q72" s="1343"/>
      <c r="R72" s="1343"/>
      <c r="S72" s="1343"/>
      <c r="T72" s="1343"/>
      <c r="U72" s="1343"/>
      <c r="V72" s="1343"/>
      <c r="W72" s="1343"/>
      <c r="X72" s="1343"/>
      <c r="Y72" s="1343"/>
      <c r="Z72" s="1343"/>
      <c r="AA72" s="1343"/>
      <c r="AB72" s="1343"/>
      <c r="AC72" s="1343"/>
      <c r="AD72" s="1343"/>
      <c r="AE72" s="1343"/>
      <c r="AF72" s="1343"/>
      <c r="AG72" s="1343"/>
      <c r="AH72" s="1343"/>
      <c r="AI72" s="1343"/>
      <c r="AJ72" s="1343"/>
      <c r="AK72" s="1343"/>
      <c r="AL72" s="1343"/>
      <c r="AM72" s="1343"/>
      <c r="AN72" s="1343"/>
      <c r="AO72" s="1343"/>
      <c r="AP72" s="1343"/>
      <c r="AQ72" s="1343"/>
      <c r="AR72" s="1343"/>
      <c r="AS72" s="1343"/>
      <c r="AT72" s="1343"/>
      <c r="AU72" s="1343"/>
      <c r="AV72" s="1343"/>
      <c r="AW72" s="1343"/>
      <c r="AX72" s="1343"/>
      <c r="AY72" s="1343"/>
      <c r="AZ72" s="1343"/>
      <c r="BA72" s="1343"/>
    </row>
    <row r="73" spans="1:53">
      <c r="A73" s="1343"/>
      <c r="B73" s="1343"/>
      <c r="C73" s="1343"/>
      <c r="D73" s="1343"/>
      <c r="E73" s="1343"/>
      <c r="F73" s="1343"/>
      <c r="G73" s="1343"/>
      <c r="H73" s="1343"/>
      <c r="I73" s="1343"/>
      <c r="J73" s="1343"/>
      <c r="K73" s="1343"/>
      <c r="L73" s="1343"/>
      <c r="M73" s="1343"/>
      <c r="N73" s="1343"/>
      <c r="O73" s="1343"/>
      <c r="P73" s="1343"/>
      <c r="Q73" s="1343"/>
      <c r="R73" s="1343"/>
      <c r="S73" s="1343"/>
      <c r="T73" s="1343"/>
      <c r="U73" s="1343"/>
      <c r="V73" s="1343"/>
      <c r="W73" s="1343"/>
      <c r="X73" s="1343"/>
      <c r="Y73" s="1343"/>
      <c r="Z73" s="1343"/>
      <c r="AA73" s="1343"/>
      <c r="AB73" s="1343"/>
      <c r="AC73" s="1343"/>
      <c r="AD73" s="1343"/>
      <c r="AE73" s="1343"/>
      <c r="AF73" s="1343"/>
      <c r="AG73" s="1343"/>
      <c r="AH73" s="1343"/>
      <c r="AI73" s="1343"/>
      <c r="AJ73" s="1343"/>
      <c r="AK73" s="1343"/>
      <c r="AL73" s="1343"/>
      <c r="AM73" s="1343"/>
      <c r="AN73" s="1343"/>
      <c r="AO73" s="1343"/>
      <c r="AP73" s="1343"/>
      <c r="AQ73" s="1343"/>
      <c r="AR73" s="1343"/>
      <c r="AS73" s="1343"/>
      <c r="AT73" s="1343"/>
      <c r="AU73" s="1343"/>
      <c r="AV73" s="1343"/>
      <c r="AW73" s="1343"/>
      <c r="AX73" s="1343"/>
      <c r="AY73" s="1343"/>
      <c r="AZ73" s="1343"/>
      <c r="BA73" s="1343"/>
    </row>
    <row r="74" spans="1:53">
      <c r="A74" s="1343"/>
      <c r="B74" s="1343"/>
      <c r="C74" s="1343"/>
      <c r="D74" s="1343"/>
      <c r="E74" s="1343"/>
      <c r="F74" s="1343"/>
      <c r="G74" s="1343"/>
      <c r="H74" s="1343"/>
      <c r="I74" s="1343"/>
      <c r="J74" s="1343"/>
      <c r="K74" s="1343"/>
      <c r="L74" s="1343"/>
      <c r="M74" s="1343"/>
      <c r="N74" s="1343"/>
      <c r="O74" s="1343"/>
      <c r="P74" s="1343"/>
      <c r="Q74" s="1343"/>
      <c r="R74" s="1343"/>
      <c r="S74" s="1343"/>
      <c r="T74" s="1343"/>
      <c r="U74" s="1343"/>
      <c r="V74" s="1343"/>
      <c r="W74" s="1343"/>
      <c r="X74" s="1343"/>
      <c r="Y74" s="1343"/>
      <c r="Z74" s="1343"/>
      <c r="AA74" s="1343"/>
      <c r="AB74" s="1343"/>
      <c r="AC74" s="1343"/>
      <c r="AD74" s="1343"/>
      <c r="AE74" s="1343"/>
      <c r="AF74" s="1343"/>
      <c r="AG74" s="1343"/>
      <c r="AH74" s="1343"/>
      <c r="AI74" s="1343"/>
      <c r="AJ74" s="1343"/>
      <c r="AK74" s="1343"/>
      <c r="AL74" s="1343"/>
      <c r="AM74" s="1343"/>
      <c r="AN74" s="1343"/>
      <c r="AO74" s="1343"/>
      <c r="AP74" s="1343"/>
      <c r="AQ74" s="1343"/>
      <c r="AR74" s="1343"/>
      <c r="AS74" s="1343"/>
      <c r="AT74" s="1343"/>
      <c r="AU74" s="1343"/>
      <c r="AV74" s="1343"/>
      <c r="AW74" s="1343"/>
      <c r="AX74" s="1343"/>
      <c r="AY74" s="1343"/>
      <c r="AZ74" s="1343"/>
      <c r="BA74" s="1343"/>
    </row>
    <row r="75" spans="1:53">
      <c r="A75" s="1343"/>
      <c r="B75" s="1343"/>
      <c r="C75" s="1343"/>
      <c r="D75" s="1343"/>
      <c r="E75" s="1343"/>
      <c r="F75" s="1343"/>
      <c r="G75" s="1343"/>
      <c r="H75" s="1343"/>
      <c r="I75" s="1343"/>
      <c r="J75" s="1343"/>
      <c r="K75" s="1343"/>
      <c r="L75" s="1343"/>
      <c r="M75" s="1343"/>
      <c r="N75" s="1343"/>
      <c r="O75" s="1343"/>
      <c r="P75" s="1343"/>
      <c r="Q75" s="1343"/>
      <c r="R75" s="1343"/>
      <c r="S75" s="1343"/>
      <c r="T75" s="1343"/>
      <c r="U75" s="1343"/>
      <c r="V75" s="1343"/>
      <c r="W75" s="1343"/>
      <c r="X75" s="1343"/>
      <c r="Y75" s="1343"/>
      <c r="Z75" s="1343"/>
      <c r="AA75" s="1343"/>
      <c r="AB75" s="1343"/>
      <c r="AC75" s="1343"/>
      <c r="AD75" s="1343"/>
      <c r="AE75" s="1343"/>
      <c r="AF75" s="1343"/>
      <c r="AG75" s="1343"/>
      <c r="AH75" s="1343"/>
      <c r="AI75" s="1343"/>
      <c r="AJ75" s="1343"/>
      <c r="AK75" s="1343"/>
      <c r="AL75" s="1343"/>
      <c r="AM75" s="1343"/>
      <c r="AN75" s="1343"/>
      <c r="AO75" s="1343"/>
      <c r="AP75" s="1343"/>
      <c r="AQ75" s="1343"/>
      <c r="AR75" s="1343"/>
      <c r="AS75" s="1343"/>
      <c r="AT75" s="1343"/>
      <c r="AU75" s="1343"/>
      <c r="AV75" s="1343"/>
      <c r="AW75" s="1343"/>
      <c r="AX75" s="1343"/>
      <c r="AY75" s="1343"/>
      <c r="AZ75" s="1343"/>
      <c r="BA75" s="1343"/>
    </row>
    <row r="76" spans="1:53">
      <c r="A76" s="1343"/>
      <c r="B76" s="1343"/>
      <c r="C76" s="1343"/>
      <c r="D76" s="1343"/>
      <c r="E76" s="1343"/>
      <c r="F76" s="1343"/>
      <c r="G76" s="1343"/>
      <c r="H76" s="1343"/>
      <c r="I76" s="1343"/>
      <c r="J76" s="1343"/>
      <c r="K76" s="1343"/>
      <c r="L76" s="1343"/>
      <c r="M76" s="1343"/>
      <c r="N76" s="1343"/>
      <c r="O76" s="1343"/>
      <c r="P76" s="1343"/>
      <c r="Q76" s="1343"/>
      <c r="R76" s="1343"/>
      <c r="S76" s="1343"/>
      <c r="T76" s="1343"/>
      <c r="U76" s="1343"/>
      <c r="V76" s="1343"/>
      <c r="W76" s="1343"/>
      <c r="X76" s="1343"/>
      <c r="Y76" s="1343"/>
      <c r="Z76" s="1343"/>
      <c r="AA76" s="1343"/>
      <c r="AB76" s="1343"/>
      <c r="AC76" s="1343"/>
      <c r="AD76" s="1343"/>
      <c r="AE76" s="1343"/>
      <c r="AF76" s="1343"/>
      <c r="AG76" s="1343"/>
      <c r="AH76" s="1343"/>
      <c r="AI76" s="1343"/>
      <c r="AJ76" s="1343"/>
      <c r="AK76" s="1343"/>
      <c r="AL76" s="1343"/>
      <c r="AM76" s="1343"/>
      <c r="AN76" s="1343"/>
      <c r="AO76" s="1343"/>
      <c r="AP76" s="1343"/>
      <c r="AQ76" s="1343"/>
      <c r="AR76" s="1343"/>
      <c r="AS76" s="1343"/>
      <c r="AT76" s="1343"/>
      <c r="AU76" s="1343"/>
      <c r="AV76" s="1343"/>
      <c r="AW76" s="1343"/>
      <c r="AX76" s="1343"/>
      <c r="AY76" s="1343"/>
      <c r="AZ76" s="1343"/>
      <c r="BA76" s="1343"/>
    </row>
    <row r="77" spans="1:53">
      <c r="A77" s="1343"/>
      <c r="B77" s="1343"/>
      <c r="C77" s="1343"/>
      <c r="D77" s="1343"/>
      <c r="E77" s="1343"/>
      <c r="F77" s="1343"/>
      <c r="G77" s="1343"/>
      <c r="H77" s="1343"/>
      <c r="I77" s="1343"/>
      <c r="J77" s="1343"/>
      <c r="K77" s="1343"/>
      <c r="L77" s="1343"/>
      <c r="M77" s="1343"/>
      <c r="N77" s="1343"/>
      <c r="O77" s="1343"/>
      <c r="P77" s="1343"/>
      <c r="Q77" s="1343"/>
      <c r="R77" s="1343"/>
      <c r="S77" s="1343"/>
      <c r="T77" s="1343"/>
      <c r="U77" s="1343"/>
      <c r="V77" s="1343"/>
      <c r="W77" s="1343"/>
      <c r="X77" s="1343"/>
      <c r="Y77" s="1343"/>
      <c r="Z77" s="1343"/>
      <c r="AA77" s="1343"/>
      <c r="AB77" s="1343"/>
      <c r="AC77" s="1343"/>
      <c r="AD77" s="1343"/>
      <c r="AE77" s="1343"/>
      <c r="AF77" s="1343"/>
      <c r="AG77" s="1343"/>
      <c r="AH77" s="1343"/>
      <c r="AI77" s="1343"/>
      <c r="AJ77" s="1343"/>
      <c r="AK77" s="1343"/>
      <c r="AL77" s="1343"/>
      <c r="AM77" s="1343"/>
      <c r="AN77" s="1343"/>
      <c r="AO77" s="1343"/>
      <c r="AP77" s="1343"/>
      <c r="AQ77" s="1343"/>
      <c r="AR77" s="1343"/>
      <c r="AS77" s="1343"/>
      <c r="AT77" s="1343"/>
      <c r="AU77" s="1343"/>
      <c r="AV77" s="1343"/>
      <c r="AW77" s="1343"/>
      <c r="AX77" s="1343"/>
      <c r="AY77" s="1343"/>
      <c r="AZ77" s="1343"/>
      <c r="BA77" s="1343"/>
    </row>
    <row r="78" spans="1:53">
      <c r="A78" s="1343"/>
      <c r="B78" s="1343"/>
      <c r="C78" s="1343"/>
      <c r="D78" s="1343"/>
      <c r="E78" s="1343"/>
      <c r="F78" s="1343"/>
      <c r="G78" s="1343"/>
      <c r="H78" s="1343"/>
      <c r="I78" s="1343"/>
      <c r="J78" s="1343"/>
      <c r="K78" s="1343"/>
      <c r="L78" s="1343"/>
      <c r="M78" s="1343"/>
      <c r="N78" s="1343"/>
      <c r="O78" s="1343"/>
      <c r="P78" s="1343"/>
      <c r="Q78" s="1343"/>
      <c r="R78" s="1343"/>
      <c r="S78" s="1343"/>
      <c r="T78" s="1343"/>
      <c r="U78" s="1343"/>
      <c r="V78" s="1343"/>
      <c r="W78" s="1343"/>
      <c r="X78" s="1343"/>
      <c r="Y78" s="1343"/>
      <c r="Z78" s="1343"/>
      <c r="AA78" s="1343"/>
      <c r="AB78" s="1343"/>
      <c r="AC78" s="1343"/>
      <c r="AD78" s="1343"/>
      <c r="AE78" s="1343"/>
      <c r="AF78" s="1343"/>
      <c r="AG78" s="1343"/>
      <c r="AH78" s="1343"/>
      <c r="AI78" s="1343"/>
      <c r="AJ78" s="1343"/>
      <c r="AK78" s="1343"/>
      <c r="AL78" s="1343"/>
      <c r="AM78" s="1343"/>
      <c r="AN78" s="1343"/>
      <c r="AO78" s="1343"/>
      <c r="AP78" s="1343"/>
      <c r="AQ78" s="1343"/>
      <c r="AR78" s="1343"/>
      <c r="AS78" s="1343"/>
      <c r="AT78" s="1343"/>
      <c r="AU78" s="1343"/>
      <c r="AV78" s="1343"/>
      <c r="AW78" s="1343"/>
      <c r="AX78" s="1343"/>
      <c r="AY78" s="1343"/>
      <c r="AZ78" s="1343"/>
      <c r="BA78" s="1343"/>
    </row>
    <row r="79" spans="1:53">
      <c r="A79" s="1343"/>
      <c r="B79" s="1343"/>
      <c r="C79" s="1343"/>
      <c r="D79" s="1343"/>
      <c r="E79" s="1343"/>
      <c r="F79" s="1343"/>
      <c r="G79" s="1343"/>
      <c r="H79" s="1343"/>
      <c r="I79" s="1343"/>
      <c r="J79" s="1343"/>
      <c r="K79" s="1343"/>
      <c r="L79" s="1343"/>
      <c r="M79" s="1343"/>
      <c r="N79" s="1343"/>
      <c r="O79" s="1343"/>
      <c r="P79" s="1343"/>
      <c r="Q79" s="1343"/>
      <c r="R79" s="1343"/>
      <c r="S79" s="1343"/>
      <c r="T79" s="1343"/>
      <c r="U79" s="1343"/>
      <c r="V79" s="1343"/>
      <c r="W79" s="1343"/>
      <c r="X79" s="1343"/>
      <c r="Y79" s="1343"/>
      <c r="Z79" s="1343"/>
      <c r="AA79" s="1343"/>
      <c r="AB79" s="1343"/>
      <c r="AC79" s="1343"/>
      <c r="AD79" s="1343"/>
      <c r="AE79" s="1343"/>
      <c r="AF79" s="1343"/>
      <c r="AG79" s="1343"/>
      <c r="AH79" s="1343"/>
      <c r="AI79" s="1343"/>
      <c r="AJ79" s="1343"/>
      <c r="AK79" s="1343"/>
      <c r="AL79" s="1343"/>
      <c r="AM79" s="1343"/>
      <c r="AN79" s="1343"/>
      <c r="AO79" s="1343"/>
      <c r="AP79" s="1343"/>
      <c r="AQ79" s="1343"/>
      <c r="AR79" s="1343"/>
      <c r="AS79" s="1343"/>
      <c r="AT79" s="1343"/>
      <c r="AU79" s="1343"/>
      <c r="AV79" s="1343"/>
      <c r="AW79" s="1343"/>
      <c r="AX79" s="1343"/>
      <c r="AY79" s="1343"/>
      <c r="AZ79" s="1343"/>
      <c r="BA79" s="1343"/>
    </row>
    <row r="80" spans="1:53">
      <c r="A80" s="1343"/>
      <c r="B80" s="1343"/>
      <c r="C80" s="1343"/>
      <c r="D80" s="1343"/>
      <c r="E80" s="1343"/>
      <c r="F80" s="1343"/>
      <c r="G80" s="1343"/>
      <c r="H80" s="1343"/>
      <c r="I80" s="1343"/>
      <c r="J80" s="1343"/>
      <c r="K80" s="1343"/>
      <c r="L80" s="1343"/>
      <c r="M80" s="1343"/>
      <c r="N80" s="1343"/>
      <c r="O80" s="1343"/>
      <c r="P80" s="1343"/>
      <c r="Q80" s="1343"/>
      <c r="R80" s="1343"/>
      <c r="S80" s="1343"/>
      <c r="T80" s="1343"/>
      <c r="U80" s="1343"/>
      <c r="V80" s="1343"/>
      <c r="W80" s="1343"/>
      <c r="X80" s="1343"/>
      <c r="Y80" s="1343"/>
      <c r="Z80" s="1343"/>
      <c r="AA80" s="1343"/>
      <c r="AB80" s="1343"/>
      <c r="AC80" s="1343"/>
      <c r="AD80" s="1343"/>
      <c r="AE80" s="1343"/>
      <c r="AF80" s="1343"/>
      <c r="AG80" s="1343"/>
      <c r="AH80" s="1343"/>
      <c r="AI80" s="1343"/>
      <c r="AJ80" s="1343"/>
      <c r="AK80" s="1343"/>
      <c r="AL80" s="1343"/>
      <c r="AM80" s="1343"/>
      <c r="AN80" s="1343"/>
      <c r="AO80" s="1343"/>
      <c r="AP80" s="1343"/>
      <c r="AQ80" s="1343"/>
      <c r="AR80" s="1343"/>
      <c r="AS80" s="1343"/>
      <c r="AT80" s="1343"/>
      <c r="AU80" s="1343"/>
      <c r="AV80" s="1343"/>
      <c r="AW80" s="1343"/>
      <c r="AX80" s="1343"/>
      <c r="AY80" s="1343"/>
      <c r="AZ80" s="1343"/>
      <c r="BA80" s="1343"/>
    </row>
    <row r="81" spans="1:53">
      <c r="A81" s="1343"/>
      <c r="B81" s="1343"/>
      <c r="C81" s="1343"/>
      <c r="D81" s="1343"/>
      <c r="E81" s="1343"/>
      <c r="F81" s="1343"/>
      <c r="G81" s="1343"/>
      <c r="H81" s="1343"/>
      <c r="I81" s="1343"/>
      <c r="J81" s="1343"/>
      <c r="K81" s="1343"/>
      <c r="L81" s="1343"/>
      <c r="M81" s="1343"/>
      <c r="N81" s="1343"/>
      <c r="O81" s="1343"/>
      <c r="P81" s="1343"/>
      <c r="Q81" s="1343"/>
      <c r="R81" s="1343"/>
      <c r="S81" s="1343"/>
      <c r="T81" s="1343"/>
      <c r="U81" s="1343"/>
      <c r="V81" s="1343"/>
      <c r="W81" s="1343"/>
      <c r="X81" s="1343"/>
      <c r="Y81" s="1343"/>
      <c r="Z81" s="1343"/>
      <c r="AA81" s="1343"/>
      <c r="AB81" s="1343"/>
      <c r="AC81" s="1343"/>
      <c r="AD81" s="1343"/>
      <c r="AE81" s="1343"/>
      <c r="AF81" s="1343"/>
      <c r="AG81" s="1343"/>
      <c r="AH81" s="1343"/>
      <c r="AI81" s="1343"/>
      <c r="AJ81" s="1343"/>
      <c r="AK81" s="1343"/>
      <c r="AL81" s="1343"/>
      <c r="AM81" s="1343"/>
      <c r="AN81" s="1343"/>
      <c r="AO81" s="1343"/>
      <c r="AP81" s="1343"/>
      <c r="AQ81" s="1343"/>
      <c r="AR81" s="1343"/>
      <c r="AS81" s="1343"/>
      <c r="AT81" s="1343"/>
      <c r="AU81" s="1343"/>
      <c r="AV81" s="1343"/>
      <c r="AW81" s="1343"/>
      <c r="AX81" s="1343"/>
      <c r="AY81" s="1343"/>
      <c r="AZ81" s="1343"/>
      <c r="BA81" s="1343"/>
    </row>
    <row r="82" spans="1:53">
      <c r="A82" s="1343"/>
      <c r="B82" s="1343"/>
      <c r="C82" s="1343"/>
      <c r="D82" s="1343"/>
      <c r="E82" s="1343"/>
      <c r="F82" s="1343"/>
      <c r="G82" s="1343"/>
      <c r="H82" s="1343"/>
      <c r="I82" s="1343"/>
      <c r="J82" s="1343"/>
      <c r="K82" s="1343"/>
      <c r="L82" s="1343"/>
      <c r="M82" s="1343"/>
      <c r="N82" s="1343"/>
      <c r="O82" s="1343"/>
      <c r="P82" s="1343"/>
      <c r="Q82" s="1343"/>
      <c r="R82" s="1343"/>
      <c r="S82" s="1343"/>
      <c r="T82" s="1343"/>
      <c r="U82" s="1343"/>
      <c r="V82" s="1343"/>
      <c r="W82" s="1343"/>
      <c r="X82" s="1343"/>
      <c r="Y82" s="1343"/>
      <c r="Z82" s="1343"/>
      <c r="AA82" s="1343"/>
      <c r="AB82" s="1343"/>
      <c r="AC82" s="1343"/>
      <c r="AD82" s="1343"/>
      <c r="AE82" s="1343"/>
      <c r="AF82" s="1343"/>
      <c r="AG82" s="1343"/>
      <c r="AH82" s="1343"/>
      <c r="AI82" s="1343"/>
      <c r="AJ82" s="1343"/>
      <c r="AK82" s="1343"/>
      <c r="AL82" s="1343"/>
      <c r="AM82" s="1343"/>
      <c r="AN82" s="1343"/>
      <c r="AO82" s="1343"/>
      <c r="AP82" s="1343"/>
      <c r="AQ82" s="1343"/>
      <c r="AR82" s="1343"/>
      <c r="AS82" s="1343"/>
      <c r="AT82" s="1343"/>
      <c r="AU82" s="1343"/>
      <c r="AV82" s="1343"/>
      <c r="AW82" s="1343"/>
      <c r="AX82" s="1343"/>
      <c r="AY82" s="1343"/>
      <c r="AZ82" s="1343"/>
      <c r="BA82" s="1343"/>
    </row>
    <row r="83" spans="1:53">
      <c r="A83" s="1343"/>
      <c r="B83" s="1343"/>
      <c r="C83" s="1343"/>
      <c r="D83" s="1343"/>
      <c r="E83" s="1343"/>
      <c r="F83" s="1343"/>
      <c r="G83" s="1343"/>
      <c r="H83" s="1343"/>
      <c r="I83" s="1343"/>
      <c r="J83" s="1343"/>
      <c r="K83" s="1343"/>
      <c r="L83" s="1343"/>
      <c r="M83" s="1343"/>
      <c r="N83" s="1343"/>
      <c r="O83" s="1343"/>
      <c r="P83" s="1343"/>
      <c r="Q83" s="1343"/>
      <c r="R83" s="1343"/>
      <c r="S83" s="1343"/>
      <c r="T83" s="1343"/>
      <c r="U83" s="1343"/>
      <c r="V83" s="1343"/>
      <c r="W83" s="1343"/>
      <c r="X83" s="1343"/>
      <c r="Y83" s="1343"/>
      <c r="Z83" s="1343"/>
      <c r="AA83" s="1343"/>
      <c r="AB83" s="1343"/>
      <c r="AC83" s="1343"/>
      <c r="AD83" s="1343"/>
      <c r="AE83" s="1343"/>
      <c r="AF83" s="1343"/>
      <c r="AG83" s="1343"/>
      <c r="AH83" s="1343"/>
      <c r="AI83" s="1343"/>
      <c r="AJ83" s="1343"/>
      <c r="AK83" s="1343"/>
      <c r="AL83" s="1343"/>
      <c r="AM83" s="1343"/>
      <c r="AN83" s="1343"/>
      <c r="AO83" s="1343"/>
      <c r="AP83" s="1343"/>
      <c r="AQ83" s="1343"/>
      <c r="AR83" s="1343"/>
      <c r="AS83" s="1343"/>
      <c r="AT83" s="1343"/>
      <c r="AU83" s="1343"/>
      <c r="AV83" s="1343"/>
      <c r="AW83" s="1343"/>
      <c r="AX83" s="1343"/>
      <c r="AY83" s="1343"/>
      <c r="AZ83" s="1343"/>
      <c r="BA83" s="1343"/>
    </row>
    <row r="84" spans="1:53">
      <c r="A84" s="1343"/>
      <c r="B84" s="1343"/>
      <c r="C84" s="1343"/>
      <c r="D84" s="1343"/>
      <c r="E84" s="1343"/>
      <c r="F84" s="1343"/>
      <c r="G84" s="1343"/>
      <c r="H84" s="1343"/>
      <c r="I84" s="1343"/>
      <c r="J84" s="1343"/>
      <c r="K84" s="1343"/>
      <c r="L84" s="1343"/>
      <c r="M84" s="1343"/>
      <c r="N84" s="1343"/>
      <c r="O84" s="1343"/>
      <c r="P84" s="1343"/>
      <c r="Q84" s="1343"/>
      <c r="R84" s="1343"/>
      <c r="S84" s="1343"/>
      <c r="T84" s="1343"/>
      <c r="U84" s="1343"/>
      <c r="V84" s="1343"/>
      <c r="W84" s="1343"/>
      <c r="X84" s="1343"/>
      <c r="Y84" s="1343"/>
      <c r="Z84" s="1343"/>
      <c r="AA84" s="1343"/>
      <c r="AB84" s="1343"/>
      <c r="AC84" s="1343"/>
      <c r="AD84" s="1343"/>
      <c r="AE84" s="1343"/>
      <c r="AF84" s="1343"/>
      <c r="AG84" s="1343"/>
      <c r="AH84" s="1343"/>
      <c r="AI84" s="1343"/>
      <c r="AJ84" s="1343"/>
      <c r="AK84" s="1343"/>
      <c r="AL84" s="1343"/>
      <c r="AM84" s="1343"/>
      <c r="AN84" s="1343"/>
      <c r="AO84" s="1343"/>
      <c r="AP84" s="1343"/>
      <c r="AQ84" s="1343"/>
      <c r="AR84" s="1343"/>
      <c r="AS84" s="1343"/>
      <c r="AT84" s="1343"/>
      <c r="AU84" s="1343"/>
      <c r="AV84" s="1343"/>
      <c r="AW84" s="1343"/>
      <c r="AX84" s="1343"/>
      <c r="AY84" s="1343"/>
      <c r="AZ84" s="1343"/>
      <c r="BA84" s="1343"/>
    </row>
    <row r="85" spans="1:53">
      <c r="A85" s="1343"/>
      <c r="B85" s="1343"/>
      <c r="C85" s="1343"/>
      <c r="D85" s="1343"/>
      <c r="E85" s="1343"/>
      <c r="F85" s="1343"/>
      <c r="G85" s="1343"/>
      <c r="H85" s="1343"/>
      <c r="I85" s="1343"/>
      <c r="J85" s="1343"/>
      <c r="K85" s="1343"/>
      <c r="L85" s="1343"/>
      <c r="M85" s="1343"/>
      <c r="N85" s="1343"/>
      <c r="O85" s="1343"/>
      <c r="P85" s="1343"/>
      <c r="Q85" s="1343"/>
      <c r="R85" s="1343"/>
      <c r="S85" s="1343"/>
      <c r="T85" s="1343"/>
      <c r="U85" s="1343"/>
      <c r="V85" s="1343"/>
      <c r="W85" s="1343"/>
      <c r="X85" s="1343"/>
      <c r="Y85" s="1343"/>
      <c r="Z85" s="1343"/>
      <c r="AA85" s="1343"/>
      <c r="AB85" s="1343"/>
      <c r="AC85" s="1343"/>
      <c r="AD85" s="1343"/>
      <c r="AE85" s="1343"/>
      <c r="AF85" s="1343"/>
      <c r="AG85" s="1343"/>
      <c r="AH85" s="1343"/>
      <c r="AI85" s="1343"/>
      <c r="AJ85" s="1343"/>
      <c r="AK85" s="1343"/>
      <c r="AL85" s="1343"/>
      <c r="AM85" s="1343"/>
      <c r="AN85" s="1343"/>
      <c r="AO85" s="1343"/>
      <c r="AP85" s="1343"/>
      <c r="AQ85" s="1343"/>
      <c r="AR85" s="1343"/>
      <c r="AS85" s="1343"/>
      <c r="AT85" s="1343"/>
      <c r="AU85" s="1343"/>
      <c r="AV85" s="1343"/>
      <c r="AW85" s="1343"/>
      <c r="AX85" s="1343"/>
      <c r="AY85" s="1343"/>
      <c r="AZ85" s="1343"/>
      <c r="BA85" s="1343"/>
    </row>
    <row r="86" spans="1:53">
      <c r="A86" s="1343"/>
      <c r="B86" s="1343"/>
      <c r="C86" s="1343"/>
      <c r="D86" s="1343"/>
      <c r="E86" s="1343"/>
      <c r="F86" s="1343"/>
      <c r="G86" s="1343"/>
      <c r="H86" s="1343"/>
      <c r="I86" s="1343"/>
      <c r="J86" s="1343"/>
      <c r="K86" s="1343"/>
      <c r="L86" s="1343"/>
      <c r="M86" s="1343"/>
      <c r="N86" s="1343"/>
      <c r="O86" s="1343"/>
      <c r="P86" s="1343"/>
      <c r="Q86" s="1343"/>
      <c r="R86" s="1343"/>
      <c r="S86" s="1343"/>
      <c r="T86" s="1343"/>
      <c r="U86" s="1343"/>
      <c r="V86" s="1343"/>
      <c r="W86" s="1343"/>
      <c r="X86" s="1343"/>
      <c r="Y86" s="1343"/>
      <c r="Z86" s="1343"/>
      <c r="AA86" s="1343"/>
      <c r="AB86" s="1343"/>
      <c r="AC86" s="1343"/>
      <c r="AD86" s="1343"/>
      <c r="AE86" s="1343"/>
      <c r="AF86" s="1343"/>
      <c r="AG86" s="1343"/>
      <c r="AH86" s="1343"/>
      <c r="AI86" s="1343"/>
      <c r="AJ86" s="1343"/>
      <c r="AK86" s="1343"/>
      <c r="AL86" s="1343"/>
      <c r="AM86" s="1343"/>
      <c r="AN86" s="1343"/>
      <c r="AO86" s="1343"/>
      <c r="AP86" s="1343"/>
      <c r="AQ86" s="1343"/>
      <c r="AR86" s="1343"/>
      <c r="AS86" s="1343"/>
      <c r="AT86" s="1343"/>
      <c r="AU86" s="1343"/>
      <c r="AV86" s="1343"/>
      <c r="AW86" s="1343"/>
      <c r="AX86" s="1343"/>
      <c r="AY86" s="1343"/>
      <c r="AZ86" s="1343"/>
      <c r="BA86" s="1343"/>
    </row>
    <row r="87" spans="1:53">
      <c r="A87" s="1343"/>
      <c r="B87" s="1343"/>
      <c r="C87" s="1343"/>
      <c r="D87" s="1343"/>
      <c r="E87" s="1343"/>
      <c r="F87" s="1343"/>
      <c r="G87" s="1343"/>
      <c r="H87" s="1343"/>
      <c r="I87" s="1343"/>
      <c r="J87" s="1343"/>
      <c r="K87" s="1343"/>
      <c r="L87" s="1343"/>
      <c r="M87" s="1343"/>
      <c r="N87" s="1343"/>
      <c r="O87" s="1343"/>
      <c r="P87" s="1343"/>
      <c r="Q87" s="1343"/>
      <c r="R87" s="1343"/>
      <c r="S87" s="1343"/>
      <c r="T87" s="1343"/>
      <c r="U87" s="1343"/>
      <c r="V87" s="1343"/>
      <c r="W87" s="1343"/>
      <c r="X87" s="1343"/>
      <c r="Y87" s="1343"/>
      <c r="Z87" s="1343"/>
      <c r="AA87" s="1343"/>
      <c r="AB87" s="1343"/>
      <c r="AC87" s="1343"/>
      <c r="AD87" s="1343"/>
      <c r="AE87" s="1343"/>
      <c r="AF87" s="1343"/>
      <c r="AG87" s="1343"/>
      <c r="AH87" s="1343"/>
      <c r="AI87" s="1343"/>
      <c r="AJ87" s="1343"/>
      <c r="AK87" s="1343"/>
      <c r="AL87" s="1343"/>
      <c r="AM87" s="1343"/>
      <c r="AN87" s="1343"/>
      <c r="AO87" s="1343"/>
      <c r="AP87" s="1343"/>
      <c r="AQ87" s="1343"/>
      <c r="AR87" s="1343"/>
      <c r="AS87" s="1343"/>
      <c r="AT87" s="1343"/>
      <c r="AU87" s="1343"/>
      <c r="AV87" s="1343"/>
      <c r="AW87" s="1343"/>
      <c r="AX87" s="1343"/>
      <c r="AY87" s="1343"/>
      <c r="AZ87" s="1343"/>
      <c r="BA87" s="1343"/>
    </row>
    <row r="88" spans="1:53">
      <c r="A88" s="1343"/>
      <c r="B88" s="1343"/>
      <c r="C88" s="1343"/>
      <c r="D88" s="1343"/>
      <c r="E88" s="1343"/>
      <c r="F88" s="1343"/>
      <c r="G88" s="1343"/>
      <c r="H88" s="1343"/>
      <c r="I88" s="1343"/>
      <c r="J88" s="1343"/>
      <c r="K88" s="1343"/>
      <c r="L88" s="1343"/>
      <c r="M88" s="1343"/>
      <c r="N88" s="1343"/>
      <c r="O88" s="1343"/>
      <c r="P88" s="1343"/>
      <c r="Q88" s="1343"/>
      <c r="R88" s="1343"/>
      <c r="S88" s="1343"/>
      <c r="T88" s="1343"/>
      <c r="U88" s="1343"/>
      <c r="V88" s="1343"/>
      <c r="W88" s="1343"/>
      <c r="X88" s="1343"/>
      <c r="Y88" s="1343"/>
      <c r="Z88" s="1343"/>
      <c r="AA88" s="1343"/>
      <c r="AB88" s="1343"/>
      <c r="AC88" s="1343"/>
      <c r="AD88" s="1343"/>
      <c r="AE88" s="1343"/>
      <c r="AF88" s="1343"/>
      <c r="AG88" s="1343"/>
      <c r="AH88" s="1343"/>
      <c r="AI88" s="1343"/>
      <c r="AJ88" s="1343"/>
      <c r="AK88" s="1343"/>
      <c r="AL88" s="1343"/>
      <c r="AM88" s="1343"/>
      <c r="AN88" s="1343"/>
      <c r="AO88" s="1343"/>
      <c r="AP88" s="1343"/>
      <c r="AQ88" s="1343"/>
      <c r="AR88" s="1343"/>
      <c r="AS88" s="1343"/>
      <c r="AT88" s="1343"/>
      <c r="AU88" s="1343"/>
      <c r="AV88" s="1343"/>
      <c r="AW88" s="1343"/>
      <c r="AX88" s="1343"/>
      <c r="AY88" s="1343"/>
      <c r="AZ88" s="1343"/>
      <c r="BA88" s="1343"/>
    </row>
    <row r="89" spans="1:53">
      <c r="A89" s="1343"/>
      <c r="B89" s="1343"/>
      <c r="C89" s="1343"/>
      <c r="D89" s="1343"/>
      <c r="E89" s="1343"/>
      <c r="F89" s="1343"/>
      <c r="G89" s="1343"/>
      <c r="H89" s="1343"/>
      <c r="I89" s="1343"/>
      <c r="J89" s="1343"/>
      <c r="K89" s="1343"/>
      <c r="L89" s="1343"/>
      <c r="M89" s="1343"/>
      <c r="N89" s="1343"/>
      <c r="O89" s="1343"/>
      <c r="P89" s="1343"/>
      <c r="Q89" s="1343"/>
      <c r="R89" s="1343"/>
      <c r="S89" s="1343"/>
      <c r="T89" s="1343"/>
      <c r="U89" s="1343"/>
      <c r="V89" s="1343"/>
      <c r="W89" s="1343"/>
      <c r="X89" s="1343"/>
      <c r="Y89" s="1343"/>
      <c r="Z89" s="1343"/>
      <c r="AA89" s="1343"/>
      <c r="AB89" s="1343"/>
      <c r="AC89" s="1343"/>
      <c r="AD89" s="1343"/>
      <c r="AE89" s="1343"/>
      <c r="AF89" s="1343"/>
      <c r="AG89" s="1343"/>
      <c r="AH89" s="1343"/>
      <c r="AI89" s="1343"/>
      <c r="AJ89" s="1343"/>
      <c r="AK89" s="1343"/>
      <c r="AL89" s="1343"/>
      <c r="AM89" s="1343"/>
      <c r="AN89" s="1343"/>
      <c r="AO89" s="1343"/>
      <c r="AP89" s="1343"/>
      <c r="AQ89" s="1343"/>
      <c r="AR89" s="1343"/>
      <c r="AS89" s="1343"/>
      <c r="AT89" s="1343"/>
      <c r="AU89" s="1343"/>
      <c r="AV89" s="1343"/>
      <c r="AW89" s="1343"/>
      <c r="AX89" s="1343"/>
      <c r="AY89" s="1343"/>
      <c r="AZ89" s="1343"/>
      <c r="BA89" s="1343"/>
    </row>
    <row r="90" spans="1:53">
      <c r="A90" s="1343"/>
      <c r="B90" s="1343"/>
      <c r="C90" s="1343"/>
      <c r="D90" s="1343"/>
      <c r="E90" s="1343"/>
      <c r="F90" s="1343"/>
      <c r="G90" s="1343"/>
      <c r="H90" s="1343"/>
      <c r="I90" s="1343"/>
      <c r="J90" s="1343"/>
      <c r="K90" s="1343"/>
      <c r="L90" s="1343"/>
      <c r="M90" s="1343"/>
      <c r="N90" s="1343"/>
      <c r="O90" s="1343"/>
      <c r="P90" s="1343"/>
      <c r="Q90" s="1343"/>
      <c r="R90" s="1343"/>
      <c r="S90" s="1343"/>
      <c r="T90" s="1343"/>
      <c r="U90" s="1343"/>
      <c r="V90" s="1343"/>
      <c r="W90" s="1343"/>
      <c r="X90" s="1343"/>
      <c r="Y90" s="1343"/>
      <c r="Z90" s="1343"/>
      <c r="AA90" s="1343"/>
      <c r="AB90" s="1343"/>
      <c r="AC90" s="1343"/>
      <c r="AD90" s="1343"/>
      <c r="AE90" s="1343"/>
      <c r="AF90" s="1343"/>
      <c r="AG90" s="1343"/>
      <c r="AH90" s="1343"/>
      <c r="AI90" s="1343"/>
      <c r="AJ90" s="1343"/>
      <c r="AK90" s="1343"/>
      <c r="AL90" s="1343"/>
      <c r="AM90" s="1343"/>
      <c r="AN90" s="1343"/>
      <c r="AO90" s="1343"/>
      <c r="AP90" s="1343"/>
      <c r="AQ90" s="1343"/>
      <c r="AR90" s="1343"/>
      <c r="AS90" s="1343"/>
      <c r="AT90" s="1343"/>
      <c r="AU90" s="1343"/>
      <c r="AV90" s="1343"/>
      <c r="AW90" s="1343"/>
      <c r="AX90" s="1343"/>
      <c r="AY90" s="1343"/>
      <c r="AZ90" s="1343"/>
      <c r="BA90" s="1343"/>
    </row>
    <row r="91" spans="1:53">
      <c r="A91" s="1343"/>
      <c r="B91" s="1343"/>
      <c r="C91" s="1343"/>
      <c r="D91" s="1343"/>
      <c r="E91" s="1343"/>
      <c r="F91" s="1343"/>
      <c r="G91" s="1343"/>
      <c r="H91" s="1343"/>
      <c r="I91" s="1343"/>
      <c r="J91" s="1343"/>
      <c r="K91" s="1343"/>
      <c r="L91" s="1343"/>
      <c r="M91" s="1343"/>
      <c r="N91" s="1343"/>
      <c r="O91" s="1343"/>
      <c r="P91" s="1343"/>
      <c r="Q91" s="1343"/>
      <c r="R91" s="1343"/>
      <c r="S91" s="1343"/>
      <c r="T91" s="1343"/>
      <c r="U91" s="1343"/>
      <c r="V91" s="1343"/>
      <c r="W91" s="1343"/>
      <c r="X91" s="1343"/>
      <c r="Y91" s="1343"/>
      <c r="Z91" s="1343"/>
      <c r="AA91" s="1343"/>
      <c r="AB91" s="1343"/>
      <c r="AC91" s="1343"/>
      <c r="AD91" s="1343"/>
      <c r="AE91" s="1343"/>
      <c r="AF91" s="1343"/>
      <c r="AG91" s="1343"/>
      <c r="AH91" s="1343"/>
      <c r="AI91" s="1343"/>
      <c r="AJ91" s="1343"/>
      <c r="AK91" s="1343"/>
      <c r="AL91" s="1343"/>
      <c r="AM91" s="1343"/>
      <c r="AN91" s="1343"/>
      <c r="AO91" s="1343"/>
      <c r="AP91" s="1343"/>
      <c r="AQ91" s="1343"/>
      <c r="AR91" s="1343"/>
      <c r="AS91" s="1343"/>
      <c r="AT91" s="1343"/>
      <c r="AU91" s="1343"/>
      <c r="AV91" s="1343"/>
      <c r="AW91" s="1343"/>
      <c r="AX91" s="1343"/>
      <c r="AY91" s="1343"/>
      <c r="AZ91" s="1343"/>
      <c r="BA91" s="1343"/>
    </row>
    <row r="92" spans="1:53">
      <c r="A92" s="1343"/>
      <c r="B92" s="1343"/>
      <c r="C92" s="1343"/>
      <c r="D92" s="1343"/>
      <c r="E92" s="1343"/>
      <c r="F92" s="1343"/>
      <c r="G92" s="1343"/>
      <c r="H92" s="1343"/>
      <c r="I92" s="1343"/>
      <c r="J92" s="1343"/>
      <c r="K92" s="1343"/>
      <c r="L92" s="1343"/>
      <c r="M92" s="1343"/>
      <c r="N92" s="1343"/>
      <c r="O92" s="1343"/>
      <c r="P92" s="1343"/>
      <c r="Q92" s="1343"/>
      <c r="R92" s="1343"/>
      <c r="S92" s="1343"/>
      <c r="T92" s="1343"/>
      <c r="U92" s="1343"/>
      <c r="V92" s="1343"/>
      <c r="W92" s="1343"/>
      <c r="X92" s="1343"/>
      <c r="Y92" s="1343"/>
      <c r="Z92" s="1343"/>
      <c r="AA92" s="1343"/>
      <c r="AB92" s="1343"/>
      <c r="AC92" s="1343"/>
      <c r="AD92" s="1343"/>
      <c r="AE92" s="1343"/>
      <c r="AF92" s="1343"/>
      <c r="AG92" s="1343"/>
      <c r="AH92" s="1343"/>
      <c r="AI92" s="1343"/>
      <c r="AJ92" s="1343"/>
      <c r="AK92" s="1343"/>
      <c r="AL92" s="1343"/>
      <c r="AM92" s="1343"/>
      <c r="AN92" s="1343"/>
      <c r="AO92" s="1343"/>
      <c r="AP92" s="1343"/>
      <c r="AQ92" s="1343"/>
      <c r="AR92" s="1343"/>
      <c r="AS92" s="1343"/>
      <c r="AT92" s="1343"/>
      <c r="AU92" s="1343"/>
      <c r="AV92" s="1343"/>
      <c r="AW92" s="1343"/>
      <c r="AX92" s="1343"/>
      <c r="AY92" s="1343"/>
      <c r="AZ92" s="1343"/>
      <c r="BA92" s="1343"/>
    </row>
    <row r="93" spans="1:53">
      <c r="A93" s="1343"/>
      <c r="B93" s="1343"/>
      <c r="C93" s="1343"/>
      <c r="D93" s="1343"/>
      <c r="E93" s="1343"/>
      <c r="F93" s="1343"/>
      <c r="G93" s="1343"/>
      <c r="H93" s="1343"/>
      <c r="I93" s="1343"/>
      <c r="J93" s="1343"/>
      <c r="K93" s="1343"/>
      <c r="L93" s="1343"/>
      <c r="M93" s="1343"/>
      <c r="N93" s="1343"/>
      <c r="O93" s="1343"/>
      <c r="P93" s="1343"/>
      <c r="Q93" s="1343"/>
      <c r="R93" s="1343"/>
      <c r="S93" s="1343"/>
      <c r="T93" s="1343"/>
      <c r="U93" s="1343"/>
      <c r="V93" s="1343"/>
      <c r="W93" s="1343"/>
      <c r="X93" s="1343"/>
      <c r="Y93" s="1343"/>
      <c r="Z93" s="1343"/>
      <c r="AA93" s="1343"/>
      <c r="AB93" s="1343"/>
      <c r="AC93" s="1343"/>
      <c r="AD93" s="1343"/>
      <c r="AE93" s="1343"/>
      <c r="AF93" s="1343"/>
      <c r="AG93" s="1343"/>
      <c r="AH93" s="1343"/>
      <c r="AI93" s="1343"/>
      <c r="AJ93" s="1343"/>
      <c r="AK93" s="1343"/>
      <c r="AL93" s="1343"/>
      <c r="AM93" s="1343"/>
      <c r="AN93" s="1343"/>
      <c r="AO93" s="1343"/>
      <c r="AP93" s="1343"/>
      <c r="AQ93" s="1343"/>
      <c r="AR93" s="1343"/>
      <c r="AS93" s="1343"/>
      <c r="AT93" s="1343"/>
      <c r="AU93" s="1343"/>
      <c r="AV93" s="1343"/>
      <c r="AW93" s="1343"/>
      <c r="AX93" s="1343"/>
      <c r="AY93" s="1343"/>
      <c r="AZ93" s="1343"/>
      <c r="BA93" s="1343"/>
    </row>
    <row r="94" spans="1:53">
      <c r="A94" s="1343"/>
      <c r="B94" s="1343"/>
      <c r="C94" s="1343"/>
      <c r="D94" s="1343"/>
      <c r="E94" s="1343"/>
      <c r="F94" s="1343"/>
      <c r="G94" s="1343"/>
      <c r="H94" s="1343"/>
      <c r="I94" s="1343"/>
      <c r="J94" s="1343"/>
      <c r="K94" s="1343"/>
      <c r="L94" s="1343"/>
      <c r="M94" s="1343"/>
      <c r="N94" s="1343"/>
      <c r="O94" s="1343"/>
      <c r="P94" s="1343"/>
      <c r="Q94" s="1343"/>
      <c r="R94" s="1343"/>
      <c r="S94" s="1343"/>
      <c r="T94" s="1343"/>
      <c r="U94" s="1343"/>
      <c r="V94" s="1343"/>
      <c r="W94" s="1343"/>
      <c r="X94" s="1343"/>
      <c r="Y94" s="1343"/>
      <c r="Z94" s="1343"/>
      <c r="AA94" s="1343"/>
      <c r="AB94" s="1343"/>
      <c r="AC94" s="1343"/>
      <c r="AD94" s="1343"/>
      <c r="AE94" s="1343"/>
      <c r="AF94" s="1343"/>
      <c r="AG94" s="1343"/>
      <c r="AH94" s="1343"/>
      <c r="AI94" s="1343"/>
      <c r="AJ94" s="1343"/>
      <c r="AK94" s="1343"/>
      <c r="AL94" s="1343"/>
      <c r="AM94" s="1343"/>
      <c r="AN94" s="1343"/>
      <c r="AO94" s="1343"/>
      <c r="AP94" s="1343"/>
      <c r="AQ94" s="1343"/>
      <c r="AR94" s="1343"/>
      <c r="AS94" s="1343"/>
      <c r="AT94" s="1343"/>
      <c r="AU94" s="1343"/>
      <c r="AV94" s="1343"/>
      <c r="AW94" s="1343"/>
      <c r="AX94" s="1343"/>
      <c r="AY94" s="1343"/>
      <c r="AZ94" s="1343"/>
      <c r="BA94" s="1343"/>
    </row>
    <row r="95" spans="1:53">
      <c r="A95" s="1343"/>
      <c r="B95" s="1343"/>
      <c r="C95" s="1343"/>
      <c r="D95" s="1343"/>
      <c r="E95" s="1343"/>
      <c r="F95" s="1343"/>
      <c r="G95" s="1343"/>
      <c r="H95" s="1343"/>
      <c r="I95" s="1343"/>
      <c r="J95" s="1343"/>
      <c r="K95" s="1343"/>
      <c r="L95" s="1343"/>
      <c r="M95" s="1343"/>
      <c r="N95" s="1343"/>
      <c r="O95" s="1343"/>
      <c r="P95" s="1343"/>
      <c r="Q95" s="1343"/>
      <c r="R95" s="1343"/>
      <c r="S95" s="1343"/>
      <c r="T95" s="1343"/>
      <c r="U95" s="1343"/>
      <c r="V95" s="1343"/>
      <c r="W95" s="1343"/>
      <c r="X95" s="1343"/>
      <c r="Y95" s="1343"/>
      <c r="Z95" s="1343"/>
      <c r="AA95" s="1343"/>
      <c r="AB95" s="1343"/>
      <c r="AC95" s="1343"/>
      <c r="AD95" s="1343"/>
      <c r="AE95" s="1343"/>
      <c r="AF95" s="1343"/>
      <c r="AG95" s="1343"/>
      <c r="AH95" s="1343"/>
      <c r="AI95" s="1343"/>
      <c r="AJ95" s="1343"/>
      <c r="AK95" s="1343"/>
      <c r="AL95" s="1343"/>
      <c r="AM95" s="1343"/>
      <c r="AN95" s="1343"/>
      <c r="AO95" s="1343"/>
      <c r="AP95" s="1343"/>
      <c r="AQ95" s="1343"/>
      <c r="AR95" s="1343"/>
      <c r="AS95" s="1343"/>
      <c r="AT95" s="1343"/>
      <c r="AU95" s="1343"/>
      <c r="AV95" s="1343"/>
      <c r="AW95" s="1343"/>
      <c r="AX95" s="1343"/>
      <c r="AY95" s="1343"/>
      <c r="AZ95" s="1343"/>
      <c r="BA95" s="1343"/>
    </row>
    <row r="96" spans="1:53">
      <c r="A96" s="1343"/>
      <c r="B96" s="1343"/>
      <c r="C96" s="1343"/>
      <c r="D96" s="1343"/>
      <c r="E96" s="1343"/>
      <c r="F96" s="1343"/>
      <c r="G96" s="1343"/>
      <c r="H96" s="1343"/>
      <c r="I96" s="1343"/>
      <c r="J96" s="1343"/>
      <c r="K96" s="1343"/>
      <c r="L96" s="1343"/>
      <c r="M96" s="1343"/>
      <c r="N96" s="1343"/>
      <c r="O96" s="1343"/>
      <c r="P96" s="1343"/>
      <c r="Q96" s="1343"/>
      <c r="R96" s="1343"/>
      <c r="S96" s="1343"/>
      <c r="T96" s="1343"/>
      <c r="U96" s="1343"/>
      <c r="V96" s="1343"/>
      <c r="W96" s="1343"/>
      <c r="X96" s="1343"/>
      <c r="Y96" s="1343"/>
      <c r="Z96" s="1343"/>
      <c r="AA96" s="1343"/>
      <c r="AB96" s="1343"/>
      <c r="AC96" s="1343"/>
      <c r="AD96" s="1343"/>
      <c r="AE96" s="1343"/>
      <c r="AF96" s="1343"/>
      <c r="AG96" s="1343"/>
      <c r="AH96" s="1343"/>
      <c r="AI96" s="1343"/>
      <c r="AJ96" s="1343"/>
      <c r="AK96" s="1343"/>
      <c r="AL96" s="1343"/>
      <c r="AM96" s="1343"/>
      <c r="AN96" s="1343"/>
      <c r="AO96" s="1343"/>
      <c r="AP96" s="1343"/>
      <c r="AQ96" s="1343"/>
      <c r="AR96" s="1343"/>
      <c r="AS96" s="1343"/>
      <c r="AT96" s="1343"/>
      <c r="AU96" s="1343"/>
      <c r="AV96" s="1343"/>
      <c r="AW96" s="1343"/>
      <c r="AX96" s="1343"/>
      <c r="AY96" s="1343"/>
      <c r="AZ96" s="1343"/>
      <c r="BA96" s="1343"/>
    </row>
    <row r="97" spans="1:53">
      <c r="A97" s="1343"/>
      <c r="B97" s="1343"/>
      <c r="C97" s="1343"/>
      <c r="D97" s="1343"/>
      <c r="E97" s="1343"/>
      <c r="F97" s="1343"/>
      <c r="G97" s="1343"/>
      <c r="H97" s="1343"/>
      <c r="I97" s="1343"/>
      <c r="J97" s="1343"/>
      <c r="K97" s="1343"/>
      <c r="L97" s="1343"/>
      <c r="M97" s="1343"/>
      <c r="N97" s="1343"/>
      <c r="O97" s="1343"/>
      <c r="P97" s="1343"/>
      <c r="Q97" s="1343"/>
      <c r="R97" s="1343"/>
      <c r="S97" s="1343"/>
      <c r="T97" s="1343"/>
      <c r="U97" s="1343"/>
      <c r="V97" s="1343"/>
      <c r="W97" s="1343"/>
      <c r="X97" s="1343"/>
      <c r="Y97" s="1343"/>
      <c r="Z97" s="1343"/>
      <c r="AA97" s="1343"/>
      <c r="AB97" s="1343"/>
      <c r="AC97" s="1343"/>
      <c r="AD97" s="1343"/>
      <c r="AE97" s="1343"/>
      <c r="AF97" s="1343"/>
      <c r="AG97" s="1343"/>
      <c r="AH97" s="1343"/>
      <c r="AI97" s="1343"/>
      <c r="AJ97" s="1343"/>
      <c r="AK97" s="1343"/>
      <c r="AL97" s="1343"/>
      <c r="AM97" s="1343"/>
      <c r="AN97" s="1343"/>
      <c r="AO97" s="1343"/>
      <c r="AP97" s="1343"/>
      <c r="AQ97" s="1343"/>
      <c r="AR97" s="1343"/>
      <c r="AS97" s="1343"/>
      <c r="AT97" s="1343"/>
      <c r="AU97" s="1343"/>
      <c r="AV97" s="1343"/>
      <c r="AW97" s="1343"/>
      <c r="AX97" s="1343"/>
      <c r="AY97" s="1343"/>
      <c r="AZ97" s="1343"/>
      <c r="BA97" s="1343"/>
    </row>
    <row r="98" spans="1:53">
      <c r="A98" s="1343"/>
      <c r="B98" s="1343"/>
      <c r="C98" s="1343"/>
      <c r="D98" s="1343"/>
      <c r="E98" s="1343"/>
      <c r="F98" s="1343"/>
      <c r="G98" s="1343"/>
      <c r="H98" s="1343"/>
      <c r="I98" s="1343"/>
      <c r="J98" s="1343"/>
      <c r="K98" s="1343"/>
      <c r="L98" s="1343"/>
      <c r="M98" s="1343"/>
      <c r="N98" s="1343"/>
      <c r="O98" s="1343"/>
      <c r="P98" s="1343"/>
      <c r="Q98" s="1343"/>
      <c r="R98" s="1343"/>
      <c r="S98" s="1343"/>
      <c r="T98" s="1343"/>
      <c r="U98" s="1343"/>
      <c r="V98" s="1343"/>
      <c r="W98" s="1343"/>
      <c r="X98" s="1343"/>
      <c r="Y98" s="1343"/>
      <c r="Z98" s="1343"/>
      <c r="AA98" s="1343"/>
      <c r="AB98" s="1343"/>
      <c r="AC98" s="1343"/>
      <c r="AD98" s="1343"/>
      <c r="AE98" s="1343"/>
      <c r="AF98" s="1343"/>
      <c r="AG98" s="1343"/>
      <c r="AH98" s="1343"/>
      <c r="AI98" s="1343"/>
      <c r="AJ98" s="1343"/>
      <c r="AK98" s="1343"/>
      <c r="AL98" s="1343"/>
      <c r="AM98" s="1343"/>
      <c r="AN98" s="1343"/>
      <c r="AO98" s="1343"/>
      <c r="AP98" s="1343"/>
      <c r="AQ98" s="1343"/>
      <c r="AR98" s="1343"/>
      <c r="AS98" s="1343"/>
      <c r="AT98" s="1343"/>
      <c r="AU98" s="1343"/>
      <c r="AV98" s="1343"/>
      <c r="AW98" s="1343"/>
      <c r="AX98" s="1343"/>
      <c r="AY98" s="1343"/>
      <c r="AZ98" s="1343"/>
      <c r="BA98" s="1343"/>
    </row>
    <row r="99" spans="1:53">
      <c r="A99" s="1343"/>
      <c r="B99" s="1343"/>
      <c r="C99" s="1343"/>
      <c r="D99" s="1343"/>
      <c r="E99" s="1343"/>
      <c r="F99" s="1343"/>
      <c r="G99" s="1343"/>
      <c r="H99" s="1343"/>
      <c r="I99" s="1343"/>
      <c r="J99" s="1343"/>
      <c r="K99" s="1343"/>
      <c r="L99" s="1343"/>
      <c r="M99" s="1343"/>
      <c r="N99" s="1343"/>
      <c r="O99" s="1343"/>
      <c r="P99" s="1343"/>
      <c r="Q99" s="1343"/>
      <c r="R99" s="1343"/>
      <c r="S99" s="1343"/>
      <c r="T99" s="1343"/>
      <c r="U99" s="1343"/>
      <c r="V99" s="1343"/>
      <c r="W99" s="1343"/>
      <c r="X99" s="1343"/>
      <c r="Y99" s="1343"/>
      <c r="Z99" s="1343"/>
      <c r="AA99" s="1343"/>
      <c r="AB99" s="1343"/>
      <c r="AC99" s="1343"/>
      <c r="AD99" s="1343"/>
      <c r="AE99" s="1343"/>
      <c r="AF99" s="1343"/>
      <c r="AG99" s="1343"/>
      <c r="AH99" s="1343"/>
      <c r="AI99" s="1343"/>
      <c r="AJ99" s="1343"/>
      <c r="AK99" s="1343"/>
      <c r="AL99" s="1343"/>
      <c r="AM99" s="1343"/>
      <c r="AN99" s="1343"/>
      <c r="AO99" s="1343"/>
      <c r="AP99" s="1343"/>
      <c r="AQ99" s="1343"/>
      <c r="AR99" s="1343"/>
      <c r="AS99" s="1343"/>
      <c r="AT99" s="1343"/>
      <c r="AU99" s="1343"/>
      <c r="AV99" s="1343"/>
      <c r="AW99" s="1343"/>
      <c r="AX99" s="1343"/>
      <c r="AY99" s="1343"/>
      <c r="AZ99" s="1343"/>
      <c r="BA99" s="1343"/>
    </row>
    <row r="100" spans="1:53">
      <c r="A100" s="1343"/>
      <c r="B100" s="1343"/>
      <c r="C100" s="1343"/>
      <c r="D100" s="1343"/>
      <c r="E100" s="1343"/>
      <c r="F100" s="1343"/>
      <c r="G100" s="1343"/>
      <c r="H100" s="1343"/>
      <c r="I100" s="1343"/>
      <c r="J100" s="1343"/>
      <c r="K100" s="1343"/>
      <c r="L100" s="1343"/>
      <c r="M100" s="1343"/>
      <c r="N100" s="1343"/>
      <c r="O100" s="1343"/>
      <c r="P100" s="1343"/>
      <c r="Q100" s="1343"/>
      <c r="R100" s="1343"/>
      <c r="S100" s="1343"/>
      <c r="T100" s="1343"/>
      <c r="U100" s="1343"/>
      <c r="V100" s="1343"/>
      <c r="W100" s="1343"/>
      <c r="X100" s="1343"/>
      <c r="Y100" s="1343"/>
      <c r="Z100" s="1343"/>
      <c r="AA100" s="1343"/>
      <c r="AB100" s="1343"/>
      <c r="AC100" s="1343"/>
      <c r="AD100" s="1343"/>
      <c r="AE100" s="1343"/>
      <c r="AF100" s="1343"/>
      <c r="AG100" s="1343"/>
      <c r="AH100" s="1343"/>
      <c r="AI100" s="1343"/>
      <c r="AJ100" s="1343"/>
      <c r="AK100" s="1343"/>
      <c r="AL100" s="1343"/>
      <c r="AM100" s="1343"/>
      <c r="AN100" s="1343"/>
      <c r="AO100" s="1343"/>
      <c r="AP100" s="1343"/>
      <c r="AQ100" s="1343"/>
      <c r="AR100" s="1343"/>
      <c r="AS100" s="1343"/>
      <c r="AT100" s="1343"/>
      <c r="AU100" s="1343"/>
      <c r="AV100" s="1343"/>
      <c r="AW100" s="1343"/>
      <c r="AX100" s="1343"/>
      <c r="AY100" s="1343"/>
      <c r="AZ100" s="1343"/>
      <c r="BA100" s="1343"/>
    </row>
    <row r="101" spans="1:53">
      <c r="A101" s="1343"/>
      <c r="B101" s="1343"/>
      <c r="C101" s="1343"/>
      <c r="D101" s="1343"/>
      <c r="E101" s="1343"/>
      <c r="F101" s="1343"/>
      <c r="G101" s="1343"/>
      <c r="H101" s="1343"/>
      <c r="I101" s="1343"/>
      <c r="J101" s="1343"/>
      <c r="K101" s="1343"/>
      <c r="L101" s="1343"/>
      <c r="M101" s="1343"/>
      <c r="N101" s="1343"/>
      <c r="O101" s="1343"/>
      <c r="P101" s="1343"/>
      <c r="Q101" s="1343"/>
      <c r="R101" s="1343"/>
      <c r="S101" s="1343"/>
      <c r="T101" s="1343"/>
      <c r="U101" s="1343"/>
      <c r="V101" s="1343"/>
      <c r="W101" s="1343"/>
      <c r="X101" s="1343"/>
      <c r="Y101" s="1343"/>
      <c r="Z101" s="1343"/>
      <c r="AA101" s="1343"/>
      <c r="AB101" s="1343"/>
      <c r="AC101" s="1343"/>
      <c r="AD101" s="1343"/>
      <c r="AE101" s="1343"/>
      <c r="AF101" s="1343"/>
      <c r="AG101" s="1343"/>
      <c r="AH101" s="1343"/>
      <c r="AI101" s="1343"/>
      <c r="AJ101" s="1343"/>
      <c r="AK101" s="1343"/>
      <c r="AL101" s="1343"/>
      <c r="AM101" s="1343"/>
      <c r="AN101" s="1343"/>
      <c r="AO101" s="1343"/>
      <c r="AP101" s="1343"/>
      <c r="AQ101" s="1343"/>
      <c r="AR101" s="1343"/>
      <c r="AS101" s="1343"/>
      <c r="AT101" s="1343"/>
      <c r="AU101" s="1343"/>
      <c r="AV101" s="1343"/>
      <c r="AW101" s="1343"/>
      <c r="AX101" s="1343"/>
      <c r="AY101" s="1343"/>
      <c r="AZ101" s="1343"/>
      <c r="BA101" s="1343"/>
    </row>
    <row r="102" spans="1:53">
      <c r="A102" s="1343"/>
      <c r="B102" s="1343"/>
      <c r="C102" s="1343"/>
      <c r="D102" s="1343"/>
      <c r="E102" s="1343"/>
      <c r="F102" s="1343"/>
      <c r="G102" s="1343"/>
      <c r="H102" s="1343"/>
      <c r="I102" s="1343"/>
      <c r="J102" s="1343"/>
      <c r="K102" s="1343"/>
      <c r="L102" s="1343"/>
      <c r="M102" s="1343"/>
      <c r="N102" s="1343"/>
      <c r="O102" s="1343"/>
      <c r="P102" s="1343"/>
      <c r="Q102" s="1343"/>
      <c r="R102" s="1343"/>
      <c r="S102" s="1343"/>
      <c r="T102" s="1343"/>
      <c r="U102" s="1343"/>
      <c r="V102" s="1343"/>
      <c r="W102" s="1343"/>
      <c r="X102" s="1343"/>
      <c r="Y102" s="1343"/>
      <c r="Z102" s="1343"/>
      <c r="AA102" s="1343"/>
      <c r="AB102" s="1343"/>
      <c r="AC102" s="1343"/>
      <c r="AD102" s="1343"/>
      <c r="AE102" s="1343"/>
      <c r="AF102" s="1343"/>
      <c r="AG102" s="1343"/>
      <c r="AH102" s="1343"/>
      <c r="AI102" s="1343"/>
      <c r="AJ102" s="1343"/>
      <c r="AK102" s="1343"/>
      <c r="AL102" s="1343"/>
      <c r="AM102" s="1343"/>
      <c r="AN102" s="1343"/>
      <c r="AO102" s="1343"/>
      <c r="AP102" s="1343"/>
      <c r="AQ102" s="1343"/>
      <c r="AR102" s="1343"/>
      <c r="AS102" s="1343"/>
      <c r="AT102" s="1343"/>
      <c r="AU102" s="1343"/>
      <c r="AV102" s="1343"/>
      <c r="AW102" s="1343"/>
      <c r="AX102" s="1343"/>
      <c r="AY102" s="1343"/>
      <c r="AZ102" s="1343"/>
      <c r="BA102" s="1343"/>
    </row>
    <row r="103" spans="1:53">
      <c r="A103" s="1343"/>
      <c r="B103" s="1343"/>
      <c r="C103" s="1343"/>
      <c r="D103" s="1343"/>
      <c r="E103" s="1343"/>
      <c r="F103" s="1343"/>
      <c r="G103" s="1343"/>
      <c r="H103" s="1343"/>
      <c r="I103" s="1343"/>
      <c r="J103" s="1343"/>
      <c r="K103" s="1343"/>
      <c r="L103" s="1343"/>
      <c r="M103" s="1343"/>
      <c r="N103" s="1343"/>
      <c r="O103" s="1343"/>
      <c r="P103" s="1343"/>
      <c r="Q103" s="1343"/>
      <c r="R103" s="1343"/>
      <c r="S103" s="1343"/>
      <c r="T103" s="1343"/>
      <c r="U103" s="1343"/>
      <c r="V103" s="1343"/>
      <c r="W103" s="1343"/>
      <c r="X103" s="1343"/>
      <c r="Y103" s="1343"/>
      <c r="Z103" s="1343"/>
      <c r="AA103" s="1343"/>
      <c r="AB103" s="1343"/>
      <c r="AC103" s="1343"/>
      <c r="AD103" s="1343"/>
      <c r="AE103" s="1343"/>
      <c r="AF103" s="1343"/>
      <c r="AG103" s="1343"/>
      <c r="AH103" s="1343"/>
      <c r="AI103" s="1343"/>
      <c r="AJ103" s="1343"/>
      <c r="AK103" s="1343"/>
      <c r="AL103" s="1343"/>
      <c r="AM103" s="1343"/>
      <c r="AN103" s="1343"/>
      <c r="AO103" s="1343"/>
      <c r="AP103" s="1343"/>
      <c r="AQ103" s="1343"/>
      <c r="AR103" s="1343"/>
      <c r="AS103" s="1343"/>
      <c r="AT103" s="1343"/>
      <c r="AU103" s="1343"/>
      <c r="AV103" s="1343"/>
      <c r="AW103" s="1343"/>
      <c r="AX103" s="1343"/>
      <c r="AY103" s="1343"/>
      <c r="AZ103" s="1343"/>
      <c r="BA103" s="1343"/>
    </row>
    <row r="104" spans="1:53">
      <c r="A104" s="1343"/>
      <c r="B104" s="1343"/>
      <c r="C104" s="1343"/>
      <c r="D104" s="1343"/>
      <c r="E104" s="1343"/>
      <c r="F104" s="1343"/>
      <c r="G104" s="1343"/>
      <c r="H104" s="1343"/>
      <c r="I104" s="1343"/>
      <c r="J104" s="1343"/>
      <c r="K104" s="1343"/>
      <c r="L104" s="1343"/>
      <c r="M104" s="1343"/>
      <c r="N104" s="1343"/>
      <c r="O104" s="1343"/>
      <c r="P104" s="1343"/>
      <c r="Q104" s="1343"/>
      <c r="R104" s="1343"/>
      <c r="S104" s="1343"/>
      <c r="T104" s="1343"/>
      <c r="U104" s="1343"/>
      <c r="V104" s="1343"/>
      <c r="W104" s="1343"/>
      <c r="X104" s="1343"/>
      <c r="Y104" s="1343"/>
      <c r="Z104" s="1343"/>
      <c r="AA104" s="1343"/>
      <c r="AB104" s="1343"/>
      <c r="AC104" s="1343"/>
      <c r="AD104" s="1343"/>
      <c r="AE104" s="1343"/>
      <c r="AF104" s="1343"/>
      <c r="AG104" s="1343"/>
      <c r="AH104" s="1343"/>
      <c r="AI104" s="1343"/>
      <c r="AJ104" s="1343"/>
      <c r="AK104" s="1343"/>
      <c r="AL104" s="1343"/>
      <c r="AM104" s="1343"/>
      <c r="AN104" s="1343"/>
      <c r="AO104" s="1343"/>
      <c r="AP104" s="1343"/>
      <c r="AQ104" s="1343"/>
      <c r="AR104" s="1343"/>
      <c r="AS104" s="1343"/>
      <c r="AT104" s="1343"/>
      <c r="AU104" s="1343"/>
      <c r="AV104" s="1343"/>
      <c r="AW104" s="1343"/>
      <c r="AX104" s="1343"/>
      <c r="AY104" s="1343"/>
      <c r="AZ104" s="1343"/>
      <c r="BA104" s="1343"/>
    </row>
    <row r="105" spans="1:53">
      <c r="A105" s="1343"/>
      <c r="B105" s="1343"/>
      <c r="C105" s="1343"/>
      <c r="D105" s="1343"/>
      <c r="E105" s="1343"/>
      <c r="F105" s="1343"/>
      <c r="G105" s="1343"/>
      <c r="H105" s="1343"/>
      <c r="I105" s="1343"/>
      <c r="J105" s="1343"/>
      <c r="K105" s="1343"/>
      <c r="L105" s="1343"/>
      <c r="M105" s="1343"/>
      <c r="N105" s="1343"/>
      <c r="O105" s="1343"/>
      <c r="P105" s="1343"/>
      <c r="Q105" s="1343"/>
      <c r="R105" s="1343"/>
      <c r="S105" s="1343"/>
      <c r="T105" s="1343"/>
      <c r="U105" s="1343"/>
      <c r="V105" s="1343"/>
      <c r="W105" s="1343"/>
      <c r="X105" s="1343"/>
      <c r="Y105" s="1343"/>
      <c r="Z105" s="1343"/>
      <c r="AA105" s="1343"/>
      <c r="AB105" s="1343"/>
      <c r="AC105" s="1343"/>
      <c r="AD105" s="1343"/>
      <c r="AE105" s="1343"/>
      <c r="AF105" s="1343"/>
      <c r="AG105" s="1343"/>
      <c r="AH105" s="1343"/>
      <c r="AI105" s="1343"/>
      <c r="AJ105" s="1343"/>
      <c r="AK105" s="1343"/>
      <c r="AL105" s="1343"/>
      <c r="AM105" s="1343"/>
      <c r="AN105" s="1343"/>
      <c r="AO105" s="1343"/>
      <c r="AP105" s="1343"/>
      <c r="AQ105" s="1343"/>
      <c r="AR105" s="1343"/>
      <c r="AS105" s="1343"/>
      <c r="AT105" s="1343"/>
      <c r="AU105" s="1343"/>
      <c r="AV105" s="1343"/>
      <c r="AW105" s="1343"/>
      <c r="AX105" s="1343"/>
      <c r="AY105" s="1343"/>
      <c r="AZ105" s="1343"/>
      <c r="BA105" s="1343"/>
    </row>
    <row r="106" spans="1:53">
      <c r="A106" s="1343"/>
      <c r="B106" s="1343"/>
      <c r="C106" s="1343"/>
      <c r="D106" s="1343"/>
      <c r="E106" s="1343"/>
      <c r="F106" s="1343"/>
      <c r="G106" s="1343"/>
      <c r="H106" s="1343"/>
      <c r="I106" s="1343"/>
      <c r="J106" s="1343"/>
      <c r="K106" s="1343"/>
      <c r="L106" s="1343"/>
      <c r="M106" s="1343"/>
      <c r="N106" s="1343"/>
      <c r="O106" s="1343"/>
      <c r="P106" s="1343"/>
      <c r="Q106" s="1343"/>
      <c r="R106" s="1343"/>
      <c r="S106" s="1343"/>
      <c r="T106" s="1343"/>
      <c r="U106" s="1343"/>
      <c r="V106" s="1343"/>
      <c r="W106" s="1343"/>
      <c r="X106" s="1343"/>
      <c r="Y106" s="1343"/>
      <c r="Z106" s="1343"/>
      <c r="AA106" s="1343"/>
      <c r="AB106" s="1343"/>
      <c r="AC106" s="1343"/>
      <c r="AD106" s="1343"/>
      <c r="AE106" s="1343"/>
      <c r="AF106" s="1343"/>
      <c r="AG106" s="1343"/>
      <c r="AH106" s="1343"/>
      <c r="AI106" s="1343"/>
      <c r="AJ106" s="1343"/>
      <c r="AK106" s="1343"/>
      <c r="AL106" s="1343"/>
      <c r="AM106" s="1343"/>
      <c r="AN106" s="1343"/>
      <c r="AO106" s="1343"/>
      <c r="AP106" s="1343"/>
      <c r="AQ106" s="1343"/>
      <c r="AR106" s="1343"/>
      <c r="AS106" s="1343"/>
      <c r="AT106" s="1343"/>
      <c r="AU106" s="1343"/>
      <c r="AV106" s="1343"/>
      <c r="AW106" s="1343"/>
      <c r="AX106" s="1343"/>
      <c r="AY106" s="1343"/>
      <c r="AZ106" s="1343"/>
      <c r="BA106" s="1343"/>
    </row>
    <row r="107" spans="1:53">
      <c r="A107" s="1343"/>
      <c r="B107" s="1343"/>
      <c r="C107" s="1343"/>
      <c r="D107" s="1343"/>
      <c r="E107" s="1343"/>
      <c r="F107" s="1343"/>
      <c r="G107" s="1343"/>
      <c r="H107" s="1343"/>
      <c r="I107" s="1343"/>
      <c r="J107" s="1343"/>
      <c r="K107" s="1343"/>
      <c r="L107" s="1343"/>
      <c r="M107" s="1343"/>
      <c r="N107" s="1343"/>
      <c r="O107" s="1343"/>
      <c r="P107" s="1343"/>
      <c r="Q107" s="1343"/>
      <c r="R107" s="1343"/>
      <c r="S107" s="1343"/>
      <c r="T107" s="1343"/>
      <c r="U107" s="1343"/>
      <c r="V107" s="1343"/>
      <c r="W107" s="1343"/>
      <c r="X107" s="1343"/>
      <c r="Y107" s="1343"/>
      <c r="Z107" s="1343"/>
      <c r="AA107" s="1343"/>
      <c r="AB107" s="1343"/>
      <c r="AC107" s="1343"/>
      <c r="AD107" s="1343"/>
      <c r="AE107" s="1343"/>
      <c r="AF107" s="1343"/>
      <c r="AG107" s="1343"/>
      <c r="AH107" s="1343"/>
      <c r="AI107" s="1343"/>
      <c r="AJ107" s="1343"/>
      <c r="AK107" s="1343"/>
      <c r="AL107" s="1343"/>
      <c r="AM107" s="1343"/>
      <c r="AN107" s="1343"/>
      <c r="AO107" s="1343"/>
      <c r="AP107" s="1343"/>
      <c r="AQ107" s="1343"/>
      <c r="AR107" s="1343"/>
      <c r="AS107" s="1343"/>
      <c r="AT107" s="1343"/>
      <c r="AU107" s="1343"/>
      <c r="AV107" s="1343"/>
      <c r="AW107" s="1343"/>
      <c r="AX107" s="1343"/>
      <c r="AY107" s="1343"/>
      <c r="AZ107" s="1343"/>
      <c r="BA107" s="1343"/>
    </row>
    <row r="108" spans="1:53">
      <c r="A108" s="1343"/>
      <c r="B108" s="1343"/>
      <c r="C108" s="1343"/>
      <c r="D108" s="1343"/>
      <c r="E108" s="1343"/>
      <c r="F108" s="1343"/>
      <c r="G108" s="1343"/>
      <c r="H108" s="1343"/>
      <c r="I108" s="1343"/>
      <c r="J108" s="1343"/>
      <c r="K108" s="1343"/>
      <c r="L108" s="1343"/>
      <c r="M108" s="1343"/>
      <c r="N108" s="1343"/>
      <c r="O108" s="1343"/>
      <c r="P108" s="1343"/>
      <c r="Q108" s="1343"/>
      <c r="R108" s="1343"/>
      <c r="S108" s="1343"/>
      <c r="T108" s="1343"/>
      <c r="U108" s="1343"/>
      <c r="V108" s="1343"/>
      <c r="W108" s="1343"/>
      <c r="X108" s="1343"/>
      <c r="Y108" s="1343"/>
      <c r="Z108" s="1343"/>
      <c r="AA108" s="1343"/>
      <c r="AB108" s="1343"/>
      <c r="AC108" s="1343"/>
      <c r="AD108" s="1343"/>
      <c r="AE108" s="1343"/>
      <c r="AF108" s="1343"/>
      <c r="AG108" s="1343"/>
      <c r="AH108" s="1343"/>
      <c r="AI108" s="1343"/>
      <c r="AJ108" s="1343"/>
      <c r="AK108" s="1343"/>
      <c r="AL108" s="1343"/>
      <c r="AM108" s="1343"/>
      <c r="AN108" s="1343"/>
      <c r="AO108" s="1343"/>
      <c r="AP108" s="1343"/>
      <c r="AQ108" s="1343"/>
      <c r="AR108" s="1343"/>
      <c r="AS108" s="1343"/>
      <c r="AT108" s="1343"/>
      <c r="AU108" s="1343"/>
      <c r="AV108" s="1343"/>
      <c r="AW108" s="1343"/>
      <c r="AX108" s="1343"/>
      <c r="AY108" s="1343"/>
      <c r="AZ108" s="1343"/>
      <c r="BA108" s="1343"/>
    </row>
    <row r="109" spans="1:53">
      <c r="A109" s="1343"/>
      <c r="B109" s="1343"/>
      <c r="C109" s="1343"/>
      <c r="D109" s="1343"/>
      <c r="E109" s="1343"/>
      <c r="F109" s="1343"/>
      <c r="G109" s="1343"/>
      <c r="H109" s="1343"/>
      <c r="I109" s="1343"/>
      <c r="J109" s="1343"/>
      <c r="K109" s="1343"/>
      <c r="L109" s="1343"/>
      <c r="M109" s="1343"/>
      <c r="N109" s="1343"/>
      <c r="O109" s="1343"/>
      <c r="P109" s="1343"/>
      <c r="Q109" s="1343"/>
      <c r="R109" s="1343"/>
      <c r="S109" s="1343"/>
      <c r="T109" s="1343"/>
      <c r="U109" s="1343"/>
      <c r="V109" s="1343"/>
      <c r="W109" s="1343"/>
      <c r="X109" s="1343"/>
      <c r="Y109" s="1343"/>
      <c r="Z109" s="1343"/>
      <c r="AA109" s="1343"/>
      <c r="AB109" s="1343"/>
      <c r="AC109" s="1343"/>
      <c r="AD109" s="1343"/>
      <c r="AE109" s="1343"/>
      <c r="AF109" s="1343"/>
      <c r="AG109" s="1343"/>
      <c r="AH109" s="1343"/>
      <c r="AI109" s="1343"/>
      <c r="AJ109" s="1343"/>
      <c r="AK109" s="1343"/>
      <c r="AL109" s="1343"/>
      <c r="AM109" s="1343"/>
      <c r="AN109" s="1343"/>
      <c r="AO109" s="1343"/>
      <c r="AP109" s="1343"/>
      <c r="AQ109" s="1343"/>
      <c r="AR109" s="1343"/>
      <c r="AS109" s="1343"/>
      <c r="AT109" s="1343"/>
      <c r="AU109" s="1343"/>
      <c r="AV109" s="1343"/>
      <c r="AW109" s="1343"/>
      <c r="AX109" s="1343"/>
      <c r="AY109" s="1343"/>
      <c r="AZ109" s="1343"/>
      <c r="BA109" s="1343"/>
    </row>
    <row r="110" spans="1:53">
      <c r="A110" s="1343"/>
      <c r="B110" s="1343"/>
      <c r="C110" s="1343"/>
      <c r="D110" s="1343"/>
      <c r="E110" s="1343"/>
      <c r="F110" s="1343"/>
      <c r="G110" s="1343"/>
      <c r="H110" s="1343"/>
      <c r="I110" s="1343"/>
      <c r="J110" s="1343"/>
      <c r="K110" s="1343"/>
      <c r="L110" s="1343"/>
      <c r="M110" s="1343"/>
      <c r="N110" s="1343"/>
      <c r="O110" s="1343"/>
      <c r="P110" s="1343"/>
      <c r="Q110" s="1343"/>
      <c r="R110" s="1343"/>
      <c r="S110" s="1343"/>
      <c r="T110" s="1343"/>
      <c r="U110" s="1343"/>
      <c r="V110" s="1343"/>
      <c r="W110" s="1343"/>
      <c r="X110" s="1343"/>
      <c r="Y110" s="1343"/>
      <c r="Z110" s="1343"/>
      <c r="AA110" s="1343"/>
      <c r="AB110" s="1343"/>
      <c r="AC110" s="1343"/>
      <c r="AD110" s="1343"/>
      <c r="AE110" s="1343"/>
      <c r="AF110" s="1343"/>
      <c r="AG110" s="1343"/>
      <c r="AH110" s="1343"/>
      <c r="AI110" s="1343"/>
      <c r="AJ110" s="1343"/>
      <c r="AK110" s="1343"/>
      <c r="AL110" s="1343"/>
      <c r="AM110" s="1343"/>
      <c r="AN110" s="1343"/>
      <c r="AO110" s="1343"/>
      <c r="AP110" s="1343"/>
      <c r="AQ110" s="1343"/>
      <c r="AR110" s="1343"/>
      <c r="AS110" s="1343"/>
      <c r="AT110" s="1343"/>
      <c r="AU110" s="1343"/>
      <c r="AV110" s="1343"/>
      <c r="AW110" s="1343"/>
      <c r="AX110" s="1343"/>
      <c r="AY110" s="1343"/>
      <c r="AZ110" s="1343"/>
      <c r="BA110" s="1343"/>
    </row>
    <row r="111" spans="1:53">
      <c r="A111" s="1343"/>
      <c r="B111" s="1343"/>
      <c r="C111" s="1343"/>
      <c r="D111" s="1343"/>
      <c r="E111" s="1343"/>
      <c r="F111" s="1343"/>
      <c r="G111" s="1343"/>
      <c r="H111" s="1343"/>
      <c r="I111" s="1343"/>
      <c r="J111" s="1343"/>
      <c r="K111" s="1343"/>
      <c r="L111" s="1343"/>
      <c r="M111" s="1343"/>
      <c r="N111" s="1343"/>
      <c r="O111" s="1343"/>
      <c r="P111" s="1343"/>
      <c r="Q111" s="1343"/>
      <c r="R111" s="1343"/>
      <c r="S111" s="1343"/>
      <c r="T111" s="1343"/>
      <c r="U111" s="1343"/>
      <c r="V111" s="1343"/>
      <c r="W111" s="1343"/>
      <c r="X111" s="1343"/>
      <c r="Y111" s="1343"/>
      <c r="Z111" s="1343"/>
      <c r="AA111" s="1343"/>
      <c r="AB111" s="1343"/>
      <c r="AC111" s="1343"/>
      <c r="AD111" s="1343"/>
      <c r="AE111" s="1343"/>
      <c r="AF111" s="1343"/>
      <c r="AG111" s="1343"/>
      <c r="AH111" s="1343"/>
      <c r="AI111" s="1343"/>
      <c r="AJ111" s="1343"/>
      <c r="AK111" s="1343"/>
      <c r="AL111" s="1343"/>
      <c r="AM111" s="1343"/>
      <c r="AN111" s="1343"/>
      <c r="AO111" s="1343"/>
      <c r="AP111" s="1343"/>
      <c r="AQ111" s="1343"/>
      <c r="AR111" s="1343"/>
      <c r="AS111" s="1343"/>
      <c r="AT111" s="1343"/>
      <c r="AU111" s="1343"/>
      <c r="AV111" s="1343"/>
      <c r="AW111" s="1343"/>
      <c r="AX111" s="1343"/>
      <c r="AY111" s="1343"/>
      <c r="AZ111" s="1343"/>
      <c r="BA111" s="1343"/>
    </row>
    <row r="112" spans="1:53">
      <c r="A112" s="1343"/>
      <c r="B112" s="1343"/>
      <c r="C112" s="1343"/>
      <c r="D112" s="1343"/>
      <c r="E112" s="1343"/>
      <c r="F112" s="1343"/>
      <c r="G112" s="1343"/>
      <c r="H112" s="1343"/>
      <c r="I112" s="1343"/>
      <c r="J112" s="1343"/>
      <c r="K112" s="1343"/>
      <c r="L112" s="1343"/>
      <c r="M112" s="1343"/>
      <c r="N112" s="1343"/>
      <c r="O112" s="1343"/>
      <c r="P112" s="1343"/>
      <c r="Q112" s="1343"/>
      <c r="R112" s="1343"/>
      <c r="S112" s="1343"/>
      <c r="T112" s="1343"/>
      <c r="U112" s="1343"/>
      <c r="V112" s="1343"/>
      <c r="W112" s="1343"/>
      <c r="X112" s="1343"/>
      <c r="Y112" s="1343"/>
      <c r="Z112" s="1343"/>
      <c r="AA112" s="1343"/>
      <c r="AB112" s="1343"/>
      <c r="AC112" s="1343"/>
      <c r="AD112" s="1343"/>
      <c r="AE112" s="1343"/>
      <c r="AF112" s="1343"/>
      <c r="AG112" s="1343"/>
      <c r="AH112" s="1343"/>
      <c r="AI112" s="1343"/>
      <c r="AJ112" s="1343"/>
      <c r="AK112" s="1343"/>
      <c r="AL112" s="1343"/>
      <c r="AM112" s="1343"/>
      <c r="AN112" s="1343"/>
      <c r="AO112" s="1343"/>
      <c r="AP112" s="1343"/>
      <c r="AQ112" s="1343"/>
      <c r="AR112" s="1343"/>
      <c r="AS112" s="1343"/>
      <c r="AT112" s="1343"/>
      <c r="AU112" s="1343"/>
      <c r="AV112" s="1343"/>
      <c r="AW112" s="1343"/>
      <c r="AX112" s="1343"/>
      <c r="AY112" s="1343"/>
      <c r="AZ112" s="1343"/>
      <c r="BA112" s="1343"/>
    </row>
    <row r="113" spans="1:53">
      <c r="A113" s="1343"/>
      <c r="B113" s="1343"/>
      <c r="C113" s="1343"/>
      <c r="D113" s="1343"/>
      <c r="E113" s="1343"/>
      <c r="F113" s="1343"/>
      <c r="G113" s="1343"/>
      <c r="H113" s="1343"/>
      <c r="I113" s="1343"/>
      <c r="J113" s="1343"/>
      <c r="K113" s="1343"/>
      <c r="L113" s="1343"/>
      <c r="M113" s="1343"/>
      <c r="N113" s="1343"/>
      <c r="O113" s="1343"/>
      <c r="P113" s="1343"/>
      <c r="Q113" s="1343"/>
      <c r="R113" s="1343"/>
      <c r="S113" s="1343"/>
      <c r="T113" s="1343"/>
      <c r="U113" s="1343"/>
      <c r="V113" s="1343"/>
      <c r="W113" s="1343"/>
      <c r="X113" s="1343"/>
      <c r="Y113" s="1343"/>
      <c r="Z113" s="1343"/>
      <c r="AA113" s="1343"/>
      <c r="AB113" s="1343"/>
      <c r="AC113" s="1343"/>
      <c r="AD113" s="1343"/>
      <c r="AE113" s="1343"/>
      <c r="AF113" s="1343"/>
      <c r="AG113" s="1343"/>
      <c r="AH113" s="1343"/>
      <c r="AI113" s="1343"/>
      <c r="AJ113" s="1343"/>
      <c r="AK113" s="1343"/>
      <c r="AL113" s="1343"/>
      <c r="AM113" s="1343"/>
      <c r="AN113" s="1343"/>
      <c r="AO113" s="1343"/>
      <c r="AP113" s="1343"/>
      <c r="AQ113" s="1343"/>
      <c r="AR113" s="1343"/>
      <c r="AS113" s="1343"/>
      <c r="AT113" s="1343"/>
      <c r="AU113" s="1343"/>
      <c r="AV113" s="1343"/>
      <c r="AW113" s="1343"/>
      <c r="AX113" s="1343"/>
      <c r="AY113" s="1343"/>
      <c r="AZ113" s="1343"/>
      <c r="BA113" s="1343"/>
    </row>
    <row r="114" spans="1:53">
      <c r="A114" s="1343"/>
      <c r="B114" s="1343"/>
      <c r="C114" s="1343"/>
      <c r="D114" s="1343"/>
      <c r="E114" s="1343"/>
      <c r="F114" s="1343"/>
      <c r="G114" s="1343"/>
      <c r="H114" s="1343"/>
      <c r="I114" s="1343"/>
      <c r="J114" s="1343"/>
      <c r="K114" s="1343"/>
      <c r="L114" s="1343"/>
      <c r="M114" s="1343"/>
      <c r="N114" s="1343"/>
      <c r="O114" s="1343"/>
      <c r="P114" s="1343"/>
      <c r="Q114" s="1343"/>
      <c r="R114" s="1343"/>
      <c r="S114" s="1343"/>
      <c r="T114" s="1343"/>
      <c r="U114" s="1343"/>
      <c r="V114" s="1343"/>
      <c r="W114" s="1343"/>
      <c r="X114" s="1343"/>
      <c r="Y114" s="1343"/>
      <c r="Z114" s="1343"/>
      <c r="AA114" s="1343"/>
      <c r="AB114" s="1343"/>
      <c r="AC114" s="1343"/>
      <c r="AD114" s="1343"/>
      <c r="AE114" s="1343"/>
      <c r="AF114" s="1343"/>
      <c r="AG114" s="1343"/>
      <c r="AH114" s="1343"/>
      <c r="AI114" s="1343"/>
      <c r="AJ114" s="1343"/>
      <c r="AK114" s="1343"/>
      <c r="AL114" s="1343"/>
      <c r="AM114" s="1343"/>
      <c r="AN114" s="1343"/>
      <c r="AO114" s="1343"/>
      <c r="AP114" s="1343"/>
      <c r="AQ114" s="1343"/>
      <c r="AR114" s="1343"/>
      <c r="AS114" s="1343"/>
      <c r="AT114" s="1343"/>
      <c r="AU114" s="1343"/>
      <c r="AV114" s="1343"/>
      <c r="AW114" s="1343"/>
      <c r="AX114" s="1343"/>
      <c r="AY114" s="1343"/>
      <c r="AZ114" s="1343"/>
      <c r="BA114" s="1343"/>
    </row>
    <row r="115" spans="1:53">
      <c r="A115" s="1343"/>
      <c r="B115" s="1343"/>
      <c r="C115" s="1343"/>
      <c r="D115" s="1343"/>
      <c r="E115" s="1343"/>
      <c r="F115" s="1343"/>
      <c r="G115" s="1343"/>
      <c r="H115" s="1343"/>
      <c r="I115" s="1343"/>
      <c r="J115" s="1343"/>
      <c r="K115" s="1343"/>
      <c r="L115" s="1343"/>
      <c r="M115" s="1343"/>
      <c r="N115" s="1343"/>
      <c r="O115" s="1343"/>
      <c r="P115" s="1343"/>
      <c r="Q115" s="1343"/>
      <c r="R115" s="1343"/>
      <c r="S115" s="1343"/>
      <c r="T115" s="1343"/>
      <c r="U115" s="1343"/>
      <c r="V115" s="1343"/>
      <c r="W115" s="1343"/>
      <c r="X115" s="1343"/>
      <c r="Y115" s="1343"/>
      <c r="Z115" s="1343"/>
      <c r="AA115" s="1343"/>
      <c r="AB115" s="1343"/>
      <c r="AC115" s="1343"/>
      <c r="AD115" s="1343"/>
      <c r="AE115" s="1343"/>
      <c r="AF115" s="1343"/>
      <c r="AG115" s="1343"/>
      <c r="AH115" s="1343"/>
      <c r="AI115" s="1343"/>
      <c r="AJ115" s="1343"/>
      <c r="AK115" s="1343"/>
      <c r="AL115" s="1343"/>
      <c r="AM115" s="1343"/>
      <c r="AN115" s="1343"/>
      <c r="AO115" s="1343"/>
      <c r="AP115" s="1343"/>
      <c r="AQ115" s="1343"/>
      <c r="AR115" s="1343"/>
      <c r="AS115" s="1343"/>
      <c r="AT115" s="1343"/>
      <c r="AU115" s="1343"/>
      <c r="AV115" s="1343"/>
      <c r="AW115" s="1343"/>
      <c r="AX115" s="1343"/>
      <c r="AY115" s="1343"/>
      <c r="AZ115" s="1343"/>
      <c r="BA115" s="1343"/>
    </row>
    <row r="116" spans="1:53">
      <c r="A116" s="1343"/>
      <c r="B116" s="1343"/>
      <c r="C116" s="1343"/>
      <c r="D116" s="1343"/>
      <c r="E116" s="1343"/>
      <c r="F116" s="1343"/>
      <c r="G116" s="1343"/>
      <c r="H116" s="1343"/>
      <c r="I116" s="1343"/>
      <c r="J116" s="1343"/>
      <c r="K116" s="1343"/>
      <c r="L116" s="1343"/>
      <c r="M116" s="1343"/>
      <c r="N116" s="1343"/>
      <c r="O116" s="1343"/>
      <c r="P116" s="1343"/>
      <c r="Q116" s="1343"/>
      <c r="R116" s="1343"/>
      <c r="S116" s="1343"/>
      <c r="T116" s="1343"/>
      <c r="U116" s="1343"/>
      <c r="V116" s="1343"/>
      <c r="W116" s="1343"/>
      <c r="X116" s="1343"/>
      <c r="Y116" s="1343"/>
      <c r="Z116" s="1343"/>
      <c r="AA116" s="1343"/>
      <c r="AB116" s="1343"/>
      <c r="AC116" s="1343"/>
      <c r="AD116" s="1343"/>
      <c r="AE116" s="1343"/>
      <c r="AF116" s="1343"/>
      <c r="AG116" s="1343"/>
      <c r="AH116" s="1343"/>
      <c r="AI116" s="1343"/>
      <c r="AJ116" s="1343"/>
      <c r="AK116" s="1343"/>
      <c r="AL116" s="1343"/>
      <c r="AM116" s="1343"/>
      <c r="AN116" s="1343"/>
      <c r="AO116" s="1343"/>
      <c r="AP116" s="1343"/>
      <c r="AQ116" s="1343"/>
      <c r="AR116" s="1343"/>
      <c r="AS116" s="1343"/>
      <c r="AT116" s="1343"/>
      <c r="AU116" s="1343"/>
      <c r="AV116" s="1343"/>
      <c r="AW116" s="1343"/>
      <c r="AX116" s="1343"/>
      <c r="AY116" s="1343"/>
      <c r="AZ116" s="1343"/>
      <c r="BA116" s="1343"/>
    </row>
    <row r="117" spans="1:53">
      <c r="A117" s="1343"/>
      <c r="B117" s="1343"/>
      <c r="C117" s="1343"/>
      <c r="D117" s="1343"/>
      <c r="E117" s="1343"/>
      <c r="F117" s="1343"/>
      <c r="G117" s="1343"/>
      <c r="H117" s="1343"/>
      <c r="I117" s="1343"/>
      <c r="J117" s="1343"/>
      <c r="K117" s="1343"/>
      <c r="L117" s="1343"/>
      <c r="M117" s="1343"/>
      <c r="N117" s="1343"/>
      <c r="O117" s="1343"/>
      <c r="P117" s="1343"/>
      <c r="Q117" s="1343"/>
      <c r="R117" s="1343"/>
      <c r="S117" s="1343"/>
      <c r="T117" s="1343"/>
      <c r="U117" s="1343"/>
      <c r="V117" s="1343"/>
      <c r="W117" s="1343"/>
      <c r="X117" s="1343"/>
      <c r="Y117" s="1343"/>
      <c r="Z117" s="1343"/>
      <c r="AA117" s="1343"/>
      <c r="AB117" s="1343"/>
      <c r="AC117" s="1343"/>
      <c r="AD117" s="1343"/>
      <c r="AE117" s="1343"/>
      <c r="AF117" s="1343"/>
      <c r="AG117" s="1343"/>
      <c r="AH117" s="1343"/>
      <c r="AI117" s="1343"/>
      <c r="AJ117" s="1343"/>
      <c r="AK117" s="1343"/>
      <c r="AL117" s="1343"/>
      <c r="AM117" s="1343"/>
      <c r="AN117" s="1343"/>
      <c r="AO117" s="1343"/>
      <c r="AP117" s="1343"/>
      <c r="AQ117" s="1343"/>
      <c r="AR117" s="1343"/>
      <c r="AS117" s="1343"/>
      <c r="AT117" s="1343"/>
      <c r="AU117" s="1343"/>
      <c r="AV117" s="1343"/>
      <c r="AW117" s="1343"/>
      <c r="AX117" s="1343"/>
      <c r="AY117" s="1343"/>
      <c r="AZ117" s="1343"/>
      <c r="BA117" s="1343"/>
    </row>
    <row r="118" spans="1:53">
      <c r="A118" s="1343"/>
      <c r="B118" s="1343"/>
      <c r="C118" s="1343"/>
      <c r="D118" s="1343"/>
      <c r="E118" s="1343"/>
      <c r="F118" s="1343"/>
      <c r="G118" s="1343"/>
      <c r="H118" s="1343"/>
      <c r="I118" s="1343"/>
      <c r="J118" s="1343"/>
      <c r="K118" s="1343"/>
      <c r="L118" s="1343"/>
      <c r="M118" s="1343"/>
      <c r="N118" s="1343"/>
      <c r="O118" s="1343"/>
      <c r="P118" s="1343"/>
      <c r="Q118" s="1343"/>
      <c r="R118" s="1343"/>
      <c r="S118" s="1343"/>
      <c r="T118" s="1343"/>
      <c r="U118" s="1343"/>
      <c r="V118" s="1343"/>
      <c r="W118" s="1343"/>
      <c r="X118" s="1343"/>
      <c r="Y118" s="1343"/>
      <c r="Z118" s="1343"/>
      <c r="AA118" s="1343"/>
      <c r="AB118" s="1343"/>
      <c r="AC118" s="1343"/>
      <c r="AD118" s="1343"/>
      <c r="AE118" s="1343"/>
      <c r="AF118" s="1343"/>
      <c r="AG118" s="1343"/>
      <c r="AH118" s="1343"/>
      <c r="AI118" s="1343"/>
      <c r="AJ118" s="1343"/>
      <c r="AK118" s="1343"/>
      <c r="AL118" s="1343"/>
      <c r="AM118" s="1343"/>
      <c r="AN118" s="1343"/>
      <c r="AO118" s="1343"/>
      <c r="AP118" s="1343"/>
      <c r="AQ118" s="1343"/>
      <c r="AR118" s="1343"/>
      <c r="AS118" s="1343"/>
      <c r="AT118" s="1343"/>
      <c r="AU118" s="1343"/>
      <c r="AV118" s="1343"/>
      <c r="AW118" s="1343"/>
      <c r="AX118" s="1343"/>
      <c r="AY118" s="1343"/>
      <c r="AZ118" s="1343"/>
      <c r="BA118" s="1343"/>
    </row>
    <row r="119" spans="1:53">
      <c r="A119" s="1343"/>
      <c r="B119" s="1343"/>
      <c r="C119" s="1343"/>
      <c r="D119" s="1343"/>
      <c r="E119" s="1343"/>
      <c r="F119" s="1343"/>
      <c r="G119" s="1343"/>
      <c r="H119" s="1343"/>
      <c r="I119" s="1343"/>
      <c r="J119" s="1343"/>
      <c r="K119" s="1343"/>
      <c r="L119" s="1343"/>
      <c r="M119" s="1343"/>
      <c r="N119" s="1343"/>
      <c r="O119" s="1343"/>
      <c r="P119" s="1343"/>
      <c r="Q119" s="1343"/>
      <c r="R119" s="1343"/>
      <c r="S119" s="1343"/>
      <c r="T119" s="1343"/>
      <c r="U119" s="1343"/>
      <c r="V119" s="1343"/>
      <c r="W119" s="1343"/>
      <c r="X119" s="1343"/>
      <c r="Y119" s="1343"/>
      <c r="Z119" s="1343"/>
      <c r="AA119" s="1343"/>
      <c r="AB119" s="1343"/>
      <c r="AC119" s="1343"/>
      <c r="AD119" s="1343"/>
      <c r="AE119" s="1343"/>
      <c r="AF119" s="1343"/>
      <c r="AG119" s="1343"/>
      <c r="AH119" s="1343"/>
      <c r="AI119" s="1343"/>
      <c r="AJ119" s="1343"/>
      <c r="AK119" s="1343"/>
      <c r="AL119" s="1343"/>
      <c r="AM119" s="1343"/>
      <c r="AN119" s="1343"/>
      <c r="AO119" s="1343"/>
      <c r="AP119" s="1343"/>
      <c r="AQ119" s="1343"/>
      <c r="AR119" s="1343"/>
      <c r="AS119" s="1343"/>
      <c r="AT119" s="1343"/>
      <c r="AU119" s="1343"/>
      <c r="AV119" s="1343"/>
      <c r="AW119" s="1343"/>
      <c r="AX119" s="1343"/>
      <c r="AY119" s="1343"/>
      <c r="AZ119" s="1343"/>
      <c r="BA119" s="1343"/>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enableFormatConditionsCalculation="0"/>
  <dimension ref="G2:AD70"/>
  <sheetViews>
    <sheetView topLeftCell="B25" workbookViewId="0">
      <selection activeCell="H50" sqref="H50"/>
    </sheetView>
    <sheetView topLeftCell="A21" workbookViewId="1"/>
  </sheetViews>
  <sheetFormatPr baseColWidth="10" defaultColWidth="8.83203125" defaultRowHeight="13" x14ac:dyDescent="0"/>
  <sheetData>
    <row r="2" spans="13:13">
      <c r="M2" s="1456"/>
    </row>
    <row r="3" spans="13:13">
      <c r="M3" s="1456"/>
    </row>
    <row r="4" spans="13:13">
      <c r="M4" s="1456"/>
    </row>
    <row r="5" spans="13:13">
      <c r="M5" s="1456"/>
    </row>
    <row r="6" spans="13:13">
      <c r="M6" s="1456"/>
    </row>
    <row r="7" spans="13:13">
      <c r="M7" s="1456"/>
    </row>
    <row r="8" spans="13:13">
      <c r="M8" s="1456"/>
    </row>
    <row r="9" spans="13:13">
      <c r="M9" s="1456"/>
    </row>
    <row r="10" spans="13:13">
      <c r="M10" s="1456"/>
    </row>
    <row r="11" spans="13:13">
      <c r="M11" s="1456"/>
    </row>
    <row r="12" spans="13:13">
      <c r="M12" s="1456"/>
    </row>
    <row r="13" spans="13:13">
      <c r="M13" s="1456"/>
    </row>
    <row r="14" spans="13:13">
      <c r="M14" s="1456"/>
    </row>
    <row r="15" spans="13:13">
      <c r="M15" s="1456"/>
    </row>
    <row r="16" spans="13:13">
      <c r="M16" s="1456"/>
    </row>
    <row r="17" spans="7:30">
      <c r="M17" s="1456"/>
    </row>
    <row r="18" spans="7:30">
      <c r="M18" s="1456"/>
    </row>
    <row r="19" spans="7:30">
      <c r="G19" s="1456"/>
      <c r="H19" s="1456"/>
      <c r="I19" s="1456"/>
      <c r="J19" s="1456"/>
      <c r="K19" s="1456"/>
      <c r="L19" s="1456"/>
      <c r="M19" s="1456"/>
    </row>
    <row r="28" spans="7:30">
      <c r="S28" s="1456"/>
      <c r="T28" s="1456" t="s">
        <v>1878</v>
      </c>
      <c r="U28" s="1456"/>
      <c r="V28" s="1456"/>
      <c r="W28" s="1456"/>
      <c r="X28" s="1456"/>
      <c r="Y28" s="1456"/>
      <c r="Z28" s="1456"/>
      <c r="AA28" s="1456"/>
      <c r="AB28" s="1456"/>
      <c r="AC28" s="1456">
        <v>2.83168E-2</v>
      </c>
      <c r="AD28" s="1456" t="s">
        <v>2496</v>
      </c>
    </row>
    <row r="29" spans="7:30">
      <c r="S29" s="1456"/>
      <c r="T29" s="1456" t="s">
        <v>2497</v>
      </c>
      <c r="U29" s="1456">
        <v>0.25</v>
      </c>
      <c r="V29" s="1456" t="s">
        <v>2498</v>
      </c>
      <c r="W29" s="1456" t="s">
        <v>2499</v>
      </c>
      <c r="X29" s="1456"/>
      <c r="Y29" s="1456"/>
      <c r="Z29" s="1456"/>
      <c r="AA29" s="1456"/>
      <c r="AB29" s="1456"/>
      <c r="AC29" s="1456">
        <v>390</v>
      </c>
      <c r="AD29" s="1456" t="s">
        <v>2500</v>
      </c>
    </row>
    <row r="30" spans="7:30">
      <c r="S30" s="1456"/>
      <c r="T30" s="1456" t="s">
        <v>2501</v>
      </c>
      <c r="U30" s="1456">
        <f>AC30</f>
        <v>11.043552</v>
      </c>
      <c r="V30" s="1456" t="s">
        <v>2502</v>
      </c>
      <c r="W30" s="1456"/>
      <c r="X30" s="1456"/>
      <c r="Y30" s="1456"/>
      <c r="Z30" s="1456"/>
      <c r="AA30" s="1456"/>
      <c r="AB30" s="1456"/>
      <c r="AC30" s="1456">
        <f>AC28*AC29</f>
        <v>11.043552</v>
      </c>
      <c r="AD30" s="1456" t="s">
        <v>2503</v>
      </c>
    </row>
    <row r="31" spans="7:30">
      <c r="S31" s="1456"/>
      <c r="T31" s="1456" t="s">
        <v>2504</v>
      </c>
      <c r="U31" s="508">
        <v>0.1</v>
      </c>
      <c r="V31" s="1456"/>
      <c r="W31" s="1456"/>
      <c r="X31" s="1456"/>
      <c r="Y31" s="1456"/>
      <c r="Z31" s="1456"/>
      <c r="AA31" s="1456"/>
      <c r="AB31" s="1456"/>
      <c r="AC31" s="1456"/>
      <c r="AD31" s="1456"/>
    </row>
    <row r="32" spans="7:30">
      <c r="S32" s="1456"/>
      <c r="T32" s="1456" t="s">
        <v>2505</v>
      </c>
      <c r="U32" s="1456">
        <f>U30*U31</f>
        <v>1.1043552000000001</v>
      </c>
      <c r="V32" s="1456"/>
      <c r="W32" s="1456" t="s">
        <v>2506</v>
      </c>
      <c r="X32" s="1456"/>
      <c r="Y32" s="1456"/>
      <c r="Z32" s="1456"/>
      <c r="AA32" s="1456"/>
      <c r="AB32" s="1456"/>
      <c r="AC32" s="1456"/>
      <c r="AD32" s="1456"/>
    </row>
    <row r="33" spans="19:30">
      <c r="S33" s="1456"/>
      <c r="T33" s="1456" t="s">
        <v>2507</v>
      </c>
      <c r="U33" s="1456">
        <v>10</v>
      </c>
      <c r="V33" s="1456"/>
      <c r="W33" s="1456" t="s">
        <v>2508</v>
      </c>
      <c r="X33" s="1456"/>
      <c r="Y33" s="1456"/>
      <c r="Z33" s="1456"/>
      <c r="AA33" s="1456"/>
      <c r="AB33" s="1456"/>
      <c r="AC33" s="1456"/>
      <c r="AD33" s="1456"/>
    </row>
    <row r="34" spans="19:30">
      <c r="S34" s="1456"/>
      <c r="T34" s="1456" t="s">
        <v>2509</v>
      </c>
      <c r="U34" s="1456">
        <v>2.5</v>
      </c>
      <c r="V34" s="1456"/>
      <c r="W34" s="1456"/>
      <c r="X34" s="1456"/>
      <c r="Y34" s="1456"/>
      <c r="Z34" s="1456"/>
      <c r="AA34" s="1456"/>
      <c r="AB34" s="1456"/>
      <c r="AC34" s="1456"/>
      <c r="AD34" s="1456"/>
    </row>
    <row r="35" spans="19:30">
      <c r="S35" s="1456"/>
      <c r="T35" s="1456"/>
      <c r="U35" s="1456"/>
      <c r="V35" s="1456"/>
      <c r="W35" s="1456"/>
      <c r="X35" s="1456"/>
      <c r="Y35" s="1456"/>
      <c r="Z35" s="1456"/>
      <c r="AA35" s="1456"/>
      <c r="AB35" s="1456"/>
      <c r="AC35" s="1456"/>
      <c r="AD35" s="1456"/>
    </row>
    <row r="36" spans="19:30">
      <c r="S36" s="1456"/>
      <c r="T36" s="1456"/>
      <c r="U36" s="1456"/>
      <c r="V36" s="1456"/>
      <c r="W36" s="1456"/>
      <c r="X36" s="1456"/>
      <c r="Y36" s="1456"/>
      <c r="Z36" s="1456"/>
      <c r="AA36" s="1456"/>
      <c r="AB36" s="1456"/>
      <c r="AC36" s="1456"/>
      <c r="AD36" s="1456"/>
    </row>
    <row r="37" spans="19:30">
      <c r="S37" s="1456"/>
      <c r="T37" s="1456"/>
      <c r="U37" s="1456"/>
      <c r="V37" s="1456"/>
      <c r="W37" s="1456"/>
      <c r="X37" s="1456" t="s">
        <v>2511</v>
      </c>
      <c r="Y37" s="1456"/>
      <c r="Z37" s="1456"/>
      <c r="AA37" s="1456"/>
      <c r="AB37" s="1456"/>
      <c r="AC37" s="1456"/>
      <c r="AD37" s="1456"/>
    </row>
    <row r="38" spans="19:30">
      <c r="S38" s="1456"/>
      <c r="T38" s="1456"/>
      <c r="U38" s="1456"/>
      <c r="V38" s="1456"/>
      <c r="W38" s="1456"/>
      <c r="X38" s="1456"/>
      <c r="Y38" s="1456"/>
      <c r="Z38" s="1456"/>
      <c r="AA38" s="1456"/>
      <c r="AB38" s="1456"/>
      <c r="AC38" s="1456"/>
      <c r="AD38" s="1456"/>
    </row>
    <row r="39" spans="19:30">
      <c r="S39" s="1456"/>
      <c r="T39" s="1456" t="s">
        <v>2510</v>
      </c>
      <c r="U39" s="1456"/>
      <c r="V39" s="1456"/>
      <c r="W39" s="1456"/>
      <c r="X39" s="1456" t="s">
        <v>115</v>
      </c>
      <c r="Y39" s="1456"/>
      <c r="Z39" s="1456" t="s">
        <v>2512</v>
      </c>
      <c r="AA39" s="1456"/>
      <c r="AB39" s="1456"/>
      <c r="AC39" s="1456"/>
      <c r="AD39" s="1456"/>
    </row>
    <row r="40" spans="19:30">
      <c r="S40" s="1456">
        <v>2020</v>
      </c>
      <c r="T40" s="1456">
        <v>1</v>
      </c>
      <c r="U40" s="1456"/>
      <c r="V40" s="1456"/>
      <c r="W40" s="1456"/>
      <c r="X40" s="1456">
        <f t="shared" ref="X40:X65" si="0">($U$32*$U$29/$U$34)*((2^$U$34-1)*EXP($U$29*(T40-$U$33)))/(1+(2^$U$34-1)*EXP($U$29*(T40-$U$33)))^(($U$34+1)/$U$34)</f>
        <v>3.0991310935778952E-2</v>
      </c>
      <c r="Y40" s="1456"/>
      <c r="Z40" s="1456">
        <f>SUM(X40:X70)</f>
        <v>0.88699996644127777</v>
      </c>
      <c r="AA40" s="1456"/>
      <c r="AB40" s="1456"/>
      <c r="AC40" s="1456"/>
      <c r="AD40" s="1456"/>
    </row>
    <row r="41" spans="19:30">
      <c r="S41" s="1456">
        <v>2021</v>
      </c>
      <c r="T41" s="1456">
        <v>2</v>
      </c>
      <c r="U41" s="1456"/>
      <c r="V41" s="1456"/>
      <c r="W41" s="1456"/>
      <c r="X41" s="1456">
        <f t="shared" si="0"/>
        <v>3.5112482380675387E-2</v>
      </c>
      <c r="Y41" s="1456"/>
      <c r="Z41" s="1456"/>
      <c r="AA41" s="1456"/>
      <c r="AB41" s="1456"/>
      <c r="AC41" s="1456"/>
      <c r="AD41" s="1456"/>
    </row>
    <row r="42" spans="19:30">
      <c r="S42" s="1456">
        <v>2022</v>
      </c>
      <c r="T42" s="1456">
        <v>3</v>
      </c>
      <c r="U42" s="1456"/>
      <c r="V42" s="1456"/>
      <c r="W42" s="1456"/>
      <c r="X42" s="1456">
        <f t="shared" si="0"/>
        <v>3.8966504943326541E-2</v>
      </c>
      <c r="Y42" s="1456"/>
      <c r="Z42" s="1456"/>
      <c r="AA42" s="1456"/>
      <c r="AB42" s="1456"/>
      <c r="AC42" s="1456"/>
      <c r="AD42" s="1456"/>
    </row>
    <row r="43" spans="19:30">
      <c r="S43" s="1456">
        <v>2023</v>
      </c>
      <c r="T43" s="1456">
        <v>4</v>
      </c>
      <c r="U43" s="1456"/>
      <c r="V43" s="1456"/>
      <c r="W43" s="1456"/>
      <c r="X43" s="1456">
        <f t="shared" si="0"/>
        <v>4.2320457147861722E-2</v>
      </c>
      <c r="Y43" s="1456"/>
      <c r="Z43" s="1456"/>
      <c r="AA43" s="1456"/>
      <c r="AB43" s="1456"/>
      <c r="AC43" s="1456"/>
      <c r="AD43" s="1456"/>
    </row>
    <row r="44" spans="19:30">
      <c r="S44" s="1456">
        <v>2024</v>
      </c>
      <c r="T44" s="1456">
        <v>5</v>
      </c>
      <c r="U44" s="1456"/>
      <c r="V44" s="1456"/>
      <c r="W44" s="1456"/>
      <c r="X44" s="1456">
        <f t="shared" si="0"/>
        <v>4.4971476520101902E-2</v>
      </c>
      <c r="Y44" s="1456"/>
      <c r="Z44" s="1456"/>
      <c r="AA44" s="1456"/>
      <c r="AB44" s="1456"/>
      <c r="AC44" s="1456"/>
      <c r="AD44" s="1456"/>
    </row>
    <row r="45" spans="19:30">
      <c r="S45" s="1456">
        <v>2025</v>
      </c>
      <c r="T45" s="1456">
        <v>6</v>
      </c>
      <c r="U45" s="1456"/>
      <c r="V45" s="1456"/>
      <c r="W45" s="1456"/>
      <c r="X45" s="1456">
        <f t="shared" si="0"/>
        <v>4.6777947894123831E-2</v>
      </c>
    </row>
    <row r="46" spans="19:30">
      <c r="S46" s="1456">
        <v>2026</v>
      </c>
      <c r="T46" s="1456">
        <v>7</v>
      </c>
      <c r="U46" s="1456"/>
      <c r="V46" s="1456"/>
      <c r="W46" s="1456"/>
      <c r="X46" s="1456">
        <f t="shared" si="0"/>
        <v>4.7678170470900179E-2</v>
      </c>
    </row>
    <row r="47" spans="19:30">
      <c r="S47" s="1456">
        <v>2027</v>
      </c>
      <c r="T47" s="1456">
        <v>8</v>
      </c>
      <c r="U47" s="1456"/>
      <c r="V47" s="1456"/>
      <c r="W47" s="1456"/>
      <c r="X47" s="1456">
        <f t="shared" si="0"/>
        <v>4.7692017903880092E-2</v>
      </c>
    </row>
    <row r="48" spans="19:30">
      <c r="S48" s="1456">
        <v>2028</v>
      </c>
      <c r="T48" s="1456">
        <v>9</v>
      </c>
      <c r="U48" s="1456"/>
      <c r="V48" s="1456"/>
      <c r="W48" s="1456"/>
      <c r="X48" s="1456">
        <f t="shared" si="0"/>
        <v>4.6907233105195692E-2</v>
      </c>
    </row>
    <row r="49" spans="19:24">
      <c r="S49" s="1456">
        <v>2029</v>
      </c>
      <c r="T49" s="1456">
        <v>10</v>
      </c>
      <c r="U49" s="1456"/>
      <c r="V49" s="1456"/>
      <c r="W49" s="1456"/>
      <c r="X49" s="1456">
        <f t="shared" si="0"/>
        <v>4.5456546865517186E-2</v>
      </c>
    </row>
    <row r="50" spans="19:24">
      <c r="S50" s="1456">
        <v>2030</v>
      </c>
      <c r="T50" s="1456">
        <v>11</v>
      </c>
      <c r="U50" s="1456"/>
      <c r="V50" s="1456"/>
      <c r="W50" s="1456"/>
      <c r="X50" s="1456">
        <f t="shared" si="0"/>
        <v>4.3492997119695426E-2</v>
      </c>
    </row>
    <row r="51" spans="19:24">
      <c r="S51" s="1456">
        <v>2031</v>
      </c>
      <c r="T51" s="1456">
        <v>12</v>
      </c>
      <c r="U51" s="1456"/>
      <c r="V51" s="1456"/>
      <c r="W51" s="1456"/>
      <c r="X51" s="1456">
        <f t="shared" si="0"/>
        <v>4.1169097471983274E-2</v>
      </c>
    </row>
    <row r="52" spans="19:24">
      <c r="S52" s="1456">
        <v>2032</v>
      </c>
      <c r="T52" s="1456">
        <v>13</v>
      </c>
      <c r="U52" s="1456"/>
      <c r="V52" s="1456"/>
      <c r="W52" s="1456"/>
      <c r="X52" s="1456">
        <f t="shared" si="0"/>
        <v>3.8622566404144638E-2</v>
      </c>
    </row>
    <row r="53" spans="19:24">
      <c r="S53" s="1456">
        <v>2033</v>
      </c>
      <c r="T53" s="1456">
        <v>14</v>
      </c>
      <c r="U53" s="1456"/>
      <c r="V53" s="1456"/>
      <c r="W53" s="1456"/>
      <c r="X53" s="1456">
        <f t="shared" si="0"/>
        <v>3.5968751575877554E-2</v>
      </c>
    </row>
    <row r="54" spans="19:24">
      <c r="S54" s="1456">
        <v>2034</v>
      </c>
      <c r="T54" s="1456">
        <v>15</v>
      </c>
      <c r="U54" s="1456"/>
      <c r="V54" s="1456"/>
      <c r="W54" s="1456"/>
      <c r="X54" s="1456">
        <f t="shared" si="0"/>
        <v>3.3298384790608232E-2</v>
      </c>
    </row>
    <row r="55" spans="19:24">
      <c r="S55" s="1456">
        <v>2035</v>
      </c>
      <c r="T55" s="1456">
        <v>16</v>
      </c>
      <c r="U55" s="1456"/>
      <c r="V55" s="1456"/>
      <c r="W55" s="1456"/>
      <c r="X55" s="1456">
        <f t="shared" si="0"/>
        <v>3.0678839581525078E-2</v>
      </c>
    </row>
    <row r="56" spans="19:24">
      <c r="S56" s="1456">
        <v>2036</v>
      </c>
      <c r="T56" s="1456">
        <v>17</v>
      </c>
      <c r="U56" s="1456"/>
      <c r="V56" s="1456"/>
      <c r="W56" s="1456"/>
      <c r="X56" s="1456">
        <f t="shared" si="0"/>
        <v>2.8157249706694022E-2</v>
      </c>
    </row>
    <row r="57" spans="19:24">
      <c r="S57" s="1456">
        <v>2037</v>
      </c>
      <c r="T57" s="1456">
        <v>18</v>
      </c>
      <c r="U57" s="1456"/>
      <c r="V57" s="1456"/>
      <c r="W57" s="1456"/>
      <c r="X57" s="1456">
        <f t="shared" si="0"/>
        <v>2.5764294800087875E-2</v>
      </c>
    </row>
    <row r="58" spans="19:24">
      <c r="S58" s="1456">
        <v>2038</v>
      </c>
      <c r="T58" s="1456">
        <v>19</v>
      </c>
      <c r="U58" s="1456"/>
      <c r="V58" s="1456"/>
      <c r="W58" s="1456"/>
      <c r="X58" s="1456">
        <f t="shared" si="0"/>
        <v>2.351791855884924E-2</v>
      </c>
    </row>
    <row r="59" spans="19:24">
      <c r="S59" s="1456">
        <v>2039</v>
      </c>
      <c r="T59" s="1456">
        <v>20</v>
      </c>
      <c r="U59" s="1456"/>
      <c r="V59" s="1456"/>
      <c r="W59" s="1456"/>
      <c r="X59" s="1456">
        <f t="shared" si="0"/>
        <v>2.142660416025571E-2</v>
      </c>
    </row>
    <row r="60" spans="19:24">
      <c r="S60" s="1456">
        <v>2040</v>
      </c>
      <c r="T60" s="1456">
        <v>21</v>
      </c>
      <c r="U60" s="1456"/>
      <c r="V60" s="1456"/>
      <c r="W60" s="1456"/>
      <c r="X60" s="1456">
        <f t="shared" si="0"/>
        <v>1.9492069790620712E-2</v>
      </c>
    </row>
    <row r="61" spans="19:24">
      <c r="S61" s="1456">
        <v>2041</v>
      </c>
      <c r="T61" s="1456">
        <v>22</v>
      </c>
      <c r="U61" s="1456"/>
      <c r="V61" s="1456"/>
      <c r="W61" s="1456"/>
      <c r="X61" s="1456">
        <f t="shared" si="0"/>
        <v>1.7711384181596009E-2</v>
      </c>
    </row>
    <row r="62" spans="19:24">
      <c r="S62" s="1456">
        <v>2042</v>
      </c>
      <c r="T62" s="1456">
        <v>23</v>
      </c>
      <c r="U62" s="1456"/>
      <c r="V62" s="1456"/>
      <c r="W62" s="1456"/>
      <c r="X62" s="1456">
        <f t="shared" si="0"/>
        <v>1.6078568610964017E-2</v>
      </c>
    </row>
    <row r="63" spans="19:24">
      <c r="S63" s="1456">
        <v>2043</v>
      </c>
      <c r="T63" s="1456">
        <v>24</v>
      </c>
      <c r="U63" s="1456"/>
      <c r="V63" s="1456"/>
      <c r="W63" s="1456"/>
      <c r="X63" s="1456">
        <f t="shared" si="0"/>
        <v>1.4585775289613261E-2</v>
      </c>
    </row>
    <row r="64" spans="19:24">
      <c r="S64" s="1456">
        <v>2044</v>
      </c>
      <c r="T64" s="1456">
        <v>25</v>
      </c>
      <c r="U64" s="1456"/>
      <c r="V64" s="1456"/>
      <c r="W64" s="1456"/>
      <c r="X64" s="1456">
        <f t="shared" si="0"/>
        <v>1.3224132200964986E-2</v>
      </c>
    </row>
    <row r="65" spans="19:24">
      <c r="S65" s="1456">
        <v>2045</v>
      </c>
      <c r="T65" s="1456">
        <v>26</v>
      </c>
      <c r="U65" s="1456"/>
      <c r="V65" s="1456"/>
      <c r="W65" s="1456"/>
      <c r="X65" s="1456">
        <f t="shared" si="0"/>
        <v>1.1984333858557641E-2</v>
      </c>
    </row>
    <row r="66" spans="19:24">
      <c r="S66" s="1456">
        <v>2046</v>
      </c>
      <c r="T66" s="1456">
        <v>27</v>
      </c>
      <c r="U66" s="1456"/>
      <c r="V66" s="1456"/>
      <c r="W66" s="1456"/>
      <c r="X66" s="1456">
        <f>($U$32*$U$29/$U$34)*((2^$U$34-1)*EXP($U$29*(T66-$U$33)))/(1+(2^$U$34-1)*EXP($U$29*(T66-$U$33)))^(($U$34+1)/$U$34)</f>
        <v>1.085704330522246E-2</v>
      </c>
    </row>
    <row r="67" spans="19:24">
      <c r="S67" s="1456">
        <v>2047</v>
      </c>
      <c r="T67" s="1456">
        <v>28</v>
      </c>
      <c r="U67" s="1456"/>
      <c r="V67" s="1456"/>
      <c r="W67" s="1456"/>
      <c r="X67" s="1456">
        <f>($U$32*$U$29/$U$34)*((2^$U$34-1)*EXP($U$29*(T67-$U$33)))/(1+(2^$U$34-1)*EXP($U$29*(T67-$U$33)))^(($U$34+1)/$U$34)</f>
        <v>9.8331566876292704E-3</v>
      </c>
    </row>
    <row r="68" spans="19:24">
      <c r="S68" s="1456">
        <v>2048</v>
      </c>
      <c r="T68" s="1456">
        <v>29</v>
      </c>
      <c r="U68" s="1456"/>
      <c r="V68" s="1456"/>
      <c r="W68" s="1456"/>
      <c r="X68" s="1456">
        <f>($U$32*$U$29/$U$34)*((2^$U$34-1)*EXP($U$29*(T68-$U$33)))/(1+(2^$U$34-1)*EXP($U$29*(T68-$U$33)))^(($U$34+1)/$U$34)</f>
        <v>8.9039695150733098E-3</v>
      </c>
    </row>
    <row r="69" spans="19:24">
      <c r="S69" s="1456">
        <v>2049</v>
      </c>
      <c r="T69" s="1456">
        <v>30</v>
      </c>
      <c r="U69" s="1456"/>
      <c r="V69" s="1456"/>
      <c r="W69" s="1456"/>
      <c r="X69" s="1456">
        <f>($U$32*$U$29/$U$34)*((2^$U$34-1)*EXP($U$29*(T69-$U$33)))/(1+(2^$U$34-1)*EXP($U$29*(T69-$U$33)))^(($U$34+1)/$U$34)</f>
        <v>8.0612737323497666E-3</v>
      </c>
    </row>
    <row r="70" spans="19:24">
      <c r="S70" s="1456">
        <v>2050</v>
      </c>
      <c r="T70" s="1456">
        <v>31</v>
      </c>
      <c r="U70" s="1456"/>
      <c r="V70" s="1456"/>
      <c r="W70" s="1456"/>
      <c r="X70" s="1456">
        <f>($U$32*$U$29/$U$34)*((2^$U$34-1)*EXP($U$29*(T70-$U$33)))/(1+(2^$U$34-1)*EXP($U$29*(T70-$U$33)))^(($U$34+1)/$U$34)</f>
        <v>7.2974069316039825E-3</v>
      </c>
    </row>
  </sheetData>
  <pageMargins left="0.7" right="0.7" top="0.75" bottom="0.75" header="0.3" footer="0.3"/>
  <drawing r:id="rId1"/>
  <extLst>
    <ext xmlns:mx="http://schemas.microsoft.com/office/mac/excel/2008/main" uri="{64002731-A6B0-56B0-2670-7721B7C09600}">
      <mx:PLV Mode="0" OnePage="0" WScale="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Control</vt:lpstr>
      <vt:lpstr>Preferences</vt:lpstr>
      <vt:lpstr>Structure of the model</vt:lpstr>
      <vt:lpstr>Growth Paths </vt:lpstr>
      <vt:lpstr>Assumptions.Global</vt:lpstr>
      <vt:lpstr>Assumptions.Growth</vt:lpstr>
      <vt:lpstr>Assumptions.Refineries</vt:lpstr>
      <vt:lpstr>Conversions</vt:lpstr>
      <vt:lpstr>Constants</vt:lpstr>
      <vt:lpstr>Power plant data</vt:lpstr>
      <vt:lpstr>COM.Tech</vt:lpstr>
      <vt:lpstr>IND.Tech</vt:lpstr>
      <vt:lpstr>IND.a</vt:lpstr>
      <vt:lpstr>References</vt:lpstr>
      <vt:lpstr>HouseholdIncome - CGE</vt:lpstr>
      <vt:lpstr>HouseholdIncomeExo</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01418624</dc:creator>
  <cp:lastModifiedBy>Thomas Counsell</cp:lastModifiedBy>
  <dcterms:created xsi:type="dcterms:W3CDTF">2014-01-23T13:21:03Z</dcterms:created>
  <dcterms:modified xsi:type="dcterms:W3CDTF">2014-02-10T18:51:49Z</dcterms:modified>
</cp:coreProperties>
</file>